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Pedro Mesquita\Downloads\"/>
    </mc:Choice>
  </mc:AlternateContent>
  <xr:revisionPtr revIDLastSave="0" documentId="13_ncr:1_{79748DFA-435F-4470-A8C4-8178CBB8C4CD}" xr6:coauthVersionLast="47" xr6:coauthVersionMax="47" xr10:uidLastSave="{00000000-0000-0000-0000-000000000000}"/>
  <bookViews>
    <workbookView xWindow="-108" yWindow="-108" windowWidth="23256" windowHeight="12456" tabRatio="500" activeTab="2" xr2:uid="{00000000-000D-0000-FFFF-FFFF00000000}"/>
  </bookViews>
  <sheets>
    <sheet name="Data" sheetId="2" r:id="rId1"/>
    <sheet name="Data Filtered" sheetId="6" r:id="rId2"/>
    <sheet name="Planilha1" sheetId="4" r:id="rId3"/>
  </sheets>
  <definedNames>
    <definedName name="_xlnm._FilterDatabase" localSheetId="0" hidden="1">Data!$A$8:$R$12329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8" i="4" l="1" a="1"/>
  <c r="J18" i="4" s="1"/>
  <c r="J17" i="4" a="1"/>
  <c r="J17" i="4" s="1"/>
  <c r="J16" i="4" a="1"/>
  <c r="J16" i="4" s="1"/>
  <c r="J15" i="4" a="1"/>
  <c r="J15" i="4" s="1"/>
  <c r="J14" i="4" a="1"/>
  <c r="J14" i="4" s="1"/>
  <c r="J13" i="4" a="1"/>
  <c r="J13" i="4" s="1"/>
  <c r="J12" i="4" a="1"/>
  <c r="J12" i="4" s="1"/>
  <c r="J11" i="4" a="1"/>
  <c r="J11" i="4" s="1"/>
  <c r="J10" i="4" a="1"/>
  <c r="J10" i="4" s="1"/>
  <c r="J9" i="4" a="1"/>
  <c r="J9" i="4" s="1"/>
  <c r="J8" i="4" a="1"/>
  <c r="J8" i="4" s="1"/>
  <c r="E8" i="4" a="1"/>
  <c r="E8" i="4" s="1"/>
  <c r="F8" i="4" s="1" a="1"/>
  <c r="F8" i="4" s="1"/>
  <c r="R12329" i="2"/>
  <c r="R12328" i="2"/>
  <c r="R12327" i="2"/>
  <c r="R12326" i="2"/>
  <c r="R12325" i="2"/>
  <c r="R12324" i="2"/>
  <c r="R12323" i="2"/>
  <c r="R12322" i="2"/>
  <c r="R12321" i="2"/>
  <c r="R12320" i="2"/>
  <c r="R12319" i="2"/>
  <c r="R12318" i="2"/>
  <c r="R12317" i="2"/>
  <c r="R12316" i="2"/>
  <c r="R12315" i="2"/>
  <c r="R12314" i="2"/>
  <c r="R12313" i="2"/>
  <c r="R12312" i="2"/>
  <c r="R12311" i="2"/>
  <c r="R12310" i="2"/>
  <c r="R12309" i="2"/>
  <c r="R12308" i="2"/>
  <c r="R12307" i="2"/>
  <c r="R12306" i="2"/>
  <c r="R12305" i="2"/>
  <c r="R12304" i="2"/>
  <c r="R12303" i="2"/>
  <c r="R12302" i="2"/>
  <c r="R12301" i="2"/>
  <c r="R12300" i="2"/>
  <c r="R12299" i="2"/>
  <c r="R12298" i="2"/>
  <c r="R12297" i="2"/>
  <c r="R12296" i="2"/>
  <c r="R12295" i="2"/>
  <c r="R12294" i="2"/>
  <c r="R12293" i="2"/>
  <c r="R12292" i="2"/>
  <c r="R12291" i="2"/>
  <c r="R12290" i="2"/>
  <c r="R12289" i="2"/>
  <c r="R12288" i="2"/>
  <c r="R12287" i="2"/>
  <c r="R12286" i="2"/>
  <c r="R12285" i="2"/>
  <c r="R12284" i="2"/>
  <c r="R12283" i="2"/>
  <c r="R12282" i="2"/>
  <c r="R12281" i="2"/>
  <c r="R12280" i="2"/>
  <c r="R12279" i="2"/>
  <c r="R12278" i="2"/>
  <c r="R12277" i="2"/>
  <c r="R12276" i="2"/>
  <c r="R12275" i="2"/>
  <c r="R12274" i="2"/>
  <c r="R12273" i="2"/>
  <c r="R12272" i="2"/>
  <c r="R12271" i="2"/>
  <c r="R12270" i="2"/>
  <c r="R12269" i="2"/>
  <c r="R12268" i="2"/>
  <c r="R12267" i="2"/>
  <c r="R12266" i="2"/>
  <c r="R12265" i="2"/>
  <c r="R12264" i="2"/>
  <c r="R12263" i="2"/>
  <c r="R12262" i="2"/>
  <c r="R12261" i="2"/>
  <c r="R12260" i="2"/>
  <c r="R12259" i="2"/>
  <c r="R12258" i="2"/>
  <c r="R12257" i="2"/>
  <c r="R12256" i="2"/>
  <c r="R12255" i="2"/>
  <c r="R12254" i="2"/>
  <c r="R12253" i="2"/>
  <c r="R12252" i="2"/>
  <c r="R12251" i="2"/>
  <c r="R12250" i="2"/>
  <c r="R12249" i="2"/>
  <c r="R12248" i="2"/>
  <c r="R12247" i="2"/>
  <c r="R12246" i="2"/>
  <c r="R12245" i="2"/>
  <c r="R12244" i="2"/>
  <c r="R12243" i="2"/>
  <c r="R12242" i="2"/>
  <c r="R12241" i="2"/>
  <c r="R12240" i="2"/>
  <c r="R12239" i="2"/>
  <c r="R12238" i="2"/>
  <c r="R12237" i="2"/>
  <c r="R12236" i="2"/>
  <c r="R12235" i="2"/>
  <c r="R12234" i="2"/>
  <c r="R12233" i="2"/>
  <c r="R12232" i="2"/>
  <c r="R12231" i="2"/>
  <c r="R12230" i="2"/>
  <c r="R12229" i="2"/>
  <c r="R12228" i="2"/>
  <c r="R12227" i="2"/>
  <c r="R12226" i="2"/>
  <c r="R12225" i="2"/>
  <c r="R12224" i="2"/>
  <c r="R12223" i="2"/>
  <c r="R12222" i="2"/>
  <c r="R12221" i="2"/>
  <c r="R12220" i="2"/>
  <c r="R12219" i="2"/>
  <c r="R12218" i="2"/>
  <c r="R12217" i="2"/>
  <c r="R12216" i="2"/>
  <c r="R12215" i="2"/>
  <c r="R12214" i="2"/>
  <c r="R12213" i="2"/>
  <c r="R12212" i="2"/>
  <c r="R12211" i="2"/>
  <c r="R12210" i="2"/>
  <c r="R12209" i="2"/>
  <c r="R12208" i="2"/>
  <c r="R12207" i="2"/>
  <c r="R12206" i="2"/>
  <c r="R12205" i="2"/>
  <c r="R12204" i="2"/>
  <c r="R12203" i="2"/>
  <c r="R12202" i="2"/>
  <c r="R12201" i="2"/>
  <c r="R12200" i="2"/>
  <c r="R12199" i="2"/>
  <c r="R12198" i="2"/>
  <c r="R12197" i="2"/>
  <c r="R12196" i="2"/>
  <c r="R12195" i="2"/>
  <c r="R12194" i="2"/>
  <c r="R12193" i="2"/>
  <c r="R12192" i="2"/>
  <c r="R12191" i="2"/>
  <c r="R12190" i="2"/>
  <c r="R12189" i="2"/>
  <c r="R12188" i="2"/>
  <c r="R12187" i="2"/>
  <c r="R12186" i="2"/>
  <c r="R12185" i="2"/>
  <c r="R12184" i="2"/>
  <c r="R12183" i="2"/>
  <c r="R12182" i="2"/>
  <c r="R12181" i="2"/>
  <c r="R12180" i="2"/>
  <c r="R12179" i="2"/>
  <c r="R12178" i="2"/>
  <c r="R12177" i="2"/>
  <c r="R12176" i="2"/>
  <c r="R12175" i="2"/>
  <c r="R12174" i="2"/>
  <c r="R12173" i="2"/>
  <c r="R12172" i="2"/>
  <c r="R12171" i="2"/>
  <c r="R12170" i="2"/>
  <c r="R12169" i="2"/>
  <c r="R12168" i="2"/>
  <c r="R12167" i="2"/>
  <c r="R12166" i="2"/>
  <c r="R12165" i="2"/>
  <c r="R12164" i="2"/>
  <c r="R12163" i="2"/>
  <c r="R12162" i="2"/>
  <c r="R12161" i="2"/>
  <c r="R12160" i="2"/>
  <c r="R12159" i="2"/>
  <c r="R12158" i="2"/>
  <c r="R12157" i="2"/>
  <c r="R12156" i="2"/>
  <c r="R12155" i="2"/>
  <c r="R12154" i="2"/>
  <c r="R12153" i="2"/>
  <c r="R12152" i="2"/>
  <c r="R12151" i="2"/>
  <c r="R12150" i="2"/>
  <c r="R12149" i="2"/>
  <c r="R12148" i="2"/>
  <c r="R12147" i="2"/>
  <c r="R12146" i="2"/>
  <c r="R12145" i="2"/>
  <c r="R12144" i="2"/>
  <c r="R12143" i="2"/>
  <c r="R12142" i="2"/>
  <c r="R12141" i="2"/>
  <c r="R12140" i="2"/>
  <c r="R12139" i="2"/>
  <c r="R12138" i="2"/>
  <c r="R12137" i="2"/>
  <c r="R12136" i="2"/>
  <c r="R12135" i="2"/>
  <c r="R12134" i="2"/>
  <c r="R12133" i="2"/>
  <c r="R12132" i="2"/>
  <c r="R12131" i="2"/>
  <c r="R12130" i="2"/>
  <c r="R12129" i="2"/>
  <c r="R12128" i="2"/>
  <c r="R12127" i="2"/>
  <c r="R12126" i="2"/>
  <c r="R12125" i="2"/>
  <c r="R12124" i="2"/>
  <c r="R12123" i="2"/>
  <c r="R12122" i="2"/>
  <c r="R12121" i="2"/>
  <c r="R12120" i="2"/>
  <c r="R12119" i="2"/>
  <c r="R12118" i="2"/>
  <c r="R12117" i="2"/>
  <c r="R12116" i="2"/>
  <c r="R12115" i="2"/>
  <c r="R12114" i="2"/>
  <c r="R12113" i="2"/>
  <c r="R12112" i="2"/>
  <c r="R12111" i="2"/>
  <c r="R12110" i="2"/>
  <c r="R12109" i="2"/>
  <c r="R12108" i="2"/>
  <c r="R12107" i="2"/>
  <c r="R12106" i="2"/>
  <c r="R12105" i="2"/>
  <c r="R12104" i="2"/>
  <c r="R12103" i="2"/>
  <c r="R12102" i="2"/>
  <c r="R12101" i="2"/>
  <c r="R12100" i="2"/>
  <c r="R12099" i="2"/>
  <c r="R12098" i="2"/>
  <c r="R12097" i="2"/>
  <c r="R12096" i="2"/>
  <c r="R12095" i="2"/>
  <c r="R12094" i="2"/>
  <c r="R12093" i="2"/>
  <c r="R12092" i="2"/>
  <c r="R12091" i="2"/>
  <c r="R12090" i="2"/>
  <c r="R12089" i="2"/>
  <c r="R12088" i="2"/>
  <c r="R12087" i="2"/>
  <c r="R12086" i="2"/>
  <c r="R12085" i="2"/>
  <c r="R12084" i="2"/>
  <c r="R12083" i="2"/>
  <c r="R12082" i="2"/>
  <c r="R12081" i="2"/>
  <c r="R12080" i="2"/>
  <c r="R12079" i="2"/>
  <c r="R12078" i="2"/>
  <c r="R12077" i="2"/>
  <c r="R12076" i="2"/>
  <c r="R12075" i="2"/>
  <c r="R12074" i="2"/>
  <c r="R12073" i="2"/>
  <c r="R12072" i="2"/>
  <c r="R12071" i="2"/>
  <c r="R12070" i="2"/>
  <c r="R12069" i="2"/>
  <c r="R12068" i="2"/>
  <c r="R12067" i="2"/>
  <c r="R12066" i="2"/>
  <c r="R12065" i="2"/>
  <c r="R12064" i="2"/>
  <c r="R12063" i="2"/>
  <c r="R12062" i="2"/>
  <c r="R12061" i="2"/>
  <c r="R12060" i="2"/>
  <c r="R12059" i="2"/>
  <c r="R12058" i="2"/>
  <c r="R12057" i="2"/>
  <c r="R12056" i="2"/>
  <c r="R12055" i="2"/>
  <c r="R12054" i="2"/>
  <c r="R12053" i="2"/>
  <c r="R12052" i="2"/>
  <c r="R12051" i="2"/>
  <c r="R12050" i="2"/>
  <c r="R12049" i="2"/>
  <c r="R12048" i="2"/>
  <c r="R12047" i="2"/>
  <c r="R12046" i="2"/>
  <c r="R12045" i="2"/>
  <c r="R12044" i="2"/>
  <c r="R12043" i="2"/>
  <c r="R12042" i="2"/>
  <c r="R12041" i="2"/>
  <c r="R12040" i="2"/>
  <c r="R12039" i="2"/>
  <c r="R12038" i="2"/>
  <c r="R12037" i="2"/>
  <c r="R12036" i="2"/>
  <c r="R12035" i="2"/>
  <c r="R12034" i="2"/>
  <c r="R12033" i="2"/>
  <c r="R12032" i="2"/>
  <c r="R12031" i="2"/>
  <c r="R12030" i="2"/>
  <c r="R12029" i="2"/>
  <c r="R12028" i="2"/>
  <c r="R12027" i="2"/>
  <c r="R12026" i="2"/>
  <c r="R12025" i="2"/>
  <c r="R12024" i="2"/>
  <c r="R12023" i="2"/>
  <c r="R12022" i="2"/>
  <c r="R12021" i="2"/>
  <c r="R12020" i="2"/>
  <c r="R12019" i="2"/>
  <c r="R12018" i="2"/>
  <c r="R12017" i="2"/>
  <c r="R12016" i="2"/>
  <c r="R12015" i="2"/>
  <c r="R12014" i="2"/>
  <c r="R12013" i="2"/>
  <c r="R12012" i="2"/>
  <c r="R12011" i="2"/>
  <c r="R12010" i="2"/>
  <c r="R12009" i="2"/>
  <c r="R12008" i="2"/>
  <c r="R12007" i="2"/>
  <c r="R12006" i="2"/>
  <c r="R12005" i="2"/>
  <c r="R12004" i="2"/>
  <c r="R12003" i="2"/>
  <c r="R12002" i="2"/>
  <c r="R12001" i="2"/>
  <c r="R12000" i="2"/>
  <c r="R11999" i="2"/>
  <c r="R11998" i="2"/>
  <c r="R11997" i="2"/>
  <c r="R11996" i="2"/>
  <c r="R11995" i="2"/>
  <c r="R11994" i="2"/>
  <c r="R11993" i="2"/>
  <c r="R11992" i="2"/>
  <c r="R11991" i="2"/>
  <c r="R11990" i="2"/>
  <c r="R11989" i="2"/>
  <c r="R11988" i="2"/>
  <c r="R11987" i="2"/>
  <c r="R11986" i="2"/>
  <c r="R11985" i="2"/>
  <c r="R11984" i="2"/>
  <c r="R11983" i="2"/>
  <c r="R11982" i="2"/>
  <c r="R11981" i="2"/>
  <c r="R11980" i="2"/>
  <c r="R11979" i="2"/>
  <c r="R11978" i="2"/>
  <c r="R11977" i="2"/>
  <c r="R11976" i="2"/>
  <c r="R11975" i="2"/>
  <c r="R11974" i="2"/>
  <c r="R11973" i="2"/>
  <c r="R11972" i="2"/>
  <c r="R11971" i="2"/>
  <c r="R11970" i="2"/>
  <c r="R11969" i="2"/>
  <c r="R11968" i="2"/>
  <c r="R11967" i="2"/>
  <c r="R11966" i="2"/>
  <c r="R11965" i="2"/>
  <c r="R11964" i="2"/>
  <c r="R11963" i="2"/>
  <c r="R11962" i="2"/>
  <c r="R11961" i="2"/>
  <c r="R11960" i="2"/>
  <c r="R11959" i="2"/>
  <c r="R11958" i="2"/>
  <c r="R11957" i="2"/>
  <c r="R11956" i="2"/>
  <c r="R11955" i="2"/>
  <c r="R11954" i="2"/>
  <c r="R11953" i="2"/>
  <c r="R11952" i="2"/>
  <c r="R11951" i="2"/>
  <c r="R11950" i="2"/>
  <c r="R11949" i="2"/>
  <c r="R11948" i="2"/>
  <c r="R11947" i="2"/>
  <c r="R11946" i="2"/>
  <c r="R11945" i="2"/>
  <c r="R11944" i="2"/>
  <c r="R11943" i="2"/>
  <c r="R11942" i="2"/>
  <c r="R11941" i="2"/>
  <c r="R11940" i="2"/>
  <c r="R11939" i="2"/>
  <c r="R11938" i="2"/>
  <c r="R11937" i="2"/>
  <c r="R11936" i="2"/>
  <c r="R11935" i="2"/>
  <c r="R11934" i="2"/>
  <c r="R11933" i="2"/>
  <c r="R11932" i="2"/>
  <c r="R11931" i="2"/>
  <c r="R11930" i="2"/>
  <c r="R11929" i="2"/>
  <c r="R11928" i="2"/>
  <c r="R11927" i="2"/>
  <c r="R11926" i="2"/>
  <c r="R11925" i="2"/>
  <c r="R11924" i="2"/>
  <c r="R11923" i="2"/>
  <c r="R11922" i="2"/>
  <c r="R11921" i="2"/>
  <c r="R11920" i="2"/>
  <c r="R11919" i="2"/>
  <c r="R11918" i="2"/>
  <c r="R11917" i="2"/>
  <c r="R11916" i="2"/>
  <c r="R11915" i="2"/>
  <c r="R11914" i="2"/>
  <c r="R11913" i="2"/>
  <c r="R11912" i="2"/>
  <c r="R11911" i="2"/>
  <c r="R11910" i="2"/>
  <c r="R11909" i="2"/>
  <c r="R11908" i="2"/>
  <c r="R11907" i="2"/>
  <c r="R11906" i="2"/>
  <c r="R11905" i="2"/>
  <c r="R11904" i="2"/>
  <c r="R11903" i="2"/>
  <c r="R11902" i="2"/>
  <c r="R11901" i="2"/>
  <c r="R11900" i="2"/>
  <c r="R11899" i="2"/>
  <c r="R11898" i="2"/>
  <c r="R11897" i="2"/>
  <c r="R11896" i="2"/>
  <c r="R11895" i="2"/>
  <c r="R11894" i="2"/>
  <c r="R11893" i="2"/>
  <c r="R11892" i="2"/>
  <c r="R11891" i="2"/>
  <c r="R11890" i="2"/>
  <c r="R11889" i="2"/>
  <c r="R11888" i="2"/>
  <c r="R11887" i="2"/>
  <c r="R11886" i="2"/>
  <c r="R11885" i="2"/>
  <c r="R11884" i="2"/>
  <c r="R11883" i="2"/>
  <c r="R11882" i="2"/>
  <c r="R11881" i="2"/>
  <c r="R11880" i="2"/>
  <c r="R11879" i="2"/>
  <c r="R11878" i="2"/>
  <c r="R11877" i="2"/>
  <c r="R11876" i="2"/>
  <c r="R11875" i="2"/>
  <c r="R11874" i="2"/>
  <c r="R11873" i="2"/>
  <c r="R11872" i="2"/>
  <c r="R11871" i="2"/>
  <c r="R11870" i="2"/>
  <c r="R11869" i="2"/>
  <c r="R11868" i="2"/>
  <c r="R11867" i="2"/>
  <c r="R11866" i="2"/>
  <c r="R11865" i="2"/>
  <c r="R11864" i="2"/>
  <c r="R11863" i="2"/>
  <c r="R11862" i="2"/>
  <c r="R11861" i="2"/>
  <c r="R11860" i="2"/>
  <c r="R11859" i="2"/>
  <c r="R11858" i="2"/>
  <c r="R11857" i="2"/>
  <c r="R11856" i="2"/>
  <c r="R11855" i="2"/>
  <c r="R11854" i="2"/>
  <c r="R11853" i="2"/>
  <c r="R11852" i="2"/>
  <c r="R11851" i="2"/>
  <c r="R11850" i="2"/>
  <c r="R11849" i="2"/>
  <c r="R11848" i="2"/>
  <c r="R11847" i="2"/>
  <c r="R11846" i="2"/>
  <c r="R11845" i="2"/>
  <c r="R11844" i="2"/>
  <c r="R11843" i="2"/>
  <c r="R11842" i="2"/>
  <c r="R11841" i="2"/>
  <c r="R11840" i="2"/>
  <c r="R11839" i="2"/>
  <c r="R11838" i="2"/>
  <c r="R11837" i="2"/>
  <c r="R11836" i="2"/>
  <c r="R11835" i="2"/>
  <c r="R11834" i="2"/>
  <c r="R11833" i="2"/>
  <c r="R11832" i="2"/>
  <c r="R11831" i="2"/>
  <c r="R11830" i="2"/>
  <c r="R11829" i="2"/>
  <c r="R11828" i="2"/>
  <c r="R11827" i="2"/>
  <c r="R11826" i="2"/>
  <c r="R11825" i="2"/>
  <c r="R11824" i="2"/>
  <c r="R11823" i="2"/>
  <c r="R11822" i="2"/>
  <c r="R11821" i="2"/>
  <c r="R11820" i="2"/>
  <c r="R11819" i="2"/>
  <c r="R11818" i="2"/>
  <c r="R11817" i="2"/>
  <c r="R11816" i="2"/>
  <c r="R11815" i="2"/>
  <c r="R11814" i="2"/>
  <c r="R11813" i="2"/>
  <c r="R11812" i="2"/>
  <c r="R11811" i="2"/>
  <c r="R11810" i="2"/>
  <c r="R11809" i="2"/>
  <c r="R11808" i="2"/>
  <c r="R11807" i="2"/>
  <c r="R11806" i="2"/>
  <c r="R11805" i="2"/>
  <c r="R11804" i="2"/>
  <c r="R11803" i="2"/>
  <c r="R11802" i="2"/>
  <c r="R11801" i="2"/>
  <c r="R11800" i="2"/>
  <c r="R11799" i="2"/>
  <c r="R11798" i="2"/>
  <c r="R11797" i="2"/>
  <c r="R11796" i="2"/>
  <c r="R11795" i="2"/>
  <c r="R11794" i="2"/>
  <c r="R11793" i="2"/>
  <c r="R11792" i="2"/>
  <c r="R11791" i="2"/>
  <c r="R11790" i="2"/>
  <c r="R11789" i="2"/>
  <c r="R11788" i="2"/>
  <c r="R11787" i="2"/>
  <c r="R11786" i="2"/>
  <c r="R11785" i="2"/>
  <c r="R11784" i="2"/>
  <c r="R11783" i="2"/>
  <c r="R11782" i="2"/>
  <c r="R11781" i="2"/>
  <c r="R11780" i="2"/>
  <c r="R11779" i="2"/>
  <c r="R11778" i="2"/>
  <c r="R11777" i="2"/>
  <c r="R11776" i="2"/>
  <c r="R11775" i="2"/>
  <c r="R11774" i="2"/>
  <c r="R11773" i="2"/>
  <c r="R11772" i="2"/>
  <c r="R11771" i="2"/>
  <c r="R11770" i="2"/>
  <c r="R11769" i="2"/>
  <c r="R11768" i="2"/>
  <c r="R11767" i="2"/>
  <c r="R11766" i="2"/>
  <c r="R11765" i="2"/>
  <c r="R11764" i="2"/>
  <c r="R11763" i="2"/>
  <c r="R11762" i="2"/>
  <c r="R11761" i="2"/>
  <c r="R11760" i="2"/>
  <c r="R11759" i="2"/>
  <c r="R11758" i="2"/>
  <c r="R11757" i="2"/>
  <c r="R11756" i="2"/>
  <c r="R11755" i="2"/>
  <c r="R11754" i="2"/>
  <c r="R11753" i="2"/>
  <c r="R11752" i="2"/>
  <c r="R11751" i="2"/>
  <c r="R11750" i="2"/>
  <c r="R11749" i="2"/>
  <c r="R11748" i="2"/>
  <c r="R11747" i="2"/>
  <c r="R11746" i="2"/>
  <c r="R11745" i="2"/>
  <c r="R11744" i="2"/>
  <c r="R11743" i="2"/>
  <c r="R11742" i="2"/>
  <c r="R11741" i="2"/>
  <c r="R11740" i="2"/>
  <c r="R11739" i="2"/>
  <c r="R11738" i="2"/>
  <c r="R11737" i="2"/>
  <c r="R11736" i="2"/>
  <c r="R11735" i="2"/>
  <c r="R11734" i="2"/>
  <c r="R11733" i="2"/>
  <c r="R11732" i="2"/>
  <c r="R11731" i="2"/>
  <c r="R11730" i="2"/>
  <c r="R11729" i="2"/>
  <c r="R11728" i="2"/>
  <c r="R11727" i="2"/>
  <c r="R11726" i="2"/>
  <c r="R11725" i="2"/>
  <c r="R11724" i="2"/>
  <c r="R11723" i="2"/>
  <c r="R11722" i="2"/>
  <c r="R11721" i="2"/>
  <c r="R11720" i="2"/>
  <c r="R11719" i="2"/>
  <c r="R11718" i="2"/>
  <c r="R11717" i="2"/>
  <c r="R11716" i="2"/>
  <c r="R11715" i="2"/>
  <c r="R11714" i="2"/>
  <c r="R11713" i="2"/>
  <c r="R11712" i="2"/>
  <c r="R11711" i="2"/>
  <c r="R11710" i="2"/>
  <c r="R11709" i="2"/>
  <c r="R11708" i="2"/>
  <c r="R11707" i="2"/>
  <c r="R11706" i="2"/>
  <c r="R11705" i="2"/>
  <c r="R11704" i="2"/>
  <c r="R11703" i="2"/>
  <c r="R11702" i="2"/>
  <c r="R11701" i="2"/>
  <c r="R11700" i="2"/>
  <c r="R11699" i="2"/>
  <c r="R11698" i="2"/>
  <c r="R11697" i="2"/>
  <c r="R11696" i="2"/>
  <c r="R11695" i="2"/>
  <c r="R11694" i="2"/>
  <c r="R11693" i="2"/>
  <c r="R11692" i="2"/>
  <c r="R11691" i="2"/>
  <c r="R11690" i="2"/>
  <c r="R11689" i="2"/>
  <c r="R11688" i="2"/>
  <c r="R11687" i="2"/>
  <c r="R11686" i="2"/>
  <c r="R11685" i="2"/>
  <c r="R11684" i="2"/>
  <c r="R11683" i="2"/>
  <c r="R11682" i="2"/>
  <c r="R11681" i="2"/>
  <c r="R11680" i="2"/>
  <c r="R11679" i="2"/>
  <c r="R11678" i="2"/>
  <c r="R11677" i="2"/>
  <c r="R11676" i="2"/>
  <c r="R11675" i="2"/>
  <c r="R11674" i="2"/>
  <c r="R11673" i="2"/>
  <c r="R11672" i="2"/>
  <c r="R11671" i="2"/>
  <c r="R11670" i="2"/>
  <c r="R11669" i="2"/>
  <c r="R11668" i="2"/>
  <c r="R11667" i="2"/>
  <c r="R11666" i="2"/>
  <c r="R11665" i="2"/>
  <c r="R11664" i="2"/>
  <c r="R11663" i="2"/>
  <c r="R11662" i="2"/>
  <c r="R11661" i="2"/>
  <c r="R11660" i="2"/>
  <c r="R11659" i="2"/>
  <c r="R11658" i="2"/>
  <c r="R11657" i="2"/>
  <c r="R11656" i="2"/>
  <c r="R11655" i="2"/>
  <c r="R11654" i="2"/>
  <c r="R11653" i="2"/>
  <c r="R11652" i="2"/>
  <c r="R11651" i="2"/>
  <c r="R11650" i="2"/>
  <c r="R11649" i="2"/>
  <c r="R11648" i="2"/>
  <c r="R11647" i="2"/>
  <c r="R11646" i="2"/>
  <c r="R11645" i="2"/>
  <c r="R11644" i="2"/>
  <c r="R11643" i="2"/>
  <c r="R11642" i="2"/>
  <c r="R11641" i="2"/>
  <c r="R11640" i="2"/>
  <c r="R11639" i="2"/>
  <c r="R11638" i="2"/>
  <c r="R11637" i="2"/>
  <c r="R11636" i="2"/>
  <c r="R11635" i="2"/>
  <c r="R11634" i="2"/>
  <c r="R11633" i="2"/>
  <c r="R11632" i="2"/>
  <c r="R11631" i="2"/>
  <c r="R11630" i="2"/>
  <c r="R11629" i="2"/>
  <c r="R11628" i="2"/>
  <c r="R11627" i="2"/>
  <c r="R11626" i="2"/>
  <c r="R11625" i="2"/>
  <c r="R11624" i="2"/>
  <c r="R11623" i="2"/>
  <c r="R11622" i="2"/>
  <c r="R11621" i="2"/>
  <c r="R11620" i="2"/>
  <c r="R11619" i="2"/>
  <c r="R11618" i="2"/>
  <c r="R11617" i="2"/>
  <c r="R11616" i="2"/>
  <c r="R11615" i="2"/>
  <c r="R11614" i="2"/>
  <c r="R11613" i="2"/>
  <c r="R11612" i="2"/>
  <c r="R11611" i="2"/>
  <c r="R11610" i="2"/>
  <c r="R11609" i="2"/>
  <c r="R11608" i="2"/>
  <c r="R11607" i="2"/>
  <c r="R11606" i="2"/>
  <c r="R11605" i="2"/>
  <c r="R11604" i="2"/>
  <c r="R11603" i="2"/>
  <c r="R11602" i="2"/>
  <c r="R11601" i="2"/>
  <c r="R11600" i="2"/>
  <c r="R11599" i="2"/>
  <c r="R11598" i="2"/>
  <c r="R11597" i="2"/>
  <c r="R11596" i="2"/>
  <c r="R11595" i="2"/>
  <c r="R11594" i="2"/>
  <c r="R11593" i="2"/>
  <c r="R11592" i="2"/>
  <c r="R11591" i="2"/>
  <c r="R11590" i="2"/>
  <c r="R11589" i="2"/>
  <c r="R11588" i="2"/>
  <c r="R11587" i="2"/>
  <c r="R11586" i="2"/>
  <c r="R11585" i="2"/>
  <c r="R11584" i="2"/>
  <c r="R11583" i="2"/>
  <c r="R11582" i="2"/>
  <c r="R11581" i="2"/>
  <c r="R11580" i="2"/>
  <c r="R11579" i="2"/>
  <c r="R11578" i="2"/>
  <c r="R11577" i="2"/>
  <c r="R11576" i="2"/>
  <c r="R11575" i="2"/>
  <c r="R11574" i="2"/>
  <c r="R11573" i="2"/>
  <c r="R11572" i="2"/>
  <c r="R11571" i="2"/>
  <c r="R11570" i="2"/>
  <c r="R11569" i="2"/>
  <c r="R11568" i="2"/>
  <c r="R11567" i="2"/>
  <c r="R11566" i="2"/>
  <c r="R11565" i="2"/>
  <c r="R11564" i="2"/>
  <c r="R11563" i="2"/>
  <c r="R11562" i="2"/>
  <c r="R11561" i="2"/>
  <c r="R11560" i="2"/>
  <c r="R11559" i="2"/>
  <c r="R11558" i="2"/>
  <c r="R11557" i="2"/>
  <c r="R11556" i="2"/>
  <c r="R11555" i="2"/>
  <c r="R11554" i="2"/>
  <c r="R11553" i="2"/>
  <c r="R11552" i="2"/>
  <c r="R11551" i="2"/>
  <c r="R11550" i="2"/>
  <c r="R11549" i="2"/>
  <c r="R11548" i="2"/>
  <c r="R11547" i="2"/>
  <c r="R11546" i="2"/>
  <c r="R11545" i="2"/>
  <c r="R11544" i="2"/>
  <c r="R11543" i="2"/>
  <c r="R11542" i="2"/>
  <c r="R11541" i="2"/>
  <c r="R11540" i="2"/>
  <c r="R11539" i="2"/>
  <c r="R11538" i="2"/>
  <c r="R11537" i="2"/>
  <c r="R11536" i="2"/>
  <c r="R11535" i="2"/>
  <c r="R11534" i="2"/>
  <c r="R11533" i="2"/>
  <c r="R11532" i="2"/>
  <c r="R11531" i="2"/>
  <c r="R11530" i="2"/>
  <c r="R11529" i="2"/>
  <c r="R11528" i="2"/>
  <c r="R11527" i="2"/>
  <c r="R11526" i="2"/>
  <c r="R11525" i="2"/>
  <c r="R11524" i="2"/>
  <c r="R11523" i="2"/>
  <c r="R11522" i="2"/>
  <c r="R11521" i="2"/>
  <c r="R11520" i="2"/>
  <c r="R11519" i="2"/>
  <c r="R11518" i="2"/>
  <c r="R11517" i="2"/>
  <c r="R11516" i="2"/>
  <c r="R11515" i="2"/>
  <c r="R11514" i="2"/>
  <c r="R11513" i="2"/>
  <c r="R11512" i="2"/>
  <c r="R11511" i="2"/>
  <c r="R11510" i="2"/>
  <c r="R11509" i="2"/>
  <c r="R11508" i="2"/>
  <c r="R11507" i="2"/>
  <c r="R11506" i="2"/>
  <c r="R11505" i="2"/>
  <c r="R11504" i="2"/>
  <c r="R11503" i="2"/>
  <c r="R11502" i="2"/>
  <c r="R11501" i="2"/>
  <c r="R11500" i="2"/>
  <c r="R11499" i="2"/>
  <c r="R11498" i="2"/>
  <c r="R11497" i="2"/>
  <c r="R11496" i="2"/>
  <c r="R11495" i="2"/>
  <c r="R11494" i="2"/>
  <c r="R11493" i="2"/>
  <c r="R11492" i="2"/>
  <c r="R11491" i="2"/>
  <c r="R11490" i="2"/>
  <c r="R11489" i="2"/>
  <c r="R11488" i="2"/>
  <c r="R11487" i="2"/>
  <c r="R11486" i="2"/>
  <c r="R11485" i="2"/>
  <c r="R11484" i="2"/>
  <c r="R11483" i="2"/>
  <c r="R11482" i="2"/>
  <c r="R11481" i="2"/>
  <c r="R11480" i="2"/>
  <c r="R11479" i="2"/>
  <c r="R11478" i="2"/>
  <c r="R11477" i="2"/>
  <c r="R11476" i="2"/>
  <c r="R11475" i="2"/>
  <c r="R11474" i="2"/>
  <c r="R11473" i="2"/>
  <c r="R11472" i="2"/>
  <c r="R11471" i="2"/>
  <c r="R11470" i="2"/>
  <c r="R11469" i="2"/>
  <c r="R11468" i="2"/>
  <c r="R11467" i="2"/>
  <c r="R11466" i="2"/>
  <c r="R11465" i="2"/>
  <c r="R11464" i="2"/>
  <c r="R11463" i="2"/>
  <c r="R11462" i="2"/>
  <c r="R11461" i="2"/>
  <c r="R11460" i="2"/>
  <c r="R11459" i="2"/>
  <c r="R11458" i="2"/>
  <c r="R11457" i="2"/>
  <c r="R11456" i="2"/>
  <c r="R11455" i="2"/>
  <c r="R11454" i="2"/>
  <c r="R11453" i="2"/>
  <c r="R11452" i="2"/>
  <c r="R11451" i="2"/>
  <c r="R11450" i="2"/>
  <c r="R11449" i="2"/>
  <c r="R11448" i="2"/>
  <c r="R11447" i="2"/>
  <c r="R11446" i="2"/>
  <c r="R11445" i="2"/>
  <c r="R11444" i="2"/>
  <c r="R11443" i="2"/>
  <c r="R11442" i="2"/>
  <c r="R11441" i="2"/>
  <c r="R11440" i="2"/>
  <c r="R11439" i="2"/>
  <c r="R11438" i="2"/>
  <c r="R11437" i="2"/>
  <c r="R11436" i="2"/>
  <c r="R11435" i="2"/>
  <c r="R11434" i="2"/>
  <c r="R11433" i="2"/>
  <c r="R11432" i="2"/>
  <c r="R11431" i="2"/>
  <c r="R11430" i="2"/>
  <c r="R11429" i="2"/>
  <c r="R11428" i="2"/>
  <c r="R11427" i="2"/>
  <c r="R11426" i="2"/>
  <c r="R11425" i="2"/>
  <c r="R11424" i="2"/>
  <c r="R11423" i="2"/>
  <c r="R11422" i="2"/>
  <c r="R11421" i="2"/>
  <c r="R11420" i="2"/>
  <c r="R11419" i="2"/>
  <c r="R11418" i="2"/>
  <c r="R11417" i="2"/>
  <c r="R11416" i="2"/>
  <c r="R11415" i="2"/>
  <c r="R11414" i="2"/>
  <c r="R11413" i="2"/>
  <c r="R11412" i="2"/>
  <c r="R11411" i="2"/>
  <c r="R11410" i="2"/>
  <c r="R11409" i="2"/>
  <c r="R11408" i="2"/>
  <c r="R11407" i="2"/>
  <c r="R11406" i="2"/>
  <c r="R11405" i="2"/>
  <c r="R11404" i="2"/>
  <c r="R11403" i="2"/>
  <c r="R11402" i="2"/>
  <c r="R11401" i="2"/>
  <c r="R11400" i="2"/>
  <c r="R11399" i="2"/>
  <c r="R11398" i="2"/>
  <c r="R11397" i="2"/>
  <c r="R11396" i="2"/>
  <c r="R11395" i="2"/>
  <c r="R11394" i="2"/>
  <c r="R11393" i="2"/>
  <c r="R11392" i="2"/>
  <c r="R11391" i="2"/>
  <c r="R11390" i="2"/>
  <c r="R11389" i="2"/>
  <c r="R11388" i="2"/>
  <c r="R11387" i="2"/>
  <c r="R11386" i="2"/>
  <c r="R11385" i="2"/>
  <c r="R11384" i="2"/>
  <c r="R11383" i="2"/>
  <c r="R11382" i="2"/>
  <c r="R11381" i="2"/>
  <c r="R11380" i="2"/>
  <c r="R11379" i="2"/>
  <c r="R11378" i="2"/>
  <c r="R11377" i="2"/>
  <c r="R11376" i="2"/>
  <c r="R11375" i="2"/>
  <c r="R11374" i="2"/>
  <c r="R11373" i="2"/>
  <c r="R11372" i="2"/>
  <c r="R11371" i="2"/>
  <c r="R11370" i="2"/>
  <c r="R11369" i="2"/>
  <c r="R11368" i="2"/>
  <c r="R11367" i="2"/>
  <c r="R11366" i="2"/>
  <c r="R11365" i="2"/>
  <c r="R11364" i="2"/>
  <c r="R11363" i="2"/>
  <c r="R11362" i="2"/>
  <c r="R11361" i="2"/>
  <c r="R11360" i="2"/>
  <c r="R11359" i="2"/>
  <c r="R11358" i="2"/>
  <c r="R11357" i="2"/>
  <c r="R11356" i="2"/>
  <c r="R11355" i="2"/>
  <c r="R11354" i="2"/>
  <c r="R11353" i="2"/>
  <c r="R11352" i="2"/>
  <c r="R11351" i="2"/>
  <c r="R11350" i="2"/>
  <c r="R11349" i="2"/>
  <c r="R11348" i="2"/>
  <c r="R11347" i="2"/>
  <c r="R11346" i="2"/>
  <c r="R11345" i="2"/>
  <c r="R11344" i="2"/>
  <c r="R11343" i="2"/>
  <c r="R11342" i="2"/>
  <c r="R11341" i="2"/>
  <c r="R11340" i="2"/>
  <c r="R11339" i="2"/>
  <c r="R11338" i="2"/>
  <c r="R11337" i="2"/>
  <c r="R11336" i="2"/>
  <c r="R11335" i="2"/>
  <c r="R11334" i="2"/>
  <c r="R11333" i="2"/>
  <c r="R11332" i="2"/>
  <c r="R11331" i="2"/>
  <c r="R11330" i="2"/>
  <c r="R11329" i="2"/>
  <c r="R11328" i="2"/>
  <c r="R11327" i="2"/>
  <c r="R11326" i="2"/>
  <c r="R11325" i="2"/>
  <c r="R11324" i="2"/>
  <c r="R11323" i="2"/>
  <c r="R11322" i="2"/>
  <c r="R11321" i="2"/>
  <c r="R11320" i="2"/>
  <c r="R11319" i="2"/>
  <c r="R11318" i="2"/>
  <c r="R11317" i="2"/>
  <c r="R11316" i="2"/>
  <c r="R11315" i="2"/>
  <c r="R11314" i="2"/>
  <c r="R11313" i="2"/>
  <c r="R11312" i="2"/>
  <c r="R11311" i="2"/>
  <c r="R11310" i="2"/>
  <c r="R11309" i="2"/>
  <c r="R11308" i="2"/>
  <c r="R11307" i="2"/>
  <c r="R11306" i="2"/>
  <c r="R11305" i="2"/>
  <c r="R11304" i="2"/>
  <c r="R11303" i="2"/>
  <c r="R11302" i="2"/>
  <c r="R11301" i="2"/>
  <c r="R11300" i="2"/>
  <c r="R11299" i="2"/>
  <c r="R11298" i="2"/>
  <c r="R11297" i="2"/>
  <c r="R11296" i="2"/>
  <c r="R11295" i="2"/>
  <c r="R11294" i="2"/>
  <c r="R11293" i="2"/>
  <c r="R11292" i="2"/>
  <c r="R11291" i="2"/>
  <c r="R11290" i="2"/>
  <c r="R11289" i="2"/>
  <c r="R11288" i="2"/>
  <c r="R11287" i="2"/>
  <c r="R11286" i="2"/>
  <c r="R11285" i="2"/>
  <c r="R11284" i="2"/>
  <c r="R11283" i="2"/>
  <c r="R11282" i="2"/>
  <c r="R11281" i="2"/>
  <c r="R11280" i="2"/>
  <c r="R11279" i="2"/>
  <c r="R11278" i="2"/>
  <c r="R11277" i="2"/>
  <c r="R11276" i="2"/>
  <c r="R11275" i="2"/>
  <c r="R11274" i="2"/>
  <c r="R11273" i="2"/>
  <c r="R11272" i="2"/>
  <c r="R11271" i="2"/>
  <c r="R11270" i="2"/>
  <c r="R11269" i="2"/>
  <c r="R11268" i="2"/>
  <c r="R11267" i="2"/>
  <c r="R11266" i="2"/>
  <c r="R11265" i="2"/>
  <c r="R11264" i="2"/>
  <c r="R11263" i="2"/>
  <c r="R11262" i="2"/>
  <c r="R11261" i="2"/>
  <c r="R11260" i="2"/>
  <c r="R11259" i="2"/>
  <c r="R11258" i="2"/>
  <c r="R11257" i="2"/>
  <c r="R11256" i="2"/>
  <c r="R11255" i="2"/>
  <c r="R11254" i="2"/>
  <c r="R11253" i="2"/>
  <c r="R11252" i="2"/>
  <c r="R11251" i="2"/>
  <c r="R11250" i="2"/>
  <c r="R11249" i="2"/>
  <c r="R11248" i="2"/>
  <c r="R11247" i="2"/>
  <c r="R11246" i="2"/>
  <c r="R11245" i="2"/>
  <c r="R11244" i="2"/>
  <c r="R11243" i="2"/>
  <c r="R11242" i="2"/>
  <c r="R11241" i="2"/>
  <c r="R11240" i="2"/>
  <c r="R11239" i="2"/>
  <c r="R11238" i="2"/>
  <c r="R11237" i="2"/>
  <c r="R11236" i="2"/>
  <c r="R11235" i="2"/>
  <c r="R11234" i="2"/>
  <c r="R11233" i="2"/>
  <c r="R11232" i="2"/>
  <c r="R11231" i="2"/>
  <c r="R11230" i="2"/>
  <c r="R11229" i="2"/>
  <c r="R11228" i="2"/>
  <c r="R11227" i="2"/>
  <c r="R11226" i="2"/>
  <c r="R11225" i="2"/>
  <c r="R11224" i="2"/>
  <c r="R11223" i="2"/>
  <c r="R11222" i="2"/>
  <c r="R11221" i="2"/>
  <c r="R11220" i="2"/>
  <c r="R11219" i="2"/>
  <c r="R11218" i="2"/>
  <c r="R11217" i="2"/>
  <c r="R11216" i="2"/>
  <c r="R11215" i="2"/>
  <c r="R11214" i="2"/>
  <c r="R11213" i="2"/>
  <c r="R11212" i="2"/>
  <c r="R11211" i="2"/>
  <c r="R11210" i="2"/>
  <c r="R11209" i="2"/>
  <c r="R11208" i="2"/>
  <c r="R11207" i="2"/>
  <c r="R11206" i="2"/>
  <c r="R11205" i="2"/>
  <c r="R11204" i="2"/>
  <c r="R11203" i="2"/>
  <c r="R11202" i="2"/>
  <c r="R11201" i="2"/>
  <c r="R11200" i="2"/>
  <c r="R11199" i="2"/>
  <c r="R11198" i="2"/>
  <c r="R11197" i="2"/>
  <c r="R11196" i="2"/>
  <c r="R11195" i="2"/>
  <c r="R11194" i="2"/>
  <c r="R11193" i="2"/>
  <c r="R11192" i="2"/>
  <c r="R11191" i="2"/>
  <c r="R11190" i="2"/>
  <c r="R11189" i="2"/>
  <c r="R11188" i="2"/>
  <c r="R11187" i="2"/>
  <c r="R11186" i="2"/>
  <c r="R11185" i="2"/>
  <c r="R11184" i="2"/>
  <c r="R11183" i="2"/>
  <c r="R11182" i="2"/>
  <c r="R11181" i="2"/>
  <c r="R11180" i="2"/>
  <c r="R11179" i="2"/>
  <c r="R11178" i="2"/>
  <c r="R11177" i="2"/>
  <c r="R11176" i="2"/>
  <c r="R11175" i="2"/>
  <c r="R11174" i="2"/>
  <c r="R11173" i="2"/>
  <c r="R11172" i="2"/>
  <c r="R11171" i="2"/>
  <c r="R11170" i="2"/>
  <c r="R11169" i="2"/>
  <c r="R11168" i="2"/>
  <c r="R11167" i="2"/>
  <c r="R11166" i="2"/>
  <c r="R11165" i="2"/>
  <c r="R11164" i="2"/>
  <c r="R11163" i="2"/>
  <c r="R11162" i="2"/>
  <c r="R11161" i="2"/>
  <c r="R11160" i="2"/>
  <c r="R11159" i="2"/>
  <c r="R11158" i="2"/>
  <c r="R11157" i="2"/>
  <c r="R11156" i="2"/>
  <c r="R11155" i="2"/>
  <c r="R11154" i="2"/>
  <c r="R11153" i="2"/>
  <c r="R11152" i="2"/>
  <c r="R11151" i="2"/>
  <c r="R11150" i="2"/>
  <c r="R11149" i="2"/>
  <c r="R11148" i="2"/>
  <c r="R11147" i="2"/>
  <c r="R11146" i="2"/>
  <c r="R11145" i="2"/>
  <c r="R11144" i="2"/>
  <c r="R11143" i="2"/>
  <c r="R11142" i="2"/>
  <c r="R11141" i="2"/>
  <c r="R11140" i="2"/>
  <c r="R11139" i="2"/>
  <c r="R11138" i="2"/>
  <c r="R11137" i="2"/>
  <c r="R11136" i="2"/>
  <c r="R11135" i="2"/>
  <c r="R11134" i="2"/>
  <c r="R11133" i="2"/>
  <c r="R11132" i="2"/>
  <c r="R11131" i="2"/>
  <c r="R11130" i="2"/>
  <c r="R11129" i="2"/>
  <c r="R11128" i="2"/>
  <c r="R11127" i="2"/>
  <c r="R11126" i="2"/>
  <c r="R11125" i="2"/>
  <c r="R11124" i="2"/>
  <c r="R11123" i="2"/>
  <c r="R11122" i="2"/>
  <c r="R11121" i="2"/>
  <c r="R11120" i="2"/>
  <c r="R11119" i="2"/>
  <c r="R11118" i="2"/>
  <c r="R11117" i="2"/>
  <c r="R11116" i="2"/>
  <c r="R11115" i="2"/>
  <c r="R11114" i="2"/>
  <c r="R11113" i="2"/>
  <c r="R11112" i="2"/>
  <c r="R11111" i="2"/>
  <c r="R11110" i="2"/>
  <c r="R11109" i="2"/>
  <c r="R11108" i="2"/>
  <c r="R11107" i="2"/>
  <c r="R11106" i="2"/>
  <c r="R11105" i="2"/>
  <c r="R11104" i="2"/>
  <c r="R11103" i="2"/>
  <c r="R11102" i="2"/>
  <c r="R11101" i="2"/>
  <c r="R11100" i="2"/>
  <c r="R11099" i="2"/>
  <c r="R11098" i="2"/>
  <c r="R11097" i="2"/>
  <c r="R11096" i="2"/>
  <c r="R11095" i="2"/>
  <c r="R11094" i="2"/>
  <c r="R11093" i="2"/>
  <c r="R11092" i="2"/>
  <c r="R11091" i="2"/>
  <c r="R11090" i="2"/>
  <c r="R11089" i="2"/>
  <c r="R11088" i="2"/>
  <c r="R11087" i="2"/>
  <c r="R11086" i="2"/>
  <c r="R11085" i="2"/>
  <c r="R11084" i="2"/>
  <c r="R11083" i="2"/>
  <c r="R11082" i="2"/>
  <c r="R11081" i="2"/>
  <c r="R11080" i="2"/>
  <c r="R11079" i="2"/>
  <c r="R11078" i="2"/>
  <c r="R11077" i="2"/>
  <c r="R11076" i="2"/>
  <c r="R11075" i="2"/>
  <c r="R11074" i="2"/>
  <c r="R11073" i="2"/>
  <c r="R11072" i="2"/>
  <c r="R11071" i="2"/>
  <c r="R11070" i="2"/>
  <c r="R11069" i="2"/>
  <c r="R11068" i="2"/>
  <c r="R11067" i="2"/>
  <c r="R11066" i="2"/>
  <c r="R11065" i="2"/>
  <c r="R11064" i="2"/>
  <c r="R11063" i="2"/>
  <c r="R11062" i="2"/>
  <c r="R11061" i="2"/>
  <c r="R11060" i="2"/>
  <c r="R11059" i="2"/>
  <c r="R11058" i="2"/>
  <c r="R11057" i="2"/>
  <c r="R11056" i="2"/>
  <c r="R11055" i="2"/>
  <c r="R11054" i="2"/>
  <c r="R11053" i="2"/>
  <c r="R11052" i="2"/>
  <c r="R11051" i="2"/>
  <c r="R11050" i="2"/>
  <c r="R11049" i="2"/>
  <c r="R11048" i="2"/>
  <c r="R11047" i="2"/>
  <c r="R11046" i="2"/>
  <c r="R11045" i="2"/>
  <c r="R11044" i="2"/>
  <c r="R11043" i="2"/>
  <c r="R11042" i="2"/>
  <c r="R11041" i="2"/>
  <c r="R11040" i="2"/>
  <c r="R11039" i="2"/>
  <c r="R11038" i="2"/>
  <c r="R11037" i="2"/>
  <c r="R11036" i="2"/>
  <c r="R11035" i="2"/>
  <c r="R11034" i="2"/>
  <c r="R11033" i="2"/>
  <c r="R11032" i="2"/>
  <c r="R11031" i="2"/>
  <c r="R11030" i="2"/>
  <c r="R11029" i="2"/>
  <c r="R11028" i="2"/>
  <c r="R11027" i="2"/>
  <c r="R11026" i="2"/>
  <c r="R11025" i="2"/>
  <c r="R11024" i="2"/>
  <c r="R11023" i="2"/>
  <c r="R11022" i="2"/>
  <c r="R11021" i="2"/>
  <c r="R11020" i="2"/>
  <c r="R11019" i="2"/>
  <c r="R11018" i="2"/>
  <c r="R11017" i="2"/>
  <c r="R11016" i="2"/>
  <c r="R11015" i="2"/>
  <c r="R11014" i="2"/>
  <c r="R11013" i="2"/>
  <c r="R11012" i="2"/>
  <c r="R11011" i="2"/>
  <c r="R11010" i="2"/>
  <c r="R11009" i="2"/>
  <c r="R11008" i="2"/>
  <c r="R11007" i="2"/>
  <c r="R11006" i="2"/>
  <c r="R11005" i="2"/>
  <c r="R11004" i="2"/>
  <c r="R11003" i="2"/>
  <c r="R11002" i="2"/>
  <c r="R11001" i="2"/>
  <c r="R11000" i="2"/>
  <c r="R10999" i="2"/>
  <c r="R10998" i="2"/>
  <c r="R10997" i="2"/>
  <c r="R10996" i="2"/>
  <c r="R10995" i="2"/>
  <c r="R10994" i="2"/>
  <c r="R10993" i="2"/>
  <c r="R10992" i="2"/>
  <c r="R10991" i="2"/>
  <c r="R10990" i="2"/>
  <c r="R10989" i="2"/>
  <c r="R10988" i="2"/>
  <c r="R10987" i="2"/>
  <c r="R10986" i="2"/>
  <c r="R10985" i="2"/>
  <c r="R10984" i="2"/>
  <c r="R10983" i="2"/>
  <c r="R10982" i="2"/>
  <c r="R10981" i="2"/>
  <c r="R10980" i="2"/>
  <c r="R10979" i="2"/>
  <c r="R10978" i="2"/>
  <c r="R10977" i="2"/>
  <c r="R10976" i="2"/>
  <c r="R10975" i="2"/>
  <c r="R10974" i="2"/>
  <c r="R10973" i="2"/>
  <c r="R10972" i="2"/>
  <c r="R10971" i="2"/>
  <c r="R10970" i="2"/>
  <c r="R10969" i="2"/>
  <c r="R10968" i="2"/>
  <c r="R10967" i="2"/>
  <c r="R10966" i="2"/>
  <c r="R10965" i="2"/>
  <c r="R10964" i="2"/>
  <c r="R10963" i="2"/>
  <c r="R10962" i="2"/>
  <c r="R10961" i="2"/>
  <c r="R10960" i="2"/>
  <c r="R10959" i="2"/>
  <c r="R10958" i="2"/>
  <c r="R10957" i="2"/>
  <c r="R10956" i="2"/>
  <c r="R10955" i="2"/>
  <c r="R10954" i="2"/>
  <c r="R10953" i="2"/>
  <c r="R10952" i="2"/>
  <c r="R10951" i="2"/>
  <c r="R10950" i="2"/>
  <c r="R10949" i="2"/>
  <c r="R10948" i="2"/>
  <c r="R10947" i="2"/>
  <c r="R10946" i="2"/>
  <c r="R10945" i="2"/>
  <c r="R10944" i="2"/>
  <c r="R10943" i="2"/>
  <c r="R10942" i="2"/>
  <c r="R10941" i="2"/>
  <c r="R10940" i="2"/>
  <c r="R10939" i="2"/>
  <c r="R10938" i="2"/>
  <c r="R10937" i="2"/>
  <c r="R10936" i="2"/>
  <c r="R10935" i="2"/>
  <c r="R10934" i="2"/>
  <c r="R10933" i="2"/>
  <c r="R10932" i="2"/>
  <c r="R10931" i="2"/>
  <c r="R10930" i="2"/>
  <c r="R10929" i="2"/>
  <c r="R10928" i="2"/>
  <c r="R10927" i="2"/>
  <c r="R10926" i="2"/>
  <c r="R10925" i="2"/>
  <c r="R10924" i="2"/>
  <c r="R10923" i="2"/>
  <c r="R10922" i="2"/>
  <c r="R10921" i="2"/>
  <c r="R10920" i="2"/>
  <c r="R10919" i="2"/>
  <c r="R10918" i="2"/>
  <c r="R10917" i="2"/>
  <c r="R10916" i="2"/>
  <c r="R10915" i="2"/>
  <c r="R10914" i="2"/>
  <c r="R10913" i="2"/>
  <c r="R10912" i="2"/>
  <c r="R10911" i="2"/>
  <c r="R10910" i="2"/>
  <c r="R10909" i="2"/>
  <c r="R10908" i="2"/>
  <c r="R10907" i="2"/>
  <c r="R10906" i="2"/>
  <c r="R10905" i="2"/>
  <c r="R10904" i="2"/>
  <c r="R10903" i="2"/>
  <c r="R10902" i="2"/>
  <c r="R10901" i="2"/>
  <c r="R10900" i="2"/>
  <c r="R10899" i="2"/>
  <c r="R10898" i="2"/>
  <c r="R10897" i="2"/>
  <c r="R10896" i="2"/>
  <c r="R10895" i="2"/>
  <c r="R10894" i="2"/>
  <c r="R10893" i="2"/>
  <c r="R10892" i="2"/>
  <c r="R10891" i="2"/>
  <c r="R10890" i="2"/>
  <c r="R10889" i="2"/>
  <c r="R10888" i="2"/>
  <c r="R10887" i="2"/>
  <c r="R10886" i="2"/>
  <c r="R10885" i="2"/>
  <c r="R10884" i="2"/>
  <c r="R10883" i="2"/>
  <c r="R10882" i="2"/>
  <c r="R10881" i="2"/>
  <c r="R10880" i="2"/>
  <c r="R10879" i="2"/>
  <c r="R10878" i="2"/>
  <c r="R10877" i="2"/>
  <c r="R10876" i="2"/>
  <c r="R10875" i="2"/>
  <c r="R10874" i="2"/>
  <c r="R10873" i="2"/>
  <c r="R10872" i="2"/>
  <c r="R10871" i="2"/>
  <c r="R10870" i="2"/>
  <c r="R10869" i="2"/>
  <c r="R10868" i="2"/>
  <c r="R10867" i="2"/>
  <c r="R10866" i="2"/>
  <c r="R10865" i="2"/>
  <c r="R10864" i="2"/>
  <c r="R10863" i="2"/>
  <c r="R10862" i="2"/>
  <c r="R10861" i="2"/>
  <c r="R10860" i="2"/>
  <c r="R10859" i="2"/>
  <c r="R10858" i="2"/>
  <c r="R10857" i="2"/>
  <c r="R10856" i="2"/>
  <c r="R10855" i="2"/>
  <c r="R10854" i="2"/>
  <c r="R10853" i="2"/>
  <c r="R10852" i="2"/>
  <c r="R10851" i="2"/>
  <c r="R10850" i="2"/>
  <c r="R10849" i="2"/>
  <c r="R10848" i="2"/>
  <c r="R10847" i="2"/>
  <c r="R10846" i="2"/>
  <c r="R10845" i="2"/>
  <c r="R10844" i="2"/>
  <c r="R10843" i="2"/>
  <c r="R10842" i="2"/>
  <c r="R10841" i="2"/>
  <c r="R10840" i="2"/>
  <c r="R10839" i="2"/>
  <c r="R10838" i="2"/>
  <c r="R10837" i="2"/>
  <c r="R10836" i="2"/>
  <c r="R10835" i="2"/>
  <c r="R10834" i="2"/>
  <c r="R10833" i="2"/>
  <c r="R10832" i="2"/>
  <c r="R10831" i="2"/>
  <c r="R10830" i="2"/>
  <c r="R10829" i="2"/>
  <c r="R10828" i="2"/>
  <c r="R10827" i="2"/>
  <c r="R10826" i="2"/>
  <c r="R10825" i="2"/>
  <c r="R10824" i="2"/>
  <c r="R10823" i="2"/>
  <c r="R10822" i="2"/>
  <c r="R10821" i="2"/>
  <c r="R10820" i="2"/>
  <c r="R10819" i="2"/>
  <c r="R10818" i="2"/>
  <c r="R10817" i="2"/>
  <c r="R10816" i="2"/>
  <c r="R10815" i="2"/>
  <c r="R10814" i="2"/>
  <c r="R10813" i="2"/>
  <c r="R10812" i="2"/>
  <c r="R10811" i="2"/>
  <c r="R10810" i="2"/>
  <c r="R10809" i="2"/>
  <c r="R10808" i="2"/>
  <c r="R10807" i="2"/>
  <c r="R10806" i="2"/>
  <c r="R10805" i="2"/>
  <c r="R10804" i="2"/>
  <c r="R10803" i="2"/>
  <c r="R10802" i="2"/>
  <c r="R10801" i="2"/>
  <c r="R10800" i="2"/>
  <c r="R10799" i="2"/>
  <c r="R10798" i="2"/>
  <c r="R10797" i="2"/>
  <c r="R10796" i="2"/>
  <c r="R10795" i="2"/>
  <c r="R10794" i="2"/>
  <c r="R10793" i="2"/>
  <c r="R10792" i="2"/>
  <c r="R10791" i="2"/>
  <c r="R10790" i="2"/>
  <c r="R10789" i="2"/>
  <c r="R10788" i="2"/>
  <c r="R10787" i="2"/>
  <c r="R10786" i="2"/>
  <c r="R10785" i="2"/>
  <c r="R10784" i="2"/>
  <c r="R10783" i="2"/>
  <c r="R10782" i="2"/>
  <c r="R10781" i="2"/>
  <c r="R10780" i="2"/>
  <c r="R10779" i="2"/>
  <c r="R10778" i="2"/>
  <c r="R10777" i="2"/>
  <c r="R10776" i="2"/>
  <c r="R10775" i="2"/>
  <c r="R10774" i="2"/>
  <c r="R10773" i="2"/>
  <c r="R10772" i="2"/>
  <c r="R10771" i="2"/>
  <c r="R10770" i="2"/>
  <c r="R10769" i="2"/>
  <c r="R10768" i="2"/>
  <c r="R10767" i="2"/>
  <c r="R10766" i="2"/>
  <c r="R10765" i="2"/>
  <c r="R10764" i="2"/>
  <c r="R10763" i="2"/>
  <c r="R10762" i="2"/>
  <c r="R10761" i="2"/>
  <c r="R10760" i="2"/>
  <c r="R10759" i="2"/>
  <c r="R10758" i="2"/>
  <c r="R10757" i="2"/>
  <c r="R10756" i="2"/>
  <c r="R10755" i="2"/>
  <c r="R10754" i="2"/>
  <c r="R10753" i="2"/>
  <c r="R10752" i="2"/>
  <c r="R10751" i="2"/>
  <c r="R10750" i="2"/>
  <c r="R10749" i="2"/>
  <c r="R10748" i="2"/>
  <c r="R10747" i="2"/>
  <c r="R10746" i="2"/>
  <c r="R10745" i="2"/>
  <c r="R10744" i="2"/>
  <c r="R10743" i="2"/>
  <c r="R10742" i="2"/>
  <c r="R10741" i="2"/>
  <c r="R10740" i="2"/>
  <c r="R10739" i="2"/>
  <c r="R10738" i="2"/>
  <c r="R10737" i="2"/>
  <c r="R10736" i="2"/>
  <c r="R10735" i="2"/>
  <c r="R10734" i="2"/>
  <c r="R10733" i="2"/>
  <c r="R10732" i="2"/>
  <c r="R10731" i="2"/>
  <c r="R10730" i="2"/>
  <c r="R10729" i="2"/>
  <c r="R10728" i="2"/>
  <c r="R10727" i="2"/>
  <c r="R10726" i="2"/>
  <c r="R10725" i="2"/>
  <c r="R10724" i="2"/>
  <c r="R10723" i="2"/>
  <c r="R10722" i="2"/>
  <c r="R10721" i="2"/>
  <c r="R10720" i="2"/>
  <c r="R10719" i="2"/>
  <c r="R10718" i="2"/>
  <c r="R10717" i="2"/>
  <c r="R10716" i="2"/>
  <c r="R10715" i="2"/>
  <c r="R10714" i="2"/>
  <c r="R10713" i="2"/>
  <c r="R10712" i="2"/>
  <c r="R10711" i="2"/>
  <c r="R10710" i="2"/>
  <c r="R10709" i="2"/>
  <c r="R10708" i="2"/>
  <c r="R10707" i="2"/>
  <c r="R10706" i="2"/>
  <c r="R10705" i="2"/>
  <c r="R10704" i="2"/>
  <c r="R10703" i="2"/>
  <c r="R10702" i="2"/>
  <c r="R10701" i="2"/>
  <c r="R10700" i="2"/>
  <c r="R10699" i="2"/>
  <c r="R10698" i="2"/>
  <c r="R10697" i="2"/>
  <c r="R10696" i="2"/>
  <c r="R10695" i="2"/>
  <c r="R10694" i="2"/>
  <c r="R10693" i="2"/>
  <c r="R10692" i="2"/>
  <c r="R10691" i="2"/>
  <c r="R10690" i="2"/>
  <c r="R10689" i="2"/>
  <c r="R10688" i="2"/>
  <c r="R10687" i="2"/>
  <c r="R10686" i="2"/>
  <c r="R10685" i="2"/>
  <c r="R10684" i="2"/>
  <c r="R10683" i="2"/>
  <c r="R10682" i="2"/>
  <c r="R10681" i="2"/>
  <c r="R10680" i="2"/>
  <c r="R10679" i="2"/>
  <c r="R10678" i="2"/>
  <c r="R10677" i="2"/>
  <c r="R10676" i="2"/>
  <c r="R10675" i="2"/>
  <c r="R10674" i="2"/>
  <c r="R10673" i="2"/>
  <c r="R10672" i="2"/>
  <c r="R10671" i="2"/>
  <c r="R10670" i="2"/>
  <c r="R10669" i="2"/>
  <c r="R10668" i="2"/>
  <c r="R10667" i="2"/>
  <c r="R10666" i="2"/>
  <c r="R10665" i="2"/>
  <c r="R10664" i="2"/>
  <c r="R10663" i="2"/>
  <c r="R10662" i="2"/>
  <c r="R10661" i="2"/>
  <c r="R10660" i="2"/>
  <c r="R10659" i="2"/>
  <c r="R10658" i="2"/>
  <c r="R10657" i="2"/>
  <c r="R10656" i="2"/>
  <c r="R10655" i="2"/>
  <c r="R10654" i="2"/>
  <c r="R10653" i="2"/>
  <c r="R10652" i="2"/>
  <c r="R10651" i="2"/>
  <c r="R10650" i="2"/>
  <c r="R10649" i="2"/>
  <c r="R10648" i="2"/>
  <c r="R10647" i="2"/>
  <c r="R10646" i="2"/>
  <c r="R10645" i="2"/>
  <c r="R10644" i="2"/>
  <c r="R10643" i="2"/>
  <c r="R10642" i="2"/>
  <c r="R10641" i="2"/>
  <c r="R10640" i="2"/>
  <c r="R10639" i="2"/>
  <c r="R10638" i="2"/>
  <c r="R10637" i="2"/>
  <c r="R10636" i="2"/>
  <c r="R10635" i="2"/>
  <c r="R10634" i="2"/>
  <c r="R10633" i="2"/>
  <c r="R10632" i="2"/>
  <c r="R10631" i="2"/>
  <c r="R10630" i="2"/>
  <c r="R10629" i="2"/>
  <c r="R10628" i="2"/>
  <c r="R10627" i="2"/>
  <c r="R10626" i="2"/>
  <c r="R10625" i="2"/>
  <c r="R10624" i="2"/>
  <c r="R10623" i="2"/>
  <c r="R10622" i="2"/>
  <c r="R10621" i="2"/>
  <c r="R10620" i="2"/>
  <c r="R10619" i="2"/>
  <c r="R10618" i="2"/>
  <c r="R10617" i="2"/>
  <c r="R10616" i="2"/>
  <c r="R10615" i="2"/>
  <c r="R10614" i="2"/>
  <c r="R10613" i="2"/>
  <c r="R10612" i="2"/>
  <c r="R10611" i="2"/>
  <c r="R10610" i="2"/>
  <c r="R10609" i="2"/>
  <c r="R10608" i="2"/>
  <c r="R10607" i="2"/>
  <c r="R10606" i="2"/>
  <c r="R10605" i="2"/>
  <c r="R10604" i="2"/>
  <c r="R10603" i="2"/>
  <c r="R10602" i="2"/>
  <c r="R10601" i="2"/>
  <c r="R10600" i="2"/>
  <c r="R10599" i="2"/>
  <c r="R10598" i="2"/>
  <c r="R10597" i="2"/>
  <c r="R10596" i="2"/>
  <c r="R10595" i="2"/>
  <c r="R10594" i="2"/>
  <c r="R10593" i="2"/>
  <c r="R10592" i="2"/>
  <c r="R10591" i="2"/>
  <c r="R10590" i="2"/>
  <c r="R10589" i="2"/>
  <c r="R10588" i="2"/>
  <c r="R10587" i="2"/>
  <c r="R10586" i="2"/>
  <c r="R10585" i="2"/>
  <c r="R10584" i="2"/>
  <c r="R10583" i="2"/>
  <c r="R10582" i="2"/>
  <c r="R10581" i="2"/>
  <c r="R10580" i="2"/>
  <c r="R10579" i="2"/>
  <c r="R10578" i="2"/>
  <c r="R10577" i="2"/>
  <c r="R10576" i="2"/>
  <c r="R10575" i="2"/>
  <c r="R10574" i="2"/>
  <c r="R10573" i="2"/>
  <c r="R10572" i="2"/>
  <c r="R10571" i="2"/>
  <c r="R10570" i="2"/>
  <c r="R10569" i="2"/>
  <c r="R10568" i="2"/>
  <c r="R10567" i="2"/>
  <c r="R10566" i="2"/>
  <c r="R10565" i="2"/>
  <c r="R10564" i="2"/>
  <c r="R10563" i="2"/>
  <c r="R10562" i="2"/>
  <c r="R10561" i="2"/>
  <c r="R10560" i="2"/>
  <c r="R10559" i="2"/>
  <c r="R10558" i="2"/>
  <c r="R10557" i="2"/>
  <c r="R10556" i="2"/>
  <c r="R10555" i="2"/>
  <c r="R10554" i="2"/>
  <c r="R10553" i="2"/>
  <c r="R10552" i="2"/>
  <c r="R10551" i="2"/>
  <c r="R10550" i="2"/>
  <c r="R10549" i="2"/>
  <c r="R10548" i="2"/>
  <c r="R10547" i="2"/>
  <c r="R10546" i="2"/>
  <c r="R10545" i="2"/>
  <c r="R10544" i="2"/>
  <c r="R10543" i="2"/>
  <c r="R10542" i="2"/>
  <c r="R10541" i="2"/>
  <c r="R10540" i="2"/>
  <c r="R10539" i="2"/>
  <c r="R10538" i="2"/>
  <c r="R10537" i="2"/>
  <c r="R10536" i="2"/>
  <c r="R10535" i="2"/>
  <c r="R10534" i="2"/>
  <c r="R10533" i="2"/>
  <c r="R10532" i="2"/>
  <c r="R10531" i="2"/>
  <c r="R10530" i="2"/>
  <c r="R10529" i="2"/>
  <c r="R10528" i="2"/>
  <c r="R10527" i="2"/>
  <c r="R10526" i="2"/>
  <c r="R10525" i="2"/>
  <c r="R10524" i="2"/>
  <c r="R10523" i="2"/>
  <c r="R10522" i="2"/>
  <c r="R10521" i="2"/>
  <c r="R10520" i="2"/>
  <c r="R10519" i="2"/>
  <c r="R10518" i="2"/>
  <c r="R10517" i="2"/>
  <c r="R10516" i="2"/>
  <c r="R10515" i="2"/>
  <c r="R10514" i="2"/>
  <c r="R10513" i="2"/>
  <c r="R10512" i="2"/>
  <c r="R10511" i="2"/>
  <c r="R10510" i="2"/>
  <c r="R10509" i="2"/>
  <c r="R10508" i="2"/>
  <c r="R10507" i="2"/>
  <c r="R10506" i="2"/>
  <c r="R10505" i="2"/>
  <c r="R10504" i="2"/>
  <c r="R10503" i="2"/>
  <c r="R10502" i="2"/>
  <c r="R10501" i="2"/>
  <c r="R10500" i="2"/>
  <c r="R10499" i="2"/>
  <c r="R10498" i="2"/>
  <c r="R10497" i="2"/>
  <c r="R10496" i="2"/>
  <c r="R10495" i="2"/>
  <c r="R10494" i="2"/>
  <c r="R10493" i="2"/>
  <c r="R10492" i="2"/>
  <c r="R10491" i="2"/>
  <c r="R10490" i="2"/>
  <c r="R10489" i="2"/>
  <c r="R10488" i="2"/>
  <c r="R10487" i="2"/>
  <c r="R10486" i="2"/>
  <c r="R10485" i="2"/>
  <c r="R10484" i="2"/>
  <c r="R10483" i="2"/>
  <c r="R10482" i="2"/>
  <c r="R10481" i="2"/>
  <c r="R10480" i="2"/>
  <c r="R10479" i="2"/>
  <c r="R10478" i="2"/>
  <c r="R10477" i="2"/>
  <c r="R10476" i="2"/>
  <c r="R10475" i="2"/>
  <c r="R10474" i="2"/>
  <c r="R10473" i="2"/>
  <c r="R10472" i="2"/>
  <c r="R10471" i="2"/>
  <c r="R10470" i="2"/>
  <c r="R10469" i="2"/>
  <c r="R10468" i="2"/>
  <c r="R10467" i="2"/>
  <c r="R10466" i="2"/>
  <c r="R10465" i="2"/>
  <c r="R10464" i="2"/>
  <c r="R10463" i="2"/>
  <c r="R10462" i="2"/>
  <c r="R10461" i="2"/>
  <c r="R10460" i="2"/>
  <c r="R10459" i="2"/>
  <c r="R10458" i="2"/>
  <c r="R10457" i="2"/>
  <c r="R10456" i="2"/>
  <c r="R10455" i="2"/>
  <c r="R10454" i="2"/>
  <c r="R10453" i="2"/>
  <c r="R10452" i="2"/>
  <c r="R10451" i="2"/>
  <c r="R10450" i="2"/>
  <c r="R10449" i="2"/>
  <c r="R10448" i="2"/>
  <c r="R10447" i="2"/>
  <c r="R10446" i="2"/>
  <c r="R10445" i="2"/>
  <c r="R10444" i="2"/>
  <c r="R10443" i="2"/>
  <c r="R10442" i="2"/>
  <c r="R10441" i="2"/>
  <c r="R10440" i="2"/>
  <c r="R10439" i="2"/>
  <c r="R10438" i="2"/>
  <c r="R10437" i="2"/>
  <c r="R10436" i="2"/>
  <c r="R10435" i="2"/>
  <c r="R10434" i="2"/>
  <c r="R10433" i="2"/>
  <c r="R10432" i="2"/>
  <c r="R10431" i="2"/>
  <c r="R10430" i="2"/>
  <c r="R10429" i="2"/>
  <c r="R10428" i="2"/>
  <c r="R10427" i="2"/>
  <c r="R10426" i="2"/>
  <c r="R10425" i="2"/>
  <c r="R10424" i="2"/>
  <c r="R10423" i="2"/>
  <c r="R10422" i="2"/>
  <c r="R10421" i="2"/>
  <c r="R10420" i="2"/>
  <c r="R10419" i="2"/>
  <c r="R10418" i="2"/>
  <c r="R10417" i="2"/>
  <c r="R10416" i="2"/>
  <c r="R10415" i="2"/>
  <c r="R10414" i="2"/>
  <c r="R10413" i="2"/>
  <c r="R10412" i="2"/>
  <c r="R10411" i="2"/>
  <c r="R10410" i="2"/>
  <c r="R10409" i="2"/>
  <c r="R10408" i="2"/>
  <c r="R10407" i="2"/>
  <c r="R10406" i="2"/>
  <c r="R10405" i="2"/>
  <c r="R10404" i="2"/>
  <c r="R10403" i="2"/>
  <c r="R10402" i="2"/>
  <c r="R10401" i="2"/>
  <c r="R10400" i="2"/>
  <c r="R10399" i="2"/>
  <c r="R10398" i="2"/>
  <c r="R10397" i="2"/>
  <c r="R10396" i="2"/>
  <c r="R10395" i="2"/>
  <c r="R10394" i="2"/>
  <c r="R10393" i="2"/>
  <c r="R10392" i="2"/>
  <c r="R10391" i="2"/>
  <c r="R10390" i="2"/>
  <c r="R10389" i="2"/>
  <c r="R10388" i="2"/>
  <c r="R10387" i="2"/>
  <c r="R10386" i="2"/>
  <c r="R10385" i="2"/>
  <c r="R10384" i="2"/>
  <c r="R10383" i="2"/>
  <c r="R10382" i="2"/>
  <c r="R10381" i="2"/>
  <c r="R10380" i="2"/>
  <c r="R10379" i="2"/>
  <c r="R10378" i="2"/>
  <c r="R10377" i="2"/>
  <c r="R10376" i="2"/>
  <c r="R10375" i="2"/>
  <c r="R10374" i="2"/>
  <c r="R10373" i="2"/>
  <c r="R10372" i="2"/>
  <c r="R10371" i="2"/>
  <c r="R10370" i="2"/>
  <c r="R10369" i="2"/>
  <c r="R10368" i="2"/>
  <c r="R10367" i="2"/>
  <c r="R10366" i="2"/>
  <c r="R10365" i="2"/>
  <c r="R10364" i="2"/>
  <c r="R10363" i="2"/>
  <c r="R10362" i="2"/>
  <c r="R10361" i="2"/>
  <c r="R10360" i="2"/>
  <c r="R10359" i="2"/>
  <c r="R10358" i="2"/>
  <c r="R10357" i="2"/>
  <c r="R10356" i="2"/>
  <c r="R10355" i="2"/>
  <c r="R10354" i="2"/>
  <c r="R10353" i="2"/>
  <c r="R10352" i="2"/>
  <c r="R10351" i="2"/>
  <c r="R10350" i="2"/>
  <c r="R10349" i="2"/>
  <c r="R10348" i="2"/>
  <c r="R10347" i="2"/>
  <c r="R10346" i="2"/>
  <c r="R10345" i="2"/>
  <c r="R10344" i="2"/>
  <c r="R10343" i="2"/>
  <c r="R10342" i="2"/>
  <c r="R10341" i="2"/>
  <c r="R10340" i="2"/>
  <c r="R10339" i="2"/>
  <c r="R10338" i="2"/>
  <c r="R10337" i="2"/>
  <c r="R10336" i="2"/>
  <c r="R10335" i="2"/>
  <c r="R10334" i="2"/>
  <c r="R10333" i="2"/>
  <c r="R10332" i="2"/>
  <c r="R10331" i="2"/>
  <c r="R10330" i="2"/>
  <c r="R10329" i="2"/>
  <c r="R10328" i="2"/>
  <c r="R10327" i="2"/>
  <c r="R10326" i="2"/>
  <c r="R10325" i="2"/>
  <c r="R10324" i="2"/>
  <c r="R10323" i="2"/>
  <c r="R10322" i="2"/>
  <c r="R10321" i="2"/>
  <c r="R10320" i="2"/>
  <c r="R10319" i="2"/>
  <c r="R10318" i="2"/>
  <c r="R10317" i="2"/>
  <c r="R10316" i="2"/>
  <c r="R10315" i="2"/>
  <c r="R10314" i="2"/>
  <c r="R10313" i="2"/>
  <c r="R10312" i="2"/>
  <c r="R10311" i="2"/>
  <c r="R10310" i="2"/>
  <c r="R10309" i="2"/>
  <c r="R10308" i="2"/>
  <c r="R10307" i="2"/>
  <c r="R10306" i="2"/>
  <c r="R10305" i="2"/>
  <c r="R10304" i="2"/>
  <c r="R10303" i="2"/>
  <c r="R10302" i="2"/>
  <c r="R10301" i="2"/>
  <c r="R10300" i="2"/>
  <c r="R10299" i="2"/>
  <c r="R10298" i="2"/>
  <c r="R10297" i="2"/>
  <c r="R10296" i="2"/>
  <c r="R10295" i="2"/>
  <c r="R10294" i="2"/>
  <c r="R10293" i="2"/>
  <c r="R10292" i="2"/>
  <c r="R10291" i="2"/>
  <c r="R10290" i="2"/>
  <c r="R10289" i="2"/>
  <c r="R10288" i="2"/>
  <c r="R10287" i="2"/>
  <c r="R10286" i="2"/>
  <c r="R10285" i="2"/>
  <c r="R10284" i="2"/>
  <c r="R10283" i="2"/>
  <c r="R10282" i="2"/>
  <c r="R10281" i="2"/>
  <c r="R10280" i="2"/>
  <c r="R10279" i="2"/>
  <c r="R10278" i="2"/>
  <c r="R10277" i="2"/>
  <c r="R10276" i="2"/>
  <c r="R10275" i="2"/>
  <c r="R10274" i="2"/>
  <c r="R10273" i="2"/>
  <c r="R10272" i="2"/>
  <c r="R10271" i="2"/>
  <c r="R10270" i="2"/>
  <c r="R10269" i="2"/>
  <c r="R10268" i="2"/>
  <c r="R10267" i="2"/>
  <c r="R10266" i="2"/>
  <c r="R10265" i="2"/>
  <c r="R10264" i="2"/>
  <c r="R10263" i="2"/>
  <c r="R10262" i="2"/>
  <c r="R10261" i="2"/>
  <c r="R10260" i="2"/>
  <c r="R10259" i="2"/>
  <c r="R10258" i="2"/>
  <c r="R10257" i="2"/>
  <c r="R10256" i="2"/>
  <c r="R10255" i="2"/>
  <c r="R10254" i="2"/>
  <c r="R10253" i="2"/>
  <c r="R10252" i="2"/>
  <c r="R10251" i="2"/>
  <c r="R10250" i="2"/>
  <c r="R10249" i="2"/>
  <c r="R10248" i="2"/>
  <c r="R10247" i="2"/>
  <c r="R10246" i="2"/>
  <c r="R10245" i="2"/>
  <c r="R10244" i="2"/>
  <c r="R10243" i="2"/>
  <c r="R10242" i="2"/>
  <c r="R10241" i="2"/>
  <c r="R10240" i="2"/>
  <c r="R10239" i="2"/>
  <c r="R10238" i="2"/>
  <c r="R10237" i="2"/>
  <c r="R10236" i="2"/>
  <c r="R10235" i="2"/>
  <c r="R10234" i="2"/>
  <c r="R10233" i="2"/>
  <c r="R10232" i="2"/>
  <c r="R10231" i="2"/>
  <c r="R10230" i="2"/>
  <c r="R10229" i="2"/>
  <c r="R10228" i="2"/>
  <c r="R10227" i="2"/>
  <c r="R10226" i="2"/>
  <c r="R10225" i="2"/>
  <c r="R10224" i="2"/>
  <c r="R10223" i="2"/>
  <c r="R10222" i="2"/>
  <c r="R10221" i="2"/>
  <c r="R10220" i="2"/>
  <c r="R10219" i="2"/>
  <c r="R10218" i="2"/>
  <c r="R10217" i="2"/>
  <c r="R10216" i="2"/>
  <c r="R10215" i="2"/>
  <c r="R10214" i="2"/>
  <c r="R10213" i="2"/>
  <c r="R10212" i="2"/>
  <c r="R10211" i="2"/>
  <c r="R10210" i="2"/>
  <c r="R10209" i="2"/>
  <c r="R10208" i="2"/>
  <c r="R10207" i="2"/>
  <c r="R10206" i="2"/>
  <c r="R10205" i="2"/>
  <c r="R10204" i="2"/>
  <c r="R10203" i="2"/>
  <c r="R10202" i="2"/>
  <c r="R10201" i="2"/>
  <c r="R10200" i="2"/>
  <c r="R10199" i="2"/>
  <c r="R10198" i="2"/>
  <c r="R10197" i="2"/>
  <c r="R10196" i="2"/>
  <c r="R10195" i="2"/>
  <c r="R10194" i="2"/>
  <c r="R10193" i="2"/>
  <c r="R10192" i="2"/>
  <c r="R10191" i="2"/>
  <c r="R10190" i="2"/>
  <c r="R10189" i="2"/>
  <c r="R10188" i="2"/>
  <c r="R10187" i="2"/>
  <c r="R10186" i="2"/>
  <c r="R10185" i="2"/>
  <c r="R10184" i="2"/>
  <c r="R10183" i="2"/>
  <c r="R10182" i="2"/>
  <c r="R10181" i="2"/>
  <c r="R10180" i="2"/>
  <c r="R10179" i="2"/>
  <c r="R10178" i="2"/>
  <c r="R10177" i="2"/>
  <c r="R10176" i="2"/>
  <c r="R10175" i="2"/>
  <c r="R10174" i="2"/>
  <c r="R10173" i="2"/>
  <c r="R10172" i="2"/>
  <c r="R10171" i="2"/>
  <c r="R10170" i="2"/>
  <c r="R10169" i="2"/>
  <c r="R10168" i="2"/>
  <c r="R10167" i="2"/>
  <c r="R10166" i="2"/>
  <c r="R10165" i="2"/>
  <c r="R10164" i="2"/>
  <c r="R10163" i="2"/>
  <c r="R10162" i="2"/>
  <c r="R10161" i="2"/>
  <c r="R10160" i="2"/>
  <c r="R10159" i="2"/>
  <c r="R10158" i="2"/>
  <c r="R10157" i="2"/>
  <c r="R10156" i="2"/>
  <c r="R10155" i="2"/>
  <c r="R10154" i="2"/>
  <c r="R10153" i="2"/>
  <c r="R10152" i="2"/>
  <c r="R10151" i="2"/>
  <c r="R10150" i="2"/>
  <c r="R10149" i="2"/>
  <c r="R10148" i="2"/>
  <c r="R10147" i="2"/>
  <c r="R10146" i="2"/>
  <c r="R10145" i="2"/>
  <c r="R10144" i="2"/>
  <c r="R10143" i="2"/>
  <c r="R10142" i="2"/>
  <c r="R10141" i="2"/>
  <c r="R10140" i="2"/>
  <c r="R10139" i="2"/>
  <c r="R10138" i="2"/>
  <c r="R10137" i="2"/>
  <c r="R10136" i="2"/>
  <c r="R10135" i="2"/>
  <c r="R10134" i="2"/>
  <c r="R10133" i="2"/>
  <c r="R10132" i="2"/>
  <c r="R10131" i="2"/>
  <c r="R10130" i="2"/>
  <c r="R10129" i="2"/>
  <c r="R10128" i="2"/>
  <c r="R10127" i="2"/>
  <c r="R10126" i="2"/>
  <c r="R10125" i="2"/>
  <c r="R10124" i="2"/>
  <c r="R10123" i="2"/>
  <c r="R10122" i="2"/>
  <c r="R10121" i="2"/>
  <c r="R10120" i="2"/>
  <c r="R10119" i="2"/>
  <c r="R10118" i="2"/>
  <c r="R10117" i="2"/>
  <c r="R10116" i="2"/>
  <c r="R10115" i="2"/>
  <c r="R10114" i="2"/>
  <c r="R10113" i="2"/>
  <c r="R10112" i="2"/>
  <c r="R10111" i="2"/>
  <c r="R10110" i="2"/>
  <c r="R10109" i="2"/>
  <c r="R10108" i="2"/>
  <c r="R10107" i="2"/>
  <c r="R10106" i="2"/>
  <c r="R10105" i="2"/>
  <c r="R10104" i="2"/>
  <c r="R10103" i="2"/>
  <c r="R10102" i="2"/>
  <c r="R10101" i="2"/>
  <c r="R10100" i="2"/>
  <c r="R10099" i="2"/>
  <c r="R10098" i="2"/>
  <c r="R10097" i="2"/>
  <c r="R10096" i="2"/>
  <c r="R10095" i="2"/>
  <c r="R10094" i="2"/>
  <c r="R10093" i="2"/>
  <c r="R10092" i="2"/>
  <c r="R10091" i="2"/>
  <c r="R10090" i="2"/>
  <c r="R10089" i="2"/>
  <c r="R10088" i="2"/>
  <c r="R10087" i="2"/>
  <c r="R10086" i="2"/>
  <c r="R10085" i="2"/>
  <c r="R10084" i="2"/>
  <c r="R10083" i="2"/>
  <c r="R10082" i="2"/>
  <c r="R10081" i="2"/>
  <c r="R10080" i="2"/>
  <c r="R10079" i="2"/>
  <c r="R10078" i="2"/>
  <c r="R10077" i="2"/>
  <c r="R10076" i="2"/>
  <c r="R10075" i="2"/>
  <c r="R10074" i="2"/>
  <c r="R10073" i="2"/>
  <c r="R10072" i="2"/>
  <c r="R10071" i="2"/>
  <c r="R10070" i="2"/>
  <c r="R10069" i="2"/>
  <c r="R10068" i="2"/>
  <c r="R10067" i="2"/>
  <c r="R10066" i="2"/>
  <c r="R10065" i="2"/>
  <c r="R10064" i="2"/>
  <c r="R10063" i="2"/>
  <c r="R10062" i="2"/>
  <c r="R10061" i="2"/>
  <c r="R10060" i="2"/>
  <c r="R10059" i="2"/>
  <c r="R10058" i="2"/>
  <c r="R10057" i="2"/>
  <c r="R10056" i="2"/>
  <c r="R10055" i="2"/>
  <c r="R10054" i="2"/>
  <c r="R10053" i="2"/>
  <c r="R10052" i="2"/>
  <c r="R10051" i="2"/>
  <c r="R10050" i="2"/>
  <c r="R10049" i="2"/>
  <c r="R10048" i="2"/>
  <c r="R10047" i="2"/>
  <c r="R10046" i="2"/>
  <c r="R10045" i="2"/>
  <c r="R10044" i="2"/>
  <c r="R10043" i="2"/>
  <c r="R10042" i="2"/>
  <c r="R10041" i="2"/>
  <c r="R10040" i="2"/>
  <c r="R10039" i="2"/>
  <c r="R10038" i="2"/>
  <c r="R10037" i="2"/>
  <c r="R10036" i="2"/>
  <c r="R10035" i="2"/>
  <c r="R10034" i="2"/>
  <c r="R10033" i="2"/>
  <c r="R10032" i="2"/>
  <c r="R10031" i="2"/>
  <c r="R10030" i="2"/>
  <c r="R10029" i="2"/>
  <c r="R10028" i="2"/>
  <c r="R10027" i="2"/>
  <c r="R10026" i="2"/>
  <c r="R10025" i="2"/>
  <c r="R10024" i="2"/>
  <c r="R10023" i="2"/>
  <c r="R10022" i="2"/>
  <c r="R10021" i="2"/>
  <c r="R10020" i="2"/>
  <c r="R10019" i="2"/>
  <c r="R10018" i="2"/>
  <c r="R10017" i="2"/>
  <c r="R10016" i="2"/>
  <c r="R10015" i="2"/>
  <c r="R10014" i="2"/>
  <c r="R10013" i="2"/>
  <c r="R10012" i="2"/>
  <c r="R10011" i="2"/>
  <c r="R10010" i="2"/>
  <c r="R10009" i="2"/>
  <c r="R10008" i="2"/>
  <c r="R10007" i="2"/>
  <c r="R10006" i="2"/>
  <c r="R10005" i="2"/>
  <c r="R10004" i="2"/>
  <c r="R10003" i="2"/>
  <c r="R10002" i="2"/>
  <c r="R10001" i="2"/>
  <c r="R10000" i="2"/>
  <c r="R9999" i="2"/>
  <c r="R9998" i="2"/>
  <c r="R9997" i="2"/>
  <c r="R9996" i="2"/>
  <c r="R9995" i="2"/>
  <c r="R9994" i="2"/>
  <c r="R9993" i="2"/>
  <c r="R9992" i="2"/>
  <c r="R9991" i="2"/>
  <c r="R9990" i="2"/>
  <c r="R9989" i="2"/>
  <c r="R9988" i="2"/>
  <c r="R9987" i="2"/>
  <c r="R9986" i="2"/>
  <c r="R9985" i="2"/>
  <c r="R9984" i="2"/>
  <c r="R9983" i="2"/>
  <c r="R9982" i="2"/>
  <c r="R9981" i="2"/>
  <c r="R9980" i="2"/>
  <c r="R9979" i="2"/>
  <c r="R9978" i="2"/>
  <c r="R9977" i="2"/>
  <c r="R9976" i="2"/>
  <c r="R9975" i="2"/>
  <c r="R9974" i="2"/>
  <c r="R9973" i="2"/>
  <c r="R9972" i="2"/>
  <c r="R9971" i="2"/>
  <c r="R9970" i="2"/>
  <c r="R9969" i="2"/>
  <c r="R9968" i="2"/>
  <c r="R9967" i="2"/>
  <c r="R9966" i="2"/>
  <c r="R9965" i="2"/>
  <c r="R9964" i="2"/>
  <c r="R9963" i="2"/>
  <c r="R9962" i="2"/>
  <c r="R9961" i="2"/>
  <c r="R9960" i="2"/>
  <c r="R9959" i="2"/>
  <c r="R9958" i="2"/>
  <c r="R9957" i="2"/>
  <c r="R9956" i="2"/>
  <c r="R9955" i="2"/>
  <c r="R9954" i="2"/>
  <c r="R9953" i="2"/>
  <c r="R9952" i="2"/>
  <c r="R9951" i="2"/>
  <c r="R9950" i="2"/>
  <c r="R9949" i="2"/>
  <c r="R9948" i="2"/>
  <c r="R9947" i="2"/>
  <c r="R9946" i="2"/>
  <c r="R9945" i="2"/>
  <c r="R9944" i="2"/>
  <c r="R9943" i="2"/>
  <c r="R9942" i="2"/>
  <c r="R9941" i="2"/>
  <c r="R9940" i="2"/>
  <c r="R9939" i="2"/>
  <c r="R9938" i="2"/>
  <c r="R9937" i="2"/>
  <c r="R9936" i="2"/>
  <c r="R9935" i="2"/>
  <c r="R9934" i="2"/>
  <c r="R9933" i="2"/>
  <c r="R9932" i="2"/>
  <c r="R9931" i="2"/>
  <c r="R9930" i="2"/>
  <c r="R9929" i="2"/>
  <c r="R9928" i="2"/>
  <c r="R9927" i="2"/>
  <c r="R9926" i="2"/>
  <c r="R9925" i="2"/>
  <c r="R9924" i="2"/>
  <c r="R9923" i="2"/>
  <c r="R9922" i="2"/>
  <c r="R9921" i="2"/>
  <c r="R9920" i="2"/>
  <c r="R9919" i="2"/>
  <c r="R9918" i="2"/>
  <c r="R9917" i="2"/>
  <c r="R9916" i="2"/>
  <c r="R9915" i="2"/>
  <c r="R9914" i="2"/>
  <c r="R9913" i="2"/>
  <c r="R9912" i="2"/>
  <c r="R9911" i="2"/>
  <c r="R9910" i="2"/>
  <c r="R9909" i="2"/>
  <c r="R9908" i="2"/>
  <c r="R9907" i="2"/>
  <c r="R9906" i="2"/>
  <c r="R9905" i="2"/>
  <c r="R9904" i="2"/>
  <c r="R9903" i="2"/>
  <c r="R9902" i="2"/>
  <c r="R9901" i="2"/>
  <c r="R9900" i="2"/>
  <c r="R9899" i="2"/>
  <c r="R9898" i="2"/>
  <c r="R9897" i="2"/>
  <c r="R9896" i="2"/>
  <c r="R9895" i="2"/>
  <c r="R9894" i="2"/>
  <c r="R9893" i="2"/>
  <c r="R9892" i="2"/>
  <c r="R9891" i="2"/>
  <c r="R9890" i="2"/>
  <c r="R9889" i="2"/>
  <c r="R9888" i="2"/>
  <c r="R9887" i="2"/>
  <c r="R9886" i="2"/>
  <c r="R9885" i="2"/>
  <c r="R9884" i="2"/>
  <c r="R9883" i="2"/>
  <c r="R9882" i="2"/>
  <c r="R9881" i="2"/>
  <c r="R9880" i="2"/>
  <c r="R9879" i="2"/>
  <c r="R9878" i="2"/>
  <c r="R9877" i="2"/>
  <c r="R9876" i="2"/>
  <c r="R9875" i="2"/>
  <c r="R9874" i="2"/>
  <c r="R9873" i="2"/>
  <c r="R9872" i="2"/>
  <c r="R9871" i="2"/>
  <c r="R9870" i="2"/>
  <c r="R9869" i="2"/>
  <c r="R9868" i="2"/>
  <c r="R9867" i="2"/>
  <c r="R9866" i="2"/>
  <c r="R9865" i="2"/>
  <c r="R9864" i="2"/>
  <c r="R9863" i="2"/>
  <c r="R9862" i="2"/>
  <c r="R9861" i="2"/>
  <c r="R9860" i="2"/>
  <c r="R9859" i="2"/>
  <c r="R9858" i="2"/>
  <c r="R9857" i="2"/>
  <c r="R9856" i="2"/>
  <c r="R9855" i="2"/>
  <c r="R9854" i="2"/>
  <c r="R9853" i="2"/>
  <c r="R9852" i="2"/>
  <c r="R9851" i="2"/>
  <c r="R9850" i="2"/>
  <c r="R9849" i="2"/>
  <c r="R9848" i="2"/>
  <c r="R9847" i="2"/>
  <c r="R9846" i="2"/>
  <c r="R9845" i="2"/>
  <c r="R9844" i="2"/>
  <c r="R9843" i="2"/>
  <c r="R9842" i="2"/>
  <c r="R9841" i="2"/>
  <c r="R9840" i="2"/>
  <c r="R9839" i="2"/>
  <c r="R9838" i="2"/>
  <c r="R9837" i="2"/>
  <c r="R9836" i="2"/>
  <c r="R9835" i="2"/>
  <c r="R9834" i="2"/>
  <c r="R9833" i="2"/>
  <c r="R9832" i="2"/>
  <c r="R9831" i="2"/>
  <c r="R9830" i="2"/>
  <c r="R9829" i="2"/>
  <c r="R9828" i="2"/>
  <c r="R9827" i="2"/>
  <c r="R9826" i="2"/>
  <c r="R9825" i="2"/>
  <c r="R9824" i="2"/>
  <c r="R9823" i="2"/>
  <c r="R9822" i="2"/>
  <c r="R9821" i="2"/>
  <c r="R9820" i="2"/>
  <c r="R9819" i="2"/>
  <c r="R9818" i="2"/>
  <c r="R9817" i="2"/>
  <c r="R9816" i="2"/>
  <c r="R9815" i="2"/>
  <c r="R9814" i="2"/>
  <c r="R9813" i="2"/>
  <c r="R9812" i="2"/>
  <c r="R9811" i="2"/>
  <c r="R9810" i="2"/>
  <c r="R9809" i="2"/>
  <c r="R9808" i="2"/>
  <c r="R9807" i="2"/>
  <c r="R9806" i="2"/>
  <c r="R9805" i="2"/>
  <c r="R9804" i="2"/>
  <c r="R9803" i="2"/>
  <c r="R9802" i="2"/>
  <c r="R9801" i="2"/>
  <c r="R9800" i="2"/>
  <c r="R9799" i="2"/>
  <c r="R9798" i="2"/>
  <c r="R9797" i="2"/>
  <c r="R9796" i="2"/>
  <c r="R9795" i="2"/>
  <c r="R9794" i="2"/>
  <c r="R9793" i="2"/>
  <c r="R9792" i="2"/>
  <c r="R9791" i="2"/>
  <c r="R9790" i="2"/>
  <c r="R9789" i="2"/>
  <c r="R9788" i="2"/>
  <c r="R9787" i="2"/>
  <c r="R9786" i="2"/>
  <c r="R9785" i="2"/>
  <c r="R9784" i="2"/>
  <c r="R9783" i="2"/>
  <c r="R9782" i="2"/>
  <c r="R9781" i="2"/>
  <c r="R9780" i="2"/>
  <c r="R9779" i="2"/>
  <c r="R9778" i="2"/>
  <c r="R9777" i="2"/>
  <c r="R9776" i="2"/>
  <c r="R9775" i="2"/>
  <c r="R9774" i="2"/>
  <c r="R9773" i="2"/>
  <c r="R9772" i="2"/>
  <c r="R9771" i="2"/>
  <c r="R9770" i="2"/>
  <c r="R9769" i="2"/>
  <c r="R9768" i="2"/>
  <c r="R9767" i="2"/>
  <c r="R9766" i="2"/>
  <c r="R9765" i="2"/>
  <c r="R9764" i="2"/>
  <c r="R9763" i="2"/>
  <c r="R9762" i="2"/>
  <c r="R9761" i="2"/>
  <c r="R9760" i="2"/>
  <c r="R9759" i="2"/>
  <c r="R9758" i="2"/>
  <c r="R9757" i="2"/>
  <c r="R9756" i="2"/>
  <c r="R9755" i="2"/>
  <c r="R9754" i="2"/>
  <c r="R9753" i="2"/>
  <c r="R9752" i="2"/>
  <c r="R9751" i="2"/>
  <c r="R9750" i="2"/>
  <c r="R9749" i="2"/>
  <c r="R9748" i="2"/>
  <c r="R9747" i="2"/>
  <c r="R9746" i="2"/>
  <c r="R9745" i="2"/>
  <c r="R9744" i="2"/>
  <c r="R9743" i="2"/>
  <c r="R9742" i="2"/>
  <c r="R9741" i="2"/>
  <c r="R9740" i="2"/>
  <c r="R9739" i="2"/>
  <c r="R9738" i="2"/>
  <c r="R9737" i="2"/>
  <c r="R9736" i="2"/>
  <c r="R9735" i="2"/>
  <c r="R9734" i="2"/>
  <c r="R9733" i="2"/>
  <c r="R9732" i="2"/>
  <c r="R9731" i="2"/>
  <c r="R9730" i="2"/>
  <c r="R9729" i="2"/>
  <c r="R9728" i="2"/>
  <c r="R9727" i="2"/>
  <c r="R9726" i="2"/>
  <c r="R9725" i="2"/>
  <c r="R9724" i="2"/>
  <c r="R9723" i="2"/>
  <c r="R9722" i="2"/>
  <c r="R9721" i="2"/>
  <c r="R9720" i="2"/>
  <c r="R9719" i="2"/>
  <c r="R9718" i="2"/>
  <c r="R9717" i="2"/>
  <c r="R9716" i="2"/>
  <c r="R9715" i="2"/>
  <c r="R9714" i="2"/>
  <c r="R9713" i="2"/>
  <c r="R9712" i="2"/>
  <c r="R9711" i="2"/>
  <c r="R9710" i="2"/>
  <c r="R9709" i="2"/>
  <c r="R9708" i="2"/>
  <c r="R9707" i="2"/>
  <c r="R9706" i="2"/>
  <c r="R9705" i="2"/>
  <c r="R9704" i="2"/>
  <c r="R9703" i="2"/>
  <c r="R9702" i="2"/>
  <c r="R9701" i="2"/>
  <c r="R9700" i="2"/>
  <c r="R9699" i="2"/>
  <c r="R9698" i="2"/>
  <c r="R9697" i="2"/>
  <c r="R9696" i="2"/>
  <c r="R9695" i="2"/>
  <c r="R9694" i="2"/>
  <c r="R9693" i="2"/>
  <c r="R9692" i="2"/>
  <c r="R9691" i="2"/>
  <c r="R9690" i="2"/>
  <c r="R9689" i="2"/>
  <c r="R9688" i="2"/>
  <c r="R9687" i="2"/>
  <c r="R9686" i="2"/>
  <c r="R9685" i="2"/>
  <c r="R9684" i="2"/>
  <c r="R9683" i="2"/>
  <c r="R9682" i="2"/>
  <c r="R9681" i="2"/>
  <c r="R9680" i="2"/>
  <c r="R9679" i="2"/>
  <c r="R9678" i="2"/>
  <c r="R9677" i="2"/>
  <c r="R9676" i="2"/>
  <c r="R9675" i="2"/>
  <c r="R9674" i="2"/>
  <c r="R9673" i="2"/>
  <c r="R9672" i="2"/>
  <c r="R9671" i="2"/>
  <c r="R9670" i="2"/>
  <c r="R9669" i="2"/>
  <c r="R9668" i="2"/>
  <c r="R9667" i="2"/>
  <c r="R9666" i="2"/>
  <c r="R9665" i="2"/>
  <c r="R9664" i="2"/>
  <c r="R9663" i="2"/>
  <c r="R9662" i="2"/>
  <c r="R9661" i="2"/>
  <c r="R9660" i="2"/>
  <c r="R9659" i="2"/>
  <c r="R9658" i="2"/>
  <c r="R9657" i="2"/>
  <c r="R9656" i="2"/>
  <c r="R9655" i="2"/>
  <c r="R9654" i="2"/>
  <c r="R9653" i="2"/>
  <c r="R9652" i="2"/>
  <c r="R9651" i="2"/>
  <c r="R9650" i="2"/>
  <c r="R9649" i="2"/>
  <c r="R9648" i="2"/>
  <c r="R9647" i="2"/>
  <c r="R9646" i="2"/>
  <c r="R9645" i="2"/>
  <c r="R9644" i="2"/>
  <c r="R9643" i="2"/>
  <c r="R9642" i="2"/>
  <c r="R9641" i="2"/>
  <c r="R9640" i="2"/>
  <c r="R9639" i="2"/>
  <c r="R9638" i="2"/>
  <c r="R9637" i="2"/>
  <c r="R9636" i="2"/>
  <c r="R9635" i="2"/>
  <c r="R9634" i="2"/>
  <c r="R9633" i="2"/>
  <c r="R9632" i="2"/>
  <c r="R9631" i="2"/>
  <c r="R9630" i="2"/>
  <c r="R9629" i="2"/>
  <c r="R9628" i="2"/>
  <c r="R9627" i="2"/>
  <c r="R9626" i="2"/>
  <c r="R9625" i="2"/>
  <c r="R9624" i="2"/>
  <c r="R9623" i="2"/>
  <c r="R9622" i="2"/>
  <c r="R9621" i="2"/>
  <c r="R9620" i="2"/>
  <c r="R9619" i="2"/>
  <c r="R9618" i="2"/>
  <c r="R9617" i="2"/>
  <c r="R9616" i="2"/>
  <c r="R9615" i="2"/>
  <c r="R9614" i="2"/>
  <c r="R9613" i="2"/>
  <c r="R9612" i="2"/>
  <c r="R9611" i="2"/>
  <c r="R9610" i="2"/>
  <c r="R9609" i="2"/>
  <c r="R9608" i="2"/>
  <c r="R9607" i="2"/>
  <c r="R9606" i="2"/>
  <c r="R9605" i="2"/>
  <c r="R9604" i="2"/>
  <c r="R9603" i="2"/>
  <c r="R9602" i="2"/>
  <c r="R9601" i="2"/>
  <c r="R9600" i="2"/>
  <c r="R9599" i="2"/>
  <c r="R9598" i="2"/>
  <c r="R9597" i="2"/>
  <c r="R9596" i="2"/>
  <c r="R9595" i="2"/>
  <c r="R9594" i="2"/>
  <c r="R9593" i="2"/>
  <c r="R9592" i="2"/>
  <c r="R9591" i="2"/>
  <c r="R9590" i="2"/>
  <c r="R9589" i="2"/>
  <c r="R9588" i="2"/>
  <c r="R9587" i="2"/>
  <c r="R9586" i="2"/>
  <c r="R9585" i="2"/>
  <c r="R9584" i="2"/>
  <c r="R9583" i="2"/>
  <c r="R9582" i="2"/>
  <c r="R9581" i="2"/>
  <c r="R9580" i="2"/>
  <c r="R9579" i="2"/>
  <c r="R9578" i="2"/>
  <c r="R9577" i="2"/>
  <c r="R9576" i="2"/>
  <c r="R9575" i="2"/>
  <c r="R9574" i="2"/>
  <c r="R9573" i="2"/>
  <c r="R9572" i="2"/>
  <c r="R9571" i="2"/>
  <c r="R9570" i="2"/>
  <c r="R9569" i="2"/>
  <c r="R9568" i="2"/>
  <c r="R9567" i="2"/>
  <c r="R9566" i="2"/>
  <c r="R9565" i="2"/>
  <c r="R9564" i="2"/>
  <c r="R9563" i="2"/>
  <c r="R9562" i="2"/>
  <c r="R9561" i="2"/>
  <c r="R9560" i="2"/>
  <c r="R9559" i="2"/>
  <c r="R9558" i="2"/>
  <c r="R9557" i="2"/>
  <c r="R9556" i="2"/>
  <c r="R9555" i="2"/>
  <c r="R9554" i="2"/>
  <c r="R9553" i="2"/>
  <c r="R9552" i="2"/>
  <c r="R9551" i="2"/>
  <c r="R9550" i="2"/>
  <c r="R9549" i="2"/>
  <c r="R9548" i="2"/>
  <c r="R9547" i="2"/>
  <c r="R9546" i="2"/>
  <c r="R9545" i="2"/>
  <c r="R9544" i="2"/>
  <c r="R9543" i="2"/>
  <c r="R9542" i="2"/>
  <c r="R9541" i="2"/>
  <c r="R9540" i="2"/>
  <c r="R9539" i="2"/>
  <c r="R9538" i="2"/>
  <c r="R9537" i="2"/>
  <c r="R9536" i="2"/>
  <c r="R9535" i="2"/>
  <c r="R9534" i="2"/>
  <c r="R9533" i="2"/>
  <c r="R9532" i="2"/>
  <c r="R9531" i="2"/>
  <c r="R9530" i="2"/>
  <c r="R9529" i="2"/>
  <c r="R9528" i="2"/>
  <c r="R9527" i="2"/>
  <c r="R9526" i="2"/>
  <c r="R9525" i="2"/>
  <c r="R9524" i="2"/>
  <c r="R9523" i="2"/>
  <c r="R9522" i="2"/>
  <c r="R9521" i="2"/>
  <c r="R9520" i="2"/>
  <c r="R9519" i="2"/>
  <c r="R9518" i="2"/>
  <c r="R9517" i="2"/>
  <c r="R9516" i="2"/>
  <c r="R9515" i="2"/>
  <c r="R9514" i="2"/>
  <c r="R9513" i="2"/>
  <c r="R9512" i="2"/>
  <c r="R9511" i="2"/>
  <c r="R9510" i="2"/>
  <c r="R9509" i="2"/>
  <c r="R9508" i="2"/>
  <c r="R9507" i="2"/>
  <c r="R9506" i="2"/>
  <c r="R9505" i="2"/>
  <c r="R9504" i="2"/>
  <c r="R9503" i="2"/>
  <c r="R9502" i="2"/>
  <c r="R9501" i="2"/>
  <c r="R9500" i="2"/>
  <c r="R9499" i="2"/>
  <c r="R9498" i="2"/>
  <c r="R9497" i="2"/>
  <c r="R9496" i="2"/>
  <c r="R9495" i="2"/>
  <c r="R9494" i="2"/>
  <c r="R9493" i="2"/>
  <c r="R9492" i="2"/>
  <c r="R9491" i="2"/>
  <c r="R9490" i="2"/>
  <c r="R9489" i="2"/>
  <c r="R9488" i="2"/>
  <c r="R9487" i="2"/>
  <c r="R9486" i="2"/>
  <c r="R9485" i="2"/>
  <c r="R9484" i="2"/>
  <c r="R9483" i="2"/>
  <c r="R9482" i="2"/>
  <c r="R9481" i="2"/>
  <c r="R9480" i="2"/>
  <c r="R9479" i="2"/>
  <c r="R9478" i="2"/>
  <c r="R9477" i="2"/>
  <c r="R9476" i="2"/>
  <c r="R9475" i="2"/>
  <c r="R9474" i="2"/>
  <c r="R9473" i="2"/>
  <c r="R9472" i="2"/>
  <c r="R9471" i="2"/>
  <c r="R9470" i="2"/>
  <c r="R9469" i="2"/>
  <c r="R9468" i="2"/>
  <c r="R9467" i="2"/>
  <c r="R9466" i="2"/>
  <c r="R9465" i="2"/>
  <c r="R9464" i="2"/>
  <c r="R9463" i="2"/>
  <c r="R9462" i="2"/>
  <c r="R9461" i="2"/>
  <c r="R9460" i="2"/>
  <c r="R9459" i="2"/>
  <c r="R9458" i="2"/>
  <c r="R9457" i="2"/>
  <c r="R9456" i="2"/>
  <c r="R9455" i="2"/>
  <c r="R9454" i="2"/>
  <c r="R9453" i="2"/>
  <c r="R9452" i="2"/>
  <c r="R9451" i="2"/>
  <c r="R9450" i="2"/>
  <c r="R9449" i="2"/>
  <c r="R9448" i="2"/>
  <c r="R9447" i="2"/>
  <c r="R9446" i="2"/>
  <c r="R9445" i="2"/>
  <c r="R9444" i="2"/>
  <c r="R9443" i="2"/>
  <c r="R9442" i="2"/>
  <c r="R9441" i="2"/>
  <c r="R9440" i="2"/>
  <c r="R9439" i="2"/>
  <c r="R9438" i="2"/>
  <c r="R9437" i="2"/>
  <c r="R9436" i="2"/>
  <c r="R9435" i="2"/>
  <c r="R9434" i="2"/>
  <c r="R9433" i="2"/>
  <c r="R9432" i="2"/>
  <c r="R9431" i="2"/>
  <c r="R9430" i="2"/>
  <c r="R9429" i="2"/>
  <c r="R9428" i="2"/>
  <c r="R9427" i="2"/>
  <c r="R9426" i="2"/>
  <c r="R9425" i="2"/>
  <c r="R9424" i="2"/>
  <c r="R9423" i="2"/>
  <c r="R9422" i="2"/>
  <c r="R9421" i="2"/>
  <c r="R9420" i="2"/>
  <c r="R9419" i="2"/>
  <c r="R9418" i="2"/>
  <c r="R9417" i="2"/>
  <c r="R9416" i="2"/>
  <c r="R9415" i="2"/>
  <c r="R9414" i="2"/>
  <c r="R9413" i="2"/>
  <c r="R9412" i="2"/>
  <c r="R9411" i="2"/>
  <c r="R9410" i="2"/>
  <c r="R9409" i="2"/>
  <c r="R9408" i="2"/>
  <c r="R9407" i="2"/>
  <c r="R9406" i="2"/>
  <c r="R9405" i="2"/>
  <c r="R9404" i="2"/>
  <c r="R9403" i="2"/>
  <c r="R9402" i="2"/>
  <c r="R9401" i="2"/>
  <c r="R9400" i="2"/>
  <c r="R9399" i="2"/>
  <c r="R9398" i="2"/>
  <c r="R9397" i="2"/>
  <c r="R9396" i="2"/>
  <c r="R9395" i="2"/>
  <c r="R9394" i="2"/>
  <c r="R9393" i="2"/>
  <c r="R9392" i="2"/>
  <c r="R9391" i="2"/>
  <c r="R9390" i="2"/>
  <c r="R9389" i="2"/>
  <c r="R9388" i="2"/>
  <c r="R9387" i="2"/>
  <c r="R9386" i="2"/>
  <c r="R9385" i="2"/>
  <c r="R9384" i="2"/>
  <c r="R9383" i="2"/>
  <c r="R9382" i="2"/>
  <c r="R9381" i="2"/>
  <c r="R9380" i="2"/>
  <c r="R9379" i="2"/>
  <c r="R9378" i="2"/>
  <c r="R9377" i="2"/>
  <c r="R9376" i="2"/>
  <c r="R9375" i="2"/>
  <c r="R9374" i="2"/>
  <c r="R9373" i="2"/>
  <c r="R9372" i="2"/>
  <c r="R9371" i="2"/>
  <c r="R9370" i="2"/>
  <c r="R9369" i="2"/>
  <c r="R9368" i="2"/>
  <c r="R9367" i="2"/>
  <c r="R9366" i="2"/>
  <c r="R9365" i="2"/>
  <c r="R9364" i="2"/>
  <c r="R9363" i="2"/>
  <c r="R9362" i="2"/>
  <c r="R9361" i="2"/>
  <c r="R9360" i="2"/>
  <c r="R9359" i="2"/>
  <c r="R9358" i="2"/>
  <c r="R9357" i="2"/>
  <c r="R9356" i="2"/>
  <c r="R9355" i="2"/>
  <c r="R9354" i="2"/>
  <c r="R9353" i="2"/>
  <c r="R9352" i="2"/>
  <c r="R9351" i="2"/>
  <c r="R9350" i="2"/>
  <c r="R9349" i="2"/>
  <c r="R9348" i="2"/>
  <c r="R9347" i="2"/>
  <c r="R9346" i="2"/>
  <c r="R9345" i="2"/>
  <c r="R9344" i="2"/>
  <c r="R9343" i="2"/>
  <c r="R9342" i="2"/>
  <c r="R9341" i="2"/>
  <c r="R9340" i="2"/>
  <c r="R9339" i="2"/>
  <c r="R9338" i="2"/>
  <c r="R9337" i="2"/>
  <c r="R9336" i="2"/>
  <c r="R9335" i="2"/>
  <c r="R9334" i="2"/>
  <c r="R9333" i="2"/>
  <c r="R9332" i="2"/>
  <c r="R9331" i="2"/>
  <c r="R9330" i="2"/>
  <c r="R9329" i="2"/>
  <c r="R9328" i="2"/>
  <c r="R9327" i="2"/>
  <c r="R9326" i="2"/>
  <c r="R9325" i="2"/>
  <c r="R9324" i="2"/>
  <c r="R9323" i="2"/>
  <c r="R9322" i="2"/>
  <c r="R9321" i="2"/>
  <c r="R9320" i="2"/>
  <c r="R9319" i="2"/>
  <c r="R9318" i="2"/>
  <c r="R9317" i="2"/>
  <c r="R9316" i="2"/>
  <c r="R9315" i="2"/>
  <c r="R9314" i="2"/>
  <c r="R9313" i="2"/>
  <c r="R9312" i="2"/>
  <c r="R9311" i="2"/>
  <c r="R9310" i="2"/>
  <c r="R9309" i="2"/>
  <c r="R9308" i="2"/>
  <c r="R9307" i="2"/>
  <c r="R9306" i="2"/>
  <c r="R9305" i="2"/>
  <c r="R9304" i="2"/>
  <c r="R9303" i="2"/>
  <c r="R9302" i="2"/>
  <c r="R9301" i="2"/>
  <c r="R9300" i="2"/>
  <c r="R9299" i="2"/>
  <c r="R9298" i="2"/>
  <c r="R9297" i="2"/>
  <c r="R9296" i="2"/>
  <c r="R9295" i="2"/>
  <c r="R9294" i="2"/>
  <c r="R9293" i="2"/>
  <c r="R9292" i="2"/>
  <c r="R9291" i="2"/>
  <c r="R9290" i="2"/>
  <c r="R9289" i="2"/>
  <c r="R9288" i="2"/>
  <c r="R9287" i="2"/>
  <c r="R9286" i="2"/>
  <c r="R9285" i="2"/>
  <c r="R9284" i="2"/>
  <c r="R9283" i="2"/>
  <c r="R9282" i="2"/>
  <c r="R9281" i="2"/>
  <c r="R9280" i="2"/>
  <c r="R9279" i="2"/>
  <c r="R9278" i="2"/>
  <c r="R9277" i="2"/>
  <c r="R9276" i="2"/>
  <c r="R9275" i="2"/>
  <c r="R9274" i="2"/>
  <c r="R9273" i="2"/>
  <c r="R9272" i="2"/>
  <c r="R9271" i="2"/>
  <c r="R9270" i="2"/>
  <c r="R9269" i="2"/>
  <c r="R9268" i="2"/>
  <c r="R9267" i="2"/>
  <c r="R9266" i="2"/>
  <c r="R9265" i="2"/>
  <c r="R9264" i="2"/>
  <c r="R9263" i="2"/>
  <c r="R9262" i="2"/>
  <c r="R9261" i="2"/>
  <c r="R9260" i="2"/>
  <c r="R9259" i="2"/>
  <c r="R9258" i="2"/>
  <c r="R9257" i="2"/>
  <c r="R9256" i="2"/>
  <c r="R9255" i="2"/>
  <c r="R9254" i="2"/>
  <c r="R9253" i="2"/>
  <c r="R9252" i="2"/>
  <c r="R9251" i="2"/>
  <c r="R9250" i="2"/>
  <c r="R9249" i="2"/>
  <c r="R9248" i="2"/>
  <c r="R9247" i="2"/>
  <c r="R9246" i="2"/>
  <c r="R9245" i="2"/>
  <c r="R9244" i="2"/>
  <c r="R9243" i="2"/>
  <c r="R9242" i="2"/>
  <c r="R9241" i="2"/>
  <c r="R9240" i="2"/>
  <c r="R9239" i="2"/>
  <c r="R9238" i="2"/>
  <c r="R9237" i="2"/>
  <c r="R9236" i="2"/>
  <c r="R9235" i="2"/>
  <c r="R9234" i="2"/>
  <c r="R9233" i="2"/>
  <c r="R9232" i="2"/>
  <c r="R9231" i="2"/>
  <c r="R9230" i="2"/>
  <c r="R9229" i="2"/>
  <c r="R9228" i="2"/>
  <c r="R9227" i="2"/>
  <c r="R9226" i="2"/>
  <c r="R9225" i="2"/>
  <c r="R9224" i="2"/>
  <c r="R9223" i="2"/>
  <c r="R9222" i="2"/>
  <c r="R9221" i="2"/>
  <c r="R9220" i="2"/>
  <c r="R9219" i="2"/>
  <c r="R9218" i="2"/>
  <c r="R9217" i="2"/>
  <c r="R9216" i="2"/>
  <c r="R9215" i="2"/>
  <c r="R9214" i="2"/>
  <c r="R9213" i="2"/>
  <c r="R9212" i="2"/>
  <c r="R9211" i="2"/>
  <c r="R9210" i="2"/>
  <c r="R9209" i="2"/>
  <c r="R9208" i="2"/>
  <c r="R9207" i="2"/>
  <c r="R9206" i="2"/>
  <c r="R9205" i="2"/>
  <c r="R9204" i="2"/>
  <c r="R9203" i="2"/>
  <c r="R9202" i="2"/>
  <c r="R9201" i="2"/>
  <c r="R9200" i="2"/>
  <c r="R9199" i="2"/>
  <c r="R9198" i="2"/>
  <c r="R9197" i="2"/>
  <c r="R9196" i="2"/>
  <c r="R9195" i="2"/>
  <c r="R9194" i="2"/>
  <c r="R9193" i="2"/>
  <c r="R9192" i="2"/>
  <c r="R9191" i="2"/>
  <c r="R9190" i="2"/>
  <c r="R9189" i="2"/>
  <c r="R9188" i="2"/>
  <c r="R9187" i="2"/>
  <c r="R9186" i="2"/>
  <c r="R9185" i="2"/>
  <c r="R9184" i="2"/>
  <c r="R9183" i="2"/>
  <c r="R9182" i="2"/>
  <c r="R9181" i="2"/>
  <c r="R9180" i="2"/>
  <c r="R9179" i="2"/>
  <c r="R9178" i="2"/>
  <c r="R9177" i="2"/>
  <c r="R9176" i="2"/>
  <c r="R9175" i="2"/>
  <c r="R9174" i="2"/>
  <c r="R9173" i="2"/>
  <c r="R9172" i="2"/>
  <c r="R9171" i="2"/>
  <c r="R9170" i="2"/>
  <c r="R9169" i="2"/>
  <c r="R9168" i="2"/>
  <c r="R9167" i="2"/>
  <c r="R9166" i="2"/>
  <c r="R9165" i="2"/>
  <c r="R9164" i="2"/>
  <c r="R9163" i="2"/>
  <c r="R9162" i="2"/>
  <c r="R9161" i="2"/>
  <c r="R9160" i="2"/>
  <c r="R9159" i="2"/>
  <c r="R9158" i="2"/>
  <c r="R9157" i="2"/>
  <c r="R9156" i="2"/>
  <c r="R9155" i="2"/>
  <c r="R9154" i="2"/>
  <c r="R9153" i="2"/>
  <c r="R9152" i="2"/>
  <c r="R9151" i="2"/>
  <c r="R9150" i="2"/>
  <c r="R9149" i="2"/>
  <c r="R9148" i="2"/>
  <c r="R9147" i="2"/>
  <c r="R9146" i="2"/>
  <c r="R9145" i="2"/>
  <c r="R9144" i="2"/>
  <c r="R9143" i="2"/>
  <c r="R9142" i="2"/>
  <c r="R9141" i="2"/>
  <c r="R9140" i="2"/>
  <c r="R9139" i="2"/>
  <c r="R9138" i="2"/>
  <c r="R9137" i="2"/>
  <c r="R9136" i="2"/>
  <c r="R9135" i="2"/>
  <c r="R9134" i="2"/>
  <c r="R9133" i="2"/>
  <c r="R9132" i="2"/>
  <c r="R9131" i="2"/>
  <c r="R9130" i="2"/>
  <c r="R9129" i="2"/>
  <c r="R9128" i="2"/>
  <c r="R9127" i="2"/>
  <c r="R9126" i="2"/>
  <c r="R9125" i="2"/>
  <c r="R9124" i="2"/>
  <c r="R9123" i="2"/>
  <c r="R9122" i="2"/>
  <c r="R9121" i="2"/>
  <c r="R9120" i="2"/>
  <c r="R9119" i="2"/>
  <c r="R9118" i="2"/>
  <c r="R9117" i="2"/>
  <c r="R9116" i="2"/>
  <c r="R9115" i="2"/>
  <c r="R9114" i="2"/>
  <c r="R9113" i="2"/>
  <c r="R9112" i="2"/>
  <c r="R9111" i="2"/>
  <c r="R9110" i="2"/>
  <c r="R9109" i="2"/>
  <c r="R9108" i="2"/>
  <c r="R9107" i="2"/>
  <c r="R9106" i="2"/>
  <c r="R9105" i="2"/>
  <c r="R9104" i="2"/>
  <c r="R9103" i="2"/>
  <c r="R9102" i="2"/>
  <c r="R9101" i="2"/>
  <c r="R9100" i="2"/>
  <c r="R9099" i="2"/>
  <c r="R9098" i="2"/>
  <c r="R9097" i="2"/>
  <c r="R9096" i="2"/>
  <c r="R9095" i="2"/>
  <c r="R9094" i="2"/>
  <c r="R9093" i="2"/>
  <c r="R9092" i="2"/>
  <c r="R9091" i="2"/>
  <c r="R9090" i="2"/>
  <c r="R9089" i="2"/>
  <c r="R9088" i="2"/>
  <c r="R9087" i="2"/>
  <c r="R9086" i="2"/>
  <c r="R9085" i="2"/>
  <c r="R9084" i="2"/>
  <c r="R9083" i="2"/>
  <c r="R9082" i="2"/>
  <c r="R9081" i="2"/>
  <c r="R9080" i="2"/>
  <c r="R9079" i="2"/>
  <c r="R9078" i="2"/>
  <c r="R9077" i="2"/>
  <c r="R9076" i="2"/>
  <c r="R9075" i="2"/>
  <c r="R9074" i="2"/>
  <c r="R9073" i="2"/>
  <c r="R9072" i="2"/>
  <c r="R9071" i="2"/>
  <c r="R9070" i="2"/>
  <c r="R9069" i="2"/>
  <c r="R9068" i="2"/>
  <c r="R9067" i="2"/>
  <c r="R9066" i="2"/>
  <c r="R9065" i="2"/>
  <c r="R9064" i="2"/>
  <c r="R9063" i="2"/>
  <c r="R9062" i="2"/>
  <c r="R9061" i="2"/>
  <c r="R9060" i="2"/>
  <c r="R9059" i="2"/>
  <c r="R9058" i="2"/>
  <c r="R9057" i="2"/>
  <c r="R9056" i="2"/>
  <c r="R9055" i="2"/>
  <c r="R9054" i="2"/>
  <c r="R9053" i="2"/>
  <c r="R9052" i="2"/>
  <c r="R9051" i="2"/>
  <c r="R9050" i="2"/>
  <c r="R9049" i="2"/>
  <c r="R9048" i="2"/>
  <c r="R9047" i="2"/>
  <c r="R9046" i="2"/>
  <c r="R9045" i="2"/>
  <c r="R9044" i="2"/>
  <c r="R9043" i="2"/>
  <c r="R9042" i="2"/>
  <c r="R9041" i="2"/>
  <c r="R9040" i="2"/>
  <c r="R9039" i="2"/>
  <c r="R9038" i="2"/>
  <c r="R9037" i="2"/>
  <c r="R9036" i="2"/>
  <c r="R9035" i="2"/>
  <c r="R9034" i="2"/>
  <c r="R9033" i="2"/>
  <c r="R9032" i="2"/>
  <c r="R9031" i="2"/>
  <c r="R9030" i="2"/>
  <c r="R9029" i="2"/>
  <c r="R9028" i="2"/>
  <c r="R9027" i="2"/>
  <c r="R9026" i="2"/>
  <c r="R9025" i="2"/>
  <c r="R9024" i="2"/>
  <c r="R9023" i="2"/>
  <c r="R9022" i="2"/>
  <c r="R9021" i="2"/>
  <c r="R9020" i="2"/>
  <c r="R9019" i="2"/>
  <c r="R9018" i="2"/>
  <c r="R9017" i="2"/>
  <c r="R9016" i="2"/>
  <c r="R9015" i="2"/>
  <c r="R9014" i="2"/>
  <c r="R9013" i="2"/>
  <c r="R9012" i="2"/>
  <c r="R9011" i="2"/>
  <c r="R9010" i="2"/>
  <c r="R9009" i="2"/>
  <c r="R9008" i="2"/>
  <c r="R9007" i="2"/>
  <c r="R9006" i="2"/>
  <c r="R9005" i="2"/>
  <c r="R9004" i="2"/>
  <c r="R9003" i="2"/>
  <c r="R9002" i="2"/>
  <c r="R9001" i="2"/>
  <c r="R9000" i="2"/>
  <c r="R8999" i="2"/>
  <c r="R8998" i="2"/>
  <c r="R8997" i="2"/>
  <c r="R8996" i="2"/>
  <c r="R8995" i="2"/>
  <c r="R8994" i="2"/>
  <c r="R8993" i="2"/>
  <c r="R8992" i="2"/>
  <c r="R8991" i="2"/>
  <c r="R8990" i="2"/>
  <c r="R8989" i="2"/>
  <c r="R8988" i="2"/>
  <c r="R8987" i="2"/>
  <c r="R8986" i="2"/>
  <c r="R8985" i="2"/>
  <c r="R8984" i="2"/>
  <c r="R8983" i="2"/>
  <c r="R8982" i="2"/>
  <c r="R8981" i="2"/>
  <c r="R8980" i="2"/>
  <c r="R8979" i="2"/>
  <c r="R8978" i="2"/>
  <c r="R8977" i="2"/>
  <c r="R8976" i="2"/>
  <c r="R8975" i="2"/>
  <c r="R8974" i="2"/>
  <c r="R8973" i="2"/>
  <c r="R8972" i="2"/>
  <c r="R8971" i="2"/>
  <c r="R8970" i="2"/>
  <c r="R8969" i="2"/>
  <c r="R8968" i="2"/>
  <c r="R8967" i="2"/>
  <c r="R8966" i="2"/>
  <c r="R8965" i="2"/>
  <c r="R8964" i="2"/>
  <c r="R8963" i="2"/>
  <c r="R8962" i="2"/>
  <c r="R8961" i="2"/>
  <c r="R8960" i="2"/>
  <c r="R8959" i="2"/>
  <c r="R8958" i="2"/>
  <c r="R8957" i="2"/>
  <c r="R8956" i="2"/>
  <c r="R8955" i="2"/>
  <c r="R8954" i="2"/>
  <c r="R8953" i="2"/>
  <c r="R8952" i="2"/>
  <c r="R8951" i="2"/>
  <c r="R8950" i="2"/>
  <c r="R8949" i="2"/>
  <c r="R8948" i="2"/>
  <c r="R8947" i="2"/>
  <c r="R8946" i="2"/>
  <c r="R8945" i="2"/>
  <c r="R8944" i="2"/>
  <c r="R8943" i="2"/>
  <c r="R8942" i="2"/>
  <c r="R8941" i="2"/>
  <c r="R8940" i="2"/>
  <c r="R8939" i="2"/>
  <c r="R8938" i="2"/>
  <c r="R8937" i="2"/>
  <c r="R8936" i="2"/>
  <c r="R8935" i="2"/>
  <c r="R8934" i="2"/>
  <c r="R8933" i="2"/>
  <c r="R8932" i="2"/>
  <c r="R8931" i="2"/>
  <c r="R8930" i="2"/>
  <c r="R8929" i="2"/>
  <c r="R8928" i="2"/>
  <c r="R8927" i="2"/>
  <c r="R8926" i="2"/>
  <c r="R8925" i="2"/>
  <c r="R8924" i="2"/>
  <c r="R8923" i="2"/>
  <c r="R8922" i="2"/>
  <c r="R8921" i="2"/>
  <c r="R8920" i="2"/>
  <c r="R8919" i="2"/>
  <c r="R8918" i="2"/>
  <c r="R8917" i="2"/>
  <c r="R8916" i="2"/>
  <c r="R8915" i="2"/>
  <c r="R8914" i="2"/>
  <c r="R8913" i="2"/>
  <c r="R8912" i="2"/>
  <c r="R8911" i="2"/>
  <c r="R8910" i="2"/>
  <c r="R8909" i="2"/>
  <c r="R8908" i="2"/>
  <c r="R8907" i="2"/>
  <c r="R8906" i="2"/>
  <c r="R8905" i="2"/>
  <c r="R8904" i="2"/>
  <c r="R8903" i="2"/>
  <c r="R8902" i="2"/>
  <c r="R8901" i="2"/>
  <c r="R8900" i="2"/>
  <c r="R8899" i="2"/>
  <c r="R8898" i="2"/>
  <c r="R8897" i="2"/>
  <c r="R8896" i="2"/>
  <c r="R8895" i="2"/>
  <c r="R8894" i="2"/>
  <c r="R8893" i="2"/>
  <c r="R8892" i="2"/>
  <c r="R8891" i="2"/>
  <c r="R8890" i="2"/>
  <c r="R8889" i="2"/>
  <c r="R8888" i="2"/>
  <c r="R8887" i="2"/>
  <c r="R8886" i="2"/>
  <c r="R8885" i="2"/>
  <c r="R8884" i="2"/>
  <c r="R8883" i="2"/>
  <c r="R8882" i="2"/>
  <c r="R8881" i="2"/>
  <c r="R8880" i="2"/>
  <c r="R8879" i="2"/>
  <c r="R8878" i="2"/>
  <c r="R8877" i="2"/>
  <c r="R8876" i="2"/>
  <c r="R8875" i="2"/>
  <c r="R8874" i="2"/>
  <c r="R8873" i="2"/>
  <c r="R8872" i="2"/>
  <c r="R8871" i="2"/>
  <c r="R8870" i="2"/>
  <c r="R8869" i="2"/>
  <c r="R8868" i="2"/>
  <c r="R8867" i="2"/>
  <c r="R8866" i="2"/>
  <c r="R8865" i="2"/>
  <c r="R8864" i="2"/>
  <c r="R8863" i="2"/>
  <c r="R8862" i="2"/>
  <c r="R8861" i="2"/>
  <c r="R8860" i="2"/>
  <c r="R8859" i="2"/>
  <c r="R8858" i="2"/>
  <c r="R8857" i="2"/>
  <c r="R8856" i="2"/>
  <c r="R8855" i="2"/>
  <c r="R8854" i="2"/>
  <c r="R8853" i="2"/>
  <c r="R8852" i="2"/>
  <c r="R8851" i="2"/>
  <c r="R8850" i="2"/>
  <c r="R8849" i="2"/>
  <c r="R8848" i="2"/>
  <c r="R8847" i="2"/>
  <c r="R8846" i="2"/>
  <c r="R8845" i="2"/>
  <c r="R8844" i="2"/>
  <c r="R8843" i="2"/>
  <c r="R8842" i="2"/>
  <c r="R8841" i="2"/>
  <c r="R8840" i="2"/>
  <c r="R8839" i="2"/>
  <c r="R8838" i="2"/>
  <c r="R8837" i="2"/>
  <c r="R8836" i="2"/>
  <c r="R8835" i="2"/>
  <c r="R8834" i="2"/>
  <c r="R8833" i="2"/>
  <c r="R8832" i="2"/>
  <c r="R8831" i="2"/>
  <c r="R8830" i="2"/>
  <c r="R8829" i="2"/>
  <c r="R8828" i="2"/>
  <c r="R8827" i="2"/>
  <c r="R8826" i="2"/>
  <c r="R8825" i="2"/>
  <c r="R8824" i="2"/>
  <c r="R8823" i="2"/>
  <c r="R8822" i="2"/>
  <c r="R8821" i="2"/>
  <c r="R8820" i="2"/>
  <c r="R8819" i="2"/>
  <c r="R8818" i="2"/>
  <c r="R8817" i="2"/>
  <c r="R8816" i="2"/>
  <c r="R8815" i="2"/>
  <c r="R8814" i="2"/>
  <c r="R8813" i="2"/>
  <c r="R8812" i="2"/>
  <c r="R8811" i="2"/>
  <c r="R8810" i="2"/>
  <c r="R8809" i="2"/>
  <c r="R8808" i="2"/>
  <c r="R8807" i="2"/>
  <c r="R8806" i="2"/>
  <c r="R8805" i="2"/>
  <c r="R8804" i="2"/>
  <c r="R8803" i="2"/>
  <c r="R8802" i="2"/>
  <c r="R8801" i="2"/>
  <c r="R8800" i="2"/>
  <c r="R8799" i="2"/>
  <c r="R8798" i="2"/>
  <c r="R8797" i="2"/>
  <c r="R8796" i="2"/>
  <c r="R8795" i="2"/>
  <c r="R8794" i="2"/>
  <c r="R8793" i="2"/>
  <c r="R8792" i="2"/>
  <c r="R8791" i="2"/>
  <c r="R8790" i="2"/>
  <c r="R8789" i="2"/>
  <c r="R8788" i="2"/>
  <c r="R8787" i="2"/>
  <c r="R8786" i="2"/>
  <c r="R8785" i="2"/>
  <c r="R8784" i="2"/>
  <c r="R8783" i="2"/>
  <c r="R8782" i="2"/>
  <c r="R8781" i="2"/>
  <c r="R8780" i="2"/>
  <c r="R8779" i="2"/>
  <c r="R8778" i="2"/>
  <c r="R8777" i="2"/>
  <c r="R8776" i="2"/>
  <c r="R8775" i="2"/>
  <c r="R8774" i="2"/>
  <c r="R8773" i="2"/>
  <c r="R8772" i="2"/>
  <c r="R8771" i="2"/>
  <c r="R8770" i="2"/>
  <c r="R8769" i="2"/>
  <c r="R8768" i="2"/>
  <c r="R8767" i="2"/>
  <c r="R8766" i="2"/>
  <c r="R8765" i="2"/>
  <c r="R8764" i="2"/>
  <c r="R8763" i="2"/>
  <c r="R8762" i="2"/>
  <c r="R8761" i="2"/>
  <c r="R8760" i="2"/>
  <c r="R8759" i="2"/>
  <c r="R8758" i="2"/>
  <c r="R8757" i="2"/>
  <c r="R8756" i="2"/>
  <c r="R8755" i="2"/>
  <c r="R8754" i="2"/>
  <c r="R8753" i="2"/>
  <c r="R8752" i="2"/>
  <c r="R8751" i="2"/>
  <c r="R8750" i="2"/>
  <c r="R8749" i="2"/>
  <c r="R8748" i="2"/>
  <c r="R8747" i="2"/>
  <c r="R8746" i="2"/>
  <c r="R8745" i="2"/>
  <c r="R8744" i="2"/>
  <c r="R8743" i="2"/>
  <c r="R8742" i="2"/>
  <c r="R8741" i="2"/>
  <c r="R8740" i="2"/>
  <c r="R8739" i="2"/>
  <c r="R8738" i="2"/>
  <c r="R8737" i="2"/>
  <c r="R8736" i="2"/>
  <c r="R8735" i="2"/>
  <c r="R8734" i="2"/>
  <c r="R8733" i="2"/>
  <c r="R8732" i="2"/>
  <c r="R8731" i="2"/>
  <c r="R8730" i="2"/>
  <c r="R8729" i="2"/>
  <c r="R8728" i="2"/>
  <c r="R8727" i="2"/>
  <c r="R8726" i="2"/>
  <c r="R8725" i="2"/>
  <c r="R8724" i="2"/>
  <c r="R8723" i="2"/>
  <c r="R8722" i="2"/>
  <c r="R8721" i="2"/>
  <c r="R8720" i="2"/>
  <c r="R8719" i="2"/>
  <c r="R8718" i="2"/>
  <c r="R8717" i="2"/>
  <c r="R8716" i="2"/>
  <c r="R8715" i="2"/>
  <c r="R8714" i="2"/>
  <c r="R8713" i="2"/>
  <c r="R8712" i="2"/>
  <c r="R8711" i="2"/>
  <c r="R8710" i="2"/>
  <c r="R8709" i="2"/>
  <c r="R8708" i="2"/>
  <c r="R8707" i="2"/>
  <c r="R8706" i="2"/>
  <c r="R8705" i="2"/>
  <c r="R8704" i="2"/>
  <c r="R8703" i="2"/>
  <c r="R8702" i="2"/>
  <c r="R8701" i="2"/>
  <c r="R8700" i="2"/>
  <c r="R8699" i="2"/>
  <c r="R8698" i="2"/>
  <c r="R8697" i="2"/>
  <c r="R8696" i="2"/>
  <c r="R8695" i="2"/>
  <c r="R8694" i="2"/>
  <c r="R8693" i="2"/>
  <c r="R8692" i="2"/>
  <c r="R8691" i="2"/>
  <c r="R8690" i="2"/>
  <c r="R8689" i="2"/>
  <c r="R8688" i="2"/>
  <c r="R8687" i="2"/>
  <c r="R8686" i="2"/>
  <c r="R8685" i="2"/>
  <c r="R8684" i="2"/>
  <c r="R8683" i="2"/>
  <c r="R8682" i="2"/>
  <c r="R8681" i="2"/>
  <c r="R8680" i="2"/>
  <c r="R8679" i="2"/>
  <c r="R8678" i="2"/>
  <c r="R8677" i="2"/>
  <c r="R8676" i="2"/>
  <c r="R8675" i="2"/>
  <c r="R8674" i="2"/>
  <c r="R8673" i="2"/>
  <c r="R8672" i="2"/>
  <c r="R8671" i="2"/>
  <c r="R8670" i="2"/>
  <c r="R8669" i="2"/>
  <c r="R8668" i="2"/>
  <c r="R8667" i="2"/>
  <c r="R8666" i="2"/>
  <c r="R8665" i="2"/>
  <c r="R8664" i="2"/>
  <c r="R8663" i="2"/>
  <c r="R8662" i="2"/>
  <c r="R8661" i="2"/>
  <c r="R8660" i="2"/>
  <c r="R8659" i="2"/>
  <c r="R8658" i="2"/>
  <c r="R8657" i="2"/>
  <c r="R8656" i="2"/>
  <c r="R8655" i="2"/>
  <c r="R8654" i="2"/>
  <c r="R8653" i="2"/>
  <c r="R8652" i="2"/>
  <c r="R8651" i="2"/>
  <c r="R8650" i="2"/>
  <c r="R8649" i="2"/>
  <c r="R8648" i="2"/>
  <c r="R8647" i="2"/>
  <c r="R8646" i="2"/>
  <c r="R8645" i="2"/>
  <c r="R8644" i="2"/>
  <c r="R8643" i="2"/>
  <c r="R8642" i="2"/>
  <c r="R8641" i="2"/>
  <c r="R8640" i="2"/>
  <c r="R8639" i="2"/>
  <c r="R8638" i="2"/>
  <c r="R8637" i="2"/>
  <c r="R8636" i="2"/>
  <c r="R8635" i="2"/>
  <c r="R8634" i="2"/>
  <c r="R8633" i="2"/>
  <c r="R8632" i="2"/>
  <c r="R8631" i="2"/>
  <c r="R8630" i="2"/>
  <c r="R8629" i="2"/>
  <c r="R8628" i="2"/>
  <c r="R8627" i="2"/>
  <c r="R8626" i="2"/>
  <c r="R8625" i="2"/>
  <c r="R8624" i="2"/>
  <c r="R8623" i="2"/>
  <c r="R8622" i="2"/>
  <c r="R8621" i="2"/>
  <c r="R8620" i="2"/>
  <c r="R8619" i="2"/>
  <c r="R8618" i="2"/>
  <c r="R8617" i="2"/>
  <c r="R8616" i="2"/>
  <c r="R8615" i="2"/>
  <c r="R8614" i="2"/>
  <c r="R8613" i="2"/>
  <c r="R8612" i="2"/>
  <c r="R8611" i="2"/>
  <c r="R8610" i="2"/>
  <c r="R8609" i="2"/>
  <c r="R8608" i="2"/>
  <c r="R8607" i="2"/>
  <c r="R8606" i="2"/>
  <c r="R8605" i="2"/>
  <c r="R8604" i="2"/>
  <c r="R8603" i="2"/>
  <c r="R8602" i="2"/>
  <c r="R8601" i="2"/>
  <c r="R8600" i="2"/>
  <c r="R8599" i="2"/>
  <c r="R8598" i="2"/>
  <c r="R8597" i="2"/>
  <c r="R8596" i="2"/>
  <c r="R8595" i="2"/>
  <c r="R8594" i="2"/>
  <c r="R8593" i="2"/>
  <c r="R8592" i="2"/>
  <c r="R8591" i="2"/>
  <c r="R8590" i="2"/>
  <c r="R8589" i="2"/>
  <c r="R8588" i="2"/>
  <c r="R8587" i="2"/>
  <c r="R8586" i="2"/>
  <c r="R8585" i="2"/>
  <c r="R8584" i="2"/>
  <c r="R8583" i="2"/>
  <c r="R8582" i="2"/>
  <c r="R8581" i="2"/>
  <c r="R8580" i="2"/>
  <c r="R8579" i="2"/>
  <c r="R8578" i="2"/>
  <c r="R8577" i="2"/>
  <c r="R8576" i="2"/>
  <c r="R8575" i="2"/>
  <c r="R8574" i="2"/>
  <c r="R8573" i="2"/>
  <c r="R8572" i="2"/>
  <c r="R8571" i="2"/>
  <c r="R8570" i="2"/>
  <c r="R8569" i="2"/>
  <c r="R8568" i="2"/>
  <c r="R8567" i="2"/>
  <c r="R8566" i="2"/>
  <c r="R8565" i="2"/>
  <c r="R8564" i="2"/>
  <c r="R8563" i="2"/>
  <c r="R8562" i="2"/>
  <c r="R8561" i="2"/>
  <c r="R8560" i="2"/>
  <c r="R8559" i="2"/>
  <c r="R8558" i="2"/>
  <c r="R8557" i="2"/>
  <c r="R8556" i="2"/>
  <c r="R8555" i="2"/>
  <c r="R8554" i="2"/>
  <c r="R8553" i="2"/>
  <c r="R8552" i="2"/>
  <c r="R8551" i="2"/>
  <c r="R8550" i="2"/>
  <c r="R8549" i="2"/>
  <c r="R8548" i="2"/>
  <c r="R8547" i="2"/>
  <c r="R8546" i="2"/>
  <c r="R8545" i="2"/>
  <c r="R8544" i="2"/>
  <c r="R8543" i="2"/>
  <c r="R8542" i="2"/>
  <c r="R8541" i="2"/>
  <c r="R8540" i="2"/>
  <c r="R8539" i="2"/>
  <c r="R8538" i="2"/>
  <c r="R8537" i="2"/>
  <c r="R8536" i="2"/>
  <c r="R8535" i="2"/>
  <c r="R8534" i="2"/>
  <c r="R8533" i="2"/>
  <c r="R8532" i="2"/>
  <c r="R8531" i="2"/>
  <c r="R8530" i="2"/>
  <c r="R8529" i="2"/>
  <c r="R8528" i="2"/>
  <c r="R8527" i="2"/>
  <c r="R8526" i="2"/>
  <c r="R8525" i="2"/>
  <c r="R8524" i="2"/>
  <c r="R8523" i="2"/>
  <c r="R8522" i="2"/>
  <c r="R8521" i="2"/>
  <c r="R8520" i="2"/>
  <c r="R8519" i="2"/>
  <c r="R8518" i="2"/>
  <c r="R8517" i="2"/>
  <c r="R8516" i="2"/>
  <c r="R8515" i="2"/>
  <c r="R8514" i="2"/>
  <c r="R8513" i="2"/>
  <c r="R8512" i="2"/>
  <c r="R8511" i="2"/>
  <c r="R8510" i="2"/>
  <c r="R8509" i="2"/>
  <c r="R8508" i="2"/>
  <c r="R8507" i="2"/>
  <c r="R8506" i="2"/>
  <c r="R8505" i="2"/>
  <c r="R8504" i="2"/>
  <c r="R8503" i="2"/>
  <c r="R8502" i="2"/>
  <c r="R8501" i="2"/>
  <c r="R8500" i="2"/>
  <c r="R8499" i="2"/>
  <c r="R8498" i="2"/>
  <c r="R8497" i="2"/>
  <c r="R8496" i="2"/>
  <c r="R8495" i="2"/>
  <c r="R8494" i="2"/>
  <c r="R8493" i="2"/>
  <c r="R8492" i="2"/>
  <c r="R8491" i="2"/>
  <c r="R8490" i="2"/>
  <c r="R8489" i="2"/>
  <c r="R8488" i="2"/>
  <c r="R8487" i="2"/>
  <c r="R8486" i="2"/>
  <c r="R8485" i="2"/>
  <c r="R8484" i="2"/>
  <c r="R8483" i="2"/>
  <c r="R8482" i="2"/>
  <c r="R8481" i="2"/>
  <c r="R8480" i="2"/>
  <c r="R8479" i="2"/>
  <c r="R8478" i="2"/>
  <c r="R8477" i="2"/>
  <c r="R8476" i="2"/>
  <c r="R8475" i="2"/>
  <c r="R8474" i="2"/>
  <c r="R8473" i="2"/>
  <c r="R8472" i="2"/>
  <c r="R8471" i="2"/>
  <c r="R8470" i="2"/>
  <c r="R8469" i="2"/>
  <c r="R8468" i="2"/>
  <c r="R8467" i="2"/>
  <c r="R8466" i="2"/>
  <c r="R8465" i="2"/>
  <c r="R8464" i="2"/>
  <c r="R8463" i="2"/>
  <c r="R8462" i="2"/>
  <c r="R8461" i="2"/>
  <c r="R8460" i="2"/>
  <c r="R8459" i="2"/>
  <c r="R8458" i="2"/>
  <c r="R8457" i="2"/>
  <c r="R8456" i="2"/>
  <c r="R8455" i="2"/>
  <c r="R8454" i="2"/>
  <c r="R8453" i="2"/>
  <c r="R8452" i="2"/>
  <c r="R8451" i="2"/>
  <c r="R8450" i="2"/>
  <c r="R8449" i="2"/>
  <c r="R8448" i="2"/>
  <c r="R8447" i="2"/>
  <c r="R8446" i="2"/>
  <c r="R8445" i="2"/>
  <c r="R8444" i="2"/>
  <c r="R8443" i="2"/>
  <c r="R8442" i="2"/>
  <c r="R8441" i="2"/>
  <c r="R8440" i="2"/>
  <c r="R8439" i="2"/>
  <c r="R8438" i="2"/>
  <c r="R8437" i="2"/>
  <c r="R8436" i="2"/>
  <c r="R8435" i="2"/>
  <c r="R8434" i="2"/>
  <c r="R8433" i="2"/>
  <c r="R8432" i="2"/>
  <c r="R8431" i="2"/>
  <c r="R8430" i="2"/>
  <c r="R8429" i="2"/>
  <c r="R8428" i="2"/>
  <c r="R8427" i="2"/>
  <c r="R8426" i="2"/>
  <c r="R8425" i="2"/>
  <c r="R8424" i="2"/>
  <c r="R8423" i="2"/>
  <c r="R8422" i="2"/>
  <c r="R8421" i="2"/>
  <c r="R8420" i="2"/>
  <c r="R8419" i="2"/>
  <c r="R8418" i="2"/>
  <c r="R8417" i="2"/>
  <c r="R8416" i="2"/>
  <c r="R8415" i="2"/>
  <c r="R8414" i="2"/>
  <c r="R8413" i="2"/>
  <c r="R8412" i="2"/>
  <c r="R8411" i="2"/>
  <c r="R8410" i="2"/>
  <c r="R8409" i="2"/>
  <c r="R8408" i="2"/>
  <c r="R8407" i="2"/>
  <c r="R8406" i="2"/>
  <c r="R8405" i="2"/>
  <c r="R8404" i="2"/>
  <c r="R8403" i="2"/>
  <c r="R8402" i="2"/>
  <c r="R8401" i="2"/>
  <c r="R8400" i="2"/>
  <c r="R8399" i="2"/>
  <c r="R8398" i="2"/>
  <c r="R8397" i="2"/>
  <c r="R8396" i="2"/>
  <c r="R8395" i="2"/>
  <c r="R8394" i="2"/>
  <c r="R8393" i="2"/>
  <c r="R8392" i="2"/>
  <c r="R8391" i="2"/>
  <c r="R8390" i="2"/>
  <c r="R8389" i="2"/>
  <c r="R8388" i="2"/>
  <c r="R8387" i="2"/>
  <c r="R8386" i="2"/>
  <c r="R8385" i="2"/>
  <c r="R8384" i="2"/>
  <c r="R8383" i="2"/>
  <c r="R8382" i="2"/>
  <c r="R8381" i="2"/>
  <c r="R8380" i="2"/>
  <c r="R8379" i="2"/>
  <c r="R8378" i="2"/>
  <c r="R8377" i="2"/>
  <c r="R8376" i="2"/>
  <c r="R8375" i="2"/>
  <c r="R8374" i="2"/>
  <c r="R8373" i="2"/>
  <c r="R8372" i="2"/>
  <c r="R8371" i="2"/>
  <c r="R8370" i="2"/>
  <c r="R8369" i="2"/>
  <c r="R8368" i="2"/>
  <c r="R8367" i="2"/>
  <c r="R8366" i="2"/>
  <c r="R8365" i="2"/>
  <c r="R8364" i="2"/>
  <c r="R8363" i="2"/>
  <c r="R8362" i="2"/>
  <c r="R8361" i="2"/>
  <c r="R8360" i="2"/>
  <c r="R8359" i="2"/>
  <c r="R8358" i="2"/>
  <c r="R8357" i="2"/>
  <c r="R8356" i="2"/>
  <c r="R8355" i="2"/>
  <c r="R8354" i="2"/>
  <c r="R8353" i="2"/>
  <c r="R8352" i="2"/>
  <c r="R8351" i="2"/>
  <c r="R8350" i="2"/>
  <c r="R8349" i="2"/>
  <c r="R8348" i="2"/>
  <c r="R8347" i="2"/>
  <c r="R8346" i="2"/>
  <c r="R8345" i="2"/>
  <c r="R8344" i="2"/>
  <c r="R8343" i="2"/>
  <c r="R8342" i="2"/>
  <c r="R8341" i="2"/>
  <c r="R8340" i="2"/>
  <c r="R8339" i="2"/>
  <c r="R8338" i="2"/>
  <c r="R8337" i="2"/>
  <c r="R8336" i="2"/>
  <c r="R8335" i="2"/>
  <c r="R8334" i="2"/>
  <c r="R8333" i="2"/>
  <c r="R8332" i="2"/>
  <c r="R8331" i="2"/>
  <c r="R8330" i="2"/>
  <c r="R8329" i="2"/>
  <c r="R8328" i="2"/>
  <c r="R8327" i="2"/>
  <c r="R8326" i="2"/>
  <c r="R8325" i="2"/>
  <c r="R8324" i="2"/>
  <c r="R8323" i="2"/>
  <c r="R8322" i="2"/>
  <c r="R8321" i="2"/>
  <c r="R8320" i="2"/>
  <c r="R8319" i="2"/>
  <c r="R8318" i="2"/>
  <c r="R8317" i="2"/>
  <c r="R8316" i="2"/>
  <c r="R8315" i="2"/>
  <c r="R8314" i="2"/>
  <c r="R8313" i="2"/>
  <c r="R8312" i="2"/>
  <c r="R8311" i="2"/>
  <c r="R8310" i="2"/>
  <c r="R8309" i="2"/>
  <c r="R8308" i="2"/>
  <c r="R8307" i="2"/>
  <c r="R8306" i="2"/>
  <c r="R8305" i="2"/>
  <c r="R8304" i="2"/>
  <c r="R8303" i="2"/>
  <c r="R8302" i="2"/>
  <c r="R8301" i="2"/>
  <c r="R8300" i="2"/>
  <c r="R8299" i="2"/>
  <c r="R8298" i="2"/>
  <c r="R8297" i="2"/>
  <c r="R8296" i="2"/>
  <c r="R8295" i="2"/>
  <c r="R8294" i="2"/>
  <c r="R8293" i="2"/>
  <c r="R8292" i="2"/>
  <c r="R8291" i="2"/>
  <c r="R8290" i="2"/>
  <c r="R8289" i="2"/>
  <c r="R8288" i="2"/>
  <c r="R8287" i="2"/>
  <c r="R8286" i="2"/>
  <c r="R8285" i="2"/>
  <c r="R8284" i="2"/>
  <c r="R8283" i="2"/>
  <c r="R8282" i="2"/>
  <c r="R8281" i="2"/>
  <c r="R8280" i="2"/>
  <c r="R8279" i="2"/>
  <c r="R8278" i="2"/>
  <c r="R8277" i="2"/>
  <c r="R8276" i="2"/>
  <c r="R8275" i="2"/>
  <c r="R8274" i="2"/>
  <c r="R8273" i="2"/>
  <c r="R8272" i="2"/>
  <c r="R8271" i="2"/>
  <c r="R8270" i="2"/>
  <c r="R8269" i="2"/>
  <c r="R8268" i="2"/>
  <c r="R8267" i="2"/>
  <c r="R8266" i="2"/>
  <c r="R8265" i="2"/>
  <c r="R8264" i="2"/>
  <c r="R8263" i="2"/>
  <c r="R8262" i="2"/>
  <c r="R8261" i="2"/>
  <c r="R8260" i="2"/>
  <c r="R8259" i="2"/>
  <c r="R8258" i="2"/>
  <c r="R8257" i="2"/>
  <c r="R8256" i="2"/>
  <c r="R8255" i="2"/>
  <c r="R8254" i="2"/>
  <c r="R8253" i="2"/>
  <c r="R8252" i="2"/>
  <c r="R8251" i="2"/>
  <c r="R8250" i="2"/>
  <c r="R8249" i="2"/>
  <c r="R8248" i="2"/>
  <c r="R8247" i="2"/>
  <c r="R8246" i="2"/>
  <c r="R8245" i="2"/>
  <c r="R8244" i="2"/>
  <c r="R8243" i="2"/>
  <c r="R8242" i="2"/>
  <c r="R8241" i="2"/>
  <c r="R8240" i="2"/>
  <c r="R8239" i="2"/>
  <c r="R8238" i="2"/>
  <c r="R8237" i="2"/>
  <c r="R8236" i="2"/>
  <c r="R8235" i="2"/>
  <c r="R8234" i="2"/>
  <c r="R8233" i="2"/>
  <c r="R8232" i="2"/>
  <c r="R8231" i="2"/>
  <c r="R8230" i="2"/>
  <c r="R8229" i="2"/>
  <c r="R8228" i="2"/>
  <c r="R8227" i="2"/>
  <c r="R8226" i="2"/>
  <c r="R8225" i="2"/>
  <c r="R8224" i="2"/>
  <c r="R8223" i="2"/>
  <c r="R8222" i="2"/>
  <c r="R8221" i="2"/>
  <c r="R8220" i="2"/>
  <c r="R8219" i="2"/>
  <c r="R8218" i="2"/>
  <c r="R8217" i="2"/>
  <c r="R8216" i="2"/>
  <c r="R8215" i="2"/>
  <c r="R8214" i="2"/>
  <c r="R8213" i="2"/>
  <c r="R8212" i="2"/>
  <c r="R8211" i="2"/>
  <c r="R8210" i="2"/>
  <c r="R8209" i="2"/>
  <c r="R8208" i="2"/>
  <c r="R8207" i="2"/>
  <c r="R8206" i="2"/>
  <c r="R8205" i="2"/>
  <c r="R8204" i="2"/>
  <c r="R8203" i="2"/>
  <c r="R8202" i="2"/>
  <c r="R8201" i="2"/>
  <c r="R8200" i="2"/>
  <c r="R8199" i="2"/>
  <c r="R8198" i="2"/>
  <c r="R8197" i="2"/>
  <c r="R8196" i="2"/>
  <c r="R8195" i="2"/>
  <c r="R8194" i="2"/>
  <c r="R8193" i="2"/>
  <c r="R8192" i="2"/>
  <c r="R8191" i="2"/>
  <c r="R8190" i="2"/>
  <c r="R8189" i="2"/>
  <c r="R8188" i="2"/>
  <c r="R8187" i="2"/>
  <c r="R8186" i="2"/>
  <c r="R8185" i="2"/>
  <c r="R8184" i="2"/>
  <c r="R8183" i="2"/>
  <c r="R8182" i="2"/>
  <c r="R8181" i="2"/>
  <c r="R8180" i="2"/>
  <c r="R8179" i="2"/>
  <c r="R8178" i="2"/>
  <c r="R8177" i="2"/>
  <c r="R8176" i="2"/>
  <c r="R8175" i="2"/>
  <c r="R8174" i="2"/>
  <c r="R8173" i="2"/>
  <c r="R8172" i="2"/>
  <c r="R8171" i="2"/>
  <c r="R8170" i="2"/>
  <c r="R8169" i="2"/>
  <c r="R8168" i="2"/>
  <c r="R8167" i="2"/>
  <c r="R8166" i="2"/>
  <c r="R8165" i="2"/>
  <c r="R8164" i="2"/>
  <c r="R8163" i="2"/>
  <c r="R8162" i="2"/>
  <c r="R8161" i="2"/>
  <c r="R8160" i="2"/>
  <c r="R8159" i="2"/>
  <c r="R8158" i="2"/>
  <c r="R8157" i="2"/>
  <c r="R8156" i="2"/>
  <c r="R8155" i="2"/>
  <c r="R8154" i="2"/>
  <c r="R8153" i="2"/>
  <c r="R8152" i="2"/>
  <c r="R8151" i="2"/>
  <c r="R8150" i="2"/>
  <c r="R8149" i="2"/>
  <c r="R8148" i="2"/>
  <c r="R8147" i="2"/>
  <c r="R8146" i="2"/>
  <c r="R8145" i="2"/>
  <c r="R8144" i="2"/>
  <c r="R8143" i="2"/>
  <c r="R8142" i="2"/>
  <c r="R8141" i="2"/>
  <c r="R8140" i="2"/>
  <c r="R8139" i="2"/>
  <c r="R8138" i="2"/>
  <c r="R8137" i="2"/>
  <c r="R8136" i="2"/>
  <c r="R8135" i="2"/>
  <c r="R8134" i="2"/>
  <c r="R8133" i="2"/>
  <c r="R8132" i="2"/>
  <c r="R8131" i="2"/>
  <c r="R8130" i="2"/>
  <c r="R8129" i="2"/>
  <c r="R8128" i="2"/>
  <c r="R8127" i="2"/>
  <c r="R8126" i="2"/>
  <c r="R8125" i="2"/>
  <c r="R8124" i="2"/>
  <c r="R8123" i="2"/>
  <c r="R8122" i="2"/>
  <c r="R8121" i="2"/>
  <c r="R8120" i="2"/>
  <c r="R8119" i="2"/>
  <c r="R8118" i="2"/>
  <c r="R8117" i="2"/>
  <c r="R8116" i="2"/>
  <c r="R8115" i="2"/>
  <c r="R8114" i="2"/>
  <c r="R8113" i="2"/>
  <c r="R8112" i="2"/>
  <c r="R8111" i="2"/>
  <c r="R8110" i="2"/>
  <c r="R8109" i="2"/>
  <c r="R8108" i="2"/>
  <c r="R8107" i="2"/>
  <c r="R8106" i="2"/>
  <c r="R8105" i="2"/>
  <c r="R8104" i="2"/>
  <c r="R8103" i="2"/>
  <c r="R8102" i="2"/>
  <c r="R8101" i="2"/>
  <c r="R8100" i="2"/>
  <c r="R8099" i="2"/>
  <c r="R8098" i="2"/>
  <c r="R8097" i="2"/>
  <c r="R8096" i="2"/>
  <c r="R8095" i="2"/>
  <c r="R8094" i="2"/>
  <c r="R8093" i="2"/>
  <c r="R8092" i="2"/>
  <c r="R8091" i="2"/>
  <c r="R8090" i="2"/>
  <c r="R8089" i="2"/>
  <c r="R8088" i="2"/>
  <c r="R8087" i="2"/>
  <c r="R8086" i="2"/>
  <c r="R8085" i="2"/>
  <c r="R8084" i="2"/>
  <c r="R8083" i="2"/>
  <c r="R8082" i="2"/>
  <c r="R8081" i="2"/>
  <c r="R8080" i="2"/>
  <c r="R8079" i="2"/>
  <c r="R8078" i="2"/>
  <c r="R8077" i="2"/>
  <c r="R8076" i="2"/>
  <c r="R8075" i="2"/>
  <c r="R8074" i="2"/>
  <c r="R8073" i="2"/>
  <c r="R8072" i="2"/>
  <c r="R8071" i="2"/>
  <c r="R8070" i="2"/>
  <c r="R8069" i="2"/>
  <c r="R8068" i="2"/>
  <c r="R8067" i="2"/>
  <c r="R8066" i="2"/>
  <c r="R8065" i="2"/>
  <c r="R8064" i="2"/>
  <c r="R8063" i="2"/>
  <c r="R8062" i="2"/>
  <c r="R8061" i="2"/>
  <c r="R8060" i="2"/>
  <c r="R8059" i="2"/>
  <c r="R8058" i="2"/>
  <c r="R8057" i="2"/>
  <c r="R8056" i="2"/>
  <c r="R8055" i="2"/>
  <c r="R8054" i="2"/>
  <c r="R8053" i="2"/>
  <c r="R8052" i="2"/>
  <c r="R8051" i="2"/>
  <c r="R8050" i="2"/>
  <c r="R8049" i="2"/>
  <c r="R8048" i="2"/>
  <c r="R8047" i="2"/>
  <c r="R8046" i="2"/>
  <c r="R8045" i="2"/>
  <c r="R8044" i="2"/>
  <c r="R8043" i="2"/>
  <c r="R8042" i="2"/>
  <c r="R8041" i="2"/>
  <c r="R8040" i="2"/>
  <c r="R8039" i="2"/>
  <c r="R8038" i="2"/>
  <c r="R8037" i="2"/>
  <c r="R8036" i="2"/>
  <c r="R8035" i="2"/>
  <c r="R8034" i="2"/>
  <c r="R8033" i="2"/>
  <c r="R8032" i="2"/>
  <c r="R8031" i="2"/>
  <c r="R8030" i="2"/>
  <c r="R8029" i="2"/>
  <c r="R8028" i="2"/>
  <c r="R8027" i="2"/>
  <c r="R8026" i="2"/>
  <c r="R8025" i="2"/>
  <c r="R8024" i="2"/>
  <c r="R8023" i="2"/>
  <c r="R8022" i="2"/>
  <c r="R8021" i="2"/>
  <c r="R8020" i="2"/>
  <c r="R8019" i="2"/>
  <c r="R8018" i="2"/>
  <c r="R8017" i="2"/>
  <c r="R8016" i="2"/>
  <c r="R8015" i="2"/>
  <c r="R8014" i="2"/>
  <c r="R8013" i="2"/>
  <c r="R8012" i="2"/>
  <c r="R8011" i="2"/>
  <c r="R8010" i="2"/>
  <c r="R8009" i="2"/>
  <c r="R8008" i="2"/>
  <c r="R8007" i="2"/>
  <c r="R8006" i="2"/>
  <c r="R8005" i="2"/>
  <c r="R8004" i="2"/>
  <c r="R8003" i="2"/>
  <c r="R8002" i="2"/>
  <c r="R8001" i="2"/>
  <c r="R8000" i="2"/>
  <c r="R7999" i="2"/>
  <c r="R7998" i="2"/>
  <c r="R7997" i="2"/>
  <c r="R7996" i="2"/>
  <c r="R7995" i="2"/>
  <c r="R7994" i="2"/>
  <c r="R7993" i="2"/>
  <c r="R7992" i="2"/>
  <c r="R7991" i="2"/>
  <c r="R7990" i="2"/>
  <c r="R7989" i="2"/>
  <c r="R7988" i="2"/>
  <c r="R7987" i="2"/>
  <c r="R7986" i="2"/>
  <c r="R7985" i="2"/>
  <c r="R7984" i="2"/>
  <c r="R7983" i="2"/>
  <c r="R7982" i="2"/>
  <c r="R7981" i="2"/>
  <c r="R7980" i="2"/>
  <c r="R7979" i="2"/>
  <c r="R7978" i="2"/>
  <c r="R7977" i="2"/>
  <c r="R7976" i="2"/>
  <c r="R7975" i="2"/>
  <c r="R7974" i="2"/>
  <c r="R7973" i="2"/>
  <c r="R7972" i="2"/>
  <c r="R7971" i="2"/>
  <c r="R7970" i="2"/>
  <c r="R7969" i="2"/>
  <c r="R7968" i="2"/>
  <c r="R7967" i="2"/>
  <c r="R7966" i="2"/>
  <c r="R7965" i="2"/>
  <c r="R7964" i="2"/>
  <c r="R7963" i="2"/>
  <c r="R7962" i="2"/>
  <c r="R7961" i="2"/>
  <c r="R7960" i="2"/>
  <c r="R7959" i="2"/>
  <c r="R7958" i="2"/>
  <c r="R7957" i="2"/>
  <c r="R7956" i="2"/>
  <c r="R7955" i="2"/>
  <c r="R7954" i="2"/>
  <c r="R7953" i="2"/>
  <c r="R7952" i="2"/>
  <c r="R7951" i="2"/>
  <c r="R7950" i="2"/>
  <c r="R7949" i="2"/>
  <c r="R7948" i="2"/>
  <c r="R7947" i="2"/>
  <c r="R7946" i="2"/>
  <c r="R7945" i="2"/>
  <c r="R7944" i="2"/>
  <c r="R7943" i="2"/>
  <c r="R7942" i="2"/>
  <c r="R7941" i="2"/>
  <c r="R7940" i="2"/>
  <c r="R7939" i="2"/>
  <c r="R7938" i="2"/>
  <c r="R7937" i="2"/>
  <c r="R7936" i="2"/>
  <c r="R7935" i="2"/>
  <c r="R7934" i="2"/>
  <c r="R7933" i="2"/>
  <c r="R7932" i="2"/>
  <c r="R7931" i="2"/>
  <c r="R7930" i="2"/>
  <c r="R7929" i="2"/>
  <c r="R7928" i="2"/>
  <c r="R7927" i="2"/>
  <c r="R7926" i="2"/>
  <c r="R7925" i="2"/>
  <c r="R7924" i="2"/>
  <c r="R7923" i="2"/>
  <c r="R7922" i="2"/>
  <c r="R7921" i="2"/>
  <c r="R7920" i="2"/>
  <c r="R7919" i="2"/>
  <c r="R7918" i="2"/>
  <c r="R7917" i="2"/>
  <c r="R7916" i="2"/>
  <c r="R7915" i="2"/>
  <c r="R7914" i="2"/>
  <c r="R7913" i="2"/>
  <c r="R7912" i="2"/>
  <c r="R7911" i="2"/>
  <c r="R7910" i="2"/>
  <c r="R7909" i="2"/>
  <c r="R7908" i="2"/>
  <c r="R7907" i="2"/>
  <c r="R7906" i="2"/>
  <c r="R7905" i="2"/>
  <c r="R7904" i="2"/>
  <c r="R7903" i="2"/>
  <c r="R7902" i="2"/>
  <c r="R7901" i="2"/>
  <c r="R7900" i="2"/>
  <c r="R7899" i="2"/>
  <c r="R7898" i="2"/>
  <c r="R7897" i="2"/>
  <c r="R7896" i="2"/>
  <c r="R7895" i="2"/>
  <c r="R7894" i="2"/>
  <c r="R7893" i="2"/>
  <c r="R7892" i="2"/>
  <c r="R7891" i="2"/>
  <c r="R7890" i="2"/>
  <c r="R7889" i="2"/>
  <c r="R7888" i="2"/>
  <c r="R7887" i="2"/>
  <c r="R7886" i="2"/>
  <c r="R7885" i="2"/>
  <c r="R7884" i="2"/>
  <c r="R7883" i="2"/>
  <c r="R7882" i="2"/>
  <c r="R7881" i="2"/>
  <c r="R7880" i="2"/>
  <c r="R7879" i="2"/>
  <c r="R7878" i="2"/>
  <c r="R7877" i="2"/>
  <c r="R7876" i="2"/>
  <c r="R7875" i="2"/>
  <c r="R7874" i="2"/>
  <c r="R7873" i="2"/>
  <c r="R7872" i="2"/>
  <c r="R7871" i="2"/>
  <c r="R7870" i="2"/>
  <c r="R7869" i="2"/>
  <c r="R7868" i="2"/>
  <c r="R7867" i="2"/>
  <c r="R7866" i="2"/>
  <c r="R7865" i="2"/>
  <c r="R7864" i="2"/>
  <c r="R7863" i="2"/>
  <c r="R7862" i="2"/>
  <c r="R7861" i="2"/>
  <c r="R7860" i="2"/>
  <c r="R7859" i="2"/>
  <c r="R7858" i="2"/>
  <c r="R7857" i="2"/>
  <c r="R7856" i="2"/>
  <c r="R7855" i="2"/>
  <c r="R7854" i="2"/>
  <c r="R7853" i="2"/>
  <c r="R7852" i="2"/>
  <c r="R7851" i="2"/>
  <c r="R7850" i="2"/>
  <c r="R7849" i="2"/>
  <c r="R7848" i="2"/>
  <c r="R7847" i="2"/>
  <c r="R7846" i="2"/>
  <c r="R7845" i="2"/>
  <c r="R7844" i="2"/>
  <c r="R7843" i="2"/>
  <c r="R7842" i="2"/>
  <c r="R7841" i="2"/>
  <c r="R7840" i="2"/>
  <c r="R7839" i="2"/>
  <c r="R7838" i="2"/>
  <c r="R7837" i="2"/>
  <c r="R7836" i="2"/>
  <c r="R7835" i="2"/>
  <c r="R7834" i="2"/>
  <c r="R7833" i="2"/>
  <c r="R7832" i="2"/>
  <c r="R7831" i="2"/>
  <c r="R7830" i="2"/>
  <c r="R7829" i="2"/>
  <c r="R7828" i="2"/>
  <c r="R7827" i="2"/>
  <c r="R7826" i="2"/>
  <c r="R7825" i="2"/>
  <c r="R7824" i="2"/>
  <c r="R7823" i="2"/>
  <c r="R7822" i="2"/>
  <c r="R7821" i="2"/>
  <c r="R7820" i="2"/>
  <c r="R7819" i="2"/>
  <c r="R7818" i="2"/>
  <c r="R7817" i="2"/>
  <c r="R7816" i="2"/>
  <c r="R7815" i="2"/>
  <c r="R7814" i="2"/>
  <c r="R7813" i="2"/>
  <c r="R7812" i="2"/>
  <c r="R7811" i="2"/>
  <c r="R7810" i="2"/>
  <c r="R7809" i="2"/>
  <c r="R7808" i="2"/>
  <c r="R7807" i="2"/>
  <c r="R7806" i="2"/>
  <c r="R7805" i="2"/>
  <c r="R7804" i="2"/>
  <c r="R7803" i="2"/>
  <c r="R7802" i="2"/>
  <c r="R7801" i="2"/>
  <c r="R7800" i="2"/>
  <c r="R7799" i="2"/>
  <c r="R7798" i="2"/>
  <c r="R7797" i="2"/>
  <c r="R7796" i="2"/>
  <c r="R7795" i="2"/>
  <c r="R7794" i="2"/>
  <c r="R7793" i="2"/>
  <c r="R7792" i="2"/>
  <c r="R7791" i="2"/>
  <c r="R7790" i="2"/>
  <c r="R7789" i="2"/>
  <c r="R7788" i="2"/>
  <c r="R7787" i="2"/>
  <c r="R7786" i="2"/>
  <c r="R7785" i="2"/>
  <c r="R7784" i="2"/>
  <c r="R7783" i="2"/>
  <c r="R7782" i="2"/>
  <c r="R7781" i="2"/>
  <c r="R7780" i="2"/>
  <c r="R7779" i="2"/>
  <c r="R7778" i="2"/>
  <c r="R7777" i="2"/>
  <c r="R7776" i="2"/>
  <c r="R7775" i="2"/>
  <c r="R7774" i="2"/>
  <c r="R7773" i="2"/>
  <c r="R7772" i="2"/>
  <c r="R7771" i="2"/>
  <c r="R7770" i="2"/>
  <c r="R7769" i="2"/>
  <c r="R7768" i="2"/>
  <c r="R7767" i="2"/>
  <c r="R7766" i="2"/>
  <c r="R7765" i="2"/>
  <c r="R7764" i="2"/>
  <c r="R7763" i="2"/>
  <c r="R7762" i="2"/>
  <c r="R7761" i="2"/>
  <c r="R7760" i="2"/>
  <c r="R7759" i="2"/>
  <c r="R7758" i="2"/>
  <c r="R7757" i="2"/>
  <c r="R7756" i="2"/>
  <c r="R7755" i="2"/>
  <c r="R7754" i="2"/>
  <c r="R7753" i="2"/>
  <c r="R7752" i="2"/>
  <c r="R7751" i="2"/>
  <c r="R7750" i="2"/>
  <c r="R7749" i="2"/>
  <c r="R7748" i="2"/>
  <c r="R7747" i="2"/>
  <c r="R7746" i="2"/>
  <c r="R7745" i="2"/>
  <c r="R7744" i="2"/>
  <c r="R7743" i="2"/>
  <c r="R7742" i="2"/>
  <c r="R7741" i="2"/>
  <c r="R7740" i="2"/>
  <c r="R7739" i="2"/>
  <c r="R7738" i="2"/>
  <c r="R7737" i="2"/>
  <c r="R7736" i="2"/>
  <c r="R7735" i="2"/>
  <c r="R7734" i="2"/>
  <c r="R7733" i="2"/>
  <c r="R7732" i="2"/>
  <c r="R7731" i="2"/>
  <c r="R7730" i="2"/>
  <c r="R7729" i="2"/>
  <c r="R7728" i="2"/>
  <c r="R7727" i="2"/>
  <c r="R7726" i="2"/>
  <c r="R7725" i="2"/>
  <c r="R7724" i="2"/>
  <c r="R7723" i="2"/>
  <c r="R7722" i="2"/>
  <c r="R7721" i="2"/>
  <c r="R7720" i="2"/>
  <c r="R7719" i="2"/>
  <c r="R7718" i="2"/>
  <c r="R7717" i="2"/>
  <c r="R7716" i="2"/>
  <c r="R7715" i="2"/>
  <c r="R7714" i="2"/>
  <c r="R7713" i="2"/>
  <c r="R7712" i="2"/>
  <c r="R7711" i="2"/>
  <c r="R7710" i="2"/>
  <c r="R7709" i="2"/>
  <c r="R7708" i="2"/>
  <c r="R7707" i="2"/>
  <c r="R7706" i="2"/>
  <c r="R7705" i="2"/>
  <c r="R7704" i="2"/>
  <c r="R7703" i="2"/>
  <c r="R7702" i="2"/>
  <c r="R7701" i="2"/>
  <c r="R7700" i="2"/>
  <c r="R7699" i="2"/>
  <c r="R7698" i="2"/>
  <c r="R7697" i="2"/>
  <c r="R7696" i="2"/>
  <c r="R7695" i="2"/>
  <c r="R7694" i="2"/>
  <c r="R7693" i="2"/>
  <c r="R7692" i="2"/>
  <c r="R7691" i="2"/>
  <c r="R7690" i="2"/>
  <c r="R7689" i="2"/>
  <c r="R7688" i="2"/>
  <c r="R7687" i="2"/>
  <c r="R7686" i="2"/>
  <c r="R7685" i="2"/>
  <c r="R7684" i="2"/>
  <c r="R7683" i="2"/>
  <c r="R7682" i="2"/>
  <c r="R7681" i="2"/>
  <c r="R7680" i="2"/>
  <c r="R7679" i="2"/>
  <c r="R7678" i="2"/>
  <c r="R7677" i="2"/>
  <c r="R7676" i="2"/>
  <c r="R7675" i="2"/>
  <c r="R7674" i="2"/>
  <c r="R7673" i="2"/>
  <c r="R7672" i="2"/>
  <c r="R7671" i="2"/>
  <c r="R7670" i="2"/>
  <c r="R7669" i="2"/>
  <c r="R7668" i="2"/>
  <c r="R7667" i="2"/>
  <c r="R7666" i="2"/>
  <c r="R7665" i="2"/>
  <c r="R7664" i="2"/>
  <c r="R7663" i="2"/>
  <c r="R7662" i="2"/>
  <c r="R7661" i="2"/>
  <c r="R7660" i="2"/>
  <c r="R7659" i="2"/>
  <c r="R7658" i="2"/>
  <c r="R7657" i="2"/>
  <c r="R7656" i="2"/>
  <c r="R7655" i="2"/>
  <c r="R7654" i="2"/>
  <c r="R7653" i="2"/>
  <c r="R7652" i="2"/>
  <c r="R7651" i="2"/>
  <c r="R7650" i="2"/>
  <c r="R7649" i="2"/>
  <c r="R7648" i="2"/>
  <c r="R7647" i="2"/>
  <c r="R7646" i="2"/>
  <c r="R7645" i="2"/>
  <c r="R7644" i="2"/>
  <c r="R7643" i="2"/>
  <c r="R7642" i="2"/>
  <c r="R7641" i="2"/>
  <c r="R7640" i="2"/>
  <c r="R7639" i="2"/>
  <c r="R7638" i="2"/>
  <c r="R7637" i="2"/>
  <c r="R7636" i="2"/>
  <c r="R7635" i="2"/>
  <c r="R7634" i="2"/>
  <c r="R7633" i="2"/>
  <c r="R7632" i="2"/>
  <c r="R7631" i="2"/>
  <c r="R7630" i="2"/>
  <c r="R7629" i="2"/>
  <c r="R7628" i="2"/>
  <c r="R7627" i="2"/>
  <c r="R7626" i="2"/>
  <c r="R7625" i="2"/>
  <c r="R7624" i="2"/>
  <c r="R7623" i="2"/>
  <c r="R7622" i="2"/>
  <c r="R7621" i="2"/>
  <c r="R7620" i="2"/>
  <c r="R7619" i="2"/>
  <c r="R7618" i="2"/>
  <c r="R7617" i="2"/>
  <c r="R7616" i="2"/>
  <c r="R7615" i="2"/>
  <c r="R7614" i="2"/>
  <c r="R7613" i="2"/>
  <c r="R7612" i="2"/>
  <c r="R7611" i="2"/>
  <c r="R7610" i="2"/>
  <c r="R7609" i="2"/>
  <c r="R7608" i="2"/>
  <c r="R7607" i="2"/>
  <c r="R7606" i="2"/>
  <c r="R7605" i="2"/>
  <c r="R7604" i="2"/>
  <c r="R7603" i="2"/>
  <c r="R7602" i="2"/>
  <c r="R7601" i="2"/>
  <c r="R7600" i="2"/>
  <c r="R7599" i="2"/>
  <c r="R7598" i="2"/>
  <c r="R7597" i="2"/>
  <c r="R7596" i="2"/>
  <c r="R7595" i="2"/>
  <c r="R7594" i="2"/>
  <c r="R7593" i="2"/>
  <c r="R7592" i="2"/>
  <c r="R7591" i="2"/>
  <c r="R7590" i="2"/>
  <c r="R7589" i="2"/>
  <c r="R7588" i="2"/>
  <c r="R7587" i="2"/>
  <c r="R7586" i="2"/>
  <c r="R7585" i="2"/>
  <c r="R7584" i="2"/>
  <c r="R7583" i="2"/>
  <c r="R7582" i="2"/>
  <c r="R7581" i="2"/>
  <c r="R7580" i="2"/>
  <c r="R7579" i="2"/>
  <c r="R7578" i="2"/>
  <c r="R7577" i="2"/>
  <c r="R7576" i="2"/>
  <c r="R7575" i="2"/>
  <c r="R7574" i="2"/>
  <c r="R7573" i="2"/>
  <c r="R7572" i="2"/>
  <c r="R7571" i="2"/>
  <c r="R7570" i="2"/>
  <c r="R7569" i="2"/>
  <c r="R7568" i="2"/>
  <c r="R7567" i="2"/>
  <c r="R7566" i="2"/>
  <c r="R7565" i="2"/>
  <c r="R7564" i="2"/>
  <c r="R7563" i="2"/>
  <c r="R7562" i="2"/>
  <c r="R7561" i="2"/>
  <c r="R7560" i="2"/>
  <c r="R7559" i="2"/>
  <c r="R7558" i="2"/>
  <c r="R7557" i="2"/>
  <c r="R7556" i="2"/>
  <c r="R7555" i="2"/>
  <c r="R7554" i="2"/>
  <c r="R7553" i="2"/>
  <c r="R7552" i="2"/>
  <c r="R7551" i="2"/>
  <c r="R7550" i="2"/>
  <c r="R7549" i="2"/>
  <c r="R7548" i="2"/>
  <c r="R7547" i="2"/>
  <c r="R7546" i="2"/>
  <c r="R7545" i="2"/>
  <c r="R7544" i="2"/>
  <c r="R7543" i="2"/>
  <c r="R7542" i="2"/>
  <c r="R7541" i="2"/>
  <c r="R7540" i="2"/>
  <c r="R7539" i="2"/>
  <c r="R7538" i="2"/>
  <c r="R7537" i="2"/>
  <c r="R7536" i="2"/>
  <c r="R7535" i="2"/>
  <c r="R7534" i="2"/>
  <c r="R7533" i="2"/>
  <c r="R7532" i="2"/>
  <c r="R7531" i="2"/>
  <c r="R7530" i="2"/>
  <c r="R7529" i="2"/>
  <c r="R7528" i="2"/>
  <c r="R7527" i="2"/>
  <c r="R7526" i="2"/>
  <c r="R7525" i="2"/>
  <c r="R7524" i="2"/>
  <c r="R7523" i="2"/>
  <c r="R7522" i="2"/>
  <c r="R7521" i="2"/>
  <c r="R7520" i="2"/>
  <c r="R7519" i="2"/>
  <c r="R7518" i="2"/>
  <c r="R7517" i="2"/>
  <c r="R7516" i="2"/>
  <c r="R7515" i="2"/>
  <c r="R7514" i="2"/>
  <c r="R7513" i="2"/>
  <c r="R7512" i="2"/>
  <c r="R7511" i="2"/>
  <c r="R7510" i="2"/>
  <c r="R7509" i="2"/>
  <c r="R7508" i="2"/>
  <c r="R7507" i="2"/>
  <c r="R7506" i="2"/>
  <c r="R7505" i="2"/>
  <c r="R7504" i="2"/>
  <c r="R7503" i="2"/>
  <c r="R7502" i="2"/>
  <c r="R7501" i="2"/>
  <c r="R7500" i="2"/>
  <c r="R7499" i="2"/>
  <c r="R7498" i="2"/>
  <c r="R7497" i="2"/>
  <c r="R7496" i="2"/>
  <c r="R7495" i="2"/>
  <c r="R7494" i="2"/>
  <c r="R7493" i="2"/>
  <c r="R7492" i="2"/>
  <c r="R7491" i="2"/>
  <c r="R7490" i="2"/>
  <c r="R7489" i="2"/>
  <c r="R7488" i="2"/>
  <c r="R7487" i="2"/>
  <c r="R7486" i="2"/>
  <c r="R7485" i="2"/>
  <c r="R7484" i="2"/>
  <c r="R7483" i="2"/>
  <c r="R7482" i="2"/>
  <c r="R7481" i="2"/>
  <c r="R7480" i="2"/>
  <c r="R7479" i="2"/>
  <c r="R7478" i="2"/>
  <c r="R7477" i="2"/>
  <c r="R7476" i="2"/>
  <c r="R7475" i="2"/>
  <c r="R7474" i="2"/>
  <c r="R7473" i="2"/>
  <c r="R7472" i="2"/>
  <c r="R7471" i="2"/>
  <c r="R7470" i="2"/>
  <c r="R7469" i="2"/>
  <c r="R7468" i="2"/>
  <c r="R7467" i="2"/>
  <c r="R7466" i="2"/>
  <c r="R7465" i="2"/>
  <c r="R7464" i="2"/>
  <c r="R7463" i="2"/>
  <c r="R7462" i="2"/>
  <c r="R7461" i="2"/>
  <c r="R7460" i="2"/>
  <c r="R7459" i="2"/>
  <c r="R7458" i="2"/>
  <c r="R7457" i="2"/>
  <c r="R7456" i="2"/>
  <c r="R7455" i="2"/>
  <c r="R7454" i="2"/>
  <c r="R7453" i="2"/>
  <c r="R7452" i="2"/>
  <c r="R7451" i="2"/>
  <c r="R7450" i="2"/>
  <c r="R7449" i="2"/>
  <c r="R7448" i="2"/>
  <c r="R7447" i="2"/>
  <c r="R7446" i="2"/>
  <c r="R7445" i="2"/>
  <c r="R7444" i="2"/>
  <c r="R7443" i="2"/>
  <c r="R7442" i="2"/>
  <c r="R7441" i="2"/>
  <c r="R7440" i="2"/>
  <c r="R7439" i="2"/>
  <c r="R7438" i="2"/>
  <c r="R7437" i="2"/>
  <c r="R7436" i="2"/>
  <c r="R7435" i="2"/>
  <c r="R7434" i="2"/>
  <c r="R7433" i="2"/>
  <c r="R7432" i="2"/>
  <c r="R7431" i="2"/>
  <c r="R7430" i="2"/>
  <c r="R7429" i="2"/>
  <c r="R7428" i="2"/>
  <c r="R7427" i="2"/>
  <c r="R7426" i="2"/>
  <c r="R7425" i="2"/>
  <c r="R7424" i="2"/>
  <c r="R7423" i="2"/>
  <c r="R7422" i="2"/>
  <c r="R7421" i="2"/>
  <c r="R7420" i="2"/>
  <c r="R7419" i="2"/>
  <c r="R7418" i="2"/>
  <c r="R7417" i="2"/>
  <c r="R7416" i="2"/>
  <c r="R7415" i="2"/>
  <c r="R7414" i="2"/>
  <c r="R7413" i="2"/>
  <c r="R7412" i="2"/>
  <c r="R7411" i="2"/>
  <c r="R7410" i="2"/>
  <c r="R7409" i="2"/>
  <c r="R7408" i="2"/>
  <c r="R7407" i="2"/>
  <c r="R7406" i="2"/>
  <c r="R7405" i="2"/>
  <c r="R7404" i="2"/>
  <c r="R7403" i="2"/>
  <c r="R7402" i="2"/>
  <c r="R7401" i="2"/>
  <c r="R7400" i="2"/>
  <c r="R7399" i="2"/>
  <c r="R7398" i="2"/>
  <c r="R7397" i="2"/>
  <c r="R7396" i="2"/>
  <c r="R7395" i="2"/>
  <c r="R7394" i="2"/>
  <c r="R7393" i="2"/>
  <c r="R7392" i="2"/>
  <c r="R7391" i="2"/>
  <c r="R7390" i="2"/>
  <c r="R7389" i="2"/>
  <c r="R7388" i="2"/>
  <c r="R7387" i="2"/>
  <c r="R7386" i="2"/>
  <c r="R7385" i="2"/>
  <c r="R7384" i="2"/>
  <c r="R7383" i="2"/>
  <c r="R7382" i="2"/>
  <c r="R7381" i="2"/>
  <c r="R7380" i="2"/>
  <c r="R7379" i="2"/>
  <c r="R7378" i="2"/>
  <c r="R7377" i="2"/>
  <c r="R7376" i="2"/>
  <c r="R7375" i="2"/>
  <c r="R7374" i="2"/>
  <c r="R7373" i="2"/>
  <c r="R7372" i="2"/>
  <c r="R7371" i="2"/>
  <c r="R7370" i="2"/>
  <c r="R7369" i="2"/>
  <c r="R7368" i="2"/>
  <c r="R7367" i="2"/>
  <c r="R7366" i="2"/>
  <c r="R7365" i="2"/>
  <c r="R7364" i="2"/>
  <c r="R7363" i="2"/>
  <c r="R7362" i="2"/>
  <c r="R7361" i="2"/>
  <c r="R7360" i="2"/>
  <c r="R7359" i="2"/>
  <c r="R7358" i="2"/>
  <c r="R7357" i="2"/>
  <c r="R7356" i="2"/>
  <c r="R7355" i="2"/>
  <c r="R7354" i="2"/>
  <c r="R7353" i="2"/>
  <c r="R7352" i="2"/>
  <c r="R7351" i="2"/>
  <c r="R7350" i="2"/>
  <c r="R7349" i="2"/>
  <c r="R7348" i="2"/>
  <c r="R7347" i="2"/>
  <c r="R7346" i="2"/>
  <c r="R7345" i="2"/>
  <c r="R7344" i="2"/>
  <c r="R7343" i="2"/>
  <c r="R7342" i="2"/>
  <c r="R7341" i="2"/>
  <c r="R7340" i="2"/>
  <c r="R7339" i="2"/>
  <c r="R7338" i="2"/>
  <c r="R7337" i="2"/>
  <c r="R7336" i="2"/>
  <c r="R7335" i="2"/>
  <c r="R7334" i="2"/>
  <c r="R7333" i="2"/>
  <c r="R7332" i="2"/>
  <c r="R7331" i="2"/>
  <c r="R7330" i="2"/>
  <c r="R7329" i="2"/>
  <c r="R7328" i="2"/>
  <c r="R7327" i="2"/>
  <c r="R7326" i="2"/>
  <c r="R7325" i="2"/>
  <c r="R7324" i="2"/>
  <c r="R7323" i="2"/>
  <c r="R7322" i="2"/>
  <c r="R7321" i="2"/>
  <c r="R7320" i="2"/>
  <c r="R7319" i="2"/>
  <c r="R7318" i="2"/>
  <c r="R7317" i="2"/>
  <c r="R7316" i="2"/>
  <c r="R7315" i="2"/>
  <c r="R7314" i="2"/>
  <c r="R7313" i="2"/>
  <c r="R7312" i="2"/>
  <c r="R7311" i="2"/>
  <c r="R7310" i="2"/>
  <c r="R7309" i="2"/>
  <c r="R7308" i="2"/>
  <c r="R7307" i="2"/>
  <c r="R7306" i="2"/>
  <c r="R7305" i="2"/>
  <c r="R7304" i="2"/>
  <c r="R7303" i="2"/>
  <c r="R7302" i="2"/>
  <c r="R7301" i="2"/>
  <c r="R7300" i="2"/>
  <c r="R7299" i="2"/>
  <c r="R7298" i="2"/>
  <c r="R7297" i="2"/>
  <c r="R7296" i="2"/>
  <c r="R7295" i="2"/>
  <c r="R7294" i="2"/>
  <c r="R7293" i="2"/>
  <c r="R7292" i="2"/>
  <c r="R7291" i="2"/>
  <c r="R7290" i="2"/>
  <c r="R7289" i="2"/>
  <c r="R7288" i="2"/>
  <c r="R7287" i="2"/>
  <c r="R7286" i="2"/>
  <c r="R7285" i="2"/>
  <c r="R7284" i="2"/>
  <c r="R7283" i="2"/>
  <c r="R7282" i="2"/>
  <c r="R7281" i="2"/>
  <c r="R7280" i="2"/>
  <c r="R7279" i="2"/>
  <c r="R7278" i="2"/>
  <c r="R7277" i="2"/>
  <c r="R7276" i="2"/>
  <c r="R7275" i="2"/>
  <c r="R7274" i="2"/>
  <c r="R7273" i="2"/>
  <c r="R7272" i="2"/>
  <c r="R7271" i="2"/>
  <c r="R7270" i="2"/>
  <c r="R7269" i="2"/>
  <c r="R7268" i="2"/>
  <c r="R7267" i="2"/>
  <c r="R7266" i="2"/>
  <c r="R7265" i="2"/>
  <c r="R7264" i="2"/>
  <c r="R7263" i="2"/>
  <c r="R7262" i="2"/>
  <c r="R7261" i="2"/>
  <c r="R7260" i="2"/>
  <c r="R7259" i="2"/>
  <c r="R7258" i="2"/>
  <c r="R7257" i="2"/>
  <c r="R7256" i="2"/>
  <c r="R7255" i="2"/>
  <c r="R7254" i="2"/>
  <c r="R7253" i="2"/>
  <c r="R7252" i="2"/>
  <c r="R7251" i="2"/>
  <c r="R7250" i="2"/>
  <c r="R7249" i="2"/>
  <c r="R7248" i="2"/>
  <c r="R7247" i="2"/>
  <c r="R7246" i="2"/>
  <c r="R7245" i="2"/>
  <c r="R7244" i="2"/>
  <c r="R7243" i="2"/>
  <c r="R7242" i="2"/>
  <c r="R7241" i="2"/>
  <c r="R7240" i="2"/>
  <c r="R7239" i="2"/>
  <c r="R7238" i="2"/>
  <c r="R7237" i="2"/>
  <c r="R7236" i="2"/>
  <c r="R7235" i="2"/>
  <c r="R7234" i="2"/>
  <c r="R7233" i="2"/>
  <c r="R7232" i="2"/>
  <c r="R7231" i="2"/>
  <c r="R7230" i="2"/>
  <c r="R7229" i="2"/>
  <c r="R7228" i="2"/>
  <c r="R7227" i="2"/>
  <c r="R7226" i="2"/>
  <c r="R7225" i="2"/>
  <c r="R7224" i="2"/>
  <c r="R7223" i="2"/>
  <c r="R7222" i="2"/>
  <c r="R7221" i="2"/>
  <c r="R7220" i="2"/>
  <c r="R7219" i="2"/>
  <c r="R7218" i="2"/>
  <c r="R7217" i="2"/>
  <c r="R7216" i="2"/>
  <c r="R7215" i="2"/>
  <c r="R7214" i="2"/>
  <c r="R7213" i="2"/>
  <c r="R7212" i="2"/>
  <c r="R7211" i="2"/>
  <c r="R7210" i="2"/>
  <c r="R7209" i="2"/>
  <c r="R7208" i="2"/>
  <c r="R7207" i="2"/>
  <c r="R7206" i="2"/>
  <c r="R7205" i="2"/>
  <c r="R7204" i="2"/>
  <c r="R7203" i="2"/>
  <c r="R7202" i="2"/>
  <c r="R7201" i="2"/>
  <c r="R7200" i="2"/>
  <c r="R7199" i="2"/>
  <c r="R7198" i="2"/>
  <c r="R7197" i="2"/>
  <c r="R7196" i="2"/>
  <c r="R7195" i="2"/>
  <c r="R7194" i="2"/>
  <c r="R7193" i="2"/>
  <c r="R7192" i="2"/>
  <c r="R7191" i="2"/>
  <c r="R7190" i="2"/>
  <c r="R7189" i="2"/>
  <c r="R7188" i="2"/>
  <c r="R7187" i="2"/>
  <c r="R7186" i="2"/>
  <c r="R7185" i="2"/>
  <c r="R7184" i="2"/>
  <c r="R7183" i="2"/>
  <c r="R7182" i="2"/>
  <c r="R7181" i="2"/>
  <c r="R7180" i="2"/>
  <c r="R7179" i="2"/>
  <c r="R7178" i="2"/>
  <c r="R7177" i="2"/>
  <c r="R7176" i="2"/>
  <c r="R7175" i="2"/>
  <c r="R7174" i="2"/>
  <c r="R7173" i="2"/>
  <c r="R7172" i="2"/>
  <c r="R7171" i="2"/>
  <c r="R7170" i="2"/>
  <c r="R7169" i="2"/>
  <c r="R7168" i="2"/>
  <c r="R7167" i="2"/>
  <c r="R7166" i="2"/>
  <c r="R7165" i="2"/>
  <c r="R7164" i="2"/>
  <c r="R7163" i="2"/>
  <c r="R7162" i="2"/>
  <c r="R7161" i="2"/>
  <c r="R7160" i="2"/>
  <c r="R7159" i="2"/>
  <c r="R7158" i="2"/>
  <c r="R7157" i="2"/>
  <c r="R7156" i="2"/>
  <c r="R7155" i="2"/>
  <c r="R7154" i="2"/>
  <c r="R7153" i="2"/>
  <c r="R7152" i="2"/>
  <c r="R7151" i="2"/>
  <c r="R7150" i="2"/>
  <c r="R7149" i="2"/>
  <c r="R7148" i="2"/>
  <c r="R7147" i="2"/>
  <c r="R7146" i="2"/>
  <c r="R7145" i="2"/>
  <c r="R7144" i="2"/>
  <c r="R7143" i="2"/>
  <c r="R7142" i="2"/>
  <c r="R7141" i="2"/>
  <c r="R7140" i="2"/>
  <c r="R7139" i="2"/>
  <c r="R7138" i="2"/>
  <c r="R7137" i="2"/>
  <c r="R7136" i="2"/>
  <c r="R7135" i="2"/>
  <c r="R7134" i="2"/>
  <c r="R7133" i="2"/>
  <c r="R7132" i="2"/>
  <c r="R7131" i="2"/>
  <c r="R7130" i="2"/>
  <c r="R7129" i="2"/>
  <c r="R7128" i="2"/>
  <c r="R7127" i="2"/>
  <c r="R7126" i="2"/>
  <c r="R7125" i="2"/>
  <c r="R7124" i="2"/>
  <c r="R7123" i="2"/>
  <c r="R7122" i="2"/>
  <c r="R7121" i="2"/>
  <c r="R7120" i="2"/>
  <c r="R7119" i="2"/>
  <c r="R7118" i="2"/>
  <c r="R7117" i="2"/>
  <c r="R7116" i="2"/>
  <c r="R7115" i="2"/>
  <c r="R7114" i="2"/>
  <c r="R7113" i="2"/>
  <c r="R7112" i="2"/>
  <c r="R7111" i="2"/>
  <c r="R7110" i="2"/>
  <c r="R7109" i="2"/>
  <c r="R7108" i="2"/>
  <c r="R7107" i="2"/>
  <c r="R7106" i="2"/>
  <c r="R7105" i="2"/>
  <c r="R7104" i="2"/>
  <c r="R7103" i="2"/>
  <c r="R7102" i="2"/>
  <c r="R7101" i="2"/>
  <c r="R7100" i="2"/>
  <c r="R7099" i="2"/>
  <c r="R7098" i="2"/>
  <c r="R7097" i="2"/>
  <c r="R7096" i="2"/>
  <c r="R7095" i="2"/>
  <c r="R7094" i="2"/>
  <c r="R7093" i="2"/>
  <c r="R7092" i="2"/>
  <c r="R7091" i="2"/>
  <c r="R7090" i="2"/>
  <c r="R7089" i="2"/>
  <c r="R7088" i="2"/>
  <c r="R7087" i="2"/>
  <c r="R7086" i="2"/>
  <c r="R7085" i="2"/>
  <c r="R7084" i="2"/>
  <c r="R7083" i="2"/>
  <c r="R7082" i="2"/>
  <c r="R7081" i="2"/>
  <c r="R7080" i="2"/>
  <c r="R7079" i="2"/>
  <c r="R7078" i="2"/>
  <c r="R7077" i="2"/>
  <c r="R7076" i="2"/>
  <c r="R7075" i="2"/>
  <c r="R7074" i="2"/>
  <c r="R7073" i="2"/>
  <c r="R7072" i="2"/>
  <c r="R7071" i="2"/>
  <c r="R7070" i="2"/>
  <c r="R7069" i="2"/>
  <c r="R7068" i="2"/>
  <c r="R7067" i="2"/>
  <c r="R7066" i="2"/>
  <c r="R7065" i="2"/>
  <c r="R7064" i="2"/>
  <c r="R7063" i="2"/>
  <c r="R7062" i="2"/>
  <c r="R7061" i="2"/>
  <c r="R7060" i="2"/>
  <c r="R7059" i="2"/>
  <c r="R7058" i="2"/>
  <c r="R7057" i="2"/>
  <c r="R7056" i="2"/>
  <c r="R7055" i="2"/>
  <c r="R7054" i="2"/>
  <c r="R7053" i="2"/>
  <c r="R7052" i="2"/>
  <c r="R7051" i="2"/>
  <c r="R7050" i="2"/>
  <c r="R7049" i="2"/>
  <c r="R7048" i="2"/>
  <c r="R7047" i="2"/>
  <c r="R7046" i="2"/>
  <c r="R7045" i="2"/>
  <c r="R7044" i="2"/>
  <c r="R7043" i="2"/>
  <c r="R7042" i="2"/>
  <c r="R7041" i="2"/>
  <c r="R7040" i="2"/>
  <c r="R7039" i="2"/>
  <c r="R7038" i="2"/>
  <c r="R7037" i="2"/>
  <c r="R7036" i="2"/>
  <c r="R7035" i="2"/>
  <c r="R7034" i="2"/>
  <c r="R7033" i="2"/>
  <c r="R7032" i="2"/>
  <c r="R7031" i="2"/>
  <c r="R7030" i="2"/>
  <c r="R7029" i="2"/>
  <c r="R7028" i="2"/>
  <c r="R7027" i="2"/>
  <c r="R7026" i="2"/>
  <c r="R7025" i="2"/>
  <c r="R7024" i="2"/>
  <c r="R7023" i="2"/>
  <c r="R7022" i="2"/>
  <c r="R7021" i="2"/>
  <c r="R7020" i="2"/>
  <c r="R7019" i="2"/>
  <c r="R7018" i="2"/>
  <c r="R7017" i="2"/>
  <c r="R7016" i="2"/>
  <c r="R7015" i="2"/>
  <c r="R7014" i="2"/>
  <c r="R7013" i="2"/>
  <c r="R7012" i="2"/>
  <c r="R7011" i="2"/>
  <c r="R7010" i="2"/>
  <c r="R7009" i="2"/>
  <c r="R7008" i="2"/>
  <c r="R7007" i="2"/>
  <c r="R7006" i="2"/>
  <c r="R7005" i="2"/>
  <c r="R7004" i="2"/>
  <c r="R7003" i="2"/>
  <c r="R7002" i="2"/>
  <c r="R7001" i="2"/>
  <c r="R7000" i="2"/>
  <c r="R6999" i="2"/>
  <c r="R6998" i="2"/>
  <c r="R6997" i="2"/>
  <c r="R6996" i="2"/>
  <c r="R6995" i="2"/>
  <c r="R6994" i="2"/>
  <c r="R6993" i="2"/>
  <c r="R6992" i="2"/>
  <c r="R6991" i="2"/>
  <c r="R6990" i="2"/>
  <c r="R6989" i="2"/>
  <c r="R6988" i="2"/>
  <c r="R6987" i="2"/>
  <c r="R6986" i="2"/>
  <c r="R6985" i="2"/>
  <c r="R6984" i="2"/>
  <c r="R6983" i="2"/>
  <c r="R6982" i="2"/>
  <c r="R6981" i="2"/>
  <c r="R6980" i="2"/>
  <c r="R6979" i="2"/>
  <c r="R6978" i="2"/>
  <c r="R6977" i="2"/>
  <c r="R6976" i="2"/>
  <c r="R6975" i="2"/>
  <c r="R6974" i="2"/>
  <c r="R6973" i="2"/>
  <c r="R6972" i="2"/>
  <c r="R6971" i="2"/>
  <c r="R6970" i="2"/>
  <c r="R6969" i="2"/>
  <c r="R6968" i="2"/>
  <c r="R6967" i="2"/>
  <c r="R6966" i="2"/>
  <c r="R6965" i="2"/>
  <c r="R6964" i="2"/>
  <c r="R6963" i="2"/>
  <c r="R6962" i="2"/>
  <c r="R6961" i="2"/>
  <c r="R6960" i="2"/>
  <c r="R6959" i="2"/>
  <c r="R6958" i="2"/>
  <c r="R6957" i="2"/>
  <c r="R6956" i="2"/>
  <c r="R6955" i="2"/>
  <c r="R6954" i="2"/>
  <c r="R6953" i="2"/>
  <c r="R6952" i="2"/>
  <c r="R6951" i="2"/>
  <c r="R6950" i="2"/>
  <c r="R6949" i="2"/>
  <c r="R6948" i="2"/>
  <c r="R6947" i="2"/>
  <c r="R6946" i="2"/>
  <c r="R6945" i="2"/>
  <c r="R6944" i="2"/>
  <c r="R6943" i="2"/>
  <c r="R6942" i="2"/>
  <c r="R6941" i="2"/>
  <c r="R6940" i="2"/>
  <c r="R6939" i="2"/>
  <c r="R6938" i="2"/>
  <c r="R6937" i="2"/>
  <c r="R6936" i="2"/>
  <c r="R6935" i="2"/>
  <c r="R6934" i="2"/>
  <c r="R6933" i="2"/>
  <c r="R6932" i="2"/>
  <c r="R6931" i="2"/>
  <c r="R6930" i="2"/>
  <c r="R6929" i="2"/>
  <c r="R6928" i="2"/>
  <c r="R6927" i="2"/>
  <c r="R6926" i="2"/>
  <c r="R6925" i="2"/>
  <c r="R6924" i="2"/>
  <c r="R6923" i="2"/>
  <c r="R6922" i="2"/>
  <c r="R6921" i="2"/>
  <c r="R6920" i="2"/>
  <c r="R6919" i="2"/>
  <c r="R6918" i="2"/>
  <c r="R6917" i="2"/>
  <c r="R6916" i="2"/>
  <c r="R6915" i="2"/>
  <c r="R6914" i="2"/>
  <c r="R6913" i="2"/>
  <c r="R6912" i="2"/>
  <c r="R6911" i="2"/>
  <c r="R6910" i="2"/>
  <c r="R6909" i="2"/>
  <c r="R6908" i="2"/>
  <c r="R6907" i="2"/>
  <c r="R6906" i="2"/>
  <c r="R6905" i="2"/>
  <c r="R6904" i="2"/>
  <c r="R6903" i="2"/>
  <c r="R6902" i="2"/>
  <c r="R6901" i="2"/>
  <c r="R6900" i="2"/>
  <c r="R6899" i="2"/>
  <c r="R6898" i="2"/>
  <c r="R6897" i="2"/>
  <c r="R6896" i="2"/>
  <c r="R6895" i="2"/>
  <c r="R6894" i="2"/>
  <c r="R6893" i="2"/>
  <c r="R6892" i="2"/>
  <c r="R6891" i="2"/>
  <c r="R6890" i="2"/>
  <c r="R6889" i="2"/>
  <c r="R6888" i="2"/>
  <c r="R6887" i="2"/>
  <c r="R6886" i="2"/>
  <c r="R6885" i="2"/>
  <c r="R6884" i="2"/>
  <c r="R6883" i="2"/>
  <c r="R6882" i="2"/>
  <c r="R6881" i="2"/>
  <c r="R6880" i="2"/>
  <c r="R6879" i="2"/>
  <c r="R6878" i="2"/>
  <c r="R6877" i="2"/>
  <c r="R6876" i="2"/>
  <c r="R6875" i="2"/>
  <c r="R6874" i="2"/>
  <c r="R6873" i="2"/>
  <c r="R6872" i="2"/>
  <c r="R6871" i="2"/>
  <c r="R6870" i="2"/>
  <c r="R6869" i="2"/>
  <c r="R6868" i="2"/>
  <c r="R6867" i="2"/>
  <c r="R6866" i="2"/>
  <c r="R6865" i="2"/>
  <c r="R6864" i="2"/>
  <c r="R6863" i="2"/>
  <c r="R6862" i="2"/>
  <c r="R6861" i="2"/>
  <c r="R6860" i="2"/>
  <c r="R6859" i="2"/>
  <c r="R6858" i="2"/>
  <c r="R6857" i="2"/>
  <c r="R6856" i="2"/>
  <c r="R6855" i="2"/>
  <c r="R6854" i="2"/>
  <c r="R6853" i="2"/>
  <c r="R6852" i="2"/>
  <c r="R6851" i="2"/>
  <c r="R6850" i="2"/>
  <c r="R6849" i="2"/>
  <c r="R6848" i="2"/>
  <c r="R6847" i="2"/>
  <c r="R6846" i="2"/>
  <c r="R6845" i="2"/>
  <c r="R6844" i="2"/>
  <c r="R6843" i="2"/>
  <c r="R6842" i="2"/>
  <c r="R6841" i="2"/>
  <c r="R6840" i="2"/>
  <c r="R6839" i="2"/>
  <c r="R6838" i="2"/>
  <c r="R6837" i="2"/>
  <c r="R6836" i="2"/>
  <c r="R6835" i="2"/>
  <c r="R6834" i="2"/>
  <c r="R6833" i="2"/>
  <c r="R6832" i="2"/>
  <c r="R6831" i="2"/>
  <c r="R6830" i="2"/>
  <c r="R6829" i="2"/>
  <c r="R6828" i="2"/>
  <c r="R6827" i="2"/>
  <c r="R6826" i="2"/>
  <c r="R6825" i="2"/>
  <c r="R6824" i="2"/>
  <c r="R6823" i="2"/>
  <c r="R6822" i="2"/>
  <c r="R6821" i="2"/>
  <c r="R6820" i="2"/>
  <c r="R6819" i="2"/>
  <c r="R6818" i="2"/>
  <c r="R6817" i="2"/>
  <c r="R6816" i="2"/>
  <c r="R6815" i="2"/>
  <c r="R6814" i="2"/>
  <c r="R6813" i="2"/>
  <c r="R6812" i="2"/>
  <c r="R6811" i="2"/>
  <c r="R6810" i="2"/>
  <c r="R6809" i="2"/>
  <c r="R6808" i="2"/>
  <c r="R6807" i="2"/>
  <c r="R6806" i="2"/>
  <c r="R6805" i="2"/>
  <c r="R6804" i="2"/>
  <c r="R6803" i="2"/>
  <c r="R6802" i="2"/>
  <c r="R6801" i="2"/>
  <c r="R6800" i="2"/>
  <c r="R6799" i="2"/>
  <c r="R6798" i="2"/>
  <c r="R6797" i="2"/>
  <c r="R6796" i="2"/>
  <c r="R6795" i="2"/>
  <c r="R6794" i="2"/>
  <c r="R6793" i="2"/>
  <c r="R6792" i="2"/>
  <c r="R6791" i="2"/>
  <c r="R6790" i="2"/>
  <c r="R6789" i="2"/>
  <c r="R6788" i="2"/>
  <c r="R6787" i="2"/>
  <c r="R6786" i="2"/>
  <c r="R6785" i="2"/>
  <c r="R6784" i="2"/>
  <c r="R6783" i="2"/>
  <c r="R6782" i="2"/>
  <c r="R6781" i="2"/>
  <c r="R6780" i="2"/>
  <c r="R6779" i="2"/>
  <c r="R6778" i="2"/>
  <c r="R6777" i="2"/>
  <c r="R6776" i="2"/>
  <c r="R6775" i="2"/>
  <c r="R6774" i="2"/>
  <c r="R6773" i="2"/>
  <c r="R6772" i="2"/>
  <c r="R6771" i="2"/>
  <c r="R6770" i="2"/>
  <c r="R6769" i="2"/>
  <c r="R6768" i="2"/>
  <c r="R6767" i="2"/>
  <c r="R6766" i="2"/>
  <c r="R6765" i="2"/>
  <c r="R6764" i="2"/>
  <c r="R6763" i="2"/>
  <c r="R6762" i="2"/>
  <c r="R6761" i="2"/>
  <c r="R6760" i="2"/>
  <c r="R6759" i="2"/>
  <c r="R6758" i="2"/>
  <c r="R6757" i="2"/>
  <c r="R6756" i="2"/>
  <c r="R6755" i="2"/>
  <c r="R6754" i="2"/>
  <c r="R6753" i="2"/>
  <c r="R6752" i="2"/>
  <c r="R6751" i="2"/>
  <c r="R6750" i="2"/>
  <c r="R6749" i="2"/>
  <c r="R6748" i="2"/>
  <c r="R6747" i="2"/>
  <c r="R6746" i="2"/>
  <c r="R6745" i="2"/>
  <c r="R6744" i="2"/>
  <c r="R6743" i="2"/>
  <c r="R6742" i="2"/>
  <c r="R6741" i="2"/>
  <c r="R6740" i="2"/>
  <c r="R6739" i="2"/>
  <c r="R6738" i="2"/>
  <c r="R6737" i="2"/>
  <c r="R6736" i="2"/>
  <c r="R6735" i="2"/>
  <c r="R6734" i="2"/>
  <c r="R6733" i="2"/>
  <c r="R6732" i="2"/>
  <c r="R6731" i="2"/>
  <c r="R6730" i="2"/>
  <c r="R6729" i="2"/>
  <c r="R6728" i="2"/>
  <c r="R6727" i="2"/>
  <c r="R6726" i="2"/>
  <c r="R6725" i="2"/>
  <c r="R6724" i="2"/>
  <c r="R6723" i="2"/>
  <c r="R6722" i="2"/>
  <c r="R6721" i="2"/>
  <c r="R6720" i="2"/>
  <c r="R6719" i="2"/>
  <c r="R6718" i="2"/>
  <c r="R6717" i="2"/>
  <c r="R6716" i="2"/>
  <c r="R6715" i="2"/>
  <c r="R6714" i="2"/>
  <c r="R6713" i="2"/>
  <c r="R6712" i="2"/>
  <c r="R6711" i="2"/>
  <c r="R6710" i="2"/>
  <c r="R6709" i="2"/>
  <c r="R6708" i="2"/>
  <c r="R6707" i="2"/>
  <c r="R6706" i="2"/>
  <c r="R6705" i="2"/>
  <c r="R6704" i="2"/>
  <c r="R6703" i="2"/>
  <c r="R6702" i="2"/>
  <c r="R6701" i="2"/>
  <c r="R6700" i="2"/>
  <c r="R6699" i="2"/>
  <c r="R6698" i="2"/>
  <c r="R6697" i="2"/>
  <c r="R6696" i="2"/>
  <c r="R6695" i="2"/>
  <c r="R6694" i="2"/>
  <c r="R6693" i="2"/>
  <c r="R6692" i="2"/>
  <c r="R6691" i="2"/>
  <c r="R6690" i="2"/>
  <c r="R6689" i="2"/>
  <c r="R6688" i="2"/>
  <c r="R6687" i="2"/>
  <c r="R6686" i="2"/>
  <c r="R6685" i="2"/>
  <c r="R6684" i="2"/>
  <c r="R6683" i="2"/>
  <c r="R6682" i="2"/>
  <c r="R6681" i="2"/>
  <c r="R6680" i="2"/>
  <c r="R6679" i="2"/>
  <c r="R6678" i="2"/>
  <c r="R6677" i="2"/>
  <c r="R6676" i="2"/>
  <c r="R6675" i="2"/>
  <c r="R6674" i="2"/>
  <c r="R6673" i="2"/>
  <c r="R6672" i="2"/>
  <c r="R6671" i="2"/>
  <c r="R6670" i="2"/>
  <c r="R6669" i="2"/>
  <c r="R6668" i="2"/>
  <c r="R6667" i="2"/>
  <c r="R6666" i="2"/>
  <c r="R6665" i="2"/>
  <c r="R6664" i="2"/>
  <c r="R6663" i="2"/>
  <c r="R6662" i="2"/>
  <c r="R6661" i="2"/>
  <c r="R6660" i="2"/>
  <c r="R6659" i="2"/>
  <c r="R6658" i="2"/>
  <c r="R6657" i="2"/>
  <c r="R6656" i="2"/>
  <c r="R6655" i="2"/>
  <c r="R6654" i="2"/>
  <c r="R6653" i="2"/>
  <c r="R6652" i="2"/>
  <c r="R6651" i="2"/>
  <c r="R6650" i="2"/>
  <c r="R6649" i="2"/>
  <c r="R6648" i="2"/>
  <c r="R6647" i="2"/>
  <c r="R6646" i="2"/>
  <c r="R6645" i="2"/>
  <c r="R6644" i="2"/>
  <c r="R6643" i="2"/>
  <c r="R6642" i="2"/>
  <c r="R6641" i="2"/>
  <c r="R6640" i="2"/>
  <c r="R6639" i="2"/>
  <c r="R6638" i="2"/>
  <c r="R6637" i="2"/>
  <c r="R6636" i="2"/>
  <c r="R6635" i="2"/>
  <c r="R6634" i="2"/>
  <c r="R6633" i="2"/>
  <c r="R6632" i="2"/>
  <c r="R6631" i="2"/>
  <c r="R6630" i="2"/>
  <c r="R6629" i="2"/>
  <c r="R6628" i="2"/>
  <c r="R6627" i="2"/>
  <c r="R6626" i="2"/>
  <c r="R6625" i="2"/>
  <c r="R6624" i="2"/>
  <c r="R6623" i="2"/>
  <c r="R6622" i="2"/>
  <c r="R6621" i="2"/>
  <c r="R6620" i="2"/>
  <c r="R6619" i="2"/>
  <c r="R6618" i="2"/>
  <c r="R6617" i="2"/>
  <c r="R6616" i="2"/>
  <c r="R6615" i="2"/>
  <c r="R6614" i="2"/>
  <c r="R6613" i="2"/>
  <c r="R6612" i="2"/>
  <c r="R6611" i="2"/>
  <c r="R6610" i="2"/>
  <c r="R6609" i="2"/>
  <c r="R6608" i="2"/>
  <c r="R6607" i="2"/>
  <c r="R6606" i="2"/>
  <c r="R6605" i="2"/>
  <c r="R6604" i="2"/>
  <c r="R6603" i="2"/>
  <c r="R6602" i="2"/>
  <c r="R6601" i="2"/>
  <c r="R6600" i="2"/>
  <c r="R6599" i="2"/>
  <c r="R6598" i="2"/>
  <c r="R6597" i="2"/>
  <c r="R6596" i="2"/>
  <c r="R6595" i="2"/>
  <c r="R6594" i="2"/>
  <c r="R6593" i="2"/>
  <c r="R6592" i="2"/>
  <c r="R6591" i="2"/>
  <c r="R6590" i="2"/>
  <c r="R6589" i="2"/>
  <c r="R6588" i="2"/>
  <c r="R6587" i="2"/>
  <c r="R6586" i="2"/>
  <c r="R6585" i="2"/>
  <c r="R6584" i="2"/>
  <c r="R6583" i="2"/>
  <c r="R6582" i="2"/>
  <c r="R6581" i="2"/>
  <c r="R6580" i="2"/>
  <c r="R6579" i="2"/>
  <c r="R6578" i="2"/>
  <c r="R6577" i="2"/>
  <c r="R6576" i="2"/>
  <c r="R6575" i="2"/>
  <c r="R6574" i="2"/>
  <c r="R6573" i="2"/>
  <c r="R6572" i="2"/>
  <c r="R6571" i="2"/>
  <c r="R6570" i="2"/>
  <c r="R6569" i="2"/>
  <c r="R6568" i="2"/>
  <c r="R6567" i="2"/>
  <c r="R6566" i="2"/>
  <c r="R6565" i="2"/>
  <c r="R6564" i="2"/>
  <c r="R6563" i="2"/>
  <c r="R6562" i="2"/>
  <c r="R6561" i="2"/>
  <c r="R6560" i="2"/>
  <c r="R6559" i="2"/>
  <c r="R6558" i="2"/>
  <c r="R6557" i="2"/>
  <c r="R6556" i="2"/>
  <c r="R6555" i="2"/>
  <c r="R6554" i="2"/>
  <c r="R6553" i="2"/>
  <c r="R6552" i="2"/>
  <c r="R6551" i="2"/>
  <c r="R6550" i="2"/>
  <c r="R6549" i="2"/>
  <c r="R6548" i="2"/>
  <c r="R6547" i="2"/>
  <c r="R6546" i="2"/>
  <c r="R6545" i="2"/>
  <c r="R6544" i="2"/>
  <c r="R6543" i="2"/>
  <c r="R6542" i="2"/>
  <c r="R6541" i="2"/>
  <c r="R6540" i="2"/>
  <c r="R6539" i="2"/>
  <c r="R6538" i="2"/>
  <c r="R6537" i="2"/>
  <c r="R6536" i="2"/>
  <c r="R6535" i="2"/>
  <c r="R6534" i="2"/>
  <c r="R6533" i="2"/>
  <c r="R6532" i="2"/>
  <c r="R6531" i="2"/>
  <c r="R6530" i="2"/>
  <c r="R6529" i="2"/>
  <c r="R6528" i="2"/>
  <c r="R6527" i="2"/>
  <c r="R6526" i="2"/>
  <c r="R6525" i="2"/>
  <c r="R6524" i="2"/>
  <c r="R6523" i="2"/>
  <c r="R6522" i="2"/>
  <c r="R6521" i="2"/>
  <c r="R6520" i="2"/>
  <c r="R6519" i="2"/>
  <c r="R6518" i="2"/>
  <c r="R6517" i="2"/>
  <c r="R6516" i="2"/>
  <c r="R6515" i="2"/>
  <c r="R6514" i="2"/>
  <c r="R6513" i="2"/>
  <c r="R6512" i="2"/>
  <c r="R6511" i="2"/>
  <c r="R6510" i="2"/>
  <c r="R6509" i="2"/>
  <c r="R6508" i="2"/>
  <c r="R6507" i="2"/>
  <c r="R6506" i="2"/>
  <c r="R6505" i="2"/>
  <c r="R6504" i="2"/>
  <c r="R6503" i="2"/>
  <c r="R6502" i="2"/>
  <c r="R6501" i="2"/>
  <c r="R6500" i="2"/>
  <c r="R6499" i="2"/>
  <c r="R6498" i="2"/>
  <c r="R6497" i="2"/>
  <c r="R6496" i="2"/>
  <c r="R6495" i="2"/>
  <c r="R6494" i="2"/>
  <c r="R6493" i="2"/>
  <c r="R6492" i="2"/>
  <c r="R6491" i="2"/>
  <c r="R6490" i="2"/>
  <c r="R6489" i="2"/>
  <c r="R6488" i="2"/>
  <c r="R6487" i="2"/>
  <c r="R6486" i="2"/>
  <c r="R6485" i="2"/>
  <c r="R6484" i="2"/>
  <c r="R6483" i="2"/>
  <c r="R6482" i="2"/>
  <c r="R6481" i="2"/>
  <c r="R6480" i="2"/>
  <c r="R6479" i="2"/>
  <c r="R6478" i="2"/>
  <c r="R6477" i="2"/>
  <c r="R6476" i="2"/>
  <c r="R6475" i="2"/>
  <c r="R6474" i="2"/>
  <c r="R6473" i="2"/>
  <c r="R6472" i="2"/>
  <c r="R6471" i="2"/>
  <c r="R6470" i="2"/>
  <c r="R6469" i="2"/>
  <c r="R6468" i="2"/>
  <c r="R6467" i="2"/>
  <c r="R6466" i="2"/>
  <c r="R6465" i="2"/>
  <c r="R6464" i="2"/>
  <c r="R6463" i="2"/>
  <c r="R6462" i="2"/>
  <c r="R6461" i="2"/>
  <c r="R6460" i="2"/>
  <c r="R6459" i="2"/>
  <c r="R6458" i="2"/>
  <c r="R6457" i="2"/>
  <c r="R6456" i="2"/>
  <c r="R6455" i="2"/>
  <c r="R6454" i="2"/>
  <c r="R6453" i="2"/>
  <c r="R6452" i="2"/>
  <c r="R6451" i="2"/>
  <c r="R6450" i="2"/>
  <c r="R6449" i="2"/>
  <c r="R6448" i="2"/>
  <c r="R6447" i="2"/>
  <c r="R6446" i="2"/>
  <c r="R6445" i="2"/>
  <c r="R6444" i="2"/>
  <c r="R6443" i="2"/>
  <c r="R6442" i="2"/>
  <c r="R6441" i="2"/>
  <c r="R6440" i="2"/>
  <c r="R6439" i="2"/>
  <c r="R6438" i="2"/>
  <c r="R6437" i="2"/>
  <c r="R6436" i="2"/>
  <c r="R6435" i="2"/>
  <c r="R6434" i="2"/>
  <c r="R6433" i="2"/>
  <c r="R6432" i="2"/>
  <c r="R6431" i="2"/>
  <c r="R6430" i="2"/>
  <c r="R6429" i="2"/>
  <c r="R6428" i="2"/>
  <c r="R6427" i="2"/>
  <c r="R6426" i="2"/>
  <c r="R6425" i="2"/>
  <c r="R6424" i="2"/>
  <c r="R6423" i="2"/>
  <c r="R6422" i="2"/>
  <c r="R6421" i="2"/>
  <c r="R6420" i="2"/>
  <c r="R6419" i="2"/>
  <c r="R6418" i="2"/>
  <c r="R6417" i="2"/>
  <c r="R6416" i="2"/>
  <c r="R6415" i="2"/>
  <c r="R6414" i="2"/>
  <c r="R6413" i="2"/>
  <c r="R6412" i="2"/>
  <c r="R6411" i="2"/>
  <c r="R6410" i="2"/>
  <c r="R6409" i="2"/>
  <c r="R6408" i="2"/>
  <c r="R6407" i="2"/>
  <c r="R6406" i="2"/>
  <c r="R6405" i="2"/>
  <c r="R6404" i="2"/>
  <c r="R6403" i="2"/>
  <c r="R6402" i="2"/>
  <c r="R6401" i="2"/>
  <c r="R6400" i="2"/>
  <c r="R6399" i="2"/>
  <c r="R6398" i="2"/>
  <c r="R6397" i="2"/>
  <c r="R6396" i="2"/>
  <c r="R6395" i="2"/>
  <c r="R6394" i="2"/>
  <c r="R6393" i="2"/>
  <c r="R6392" i="2"/>
  <c r="R6391" i="2"/>
  <c r="R6390" i="2"/>
  <c r="R6389" i="2"/>
  <c r="R6388" i="2"/>
  <c r="R6387" i="2"/>
  <c r="R6386" i="2"/>
  <c r="R6385" i="2"/>
  <c r="R6384" i="2"/>
  <c r="R6383" i="2"/>
  <c r="R6382" i="2"/>
  <c r="R6381" i="2"/>
  <c r="R6380" i="2"/>
  <c r="R6379" i="2"/>
  <c r="R6378" i="2"/>
  <c r="R6377" i="2"/>
  <c r="R6376" i="2"/>
  <c r="R6375" i="2"/>
  <c r="R6374" i="2"/>
  <c r="R6373" i="2"/>
  <c r="R6372" i="2"/>
  <c r="R6371" i="2"/>
  <c r="R6370" i="2"/>
  <c r="R6369" i="2"/>
  <c r="R6368" i="2"/>
  <c r="R6367" i="2"/>
  <c r="R6366" i="2"/>
  <c r="R6365" i="2"/>
  <c r="R6364" i="2"/>
  <c r="R6363" i="2"/>
  <c r="R6362" i="2"/>
  <c r="R6361" i="2"/>
  <c r="R6360" i="2"/>
  <c r="R6359" i="2"/>
  <c r="R6358" i="2"/>
  <c r="R6357" i="2"/>
  <c r="R6356" i="2"/>
  <c r="R6355" i="2"/>
  <c r="R6354" i="2"/>
  <c r="R6353" i="2"/>
  <c r="R6352" i="2"/>
  <c r="R6351" i="2"/>
  <c r="R6350" i="2"/>
  <c r="R6349" i="2"/>
  <c r="R6348" i="2"/>
  <c r="R6347" i="2"/>
  <c r="R6346" i="2"/>
  <c r="R6345" i="2"/>
  <c r="R6344" i="2"/>
  <c r="R6343" i="2"/>
  <c r="R6342" i="2"/>
  <c r="R6341" i="2"/>
  <c r="R6340" i="2"/>
  <c r="R6339" i="2"/>
  <c r="R6338" i="2"/>
  <c r="R6337" i="2"/>
  <c r="R6336" i="2"/>
  <c r="R6335" i="2"/>
  <c r="R6334" i="2"/>
  <c r="R6333" i="2"/>
  <c r="R6332" i="2"/>
  <c r="R6331" i="2"/>
  <c r="R6330" i="2"/>
  <c r="R6329" i="2"/>
  <c r="R6328" i="2"/>
  <c r="R6327" i="2"/>
  <c r="R6326" i="2"/>
  <c r="R6325" i="2"/>
  <c r="R6324" i="2"/>
  <c r="R6323" i="2"/>
  <c r="R6322" i="2"/>
  <c r="R6321" i="2"/>
  <c r="R6320" i="2"/>
  <c r="R6319" i="2"/>
  <c r="R6318" i="2"/>
  <c r="R6317" i="2"/>
  <c r="R6316" i="2"/>
  <c r="R6315" i="2"/>
  <c r="R6314" i="2"/>
  <c r="R6313" i="2"/>
  <c r="R6312" i="2"/>
  <c r="R6311" i="2"/>
  <c r="R6310" i="2"/>
  <c r="R6309" i="2"/>
  <c r="R6308" i="2"/>
  <c r="R6307" i="2"/>
  <c r="R6306" i="2"/>
  <c r="R6305" i="2"/>
  <c r="R6304" i="2"/>
  <c r="R6303" i="2"/>
  <c r="R6302" i="2"/>
  <c r="R6301" i="2"/>
  <c r="R6300" i="2"/>
  <c r="R6299" i="2"/>
  <c r="R6298" i="2"/>
  <c r="R6297" i="2"/>
  <c r="R6296" i="2"/>
  <c r="R6295" i="2"/>
  <c r="R6294" i="2"/>
  <c r="R6293" i="2"/>
  <c r="R6292" i="2"/>
  <c r="R6291" i="2"/>
  <c r="R6290" i="2"/>
  <c r="R6289" i="2"/>
  <c r="R6288" i="2"/>
  <c r="R6287" i="2"/>
  <c r="R6286" i="2"/>
  <c r="R6285" i="2"/>
  <c r="R6284" i="2"/>
  <c r="R6283" i="2"/>
  <c r="R6282" i="2"/>
  <c r="R6281" i="2"/>
  <c r="R6280" i="2"/>
  <c r="R6279" i="2"/>
  <c r="R6278" i="2"/>
  <c r="R6277" i="2"/>
  <c r="R6276" i="2"/>
  <c r="R6275" i="2"/>
  <c r="R6274" i="2"/>
  <c r="R6273" i="2"/>
  <c r="R6272" i="2"/>
  <c r="R6271" i="2"/>
  <c r="R6270" i="2"/>
  <c r="R6269" i="2"/>
  <c r="R6268" i="2"/>
  <c r="R6267" i="2"/>
  <c r="R6266" i="2"/>
  <c r="R6265" i="2"/>
  <c r="R6264" i="2"/>
  <c r="R6263" i="2"/>
  <c r="R6262" i="2"/>
  <c r="R6261" i="2"/>
  <c r="R6260" i="2"/>
  <c r="R6259" i="2"/>
  <c r="R6258" i="2"/>
  <c r="R6257" i="2"/>
  <c r="R6256" i="2"/>
  <c r="R6255" i="2"/>
  <c r="R6254" i="2"/>
  <c r="R6253" i="2"/>
  <c r="R6252" i="2"/>
  <c r="R6251" i="2"/>
  <c r="R6250" i="2"/>
  <c r="R6249" i="2"/>
  <c r="R6248" i="2"/>
  <c r="R6247" i="2"/>
  <c r="R6246" i="2"/>
  <c r="R6245" i="2"/>
  <c r="R6244" i="2"/>
  <c r="R6243" i="2"/>
  <c r="R6242" i="2"/>
  <c r="R6241" i="2"/>
  <c r="R6240" i="2"/>
  <c r="R6239" i="2"/>
  <c r="R6238" i="2"/>
  <c r="R6237" i="2"/>
  <c r="R6236" i="2"/>
  <c r="R6235" i="2"/>
  <c r="R6234" i="2"/>
  <c r="R6233" i="2"/>
  <c r="R6232" i="2"/>
  <c r="R6231" i="2"/>
  <c r="R6230" i="2"/>
  <c r="R6229" i="2"/>
  <c r="R6228" i="2"/>
  <c r="R6227" i="2"/>
  <c r="R6226" i="2"/>
  <c r="R6225" i="2"/>
  <c r="R6224" i="2"/>
  <c r="R6223" i="2"/>
  <c r="R6222" i="2"/>
  <c r="R6221" i="2"/>
  <c r="R6220" i="2"/>
  <c r="R6219" i="2"/>
  <c r="R6218" i="2"/>
  <c r="R6217" i="2"/>
  <c r="R6216" i="2"/>
  <c r="R6215" i="2"/>
  <c r="R6214" i="2"/>
  <c r="R6213" i="2"/>
  <c r="R6212" i="2"/>
  <c r="R6211" i="2"/>
  <c r="R6210" i="2"/>
  <c r="R6209" i="2"/>
  <c r="R6208" i="2"/>
  <c r="R6207" i="2"/>
  <c r="R6206" i="2"/>
  <c r="R6205" i="2"/>
  <c r="R6204" i="2"/>
  <c r="R6203" i="2"/>
  <c r="R6202" i="2"/>
  <c r="R6201" i="2"/>
  <c r="R6200" i="2"/>
  <c r="R6199" i="2"/>
  <c r="R6198" i="2"/>
  <c r="R6197" i="2"/>
  <c r="R6196" i="2"/>
  <c r="R6195" i="2"/>
  <c r="R6194" i="2"/>
  <c r="R6193" i="2"/>
  <c r="R6192" i="2"/>
  <c r="R6191" i="2"/>
  <c r="R6190" i="2"/>
  <c r="R6189" i="2"/>
  <c r="R6188" i="2"/>
  <c r="R6187" i="2"/>
  <c r="R6186" i="2"/>
  <c r="R6185" i="2"/>
  <c r="R6184" i="2"/>
  <c r="R6183" i="2"/>
  <c r="R6182" i="2"/>
  <c r="R6181" i="2"/>
  <c r="R6180" i="2"/>
  <c r="R6179" i="2"/>
  <c r="R6178" i="2"/>
  <c r="R6177" i="2"/>
  <c r="R6176" i="2"/>
  <c r="R6175" i="2"/>
  <c r="R6174" i="2"/>
  <c r="R6173" i="2"/>
  <c r="R6172" i="2"/>
  <c r="R6171" i="2"/>
  <c r="R6170" i="2"/>
  <c r="R6169" i="2"/>
  <c r="R6168" i="2"/>
  <c r="R6167" i="2"/>
  <c r="R6166" i="2"/>
  <c r="R6165" i="2"/>
  <c r="R6164" i="2"/>
  <c r="R6163" i="2"/>
  <c r="R6162" i="2"/>
  <c r="R6161" i="2"/>
  <c r="R6160" i="2"/>
  <c r="R6159" i="2"/>
  <c r="R6158" i="2"/>
  <c r="R6157" i="2"/>
  <c r="R6156" i="2"/>
  <c r="R6155" i="2"/>
  <c r="R6154" i="2"/>
  <c r="R6153" i="2"/>
  <c r="R6152" i="2"/>
  <c r="R6151" i="2"/>
  <c r="R6150" i="2"/>
  <c r="R6149" i="2"/>
  <c r="R6148" i="2"/>
  <c r="R6147" i="2"/>
  <c r="R6146" i="2"/>
  <c r="R6145" i="2"/>
  <c r="R6144" i="2"/>
  <c r="R6143" i="2"/>
  <c r="R6142" i="2"/>
  <c r="R6141" i="2"/>
  <c r="R6140" i="2"/>
  <c r="R6139" i="2"/>
  <c r="R6138" i="2"/>
  <c r="R6137" i="2"/>
  <c r="R6136" i="2"/>
  <c r="R6135" i="2"/>
  <c r="R6134" i="2"/>
  <c r="R6133" i="2"/>
  <c r="R6132" i="2"/>
  <c r="R6131" i="2"/>
  <c r="R6130" i="2"/>
  <c r="R6129" i="2"/>
  <c r="R6128" i="2"/>
  <c r="R6127" i="2"/>
  <c r="R6126" i="2"/>
  <c r="R6125" i="2"/>
  <c r="R6124" i="2"/>
  <c r="R6123" i="2"/>
  <c r="R6122" i="2"/>
  <c r="R6121" i="2"/>
  <c r="R6120" i="2"/>
  <c r="R6119" i="2"/>
  <c r="R6118" i="2"/>
  <c r="R6117" i="2"/>
  <c r="R6116" i="2"/>
  <c r="R6115" i="2"/>
  <c r="R6114" i="2"/>
  <c r="R6113" i="2"/>
  <c r="R6112" i="2"/>
  <c r="R6111" i="2"/>
  <c r="R6110" i="2"/>
  <c r="R6109" i="2"/>
  <c r="R6108" i="2"/>
  <c r="R6107" i="2"/>
  <c r="R6106" i="2"/>
  <c r="R6105" i="2"/>
  <c r="R6104" i="2"/>
  <c r="R6103" i="2"/>
  <c r="R6102" i="2"/>
  <c r="R6101" i="2"/>
  <c r="R6100" i="2"/>
  <c r="R6099" i="2"/>
  <c r="R6098" i="2"/>
  <c r="R6097" i="2"/>
  <c r="R6096" i="2"/>
  <c r="R6095" i="2"/>
  <c r="R6094" i="2"/>
  <c r="R6093" i="2"/>
  <c r="R6092" i="2"/>
  <c r="R6091" i="2"/>
  <c r="R6090" i="2"/>
  <c r="R6089" i="2"/>
  <c r="R6088" i="2"/>
  <c r="R6087" i="2"/>
  <c r="R6086" i="2"/>
  <c r="R6085" i="2"/>
  <c r="R6084" i="2"/>
  <c r="R6083" i="2"/>
  <c r="R6082" i="2"/>
  <c r="R6081" i="2"/>
  <c r="R6080" i="2"/>
  <c r="R6079" i="2"/>
  <c r="R6078" i="2"/>
  <c r="R6077" i="2"/>
  <c r="R6076" i="2"/>
  <c r="R6075" i="2"/>
  <c r="R6074" i="2"/>
  <c r="R6073" i="2"/>
  <c r="R6072" i="2"/>
  <c r="R6071" i="2"/>
  <c r="R6070" i="2"/>
  <c r="R6069" i="2"/>
  <c r="R6068" i="2"/>
  <c r="R6067" i="2"/>
  <c r="R6066" i="2"/>
  <c r="R6065" i="2"/>
  <c r="R6064" i="2"/>
  <c r="R6063" i="2"/>
  <c r="R6062" i="2"/>
  <c r="R6061" i="2"/>
  <c r="R6060" i="2"/>
  <c r="R6059" i="2"/>
  <c r="R6058" i="2"/>
  <c r="R6057" i="2"/>
  <c r="R6056" i="2"/>
  <c r="R6055" i="2"/>
  <c r="R6054" i="2"/>
  <c r="R6053" i="2"/>
  <c r="R6052" i="2"/>
  <c r="R6051" i="2"/>
  <c r="R6050" i="2"/>
  <c r="R6049" i="2"/>
  <c r="R6048" i="2"/>
  <c r="R6047" i="2"/>
  <c r="R6046" i="2"/>
  <c r="R6045" i="2"/>
  <c r="R6044" i="2"/>
  <c r="R6043" i="2"/>
  <c r="R6042" i="2"/>
  <c r="R6041" i="2"/>
  <c r="R6040" i="2"/>
  <c r="R6039" i="2"/>
  <c r="R6038" i="2"/>
  <c r="R6037" i="2"/>
  <c r="R6036" i="2"/>
  <c r="R6035" i="2"/>
  <c r="R6034" i="2"/>
  <c r="R6033" i="2"/>
  <c r="R6032" i="2"/>
  <c r="R6031" i="2"/>
  <c r="R6030" i="2"/>
  <c r="R6029" i="2"/>
  <c r="R6028" i="2"/>
  <c r="R6027" i="2"/>
  <c r="R6026" i="2"/>
  <c r="R6025" i="2"/>
  <c r="R6024" i="2"/>
  <c r="R6023" i="2"/>
  <c r="R6022" i="2"/>
  <c r="R6021" i="2"/>
  <c r="R6020" i="2"/>
  <c r="R6019" i="2"/>
  <c r="R6018" i="2"/>
  <c r="R6017" i="2"/>
  <c r="R6016" i="2"/>
  <c r="R6015" i="2"/>
  <c r="R6014" i="2"/>
  <c r="R6013" i="2"/>
  <c r="R6012" i="2"/>
  <c r="R6011" i="2"/>
  <c r="R6010" i="2"/>
  <c r="R6009" i="2"/>
  <c r="R6008" i="2"/>
  <c r="R6007" i="2"/>
  <c r="R6006" i="2"/>
  <c r="R6005" i="2"/>
  <c r="R6004" i="2"/>
  <c r="R6003" i="2"/>
  <c r="R6002" i="2"/>
  <c r="R6001" i="2"/>
  <c r="R6000" i="2"/>
  <c r="R5999" i="2"/>
  <c r="R5998" i="2"/>
  <c r="R5997" i="2"/>
  <c r="R5996" i="2"/>
  <c r="R5995" i="2"/>
  <c r="R5994" i="2"/>
  <c r="R5993" i="2"/>
  <c r="R5992" i="2"/>
  <c r="R5991" i="2"/>
  <c r="R5990" i="2"/>
  <c r="R5989" i="2"/>
  <c r="R5988" i="2"/>
  <c r="R5987" i="2"/>
  <c r="R5986" i="2"/>
  <c r="R5985" i="2"/>
  <c r="R5984" i="2"/>
  <c r="R5983" i="2"/>
  <c r="R5982" i="2"/>
  <c r="R5981" i="2"/>
  <c r="R5980" i="2"/>
  <c r="R5979" i="2"/>
  <c r="R5978" i="2"/>
  <c r="R5977" i="2"/>
  <c r="R5976" i="2"/>
  <c r="R5975" i="2"/>
  <c r="R5974" i="2"/>
  <c r="R5973" i="2"/>
  <c r="R5972" i="2"/>
  <c r="R5971" i="2"/>
  <c r="R5970" i="2"/>
  <c r="R5969" i="2"/>
  <c r="R5968" i="2"/>
  <c r="R5967" i="2"/>
  <c r="R5966" i="2"/>
  <c r="R5965" i="2"/>
  <c r="R5964" i="2"/>
  <c r="R5963" i="2"/>
  <c r="R5962" i="2"/>
  <c r="R5961" i="2"/>
  <c r="R5960" i="2"/>
  <c r="R5959" i="2"/>
  <c r="R5958" i="2"/>
  <c r="R5957" i="2"/>
  <c r="R5956" i="2"/>
  <c r="R5955" i="2"/>
  <c r="R5954" i="2"/>
  <c r="R5953" i="2"/>
  <c r="R5952" i="2"/>
  <c r="R5951" i="2"/>
  <c r="R5950" i="2"/>
  <c r="R5949" i="2"/>
  <c r="R5948" i="2"/>
  <c r="R5947" i="2"/>
  <c r="R5946" i="2"/>
  <c r="R5945" i="2"/>
  <c r="R5944" i="2"/>
  <c r="R5943" i="2"/>
  <c r="R5942" i="2"/>
  <c r="R5941" i="2"/>
  <c r="R5940" i="2"/>
  <c r="R5939" i="2"/>
  <c r="R5938" i="2"/>
  <c r="R5937" i="2"/>
  <c r="R5936" i="2"/>
  <c r="R5935" i="2"/>
  <c r="R5934" i="2"/>
  <c r="R5933" i="2"/>
  <c r="R5932" i="2"/>
  <c r="R5931" i="2"/>
  <c r="R5930" i="2"/>
  <c r="R5929" i="2"/>
  <c r="R5928" i="2"/>
  <c r="R5927" i="2"/>
  <c r="R5926" i="2"/>
  <c r="R5925" i="2"/>
  <c r="R5924" i="2"/>
  <c r="R5923" i="2"/>
  <c r="R5922" i="2"/>
  <c r="R5921" i="2"/>
  <c r="R5920" i="2"/>
  <c r="R5919" i="2"/>
  <c r="R5918" i="2"/>
  <c r="R5917" i="2"/>
  <c r="R5916" i="2"/>
  <c r="R5915" i="2"/>
  <c r="R5914" i="2"/>
  <c r="R5913" i="2"/>
  <c r="R5912" i="2"/>
  <c r="R5911" i="2"/>
  <c r="R5910" i="2"/>
  <c r="R5909" i="2"/>
  <c r="R5908" i="2"/>
  <c r="R5907" i="2"/>
  <c r="R5906" i="2"/>
  <c r="R5905" i="2"/>
  <c r="R5904" i="2"/>
  <c r="R5903" i="2"/>
  <c r="R5902" i="2"/>
  <c r="R5901" i="2"/>
  <c r="R5900" i="2"/>
  <c r="R5899" i="2"/>
  <c r="R5898" i="2"/>
  <c r="R5897" i="2"/>
  <c r="R5896" i="2"/>
  <c r="R5895" i="2"/>
  <c r="R5894" i="2"/>
  <c r="R5893" i="2"/>
  <c r="R5892" i="2"/>
  <c r="R5891" i="2"/>
  <c r="R5890" i="2"/>
  <c r="R5889" i="2"/>
  <c r="R5888" i="2"/>
  <c r="R5887" i="2"/>
  <c r="R5886" i="2"/>
  <c r="R5885" i="2"/>
  <c r="R5884" i="2"/>
  <c r="R5883" i="2"/>
  <c r="R5882" i="2"/>
  <c r="R5881" i="2"/>
  <c r="R5880" i="2"/>
  <c r="R5879" i="2"/>
  <c r="R5878" i="2"/>
  <c r="R5877" i="2"/>
  <c r="R5876" i="2"/>
  <c r="R5875" i="2"/>
  <c r="R5874" i="2"/>
  <c r="R5873" i="2"/>
  <c r="R5872" i="2"/>
  <c r="R5871" i="2"/>
  <c r="R5870" i="2"/>
  <c r="R5869" i="2"/>
  <c r="R5868" i="2"/>
  <c r="R5867" i="2"/>
  <c r="R5866" i="2"/>
  <c r="R5865" i="2"/>
  <c r="R5864" i="2"/>
  <c r="R5863" i="2"/>
  <c r="R5862" i="2"/>
  <c r="R5861" i="2"/>
  <c r="R5860" i="2"/>
  <c r="R5859" i="2"/>
  <c r="R5858" i="2"/>
  <c r="R5857" i="2"/>
  <c r="R5856" i="2"/>
  <c r="R5855" i="2"/>
  <c r="R5854" i="2"/>
  <c r="R5853" i="2"/>
  <c r="R5852" i="2"/>
  <c r="R5851" i="2"/>
  <c r="R5850" i="2"/>
  <c r="R5849" i="2"/>
  <c r="R5848" i="2"/>
  <c r="R5847" i="2"/>
  <c r="R5846" i="2"/>
  <c r="R5845" i="2"/>
  <c r="R5844" i="2"/>
  <c r="R5843" i="2"/>
  <c r="R5842" i="2"/>
  <c r="R5841" i="2"/>
  <c r="R5840" i="2"/>
  <c r="R5839" i="2"/>
  <c r="R5838" i="2"/>
  <c r="R5837" i="2"/>
  <c r="R5836" i="2"/>
  <c r="R5835" i="2"/>
  <c r="R5834" i="2"/>
  <c r="R5833" i="2"/>
  <c r="R5832" i="2"/>
  <c r="R5831" i="2"/>
  <c r="R5830" i="2"/>
  <c r="R5829" i="2"/>
  <c r="R5828" i="2"/>
  <c r="R5827" i="2"/>
  <c r="R5826" i="2"/>
  <c r="R5825" i="2"/>
  <c r="R5824" i="2"/>
  <c r="R5823" i="2"/>
  <c r="R5822" i="2"/>
  <c r="R5821" i="2"/>
  <c r="R5820" i="2"/>
  <c r="R5819" i="2"/>
  <c r="R5818" i="2"/>
  <c r="R5817" i="2"/>
  <c r="R5816" i="2"/>
  <c r="R5815" i="2"/>
  <c r="R5814" i="2"/>
  <c r="R5813" i="2"/>
  <c r="R5812" i="2"/>
  <c r="R5811" i="2"/>
  <c r="R5810" i="2"/>
  <c r="R5809" i="2"/>
  <c r="R5808" i="2"/>
  <c r="R5807" i="2"/>
  <c r="R5806" i="2"/>
  <c r="R5805" i="2"/>
  <c r="R5804" i="2"/>
  <c r="R5803" i="2"/>
  <c r="R5802" i="2"/>
  <c r="R5801" i="2"/>
  <c r="R5800" i="2"/>
  <c r="R5799" i="2"/>
  <c r="R5798" i="2"/>
  <c r="R5797" i="2"/>
  <c r="R5796" i="2"/>
  <c r="R5795" i="2"/>
  <c r="R5794" i="2"/>
  <c r="R5793" i="2"/>
  <c r="R5792" i="2"/>
  <c r="R5791" i="2"/>
  <c r="R5790" i="2"/>
  <c r="R5789" i="2"/>
  <c r="R5788" i="2"/>
  <c r="R5787" i="2"/>
  <c r="R5786" i="2"/>
  <c r="R5785" i="2"/>
  <c r="R5784" i="2"/>
  <c r="R5783" i="2"/>
  <c r="R5782" i="2"/>
  <c r="R5781" i="2"/>
  <c r="R5780" i="2"/>
  <c r="R5779" i="2"/>
  <c r="R5778" i="2"/>
  <c r="R5777" i="2"/>
  <c r="R5776" i="2"/>
  <c r="R5775" i="2"/>
  <c r="R5774" i="2"/>
  <c r="R5773" i="2"/>
  <c r="R5772" i="2"/>
  <c r="R5771" i="2"/>
  <c r="R5770" i="2"/>
  <c r="R5769" i="2"/>
  <c r="R5768" i="2"/>
  <c r="R5767" i="2"/>
  <c r="R5766" i="2"/>
  <c r="R5765" i="2"/>
  <c r="R5764" i="2"/>
  <c r="R5763" i="2"/>
  <c r="R5762" i="2"/>
  <c r="R5761" i="2"/>
  <c r="R5760" i="2"/>
  <c r="R5759" i="2"/>
  <c r="R5758" i="2"/>
  <c r="R5757" i="2"/>
  <c r="R5756" i="2"/>
  <c r="R5755" i="2"/>
  <c r="R5754" i="2"/>
  <c r="R5753" i="2"/>
  <c r="R5752" i="2"/>
  <c r="R5751" i="2"/>
  <c r="R5750" i="2"/>
  <c r="R5749" i="2"/>
  <c r="R5748" i="2"/>
  <c r="R5747" i="2"/>
  <c r="R5746" i="2"/>
  <c r="R5745" i="2"/>
  <c r="R5744" i="2"/>
  <c r="R5743" i="2"/>
  <c r="R5742" i="2"/>
  <c r="R5741" i="2"/>
  <c r="R5740" i="2"/>
  <c r="R5739" i="2"/>
  <c r="R5738" i="2"/>
  <c r="R5737" i="2"/>
  <c r="R5736" i="2"/>
  <c r="R5735" i="2"/>
  <c r="R5734" i="2"/>
  <c r="R5733" i="2"/>
  <c r="R5732" i="2"/>
  <c r="R5731" i="2"/>
  <c r="R5730" i="2"/>
  <c r="R5729" i="2"/>
  <c r="R5728" i="2"/>
  <c r="R5727" i="2"/>
  <c r="R5726" i="2"/>
  <c r="R5725" i="2"/>
  <c r="R5724" i="2"/>
  <c r="R5723" i="2"/>
  <c r="R5722" i="2"/>
  <c r="R5721" i="2"/>
  <c r="R5720" i="2"/>
  <c r="R5719" i="2"/>
  <c r="R5718" i="2"/>
  <c r="R5717" i="2"/>
  <c r="R5716" i="2"/>
  <c r="R5715" i="2"/>
  <c r="R5714" i="2"/>
  <c r="R5713" i="2"/>
  <c r="R5712" i="2"/>
  <c r="R5711" i="2"/>
  <c r="R5710" i="2"/>
  <c r="R5709" i="2"/>
  <c r="R5708" i="2"/>
  <c r="R5707" i="2"/>
  <c r="R5706" i="2"/>
  <c r="R5705" i="2"/>
  <c r="R5704" i="2"/>
  <c r="R5703" i="2"/>
  <c r="R5702" i="2"/>
  <c r="R5701" i="2"/>
  <c r="R5700" i="2"/>
  <c r="R5699" i="2"/>
  <c r="R5698" i="2"/>
  <c r="R5697" i="2"/>
  <c r="R5696" i="2"/>
  <c r="R5695" i="2"/>
  <c r="R5694" i="2"/>
  <c r="R5693" i="2"/>
  <c r="R5692" i="2"/>
  <c r="R5691" i="2"/>
  <c r="R5690" i="2"/>
  <c r="R5689" i="2"/>
  <c r="R5688" i="2"/>
  <c r="R5687" i="2"/>
  <c r="R5686" i="2"/>
  <c r="R5685" i="2"/>
  <c r="R5684" i="2"/>
  <c r="R5683" i="2"/>
  <c r="R5682" i="2"/>
  <c r="R5681" i="2"/>
  <c r="R5680" i="2"/>
  <c r="R5679" i="2"/>
  <c r="R5678" i="2"/>
  <c r="R5677" i="2"/>
  <c r="R5676" i="2"/>
  <c r="R5675" i="2"/>
  <c r="R5674" i="2"/>
  <c r="R5673" i="2"/>
  <c r="R5672" i="2"/>
  <c r="R5671" i="2"/>
  <c r="R5670" i="2"/>
  <c r="R5669" i="2"/>
  <c r="R5668" i="2"/>
  <c r="R5667" i="2"/>
  <c r="R5666" i="2"/>
  <c r="R5665" i="2"/>
  <c r="R5664" i="2"/>
  <c r="R5663" i="2"/>
  <c r="R5662" i="2"/>
  <c r="R5661" i="2"/>
  <c r="R5660" i="2"/>
  <c r="R5659" i="2"/>
  <c r="R5658" i="2"/>
  <c r="R5657" i="2"/>
  <c r="R5656" i="2"/>
  <c r="R5655" i="2"/>
  <c r="R5654" i="2"/>
  <c r="R5653" i="2"/>
  <c r="R5652" i="2"/>
  <c r="R5651" i="2"/>
  <c r="R5650" i="2"/>
  <c r="R5649" i="2"/>
  <c r="R5648" i="2"/>
  <c r="R5647" i="2"/>
  <c r="R5646" i="2"/>
  <c r="R5645" i="2"/>
  <c r="R5644" i="2"/>
  <c r="R5643" i="2"/>
  <c r="R5642" i="2"/>
  <c r="R5641" i="2"/>
  <c r="R5640" i="2"/>
  <c r="R5639" i="2"/>
  <c r="R5638" i="2"/>
  <c r="R5637" i="2"/>
  <c r="R5636" i="2"/>
  <c r="R5635" i="2"/>
  <c r="R5634" i="2"/>
  <c r="R5633" i="2"/>
  <c r="R5632" i="2"/>
  <c r="R5631" i="2"/>
  <c r="R5630" i="2"/>
  <c r="R5629" i="2"/>
  <c r="R5628" i="2"/>
  <c r="R5627" i="2"/>
  <c r="R5626" i="2"/>
  <c r="R5625" i="2"/>
  <c r="R5624" i="2"/>
  <c r="R5623" i="2"/>
  <c r="R5622" i="2"/>
  <c r="R5621" i="2"/>
  <c r="R5620" i="2"/>
  <c r="R5619" i="2"/>
  <c r="R5618" i="2"/>
  <c r="R5617" i="2"/>
  <c r="R5616" i="2"/>
  <c r="R5615" i="2"/>
  <c r="R5614" i="2"/>
  <c r="R5613" i="2"/>
  <c r="R5612" i="2"/>
  <c r="R5611" i="2"/>
  <c r="R5610" i="2"/>
  <c r="R5609" i="2"/>
  <c r="R5608" i="2"/>
  <c r="R5607" i="2"/>
  <c r="R5606" i="2"/>
  <c r="R5605" i="2"/>
  <c r="R5604" i="2"/>
  <c r="R5603" i="2"/>
  <c r="R5602" i="2"/>
  <c r="R5601" i="2"/>
  <c r="R5600" i="2"/>
  <c r="R5599" i="2"/>
  <c r="R5598" i="2"/>
  <c r="R5597" i="2"/>
  <c r="R5596" i="2"/>
  <c r="R5595" i="2"/>
  <c r="R5594" i="2"/>
  <c r="R5593" i="2"/>
  <c r="R5592" i="2"/>
  <c r="R5591" i="2"/>
  <c r="R5590" i="2"/>
  <c r="R5589" i="2"/>
  <c r="R5588" i="2"/>
  <c r="R5587" i="2"/>
  <c r="R5586" i="2"/>
  <c r="R5585" i="2"/>
  <c r="R5584" i="2"/>
  <c r="R5583" i="2"/>
  <c r="R5582" i="2"/>
  <c r="R5581" i="2"/>
  <c r="R5580" i="2"/>
  <c r="R5579" i="2"/>
  <c r="R5578" i="2"/>
  <c r="R5577" i="2"/>
  <c r="R5576" i="2"/>
  <c r="R5575" i="2"/>
  <c r="R5574" i="2"/>
  <c r="R5573" i="2"/>
  <c r="R5572" i="2"/>
  <c r="R5571" i="2"/>
  <c r="R5570" i="2"/>
  <c r="R5569" i="2"/>
  <c r="R5568" i="2"/>
  <c r="R5567" i="2"/>
  <c r="R5566" i="2"/>
  <c r="R5565" i="2"/>
  <c r="R5564" i="2"/>
  <c r="R5563" i="2"/>
  <c r="R5562" i="2"/>
  <c r="R5561" i="2"/>
  <c r="R5560" i="2"/>
  <c r="R5559" i="2"/>
  <c r="R5558" i="2"/>
  <c r="R5557" i="2"/>
  <c r="R5556" i="2"/>
  <c r="R5555" i="2"/>
  <c r="R5554" i="2"/>
  <c r="R5553" i="2"/>
  <c r="R5552" i="2"/>
  <c r="R5551" i="2"/>
  <c r="R5550" i="2"/>
  <c r="R5549" i="2"/>
  <c r="R5548" i="2"/>
  <c r="R5547" i="2"/>
  <c r="R5546" i="2"/>
  <c r="R5545" i="2"/>
  <c r="R5544" i="2"/>
  <c r="R5543" i="2"/>
  <c r="R5542" i="2"/>
  <c r="R5541" i="2"/>
  <c r="R5540" i="2"/>
  <c r="R5539" i="2"/>
  <c r="R5538" i="2"/>
  <c r="R5537" i="2"/>
  <c r="R5536" i="2"/>
  <c r="R5535" i="2"/>
  <c r="R5534" i="2"/>
  <c r="R5533" i="2"/>
  <c r="R5532" i="2"/>
  <c r="R5531" i="2"/>
  <c r="R5530" i="2"/>
  <c r="R5529" i="2"/>
  <c r="R5528" i="2"/>
  <c r="R5527" i="2"/>
  <c r="R5526" i="2"/>
  <c r="R5525" i="2"/>
  <c r="R5524" i="2"/>
  <c r="R5523" i="2"/>
  <c r="R5522" i="2"/>
  <c r="R5521" i="2"/>
  <c r="R5520" i="2"/>
  <c r="R5519" i="2"/>
  <c r="R5518" i="2"/>
  <c r="R5517" i="2"/>
  <c r="R5516" i="2"/>
  <c r="R5515" i="2"/>
  <c r="R5514" i="2"/>
  <c r="R5513" i="2"/>
  <c r="R5512" i="2"/>
  <c r="R5511" i="2"/>
  <c r="R5510" i="2"/>
  <c r="R5509" i="2"/>
  <c r="R5508" i="2"/>
  <c r="R5507" i="2"/>
  <c r="R5506" i="2"/>
  <c r="R5505" i="2"/>
  <c r="R5504" i="2"/>
  <c r="R5503" i="2"/>
  <c r="R5502" i="2"/>
  <c r="R5501" i="2"/>
  <c r="R5500" i="2"/>
  <c r="R5499" i="2"/>
  <c r="R5498" i="2"/>
  <c r="R5497" i="2"/>
  <c r="R5496" i="2"/>
  <c r="R5495" i="2"/>
  <c r="R5494" i="2"/>
  <c r="R5493" i="2"/>
  <c r="R5492" i="2"/>
  <c r="R5491" i="2"/>
  <c r="R5490" i="2"/>
  <c r="R5489" i="2"/>
  <c r="R5488" i="2"/>
  <c r="R5487" i="2"/>
  <c r="R5486" i="2"/>
  <c r="R5485" i="2"/>
  <c r="R5484" i="2"/>
  <c r="R5483" i="2"/>
  <c r="R5482" i="2"/>
  <c r="R5481" i="2"/>
  <c r="R5480" i="2"/>
  <c r="R5479" i="2"/>
  <c r="R5478" i="2"/>
  <c r="R5477" i="2"/>
  <c r="R5476" i="2"/>
  <c r="R5475" i="2"/>
  <c r="R5474" i="2"/>
  <c r="R5473" i="2"/>
  <c r="R5472" i="2"/>
  <c r="R5471" i="2"/>
  <c r="R5470" i="2"/>
  <c r="R5469" i="2"/>
  <c r="R5468" i="2"/>
  <c r="R5467" i="2"/>
  <c r="R5466" i="2"/>
  <c r="R5465" i="2"/>
  <c r="R5464" i="2"/>
  <c r="R5463" i="2"/>
  <c r="R5462" i="2"/>
  <c r="R5461" i="2"/>
  <c r="R5460" i="2"/>
  <c r="R5459" i="2"/>
  <c r="R5458" i="2"/>
  <c r="R5457" i="2"/>
  <c r="R5456" i="2"/>
  <c r="R5455" i="2"/>
  <c r="R5454" i="2"/>
  <c r="R5453" i="2"/>
  <c r="R5452" i="2"/>
  <c r="R5451" i="2"/>
  <c r="R5450" i="2"/>
  <c r="R5449" i="2"/>
  <c r="R5448" i="2"/>
  <c r="R5447" i="2"/>
  <c r="R5446" i="2"/>
  <c r="R5445" i="2"/>
  <c r="R5444" i="2"/>
  <c r="R5443" i="2"/>
  <c r="R5442" i="2"/>
  <c r="R5441" i="2"/>
  <c r="R5440" i="2"/>
  <c r="R5439" i="2"/>
  <c r="R5438" i="2"/>
  <c r="R5437" i="2"/>
  <c r="R5436" i="2"/>
  <c r="R5435" i="2"/>
  <c r="R5434" i="2"/>
  <c r="R5433" i="2"/>
  <c r="R5432" i="2"/>
  <c r="R5431" i="2"/>
  <c r="R5430" i="2"/>
  <c r="R5429" i="2"/>
  <c r="R5428" i="2"/>
  <c r="R5427" i="2"/>
  <c r="R5426" i="2"/>
  <c r="R5425" i="2"/>
  <c r="R5424" i="2"/>
  <c r="R5423" i="2"/>
  <c r="R5422" i="2"/>
  <c r="R5421" i="2"/>
  <c r="R5420" i="2"/>
  <c r="R5419" i="2"/>
  <c r="R5418" i="2"/>
  <c r="R5417" i="2"/>
  <c r="R5416" i="2"/>
  <c r="R5415" i="2"/>
  <c r="R5414" i="2"/>
  <c r="R5413" i="2"/>
  <c r="R5412" i="2"/>
  <c r="R5411" i="2"/>
  <c r="R5410" i="2"/>
  <c r="R5409" i="2"/>
  <c r="R5408" i="2"/>
  <c r="R5407" i="2"/>
  <c r="R5406" i="2"/>
  <c r="R5405" i="2"/>
  <c r="R5404" i="2"/>
  <c r="R5403" i="2"/>
  <c r="R5402" i="2"/>
  <c r="R5401" i="2"/>
  <c r="R5400" i="2"/>
  <c r="R5399" i="2"/>
  <c r="R5398" i="2"/>
  <c r="R5397" i="2"/>
  <c r="R5396" i="2"/>
  <c r="R5395" i="2"/>
  <c r="R5394" i="2"/>
  <c r="R5393" i="2"/>
  <c r="R5392" i="2"/>
  <c r="R5391" i="2"/>
  <c r="R5390" i="2"/>
  <c r="R5389" i="2"/>
  <c r="R5388" i="2"/>
  <c r="R5387" i="2"/>
  <c r="R5386" i="2"/>
  <c r="R5385" i="2"/>
  <c r="R5384" i="2"/>
  <c r="R5383" i="2"/>
  <c r="R5382" i="2"/>
  <c r="R5381" i="2"/>
  <c r="R5380" i="2"/>
  <c r="R5379" i="2"/>
  <c r="R5378" i="2"/>
  <c r="R5377" i="2"/>
  <c r="R5376" i="2"/>
  <c r="R5375" i="2"/>
  <c r="R5374" i="2"/>
  <c r="R5373" i="2"/>
  <c r="R5372" i="2"/>
  <c r="R5371" i="2"/>
  <c r="R5370" i="2"/>
  <c r="R5369" i="2"/>
  <c r="R5368" i="2"/>
  <c r="R5367" i="2"/>
  <c r="R5366" i="2"/>
  <c r="R5365" i="2"/>
  <c r="R5364" i="2"/>
  <c r="R5363" i="2"/>
  <c r="R5362" i="2"/>
  <c r="R5361" i="2"/>
  <c r="R5360" i="2"/>
  <c r="R5359" i="2"/>
  <c r="R5358" i="2"/>
  <c r="R5357" i="2"/>
  <c r="R5356" i="2"/>
  <c r="R5355" i="2"/>
  <c r="R5354" i="2"/>
  <c r="R5353" i="2"/>
  <c r="R5352" i="2"/>
  <c r="R5351" i="2"/>
  <c r="R5350" i="2"/>
  <c r="R5349" i="2"/>
  <c r="R5348" i="2"/>
  <c r="R5347" i="2"/>
  <c r="R5346" i="2"/>
  <c r="R5345" i="2"/>
  <c r="R5344" i="2"/>
  <c r="R5343" i="2"/>
  <c r="R5342" i="2"/>
  <c r="R5341" i="2"/>
  <c r="R5340" i="2"/>
  <c r="R5339" i="2"/>
  <c r="R5338" i="2"/>
  <c r="R5337" i="2"/>
  <c r="R5336" i="2"/>
  <c r="R5335" i="2"/>
  <c r="R5334" i="2"/>
  <c r="R5333" i="2"/>
  <c r="R5332" i="2"/>
  <c r="R5331" i="2"/>
  <c r="R5330" i="2"/>
  <c r="R5329" i="2"/>
  <c r="R5328" i="2"/>
  <c r="R5327" i="2"/>
  <c r="R5326" i="2"/>
  <c r="R5325" i="2"/>
  <c r="R5324" i="2"/>
  <c r="R5323" i="2"/>
  <c r="R5322" i="2"/>
  <c r="R5321" i="2"/>
  <c r="R5320" i="2"/>
  <c r="R5319" i="2"/>
  <c r="R5318" i="2"/>
  <c r="R5317" i="2"/>
  <c r="R5316" i="2"/>
  <c r="R5315" i="2"/>
  <c r="R5314" i="2"/>
  <c r="R5313" i="2"/>
  <c r="R5312" i="2"/>
  <c r="R5311" i="2"/>
  <c r="R5310" i="2"/>
  <c r="R5309" i="2"/>
  <c r="R5308" i="2"/>
  <c r="R5307" i="2"/>
  <c r="R5306" i="2"/>
  <c r="R5305" i="2"/>
  <c r="R5304" i="2"/>
  <c r="R5303" i="2"/>
  <c r="R5302" i="2"/>
  <c r="R5301" i="2"/>
  <c r="R5300" i="2"/>
  <c r="R5299" i="2"/>
  <c r="R5298" i="2"/>
  <c r="R5297" i="2"/>
  <c r="R5296" i="2"/>
  <c r="R5295" i="2"/>
  <c r="R5294" i="2"/>
  <c r="R5293" i="2"/>
  <c r="R5292" i="2"/>
  <c r="R5291" i="2"/>
  <c r="R5290" i="2"/>
  <c r="R5289" i="2"/>
  <c r="R5288" i="2"/>
  <c r="R5287" i="2"/>
  <c r="R5286" i="2"/>
  <c r="R5285" i="2"/>
  <c r="R5284" i="2"/>
  <c r="R5283" i="2"/>
  <c r="R5282" i="2"/>
  <c r="R5281" i="2"/>
  <c r="R5280" i="2"/>
  <c r="R5279" i="2"/>
  <c r="R5278" i="2"/>
  <c r="R5277" i="2"/>
  <c r="R5276" i="2"/>
  <c r="R5275" i="2"/>
  <c r="R5274" i="2"/>
  <c r="R5273" i="2"/>
  <c r="R5272" i="2"/>
  <c r="R5271" i="2"/>
  <c r="R5270" i="2"/>
  <c r="R5269" i="2"/>
  <c r="R5268" i="2"/>
  <c r="R5267" i="2"/>
  <c r="R5266" i="2"/>
  <c r="R5265" i="2"/>
  <c r="R5264" i="2"/>
  <c r="R5263" i="2"/>
  <c r="R5262" i="2"/>
  <c r="R5261" i="2"/>
  <c r="R5260" i="2"/>
  <c r="R5259" i="2"/>
  <c r="R5258" i="2"/>
  <c r="R5257" i="2"/>
  <c r="R5256" i="2"/>
  <c r="R5255" i="2"/>
  <c r="R5254" i="2"/>
  <c r="R5253" i="2"/>
  <c r="R5252" i="2"/>
  <c r="R5251" i="2"/>
  <c r="R5250" i="2"/>
  <c r="R5249" i="2"/>
  <c r="R5248" i="2"/>
  <c r="R5247" i="2"/>
  <c r="R5246" i="2"/>
  <c r="R5245" i="2"/>
  <c r="R5244" i="2"/>
  <c r="R5243" i="2"/>
  <c r="R5242" i="2"/>
  <c r="R5241" i="2"/>
  <c r="R5240" i="2"/>
  <c r="R5239" i="2"/>
  <c r="R5238" i="2"/>
  <c r="R5237" i="2"/>
  <c r="R5236" i="2"/>
  <c r="R5235" i="2"/>
  <c r="R5234" i="2"/>
  <c r="R5233" i="2"/>
  <c r="R5232" i="2"/>
  <c r="R5231" i="2"/>
  <c r="R5230" i="2"/>
  <c r="R5229" i="2"/>
  <c r="R5228" i="2"/>
  <c r="R5227" i="2"/>
  <c r="R5226" i="2"/>
  <c r="R5225" i="2"/>
  <c r="R5224" i="2"/>
  <c r="R5223" i="2"/>
  <c r="R5222" i="2"/>
  <c r="R5221" i="2"/>
  <c r="R5220" i="2"/>
  <c r="R5219" i="2"/>
  <c r="R5218" i="2"/>
  <c r="R5217" i="2"/>
  <c r="R5216" i="2"/>
  <c r="R5215" i="2"/>
  <c r="R5214" i="2"/>
  <c r="R5213" i="2"/>
  <c r="R5212" i="2"/>
  <c r="R5211" i="2"/>
  <c r="R5210" i="2"/>
  <c r="R5209" i="2"/>
  <c r="R5208" i="2"/>
  <c r="R5207" i="2"/>
  <c r="R5206" i="2"/>
  <c r="R5205" i="2"/>
  <c r="R5204" i="2"/>
  <c r="R5203" i="2"/>
  <c r="R5202" i="2"/>
  <c r="R5201" i="2"/>
  <c r="R5200" i="2"/>
  <c r="R5199" i="2"/>
  <c r="R5198" i="2"/>
  <c r="R5197" i="2"/>
  <c r="R5196" i="2"/>
  <c r="R5195" i="2"/>
  <c r="R5194" i="2"/>
  <c r="R5193" i="2"/>
  <c r="R5192" i="2"/>
  <c r="R5191" i="2"/>
  <c r="R5190" i="2"/>
  <c r="R5189" i="2"/>
  <c r="R5188" i="2"/>
  <c r="R5187" i="2"/>
  <c r="R5186" i="2"/>
  <c r="R5185" i="2"/>
  <c r="R5184" i="2"/>
  <c r="R5183" i="2"/>
  <c r="R5182" i="2"/>
  <c r="R5181" i="2"/>
  <c r="R5180" i="2"/>
  <c r="R5179" i="2"/>
  <c r="R5178" i="2"/>
  <c r="R5177" i="2"/>
  <c r="R5176" i="2"/>
  <c r="R5175" i="2"/>
  <c r="R5174" i="2"/>
  <c r="R5173" i="2"/>
  <c r="R5172" i="2"/>
  <c r="R5171" i="2"/>
  <c r="R5170" i="2"/>
  <c r="R5169" i="2"/>
  <c r="R5168" i="2"/>
  <c r="R5167" i="2"/>
  <c r="R5166" i="2"/>
  <c r="R5165" i="2"/>
  <c r="R5164" i="2"/>
  <c r="R5163" i="2"/>
  <c r="R5162" i="2"/>
  <c r="R5161" i="2"/>
  <c r="R5160" i="2"/>
  <c r="R5159" i="2"/>
  <c r="R5158" i="2"/>
  <c r="R5157" i="2"/>
  <c r="R5156" i="2"/>
  <c r="R5155" i="2"/>
  <c r="R5154" i="2"/>
  <c r="R5153" i="2"/>
  <c r="R5152" i="2"/>
  <c r="R5151" i="2"/>
  <c r="R5150" i="2"/>
  <c r="R5149" i="2"/>
  <c r="R5148" i="2"/>
  <c r="R5147" i="2"/>
  <c r="R5146" i="2"/>
  <c r="R5145" i="2"/>
  <c r="R5144" i="2"/>
  <c r="R5143" i="2"/>
  <c r="R5142" i="2"/>
  <c r="R5141" i="2"/>
  <c r="R5140" i="2"/>
  <c r="R5139" i="2"/>
  <c r="R5138" i="2"/>
  <c r="R5137" i="2"/>
  <c r="R5136" i="2"/>
  <c r="R5135" i="2"/>
  <c r="R5134" i="2"/>
  <c r="R5133" i="2"/>
  <c r="R5132" i="2"/>
  <c r="R5131" i="2"/>
  <c r="R5130" i="2"/>
  <c r="R5129" i="2"/>
  <c r="R5128" i="2"/>
  <c r="R5127" i="2"/>
  <c r="R5126" i="2"/>
  <c r="R5125" i="2"/>
  <c r="R5124" i="2"/>
  <c r="R5123" i="2"/>
  <c r="R5122" i="2"/>
  <c r="R5121" i="2"/>
  <c r="R5120" i="2"/>
  <c r="R5119" i="2"/>
  <c r="R5118" i="2"/>
  <c r="R5117" i="2"/>
  <c r="R5116" i="2"/>
  <c r="R5115" i="2"/>
  <c r="R5114" i="2"/>
  <c r="R5113" i="2"/>
  <c r="R5112" i="2"/>
  <c r="R5111" i="2"/>
  <c r="R5110" i="2"/>
  <c r="R5109" i="2"/>
  <c r="R5108" i="2"/>
  <c r="R5107" i="2"/>
  <c r="R5106" i="2"/>
  <c r="R5105" i="2"/>
  <c r="R5104" i="2"/>
  <c r="R5103" i="2"/>
  <c r="R5102" i="2"/>
  <c r="R5101" i="2"/>
  <c r="R5100" i="2"/>
  <c r="R5099" i="2"/>
  <c r="R5098" i="2"/>
  <c r="R5097" i="2"/>
  <c r="R5096" i="2"/>
  <c r="R5095" i="2"/>
  <c r="R5094" i="2"/>
  <c r="R5093" i="2"/>
  <c r="R5092" i="2"/>
  <c r="R5091" i="2"/>
  <c r="R5090" i="2"/>
  <c r="R5089" i="2"/>
  <c r="R5088" i="2"/>
  <c r="R5087" i="2"/>
  <c r="R5086" i="2"/>
  <c r="R5085" i="2"/>
  <c r="R5084" i="2"/>
  <c r="R5083" i="2"/>
  <c r="R5082" i="2"/>
  <c r="R5081" i="2"/>
  <c r="R5080" i="2"/>
  <c r="R5079" i="2"/>
  <c r="R5078" i="2"/>
  <c r="R5077" i="2"/>
  <c r="R5076" i="2"/>
  <c r="R5075" i="2"/>
  <c r="R5074" i="2"/>
  <c r="R5073" i="2"/>
  <c r="R5072" i="2"/>
  <c r="R5071" i="2"/>
  <c r="R5070" i="2"/>
  <c r="R5069" i="2"/>
  <c r="R5068" i="2"/>
  <c r="R5067" i="2"/>
  <c r="R5066" i="2"/>
  <c r="R5065" i="2"/>
  <c r="R5064" i="2"/>
  <c r="R5063" i="2"/>
  <c r="R5062" i="2"/>
  <c r="R5061" i="2"/>
  <c r="R5060" i="2"/>
  <c r="R5059" i="2"/>
  <c r="R5058" i="2"/>
  <c r="R5057" i="2"/>
  <c r="R5056" i="2"/>
  <c r="R5055" i="2"/>
  <c r="R5054" i="2"/>
  <c r="R5053" i="2"/>
  <c r="R5052" i="2"/>
  <c r="R5051" i="2"/>
  <c r="R5050" i="2"/>
  <c r="R5049" i="2"/>
  <c r="R5048" i="2"/>
  <c r="R5047" i="2"/>
  <c r="R5046" i="2"/>
  <c r="R5045" i="2"/>
  <c r="R5044" i="2"/>
  <c r="R5043" i="2"/>
  <c r="R5042" i="2"/>
  <c r="R5041" i="2"/>
  <c r="R5040" i="2"/>
  <c r="R5039" i="2"/>
  <c r="R5038" i="2"/>
  <c r="R5037" i="2"/>
  <c r="R5036" i="2"/>
  <c r="R5035" i="2"/>
  <c r="R5034" i="2"/>
  <c r="R5033" i="2"/>
  <c r="R5032" i="2"/>
  <c r="R5031" i="2"/>
  <c r="R5030" i="2"/>
  <c r="R5029" i="2"/>
  <c r="R5028" i="2"/>
  <c r="R5027" i="2"/>
  <c r="R5026" i="2"/>
  <c r="R5025" i="2"/>
  <c r="R5024" i="2"/>
  <c r="R5023" i="2"/>
  <c r="R5022" i="2"/>
  <c r="R5021" i="2"/>
  <c r="R5020" i="2"/>
  <c r="R5019" i="2"/>
  <c r="R5018" i="2"/>
  <c r="R5017" i="2"/>
  <c r="R5016" i="2"/>
  <c r="R5015" i="2"/>
  <c r="R5014" i="2"/>
  <c r="R5013" i="2"/>
  <c r="R5012" i="2"/>
  <c r="R5011" i="2"/>
  <c r="R5010" i="2"/>
  <c r="R5009" i="2"/>
  <c r="R5008" i="2"/>
  <c r="R5007" i="2"/>
  <c r="R5006" i="2"/>
  <c r="R5005" i="2"/>
  <c r="R5004" i="2"/>
  <c r="R5003" i="2"/>
  <c r="R5002" i="2"/>
  <c r="R5001" i="2"/>
  <c r="R5000" i="2"/>
  <c r="R4999" i="2"/>
  <c r="R4998" i="2"/>
  <c r="R4997" i="2"/>
  <c r="R4996" i="2"/>
  <c r="R4995" i="2"/>
  <c r="R4994" i="2"/>
  <c r="R4993" i="2"/>
  <c r="R4992" i="2"/>
  <c r="R4991" i="2"/>
  <c r="R4990" i="2"/>
  <c r="R4989" i="2"/>
  <c r="R4988" i="2"/>
  <c r="R4987" i="2"/>
  <c r="R4986" i="2"/>
  <c r="R4985" i="2"/>
  <c r="R4984" i="2"/>
  <c r="R4983" i="2"/>
  <c r="R4982" i="2"/>
  <c r="R4981" i="2"/>
  <c r="R4980" i="2"/>
  <c r="R4979" i="2"/>
  <c r="R4978" i="2"/>
  <c r="R4977" i="2"/>
  <c r="R4976" i="2"/>
  <c r="R4975" i="2"/>
  <c r="R4974" i="2"/>
  <c r="R4973" i="2"/>
  <c r="R4972" i="2"/>
  <c r="R4971" i="2"/>
  <c r="R4970" i="2"/>
  <c r="R4969" i="2"/>
  <c r="R4968" i="2"/>
  <c r="R4967" i="2"/>
  <c r="R4966" i="2"/>
  <c r="R4965" i="2"/>
  <c r="R4964" i="2"/>
  <c r="R4963" i="2"/>
  <c r="R4962" i="2"/>
  <c r="R4961" i="2"/>
  <c r="R4960" i="2"/>
  <c r="R4959" i="2"/>
  <c r="R4958" i="2"/>
  <c r="R4957" i="2"/>
  <c r="R4956" i="2"/>
  <c r="R4955" i="2"/>
  <c r="R4954" i="2"/>
  <c r="R4953" i="2"/>
  <c r="R4952" i="2"/>
  <c r="R4951" i="2"/>
  <c r="R4950" i="2"/>
  <c r="R4949" i="2"/>
  <c r="R4948" i="2"/>
  <c r="R4947" i="2"/>
  <c r="R4946" i="2"/>
  <c r="R4945" i="2"/>
  <c r="R4944" i="2"/>
  <c r="R4943" i="2"/>
  <c r="R4942" i="2"/>
  <c r="R4941" i="2"/>
  <c r="R4940" i="2"/>
  <c r="R4939" i="2"/>
  <c r="R4938" i="2"/>
  <c r="R4937" i="2"/>
  <c r="R4936" i="2"/>
  <c r="R4935" i="2"/>
  <c r="R4934" i="2"/>
  <c r="R4933" i="2"/>
  <c r="R4932" i="2"/>
  <c r="R4931" i="2"/>
  <c r="R4930" i="2"/>
  <c r="R4929" i="2"/>
  <c r="R4928" i="2"/>
  <c r="R4927" i="2"/>
  <c r="R4926" i="2"/>
  <c r="R4925" i="2"/>
  <c r="R4924" i="2"/>
  <c r="R4923" i="2"/>
  <c r="R4922" i="2"/>
  <c r="R4921" i="2"/>
  <c r="R4920" i="2"/>
  <c r="R4919" i="2"/>
  <c r="R4918" i="2"/>
  <c r="R4917" i="2"/>
  <c r="R4916" i="2"/>
  <c r="R4915" i="2"/>
  <c r="R4914" i="2"/>
  <c r="R4913" i="2"/>
  <c r="R4912" i="2"/>
  <c r="R4911" i="2"/>
  <c r="R4910" i="2"/>
  <c r="R4909" i="2"/>
  <c r="R4908" i="2"/>
  <c r="R4907" i="2"/>
  <c r="R4906" i="2"/>
  <c r="R4905" i="2"/>
  <c r="R4904" i="2"/>
  <c r="R4903" i="2"/>
  <c r="R4902" i="2"/>
  <c r="R4901" i="2"/>
  <c r="R4900" i="2"/>
  <c r="R4899" i="2"/>
  <c r="R4898" i="2"/>
  <c r="R4897" i="2"/>
  <c r="R4896" i="2"/>
  <c r="R4895" i="2"/>
  <c r="R4894" i="2"/>
  <c r="R4893" i="2"/>
  <c r="R4892" i="2"/>
  <c r="R4891" i="2"/>
  <c r="R4890" i="2"/>
  <c r="R4889" i="2"/>
  <c r="R4888" i="2"/>
  <c r="R4887" i="2"/>
  <c r="R4886" i="2"/>
  <c r="R4885" i="2"/>
  <c r="R4884" i="2"/>
  <c r="R4883" i="2"/>
  <c r="R4882" i="2"/>
  <c r="R4881" i="2"/>
  <c r="R4880" i="2"/>
  <c r="R4879" i="2"/>
  <c r="R4878" i="2"/>
  <c r="R4877" i="2"/>
  <c r="R4876" i="2"/>
  <c r="R4875" i="2"/>
  <c r="R4874" i="2"/>
  <c r="R4873" i="2"/>
  <c r="R4872" i="2"/>
  <c r="R4871" i="2"/>
  <c r="R4870" i="2"/>
  <c r="R4869" i="2"/>
  <c r="R4868" i="2"/>
  <c r="R4867" i="2"/>
  <c r="R4866" i="2"/>
  <c r="R4865" i="2"/>
  <c r="R4864" i="2"/>
  <c r="R4863" i="2"/>
  <c r="R4862" i="2"/>
  <c r="R4861" i="2"/>
  <c r="R4860" i="2"/>
  <c r="R4859" i="2"/>
  <c r="R4858" i="2"/>
  <c r="R4857" i="2"/>
  <c r="R4856" i="2"/>
  <c r="R4855" i="2"/>
  <c r="R4854" i="2"/>
  <c r="R4853" i="2"/>
  <c r="R4852" i="2"/>
  <c r="R4851" i="2"/>
  <c r="R4850" i="2"/>
  <c r="R4849" i="2"/>
  <c r="R4848" i="2"/>
  <c r="R4847" i="2"/>
  <c r="R4846" i="2"/>
  <c r="R4845" i="2"/>
  <c r="R4844" i="2"/>
  <c r="R4843" i="2"/>
  <c r="R4842" i="2"/>
  <c r="R4841" i="2"/>
  <c r="R4840" i="2"/>
  <c r="R4839" i="2"/>
  <c r="R4838" i="2"/>
  <c r="R4837" i="2"/>
  <c r="R4836" i="2"/>
  <c r="R4835" i="2"/>
  <c r="R4834" i="2"/>
  <c r="R4833" i="2"/>
  <c r="R4832" i="2"/>
  <c r="R4831" i="2"/>
  <c r="R4830" i="2"/>
  <c r="R4829" i="2"/>
  <c r="R4828" i="2"/>
  <c r="R4827" i="2"/>
  <c r="R4826" i="2"/>
  <c r="R4825" i="2"/>
  <c r="R4824" i="2"/>
  <c r="R4823" i="2"/>
  <c r="R4822" i="2"/>
  <c r="R4821" i="2"/>
  <c r="R4820" i="2"/>
  <c r="R4819" i="2"/>
  <c r="R4818" i="2"/>
  <c r="R4817" i="2"/>
  <c r="R4816" i="2"/>
  <c r="R4815" i="2"/>
  <c r="R4814" i="2"/>
  <c r="R4813" i="2"/>
  <c r="R4812" i="2"/>
  <c r="R4811" i="2"/>
  <c r="R4810" i="2"/>
  <c r="R4809" i="2"/>
  <c r="R4808" i="2"/>
  <c r="R4807" i="2"/>
  <c r="R4806" i="2"/>
  <c r="R4805" i="2"/>
  <c r="R4804" i="2"/>
  <c r="R4803" i="2"/>
  <c r="R4802" i="2"/>
  <c r="R4801" i="2"/>
  <c r="R4800" i="2"/>
  <c r="R4799" i="2"/>
  <c r="R4798" i="2"/>
  <c r="R4797" i="2"/>
  <c r="R4796" i="2"/>
  <c r="R4795" i="2"/>
  <c r="R4794" i="2"/>
  <c r="R4793" i="2"/>
  <c r="R4792" i="2"/>
  <c r="R4791" i="2"/>
  <c r="R4790" i="2"/>
  <c r="R4789" i="2"/>
  <c r="R4788" i="2"/>
  <c r="R4787" i="2"/>
  <c r="R4786" i="2"/>
  <c r="R4785" i="2"/>
  <c r="R4784" i="2"/>
  <c r="R4783" i="2"/>
  <c r="R4782" i="2"/>
  <c r="R4781" i="2"/>
  <c r="R4780" i="2"/>
  <c r="R4779" i="2"/>
  <c r="R4778" i="2"/>
  <c r="R4777" i="2"/>
  <c r="R4776" i="2"/>
  <c r="R4775" i="2"/>
  <c r="R4774" i="2"/>
  <c r="R4773" i="2"/>
  <c r="R4772" i="2"/>
  <c r="R4771" i="2"/>
  <c r="R4770" i="2"/>
  <c r="R4769" i="2"/>
  <c r="R4768" i="2"/>
  <c r="R4767" i="2"/>
  <c r="R4766" i="2"/>
  <c r="R4765" i="2"/>
  <c r="R4764" i="2"/>
  <c r="R4763" i="2"/>
  <c r="R4762" i="2"/>
  <c r="R4761" i="2"/>
  <c r="R4760" i="2"/>
  <c r="R4759" i="2"/>
  <c r="R4758" i="2"/>
  <c r="R4757" i="2"/>
  <c r="R4756" i="2"/>
  <c r="R4755" i="2"/>
  <c r="R4754" i="2"/>
  <c r="R4753" i="2"/>
  <c r="R4752" i="2"/>
  <c r="R4751" i="2"/>
  <c r="R4750" i="2"/>
  <c r="R4749" i="2"/>
  <c r="R4748" i="2"/>
  <c r="R4747" i="2"/>
  <c r="R4746" i="2"/>
  <c r="R4745" i="2"/>
  <c r="R4744" i="2"/>
  <c r="R4743" i="2"/>
  <c r="R4742" i="2"/>
  <c r="R4741" i="2"/>
  <c r="R4740" i="2"/>
  <c r="R4739" i="2"/>
  <c r="R4738" i="2"/>
  <c r="R4737" i="2"/>
  <c r="R4736" i="2"/>
  <c r="R4735" i="2"/>
  <c r="R4734" i="2"/>
  <c r="R4733" i="2"/>
  <c r="R4732" i="2"/>
  <c r="R4731" i="2"/>
  <c r="R4730" i="2"/>
  <c r="R4729" i="2"/>
  <c r="R4728" i="2"/>
  <c r="R4727" i="2"/>
  <c r="R4726" i="2"/>
  <c r="R4725" i="2"/>
  <c r="R4724" i="2"/>
  <c r="R4723" i="2"/>
  <c r="R4722" i="2"/>
  <c r="R4721" i="2"/>
  <c r="R4720" i="2"/>
  <c r="R4719" i="2"/>
  <c r="R4718" i="2"/>
  <c r="R4717" i="2"/>
  <c r="R4716" i="2"/>
  <c r="R4715" i="2"/>
  <c r="R4714" i="2"/>
  <c r="R4713" i="2"/>
  <c r="R4712" i="2"/>
  <c r="R4711" i="2"/>
  <c r="R4710" i="2"/>
  <c r="R4709" i="2"/>
  <c r="R4708" i="2"/>
  <c r="R4707" i="2"/>
  <c r="R4706" i="2"/>
  <c r="R4705" i="2"/>
  <c r="R4704" i="2"/>
  <c r="R4703" i="2"/>
  <c r="R4702" i="2"/>
  <c r="R4701" i="2"/>
  <c r="R4700" i="2"/>
  <c r="R4699" i="2"/>
  <c r="R4698" i="2"/>
  <c r="R4697" i="2"/>
  <c r="R4696" i="2"/>
  <c r="R4695" i="2"/>
  <c r="R4694" i="2"/>
  <c r="R4693" i="2"/>
  <c r="R4692" i="2"/>
  <c r="R4691" i="2"/>
  <c r="R4690" i="2"/>
  <c r="R4689" i="2"/>
  <c r="R4688" i="2"/>
  <c r="R4687" i="2"/>
  <c r="R4686" i="2"/>
  <c r="R4685" i="2"/>
  <c r="R4684" i="2"/>
  <c r="R4683" i="2"/>
  <c r="R4682" i="2"/>
  <c r="R4681" i="2"/>
  <c r="R4680" i="2"/>
  <c r="R4679" i="2"/>
  <c r="R4678" i="2"/>
  <c r="R4677" i="2"/>
  <c r="R4676" i="2"/>
  <c r="R4675" i="2"/>
  <c r="R4674" i="2"/>
  <c r="R4673" i="2"/>
  <c r="R4672" i="2"/>
  <c r="R4671" i="2"/>
  <c r="R4670" i="2"/>
  <c r="R4669" i="2"/>
  <c r="R4668" i="2"/>
  <c r="R4667" i="2"/>
  <c r="R4666" i="2"/>
  <c r="R4665" i="2"/>
  <c r="R4664" i="2"/>
  <c r="R4663" i="2"/>
  <c r="R4662" i="2"/>
  <c r="R4661" i="2"/>
  <c r="R4660" i="2"/>
  <c r="R4659" i="2"/>
  <c r="R4658" i="2"/>
  <c r="R4657" i="2"/>
  <c r="R4656" i="2"/>
  <c r="R4655" i="2"/>
  <c r="R4654" i="2"/>
  <c r="R4653" i="2"/>
  <c r="R4652" i="2"/>
  <c r="R4651" i="2"/>
  <c r="R4650" i="2"/>
  <c r="R4649" i="2"/>
  <c r="R4648" i="2"/>
  <c r="R4647" i="2"/>
  <c r="R4646" i="2"/>
  <c r="R4645" i="2"/>
  <c r="R4644" i="2"/>
  <c r="R4643" i="2"/>
  <c r="R4642" i="2"/>
  <c r="R4641" i="2"/>
  <c r="R4640" i="2"/>
  <c r="R4639" i="2"/>
  <c r="R4638" i="2"/>
  <c r="R4637" i="2"/>
  <c r="R4636" i="2"/>
  <c r="R4635" i="2"/>
  <c r="R4634" i="2"/>
  <c r="R4633" i="2"/>
  <c r="R4632" i="2"/>
  <c r="R4631" i="2"/>
  <c r="R4630" i="2"/>
  <c r="R4629" i="2"/>
  <c r="R4628" i="2"/>
  <c r="R4627" i="2"/>
  <c r="R4626" i="2"/>
  <c r="R4625" i="2"/>
  <c r="R4624" i="2"/>
  <c r="R4623" i="2"/>
  <c r="R4622" i="2"/>
  <c r="R4621" i="2"/>
  <c r="R4620" i="2"/>
  <c r="R4619" i="2"/>
  <c r="R4618" i="2"/>
  <c r="R4617" i="2"/>
  <c r="R4616" i="2"/>
  <c r="R4615" i="2"/>
  <c r="R4614" i="2"/>
  <c r="R4613" i="2"/>
  <c r="R4612" i="2"/>
  <c r="R4611" i="2"/>
  <c r="R4610" i="2"/>
  <c r="R4609" i="2"/>
  <c r="R4608" i="2"/>
  <c r="R4607" i="2"/>
  <c r="R4606" i="2"/>
  <c r="R4605" i="2"/>
  <c r="R4604" i="2"/>
  <c r="R4603" i="2"/>
  <c r="R4602" i="2"/>
  <c r="R4601" i="2"/>
  <c r="R4600" i="2"/>
  <c r="R4599" i="2"/>
  <c r="R4598" i="2"/>
  <c r="R4597" i="2"/>
  <c r="R4596" i="2"/>
  <c r="R4595" i="2"/>
  <c r="R4594" i="2"/>
  <c r="R4593" i="2"/>
  <c r="R4592" i="2"/>
  <c r="R4591" i="2"/>
  <c r="R4590" i="2"/>
  <c r="R4589" i="2"/>
  <c r="R4588" i="2"/>
  <c r="R4587" i="2"/>
  <c r="R4586" i="2"/>
  <c r="R4585" i="2"/>
  <c r="R4584" i="2"/>
  <c r="R4583" i="2"/>
  <c r="R4582" i="2"/>
  <c r="R4581" i="2"/>
  <c r="R4580" i="2"/>
  <c r="R4579" i="2"/>
  <c r="R4578" i="2"/>
  <c r="R4577" i="2"/>
  <c r="R4576" i="2"/>
  <c r="R4575" i="2"/>
  <c r="R4574" i="2"/>
  <c r="R4573" i="2"/>
  <c r="R4572" i="2"/>
  <c r="R4571" i="2"/>
  <c r="R4570" i="2"/>
  <c r="R4569" i="2"/>
  <c r="R4568" i="2"/>
  <c r="R4567" i="2"/>
  <c r="R4566" i="2"/>
  <c r="R4565" i="2"/>
  <c r="R4564" i="2"/>
  <c r="R4563" i="2"/>
  <c r="R4562" i="2"/>
  <c r="R4561" i="2"/>
  <c r="R4560" i="2"/>
  <c r="R4559" i="2"/>
  <c r="R4558" i="2"/>
  <c r="R4557" i="2"/>
  <c r="R4556" i="2"/>
  <c r="R4555" i="2"/>
  <c r="R4554" i="2"/>
  <c r="R4553" i="2"/>
  <c r="R4552" i="2"/>
  <c r="R4551" i="2"/>
  <c r="R4550" i="2"/>
  <c r="R4549" i="2"/>
  <c r="R4548" i="2"/>
  <c r="R4547" i="2"/>
  <c r="R4546" i="2"/>
  <c r="R4545" i="2"/>
  <c r="R4544" i="2"/>
  <c r="R4543" i="2"/>
  <c r="R4542" i="2"/>
  <c r="R4541" i="2"/>
  <c r="R4540" i="2"/>
  <c r="R4539" i="2"/>
  <c r="R4538" i="2"/>
  <c r="R4537" i="2"/>
  <c r="R4536" i="2"/>
  <c r="R4535" i="2"/>
  <c r="R4534" i="2"/>
  <c r="R4533" i="2"/>
  <c r="R4532" i="2"/>
  <c r="R4531" i="2"/>
  <c r="R4530" i="2"/>
  <c r="R4529" i="2"/>
  <c r="R4528" i="2"/>
  <c r="R4527" i="2"/>
  <c r="R4526" i="2"/>
  <c r="R4525" i="2"/>
  <c r="R4524" i="2"/>
  <c r="R4523" i="2"/>
  <c r="R4522" i="2"/>
  <c r="R4521" i="2"/>
  <c r="R4520" i="2"/>
  <c r="R4519" i="2"/>
  <c r="R4518" i="2"/>
  <c r="R4517" i="2"/>
  <c r="R4516" i="2"/>
  <c r="R4515" i="2"/>
  <c r="R4514" i="2"/>
  <c r="R4513" i="2"/>
  <c r="R4512" i="2"/>
  <c r="R4511" i="2"/>
  <c r="R4510" i="2"/>
  <c r="R4509" i="2"/>
  <c r="R4508" i="2"/>
  <c r="R4507" i="2"/>
  <c r="R4506" i="2"/>
  <c r="R4505" i="2"/>
  <c r="R4504" i="2"/>
  <c r="R4503" i="2"/>
  <c r="R4502" i="2"/>
  <c r="R4501" i="2"/>
  <c r="R4500" i="2"/>
  <c r="R4499" i="2"/>
  <c r="R4498" i="2"/>
  <c r="R4497" i="2"/>
  <c r="R4496" i="2"/>
  <c r="R4495" i="2"/>
  <c r="R4494" i="2"/>
  <c r="R4493" i="2"/>
  <c r="R4492" i="2"/>
  <c r="R4491" i="2"/>
  <c r="R4490" i="2"/>
  <c r="R4489" i="2"/>
  <c r="R4488" i="2"/>
  <c r="R4487" i="2"/>
  <c r="R4486" i="2"/>
  <c r="R4485" i="2"/>
  <c r="R4484" i="2"/>
  <c r="R4483" i="2"/>
  <c r="R4482" i="2"/>
  <c r="R4481" i="2"/>
  <c r="R4480" i="2"/>
  <c r="R4479" i="2"/>
  <c r="R4478" i="2"/>
  <c r="R4477" i="2"/>
  <c r="R4476" i="2"/>
  <c r="R4475" i="2"/>
  <c r="R4474" i="2"/>
  <c r="R4473" i="2"/>
  <c r="R4472" i="2"/>
  <c r="R4471" i="2"/>
  <c r="R4470" i="2"/>
  <c r="R4469" i="2"/>
  <c r="R4468" i="2"/>
  <c r="R4467" i="2"/>
  <c r="R4466" i="2"/>
  <c r="R4465" i="2"/>
  <c r="R4464" i="2"/>
  <c r="R4463" i="2"/>
  <c r="R4462" i="2"/>
  <c r="R4461" i="2"/>
  <c r="R4460" i="2"/>
  <c r="R4459" i="2"/>
  <c r="R4458" i="2"/>
  <c r="R4457" i="2"/>
  <c r="R4456" i="2"/>
  <c r="R4455" i="2"/>
  <c r="R4454" i="2"/>
  <c r="R4453" i="2"/>
  <c r="R4452" i="2"/>
  <c r="R4451" i="2"/>
  <c r="R4450" i="2"/>
  <c r="R4449" i="2"/>
  <c r="R4448" i="2"/>
  <c r="R4447" i="2"/>
  <c r="R4446" i="2"/>
  <c r="R4445" i="2"/>
  <c r="R4444" i="2"/>
  <c r="R4443" i="2"/>
  <c r="R4442" i="2"/>
  <c r="R4441" i="2"/>
  <c r="R4440" i="2"/>
  <c r="R4439" i="2"/>
  <c r="R4438" i="2"/>
  <c r="R4437" i="2"/>
  <c r="R4436" i="2"/>
  <c r="R4435" i="2"/>
  <c r="R4434" i="2"/>
  <c r="R4433" i="2"/>
  <c r="R4432" i="2"/>
  <c r="R4431" i="2"/>
  <c r="R4430" i="2"/>
  <c r="R4429" i="2"/>
  <c r="R4428" i="2"/>
  <c r="R4427" i="2"/>
  <c r="R4426" i="2"/>
  <c r="R4425" i="2"/>
  <c r="R4424" i="2"/>
  <c r="R4423" i="2"/>
  <c r="R4422" i="2"/>
  <c r="R4421" i="2"/>
  <c r="R4420" i="2"/>
  <c r="R4419" i="2"/>
  <c r="R4418" i="2"/>
  <c r="R4417" i="2"/>
  <c r="R4416" i="2"/>
  <c r="R4415" i="2"/>
  <c r="R4414" i="2"/>
  <c r="R4413" i="2"/>
  <c r="R4412" i="2"/>
  <c r="R4411" i="2"/>
  <c r="R4410" i="2"/>
  <c r="R4409" i="2"/>
  <c r="R4408" i="2"/>
  <c r="R4407" i="2"/>
  <c r="R4406" i="2"/>
  <c r="R4405" i="2"/>
  <c r="R4404" i="2"/>
  <c r="R4403" i="2"/>
  <c r="R4402" i="2"/>
  <c r="R4401" i="2"/>
  <c r="R4400" i="2"/>
  <c r="R4399" i="2"/>
  <c r="R4398" i="2"/>
  <c r="R4397" i="2"/>
  <c r="R4396" i="2"/>
  <c r="R4395" i="2"/>
  <c r="R4394" i="2"/>
  <c r="R4393" i="2"/>
  <c r="R4392" i="2"/>
  <c r="R4391" i="2"/>
  <c r="R4390" i="2"/>
  <c r="R4389" i="2"/>
  <c r="R4388" i="2"/>
  <c r="R4387" i="2"/>
  <c r="R4386" i="2"/>
  <c r="R4385" i="2"/>
  <c r="R4384" i="2"/>
  <c r="R4383" i="2"/>
  <c r="R4382" i="2"/>
  <c r="R4381" i="2"/>
  <c r="R4380" i="2"/>
  <c r="R4379" i="2"/>
  <c r="R4378" i="2"/>
  <c r="R4377" i="2"/>
  <c r="R4376" i="2"/>
  <c r="R4375" i="2"/>
  <c r="R4374" i="2"/>
  <c r="R4373" i="2"/>
  <c r="R4372" i="2"/>
  <c r="R4371" i="2"/>
  <c r="R4370" i="2"/>
  <c r="R4369" i="2"/>
  <c r="R4368" i="2"/>
  <c r="R4367" i="2"/>
  <c r="R4366" i="2"/>
  <c r="R4365" i="2"/>
  <c r="R4364" i="2"/>
  <c r="R4363" i="2"/>
  <c r="R4362" i="2"/>
  <c r="R4361" i="2"/>
  <c r="R4360" i="2"/>
  <c r="R4359" i="2"/>
  <c r="R4358" i="2"/>
  <c r="R4357" i="2"/>
  <c r="R4356" i="2"/>
  <c r="R4355" i="2"/>
  <c r="R4354" i="2"/>
  <c r="R4353" i="2"/>
  <c r="R4352" i="2"/>
  <c r="R4351" i="2"/>
  <c r="R4350" i="2"/>
  <c r="R4349" i="2"/>
  <c r="R4348" i="2"/>
  <c r="R4347" i="2"/>
  <c r="R4346" i="2"/>
  <c r="R4345" i="2"/>
  <c r="R4344" i="2"/>
  <c r="R4343" i="2"/>
  <c r="R4342" i="2"/>
  <c r="R4341" i="2"/>
  <c r="R4340" i="2"/>
  <c r="R4339" i="2"/>
  <c r="R4338" i="2"/>
  <c r="R4337" i="2"/>
  <c r="R4336" i="2"/>
  <c r="R4335" i="2"/>
  <c r="R4334" i="2"/>
  <c r="R4333" i="2"/>
  <c r="R4332" i="2"/>
  <c r="R4331" i="2"/>
  <c r="R4330" i="2"/>
  <c r="R4329" i="2"/>
  <c r="R4328" i="2"/>
  <c r="R4327" i="2"/>
  <c r="R4326" i="2"/>
  <c r="R4325" i="2"/>
  <c r="R4324" i="2"/>
  <c r="R4323" i="2"/>
  <c r="R4322" i="2"/>
  <c r="R4321" i="2"/>
  <c r="R4320" i="2"/>
  <c r="R4319" i="2"/>
  <c r="R4318" i="2"/>
  <c r="R4317" i="2"/>
  <c r="R4316" i="2"/>
  <c r="R4315" i="2"/>
  <c r="R4314" i="2"/>
  <c r="R4313" i="2"/>
  <c r="R4312" i="2"/>
  <c r="R4311" i="2"/>
  <c r="R4310" i="2"/>
  <c r="R4309" i="2"/>
  <c r="R4308" i="2"/>
  <c r="R4307" i="2"/>
  <c r="R4306" i="2"/>
  <c r="R4305" i="2"/>
  <c r="R4304" i="2"/>
  <c r="R4303" i="2"/>
  <c r="R4302" i="2"/>
  <c r="R4301" i="2"/>
  <c r="R4300" i="2"/>
  <c r="R4299" i="2"/>
  <c r="R4298" i="2"/>
  <c r="R4297" i="2"/>
  <c r="R4296" i="2"/>
  <c r="R4295" i="2"/>
  <c r="R4294" i="2"/>
  <c r="R4293" i="2"/>
  <c r="R4292" i="2"/>
  <c r="R4291" i="2"/>
  <c r="R4290" i="2"/>
  <c r="R4289" i="2"/>
  <c r="R4288" i="2"/>
  <c r="R4287" i="2"/>
  <c r="R4286" i="2"/>
  <c r="R4285" i="2"/>
  <c r="R4284" i="2"/>
  <c r="R4283" i="2"/>
  <c r="R4282" i="2"/>
  <c r="R4281" i="2"/>
  <c r="R4280" i="2"/>
  <c r="R4279" i="2"/>
  <c r="R4278" i="2"/>
  <c r="R4277" i="2"/>
  <c r="R4276" i="2"/>
  <c r="R4275" i="2"/>
  <c r="R4274" i="2"/>
  <c r="R4273" i="2"/>
  <c r="R4272" i="2"/>
  <c r="R4271" i="2"/>
  <c r="R4270" i="2"/>
  <c r="R4269" i="2"/>
  <c r="R4268" i="2"/>
  <c r="R4267" i="2"/>
  <c r="R4266" i="2"/>
  <c r="R4265" i="2"/>
  <c r="R4264" i="2"/>
  <c r="R4263" i="2"/>
  <c r="R4262" i="2"/>
  <c r="R4261" i="2"/>
  <c r="R4260" i="2"/>
  <c r="R4259" i="2"/>
  <c r="R4258" i="2"/>
  <c r="R4257" i="2"/>
  <c r="R4256" i="2"/>
  <c r="R4255" i="2"/>
  <c r="R4254" i="2"/>
  <c r="R4253" i="2"/>
  <c r="R4252" i="2"/>
  <c r="R4251" i="2"/>
  <c r="R4250" i="2"/>
  <c r="R4249" i="2"/>
  <c r="R4248" i="2"/>
  <c r="R4247" i="2"/>
  <c r="R4246" i="2"/>
  <c r="R4245" i="2"/>
  <c r="R4244" i="2"/>
  <c r="R4243" i="2"/>
  <c r="R4242" i="2"/>
  <c r="R4241" i="2"/>
  <c r="R4240" i="2"/>
  <c r="R4239" i="2"/>
  <c r="R4238" i="2"/>
  <c r="R4237" i="2"/>
  <c r="R4236" i="2"/>
  <c r="R4235" i="2"/>
  <c r="R4234" i="2"/>
  <c r="R4233" i="2"/>
  <c r="R4232" i="2"/>
  <c r="R4231" i="2"/>
  <c r="R4230" i="2"/>
  <c r="R4229" i="2"/>
  <c r="R4228" i="2"/>
  <c r="R4227" i="2"/>
  <c r="R4226" i="2"/>
  <c r="R4225" i="2"/>
  <c r="R4224" i="2"/>
  <c r="R4223" i="2"/>
  <c r="R4222" i="2"/>
  <c r="R4221" i="2"/>
  <c r="R4220" i="2"/>
  <c r="R4219" i="2"/>
  <c r="R4218" i="2"/>
  <c r="R4217" i="2"/>
  <c r="R4216" i="2"/>
  <c r="R4215" i="2"/>
  <c r="R4214" i="2"/>
  <c r="R4213" i="2"/>
  <c r="R4212" i="2"/>
  <c r="R4211" i="2"/>
  <c r="R4210" i="2"/>
  <c r="R4209" i="2"/>
  <c r="R4208" i="2"/>
  <c r="R4207" i="2"/>
  <c r="R4206" i="2"/>
  <c r="R4205" i="2"/>
  <c r="R4204" i="2"/>
  <c r="R4203" i="2"/>
  <c r="R4202" i="2"/>
  <c r="R4201" i="2"/>
  <c r="R4200" i="2"/>
  <c r="R4199" i="2"/>
  <c r="R4198" i="2"/>
  <c r="R4197" i="2"/>
  <c r="R4196" i="2"/>
  <c r="R4195" i="2"/>
  <c r="R4194" i="2"/>
  <c r="R4193" i="2"/>
  <c r="R4192" i="2"/>
  <c r="R4191" i="2"/>
  <c r="R4190" i="2"/>
  <c r="R4189" i="2"/>
  <c r="R4188" i="2"/>
  <c r="R4187" i="2"/>
  <c r="R4186" i="2"/>
  <c r="R4185" i="2"/>
  <c r="R4184" i="2"/>
  <c r="R4183" i="2"/>
  <c r="R4182" i="2"/>
  <c r="R4181" i="2"/>
  <c r="R4180" i="2"/>
  <c r="R4179" i="2"/>
  <c r="R4178" i="2"/>
  <c r="R4177" i="2"/>
  <c r="R4176" i="2"/>
  <c r="R4175" i="2"/>
  <c r="R4174" i="2"/>
  <c r="R4173" i="2"/>
  <c r="R4172" i="2"/>
  <c r="R4171" i="2"/>
  <c r="R4170" i="2"/>
  <c r="R4169" i="2"/>
  <c r="R4168" i="2"/>
  <c r="R4167" i="2"/>
  <c r="R4166" i="2"/>
  <c r="R4165" i="2"/>
  <c r="R4164" i="2"/>
  <c r="R4163" i="2"/>
  <c r="R4162" i="2"/>
  <c r="R4161" i="2"/>
  <c r="R4160" i="2"/>
  <c r="R4159" i="2"/>
  <c r="R4158" i="2"/>
  <c r="R4157" i="2"/>
  <c r="R4156" i="2"/>
  <c r="R4155" i="2"/>
  <c r="R4154" i="2"/>
  <c r="R4153" i="2"/>
  <c r="R4152" i="2"/>
  <c r="R4151" i="2"/>
  <c r="R4150" i="2"/>
  <c r="R4149" i="2"/>
  <c r="R4148" i="2"/>
  <c r="R4147" i="2"/>
  <c r="R4146" i="2"/>
  <c r="R4145" i="2"/>
  <c r="R4144" i="2"/>
  <c r="R4143" i="2"/>
  <c r="R4142" i="2"/>
  <c r="R4141" i="2"/>
  <c r="R4140" i="2"/>
  <c r="R4139" i="2"/>
  <c r="R4138" i="2"/>
  <c r="R4137" i="2"/>
  <c r="R4136" i="2"/>
  <c r="R4135" i="2"/>
  <c r="R4134" i="2"/>
  <c r="R4133" i="2"/>
  <c r="R4132" i="2"/>
  <c r="R4131" i="2"/>
  <c r="R4130" i="2"/>
  <c r="R4129" i="2"/>
  <c r="R4128" i="2"/>
  <c r="R4127" i="2"/>
  <c r="R4126" i="2"/>
  <c r="R4125" i="2"/>
  <c r="R4124" i="2"/>
  <c r="R4123" i="2"/>
  <c r="R4122" i="2"/>
  <c r="R4121" i="2"/>
  <c r="R4120" i="2"/>
  <c r="R4119" i="2"/>
  <c r="R4118" i="2"/>
  <c r="R4117" i="2"/>
  <c r="R4116" i="2"/>
  <c r="R4115" i="2"/>
  <c r="R4114" i="2"/>
  <c r="R4113" i="2"/>
  <c r="R4112" i="2"/>
  <c r="R4111" i="2"/>
  <c r="R4110" i="2"/>
  <c r="R4109" i="2"/>
  <c r="R4108" i="2"/>
  <c r="R4107" i="2"/>
  <c r="R4106" i="2"/>
  <c r="R4105" i="2"/>
  <c r="R4104" i="2"/>
  <c r="R4103" i="2"/>
  <c r="R4102" i="2"/>
  <c r="R4101" i="2"/>
  <c r="R4100" i="2"/>
  <c r="R4099" i="2"/>
  <c r="R4098" i="2"/>
  <c r="R4097" i="2"/>
  <c r="R4096" i="2"/>
  <c r="R4095" i="2"/>
  <c r="R4094" i="2"/>
  <c r="R4093" i="2"/>
  <c r="R4092" i="2"/>
  <c r="R4091" i="2"/>
  <c r="R4090" i="2"/>
  <c r="R4089" i="2"/>
  <c r="R4088" i="2"/>
  <c r="R4087" i="2"/>
  <c r="R4086" i="2"/>
  <c r="R4085" i="2"/>
  <c r="R4084" i="2"/>
  <c r="R4083" i="2"/>
  <c r="R4082" i="2"/>
  <c r="R4081" i="2"/>
  <c r="R4080" i="2"/>
  <c r="R4079" i="2"/>
  <c r="R4078" i="2"/>
  <c r="R4077" i="2"/>
  <c r="R4076" i="2"/>
  <c r="R4075" i="2"/>
  <c r="R4074" i="2"/>
  <c r="R4073" i="2"/>
  <c r="R4072" i="2"/>
  <c r="R4071" i="2"/>
  <c r="R4070" i="2"/>
  <c r="R4069" i="2"/>
  <c r="R4068" i="2"/>
  <c r="R4067" i="2"/>
  <c r="R4066" i="2"/>
  <c r="R4065" i="2"/>
  <c r="R4064" i="2"/>
  <c r="R4063" i="2"/>
  <c r="R4062" i="2"/>
  <c r="R4061" i="2"/>
  <c r="R4060" i="2"/>
  <c r="R4059" i="2"/>
  <c r="R4058" i="2"/>
  <c r="R4057" i="2"/>
  <c r="R4056" i="2"/>
  <c r="R4055" i="2"/>
  <c r="R4054" i="2"/>
  <c r="R4053" i="2"/>
  <c r="R4052" i="2"/>
  <c r="R4051" i="2"/>
  <c r="R4050" i="2"/>
  <c r="R4049" i="2"/>
  <c r="R4048" i="2"/>
  <c r="R4047" i="2"/>
  <c r="R4046" i="2"/>
  <c r="R4045" i="2"/>
  <c r="R4044" i="2"/>
  <c r="R4043" i="2"/>
  <c r="R4042" i="2"/>
  <c r="R4041" i="2"/>
  <c r="R4040" i="2"/>
  <c r="R4039" i="2"/>
  <c r="R4038" i="2"/>
  <c r="R4037" i="2"/>
  <c r="R4036" i="2"/>
  <c r="R4035" i="2"/>
  <c r="R4034" i="2"/>
  <c r="R4033" i="2"/>
  <c r="R4032" i="2"/>
  <c r="R4031" i="2"/>
  <c r="R4030" i="2"/>
  <c r="R4029" i="2"/>
  <c r="R4028" i="2"/>
  <c r="R4027" i="2"/>
  <c r="R4026" i="2"/>
  <c r="R4025" i="2"/>
  <c r="R4024" i="2"/>
  <c r="R4023" i="2"/>
  <c r="R4022" i="2"/>
  <c r="R4021" i="2"/>
  <c r="R4020" i="2"/>
  <c r="R4019" i="2"/>
  <c r="R4018" i="2"/>
  <c r="R4017" i="2"/>
  <c r="R4016" i="2"/>
  <c r="R4015" i="2"/>
  <c r="R4014" i="2"/>
  <c r="R4013" i="2"/>
  <c r="R4012" i="2"/>
  <c r="R4011" i="2"/>
  <c r="R4010" i="2"/>
  <c r="R4009" i="2"/>
  <c r="R4008" i="2"/>
  <c r="R4007" i="2"/>
  <c r="R4006" i="2"/>
  <c r="R4005" i="2"/>
  <c r="R4004" i="2"/>
  <c r="R4003" i="2"/>
  <c r="R4002" i="2"/>
  <c r="R4001" i="2"/>
  <c r="R4000" i="2"/>
  <c r="R3999" i="2"/>
  <c r="R3998" i="2"/>
  <c r="R3997" i="2"/>
  <c r="R3996" i="2"/>
  <c r="R3995" i="2"/>
  <c r="R3994" i="2"/>
  <c r="R3993" i="2"/>
  <c r="R3992" i="2"/>
  <c r="R3991" i="2"/>
  <c r="R3990" i="2"/>
  <c r="R3989" i="2"/>
  <c r="R3988" i="2"/>
  <c r="R3987" i="2"/>
  <c r="R3986" i="2"/>
  <c r="R3985" i="2"/>
  <c r="R3984" i="2"/>
  <c r="R3983" i="2"/>
  <c r="R3982" i="2"/>
  <c r="R3981" i="2"/>
  <c r="R3980" i="2"/>
  <c r="R3979" i="2"/>
  <c r="R3978" i="2"/>
  <c r="R3977" i="2"/>
  <c r="R3976" i="2"/>
  <c r="R3975" i="2"/>
  <c r="R3974" i="2"/>
  <c r="R3973" i="2"/>
  <c r="R3972" i="2"/>
  <c r="R3971" i="2"/>
  <c r="R3970" i="2"/>
  <c r="R3969" i="2"/>
  <c r="R3968" i="2"/>
  <c r="R3967" i="2"/>
  <c r="R3966" i="2"/>
  <c r="R3965" i="2"/>
  <c r="R3964" i="2"/>
  <c r="R3963" i="2"/>
  <c r="R3962" i="2"/>
  <c r="R3961" i="2"/>
  <c r="R3960" i="2"/>
  <c r="R3959" i="2"/>
  <c r="R3958" i="2"/>
  <c r="R3957" i="2"/>
  <c r="R3956" i="2"/>
  <c r="R3955" i="2"/>
  <c r="R3954" i="2"/>
  <c r="R3953" i="2"/>
  <c r="R3952" i="2"/>
  <c r="R3951" i="2"/>
  <c r="R3950" i="2"/>
  <c r="R3949" i="2"/>
  <c r="R3948" i="2"/>
  <c r="R3947" i="2"/>
  <c r="R3946" i="2"/>
  <c r="R3945" i="2"/>
  <c r="R3944" i="2"/>
  <c r="R3943" i="2"/>
  <c r="R3942" i="2"/>
  <c r="R3941" i="2"/>
  <c r="R3940" i="2"/>
  <c r="R3939" i="2"/>
  <c r="R3938" i="2"/>
  <c r="R3937" i="2"/>
  <c r="R3936" i="2"/>
  <c r="R3935" i="2"/>
  <c r="R3934" i="2"/>
  <c r="R3933" i="2"/>
  <c r="R3932" i="2"/>
  <c r="R3931" i="2"/>
  <c r="R3930" i="2"/>
  <c r="R3929" i="2"/>
  <c r="R3928" i="2"/>
  <c r="R3927" i="2"/>
  <c r="R3926" i="2"/>
  <c r="R3925" i="2"/>
  <c r="R3924" i="2"/>
  <c r="R3923" i="2"/>
  <c r="R3922" i="2"/>
  <c r="R3921" i="2"/>
  <c r="R3920" i="2"/>
  <c r="R3919" i="2"/>
  <c r="R3918" i="2"/>
  <c r="R3917" i="2"/>
  <c r="R3916" i="2"/>
  <c r="R3915" i="2"/>
  <c r="R3914" i="2"/>
  <c r="R3913" i="2"/>
  <c r="R3912" i="2"/>
  <c r="R3911" i="2"/>
  <c r="R3910" i="2"/>
  <c r="R3909" i="2"/>
  <c r="R3908" i="2"/>
  <c r="R3907" i="2"/>
  <c r="R3906" i="2"/>
  <c r="R3905" i="2"/>
  <c r="R3904" i="2"/>
  <c r="R3903" i="2"/>
  <c r="R3902" i="2"/>
  <c r="R3901" i="2"/>
  <c r="R3900" i="2"/>
  <c r="R3899" i="2"/>
  <c r="R3898" i="2"/>
  <c r="R3897" i="2"/>
  <c r="R3896" i="2"/>
  <c r="R3895" i="2"/>
  <c r="R3894" i="2"/>
  <c r="R3893" i="2"/>
  <c r="R3892" i="2"/>
  <c r="R3891" i="2"/>
  <c r="R3890" i="2"/>
  <c r="R3889" i="2"/>
  <c r="R3888" i="2"/>
  <c r="R3887" i="2"/>
  <c r="R3886" i="2"/>
  <c r="R3885" i="2"/>
  <c r="R3884" i="2"/>
  <c r="R3883" i="2"/>
  <c r="R3882" i="2"/>
  <c r="R3881" i="2"/>
  <c r="R3880" i="2"/>
  <c r="R3879" i="2"/>
  <c r="R3878" i="2"/>
  <c r="R3877" i="2"/>
  <c r="R3876" i="2"/>
  <c r="R3875" i="2"/>
  <c r="R3874" i="2"/>
  <c r="R3873" i="2"/>
  <c r="R3872" i="2"/>
  <c r="R3871" i="2"/>
  <c r="R3870" i="2"/>
  <c r="R3869" i="2"/>
  <c r="R3868" i="2"/>
  <c r="R3867" i="2"/>
  <c r="R3866" i="2"/>
  <c r="R3865" i="2"/>
  <c r="R3864" i="2"/>
  <c r="R3863" i="2"/>
  <c r="R3862" i="2"/>
  <c r="R3861" i="2"/>
  <c r="R3860" i="2"/>
  <c r="R3859" i="2"/>
  <c r="R3858" i="2"/>
  <c r="R3857" i="2"/>
  <c r="R3856" i="2"/>
  <c r="R3855" i="2"/>
  <c r="R3854" i="2"/>
  <c r="R3853" i="2"/>
  <c r="R3852" i="2"/>
  <c r="R3851" i="2"/>
  <c r="R3850" i="2"/>
  <c r="R3849" i="2"/>
  <c r="R3848" i="2"/>
  <c r="R3847" i="2"/>
  <c r="R3846" i="2"/>
  <c r="R3845" i="2"/>
  <c r="R3844" i="2"/>
  <c r="R3843" i="2"/>
  <c r="R3842" i="2"/>
  <c r="R3841" i="2"/>
  <c r="R3840" i="2"/>
  <c r="R3839" i="2"/>
  <c r="R3838" i="2"/>
  <c r="R3837" i="2"/>
  <c r="R3836" i="2"/>
  <c r="R3835" i="2"/>
  <c r="R3834" i="2"/>
  <c r="R3833" i="2"/>
  <c r="R3832" i="2"/>
  <c r="R3831" i="2"/>
  <c r="R3830" i="2"/>
  <c r="R3829" i="2"/>
  <c r="R3828" i="2"/>
  <c r="R3827" i="2"/>
  <c r="R3826" i="2"/>
  <c r="R3825" i="2"/>
  <c r="R3824" i="2"/>
  <c r="R3823" i="2"/>
  <c r="R3822" i="2"/>
  <c r="R3821" i="2"/>
  <c r="R3820" i="2"/>
  <c r="R3819" i="2"/>
  <c r="R3818" i="2"/>
  <c r="R3817" i="2"/>
  <c r="R3816" i="2"/>
  <c r="R3815" i="2"/>
  <c r="R3814" i="2"/>
  <c r="R3813" i="2"/>
  <c r="R3812" i="2"/>
  <c r="R3811" i="2"/>
  <c r="R3810" i="2"/>
  <c r="R3809" i="2"/>
  <c r="R3808" i="2"/>
  <c r="R3807" i="2"/>
  <c r="R3806" i="2"/>
  <c r="R3805" i="2"/>
  <c r="R3804" i="2"/>
  <c r="R3803" i="2"/>
  <c r="R3802" i="2"/>
  <c r="R3801" i="2"/>
  <c r="R3800" i="2"/>
  <c r="R3799" i="2"/>
  <c r="R3798" i="2"/>
  <c r="R3797" i="2"/>
  <c r="R3796" i="2"/>
  <c r="R3795" i="2"/>
  <c r="R3794" i="2"/>
  <c r="R3793" i="2"/>
  <c r="R3792" i="2"/>
  <c r="R3791" i="2"/>
  <c r="R3790" i="2"/>
  <c r="R3789" i="2"/>
  <c r="R3788" i="2"/>
  <c r="R3787" i="2"/>
  <c r="R3786" i="2"/>
  <c r="R3785" i="2"/>
  <c r="R3784" i="2"/>
  <c r="R3783" i="2"/>
  <c r="R3782" i="2"/>
  <c r="R3781" i="2"/>
  <c r="R3780" i="2"/>
  <c r="R3779" i="2"/>
  <c r="R3778" i="2"/>
  <c r="R3777" i="2"/>
  <c r="R3776" i="2"/>
  <c r="R3775" i="2"/>
  <c r="R3774" i="2"/>
  <c r="R3773" i="2"/>
  <c r="R3772" i="2"/>
  <c r="R3771" i="2"/>
  <c r="R3770" i="2"/>
  <c r="R3769" i="2"/>
  <c r="R3768" i="2"/>
  <c r="R3767" i="2"/>
  <c r="R3766" i="2"/>
  <c r="R3765" i="2"/>
  <c r="R3764" i="2"/>
  <c r="R3763" i="2"/>
  <c r="R3762" i="2"/>
  <c r="R3761" i="2"/>
  <c r="R3760" i="2"/>
  <c r="R3759" i="2"/>
  <c r="R3758" i="2"/>
  <c r="R3757" i="2"/>
  <c r="R3756" i="2"/>
  <c r="R3755" i="2"/>
  <c r="R3754" i="2"/>
  <c r="R3753" i="2"/>
  <c r="R3752" i="2"/>
  <c r="R3751" i="2"/>
  <c r="R3750" i="2"/>
  <c r="R3749" i="2"/>
  <c r="R3748" i="2"/>
  <c r="R3747" i="2"/>
  <c r="R3746" i="2"/>
  <c r="R3745" i="2"/>
  <c r="R3744" i="2"/>
  <c r="R3743" i="2"/>
  <c r="R3742" i="2"/>
  <c r="R3741" i="2"/>
  <c r="R3740" i="2"/>
  <c r="R3739" i="2"/>
  <c r="R3738" i="2"/>
  <c r="R3737" i="2"/>
  <c r="R3736" i="2"/>
  <c r="R3735" i="2"/>
  <c r="R3734" i="2"/>
  <c r="R3733" i="2"/>
  <c r="R3732" i="2"/>
  <c r="R3731" i="2"/>
  <c r="R3730" i="2"/>
  <c r="R3729" i="2"/>
  <c r="R3728" i="2"/>
  <c r="R3727" i="2"/>
  <c r="R3726" i="2"/>
  <c r="R3725" i="2"/>
  <c r="R3724" i="2"/>
  <c r="R3723" i="2"/>
  <c r="R3722" i="2"/>
  <c r="R3721" i="2"/>
  <c r="R3720" i="2"/>
  <c r="R3719" i="2"/>
  <c r="R3718" i="2"/>
  <c r="R3717" i="2"/>
  <c r="R3716" i="2"/>
  <c r="R3715" i="2"/>
  <c r="R3714" i="2"/>
  <c r="R3713" i="2"/>
  <c r="R3712" i="2"/>
  <c r="R3711" i="2"/>
  <c r="R3710" i="2"/>
  <c r="R3709" i="2"/>
  <c r="R3708" i="2"/>
  <c r="R3707" i="2"/>
  <c r="R3706" i="2"/>
  <c r="R3705" i="2"/>
  <c r="R3704" i="2"/>
  <c r="R3703" i="2"/>
  <c r="R3702" i="2"/>
  <c r="R3701" i="2"/>
  <c r="R3700" i="2"/>
  <c r="R3699" i="2"/>
  <c r="R3698" i="2"/>
  <c r="R3697" i="2"/>
  <c r="R3696" i="2"/>
  <c r="R3695" i="2"/>
  <c r="R3694" i="2"/>
  <c r="R3693" i="2"/>
  <c r="R3692" i="2"/>
  <c r="R3691" i="2"/>
  <c r="R3690" i="2"/>
  <c r="R3689" i="2"/>
  <c r="R3688" i="2"/>
  <c r="R3687" i="2"/>
  <c r="R3686" i="2"/>
  <c r="R3685" i="2"/>
  <c r="R3684" i="2"/>
  <c r="R3683" i="2"/>
  <c r="R3682" i="2"/>
  <c r="R3681" i="2"/>
  <c r="R3680" i="2"/>
  <c r="R3679" i="2"/>
  <c r="R3678" i="2"/>
  <c r="R3677" i="2"/>
  <c r="R3676" i="2"/>
  <c r="R3675" i="2"/>
  <c r="R3674" i="2"/>
  <c r="R3673" i="2"/>
  <c r="R3672" i="2"/>
  <c r="R3671" i="2"/>
  <c r="R3670" i="2"/>
  <c r="R3669" i="2"/>
  <c r="R3668" i="2"/>
  <c r="R3667" i="2"/>
  <c r="R3666" i="2"/>
  <c r="R3665" i="2"/>
  <c r="R3664" i="2"/>
  <c r="R3663" i="2"/>
  <c r="R3662" i="2"/>
  <c r="R3661" i="2"/>
  <c r="R3660" i="2"/>
  <c r="R3659" i="2"/>
  <c r="R3658" i="2"/>
  <c r="R3657" i="2"/>
  <c r="R3656" i="2"/>
  <c r="R3655" i="2"/>
  <c r="R3654" i="2"/>
  <c r="R3653" i="2"/>
  <c r="R3652" i="2"/>
  <c r="R3651" i="2"/>
  <c r="R3650" i="2"/>
  <c r="R3649" i="2"/>
  <c r="R3648" i="2"/>
  <c r="R3647" i="2"/>
  <c r="R3646" i="2"/>
  <c r="R3645" i="2"/>
  <c r="R3644" i="2"/>
  <c r="R3643" i="2"/>
  <c r="R3642" i="2"/>
  <c r="R3641" i="2"/>
  <c r="R3640" i="2"/>
  <c r="R3639" i="2"/>
  <c r="R3638" i="2"/>
  <c r="R3637" i="2"/>
  <c r="R3636" i="2"/>
  <c r="R3635" i="2"/>
  <c r="R3634" i="2"/>
  <c r="R3633" i="2"/>
  <c r="R3632" i="2"/>
  <c r="R3631" i="2"/>
  <c r="R3630" i="2"/>
  <c r="R3629" i="2"/>
  <c r="R3628" i="2"/>
  <c r="R3627" i="2"/>
  <c r="R3626" i="2"/>
  <c r="R3625" i="2"/>
  <c r="R3624" i="2"/>
  <c r="R3623" i="2"/>
  <c r="R3622" i="2"/>
  <c r="R3621" i="2"/>
  <c r="R3620" i="2"/>
  <c r="R3619" i="2"/>
  <c r="R3618" i="2"/>
  <c r="R3617" i="2"/>
  <c r="R3616" i="2"/>
  <c r="R3615" i="2"/>
  <c r="R3614" i="2"/>
  <c r="R3613" i="2"/>
  <c r="R3612" i="2"/>
  <c r="R3611" i="2"/>
  <c r="R3610" i="2"/>
  <c r="R3609" i="2"/>
  <c r="R3608" i="2"/>
  <c r="R3607" i="2"/>
  <c r="R3606" i="2"/>
  <c r="R3605" i="2"/>
  <c r="R3604" i="2"/>
  <c r="R3603" i="2"/>
  <c r="R3602" i="2"/>
  <c r="R3601" i="2"/>
  <c r="R3600" i="2"/>
  <c r="R3599" i="2"/>
  <c r="R3598" i="2"/>
  <c r="R3597" i="2"/>
  <c r="R3596" i="2"/>
  <c r="R3595" i="2"/>
  <c r="R3594" i="2"/>
  <c r="R3593" i="2"/>
  <c r="R3592" i="2"/>
  <c r="R3591" i="2"/>
  <c r="R3590" i="2"/>
  <c r="R3589" i="2"/>
  <c r="R3588" i="2"/>
  <c r="R3587" i="2"/>
  <c r="R3586" i="2"/>
  <c r="R3585" i="2"/>
  <c r="R3584" i="2"/>
  <c r="R3583" i="2"/>
  <c r="R3582" i="2"/>
  <c r="R3581" i="2"/>
  <c r="R3580" i="2"/>
  <c r="R3579" i="2"/>
  <c r="R3578" i="2"/>
  <c r="R3577" i="2"/>
  <c r="R3576" i="2"/>
  <c r="R3575" i="2"/>
  <c r="R3574" i="2"/>
  <c r="R3573" i="2"/>
  <c r="R3572" i="2"/>
  <c r="R3571" i="2"/>
  <c r="R3570" i="2"/>
  <c r="R3569" i="2"/>
  <c r="R3568" i="2"/>
  <c r="R3567" i="2"/>
  <c r="R3566" i="2"/>
  <c r="R3565" i="2"/>
  <c r="R3564" i="2"/>
  <c r="R3563" i="2"/>
  <c r="R3562" i="2"/>
  <c r="R3561" i="2"/>
  <c r="R3560" i="2"/>
  <c r="R3559" i="2"/>
  <c r="R3558" i="2"/>
  <c r="R3557" i="2"/>
  <c r="R3556" i="2"/>
  <c r="R3555" i="2"/>
  <c r="R3554" i="2"/>
  <c r="R3553" i="2"/>
  <c r="R3552" i="2"/>
  <c r="R3551" i="2"/>
  <c r="R3550" i="2"/>
  <c r="R3549" i="2"/>
  <c r="R3548" i="2"/>
  <c r="R3547" i="2"/>
  <c r="R3546" i="2"/>
  <c r="R3545" i="2"/>
  <c r="R3544" i="2"/>
  <c r="R3543" i="2"/>
  <c r="R3542" i="2"/>
  <c r="R3541" i="2"/>
  <c r="R3540" i="2"/>
  <c r="R3539" i="2"/>
  <c r="R3538" i="2"/>
  <c r="R3537" i="2"/>
  <c r="R3536" i="2"/>
  <c r="R3535" i="2"/>
  <c r="R3534" i="2"/>
  <c r="R3533" i="2"/>
  <c r="R3532" i="2"/>
  <c r="R3531" i="2"/>
  <c r="R3530" i="2"/>
  <c r="R3529" i="2"/>
  <c r="R3528" i="2"/>
  <c r="R3527" i="2"/>
  <c r="R3526" i="2"/>
  <c r="R3525" i="2"/>
  <c r="R3524" i="2"/>
  <c r="R3523" i="2"/>
  <c r="R3522" i="2"/>
  <c r="R3521" i="2"/>
  <c r="R3520" i="2"/>
  <c r="R3519" i="2"/>
  <c r="R3518" i="2"/>
  <c r="R3517" i="2"/>
  <c r="R3516" i="2"/>
  <c r="R3515" i="2"/>
  <c r="R3514" i="2"/>
  <c r="R3513" i="2"/>
  <c r="R3512" i="2"/>
  <c r="R3511" i="2"/>
  <c r="R3510" i="2"/>
  <c r="R3509" i="2"/>
  <c r="R3508" i="2"/>
  <c r="R3507" i="2"/>
  <c r="R3506" i="2"/>
  <c r="R3505" i="2"/>
  <c r="R3504" i="2"/>
  <c r="R3503" i="2"/>
  <c r="R3502" i="2"/>
  <c r="R3501" i="2"/>
  <c r="R3500" i="2"/>
  <c r="R3499" i="2"/>
  <c r="R3498" i="2"/>
  <c r="R3497" i="2"/>
  <c r="R3496" i="2"/>
  <c r="R3495" i="2"/>
  <c r="R3494" i="2"/>
  <c r="R3493" i="2"/>
  <c r="R3492" i="2"/>
  <c r="R3491" i="2"/>
  <c r="R3490" i="2"/>
  <c r="R3489" i="2"/>
  <c r="R3488" i="2"/>
  <c r="R3487" i="2"/>
  <c r="R3486" i="2"/>
  <c r="R3485" i="2"/>
  <c r="R3484" i="2"/>
  <c r="R3483" i="2"/>
  <c r="R3482" i="2"/>
  <c r="R3481" i="2"/>
  <c r="R3480" i="2"/>
  <c r="R3479" i="2"/>
  <c r="R3478" i="2"/>
  <c r="R3477" i="2"/>
  <c r="R3476" i="2"/>
  <c r="R3475" i="2"/>
  <c r="R3474" i="2"/>
  <c r="R3473" i="2"/>
  <c r="R3472" i="2"/>
  <c r="R3471" i="2"/>
  <c r="R3470" i="2"/>
  <c r="R3469" i="2"/>
  <c r="R3468" i="2"/>
  <c r="R3467" i="2"/>
  <c r="R3466" i="2"/>
  <c r="R3465" i="2"/>
  <c r="R3464" i="2"/>
  <c r="R3463" i="2"/>
  <c r="R3462" i="2"/>
  <c r="R3461" i="2"/>
  <c r="R3460" i="2"/>
  <c r="R3459" i="2"/>
  <c r="R3458" i="2"/>
  <c r="R3457" i="2"/>
  <c r="R3456" i="2"/>
  <c r="R3455" i="2"/>
  <c r="R3454" i="2"/>
  <c r="R3453" i="2"/>
  <c r="R3452" i="2"/>
  <c r="R3451" i="2"/>
  <c r="R3450" i="2"/>
  <c r="R3449" i="2"/>
  <c r="R3448" i="2"/>
  <c r="R3447" i="2"/>
  <c r="R3446" i="2"/>
  <c r="R3445" i="2"/>
  <c r="R3444" i="2"/>
  <c r="R3443" i="2"/>
  <c r="R3442" i="2"/>
  <c r="R3441" i="2"/>
  <c r="R3440" i="2"/>
  <c r="R3439" i="2"/>
  <c r="R3438" i="2"/>
  <c r="R3437" i="2"/>
  <c r="R3436" i="2"/>
  <c r="R3435" i="2"/>
  <c r="R3434" i="2"/>
  <c r="R3433" i="2"/>
  <c r="R3432" i="2"/>
  <c r="R3431" i="2"/>
  <c r="R3430" i="2"/>
  <c r="R3429" i="2"/>
  <c r="R3428" i="2"/>
  <c r="R3427" i="2"/>
  <c r="R3426" i="2"/>
  <c r="R3425" i="2"/>
  <c r="R3424" i="2"/>
  <c r="R3423" i="2"/>
  <c r="R3422" i="2"/>
  <c r="R3421" i="2"/>
  <c r="R3420" i="2"/>
  <c r="R3419" i="2"/>
  <c r="R3418" i="2"/>
  <c r="R3417" i="2"/>
  <c r="R3416" i="2"/>
  <c r="R3415" i="2"/>
  <c r="R3414" i="2"/>
  <c r="R3413" i="2"/>
  <c r="R3412" i="2"/>
  <c r="R3411" i="2"/>
  <c r="R3410" i="2"/>
  <c r="R3409" i="2"/>
  <c r="R3408" i="2"/>
  <c r="R3407" i="2"/>
  <c r="R3406" i="2"/>
  <c r="R3405" i="2"/>
  <c r="R3404" i="2"/>
  <c r="R3403" i="2"/>
  <c r="R3402" i="2"/>
  <c r="R3401" i="2"/>
  <c r="R3400" i="2"/>
  <c r="R3399" i="2"/>
  <c r="R3398" i="2"/>
  <c r="R3397" i="2"/>
  <c r="R3396" i="2"/>
  <c r="R3395" i="2"/>
  <c r="R3394" i="2"/>
  <c r="R3393" i="2"/>
  <c r="R3392" i="2"/>
  <c r="R3391" i="2"/>
  <c r="R3390" i="2"/>
  <c r="R3389" i="2"/>
  <c r="R3388" i="2"/>
  <c r="R3387" i="2"/>
  <c r="R3386" i="2"/>
  <c r="R3385" i="2"/>
  <c r="R3384" i="2"/>
  <c r="R3383" i="2"/>
  <c r="R3382" i="2"/>
  <c r="R3381" i="2"/>
  <c r="R3380" i="2"/>
  <c r="R3379" i="2"/>
  <c r="R3378" i="2"/>
  <c r="R3377" i="2"/>
  <c r="R3376" i="2"/>
  <c r="R3375" i="2"/>
  <c r="R3374" i="2"/>
  <c r="R3373" i="2"/>
  <c r="R3372" i="2"/>
  <c r="R3371" i="2"/>
  <c r="R3370" i="2"/>
  <c r="R3369" i="2"/>
  <c r="R3368" i="2"/>
  <c r="R3367" i="2"/>
  <c r="R3366" i="2"/>
  <c r="R3365" i="2"/>
  <c r="R3364" i="2"/>
  <c r="R3363" i="2"/>
  <c r="R3362" i="2"/>
  <c r="R3361" i="2"/>
  <c r="R3360" i="2"/>
  <c r="R3359" i="2"/>
  <c r="R3358" i="2"/>
  <c r="R3357" i="2"/>
  <c r="R3356" i="2"/>
  <c r="R3355" i="2"/>
  <c r="R3354" i="2"/>
  <c r="R3353" i="2"/>
  <c r="R3352" i="2"/>
  <c r="R3351" i="2"/>
  <c r="R3350" i="2"/>
  <c r="R3349" i="2"/>
  <c r="R3348" i="2"/>
  <c r="R3347" i="2"/>
  <c r="R3346" i="2"/>
  <c r="R3345" i="2"/>
  <c r="R3344" i="2"/>
  <c r="R3343" i="2"/>
  <c r="R3342" i="2"/>
  <c r="R3341" i="2"/>
  <c r="R3340" i="2"/>
  <c r="R3339" i="2"/>
  <c r="R3338" i="2"/>
  <c r="R3337" i="2"/>
  <c r="R3336" i="2"/>
  <c r="R3335" i="2"/>
  <c r="R3334" i="2"/>
  <c r="R3333" i="2"/>
  <c r="R3332" i="2"/>
  <c r="R3331" i="2"/>
  <c r="R3330" i="2"/>
  <c r="R3329" i="2"/>
  <c r="R3328" i="2"/>
  <c r="R3327" i="2"/>
  <c r="R3326" i="2"/>
  <c r="R3325" i="2"/>
  <c r="R3324" i="2"/>
  <c r="R3323" i="2"/>
  <c r="R3322" i="2"/>
  <c r="R3321" i="2"/>
  <c r="R3320" i="2"/>
  <c r="R3319" i="2"/>
  <c r="R3318" i="2"/>
  <c r="R3317" i="2"/>
  <c r="R3316" i="2"/>
  <c r="R3315" i="2"/>
  <c r="R3314" i="2"/>
  <c r="R3313" i="2"/>
  <c r="R3312" i="2"/>
  <c r="R3311" i="2"/>
  <c r="R3310" i="2"/>
  <c r="R3309" i="2"/>
  <c r="R3308" i="2"/>
  <c r="R3307" i="2"/>
  <c r="R3306" i="2"/>
  <c r="R3305" i="2"/>
  <c r="R3304" i="2"/>
  <c r="R3303" i="2"/>
  <c r="R3302" i="2"/>
  <c r="R3301" i="2"/>
  <c r="R3300" i="2"/>
  <c r="R3299" i="2"/>
  <c r="R3298" i="2"/>
  <c r="R3297" i="2"/>
  <c r="R3296" i="2"/>
  <c r="R3295" i="2"/>
  <c r="R3294" i="2"/>
  <c r="R3293" i="2"/>
  <c r="R3292" i="2"/>
  <c r="R3291" i="2"/>
  <c r="R3290" i="2"/>
  <c r="R3289" i="2"/>
  <c r="R3288" i="2"/>
  <c r="R3287" i="2"/>
  <c r="R3286" i="2"/>
  <c r="R3285" i="2"/>
  <c r="R3284" i="2"/>
  <c r="R3283" i="2"/>
  <c r="R3282" i="2"/>
  <c r="R3281" i="2"/>
  <c r="R3280" i="2"/>
  <c r="R3279" i="2"/>
  <c r="R3278" i="2"/>
  <c r="R3277" i="2"/>
  <c r="R3276" i="2"/>
  <c r="R3275" i="2"/>
  <c r="R3274" i="2"/>
  <c r="R3273" i="2"/>
  <c r="R3272" i="2"/>
  <c r="R3271" i="2"/>
  <c r="R3270" i="2"/>
  <c r="R3269" i="2"/>
  <c r="R3268" i="2"/>
  <c r="R3267" i="2"/>
  <c r="R3266" i="2"/>
  <c r="R3265" i="2"/>
  <c r="R3264" i="2"/>
  <c r="R3263" i="2"/>
  <c r="R3262" i="2"/>
  <c r="R3261" i="2"/>
  <c r="R3260" i="2"/>
  <c r="R3259" i="2"/>
  <c r="R3258" i="2"/>
  <c r="R3257" i="2"/>
  <c r="R3256" i="2"/>
  <c r="R3255" i="2"/>
  <c r="R3254" i="2"/>
  <c r="R3253" i="2"/>
  <c r="R3252" i="2"/>
  <c r="R3251" i="2"/>
  <c r="R3250" i="2"/>
  <c r="R3249" i="2"/>
  <c r="R3248" i="2"/>
  <c r="R3247" i="2"/>
  <c r="R3246" i="2"/>
  <c r="R3245" i="2"/>
  <c r="R3244" i="2"/>
  <c r="R3243" i="2"/>
  <c r="R3242" i="2"/>
  <c r="R3241" i="2"/>
  <c r="R3240" i="2"/>
  <c r="R3239" i="2"/>
  <c r="R3238" i="2"/>
  <c r="R3237" i="2"/>
  <c r="R3236" i="2"/>
  <c r="R3235" i="2"/>
  <c r="R3234" i="2"/>
  <c r="R3233" i="2"/>
  <c r="R3232" i="2"/>
  <c r="R3231" i="2"/>
  <c r="R3230" i="2"/>
  <c r="R3229" i="2"/>
  <c r="R3228" i="2"/>
  <c r="R3227" i="2"/>
  <c r="R3226" i="2"/>
  <c r="R3225" i="2"/>
  <c r="R3224" i="2"/>
  <c r="R3223" i="2"/>
  <c r="R3222" i="2"/>
  <c r="R3221" i="2"/>
  <c r="R3220" i="2"/>
  <c r="R3219" i="2"/>
  <c r="R3218" i="2"/>
  <c r="R3217" i="2"/>
  <c r="R3216" i="2"/>
  <c r="R3215" i="2"/>
  <c r="R3214" i="2"/>
  <c r="R3213" i="2"/>
  <c r="R3212" i="2"/>
  <c r="R3211" i="2"/>
  <c r="R3210" i="2"/>
  <c r="R3209" i="2"/>
  <c r="R3208" i="2"/>
  <c r="R3207" i="2"/>
  <c r="R3206" i="2"/>
  <c r="R3205" i="2"/>
  <c r="R3204" i="2"/>
  <c r="R3203" i="2"/>
  <c r="R3202" i="2"/>
  <c r="R3201" i="2"/>
  <c r="R3200" i="2"/>
  <c r="R3199" i="2"/>
  <c r="R3198" i="2"/>
  <c r="R3197" i="2"/>
  <c r="R3196" i="2"/>
  <c r="R3195" i="2"/>
  <c r="R3194" i="2"/>
  <c r="R3193" i="2"/>
  <c r="R3192" i="2"/>
  <c r="R3191" i="2"/>
  <c r="R3190" i="2"/>
  <c r="R3189" i="2"/>
  <c r="R3188" i="2"/>
  <c r="R3187" i="2"/>
  <c r="R3186" i="2"/>
  <c r="R3185" i="2"/>
  <c r="R3184" i="2"/>
  <c r="R3183" i="2"/>
  <c r="R3182" i="2"/>
  <c r="R3181" i="2"/>
  <c r="R3180" i="2"/>
  <c r="R3179" i="2"/>
  <c r="R3178" i="2"/>
  <c r="R3177" i="2"/>
  <c r="R3176" i="2"/>
  <c r="R3175" i="2"/>
  <c r="R3174" i="2"/>
  <c r="R3173" i="2"/>
  <c r="R3172" i="2"/>
  <c r="R3171" i="2"/>
  <c r="R3170" i="2"/>
  <c r="R3169" i="2"/>
  <c r="R3168" i="2"/>
  <c r="R3167" i="2"/>
  <c r="R3166" i="2"/>
  <c r="R3165" i="2"/>
  <c r="R3164" i="2"/>
  <c r="R3163" i="2"/>
  <c r="R3162" i="2"/>
  <c r="R3161" i="2"/>
  <c r="R3160" i="2"/>
  <c r="R3159" i="2"/>
  <c r="R3158" i="2"/>
  <c r="R3157" i="2"/>
  <c r="R3156" i="2"/>
  <c r="R3155" i="2"/>
  <c r="R3154" i="2"/>
  <c r="R3153" i="2"/>
  <c r="R3152" i="2"/>
  <c r="R3151" i="2"/>
  <c r="R3150" i="2"/>
  <c r="R3149" i="2"/>
  <c r="R3148" i="2"/>
  <c r="R3147" i="2"/>
  <c r="R3146" i="2"/>
  <c r="R3145" i="2"/>
  <c r="R3144" i="2"/>
  <c r="R3143" i="2"/>
  <c r="R3142" i="2"/>
  <c r="R3141" i="2"/>
  <c r="R3140" i="2"/>
  <c r="R3139" i="2"/>
  <c r="R3138" i="2"/>
  <c r="R3137" i="2"/>
  <c r="R3136" i="2"/>
  <c r="R3135" i="2"/>
  <c r="R3134" i="2"/>
  <c r="R3133" i="2"/>
  <c r="R3132" i="2"/>
  <c r="R3131" i="2"/>
  <c r="R3130" i="2"/>
  <c r="R3129" i="2"/>
  <c r="R3128" i="2"/>
  <c r="R3127" i="2"/>
  <c r="R3126" i="2"/>
  <c r="R3125" i="2"/>
  <c r="R3124" i="2"/>
  <c r="R3123" i="2"/>
  <c r="R3122" i="2"/>
  <c r="R3121" i="2"/>
  <c r="R3120" i="2"/>
  <c r="R3119" i="2"/>
  <c r="R3118" i="2"/>
  <c r="R3117" i="2"/>
  <c r="R3116" i="2"/>
  <c r="R3115" i="2"/>
  <c r="R3114" i="2"/>
  <c r="R3113" i="2"/>
  <c r="R3112" i="2"/>
  <c r="R3111" i="2"/>
  <c r="R3110" i="2"/>
  <c r="R3109" i="2"/>
  <c r="R3108" i="2"/>
  <c r="R3107" i="2"/>
  <c r="R3106" i="2"/>
  <c r="R3105" i="2"/>
  <c r="R3104" i="2"/>
  <c r="R3103" i="2"/>
  <c r="R3102" i="2"/>
  <c r="R3101" i="2"/>
  <c r="R3100" i="2"/>
  <c r="R3099" i="2"/>
  <c r="R3098" i="2"/>
  <c r="R3097" i="2"/>
  <c r="R3096" i="2"/>
  <c r="R3095" i="2"/>
  <c r="R3094" i="2"/>
  <c r="R3093" i="2"/>
  <c r="R3092" i="2"/>
  <c r="R3091" i="2"/>
  <c r="R3090" i="2"/>
  <c r="R3089" i="2"/>
  <c r="R3088" i="2"/>
  <c r="R3087" i="2"/>
  <c r="R3086" i="2"/>
  <c r="R3085" i="2"/>
  <c r="R3084" i="2"/>
  <c r="R3083" i="2"/>
  <c r="R3082" i="2"/>
  <c r="R3081" i="2"/>
  <c r="R3080" i="2"/>
  <c r="R3079" i="2"/>
  <c r="R3078" i="2"/>
  <c r="R3077" i="2"/>
  <c r="R3076" i="2"/>
  <c r="R3075" i="2"/>
  <c r="R3074" i="2"/>
  <c r="R3073" i="2"/>
  <c r="R3072" i="2"/>
  <c r="R3071" i="2"/>
  <c r="R3070" i="2"/>
  <c r="R3069" i="2"/>
  <c r="R3068" i="2"/>
  <c r="R3067" i="2"/>
  <c r="R3066" i="2"/>
  <c r="R3065" i="2"/>
  <c r="R3064" i="2"/>
  <c r="R3063" i="2"/>
  <c r="R3062" i="2"/>
  <c r="R3061" i="2"/>
  <c r="R3060" i="2"/>
  <c r="R3059" i="2"/>
  <c r="R3058" i="2"/>
  <c r="R3057" i="2"/>
  <c r="R3056" i="2"/>
  <c r="R3055" i="2"/>
  <c r="R3054" i="2"/>
  <c r="R3053" i="2"/>
  <c r="R3052" i="2"/>
  <c r="R3051" i="2"/>
  <c r="R3050" i="2"/>
  <c r="R3049" i="2"/>
  <c r="R3048" i="2"/>
  <c r="R3047" i="2"/>
  <c r="R3046" i="2"/>
  <c r="R3045" i="2"/>
  <c r="R3044" i="2"/>
  <c r="R3043" i="2"/>
  <c r="R3042" i="2"/>
  <c r="R3041" i="2"/>
  <c r="R3040" i="2"/>
  <c r="R3039" i="2"/>
  <c r="R3038" i="2"/>
  <c r="R3037" i="2"/>
  <c r="R3036" i="2"/>
  <c r="R3035" i="2"/>
  <c r="R3034" i="2"/>
  <c r="R3033" i="2"/>
  <c r="R3032" i="2"/>
  <c r="R3031" i="2"/>
  <c r="R3030" i="2"/>
  <c r="R3029" i="2"/>
  <c r="R3028" i="2"/>
  <c r="R3027" i="2"/>
  <c r="R3026" i="2"/>
  <c r="R3025" i="2"/>
  <c r="R3024" i="2"/>
  <c r="R3023" i="2"/>
  <c r="R3022" i="2"/>
  <c r="R3021" i="2"/>
  <c r="R3020" i="2"/>
  <c r="R3019" i="2"/>
  <c r="R3018" i="2"/>
  <c r="R3017" i="2"/>
  <c r="R3016" i="2"/>
  <c r="R3015" i="2"/>
  <c r="R3014" i="2"/>
  <c r="R3013" i="2"/>
  <c r="R3012" i="2"/>
  <c r="R3011" i="2"/>
  <c r="R3010" i="2"/>
  <c r="R3009" i="2"/>
  <c r="R3008" i="2"/>
  <c r="R3007" i="2"/>
  <c r="R3006" i="2"/>
  <c r="R3005" i="2"/>
  <c r="R3004" i="2"/>
  <c r="R3003" i="2"/>
  <c r="R3002" i="2"/>
  <c r="R3001" i="2"/>
  <c r="R3000" i="2"/>
  <c r="R2999" i="2"/>
  <c r="R2998" i="2"/>
  <c r="R2997" i="2"/>
  <c r="R2996" i="2"/>
  <c r="R2995" i="2"/>
  <c r="R2994" i="2"/>
  <c r="R2993" i="2"/>
  <c r="R2992" i="2"/>
  <c r="R2991" i="2"/>
  <c r="R2990" i="2"/>
  <c r="R2989" i="2"/>
  <c r="R2988" i="2"/>
  <c r="R2987" i="2"/>
  <c r="R2986" i="2"/>
  <c r="R2985" i="2"/>
  <c r="R2984" i="2"/>
  <c r="R2983" i="2"/>
  <c r="R2982" i="2"/>
  <c r="R2981" i="2"/>
  <c r="R2980" i="2"/>
  <c r="R2979" i="2"/>
  <c r="R2978" i="2"/>
  <c r="R2977" i="2"/>
  <c r="R2976" i="2"/>
  <c r="R2975" i="2"/>
  <c r="R2974" i="2"/>
  <c r="R2973" i="2"/>
  <c r="R2972" i="2"/>
  <c r="R2971" i="2"/>
  <c r="R2970" i="2"/>
  <c r="R2969" i="2"/>
  <c r="R2968" i="2"/>
  <c r="R2967" i="2"/>
  <c r="R2966" i="2"/>
  <c r="R2965" i="2"/>
  <c r="R2964" i="2"/>
  <c r="R2963" i="2"/>
  <c r="R2962" i="2"/>
  <c r="R2961" i="2"/>
  <c r="R2960" i="2"/>
  <c r="R2959" i="2"/>
  <c r="R2958" i="2"/>
  <c r="R2957" i="2"/>
  <c r="R2956" i="2"/>
  <c r="R2955" i="2"/>
  <c r="R2954" i="2"/>
  <c r="R2953" i="2"/>
  <c r="R2952" i="2"/>
  <c r="R2951" i="2"/>
  <c r="R2950" i="2"/>
  <c r="R2949" i="2"/>
  <c r="R2948" i="2"/>
  <c r="R2947" i="2"/>
  <c r="R2946" i="2"/>
  <c r="R2945" i="2"/>
  <c r="R2944" i="2"/>
  <c r="R2943" i="2"/>
  <c r="R2942" i="2"/>
  <c r="R2941" i="2"/>
  <c r="R2940" i="2"/>
  <c r="R2939" i="2"/>
  <c r="R2938" i="2"/>
  <c r="R2937" i="2"/>
  <c r="R2936" i="2"/>
  <c r="R2935" i="2"/>
  <c r="R2934" i="2"/>
  <c r="R2933" i="2"/>
  <c r="R2932" i="2"/>
  <c r="R2931" i="2"/>
  <c r="R2930" i="2"/>
  <c r="R2929" i="2"/>
  <c r="R2928" i="2"/>
  <c r="R2927" i="2"/>
  <c r="R2926" i="2"/>
  <c r="R2925" i="2"/>
  <c r="R2924" i="2"/>
  <c r="R2923" i="2"/>
  <c r="R2922" i="2"/>
  <c r="R2921" i="2"/>
  <c r="R2920" i="2"/>
  <c r="R2919" i="2"/>
  <c r="R2918" i="2"/>
  <c r="R2917" i="2"/>
  <c r="R2916" i="2"/>
  <c r="R2915" i="2"/>
  <c r="R2914" i="2"/>
  <c r="R2913" i="2"/>
  <c r="R2912" i="2"/>
  <c r="R2911" i="2"/>
  <c r="R2910" i="2"/>
  <c r="R2909" i="2"/>
  <c r="R2908" i="2"/>
  <c r="R2907" i="2"/>
  <c r="R2906" i="2"/>
  <c r="R2905" i="2"/>
  <c r="R2904" i="2"/>
  <c r="R2903" i="2"/>
  <c r="R2902" i="2"/>
  <c r="R2901" i="2"/>
  <c r="R2900" i="2"/>
  <c r="R2899" i="2"/>
  <c r="R2898" i="2"/>
  <c r="R2897" i="2"/>
  <c r="R2896" i="2"/>
  <c r="R2895" i="2"/>
  <c r="R2894" i="2"/>
  <c r="R2893" i="2"/>
  <c r="R2892" i="2"/>
  <c r="R2891" i="2"/>
  <c r="R2890" i="2"/>
  <c r="R2889" i="2"/>
  <c r="R2888" i="2"/>
  <c r="R2887" i="2"/>
  <c r="R2886" i="2"/>
  <c r="R2885" i="2"/>
  <c r="R2884" i="2"/>
  <c r="R2883" i="2"/>
  <c r="R2882" i="2"/>
  <c r="R2881" i="2"/>
  <c r="R2880" i="2"/>
  <c r="R2879" i="2"/>
  <c r="R2878" i="2"/>
  <c r="R2877" i="2"/>
  <c r="R2876" i="2"/>
  <c r="R2875" i="2"/>
  <c r="R2874" i="2"/>
  <c r="R2873" i="2"/>
  <c r="R2872" i="2"/>
  <c r="R2871" i="2"/>
  <c r="R2870" i="2"/>
  <c r="R2869" i="2"/>
  <c r="R2868" i="2"/>
  <c r="R2867" i="2"/>
  <c r="R2866" i="2"/>
  <c r="R2865" i="2"/>
  <c r="R2864" i="2"/>
  <c r="R2863" i="2"/>
  <c r="R2862" i="2"/>
  <c r="R2861" i="2"/>
  <c r="R2860" i="2"/>
  <c r="R2859" i="2"/>
  <c r="R2858" i="2"/>
  <c r="R2857" i="2"/>
  <c r="R2856" i="2"/>
  <c r="R2855" i="2"/>
  <c r="R2854" i="2"/>
  <c r="R2853" i="2"/>
  <c r="R2852" i="2"/>
  <c r="R2851" i="2"/>
  <c r="R2850" i="2"/>
  <c r="R2849" i="2"/>
  <c r="R2848" i="2"/>
  <c r="R2847" i="2"/>
  <c r="R2846" i="2"/>
  <c r="R2845" i="2"/>
  <c r="R2844" i="2"/>
  <c r="R2843" i="2"/>
  <c r="R2842" i="2"/>
  <c r="R2841" i="2"/>
  <c r="R2840" i="2"/>
  <c r="R2839" i="2"/>
  <c r="R2838" i="2"/>
  <c r="R2837" i="2"/>
  <c r="R2836" i="2"/>
  <c r="R2835" i="2"/>
  <c r="R2834" i="2"/>
  <c r="R2833" i="2"/>
  <c r="R2832" i="2"/>
  <c r="R2831" i="2"/>
  <c r="R2830" i="2"/>
  <c r="R2829" i="2"/>
  <c r="R2828" i="2"/>
  <c r="R2827" i="2"/>
  <c r="R2826" i="2"/>
  <c r="R2825" i="2"/>
  <c r="R2824" i="2"/>
  <c r="R2823" i="2"/>
  <c r="R2822" i="2"/>
  <c r="R2821" i="2"/>
  <c r="R2820" i="2"/>
  <c r="R2819" i="2"/>
  <c r="R2818" i="2"/>
  <c r="R2817" i="2"/>
  <c r="R2816" i="2"/>
  <c r="R2815" i="2"/>
  <c r="R2814" i="2"/>
  <c r="R2813" i="2"/>
  <c r="R2812" i="2"/>
  <c r="R2811" i="2"/>
  <c r="R2810" i="2"/>
  <c r="R2809" i="2"/>
  <c r="R2808" i="2"/>
  <c r="R2807" i="2"/>
  <c r="R2806" i="2"/>
  <c r="R2805" i="2"/>
  <c r="R2804" i="2"/>
  <c r="R2803" i="2"/>
  <c r="R2802" i="2"/>
  <c r="R2801" i="2"/>
  <c r="R2800" i="2"/>
  <c r="R2799" i="2"/>
  <c r="R2798" i="2"/>
  <c r="R2797" i="2"/>
  <c r="R2796" i="2"/>
  <c r="R2795" i="2"/>
  <c r="R2794" i="2"/>
  <c r="R2793" i="2"/>
  <c r="R2792" i="2"/>
  <c r="R2791" i="2"/>
  <c r="R2790" i="2"/>
  <c r="R2789" i="2"/>
  <c r="R2788" i="2"/>
  <c r="R2787" i="2"/>
  <c r="R2786" i="2"/>
  <c r="R2785" i="2"/>
  <c r="R2784" i="2"/>
  <c r="R2783" i="2"/>
  <c r="R2782" i="2"/>
  <c r="R2781" i="2"/>
  <c r="R2780" i="2"/>
  <c r="R2779" i="2"/>
  <c r="R2778" i="2"/>
  <c r="R2777" i="2"/>
  <c r="R2776" i="2"/>
  <c r="R2775" i="2"/>
  <c r="R2774" i="2"/>
  <c r="R2773" i="2"/>
  <c r="R2772" i="2"/>
  <c r="R2771" i="2"/>
  <c r="R2770" i="2"/>
  <c r="R2769" i="2"/>
  <c r="R2768" i="2"/>
  <c r="R2767" i="2"/>
  <c r="R2766" i="2"/>
  <c r="R2765" i="2"/>
  <c r="R2764" i="2"/>
  <c r="R2763" i="2"/>
  <c r="R2762" i="2"/>
  <c r="R2761" i="2"/>
  <c r="R2760" i="2"/>
  <c r="R2759" i="2"/>
  <c r="R2758" i="2"/>
  <c r="R2757" i="2"/>
  <c r="R2756" i="2"/>
  <c r="R2755" i="2"/>
  <c r="R2754" i="2"/>
  <c r="R2753" i="2"/>
  <c r="R2752" i="2"/>
  <c r="R2751" i="2"/>
  <c r="R2750" i="2"/>
  <c r="R2749" i="2"/>
  <c r="R2748" i="2"/>
  <c r="R2747" i="2"/>
  <c r="R2746" i="2"/>
  <c r="R2745" i="2"/>
  <c r="R2744" i="2"/>
  <c r="R2743" i="2"/>
  <c r="R2742" i="2"/>
  <c r="R2741" i="2"/>
  <c r="R2740" i="2"/>
  <c r="R2739" i="2"/>
  <c r="R2738" i="2"/>
  <c r="R2737" i="2"/>
  <c r="R2736" i="2"/>
  <c r="R2735" i="2"/>
  <c r="R2734" i="2"/>
  <c r="R2733" i="2"/>
  <c r="R2732" i="2"/>
  <c r="R2731" i="2"/>
  <c r="R2730" i="2"/>
  <c r="R2729" i="2"/>
  <c r="R2728" i="2"/>
  <c r="R2727" i="2"/>
  <c r="R2726" i="2"/>
  <c r="R2725" i="2"/>
  <c r="R2724" i="2"/>
  <c r="R2723" i="2"/>
  <c r="R2722" i="2"/>
  <c r="R2721" i="2"/>
  <c r="R2720" i="2"/>
  <c r="R2719" i="2"/>
  <c r="R2718" i="2"/>
  <c r="R2717" i="2"/>
  <c r="R2716" i="2"/>
  <c r="R2715" i="2"/>
  <c r="R2714" i="2"/>
  <c r="R2713" i="2"/>
  <c r="R2712" i="2"/>
  <c r="R2711" i="2"/>
  <c r="R2710" i="2"/>
  <c r="R2709" i="2"/>
  <c r="R2708" i="2"/>
  <c r="R2707" i="2"/>
  <c r="R2706" i="2"/>
  <c r="R2705" i="2"/>
  <c r="R2704" i="2"/>
  <c r="R2703" i="2"/>
  <c r="R2702" i="2"/>
  <c r="R2701" i="2"/>
  <c r="R2700" i="2"/>
  <c r="R2699" i="2"/>
  <c r="R2698" i="2"/>
  <c r="R2697" i="2"/>
  <c r="R2696" i="2"/>
  <c r="R2695" i="2"/>
  <c r="R2694" i="2"/>
  <c r="R2693" i="2"/>
  <c r="R2692" i="2"/>
  <c r="R2691" i="2"/>
  <c r="R2690" i="2"/>
  <c r="R2689" i="2"/>
  <c r="R2688" i="2"/>
  <c r="R2687" i="2"/>
  <c r="R2686" i="2"/>
  <c r="R2685" i="2"/>
  <c r="R2684" i="2"/>
  <c r="R2683" i="2"/>
  <c r="R2682" i="2"/>
  <c r="R2681" i="2"/>
  <c r="R2680" i="2"/>
  <c r="R2679" i="2"/>
  <c r="R2678" i="2"/>
  <c r="R2677" i="2"/>
  <c r="R2676" i="2"/>
  <c r="R2675" i="2"/>
  <c r="R2674" i="2"/>
  <c r="R2673" i="2"/>
  <c r="R2672" i="2"/>
  <c r="R2671" i="2"/>
  <c r="R2670" i="2"/>
  <c r="R2669" i="2"/>
  <c r="R2668" i="2"/>
  <c r="R2667" i="2"/>
  <c r="R2666" i="2"/>
  <c r="R2665" i="2"/>
  <c r="R2664" i="2"/>
  <c r="R2663" i="2"/>
  <c r="R2662" i="2"/>
  <c r="R2661" i="2"/>
  <c r="R2660" i="2"/>
  <c r="R2659" i="2"/>
  <c r="R2658" i="2"/>
  <c r="R2657" i="2"/>
  <c r="R2656" i="2"/>
  <c r="R2655" i="2"/>
  <c r="R2654" i="2"/>
  <c r="R2653" i="2"/>
  <c r="R2652" i="2"/>
  <c r="R2651" i="2"/>
  <c r="R2650" i="2"/>
  <c r="R2649" i="2"/>
  <c r="R2648" i="2"/>
  <c r="R2647" i="2"/>
  <c r="R2646" i="2"/>
  <c r="R2645" i="2"/>
  <c r="R2644" i="2"/>
  <c r="R2643" i="2"/>
  <c r="R2642" i="2"/>
  <c r="R2641" i="2"/>
  <c r="R2640" i="2"/>
  <c r="R2639" i="2"/>
  <c r="R2638" i="2"/>
  <c r="R2637" i="2"/>
  <c r="R2636" i="2"/>
  <c r="R2635" i="2"/>
  <c r="R2634" i="2"/>
  <c r="R2633" i="2"/>
  <c r="R2632" i="2"/>
  <c r="R2631" i="2"/>
  <c r="R2630" i="2"/>
  <c r="R2629" i="2"/>
  <c r="R2628" i="2"/>
  <c r="R2627" i="2"/>
  <c r="R2626" i="2"/>
  <c r="R2625" i="2"/>
  <c r="R2624" i="2"/>
  <c r="R2623" i="2"/>
  <c r="R2622" i="2"/>
  <c r="R2621" i="2"/>
  <c r="R2620" i="2"/>
  <c r="R2619" i="2"/>
  <c r="R2618" i="2"/>
  <c r="R2617" i="2"/>
  <c r="R2616" i="2"/>
  <c r="R2615" i="2"/>
  <c r="R2614" i="2"/>
  <c r="R2613" i="2"/>
  <c r="R2612" i="2"/>
  <c r="R2611" i="2"/>
  <c r="R2610" i="2"/>
  <c r="R2609" i="2"/>
  <c r="R2608" i="2"/>
  <c r="R2607" i="2"/>
  <c r="R2606" i="2"/>
  <c r="R2605" i="2"/>
  <c r="R2604" i="2"/>
  <c r="R2603" i="2"/>
  <c r="R2602" i="2"/>
  <c r="R2601" i="2"/>
  <c r="R2600" i="2"/>
  <c r="R2599" i="2"/>
  <c r="R2598" i="2"/>
  <c r="R2597" i="2"/>
  <c r="R2596" i="2"/>
  <c r="R2595" i="2"/>
  <c r="R2594" i="2"/>
  <c r="R2593" i="2"/>
  <c r="R2592" i="2"/>
  <c r="R2591" i="2"/>
  <c r="R2590" i="2"/>
  <c r="R2589" i="2"/>
  <c r="R2588" i="2"/>
  <c r="R2587" i="2"/>
  <c r="R2586" i="2"/>
  <c r="R2585" i="2"/>
  <c r="R2584" i="2"/>
  <c r="R2583" i="2"/>
  <c r="R2582" i="2"/>
  <c r="R2581" i="2"/>
  <c r="R2580" i="2"/>
  <c r="R2579" i="2"/>
  <c r="R2578" i="2"/>
  <c r="R2577" i="2"/>
  <c r="R2576" i="2"/>
  <c r="R2575" i="2"/>
  <c r="R2574" i="2"/>
  <c r="R2573" i="2"/>
  <c r="R2572" i="2"/>
  <c r="R2571" i="2"/>
  <c r="R2570" i="2"/>
  <c r="R2569" i="2"/>
  <c r="R2568" i="2"/>
  <c r="R2567" i="2"/>
  <c r="R2566" i="2"/>
  <c r="R2565" i="2"/>
  <c r="R2564" i="2"/>
  <c r="R2563" i="2"/>
  <c r="R2562" i="2"/>
  <c r="R2561" i="2"/>
  <c r="R2560" i="2"/>
  <c r="R2559" i="2"/>
  <c r="R2558" i="2"/>
  <c r="R2557" i="2"/>
  <c r="R2556" i="2"/>
  <c r="R2555" i="2"/>
  <c r="R2554" i="2"/>
  <c r="R2553" i="2"/>
  <c r="R2552" i="2"/>
  <c r="R2551" i="2"/>
  <c r="R2550" i="2"/>
  <c r="R2549" i="2"/>
  <c r="R2548" i="2"/>
  <c r="R2547" i="2"/>
  <c r="R2546" i="2"/>
  <c r="R2545" i="2"/>
  <c r="R2544" i="2"/>
  <c r="R2543" i="2"/>
  <c r="R2542" i="2"/>
  <c r="R2541" i="2"/>
  <c r="R2540" i="2"/>
  <c r="R2539" i="2"/>
  <c r="R2538" i="2"/>
  <c r="R2537" i="2"/>
  <c r="R2536" i="2"/>
  <c r="R2535" i="2"/>
  <c r="R2534" i="2"/>
  <c r="R2533" i="2"/>
  <c r="R2532" i="2"/>
  <c r="R2531" i="2"/>
  <c r="R2530" i="2"/>
  <c r="R2529" i="2"/>
  <c r="R2528" i="2"/>
  <c r="R2527" i="2"/>
  <c r="R2526" i="2"/>
  <c r="R2525" i="2"/>
  <c r="R2524" i="2"/>
  <c r="R2523" i="2"/>
  <c r="R2522" i="2"/>
  <c r="R2521" i="2"/>
  <c r="R2520" i="2"/>
  <c r="R2519" i="2"/>
  <c r="R2518" i="2"/>
  <c r="R2517" i="2"/>
  <c r="R2516" i="2"/>
  <c r="R2515" i="2"/>
  <c r="R2514" i="2"/>
  <c r="R2513" i="2"/>
  <c r="R2512" i="2"/>
  <c r="R2511" i="2"/>
  <c r="R2510" i="2"/>
  <c r="R2509" i="2"/>
  <c r="R2508" i="2"/>
  <c r="R2507" i="2"/>
  <c r="R2506" i="2"/>
  <c r="R2505" i="2"/>
  <c r="R2504" i="2"/>
  <c r="R2503" i="2"/>
  <c r="R2502" i="2"/>
  <c r="R2501" i="2"/>
  <c r="R2500" i="2"/>
  <c r="R2499" i="2"/>
  <c r="R2498" i="2"/>
  <c r="R2497" i="2"/>
  <c r="R2496" i="2"/>
  <c r="R2495" i="2"/>
  <c r="R2494" i="2"/>
  <c r="R2493" i="2"/>
  <c r="R2492" i="2"/>
  <c r="R2491" i="2"/>
  <c r="R2490" i="2"/>
  <c r="R2489" i="2"/>
  <c r="R2488" i="2"/>
  <c r="R2487" i="2"/>
  <c r="R2486" i="2"/>
  <c r="R2485" i="2"/>
  <c r="R2484" i="2"/>
  <c r="R2483" i="2"/>
  <c r="R2482" i="2"/>
  <c r="R2481" i="2"/>
  <c r="R2480" i="2"/>
  <c r="R2479" i="2"/>
  <c r="R2478" i="2"/>
  <c r="R2477" i="2"/>
  <c r="R2476" i="2"/>
  <c r="R2475" i="2"/>
  <c r="R2474" i="2"/>
  <c r="R2473" i="2"/>
  <c r="R2472" i="2"/>
  <c r="R2471" i="2"/>
  <c r="R2470" i="2"/>
  <c r="R2469" i="2"/>
  <c r="R2468" i="2"/>
  <c r="R2467" i="2"/>
  <c r="R2466" i="2"/>
  <c r="R2465" i="2"/>
  <c r="R2464" i="2"/>
  <c r="R2463" i="2"/>
  <c r="R2462" i="2"/>
  <c r="R2461" i="2"/>
  <c r="R2460" i="2"/>
  <c r="R2459" i="2"/>
  <c r="R2458" i="2"/>
  <c r="R2457" i="2"/>
  <c r="R2456" i="2"/>
  <c r="R2455" i="2"/>
  <c r="R2454" i="2"/>
  <c r="R2453" i="2"/>
  <c r="R2452" i="2"/>
  <c r="R2451" i="2"/>
  <c r="R2450" i="2"/>
  <c r="R2449" i="2"/>
  <c r="R2448" i="2"/>
  <c r="R2447" i="2"/>
  <c r="R2446" i="2"/>
  <c r="R2445" i="2"/>
  <c r="R2444" i="2"/>
  <c r="R2443" i="2"/>
  <c r="R2442" i="2"/>
  <c r="R2441" i="2"/>
  <c r="R2440" i="2"/>
  <c r="R2439" i="2"/>
  <c r="R2438" i="2"/>
  <c r="R2437" i="2"/>
  <c r="R2436" i="2"/>
  <c r="R2435" i="2"/>
  <c r="R2434" i="2"/>
  <c r="R2433" i="2"/>
  <c r="R2432" i="2"/>
  <c r="R2431" i="2"/>
  <c r="R2430" i="2"/>
  <c r="R2429" i="2"/>
  <c r="R2428" i="2"/>
  <c r="R2427" i="2"/>
  <c r="R2426" i="2"/>
  <c r="R2425" i="2"/>
  <c r="R2424" i="2"/>
  <c r="R2423" i="2"/>
  <c r="R2422" i="2"/>
  <c r="R2421" i="2"/>
  <c r="R2420" i="2"/>
  <c r="R2419" i="2"/>
  <c r="R2418" i="2"/>
  <c r="R2417" i="2"/>
  <c r="R2416" i="2"/>
  <c r="R2415" i="2"/>
  <c r="R2414" i="2"/>
  <c r="R2413" i="2"/>
  <c r="R2412" i="2"/>
  <c r="R2411" i="2"/>
  <c r="R2410" i="2"/>
  <c r="R2409" i="2"/>
  <c r="R2408" i="2"/>
  <c r="R2407" i="2"/>
  <c r="R2406" i="2"/>
  <c r="R2405" i="2"/>
  <c r="R2404" i="2"/>
  <c r="R2403" i="2"/>
  <c r="R2402" i="2"/>
  <c r="R2401" i="2"/>
  <c r="R2400" i="2"/>
  <c r="R2399" i="2"/>
  <c r="R2398" i="2"/>
  <c r="R2397" i="2"/>
  <c r="R2396" i="2"/>
  <c r="R2395" i="2"/>
  <c r="R2394" i="2"/>
  <c r="R2393" i="2"/>
  <c r="R2392" i="2"/>
  <c r="R2391" i="2"/>
  <c r="R2390" i="2"/>
  <c r="R2389" i="2"/>
  <c r="R2388" i="2"/>
  <c r="R2387" i="2"/>
  <c r="R2386" i="2"/>
  <c r="R2385" i="2"/>
  <c r="R2384" i="2"/>
  <c r="R2383" i="2"/>
  <c r="R2382" i="2"/>
  <c r="R2381" i="2"/>
  <c r="R2380" i="2"/>
  <c r="R2379" i="2"/>
  <c r="R2378" i="2"/>
  <c r="R2377" i="2"/>
  <c r="R2376" i="2"/>
  <c r="R2375" i="2"/>
  <c r="R2374" i="2"/>
  <c r="R2373" i="2"/>
  <c r="R2372" i="2"/>
  <c r="R2371" i="2"/>
  <c r="R2370" i="2"/>
  <c r="R2369" i="2"/>
  <c r="R2368" i="2"/>
  <c r="R2367" i="2"/>
  <c r="R2366" i="2"/>
  <c r="R2365" i="2"/>
  <c r="R2364" i="2"/>
  <c r="R2363" i="2"/>
  <c r="R2362" i="2"/>
  <c r="R2361" i="2"/>
  <c r="R2360" i="2"/>
  <c r="R2359" i="2"/>
  <c r="R2358" i="2"/>
  <c r="R2357" i="2"/>
  <c r="R2356" i="2"/>
  <c r="R2355" i="2"/>
  <c r="R2354" i="2"/>
  <c r="R2353" i="2"/>
  <c r="R2352" i="2"/>
  <c r="R2351" i="2"/>
  <c r="R2350" i="2"/>
  <c r="R2349" i="2"/>
  <c r="R2348" i="2"/>
  <c r="R2347" i="2"/>
  <c r="R2346" i="2"/>
  <c r="R2345" i="2"/>
  <c r="R2344" i="2"/>
  <c r="R2343" i="2"/>
  <c r="R2342" i="2"/>
  <c r="R2341" i="2"/>
  <c r="R2340" i="2"/>
  <c r="R2339" i="2"/>
  <c r="R2338" i="2"/>
  <c r="R2337" i="2"/>
  <c r="R2336" i="2"/>
  <c r="R2335" i="2"/>
  <c r="R2334" i="2"/>
  <c r="R2333" i="2"/>
  <c r="R2332" i="2"/>
  <c r="R2331" i="2"/>
  <c r="R2330" i="2"/>
  <c r="R2329" i="2"/>
  <c r="R2328" i="2"/>
  <c r="R2327" i="2"/>
  <c r="R2326" i="2"/>
  <c r="R2325" i="2"/>
  <c r="R2324" i="2"/>
  <c r="R2323" i="2"/>
  <c r="R2322" i="2"/>
  <c r="R2321" i="2"/>
  <c r="R2320" i="2"/>
  <c r="R2319" i="2"/>
  <c r="R2318" i="2"/>
  <c r="R2317" i="2"/>
  <c r="R2316" i="2"/>
  <c r="R2315" i="2"/>
  <c r="R2314" i="2"/>
  <c r="R2313" i="2"/>
  <c r="R2312" i="2"/>
  <c r="R2311" i="2"/>
  <c r="R2310" i="2"/>
  <c r="R2309" i="2"/>
  <c r="R2308" i="2"/>
  <c r="R2307" i="2"/>
  <c r="R2306" i="2"/>
  <c r="R2305" i="2"/>
  <c r="R2304" i="2"/>
  <c r="R2303" i="2"/>
  <c r="R2302" i="2"/>
  <c r="R2301" i="2"/>
  <c r="R2300" i="2"/>
  <c r="R2299" i="2"/>
  <c r="R2298" i="2"/>
  <c r="R2297" i="2"/>
  <c r="R2296" i="2"/>
  <c r="R2295" i="2"/>
  <c r="R2294" i="2"/>
  <c r="R2293" i="2"/>
  <c r="R2292" i="2"/>
  <c r="R2291" i="2"/>
  <c r="R2290" i="2"/>
  <c r="R2289" i="2"/>
  <c r="R2288" i="2"/>
  <c r="R2287" i="2"/>
  <c r="R2286" i="2"/>
  <c r="R2285" i="2"/>
  <c r="R2284" i="2"/>
  <c r="R2283" i="2"/>
  <c r="R2282" i="2"/>
  <c r="R2281" i="2"/>
  <c r="R2280" i="2"/>
  <c r="R2279" i="2"/>
  <c r="R2278" i="2"/>
  <c r="R2277" i="2"/>
  <c r="R2276" i="2"/>
  <c r="R2275" i="2"/>
  <c r="R2274" i="2"/>
  <c r="R2273" i="2"/>
  <c r="R2272" i="2"/>
  <c r="R2271" i="2"/>
  <c r="R2270" i="2"/>
  <c r="R2269" i="2"/>
  <c r="R2268" i="2"/>
  <c r="R2267" i="2"/>
  <c r="R2266" i="2"/>
  <c r="R2265" i="2"/>
  <c r="R2264" i="2"/>
  <c r="R2263" i="2"/>
  <c r="R2262" i="2"/>
  <c r="R2261" i="2"/>
  <c r="R2260" i="2"/>
  <c r="R2259" i="2"/>
  <c r="R2258" i="2"/>
  <c r="R2257" i="2"/>
  <c r="R2256" i="2"/>
  <c r="R2255" i="2"/>
  <c r="R2254" i="2"/>
  <c r="R2253" i="2"/>
  <c r="R2252" i="2"/>
  <c r="R2251" i="2"/>
  <c r="R2250" i="2"/>
  <c r="R2249" i="2"/>
  <c r="R2248" i="2"/>
  <c r="R2247" i="2"/>
  <c r="R2246" i="2"/>
  <c r="R2245" i="2"/>
  <c r="R2244" i="2"/>
  <c r="R2243" i="2"/>
  <c r="R2242" i="2"/>
  <c r="R2241" i="2"/>
  <c r="R2240" i="2"/>
  <c r="R2239" i="2"/>
  <c r="R2238" i="2"/>
  <c r="R2237" i="2"/>
  <c r="R2236" i="2"/>
  <c r="R2235" i="2"/>
  <c r="R2234" i="2"/>
  <c r="R2233" i="2"/>
  <c r="R2232" i="2"/>
  <c r="R2231" i="2"/>
  <c r="R2230" i="2"/>
  <c r="R2229" i="2"/>
  <c r="R2228" i="2"/>
  <c r="R2227" i="2"/>
  <c r="R2226" i="2"/>
  <c r="R2225" i="2"/>
  <c r="R2224" i="2"/>
  <c r="R2223" i="2"/>
  <c r="R2222" i="2"/>
  <c r="R2221" i="2"/>
  <c r="R2220" i="2"/>
  <c r="R2219" i="2"/>
  <c r="R2218" i="2"/>
  <c r="R2217" i="2"/>
  <c r="R2216" i="2"/>
  <c r="R2215" i="2"/>
  <c r="R2214" i="2"/>
  <c r="R2213" i="2"/>
  <c r="R2212" i="2"/>
  <c r="R2211" i="2"/>
  <c r="R2210" i="2"/>
  <c r="R2209" i="2"/>
  <c r="R2208" i="2"/>
  <c r="R2207" i="2"/>
  <c r="R2206" i="2"/>
  <c r="R2205" i="2"/>
  <c r="R2204" i="2"/>
  <c r="R2203" i="2"/>
  <c r="R2202" i="2"/>
  <c r="R2201" i="2"/>
  <c r="R2200" i="2"/>
  <c r="R2199" i="2"/>
  <c r="R2198" i="2"/>
  <c r="R2197" i="2"/>
  <c r="R2196" i="2"/>
  <c r="R2195" i="2"/>
  <c r="R2194" i="2"/>
  <c r="R2193" i="2"/>
  <c r="R2192" i="2"/>
  <c r="R2191" i="2"/>
  <c r="R2190" i="2"/>
  <c r="R2189" i="2"/>
  <c r="R2188" i="2"/>
  <c r="R2187" i="2"/>
  <c r="R2186" i="2"/>
  <c r="R2185" i="2"/>
  <c r="R2184" i="2"/>
  <c r="R2183" i="2"/>
  <c r="R2182" i="2"/>
  <c r="R2181" i="2"/>
  <c r="R2180" i="2"/>
  <c r="R2179" i="2"/>
  <c r="R2178" i="2"/>
  <c r="R2177" i="2"/>
  <c r="R2176" i="2"/>
  <c r="R2175" i="2"/>
  <c r="R2174" i="2"/>
  <c r="R2173" i="2"/>
  <c r="R2172" i="2"/>
  <c r="R2171" i="2"/>
  <c r="R2170" i="2"/>
  <c r="R2169" i="2"/>
  <c r="R2168" i="2"/>
  <c r="R2167" i="2"/>
  <c r="R2166" i="2"/>
  <c r="R2165" i="2"/>
  <c r="R2164" i="2"/>
  <c r="R2163" i="2"/>
  <c r="R2162" i="2"/>
  <c r="R2161" i="2"/>
  <c r="R2160" i="2"/>
  <c r="R2159" i="2"/>
  <c r="R2158" i="2"/>
  <c r="R2157" i="2"/>
  <c r="R2156" i="2"/>
  <c r="R2155" i="2"/>
  <c r="R2154" i="2"/>
  <c r="R2153" i="2"/>
  <c r="R2152" i="2"/>
  <c r="R2151" i="2"/>
  <c r="R2150" i="2"/>
  <c r="R2149" i="2"/>
  <c r="R2148" i="2"/>
  <c r="R2147" i="2"/>
  <c r="R2146" i="2"/>
  <c r="R2145" i="2"/>
  <c r="R2144" i="2"/>
  <c r="R2143" i="2"/>
  <c r="R2142" i="2"/>
  <c r="R2141" i="2"/>
  <c r="R2140" i="2"/>
  <c r="R2139" i="2"/>
  <c r="R2138" i="2"/>
  <c r="R2137" i="2"/>
  <c r="R2136" i="2"/>
  <c r="R2135" i="2"/>
  <c r="R2134" i="2"/>
  <c r="R2133" i="2"/>
  <c r="R2132" i="2"/>
  <c r="R2131" i="2"/>
  <c r="R2130" i="2"/>
  <c r="R2129" i="2"/>
  <c r="R2128" i="2"/>
  <c r="R2127" i="2"/>
  <c r="R2126" i="2"/>
  <c r="R2125" i="2"/>
  <c r="R2124" i="2"/>
  <c r="R2123" i="2"/>
  <c r="R2122" i="2"/>
  <c r="R2121" i="2"/>
  <c r="R2120" i="2"/>
  <c r="R2119" i="2"/>
  <c r="R2118" i="2"/>
  <c r="R2117" i="2"/>
  <c r="R2116" i="2"/>
  <c r="R2115" i="2"/>
  <c r="R2114" i="2"/>
  <c r="R2113" i="2"/>
  <c r="R2112" i="2"/>
  <c r="R2111" i="2"/>
  <c r="R2110" i="2"/>
  <c r="R2109" i="2"/>
  <c r="R2108" i="2"/>
  <c r="R2107" i="2"/>
  <c r="R2106" i="2"/>
  <c r="R2105" i="2"/>
  <c r="R2104" i="2"/>
  <c r="R2103" i="2"/>
  <c r="R2102" i="2"/>
  <c r="R2101" i="2"/>
  <c r="R2100" i="2"/>
  <c r="R2099" i="2"/>
  <c r="R2098" i="2"/>
  <c r="R2097" i="2"/>
  <c r="R2096" i="2"/>
  <c r="R2095" i="2"/>
  <c r="R2094" i="2"/>
  <c r="R2093" i="2"/>
  <c r="R2092" i="2"/>
  <c r="R2091" i="2"/>
  <c r="R2090" i="2"/>
  <c r="R2089" i="2"/>
  <c r="R2088" i="2"/>
  <c r="R2087" i="2"/>
  <c r="R2086" i="2"/>
  <c r="R2085" i="2"/>
  <c r="R2084" i="2"/>
  <c r="R2083" i="2"/>
  <c r="R2082" i="2"/>
  <c r="R2081" i="2"/>
  <c r="R2080" i="2"/>
  <c r="R2079" i="2"/>
  <c r="R2078" i="2"/>
  <c r="R2077" i="2"/>
  <c r="R2076" i="2"/>
  <c r="R2075" i="2"/>
  <c r="R2074" i="2"/>
  <c r="R2073" i="2"/>
  <c r="R2072" i="2"/>
  <c r="R2071" i="2"/>
  <c r="R2070" i="2"/>
  <c r="R2069" i="2"/>
  <c r="R2068" i="2"/>
  <c r="R2067" i="2"/>
  <c r="R2066" i="2"/>
  <c r="R2065" i="2"/>
  <c r="R2064" i="2"/>
  <c r="R2063" i="2"/>
  <c r="R2062" i="2"/>
  <c r="R2061" i="2"/>
  <c r="R2060" i="2"/>
  <c r="R2059" i="2"/>
  <c r="R2058" i="2"/>
  <c r="R2057" i="2"/>
  <c r="R2056" i="2"/>
  <c r="R2055" i="2"/>
  <c r="R2054" i="2"/>
  <c r="R2053" i="2"/>
  <c r="R2052" i="2"/>
  <c r="R2051" i="2"/>
  <c r="R2050" i="2"/>
  <c r="R2049" i="2"/>
  <c r="R2048" i="2"/>
  <c r="R2047" i="2"/>
  <c r="R2046" i="2"/>
  <c r="R2045" i="2"/>
  <c r="R2044" i="2"/>
  <c r="R2043" i="2"/>
  <c r="R2042" i="2"/>
  <c r="R2041" i="2"/>
  <c r="R2040" i="2"/>
  <c r="R2039" i="2"/>
  <c r="R2038" i="2"/>
  <c r="R2037" i="2"/>
  <c r="R2036" i="2"/>
  <c r="R2035" i="2"/>
  <c r="R2034" i="2"/>
  <c r="R2033" i="2"/>
  <c r="R2032" i="2"/>
  <c r="R2031" i="2"/>
  <c r="R2030" i="2"/>
  <c r="R2029" i="2"/>
  <c r="R2028" i="2"/>
  <c r="R2027" i="2"/>
  <c r="R2026" i="2"/>
  <c r="R2025" i="2"/>
  <c r="R2024" i="2"/>
  <c r="R2023" i="2"/>
  <c r="R2022" i="2"/>
  <c r="R2021" i="2"/>
  <c r="R2020" i="2"/>
  <c r="R2019" i="2"/>
  <c r="R2018" i="2"/>
  <c r="R2017" i="2"/>
  <c r="R2016" i="2"/>
  <c r="R2015" i="2"/>
  <c r="R2014" i="2"/>
  <c r="R2013" i="2"/>
  <c r="R2012" i="2"/>
  <c r="R2011" i="2"/>
  <c r="R2010" i="2"/>
  <c r="R2009" i="2"/>
  <c r="R2008" i="2"/>
  <c r="R2007" i="2"/>
  <c r="R2006" i="2"/>
  <c r="R2005" i="2"/>
  <c r="R2004" i="2"/>
  <c r="R2003" i="2"/>
  <c r="R2002" i="2"/>
  <c r="R2001" i="2"/>
  <c r="R2000" i="2"/>
  <c r="R1999" i="2"/>
  <c r="R1998" i="2"/>
  <c r="R1997" i="2"/>
  <c r="R1996" i="2"/>
  <c r="R1995" i="2"/>
  <c r="R1994" i="2"/>
  <c r="R1993" i="2"/>
  <c r="R1992" i="2"/>
  <c r="R1991" i="2"/>
  <c r="R1990" i="2"/>
  <c r="R1989" i="2"/>
  <c r="R1988" i="2"/>
  <c r="R1987" i="2"/>
  <c r="R1986" i="2"/>
  <c r="R1985" i="2"/>
  <c r="R1984" i="2"/>
  <c r="R1983" i="2"/>
  <c r="R1982" i="2"/>
  <c r="R1981" i="2"/>
  <c r="R1980" i="2"/>
  <c r="R1979" i="2"/>
  <c r="R1978" i="2"/>
  <c r="R1977" i="2"/>
  <c r="R1976" i="2"/>
  <c r="R1975" i="2"/>
  <c r="R1974" i="2"/>
  <c r="R1973" i="2"/>
  <c r="R1972" i="2"/>
  <c r="R1971" i="2"/>
  <c r="R1970" i="2"/>
  <c r="R1969" i="2"/>
  <c r="R1968" i="2"/>
  <c r="R1967" i="2"/>
  <c r="R1966" i="2"/>
  <c r="R1965" i="2"/>
  <c r="R1964" i="2"/>
  <c r="R1963" i="2"/>
  <c r="R1962" i="2"/>
  <c r="R1961" i="2"/>
  <c r="R1960" i="2"/>
  <c r="R1959" i="2"/>
  <c r="R1958" i="2"/>
  <c r="R1957" i="2"/>
  <c r="R1956" i="2"/>
  <c r="R1955" i="2"/>
  <c r="R1954" i="2"/>
  <c r="R1953" i="2"/>
  <c r="R1952" i="2"/>
  <c r="R1951" i="2"/>
  <c r="R1950" i="2"/>
  <c r="R1949" i="2"/>
  <c r="R1948" i="2"/>
  <c r="R1947" i="2"/>
  <c r="R1946" i="2"/>
  <c r="R1945" i="2"/>
  <c r="R1944" i="2"/>
  <c r="R1943" i="2"/>
  <c r="R1942" i="2"/>
  <c r="R1941" i="2"/>
  <c r="R1940" i="2"/>
  <c r="R1939" i="2"/>
  <c r="R1938" i="2"/>
  <c r="R1937" i="2"/>
  <c r="R1936" i="2"/>
  <c r="R1935" i="2"/>
  <c r="R1934" i="2"/>
  <c r="R1933" i="2"/>
  <c r="R1932" i="2"/>
  <c r="R1931" i="2"/>
  <c r="R1930" i="2"/>
  <c r="R1929" i="2"/>
  <c r="R1928" i="2"/>
  <c r="R1927" i="2"/>
  <c r="R1926" i="2"/>
  <c r="R1925" i="2"/>
  <c r="R1924" i="2"/>
  <c r="R1923" i="2"/>
  <c r="R1922" i="2"/>
  <c r="R1921" i="2"/>
  <c r="R1920" i="2"/>
  <c r="R1919" i="2"/>
  <c r="R1918" i="2"/>
  <c r="R1917" i="2"/>
  <c r="R1916" i="2"/>
  <c r="R1915" i="2"/>
  <c r="R1914" i="2"/>
  <c r="R1913" i="2"/>
  <c r="R1912" i="2"/>
  <c r="R1911" i="2"/>
  <c r="R1910" i="2"/>
  <c r="R1909" i="2"/>
  <c r="R1908" i="2"/>
  <c r="R1907" i="2"/>
  <c r="R1906" i="2"/>
  <c r="R1905" i="2"/>
  <c r="R1904" i="2"/>
  <c r="R1903" i="2"/>
  <c r="R1902" i="2"/>
  <c r="R1901" i="2"/>
  <c r="R1900" i="2"/>
  <c r="R1899" i="2"/>
  <c r="R1898" i="2"/>
  <c r="R1897" i="2"/>
  <c r="R1896" i="2"/>
  <c r="R1895" i="2"/>
  <c r="R1894" i="2"/>
  <c r="R1893" i="2"/>
  <c r="R1892" i="2"/>
  <c r="R1891" i="2"/>
  <c r="R1890" i="2"/>
  <c r="R1889" i="2"/>
  <c r="R1888" i="2"/>
  <c r="R1887" i="2"/>
  <c r="R1886" i="2"/>
  <c r="R1885" i="2"/>
  <c r="R1884" i="2"/>
  <c r="R1883" i="2"/>
  <c r="R1882" i="2"/>
  <c r="R1881" i="2"/>
  <c r="R1880" i="2"/>
  <c r="R1879" i="2"/>
  <c r="R1878" i="2"/>
  <c r="R1877" i="2"/>
  <c r="R1876" i="2"/>
  <c r="R1875" i="2"/>
  <c r="R1874" i="2"/>
  <c r="R1873" i="2"/>
  <c r="R1872" i="2"/>
  <c r="R1871" i="2"/>
  <c r="R1870" i="2"/>
  <c r="R1869" i="2"/>
  <c r="R1868" i="2"/>
  <c r="R1867" i="2"/>
  <c r="R1866" i="2"/>
  <c r="R1865" i="2"/>
  <c r="R1864" i="2"/>
  <c r="R1863" i="2"/>
  <c r="R1862" i="2"/>
  <c r="R1861" i="2"/>
  <c r="R1860" i="2"/>
  <c r="R1859" i="2"/>
  <c r="R1858" i="2"/>
  <c r="R1857" i="2"/>
  <c r="R1856" i="2"/>
  <c r="R1855" i="2"/>
  <c r="R1854" i="2"/>
  <c r="R1853" i="2"/>
  <c r="R1852" i="2"/>
  <c r="R1851" i="2"/>
  <c r="R1850" i="2"/>
  <c r="R1849" i="2"/>
  <c r="R1848" i="2"/>
  <c r="R1847" i="2"/>
  <c r="R1846" i="2"/>
  <c r="R1845" i="2"/>
  <c r="R1844" i="2"/>
  <c r="R1843" i="2"/>
  <c r="R1842" i="2"/>
  <c r="R1841" i="2"/>
  <c r="R1840" i="2"/>
  <c r="R1839" i="2"/>
  <c r="R1838" i="2"/>
  <c r="R1837" i="2"/>
  <c r="R1836" i="2"/>
  <c r="R1835" i="2"/>
  <c r="R1834" i="2"/>
  <c r="R1833" i="2"/>
  <c r="R1832" i="2"/>
  <c r="R1831" i="2"/>
  <c r="R1830" i="2"/>
  <c r="R1829" i="2"/>
  <c r="R1828" i="2"/>
  <c r="R1827" i="2"/>
  <c r="R1826" i="2"/>
  <c r="R1825" i="2"/>
  <c r="R1824" i="2"/>
  <c r="R1823" i="2"/>
  <c r="R1822" i="2"/>
  <c r="R1821" i="2"/>
  <c r="R1820" i="2"/>
  <c r="R1819" i="2"/>
  <c r="R1818" i="2"/>
  <c r="R1817" i="2"/>
  <c r="R1816" i="2"/>
  <c r="R1815" i="2"/>
  <c r="R1814" i="2"/>
  <c r="R1813" i="2"/>
  <c r="R1812" i="2"/>
  <c r="R1811" i="2"/>
  <c r="R1810" i="2"/>
  <c r="R1809" i="2"/>
  <c r="R1808" i="2"/>
  <c r="R1807" i="2"/>
  <c r="R1806" i="2"/>
  <c r="R1805" i="2"/>
  <c r="R1804" i="2"/>
  <c r="R1803" i="2"/>
  <c r="R1802" i="2"/>
  <c r="R1801" i="2"/>
  <c r="R1800" i="2"/>
  <c r="R1799" i="2"/>
  <c r="R1798" i="2"/>
  <c r="R1797" i="2"/>
  <c r="R1796" i="2"/>
  <c r="R1795" i="2"/>
  <c r="R1794" i="2"/>
  <c r="R1793" i="2"/>
  <c r="R1792" i="2"/>
  <c r="R1791" i="2"/>
  <c r="R1790" i="2"/>
  <c r="R1789" i="2"/>
  <c r="R1788" i="2"/>
  <c r="R1787" i="2"/>
  <c r="R1786" i="2"/>
  <c r="R1785" i="2"/>
  <c r="R1784" i="2"/>
  <c r="R1783" i="2"/>
  <c r="R1782" i="2"/>
  <c r="R1781" i="2"/>
  <c r="R1780" i="2"/>
  <c r="R1779" i="2"/>
  <c r="R1778" i="2"/>
  <c r="R1777" i="2"/>
  <c r="R1776" i="2"/>
  <c r="R1775" i="2"/>
  <c r="R1774" i="2"/>
  <c r="R1773" i="2"/>
  <c r="R1772" i="2"/>
  <c r="R1771" i="2"/>
  <c r="R1770" i="2"/>
  <c r="R1769" i="2"/>
  <c r="R1768" i="2"/>
  <c r="R1767" i="2"/>
  <c r="R1766" i="2"/>
  <c r="R1765" i="2"/>
  <c r="R1764" i="2"/>
  <c r="R1763" i="2"/>
  <c r="R1762" i="2"/>
  <c r="R1761" i="2"/>
  <c r="R1760" i="2"/>
  <c r="R1759" i="2"/>
  <c r="R1758" i="2"/>
  <c r="R1757" i="2"/>
  <c r="R1756" i="2"/>
  <c r="R1755" i="2"/>
  <c r="R1754" i="2"/>
  <c r="R1753" i="2"/>
  <c r="R1752" i="2"/>
  <c r="R1751" i="2"/>
  <c r="R1750" i="2"/>
  <c r="R1749" i="2"/>
  <c r="R1748" i="2"/>
  <c r="R1747" i="2"/>
  <c r="R1746" i="2"/>
  <c r="R1745" i="2"/>
  <c r="R1744" i="2"/>
  <c r="R1743" i="2"/>
  <c r="R1742" i="2"/>
  <c r="R1741" i="2"/>
  <c r="R1740" i="2"/>
  <c r="R1739" i="2"/>
  <c r="R1738" i="2"/>
  <c r="R1737" i="2"/>
  <c r="R1736" i="2"/>
  <c r="R1735" i="2"/>
  <c r="R1734" i="2"/>
  <c r="R1733" i="2"/>
  <c r="R1732" i="2"/>
  <c r="R1731" i="2"/>
  <c r="R1730" i="2"/>
  <c r="R1729" i="2"/>
  <c r="R1728" i="2"/>
  <c r="R1727" i="2"/>
  <c r="R1726" i="2"/>
  <c r="R1725" i="2"/>
  <c r="R1724" i="2"/>
  <c r="R1723" i="2"/>
  <c r="R1722" i="2"/>
  <c r="R1721" i="2"/>
  <c r="R1720" i="2"/>
  <c r="R1719" i="2"/>
  <c r="R1718" i="2"/>
  <c r="R1717" i="2"/>
  <c r="R1716" i="2"/>
  <c r="R1715" i="2"/>
  <c r="R1714" i="2"/>
  <c r="R1713" i="2"/>
  <c r="R1712" i="2"/>
  <c r="R1711" i="2"/>
  <c r="R1710" i="2"/>
  <c r="R1709" i="2"/>
  <c r="R1708" i="2"/>
  <c r="R1707" i="2"/>
  <c r="R1706" i="2"/>
  <c r="R1705" i="2"/>
  <c r="R1704" i="2"/>
  <c r="R1703" i="2"/>
  <c r="R1702" i="2"/>
  <c r="R1701" i="2"/>
  <c r="R1700" i="2"/>
  <c r="R1699" i="2"/>
  <c r="R1698" i="2"/>
  <c r="R1697" i="2"/>
  <c r="R1696" i="2"/>
  <c r="R1695" i="2"/>
  <c r="R1694" i="2"/>
  <c r="R1693" i="2"/>
  <c r="R1692" i="2"/>
  <c r="R1691" i="2"/>
  <c r="R1690" i="2"/>
  <c r="R1689" i="2"/>
  <c r="R1688" i="2"/>
  <c r="R1687" i="2"/>
  <c r="R1686" i="2"/>
  <c r="R1685" i="2"/>
  <c r="R1684" i="2"/>
  <c r="R1683" i="2"/>
  <c r="R1682" i="2"/>
  <c r="R1681" i="2"/>
  <c r="R1680" i="2"/>
  <c r="R1679" i="2"/>
  <c r="R1678" i="2"/>
  <c r="R1677" i="2"/>
  <c r="R1676" i="2"/>
  <c r="R1675" i="2"/>
  <c r="R1674" i="2"/>
  <c r="R1673" i="2"/>
  <c r="R1672" i="2"/>
  <c r="R1671" i="2"/>
  <c r="R1670" i="2"/>
  <c r="R1669" i="2"/>
  <c r="R1668" i="2"/>
  <c r="R1667" i="2"/>
  <c r="R1666" i="2"/>
  <c r="R1665" i="2"/>
  <c r="R1664" i="2"/>
  <c r="R1663" i="2"/>
  <c r="R1662" i="2"/>
  <c r="R1661" i="2"/>
  <c r="R1660" i="2"/>
  <c r="R1659" i="2"/>
  <c r="R1658" i="2"/>
  <c r="R1657" i="2"/>
  <c r="R1656" i="2"/>
  <c r="R1655" i="2"/>
  <c r="R1654" i="2"/>
  <c r="R1653" i="2"/>
  <c r="R1652" i="2"/>
  <c r="R1651" i="2"/>
  <c r="R1650" i="2"/>
  <c r="R1649" i="2"/>
  <c r="R1648" i="2"/>
  <c r="R1647" i="2"/>
  <c r="R1646" i="2"/>
  <c r="R1645" i="2"/>
  <c r="R1644" i="2"/>
  <c r="R1643" i="2"/>
  <c r="R1642" i="2"/>
  <c r="R1641" i="2"/>
  <c r="R1640" i="2"/>
  <c r="R1639" i="2"/>
  <c r="R1638" i="2"/>
  <c r="R1637" i="2"/>
  <c r="R1636" i="2"/>
  <c r="R1635" i="2"/>
  <c r="R1634" i="2"/>
  <c r="R1633" i="2"/>
  <c r="R1632" i="2"/>
  <c r="R1631" i="2"/>
  <c r="R1630" i="2"/>
  <c r="R1629" i="2"/>
  <c r="R1628" i="2"/>
  <c r="R1627" i="2"/>
  <c r="R1626" i="2"/>
  <c r="R1625" i="2"/>
  <c r="R1624" i="2"/>
  <c r="R1623" i="2"/>
  <c r="R1622" i="2"/>
  <c r="R1621" i="2"/>
  <c r="R1620" i="2"/>
  <c r="R1619" i="2"/>
  <c r="R1618" i="2"/>
  <c r="R1617" i="2"/>
  <c r="R1616" i="2"/>
  <c r="R1615" i="2"/>
  <c r="R1614" i="2"/>
  <c r="R1613" i="2"/>
  <c r="R1612" i="2"/>
  <c r="R1611" i="2"/>
  <c r="R1610" i="2"/>
  <c r="R1609" i="2"/>
  <c r="R1608" i="2"/>
  <c r="R1607" i="2"/>
  <c r="R1606" i="2"/>
  <c r="R1605" i="2"/>
  <c r="R1604" i="2"/>
  <c r="R1603" i="2"/>
  <c r="R1602" i="2"/>
  <c r="R1601" i="2"/>
  <c r="R1600" i="2"/>
  <c r="R1599" i="2"/>
  <c r="R1598" i="2"/>
  <c r="R1597" i="2"/>
  <c r="R1596" i="2"/>
  <c r="R1595" i="2"/>
  <c r="R1594" i="2"/>
  <c r="R1593" i="2"/>
  <c r="R1592" i="2"/>
  <c r="R1591" i="2"/>
  <c r="R1590" i="2"/>
  <c r="R1589" i="2"/>
  <c r="R1588" i="2"/>
  <c r="R1587" i="2"/>
  <c r="R1586" i="2"/>
  <c r="R1585" i="2"/>
  <c r="R1584" i="2"/>
  <c r="R1583" i="2"/>
  <c r="R1582" i="2"/>
  <c r="R1581" i="2"/>
  <c r="R1580" i="2"/>
  <c r="R1579" i="2"/>
  <c r="R1578" i="2"/>
  <c r="R1577" i="2"/>
  <c r="R1576" i="2"/>
  <c r="R1575" i="2"/>
  <c r="R1574" i="2"/>
  <c r="R1573" i="2"/>
  <c r="R1572" i="2"/>
  <c r="R1571" i="2"/>
  <c r="R1570" i="2"/>
  <c r="R1569" i="2"/>
  <c r="R1568" i="2"/>
  <c r="R1567" i="2"/>
  <c r="R1566" i="2"/>
  <c r="R1565" i="2"/>
  <c r="R1564" i="2"/>
  <c r="R1563" i="2"/>
  <c r="R1562" i="2"/>
  <c r="R1561" i="2"/>
  <c r="R1560" i="2"/>
  <c r="R1559" i="2"/>
  <c r="R1558" i="2"/>
  <c r="R1557" i="2"/>
  <c r="R1556" i="2"/>
  <c r="R1555" i="2"/>
  <c r="R1554" i="2"/>
  <c r="R1553" i="2"/>
  <c r="R1552" i="2"/>
  <c r="R1551" i="2"/>
  <c r="R1550" i="2"/>
  <c r="R1549" i="2"/>
  <c r="R1548" i="2"/>
  <c r="R1547" i="2"/>
  <c r="R1546" i="2"/>
  <c r="R1545" i="2"/>
  <c r="R1544" i="2"/>
  <c r="R1543" i="2"/>
  <c r="R1542" i="2"/>
  <c r="R1541" i="2"/>
  <c r="R1540" i="2"/>
  <c r="R1539" i="2"/>
  <c r="R1538" i="2"/>
  <c r="R1537" i="2"/>
  <c r="R1536" i="2"/>
  <c r="R1535" i="2"/>
  <c r="R1534" i="2"/>
  <c r="R1533" i="2"/>
  <c r="R1532" i="2"/>
  <c r="R1531" i="2"/>
  <c r="R1530" i="2"/>
  <c r="R1529" i="2"/>
  <c r="R1528" i="2"/>
  <c r="R1527" i="2"/>
  <c r="R1526" i="2"/>
  <c r="R1525" i="2"/>
  <c r="R1524" i="2"/>
  <c r="R1523" i="2"/>
  <c r="R1522" i="2"/>
  <c r="R1521" i="2"/>
  <c r="R1520" i="2"/>
  <c r="R1519" i="2"/>
  <c r="R1518" i="2"/>
  <c r="R1517" i="2"/>
  <c r="R1516" i="2"/>
  <c r="R1515" i="2"/>
  <c r="R1514" i="2"/>
  <c r="R1513" i="2"/>
  <c r="R1512" i="2"/>
  <c r="R1511" i="2"/>
  <c r="R1510" i="2"/>
  <c r="R1509" i="2"/>
  <c r="R1508" i="2"/>
  <c r="R1507" i="2"/>
  <c r="R1506" i="2"/>
  <c r="R1505" i="2"/>
  <c r="R1504" i="2"/>
  <c r="R1503" i="2"/>
  <c r="R1502" i="2"/>
  <c r="R1501" i="2"/>
  <c r="R1500" i="2"/>
  <c r="R1499" i="2"/>
  <c r="R1498" i="2"/>
  <c r="R1497" i="2"/>
  <c r="R1496" i="2"/>
  <c r="R1495" i="2"/>
  <c r="R1494" i="2"/>
  <c r="R1493" i="2"/>
  <c r="R1492" i="2"/>
  <c r="R1491" i="2"/>
  <c r="R1490" i="2"/>
  <c r="R1489" i="2"/>
  <c r="R1488" i="2"/>
  <c r="R1487" i="2"/>
  <c r="R1486" i="2"/>
  <c r="R1485" i="2"/>
  <c r="R1484" i="2"/>
  <c r="R1483" i="2"/>
  <c r="R1482" i="2"/>
  <c r="R1481" i="2"/>
  <c r="R1480" i="2"/>
  <c r="R1479" i="2"/>
  <c r="R1478" i="2"/>
  <c r="R1477" i="2"/>
  <c r="R1476" i="2"/>
  <c r="R1475" i="2"/>
  <c r="R1474" i="2"/>
  <c r="R1473" i="2"/>
  <c r="R1472" i="2"/>
  <c r="R1471" i="2"/>
  <c r="R1470" i="2"/>
  <c r="R1469" i="2"/>
  <c r="R1468" i="2"/>
  <c r="R1467" i="2"/>
  <c r="R1466" i="2"/>
  <c r="R1465" i="2"/>
  <c r="R1464" i="2"/>
  <c r="R1463" i="2"/>
  <c r="R1462" i="2"/>
  <c r="R1461" i="2"/>
  <c r="R1460" i="2"/>
  <c r="R1459" i="2"/>
  <c r="R1458" i="2"/>
  <c r="R1457" i="2"/>
  <c r="R1456" i="2"/>
  <c r="R1455" i="2"/>
  <c r="R1454" i="2"/>
  <c r="R1453" i="2"/>
  <c r="R1452" i="2"/>
  <c r="R1451" i="2"/>
  <c r="R1450" i="2"/>
  <c r="R1449" i="2"/>
  <c r="R1448" i="2"/>
  <c r="R1447" i="2"/>
  <c r="R1446" i="2"/>
  <c r="R1445" i="2"/>
  <c r="R1444" i="2"/>
  <c r="R1443" i="2"/>
  <c r="R1442" i="2"/>
  <c r="R1441" i="2"/>
  <c r="R1440" i="2"/>
  <c r="R1439" i="2"/>
  <c r="R1438" i="2"/>
  <c r="R1437" i="2"/>
  <c r="R1436" i="2"/>
  <c r="R1435" i="2"/>
  <c r="R1434" i="2"/>
  <c r="R1433" i="2"/>
  <c r="R1432" i="2"/>
  <c r="R1431" i="2"/>
  <c r="R1430" i="2"/>
  <c r="R1429" i="2"/>
  <c r="R1428" i="2"/>
  <c r="R1427" i="2"/>
  <c r="R1426" i="2"/>
  <c r="R1425" i="2"/>
  <c r="R1424" i="2"/>
  <c r="R1423" i="2"/>
  <c r="R1422" i="2"/>
  <c r="R1421" i="2"/>
  <c r="R1420" i="2"/>
  <c r="R1419" i="2"/>
  <c r="R1418" i="2"/>
  <c r="R1417" i="2"/>
  <c r="R1416" i="2"/>
  <c r="R1415" i="2"/>
  <c r="R1414" i="2"/>
  <c r="R1413" i="2"/>
  <c r="R1412" i="2"/>
  <c r="R1411" i="2"/>
  <c r="R1410" i="2"/>
  <c r="R1409" i="2"/>
  <c r="R1408" i="2"/>
  <c r="R1407" i="2"/>
  <c r="R1406" i="2"/>
  <c r="R1405" i="2"/>
  <c r="R1404" i="2"/>
  <c r="R1403" i="2"/>
  <c r="R1402" i="2"/>
  <c r="R1401" i="2"/>
  <c r="R1400" i="2"/>
  <c r="R1399" i="2"/>
  <c r="R1398" i="2"/>
  <c r="R1397" i="2"/>
  <c r="R1396" i="2"/>
  <c r="R1395" i="2"/>
  <c r="R1394" i="2"/>
  <c r="R1393" i="2"/>
  <c r="R1392" i="2"/>
  <c r="R1391" i="2"/>
  <c r="R1390" i="2"/>
  <c r="R1389" i="2"/>
  <c r="R1388" i="2"/>
  <c r="R1387" i="2"/>
  <c r="R1386" i="2"/>
  <c r="R1385" i="2"/>
  <c r="R1384" i="2"/>
  <c r="R1383" i="2"/>
  <c r="R1382" i="2"/>
  <c r="R1381" i="2"/>
  <c r="R1380" i="2"/>
  <c r="R1379" i="2"/>
  <c r="R1378" i="2"/>
  <c r="R1377" i="2"/>
  <c r="R1376" i="2"/>
  <c r="R1375" i="2"/>
  <c r="R1374" i="2"/>
  <c r="R1373" i="2"/>
  <c r="R1372" i="2"/>
  <c r="R1371" i="2"/>
  <c r="R1370" i="2"/>
  <c r="R1369" i="2"/>
  <c r="R1368" i="2"/>
  <c r="R1367" i="2"/>
  <c r="R1366" i="2"/>
  <c r="R1365" i="2"/>
  <c r="R1364" i="2"/>
  <c r="R1363" i="2"/>
  <c r="R1362" i="2"/>
  <c r="R1361" i="2"/>
  <c r="R1360" i="2"/>
  <c r="R1359" i="2"/>
  <c r="R1358" i="2"/>
  <c r="R1357" i="2"/>
  <c r="R1356" i="2"/>
  <c r="R1355" i="2"/>
  <c r="R1354" i="2"/>
  <c r="R1353" i="2"/>
  <c r="R1352" i="2"/>
  <c r="R1351" i="2"/>
  <c r="R1350" i="2"/>
  <c r="R1349" i="2"/>
  <c r="R1348" i="2"/>
  <c r="R1347" i="2"/>
  <c r="R1346" i="2"/>
  <c r="R1345" i="2"/>
  <c r="R1344" i="2"/>
  <c r="R1343" i="2"/>
  <c r="R1342" i="2"/>
  <c r="R1341" i="2"/>
  <c r="R1340" i="2"/>
  <c r="R1339" i="2"/>
  <c r="R1338" i="2"/>
  <c r="R1337" i="2"/>
  <c r="R1336" i="2"/>
  <c r="R1335" i="2"/>
  <c r="R1334" i="2"/>
  <c r="R1333" i="2"/>
  <c r="R1332" i="2"/>
  <c r="R1331" i="2"/>
  <c r="R1330" i="2"/>
  <c r="R1329" i="2"/>
  <c r="R1328" i="2"/>
  <c r="R1327" i="2"/>
  <c r="R1326" i="2"/>
  <c r="R1325" i="2"/>
  <c r="R1324" i="2"/>
  <c r="R1323" i="2"/>
  <c r="R1322" i="2"/>
  <c r="R1321" i="2"/>
  <c r="R1320" i="2"/>
  <c r="R1319" i="2"/>
  <c r="R1318" i="2"/>
  <c r="R1317" i="2"/>
  <c r="R1316" i="2"/>
  <c r="R1315" i="2"/>
  <c r="R1314" i="2"/>
  <c r="R1313" i="2"/>
  <c r="R1312" i="2"/>
  <c r="R1311" i="2"/>
  <c r="R1310" i="2"/>
  <c r="R1309" i="2"/>
  <c r="R1308" i="2"/>
  <c r="R1307" i="2"/>
  <c r="R1306" i="2"/>
  <c r="R1305" i="2"/>
  <c r="R1304" i="2"/>
  <c r="R1303" i="2"/>
  <c r="R1302" i="2"/>
  <c r="R1301" i="2"/>
  <c r="R1300" i="2"/>
  <c r="R1299" i="2"/>
  <c r="R1298" i="2"/>
  <c r="R1297" i="2"/>
  <c r="R1296" i="2"/>
  <c r="R1295" i="2"/>
  <c r="R1294" i="2"/>
  <c r="R1293" i="2"/>
  <c r="R1292" i="2"/>
  <c r="R1291" i="2"/>
  <c r="R1290" i="2"/>
  <c r="R1289" i="2"/>
  <c r="R1288" i="2"/>
  <c r="R1287" i="2"/>
  <c r="R1286" i="2"/>
  <c r="R1285" i="2"/>
  <c r="R1284" i="2"/>
  <c r="R1283" i="2"/>
  <c r="R1282" i="2"/>
  <c r="R1281" i="2"/>
  <c r="R1280" i="2"/>
  <c r="R1279" i="2"/>
  <c r="R1278" i="2"/>
  <c r="R1277" i="2"/>
  <c r="R1276" i="2"/>
  <c r="R1275" i="2"/>
  <c r="R1274" i="2"/>
  <c r="R1273" i="2"/>
  <c r="R1272" i="2"/>
  <c r="R1271" i="2"/>
  <c r="R1270" i="2"/>
  <c r="R1269" i="2"/>
  <c r="R1268" i="2"/>
  <c r="R1267" i="2"/>
  <c r="R1266" i="2"/>
  <c r="R1265" i="2"/>
  <c r="R1264" i="2"/>
  <c r="R1263" i="2"/>
  <c r="R1262" i="2"/>
  <c r="R1261" i="2"/>
  <c r="R1260" i="2"/>
  <c r="R1259" i="2"/>
  <c r="R1258" i="2"/>
  <c r="R1257" i="2"/>
  <c r="R1256" i="2"/>
  <c r="R1255" i="2"/>
  <c r="R1254" i="2"/>
  <c r="R1253" i="2"/>
  <c r="R1252" i="2"/>
  <c r="R1251" i="2"/>
  <c r="R1250" i="2"/>
  <c r="R1249" i="2"/>
  <c r="R1248" i="2"/>
  <c r="R1247" i="2"/>
  <c r="R1246" i="2"/>
  <c r="R1245" i="2"/>
  <c r="R1244" i="2"/>
  <c r="R1243" i="2"/>
  <c r="R1242" i="2"/>
  <c r="R1241" i="2"/>
  <c r="R1240" i="2"/>
  <c r="R1239" i="2"/>
  <c r="R1238" i="2"/>
  <c r="R1237" i="2"/>
  <c r="R1236" i="2"/>
  <c r="R1235" i="2"/>
  <c r="R1234" i="2"/>
  <c r="R1233" i="2"/>
  <c r="R1232" i="2"/>
  <c r="R1231" i="2"/>
  <c r="R1230" i="2"/>
  <c r="R1229" i="2"/>
  <c r="R1228" i="2"/>
  <c r="R1227" i="2"/>
  <c r="R1226" i="2"/>
  <c r="R1225" i="2"/>
  <c r="R1224" i="2"/>
  <c r="R1223" i="2"/>
  <c r="R1222" i="2"/>
  <c r="R1221" i="2"/>
  <c r="R1220" i="2"/>
  <c r="R1219" i="2"/>
  <c r="R1218" i="2"/>
  <c r="R1217" i="2"/>
  <c r="R1216" i="2"/>
  <c r="R1215" i="2"/>
  <c r="R1214" i="2"/>
  <c r="R1213" i="2"/>
  <c r="R1212" i="2"/>
  <c r="R1211" i="2"/>
  <c r="R1210" i="2"/>
  <c r="R1209" i="2"/>
  <c r="R1208" i="2"/>
  <c r="R1207" i="2"/>
  <c r="R1206" i="2"/>
  <c r="R1205" i="2"/>
  <c r="R1204" i="2"/>
  <c r="R1203" i="2"/>
  <c r="R1202" i="2"/>
  <c r="R1201" i="2"/>
  <c r="R1200" i="2"/>
  <c r="R1199" i="2"/>
  <c r="R1198" i="2"/>
  <c r="R1197" i="2"/>
  <c r="R1196" i="2"/>
  <c r="R1195" i="2"/>
  <c r="R1194" i="2"/>
  <c r="R1193" i="2"/>
  <c r="R1192" i="2"/>
  <c r="R1191" i="2"/>
  <c r="R1190" i="2"/>
  <c r="R1189" i="2"/>
  <c r="R1188" i="2"/>
  <c r="R1187" i="2"/>
  <c r="R1186" i="2"/>
  <c r="R1185" i="2"/>
  <c r="R1184" i="2"/>
  <c r="R1183" i="2"/>
  <c r="R1182" i="2"/>
  <c r="R1181" i="2"/>
  <c r="R1180" i="2"/>
  <c r="R1179" i="2"/>
  <c r="R1178" i="2"/>
  <c r="R1177" i="2"/>
  <c r="R1176" i="2"/>
  <c r="R1175" i="2"/>
  <c r="R1174" i="2"/>
  <c r="R1173" i="2"/>
  <c r="R1172" i="2"/>
  <c r="R1171" i="2"/>
  <c r="R1170" i="2"/>
  <c r="R1169" i="2"/>
  <c r="R1168" i="2"/>
  <c r="R1167" i="2"/>
  <c r="R1166" i="2"/>
  <c r="R1165" i="2"/>
  <c r="R1164" i="2"/>
  <c r="R1163" i="2"/>
  <c r="R1162" i="2"/>
  <c r="R1161" i="2"/>
  <c r="R1160" i="2"/>
  <c r="R1159" i="2"/>
  <c r="R1158" i="2"/>
  <c r="R1157" i="2"/>
  <c r="R1156" i="2"/>
  <c r="R1155" i="2"/>
  <c r="R1154" i="2"/>
  <c r="R1153" i="2"/>
  <c r="R1152" i="2"/>
  <c r="R1151" i="2"/>
  <c r="R1150" i="2"/>
  <c r="R1149" i="2"/>
  <c r="R1148" i="2"/>
  <c r="R1147" i="2"/>
  <c r="R1146" i="2"/>
  <c r="R1145" i="2"/>
  <c r="R1144" i="2"/>
  <c r="R1143" i="2"/>
  <c r="R1142" i="2"/>
  <c r="R1141" i="2"/>
  <c r="R1140" i="2"/>
  <c r="R1139" i="2"/>
  <c r="R1138" i="2"/>
  <c r="R1137" i="2"/>
  <c r="R1136" i="2"/>
  <c r="R1135" i="2"/>
  <c r="R1134" i="2"/>
  <c r="R1133" i="2"/>
  <c r="R1132" i="2"/>
  <c r="R1131" i="2"/>
  <c r="R1130" i="2"/>
  <c r="R1129" i="2"/>
  <c r="R1128" i="2"/>
  <c r="R1127" i="2"/>
  <c r="R1126" i="2"/>
  <c r="R1125" i="2"/>
  <c r="R1124" i="2"/>
  <c r="R1123" i="2"/>
  <c r="R1122" i="2"/>
  <c r="R1121" i="2"/>
  <c r="R1120" i="2"/>
  <c r="R1119" i="2"/>
  <c r="R1118" i="2"/>
  <c r="R1117" i="2"/>
  <c r="R1116" i="2"/>
  <c r="R1115" i="2"/>
  <c r="R1114" i="2"/>
  <c r="R1113" i="2"/>
  <c r="R1112" i="2"/>
  <c r="R1111" i="2"/>
  <c r="R1110" i="2"/>
  <c r="R1109" i="2"/>
  <c r="R1108" i="2"/>
  <c r="R1107" i="2"/>
  <c r="R1106" i="2"/>
  <c r="R1105" i="2"/>
  <c r="R1104" i="2"/>
  <c r="R1103" i="2"/>
  <c r="R1102" i="2"/>
  <c r="R1101" i="2"/>
  <c r="R1100" i="2"/>
  <c r="R1099" i="2"/>
  <c r="R1098" i="2"/>
  <c r="R1097" i="2"/>
  <c r="R1096" i="2"/>
  <c r="R1095" i="2"/>
  <c r="R1094" i="2"/>
  <c r="R1093" i="2"/>
  <c r="R1092" i="2"/>
  <c r="R1091" i="2"/>
  <c r="R1090" i="2"/>
  <c r="R1089" i="2"/>
  <c r="R1088" i="2"/>
  <c r="R1087" i="2"/>
  <c r="R1086" i="2"/>
  <c r="R1085" i="2"/>
  <c r="R1084" i="2"/>
  <c r="R1083" i="2"/>
  <c r="R1082" i="2"/>
  <c r="R1081" i="2"/>
  <c r="R1080" i="2"/>
  <c r="R1079" i="2"/>
  <c r="R1078" i="2"/>
  <c r="R1077" i="2"/>
  <c r="R1076" i="2"/>
  <c r="R1075" i="2"/>
  <c r="R1074" i="2"/>
  <c r="R1073" i="2"/>
  <c r="R1072" i="2"/>
  <c r="R1071" i="2"/>
  <c r="R1070" i="2"/>
  <c r="R1069" i="2"/>
  <c r="R1068" i="2"/>
  <c r="R1067" i="2"/>
  <c r="R1066" i="2"/>
  <c r="R1065" i="2"/>
  <c r="R1064" i="2"/>
  <c r="R1063" i="2"/>
  <c r="R1062" i="2"/>
  <c r="R1061" i="2"/>
  <c r="R1060" i="2"/>
  <c r="R1059" i="2"/>
  <c r="R1058" i="2"/>
  <c r="R1057" i="2"/>
  <c r="R1056" i="2"/>
  <c r="R1055" i="2"/>
  <c r="R1054" i="2"/>
  <c r="R1053" i="2"/>
  <c r="R1052" i="2"/>
  <c r="R1051" i="2"/>
  <c r="R1050" i="2"/>
  <c r="R1049" i="2"/>
  <c r="R1048" i="2"/>
  <c r="R1047" i="2"/>
  <c r="R1046" i="2"/>
  <c r="R1045" i="2"/>
  <c r="R1044" i="2"/>
  <c r="R1043" i="2"/>
  <c r="R1042" i="2"/>
  <c r="R1041" i="2"/>
  <c r="R1040" i="2"/>
  <c r="R1039" i="2"/>
  <c r="R1038" i="2"/>
  <c r="R1037" i="2"/>
  <c r="R1036" i="2"/>
  <c r="R1035" i="2"/>
  <c r="R1034" i="2"/>
  <c r="R1033" i="2"/>
  <c r="R1032" i="2"/>
  <c r="R1031" i="2"/>
  <c r="R1030" i="2"/>
  <c r="R1029" i="2"/>
  <c r="R1028" i="2"/>
  <c r="R1027" i="2"/>
  <c r="R1026" i="2"/>
  <c r="R1025" i="2"/>
  <c r="R1024" i="2"/>
  <c r="R1023" i="2"/>
  <c r="R1022" i="2"/>
  <c r="R1021" i="2"/>
  <c r="R1020" i="2"/>
  <c r="R1019" i="2"/>
  <c r="R1018" i="2"/>
  <c r="R1017" i="2"/>
  <c r="R1016" i="2"/>
  <c r="R1015" i="2"/>
  <c r="R1014" i="2"/>
  <c r="R1013" i="2"/>
  <c r="R1012" i="2"/>
  <c r="R1011" i="2"/>
  <c r="R1010" i="2"/>
  <c r="R1009" i="2"/>
  <c r="R1008" i="2"/>
  <c r="R1007" i="2"/>
  <c r="R1006" i="2"/>
  <c r="R1005" i="2"/>
  <c r="R1004" i="2"/>
  <c r="R1003" i="2"/>
  <c r="R1002" i="2"/>
  <c r="R1001" i="2"/>
  <c r="R1000" i="2"/>
  <c r="R999" i="2"/>
  <c r="R998" i="2"/>
  <c r="R997" i="2"/>
  <c r="R996" i="2"/>
  <c r="R995" i="2"/>
  <c r="R994" i="2"/>
  <c r="R993" i="2"/>
  <c r="R992" i="2"/>
  <c r="R991" i="2"/>
  <c r="R990" i="2"/>
  <c r="R989" i="2"/>
  <c r="R988" i="2"/>
  <c r="R987" i="2"/>
  <c r="R986" i="2"/>
  <c r="R985" i="2"/>
  <c r="R984" i="2"/>
  <c r="R983" i="2"/>
  <c r="R982" i="2"/>
  <c r="R981" i="2"/>
  <c r="R980" i="2"/>
  <c r="R979" i="2"/>
  <c r="R978" i="2"/>
  <c r="R977" i="2"/>
  <c r="R976" i="2"/>
  <c r="R975" i="2"/>
  <c r="R974" i="2"/>
  <c r="R973" i="2"/>
  <c r="R972" i="2"/>
  <c r="R971" i="2"/>
  <c r="R970" i="2"/>
  <c r="R969" i="2"/>
  <c r="R968" i="2"/>
  <c r="R967" i="2"/>
  <c r="R966" i="2"/>
  <c r="R965" i="2"/>
  <c r="R964" i="2"/>
  <c r="R963" i="2"/>
  <c r="R962" i="2"/>
  <c r="R961" i="2"/>
  <c r="R960" i="2"/>
  <c r="R959" i="2"/>
  <c r="R958" i="2"/>
  <c r="R957" i="2"/>
  <c r="R956" i="2"/>
  <c r="R955" i="2"/>
  <c r="R954" i="2"/>
  <c r="R953" i="2"/>
  <c r="R952" i="2"/>
  <c r="R951" i="2"/>
  <c r="R950" i="2"/>
  <c r="R949" i="2"/>
  <c r="R948" i="2"/>
  <c r="R947" i="2"/>
  <c r="R946" i="2"/>
  <c r="R945" i="2"/>
  <c r="R944" i="2"/>
  <c r="R943" i="2"/>
  <c r="R942" i="2"/>
  <c r="R941" i="2"/>
  <c r="R940" i="2"/>
  <c r="R939" i="2"/>
  <c r="R938" i="2"/>
  <c r="R937" i="2"/>
  <c r="R936" i="2"/>
  <c r="R935" i="2"/>
  <c r="R934" i="2"/>
  <c r="R933" i="2"/>
  <c r="R932" i="2"/>
  <c r="R931" i="2"/>
  <c r="R930" i="2"/>
  <c r="R929" i="2"/>
  <c r="R928" i="2"/>
  <c r="R927" i="2"/>
  <c r="R926" i="2"/>
  <c r="R925" i="2"/>
  <c r="R924" i="2"/>
  <c r="R923" i="2"/>
  <c r="R922" i="2"/>
  <c r="R921" i="2"/>
  <c r="R920" i="2"/>
  <c r="R919" i="2"/>
  <c r="R918" i="2"/>
  <c r="R917" i="2"/>
  <c r="R916" i="2"/>
  <c r="R915" i="2"/>
  <c r="R914" i="2"/>
  <c r="R913" i="2"/>
  <c r="R912" i="2"/>
  <c r="R911" i="2"/>
  <c r="R910" i="2"/>
  <c r="R909" i="2"/>
  <c r="R908" i="2"/>
  <c r="R907" i="2"/>
  <c r="R906" i="2"/>
  <c r="R905" i="2"/>
  <c r="R904" i="2"/>
  <c r="R903" i="2"/>
  <c r="R902" i="2"/>
  <c r="R901" i="2"/>
  <c r="R900" i="2"/>
  <c r="R899" i="2"/>
  <c r="R898" i="2"/>
  <c r="R897" i="2"/>
  <c r="R896" i="2"/>
  <c r="R895" i="2"/>
  <c r="R894" i="2"/>
  <c r="R893" i="2"/>
  <c r="R892" i="2"/>
  <c r="R891" i="2"/>
  <c r="R890" i="2"/>
  <c r="R889" i="2"/>
  <c r="R888" i="2"/>
  <c r="R887" i="2"/>
  <c r="R886" i="2"/>
  <c r="R885" i="2"/>
  <c r="R884" i="2"/>
  <c r="R883" i="2"/>
  <c r="R882" i="2"/>
  <c r="R881" i="2"/>
  <c r="R880" i="2"/>
  <c r="R879" i="2"/>
  <c r="R878" i="2"/>
  <c r="R877" i="2"/>
  <c r="R876" i="2"/>
  <c r="R875" i="2"/>
  <c r="R874" i="2"/>
  <c r="R873" i="2"/>
  <c r="R872" i="2"/>
  <c r="R871" i="2"/>
  <c r="R870" i="2"/>
  <c r="R869" i="2"/>
  <c r="R868" i="2"/>
  <c r="R867" i="2"/>
  <c r="R866" i="2"/>
  <c r="R865" i="2"/>
  <c r="R864" i="2"/>
  <c r="R863" i="2"/>
  <c r="R862" i="2"/>
  <c r="R861" i="2"/>
  <c r="R860" i="2"/>
  <c r="R859" i="2"/>
  <c r="R858" i="2"/>
  <c r="R857" i="2"/>
  <c r="R856" i="2"/>
  <c r="R855" i="2"/>
  <c r="R854" i="2"/>
  <c r="R853" i="2"/>
  <c r="R852" i="2"/>
  <c r="R851" i="2"/>
  <c r="R850" i="2"/>
  <c r="R849" i="2"/>
  <c r="R848" i="2"/>
  <c r="R847" i="2"/>
  <c r="R846" i="2"/>
  <c r="R845" i="2"/>
  <c r="R844" i="2"/>
  <c r="R843" i="2"/>
  <c r="R842" i="2"/>
  <c r="R841" i="2"/>
  <c r="R840" i="2"/>
  <c r="R839" i="2"/>
  <c r="R838" i="2"/>
  <c r="R837" i="2"/>
  <c r="R836" i="2"/>
  <c r="R835" i="2"/>
  <c r="R834" i="2"/>
  <c r="R833" i="2"/>
  <c r="R832" i="2"/>
  <c r="R831" i="2"/>
  <c r="R830" i="2"/>
  <c r="R829" i="2"/>
  <c r="R828" i="2"/>
  <c r="R827" i="2"/>
  <c r="R826" i="2"/>
  <c r="R825" i="2"/>
  <c r="R824" i="2"/>
  <c r="R823" i="2"/>
  <c r="R822" i="2"/>
  <c r="R821" i="2"/>
  <c r="R820" i="2"/>
  <c r="R819" i="2"/>
  <c r="R818" i="2"/>
  <c r="R817" i="2"/>
  <c r="R816" i="2"/>
  <c r="R815" i="2"/>
  <c r="R814" i="2"/>
  <c r="R813" i="2"/>
  <c r="R812" i="2"/>
  <c r="R811" i="2"/>
  <c r="R810" i="2"/>
  <c r="R809" i="2"/>
  <c r="R808" i="2"/>
  <c r="R807" i="2"/>
  <c r="R806" i="2"/>
  <c r="R805" i="2"/>
  <c r="R804" i="2"/>
  <c r="R803" i="2"/>
  <c r="R802" i="2"/>
  <c r="R801" i="2"/>
  <c r="R800" i="2"/>
  <c r="R799" i="2"/>
  <c r="R798" i="2"/>
  <c r="R797" i="2"/>
  <c r="R796" i="2"/>
  <c r="R795" i="2"/>
  <c r="R794" i="2"/>
  <c r="R793" i="2"/>
  <c r="R792" i="2"/>
  <c r="R791" i="2"/>
  <c r="R790" i="2"/>
  <c r="R789" i="2"/>
  <c r="R788" i="2"/>
  <c r="R787" i="2"/>
  <c r="R786" i="2"/>
  <c r="R785" i="2"/>
  <c r="R784" i="2"/>
  <c r="R783" i="2"/>
  <c r="R782" i="2"/>
  <c r="R781" i="2"/>
  <c r="R780" i="2"/>
  <c r="R779" i="2"/>
  <c r="R778" i="2"/>
  <c r="R777" i="2"/>
  <c r="R776" i="2"/>
  <c r="R775" i="2"/>
  <c r="R774" i="2"/>
  <c r="R773" i="2"/>
  <c r="R772" i="2"/>
  <c r="R771" i="2"/>
  <c r="R770" i="2"/>
  <c r="R769" i="2"/>
  <c r="R768" i="2"/>
  <c r="R767" i="2"/>
  <c r="R766" i="2"/>
  <c r="R765" i="2"/>
  <c r="R764" i="2"/>
  <c r="R763" i="2"/>
  <c r="R762" i="2"/>
  <c r="R761" i="2"/>
  <c r="R760" i="2"/>
  <c r="R759" i="2"/>
  <c r="R758" i="2"/>
  <c r="R757" i="2"/>
  <c r="R756" i="2"/>
  <c r="R755" i="2"/>
  <c r="R754" i="2"/>
  <c r="R753" i="2"/>
  <c r="R752" i="2"/>
  <c r="R751" i="2"/>
  <c r="R750" i="2"/>
  <c r="R749" i="2"/>
  <c r="R748" i="2"/>
  <c r="R747" i="2"/>
  <c r="R746" i="2"/>
  <c r="R745" i="2"/>
  <c r="R744" i="2"/>
  <c r="R743" i="2"/>
  <c r="R742" i="2"/>
  <c r="R741" i="2"/>
  <c r="R740" i="2"/>
  <c r="R739" i="2"/>
  <c r="R738" i="2"/>
  <c r="R737" i="2"/>
  <c r="R736" i="2"/>
  <c r="R735" i="2"/>
  <c r="R734" i="2"/>
  <c r="R733" i="2"/>
  <c r="R732" i="2"/>
  <c r="R731" i="2"/>
  <c r="R730" i="2"/>
  <c r="R729" i="2"/>
  <c r="R728" i="2"/>
  <c r="R727" i="2"/>
  <c r="R726" i="2"/>
  <c r="R725" i="2"/>
  <c r="R724" i="2"/>
  <c r="R723" i="2"/>
  <c r="R722" i="2"/>
  <c r="R721" i="2"/>
  <c r="R720" i="2"/>
  <c r="R719" i="2"/>
  <c r="R718" i="2"/>
  <c r="R717" i="2"/>
  <c r="R716" i="2"/>
  <c r="R715" i="2"/>
  <c r="R714" i="2"/>
  <c r="R713" i="2"/>
  <c r="R712" i="2"/>
  <c r="R711" i="2"/>
  <c r="R710" i="2"/>
  <c r="R709" i="2"/>
  <c r="R708" i="2"/>
  <c r="R707" i="2"/>
  <c r="R706" i="2"/>
  <c r="R705" i="2"/>
  <c r="R704" i="2"/>
  <c r="R703" i="2"/>
  <c r="R702" i="2"/>
  <c r="R701" i="2"/>
  <c r="R700" i="2"/>
  <c r="R699" i="2"/>
  <c r="R698" i="2"/>
  <c r="R697" i="2"/>
  <c r="R696" i="2"/>
  <c r="R695" i="2"/>
  <c r="R694" i="2"/>
  <c r="R693" i="2"/>
  <c r="R692" i="2"/>
  <c r="R691" i="2"/>
  <c r="R690" i="2"/>
  <c r="R689" i="2"/>
  <c r="R688" i="2"/>
  <c r="R687" i="2"/>
  <c r="R686" i="2"/>
  <c r="R685" i="2"/>
  <c r="R684" i="2"/>
  <c r="R683" i="2"/>
  <c r="R682" i="2"/>
  <c r="R681" i="2"/>
  <c r="R680" i="2"/>
  <c r="R679" i="2"/>
  <c r="R678" i="2"/>
  <c r="R677" i="2"/>
  <c r="R676" i="2"/>
  <c r="R675" i="2"/>
  <c r="R674" i="2"/>
  <c r="R673" i="2"/>
  <c r="R672" i="2"/>
  <c r="R671" i="2"/>
  <c r="R670" i="2"/>
  <c r="R669" i="2"/>
  <c r="R668" i="2"/>
  <c r="R667" i="2"/>
  <c r="R666" i="2"/>
  <c r="R665" i="2"/>
  <c r="R664" i="2"/>
  <c r="R663" i="2"/>
  <c r="R662" i="2"/>
  <c r="R661" i="2"/>
  <c r="R660" i="2"/>
  <c r="R659" i="2"/>
  <c r="R658" i="2"/>
  <c r="R657" i="2"/>
  <c r="R656" i="2"/>
  <c r="R655" i="2"/>
  <c r="R654" i="2"/>
  <c r="R653" i="2"/>
  <c r="R652" i="2"/>
  <c r="R651" i="2"/>
  <c r="R650" i="2"/>
  <c r="R649" i="2"/>
  <c r="R648" i="2"/>
  <c r="R647" i="2"/>
  <c r="R646" i="2"/>
  <c r="R645" i="2"/>
  <c r="R644" i="2"/>
  <c r="R643" i="2"/>
  <c r="R642" i="2"/>
  <c r="R641" i="2"/>
  <c r="R640" i="2"/>
  <c r="R639" i="2"/>
  <c r="R638" i="2"/>
  <c r="R637" i="2"/>
  <c r="R636" i="2"/>
  <c r="R635" i="2"/>
  <c r="R634" i="2"/>
  <c r="R633" i="2"/>
  <c r="R632" i="2"/>
  <c r="R631" i="2"/>
  <c r="R630" i="2"/>
  <c r="R629" i="2"/>
  <c r="R628" i="2"/>
  <c r="R627" i="2"/>
  <c r="R626" i="2"/>
  <c r="R625" i="2"/>
  <c r="R624" i="2"/>
  <c r="R623" i="2"/>
  <c r="R622" i="2"/>
  <c r="R621" i="2"/>
  <c r="R620" i="2"/>
  <c r="R619" i="2"/>
  <c r="R618" i="2"/>
  <c r="R617" i="2"/>
  <c r="R616" i="2"/>
  <c r="R615" i="2"/>
  <c r="R614" i="2"/>
  <c r="R613" i="2"/>
  <c r="R612" i="2"/>
  <c r="R611" i="2"/>
  <c r="R610" i="2"/>
  <c r="R609" i="2"/>
  <c r="R608" i="2"/>
  <c r="R607" i="2"/>
  <c r="R606" i="2"/>
  <c r="R605" i="2"/>
  <c r="R604" i="2"/>
  <c r="R603" i="2"/>
  <c r="R602" i="2"/>
  <c r="R601" i="2"/>
  <c r="R600" i="2"/>
  <c r="R599" i="2"/>
  <c r="R598" i="2"/>
  <c r="R597" i="2"/>
  <c r="R596" i="2"/>
  <c r="R595" i="2"/>
  <c r="R594" i="2"/>
  <c r="R593" i="2"/>
  <c r="R592" i="2"/>
  <c r="R591" i="2"/>
  <c r="R590" i="2"/>
  <c r="R589" i="2"/>
  <c r="R588" i="2"/>
  <c r="R587" i="2"/>
  <c r="R586" i="2"/>
  <c r="R585" i="2"/>
  <c r="R584" i="2"/>
  <c r="R583" i="2"/>
  <c r="R582" i="2"/>
  <c r="R581" i="2"/>
  <c r="R580" i="2"/>
  <c r="R579" i="2"/>
  <c r="R578" i="2"/>
  <c r="R577" i="2"/>
  <c r="R576" i="2"/>
  <c r="R575" i="2"/>
  <c r="R574" i="2"/>
  <c r="R573" i="2"/>
  <c r="R572" i="2"/>
  <c r="R571" i="2"/>
  <c r="R570" i="2"/>
  <c r="R569" i="2"/>
  <c r="R568" i="2"/>
  <c r="R567" i="2"/>
  <c r="R566" i="2"/>
  <c r="R565" i="2"/>
  <c r="R564" i="2"/>
  <c r="R563" i="2"/>
  <c r="R562" i="2"/>
  <c r="R561" i="2"/>
  <c r="R560" i="2"/>
  <c r="R559" i="2"/>
  <c r="R558" i="2"/>
  <c r="R557" i="2"/>
  <c r="R556" i="2"/>
  <c r="R555" i="2"/>
  <c r="R554" i="2"/>
  <c r="R553" i="2"/>
  <c r="R552" i="2"/>
  <c r="R551" i="2"/>
  <c r="R550" i="2"/>
  <c r="R549" i="2"/>
  <c r="R548" i="2"/>
  <c r="R547" i="2"/>
  <c r="R546" i="2"/>
  <c r="R545" i="2"/>
  <c r="R544" i="2"/>
  <c r="R543" i="2"/>
  <c r="R542" i="2"/>
  <c r="R541" i="2"/>
  <c r="R540" i="2"/>
  <c r="R539" i="2"/>
  <c r="R538" i="2"/>
  <c r="R537" i="2"/>
  <c r="R536" i="2"/>
  <c r="R535" i="2"/>
  <c r="R534" i="2"/>
  <c r="R533" i="2"/>
  <c r="R532" i="2"/>
  <c r="R531" i="2"/>
  <c r="R530" i="2"/>
  <c r="R529" i="2"/>
  <c r="R528" i="2"/>
  <c r="R527" i="2"/>
  <c r="R526" i="2"/>
  <c r="R525" i="2"/>
  <c r="R524" i="2"/>
  <c r="R523" i="2"/>
  <c r="R522" i="2"/>
  <c r="R521" i="2"/>
  <c r="R520" i="2"/>
  <c r="R519" i="2"/>
  <c r="R518" i="2"/>
  <c r="R517" i="2"/>
  <c r="R516" i="2"/>
  <c r="R515" i="2"/>
  <c r="R514" i="2"/>
  <c r="R513" i="2"/>
  <c r="R512" i="2"/>
  <c r="R511" i="2"/>
  <c r="R510" i="2"/>
  <c r="R509" i="2"/>
  <c r="R508" i="2"/>
  <c r="R507" i="2"/>
  <c r="R506" i="2"/>
  <c r="R505" i="2"/>
  <c r="R504" i="2"/>
  <c r="R503" i="2"/>
  <c r="R502" i="2"/>
  <c r="R501" i="2"/>
  <c r="R500" i="2"/>
  <c r="R499" i="2"/>
  <c r="R498" i="2"/>
  <c r="R497" i="2"/>
  <c r="R496" i="2"/>
  <c r="R495" i="2"/>
  <c r="R494" i="2"/>
  <c r="R493" i="2"/>
  <c r="R492" i="2"/>
  <c r="R491" i="2"/>
  <c r="R490" i="2"/>
  <c r="R489" i="2"/>
  <c r="R488" i="2"/>
  <c r="R487" i="2"/>
  <c r="R486" i="2"/>
  <c r="R485" i="2"/>
  <c r="R484" i="2"/>
  <c r="R483" i="2"/>
  <c r="R482" i="2"/>
  <c r="R481" i="2"/>
  <c r="R480" i="2"/>
  <c r="R479" i="2"/>
  <c r="R478" i="2"/>
  <c r="R477" i="2"/>
  <c r="R476" i="2"/>
  <c r="R475" i="2"/>
  <c r="R474" i="2"/>
  <c r="R473" i="2"/>
  <c r="R472" i="2"/>
  <c r="R471" i="2"/>
  <c r="R470" i="2"/>
  <c r="R469" i="2"/>
  <c r="R468" i="2"/>
  <c r="R467" i="2"/>
  <c r="R466" i="2"/>
  <c r="R465" i="2"/>
  <c r="R464" i="2"/>
  <c r="R463" i="2"/>
  <c r="R462" i="2"/>
  <c r="R461" i="2"/>
  <c r="R460" i="2"/>
  <c r="R459" i="2"/>
  <c r="R458" i="2"/>
  <c r="R457" i="2"/>
  <c r="R456" i="2"/>
  <c r="R455" i="2"/>
  <c r="R454" i="2"/>
  <c r="R453" i="2"/>
  <c r="R452" i="2"/>
  <c r="R451" i="2"/>
  <c r="R450" i="2"/>
  <c r="R449" i="2"/>
  <c r="R448" i="2"/>
  <c r="R447" i="2"/>
  <c r="R446" i="2"/>
  <c r="R445" i="2"/>
  <c r="R444" i="2"/>
  <c r="R443" i="2"/>
  <c r="R442" i="2"/>
  <c r="R441" i="2"/>
  <c r="R440" i="2"/>
  <c r="R439" i="2"/>
  <c r="R438" i="2"/>
  <c r="R437" i="2"/>
  <c r="R436" i="2"/>
  <c r="R435" i="2"/>
  <c r="R434" i="2"/>
  <c r="R433" i="2"/>
  <c r="R432" i="2"/>
  <c r="R431" i="2"/>
  <c r="R430" i="2"/>
  <c r="R429" i="2"/>
  <c r="R428" i="2"/>
  <c r="R427" i="2"/>
  <c r="R426" i="2"/>
  <c r="R425" i="2"/>
  <c r="R424" i="2"/>
  <c r="R423" i="2"/>
  <c r="R422" i="2"/>
  <c r="R421" i="2"/>
  <c r="R420" i="2"/>
  <c r="R419" i="2"/>
  <c r="R418" i="2"/>
  <c r="R417" i="2"/>
  <c r="R416" i="2"/>
  <c r="R415" i="2"/>
  <c r="R414" i="2"/>
  <c r="R413" i="2"/>
  <c r="R412" i="2"/>
  <c r="R411" i="2"/>
  <c r="R410" i="2"/>
  <c r="R409" i="2"/>
  <c r="R408" i="2"/>
  <c r="R407" i="2"/>
  <c r="R406" i="2"/>
  <c r="R405" i="2"/>
  <c r="R404" i="2"/>
  <c r="R403" i="2"/>
  <c r="R402" i="2"/>
  <c r="R401" i="2"/>
  <c r="R400" i="2"/>
  <c r="R399" i="2"/>
  <c r="R398" i="2"/>
  <c r="R397" i="2"/>
  <c r="R396" i="2"/>
  <c r="R395" i="2"/>
  <c r="R394" i="2"/>
  <c r="R393" i="2"/>
  <c r="R392" i="2"/>
  <c r="R391" i="2"/>
  <c r="R390" i="2"/>
  <c r="R389" i="2"/>
  <c r="R388" i="2"/>
  <c r="R387" i="2"/>
  <c r="R386" i="2"/>
  <c r="R385" i="2"/>
  <c r="R384" i="2"/>
  <c r="R383" i="2"/>
  <c r="R382" i="2"/>
  <c r="R381" i="2"/>
  <c r="R380" i="2"/>
  <c r="R379" i="2"/>
  <c r="R378" i="2"/>
  <c r="R377" i="2"/>
  <c r="R376" i="2"/>
  <c r="R375" i="2"/>
  <c r="R374" i="2"/>
  <c r="R373" i="2"/>
  <c r="R372" i="2"/>
  <c r="R371" i="2"/>
  <c r="R370" i="2"/>
  <c r="R369" i="2"/>
  <c r="R368" i="2"/>
  <c r="R367" i="2"/>
  <c r="R366" i="2"/>
  <c r="R365" i="2"/>
  <c r="R364" i="2"/>
  <c r="R363" i="2"/>
  <c r="R362" i="2"/>
  <c r="R361" i="2"/>
  <c r="R360" i="2"/>
  <c r="R359" i="2"/>
  <c r="R358"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F16" i="4" l="1" a="1"/>
  <c r="F16" i="4" s="1"/>
  <c r="F17" i="4" a="1"/>
  <c r="F17" i="4" s="1"/>
  <c r="F28" i="4" a="1"/>
  <c r="F28" i="4" s="1"/>
  <c r="F64" i="4" a="1"/>
  <c r="F64" i="4" s="1"/>
  <c r="F65" i="4" a="1"/>
  <c r="F65" i="4" s="1"/>
  <c r="G12" i="4"/>
  <c r="G24" i="4"/>
  <c r="G25" i="4"/>
  <c r="G13" i="4"/>
  <c r="G36" i="4"/>
  <c r="F29" i="4" a="1"/>
  <c r="F29" i="4" s="1"/>
  <c r="G48" i="4"/>
  <c r="F41" i="4" a="1"/>
  <c r="F41" i="4" s="1"/>
  <c r="G49" i="4"/>
  <c r="G37" i="4"/>
  <c r="F52" i="4" a="1"/>
  <c r="F52" i="4" s="1"/>
  <c r="G60" i="4"/>
  <c r="F40" i="4" a="1"/>
  <c r="F40" i="4" s="1"/>
  <c r="F53" i="4" a="1"/>
  <c r="F53" i="4" s="1"/>
  <c r="G61" i="4"/>
  <c r="F31" i="4" a="1"/>
  <c r="F31" i="4" s="1"/>
  <c r="F55" i="4" a="1"/>
  <c r="F55" i="4" s="1"/>
  <c r="G15" i="4"/>
  <c r="G51" i="4"/>
  <c r="F20" i="4" a="1"/>
  <c r="F20" i="4" s="1"/>
  <c r="F44" i="4" a="1"/>
  <c r="F44" i="4" s="1"/>
  <c r="F68" i="4" a="1"/>
  <c r="F68" i="4" s="1"/>
  <c r="G52" i="4"/>
  <c r="F21" i="4" a="1"/>
  <c r="F21" i="4" s="1"/>
  <c r="F57" i="4" a="1"/>
  <c r="F57" i="4" s="1"/>
  <c r="G17" i="4"/>
  <c r="G65" i="4"/>
  <c r="F10" i="4" a="1"/>
  <c r="F10" i="4" s="1"/>
  <c r="F34" i="4" a="1"/>
  <c r="F34" i="4" s="1"/>
  <c r="F58" i="4" a="1"/>
  <c r="F58" i="4" s="1"/>
  <c r="G18" i="4"/>
  <c r="G66" i="4"/>
  <c r="F47" i="4" a="1"/>
  <c r="F47" i="4" s="1"/>
  <c r="F71" i="4" a="1"/>
  <c r="F71" i="4" s="1"/>
  <c r="G67" i="4"/>
  <c r="F12" i="4" a="1"/>
  <c r="F12" i="4" s="1"/>
  <c r="F24" i="4" a="1"/>
  <c r="F24" i="4" s="1"/>
  <c r="F36" i="4" a="1"/>
  <c r="F36" i="4" s="1"/>
  <c r="F48" i="4" a="1"/>
  <c r="F48" i="4" s="1"/>
  <c r="F60" i="4" a="1"/>
  <c r="F60" i="4" s="1"/>
  <c r="G8" i="4"/>
  <c r="G20" i="4"/>
  <c r="G32" i="4"/>
  <c r="G44" i="4"/>
  <c r="G56" i="4"/>
  <c r="G68" i="4"/>
  <c r="F30" i="4" a="1"/>
  <c r="F30" i="4" s="1"/>
  <c r="G38" i="4"/>
  <c r="G27" i="4"/>
  <c r="G28" i="4"/>
  <c r="G29" i="4"/>
  <c r="G30" i="4"/>
  <c r="F11" i="4" a="1"/>
  <c r="F11" i="4" s="1"/>
  <c r="G43" i="4"/>
  <c r="F13" i="4" a="1"/>
  <c r="F13" i="4" s="1"/>
  <c r="F25" i="4" a="1"/>
  <c r="F25" i="4" s="1"/>
  <c r="F37" i="4" a="1"/>
  <c r="F37" i="4" s="1"/>
  <c r="F49" i="4" a="1"/>
  <c r="F49" i="4" s="1"/>
  <c r="F61" i="4" a="1"/>
  <c r="F61" i="4" s="1"/>
  <c r="G9" i="4"/>
  <c r="G21" i="4"/>
  <c r="G33" i="4"/>
  <c r="G45" i="4"/>
  <c r="G57" i="4"/>
  <c r="G69" i="4"/>
  <c r="F42" i="4" a="1"/>
  <c r="F42" i="4" s="1"/>
  <c r="F66" i="4" a="1"/>
  <c r="F66" i="4" s="1"/>
  <c r="G14" i="4"/>
  <c r="G26" i="4"/>
  <c r="G62" i="4"/>
  <c r="G39" i="4"/>
  <c r="G40" i="4"/>
  <c r="F33" i="4" a="1"/>
  <c r="F33" i="4" s="1"/>
  <c r="G41" i="4"/>
  <c r="G42" i="4"/>
  <c r="F23" i="4" a="1"/>
  <c r="F23" i="4" s="1"/>
  <c r="G31" i="4"/>
  <c r="F14" i="4" a="1"/>
  <c r="F14" i="4" s="1"/>
  <c r="F26" i="4" a="1"/>
  <c r="F26" i="4" s="1"/>
  <c r="F38" i="4" a="1"/>
  <c r="F38" i="4" s="1"/>
  <c r="F50" i="4" a="1"/>
  <c r="F50" i="4" s="1"/>
  <c r="F62" i="4" a="1"/>
  <c r="F62" i="4" s="1"/>
  <c r="G10" i="4"/>
  <c r="G22" i="4"/>
  <c r="G34" i="4"/>
  <c r="G46" i="4"/>
  <c r="G58" i="4"/>
  <c r="G70" i="4"/>
  <c r="F18" i="4" a="1"/>
  <c r="F18" i="4" s="1"/>
  <c r="F54" i="4" a="1"/>
  <c r="F54" i="4" s="1"/>
  <c r="G50" i="4"/>
  <c r="F19" i="4" a="1"/>
  <c r="F19" i="4" s="1"/>
  <c r="F43" i="4" a="1"/>
  <c r="F43" i="4" s="1"/>
  <c r="F67" i="4" a="1"/>
  <c r="F67" i="4" s="1"/>
  <c r="G63" i="4"/>
  <c r="F32" i="4" a="1"/>
  <c r="F32" i="4" s="1"/>
  <c r="F56" i="4" a="1"/>
  <c r="F56" i="4" s="1"/>
  <c r="G16" i="4"/>
  <c r="G64" i="4"/>
  <c r="F9" i="4" a="1"/>
  <c r="F9" i="4" s="1"/>
  <c r="F45" i="4" a="1"/>
  <c r="F45" i="4" s="1"/>
  <c r="F69" i="4" a="1"/>
  <c r="F69" i="4" s="1"/>
  <c r="G53" i="4"/>
  <c r="F22" i="4" a="1"/>
  <c r="F22" i="4" s="1"/>
  <c r="F46" i="4" a="1"/>
  <c r="F46" i="4" s="1"/>
  <c r="F70" i="4" a="1"/>
  <c r="F70" i="4" s="1"/>
  <c r="G54" i="4"/>
  <c r="F35" i="4" a="1"/>
  <c r="F35" i="4" s="1"/>
  <c r="F59" i="4" a="1"/>
  <c r="F59" i="4" s="1"/>
  <c r="G19" i="4"/>
  <c r="G55" i="4"/>
  <c r="F15" i="4" a="1"/>
  <c r="F15" i="4" s="1"/>
  <c r="F27" i="4" a="1"/>
  <c r="F27" i="4" s="1"/>
  <c r="F39" i="4" a="1"/>
  <c r="F39" i="4" s="1"/>
  <c r="F51" i="4" a="1"/>
  <c r="F51" i="4" s="1"/>
  <c r="F63" i="4" a="1"/>
  <c r="F63" i="4" s="1"/>
  <c r="G11" i="4"/>
  <c r="G23" i="4"/>
  <c r="G35" i="4"/>
  <c r="G47" i="4"/>
  <c r="G59" i="4"/>
  <c r="G71"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<sst xmlns="http://schemas.openxmlformats.org/spreadsheetml/2006/main" count="184904" uniqueCount="34622">
  <si>
    <t>Downloaded on:</t>
  </si>
  <si>
    <t>Created for:</t>
  </si>
  <si>
    <t>Joao Pedro Moraes, GEF Capital Partners</t>
  </si>
  <si>
    <t>Search Link:</t>
  </si>
  <si>
    <t>https://my.pitchbook.com/?pcc=1193632-21</t>
  </si>
  <si>
    <t>Search Criteria:</t>
  </si>
  <si>
    <t xml:space="preserve">Deal Date: From: 01-Jan-2010; To: 06-Jan-2025; Deal Option: Search on a full transaction; Deal Types: All Buyout Types; Other Private Equity Types; All VC Stages; All Round Numbers; All Series; M&amp;A/Control Transactions; Non-Control Transactions; Public Investments; Location: Americas &gt; South America &gt; Brazil; Industries: Consumer Products and Services (B2C); Energy; Financial Services; Information Technology; Materials and Resources; Search Primary Industry Only; Keywords: health care; real estate; Verticals: Industrials; Search Industries OR Keywords OR Verticals; </t>
  </si>
  <si>
    <t>Search Result Columns</t>
  </si>
  <si>
    <t>Deal ID</t>
  </si>
  <si>
    <t>Companies</t>
  </si>
  <si>
    <t>Implied EV/EBITDA</t>
  </si>
  <si>
    <t>Description</t>
  </si>
  <si>
    <t>EBIT</t>
  </si>
  <si>
    <t>Implied EV</t>
  </si>
  <si>
    <t>Deal Size</t>
  </si>
  <si>
    <t>Post Valuation</t>
  </si>
  <si>
    <t>EBITDA</t>
  </si>
  <si>
    <t>Valuation/EBITDA</t>
  </si>
  <si>
    <t>Revenue</t>
  </si>
  <si>
    <t>Valuation/Revenue</t>
  </si>
  <si>
    <t>Net Income</t>
  </si>
  <si>
    <t>Deal Date</t>
  </si>
  <si>
    <t>Deal Type</t>
  </si>
  <si>
    <t>Investors</t>
  </si>
  <si>
    <t>Primary Industry Code</t>
  </si>
  <si>
    <t>View Company Online</t>
  </si>
  <si>
    <t>281500-03T</t>
  </si>
  <si>
    <t>GXS Empreendimentos Turísticos</t>
  </si>
  <si>
    <t/>
  </si>
  <si>
    <t>Operator of the resort based in Governador Celso Ramos, Brazil. The company offers a private peninsula surrounded by a fishing village, a spa by sisley, and motorboat ride, a luxury beach resort, gastronomy, romantic destinations and a luxury hotel.</t>
  </si>
  <si>
    <t>Merger/Acquisition</t>
  </si>
  <si>
    <t>Group Faro Verde</t>
  </si>
  <si>
    <t>Hotels and Resorts</t>
  </si>
  <si>
    <t>288162-46T</t>
  </si>
  <si>
    <t>TaskDO</t>
  </si>
  <si>
    <t>Developer of an accounting routine control platform designed to visualize and control accounting management processes. The company's platform monitors, checks, and finalizes tax and accounting deliveries directly, with automatic protocol for sending files and information, and team performance indicators, enabling clients to save time, and simplify the checking of documents.</t>
  </si>
  <si>
    <t>Invent Software(Marcos Junior)</t>
  </si>
  <si>
    <t>Financial Software</t>
  </si>
  <si>
    <t>281504-35T</t>
  </si>
  <si>
    <t>IMEPAC</t>
  </si>
  <si>
    <t>Operator of a higher education institution based in Araguari, Brazil. The company offers teaching methodologies, including simulations, real-world projects, and partnerships with leading institutions like Harvard Medical School, enabling students to acquire in-demand skills and launch successful careers in various fields.</t>
  </si>
  <si>
    <t>Buyout/LBO</t>
  </si>
  <si>
    <t>Clariens Educação</t>
  </si>
  <si>
    <t>Educational and Training Services (B2C)</t>
  </si>
  <si>
    <t>300848-32T</t>
  </si>
  <si>
    <t>APEXzymes</t>
  </si>
  <si>
    <t>Developer of enzyme production technology designed to make high-performance enzymes affordable and accessible through genetic engineering and fermentation. The company offers advanced enzyme formulations optimized for cost-efficiency and scalability, enabling biofuel producers and animal nutrition providers to improve sustainability, reduce expenses, and increase operational viability.</t>
  </si>
  <si>
    <t>Grant</t>
  </si>
  <si>
    <t>Biotechnology</t>
  </si>
  <si>
    <t>294761-17T</t>
  </si>
  <si>
    <t>Aqualuffa</t>
  </si>
  <si>
    <t>Operator of a sustainable development company intended to reduce major environmental problems. The company offers cooling fluid for their processes or washing tanks to produce large volumes of oily water as waste, increasing the availability of oxygen in bodies of water, enabling people to live a healthy life.</t>
  </si>
  <si>
    <t>Accelerator/Incubator</t>
  </si>
  <si>
    <t>Startupbootcamp</t>
  </si>
  <si>
    <t>Other Energy Services</t>
  </si>
  <si>
    <t>283849-12T</t>
  </si>
  <si>
    <t>Banco Safra</t>
  </si>
  <si>
    <t>Provider of commercial banking products and services in Sao Paulo, Brazil. The company offers checking accounts, credit, insurance and other related products through physical banking and mobile app, enabling individuals and businesses to meet their financial goals.</t>
  </si>
  <si>
    <t>Corporate</t>
  </si>
  <si>
    <t>National Banks</t>
  </si>
  <si>
    <t>284914-36T</t>
  </si>
  <si>
    <t>Baovale</t>
  </si>
  <si>
    <t>Operator of an iron ore project based in Rio Piracicaba, Brazil.</t>
  </si>
  <si>
    <t>Vale (Multi-line Mining) (BVMF: VALE3)</t>
  </si>
  <si>
    <t>Iron and Steel Mining</t>
  </si>
  <si>
    <t>297901-27T</t>
  </si>
  <si>
    <t>C.Vale</t>
  </si>
  <si>
    <t>Operator of an agro-industrial cooperative company intended to specialize in agricultural production, processing, and member support services. The company encompasses integrated crop and livestock production, veterinary and agronomic consulting, agricultural financing, input resale, seed production, food processing, and retail operations, enabling cooperative members to access technology updates, competitive input pricing, credit for smallholders, and industrial-scale processing infrastructure that supports productivity and market access.</t>
  </si>
  <si>
    <t>BRDE Labs</t>
  </si>
  <si>
    <t>Cultivation</t>
  </si>
  <si>
    <t>282760-66T</t>
  </si>
  <si>
    <t>DexLabs</t>
  </si>
  <si>
    <t>Developer of data transformation technology designed to make data engineering scalable and solve the data problem of modern organizations. The company specializes in automating manual and repetitive tasks, delivering data alternatives, and simplifying the interactions between technical and non-technical teams, enabling clients to get quality information with minimal costs and maintenance.</t>
  </si>
  <si>
    <t>Early Stage VC</t>
  </si>
  <si>
    <t>BluStone, The MBA Fund</t>
  </si>
  <si>
    <t>Business/Productivity Software</t>
  </si>
  <si>
    <t>285704-92T</t>
  </si>
  <si>
    <t>Glim (Business/Productivity Software)</t>
  </si>
  <si>
    <t>Developer of a digital platform designed to send, engage and build loyalty. The company offers to accelerate the sales and hiring funnel by sending out freebies and promotional materials that truly connect, enabling sales, marketing and human resources teams to create true connections with their target audiences.</t>
  </si>
  <si>
    <t>Later Stage VC</t>
  </si>
  <si>
    <t>StaminaVC</t>
  </si>
  <si>
    <t>282620-71T</t>
  </si>
  <si>
    <t>Gringo</t>
  </si>
  <si>
    <t>Developer of a car management application designed to ease the process of buying, selling, financing, and insuring the car. The company's application offers real-time alerts on fines, annual taxes, points, and license expiration, enabling drivers to monitor or perform services related to their vehicle documents.</t>
  </si>
  <si>
    <t>Corpay (NYS: CPAY)(Ronald Clarke)</t>
  </si>
  <si>
    <t>Automotive</t>
  </si>
  <si>
    <t>285509-62T</t>
  </si>
  <si>
    <t>Hubii</t>
  </si>
  <si>
    <t>Developer of a data integration and supply chain management software designed to democratize and empower small e-commerce businesses. The company's software specializes in connecting, democratizing and including small retailers in the e-commerce and major digital sales channels of brands turning them into distribution points, enabling clients to increase their sales, offer delivery services to their customers and improve the online shopping experience.</t>
  </si>
  <si>
    <t>Unleashed Accelerator</t>
  </si>
  <si>
    <t>281175-76T</t>
  </si>
  <si>
    <t>Instituto Ling</t>
  </si>
  <si>
    <t>Operator of the education and cultural organization is based in Porto Alegre, Brazil. The company specializes in scholarship programs, including a cultural center, art and culture gallery, online programs, post-graduate scholarship programs, and undergraduate scholarship programs, thereby providing education scholarships to young talents.</t>
  </si>
  <si>
    <t>PE Growth/Expansion</t>
  </si>
  <si>
    <t>Terramar Investimentos</t>
  </si>
  <si>
    <t>Other Services (B2C Non-Financial)</t>
  </si>
  <si>
    <t>284848-12T</t>
  </si>
  <si>
    <t>Liora Energia</t>
  </si>
  <si>
    <t>Provider of energy technology services intended to facilitate renewable energy transactions for consumers and businesses. The company provides tools for solar integrators, retailers, energy managers, and other partners to streamline sales processes, proposal generation, and real-time sales management, along with customizable energy offerings, enabling clients ranging from entrepreneurs to large enterprises to participate in the renewable energy market while seeking potential cost savings.</t>
  </si>
  <si>
    <t>Seed Round</t>
  </si>
  <si>
    <t>17Sigma, 468 Capital(Diogo Cunha), Canary (Brazil)</t>
  </si>
  <si>
    <t>301923-73T</t>
  </si>
  <si>
    <t>Liquidz</t>
  </si>
  <si>
    <t>Producer of electrolyte supplement powder intended to fulfill the hydration needs of users. The company offers a variety of flavoured electrolyte powder based on scientific research, which consists of essential nutrients, sugar-free, without artificial colors, non-gluten, no artificial flavors, no artificial sweeteners powder and subscription-based delivery, enabling users to receive the product on the way with no shipping charges and gifts.</t>
  </si>
  <si>
    <t>FJ Labs</t>
  </si>
  <si>
    <t>Beverages</t>
  </si>
  <si>
    <t>297953-29T</t>
  </si>
  <si>
    <t>LojasMM</t>
  </si>
  <si>
    <t>Operator of consumer goods retail networks intended for domestic, recreational, and personal use. The company offers a range of products including household furnishings, large and small appliances, electronics, leisure and sports equipment, textiles, toys, and pet supplies, enabling customers to access diverse merchandise categories with integrated in-store and online purchasing, human-centered customer service, and digital services.</t>
  </si>
  <si>
    <t>Department Stores</t>
  </si>
  <si>
    <t>267355-45T</t>
  </si>
  <si>
    <t>Magisat</t>
  </si>
  <si>
    <t>Operator of a mempool marketplace platform intended for the Bitcoin network. The company tool offers a marketplace based on partially signed Bitcoin transactions for buying and selling digital diamonds, enabling users to discover, collect, and invest in the future of Bitcoin.</t>
  </si>
  <si>
    <t>MCMA Ventures, UTXO Management, viden.vc</t>
  </si>
  <si>
    <t>Other Financial Services</t>
  </si>
  <si>
    <t>294723-37T</t>
  </si>
  <si>
    <t>Makasí</t>
  </si>
  <si>
    <t>Developer of real estate platform designed for home financing and construction. The company specializes in mitigating the difficulties in obtaining loans from big banks and credit management by helping customers obtain funds from partner institutions, enabling clients to build their own houses in less time and finance with low-risk collateral.</t>
  </si>
  <si>
    <t>RBR Asset Management (BVMF: RBRL11)</t>
  </si>
  <si>
    <t>Real Estate Services (B2C)</t>
  </si>
  <si>
    <t>281515-87T</t>
  </si>
  <si>
    <t>Ouvi</t>
  </si>
  <si>
    <t>Developer of a retail management platform intended to manage mobile vouchers and track the real results of their campaigns. The company's process includes communication with customers, requesting and receiving a voucher, validating vouchers and monitoring the campaign, enabling customers to get discounts, and helping retailers manage vouchers and track the real results of their campaigns.</t>
  </si>
  <si>
    <t>Leonora Ventures</t>
  </si>
  <si>
    <t>270144-37T</t>
  </si>
  <si>
    <t>Pipo Saúde Tecnologia Consultoria E Corretagem De Seguros</t>
  </si>
  <si>
    <t>Operator of a health benefits platform intended to help employers and users make decisions that suit their health needs. The company's platform offers recommendations for healthcare products that fit the needs of a company and its employees, enabling businesses to buy and manage healthcare plans and improve the quality of life of their employees.</t>
  </si>
  <si>
    <t>BDev Ventures, Endeavor Promessas</t>
  </si>
  <si>
    <t>Other Healthcare Services</t>
  </si>
  <si>
    <t>285720-22T</t>
  </si>
  <si>
    <t>Prax Analytics</t>
  </si>
  <si>
    <t>Developer of an e-commerce data analytics software designed for businesses to make data-driven decisions quickly. The company's software provides a dashboard that consolidates data from different platforms which includes modules for finance, sales, customer behavior, and marketing and also offers automatic reports delivered via email, enabling businesses to optimize their marketing strategies and increase sales by offering detailed analysis of metrics.</t>
  </si>
  <si>
    <t>296750-26T</t>
  </si>
  <si>
    <t>Solo Snacks</t>
  </si>
  <si>
    <t>Operator of a snacks brand intended to offer fruit-based chips and candies. The company provides a range of healthy snacks, including dried Mango, dried Bananas, dried Pineapples and baked potato and bana chips and crips, enabling customers to get fruit-based snacking options online.</t>
  </si>
  <si>
    <t>Moriah Asset</t>
  </si>
  <si>
    <t>Food Products</t>
  </si>
  <si>
    <t>283684-51T</t>
  </si>
  <si>
    <t>Taya</t>
  </si>
  <si>
    <t>Developer of a multi-product credit platform designed to facilitate asset origination. The company's platform offers an application programming interface, and investment funds, and tokenizes different classes of assets for digital trading, enabling investors to increase return on investment.</t>
  </si>
  <si>
    <t>Canary (Brazil)</t>
  </si>
  <si>
    <t>281443-87T</t>
  </si>
  <si>
    <t>Vlepo</t>
  </si>
  <si>
    <t>Developer of a pricing platform designed for price management. The company's platform specializes in providing pricing analytics, strategic insights, and data-driven recommendations, enabling businesses to improve the pricing of products and services.</t>
  </si>
  <si>
    <t>281029-42T</t>
  </si>
  <si>
    <t>Caju</t>
  </si>
  <si>
    <t>Developer of an employee benefits tracking platform intended to help employees adjust their benefits according to their needs and company rules. The company's platform provides benefit cards and tracks all the benefits and vouchers provided to employees and teams through its application, enabling companies and employees to track all their rewards.</t>
  </si>
  <si>
    <t>Muralha Capital</t>
  </si>
  <si>
    <t>281002-51T</t>
  </si>
  <si>
    <t>CERC</t>
  </si>
  <si>
    <t>Developer of financial market infrastructure designed to increase the security and efficiency in the use of receivables. The company leverages data analysis, access tools, and safe data storage and provides answers to uncertainties concerning valuation, formalization, and financial flow control, enabling clients to optimize the efficiency of credit operations.</t>
  </si>
  <si>
    <t>Serasa Experian</t>
  </si>
  <si>
    <t>285516-01T</t>
  </si>
  <si>
    <t>Imovelp</t>
  </si>
  <si>
    <t>Operator of a real estate digital platform intended to accelerate the sale of properties. The company's platform connects property owners and construction companies to brokers and also offers marketing of properties, and document analysis, enabling property owners to sell or rent properties faster and brokers to have easy access to owner data.</t>
  </si>
  <si>
    <t>Bossa Invest, Raja Ventures, Startup SC</t>
  </si>
  <si>
    <t>281014-57T</t>
  </si>
  <si>
    <t>Nvni Group (NAS: NVNI)</t>
  </si>
  <si>
    <t>Nvni Group Ltd is a holding company that conducts all of its business through Nuvini SA and Nuvini acquired companies. Nuvini S.A. acquires and operates software companies within SaaS markets in Brazil. Nuvini S.A. is the private serial software business acquirer in Brazil and intends to use funding and capital markets access to continue expanding its acquisition plans in Brazil and Latin America. The Company has determined that it has a single operating and reportable segment which is multi-vertical SaaS solution model.</t>
  </si>
  <si>
    <t>PIPE</t>
  </si>
  <si>
    <t>Holding Companies</t>
  </si>
  <si>
    <t>297766-09T</t>
  </si>
  <si>
    <t>Yank Solutions</t>
  </si>
  <si>
    <t>Developer of an automation process software intended for the digital transformation of businesses. The company's software offers services in data analytics and RPA, enabling clients to improve their performance while reducing costs and mitigating errors.</t>
  </si>
  <si>
    <t>Lecom Tecnologia(Tiago Amôr)</t>
  </si>
  <si>
    <t>274106-26T</t>
  </si>
  <si>
    <t>Bloomin' Brands (Brazilian Operations)</t>
  </si>
  <si>
    <t>Operator of a chain of restaurants based in Brazil. The company offers a variety of meal options for lunch and dinner via online delivery.</t>
  </si>
  <si>
    <t>Vinci Compass Investments (NAS: VINP)</t>
  </si>
  <si>
    <t>Restaurants and Bars</t>
  </si>
  <si>
    <t>281342-89T</t>
  </si>
  <si>
    <t>Btg Pactual Real Estate Hedge Fund Fii (BVMF: BTHF11)</t>
  </si>
  <si>
    <t>Btg Pactual Real Estate Hedge Fund Fii - Fundo De Invest Imob Resp Ltd is a Real estate investment fund.</t>
  </si>
  <si>
    <t>IPO</t>
  </si>
  <si>
    <t>Real Estate Investment Trusts (REITs)</t>
  </si>
  <si>
    <t>276891-76T</t>
  </si>
  <si>
    <t>Carecode (Business/Productivity Software)</t>
  </si>
  <si>
    <t>Developer of a conversational artificial intelligence (AI) platform designed to strengthen brands, enhance customer experience and maximize operational and clinical outcomes. The company's platform automates scheduling appointments and exams, sending reminders, confirmations, quotes, ASO searches and follow-ups, ensuring agile, consistent and personalized interactions, allowing medical providers to deliver tailored care and offer improved patient financing.</t>
  </si>
  <si>
    <t>Andreessen Horowitz(Marc Andreessen), Assaf Wand(Assaf Wand), Brave Capital (San Francisco), Carlos de Barros(Carlos de Barros), Creditas Soluções Financeiras, David Vélez(David Vélez), Deli Matsuo(Deli Matsuo), Endeavor Miami, Endeavor Promessas, Eugene Zagottis(Eugene Zagottis), Federico Vega(Federico Vega), GRPQA, Josué de Alencar(Josué de Alencar), Juan Vergara(Juan Vergara), K50 Ventures, KDX Ventures, Latitud, Luiz Nascimento(Luiz Nascimento), Mike Dixon(Mike Dixon), Pedro Faria(Pedro Faria), QED Investors(Camila Vieira Fernandes), Randal Zanetti(Randal Zanetti)</t>
  </si>
  <si>
    <t>281589-76T</t>
  </si>
  <si>
    <t>Compass Group (Two Power Transmission Assets In Brazil)</t>
  </si>
  <si>
    <t>The two power transmission plants are located in Brazil.</t>
  </si>
  <si>
    <t>Actis</t>
  </si>
  <si>
    <t>Other Energy</t>
  </si>
  <si>
    <t>280943-47T</t>
  </si>
  <si>
    <t>De Caprio Seguros</t>
  </si>
  <si>
    <t>Provider of insurance and risk management services intended to protect businesses from unforeseen events. The company offers a comprehensive suite of insurance products, including property, liability, and transportation insurance, enabling businesses to mitigate risks and ensure operational continuity.</t>
  </si>
  <si>
    <t>Alper Consultoria e Corretora de Seguros(Marcos Aurélio Couto), Axxon Group, Spectra Investments, Warburg Pincus</t>
  </si>
  <si>
    <t>Insurance Brokers</t>
  </si>
  <si>
    <t>282901-69T</t>
  </si>
  <si>
    <t>Terrana</t>
  </si>
  <si>
    <t>Distributor of fuel intended to supply fuels through efficient and flexible logistics. The company supplies metropolitan diesel, marine diesel, ethanol and regular and additive gasoline to independent gas stations, transport companies, hospitals, sugar and alcohol plants and industries.</t>
  </si>
  <si>
    <t>Branson Holdings(Paulo Amaral)</t>
  </si>
  <si>
    <t>Other Utilities</t>
  </si>
  <si>
    <t>281770-21T</t>
  </si>
  <si>
    <t>Do Bem</t>
  </si>
  <si>
    <t>Producer of beverages located in Rio de Janeiro, Brazil. The company specializes in the production and distribution of fruit juices, teas, and other non-alcoholic beverage products.</t>
  </si>
  <si>
    <t>Tropical Indústria de Alimentos</t>
  </si>
  <si>
    <t>280695-52T</t>
  </si>
  <si>
    <t>Az Quest Panorama Credito Estruturado (BVMF: AZPE11)</t>
  </si>
  <si>
    <t>Az Quest Panorama Credito Estruturado Fd De Invest Imob De Resp Ltd is a Real estate Investment Company.</t>
  </si>
  <si>
    <t>280719-82T</t>
  </si>
  <si>
    <t>Duratex Spe I</t>
  </si>
  <si>
    <t>Operator of an asset holding company based in Sao Paulo, Brazil.</t>
  </si>
  <si>
    <t>Timber Investimentos</t>
  </si>
  <si>
    <t>283505-41T</t>
  </si>
  <si>
    <t>Kovi</t>
  </si>
  <si>
    <t>Operator of an online car rental platform intended for ride-share and delivery drivers. The company operates on an asset-light model by partnering with automakers and traditional car rental companies while offering an online on-demand rental platform, enabling users to ensure flexible, convenient, and economical travel and commute.</t>
  </si>
  <si>
    <t>Moove (Consumer Finance)(Ladi Delano)</t>
  </si>
  <si>
    <t>280754-47T</t>
  </si>
  <si>
    <t>YPF Brasil Comércio de Derivados de Petróleo</t>
  </si>
  <si>
    <t>Manufacturer of lubricants intended to serve the Brazilian market. The company utilizes TEC technology to offer cars, heavy vehicles, agro, maritime, motorcycles, chemical, functional fluids and industrial lubricant products, thereby helping customers with lubrication and protection.</t>
  </si>
  <si>
    <t>Usiquímica do Brasil</t>
  </si>
  <si>
    <t>Multi-line Chemicals</t>
  </si>
  <si>
    <t>260169-94T</t>
  </si>
  <si>
    <t>Transfeera</t>
  </si>
  <si>
    <t>Developer of an open banking platform designed to automate and simplify payments for businesses and individuals. The company's platform offers a simple and secure way to make and receive payments by automating financial routines, which helps to make payments to employees, suppliers, and customers and avoid interest rates from banks, enabling users to save time and money and improve their cash flow.</t>
  </si>
  <si>
    <t>PayRetailers(Juan Jutgla)</t>
  </si>
  <si>
    <t>280400-41T</t>
  </si>
  <si>
    <t>Alloy (Business/Productivity Software)</t>
  </si>
  <si>
    <t>Developer of an online and offline sales management platform designed for restaurants and hotels. The company's platform offers messaging automation, food delivery, sales management, marketing, and customer loyalty management, enabling food businesses to grow revenue.</t>
  </si>
  <si>
    <t>Ventiur</t>
  </si>
  <si>
    <t>297952-39T</t>
  </si>
  <si>
    <t>Brava Energia (BVMF: BRAV3)</t>
  </si>
  <si>
    <t>Brava Energia SA is engaged in the oil and gas sector with a focus on the redevelopment of mature production fields located onshore, in shallow waters, and offshore. The company operates in the following business segments: Exploration and Production (E&amp;P), Mid and Downstream, and Corporate and other businesses. Maximum revenue is generated from the Mid and Downstream segment, which includes the activities of refining, logistics, transportation, acquisition and export of crude oil, as well as the purchase and sale of oil derivatives in Brazil. This segment acquires crude oil from the E&amp;P segment and acquires oil derivatives in local and international markets. The Exploration and Production segment includes oil and gas exploration and production activities in Brazil.</t>
  </si>
  <si>
    <t>PetroRecôncavo (BVMF: RECV3)</t>
  </si>
  <si>
    <t>Energy Production</t>
  </si>
  <si>
    <t>280700-47T</t>
  </si>
  <si>
    <t>Pescados Cascavel</t>
  </si>
  <si>
    <t>Operator of a fish processing facility based in Cascavel, Brazil. The company offers tilapia fillets, steaks, bait, and whole fish.</t>
  </si>
  <si>
    <t>Coopavel (brazil)(Dilvo Grolli)</t>
  </si>
  <si>
    <t>280649-98T</t>
  </si>
  <si>
    <t>AKR Sistemas</t>
  </si>
  <si>
    <t>Manufacturer of logistics customized systems intended to improve the management of production processes and material handling. The company offers management services regarding calls, manufacturing inventory, quality, order, product allocation, and maintenance control, enabling businesses to optimize productivity and improve decision-making.</t>
  </si>
  <si>
    <t>KPTL(Diego Bertolin)</t>
  </si>
  <si>
    <t>Software Development Applications</t>
  </si>
  <si>
    <t>280696-42T</t>
  </si>
  <si>
    <t>Berkana Patrimonio</t>
  </si>
  <si>
    <t>Provider of wealth management services intended to serve families and professionals. The company offers a wide range of services such as investment allocation, global allocation, succession planning, family governance, family planning, and wealth advisory services, enabling clients to streamline personal needs and objectives.</t>
  </si>
  <si>
    <t>REAG Investimentos (BVMF: REAG3)</t>
  </si>
  <si>
    <t>Asset Management</t>
  </si>
  <si>
    <t>280698-31T</t>
  </si>
  <si>
    <t>Eiti Gestão de Ti</t>
  </si>
  <si>
    <t>Provider of managed cloud solutions catering to the IT industry. The company offers cloud services that enhance efficiency, productivity, workflow improvement and scalable growth and security, enabling businesses to scale operations, reduce costs, and improve workflow management.</t>
  </si>
  <si>
    <t>Selbetti Tecnologia(José Selbach)</t>
  </si>
  <si>
    <t>IT Consulting and Outsourcing</t>
  </si>
  <si>
    <t>280655-65T</t>
  </si>
  <si>
    <t>Instor (Hardware)</t>
  </si>
  <si>
    <t>Developer of a robotics and automation technology platform intended to enhance operational efficiency in high-risk industrial environments. The company specializes in autonomous mobile robots for oil and gas, healthcare, mining, logistics, and agricultural applications, enabling clients to reduce human exposure to hazardous situations while optimizing process workflows.</t>
  </si>
  <si>
    <t>Other Hardware</t>
  </si>
  <si>
    <t>280647-91T</t>
  </si>
  <si>
    <t>Meu Câmbio</t>
  </si>
  <si>
    <t>Provider of comprehensive currency exchange services intended to facilitate international transactions. The company provides real-time exchange rate comparisons, secure online trade, and delivery services, enabling customers to access competitive rates and convenient exchange options to enhance their experience and financial efficiency.</t>
  </si>
  <si>
    <t>281793-70T</t>
  </si>
  <si>
    <t>O Varejão Auto Peças</t>
  </si>
  <si>
    <t>Provider of comprehensive automotive parts and accessories services intended to meet the diverse needs of vehicle owners and businesses. The company offers a wide selection of original parts, car accessories, and inspection items, enabling automotive repair shops, vehicle owners, and online customers to access quality products and services conveniently and reliably.</t>
  </si>
  <si>
    <t>280647-19T</t>
  </si>
  <si>
    <t>Prediza</t>
  </si>
  <si>
    <t>Developer of predictive technology designed to promote computer vision and IoT projects in the field of cultivation. The company's technology focuses on sustainability and the conscious use of natural resources and its services include irrigation and weather mechanization to map and predict risk scenarios, enabling farmers, producers, and growers to monitor the farmland through intelligent monitoring systems.</t>
  </si>
  <si>
    <t>280270-72T</t>
  </si>
  <si>
    <t>Simplifica.CI</t>
  </si>
  <si>
    <t>Operator of a SaaS platform intended to solve internal problems of communication in a business environment. The company offers a multichannel communication tool designed for internal audiences and the platform offers functions for channels including TV, email, desktop, and mobile, and integrates with ERP systems or internal networks for data entry.</t>
  </si>
  <si>
    <t>Progic(Igor Gavazzi Vazzoler)</t>
  </si>
  <si>
    <t>Communication Software</t>
  </si>
  <si>
    <t>282324-88T</t>
  </si>
  <si>
    <t>Conaut (Rioflow Division)</t>
  </si>
  <si>
    <t>provider of oil and gas services intended to provide accredited calibration and repair services for hydrocarbon, water, and gas flow meters, as well as temperature, pressure, and dimensional calibrations. The company offers precision-engineered services performed in an accredited laboratory, enabling businesses in the Oil &amp; Gas sector to maintain compliance, efficiency, and operational accuracy.</t>
  </si>
  <si>
    <t>EQT (STO: EQT)(Thomas Rajzbaum), TechnoRocks(Silvija Seres), Trescal</t>
  </si>
  <si>
    <t>Energy Exploration</t>
  </si>
  <si>
    <t>280169-65T</t>
  </si>
  <si>
    <t>Drip (Financial Software)</t>
  </si>
  <si>
    <t>Developer of an online payment system designed to offer smart payment alternatives with no limit. The company's system permits payment in installments with no interest, offers cashback at the end of all purchases and sets no fixed limit for transactions, enabling customers to have a seamless payment method.</t>
  </si>
  <si>
    <t>Malga</t>
  </si>
  <si>
    <t>280200-97T</t>
  </si>
  <si>
    <t>Even Construtora E Incorporadora (Faena São Paulo)</t>
  </si>
  <si>
    <t>Operator of a hotel based in Sao Paulo, Brazil. The company engages in operating a luxury hotel mixed-use luxury development offering high-end residential units and hotel accommodations.</t>
  </si>
  <si>
    <t>280193-77T</t>
  </si>
  <si>
    <t>Gelprime</t>
  </si>
  <si>
    <t>Manufacturer of gelatin products catering to food and pharmaceutical markets. The company's product acts as a stabilizer, and emulsifier, promotes aeration, and better texture, and offers bloom and viscosity for hard or soft capsules, enabling clients from the food, beverages, and pharmaceutical industry to offer quality products.</t>
  </si>
  <si>
    <t>BRF Global (BVMF: BRFS3)</t>
  </si>
  <si>
    <t>Specialty Chemicals</t>
  </si>
  <si>
    <t>280702-81T</t>
  </si>
  <si>
    <t>Portal Banda B</t>
  </si>
  <si>
    <t>Publisher of news and horoscope content catered to residents of Curitiba and the surrounding metropolitan area. The company offers local and international news, sports, and entertainment, as well as daily horoscope readings for each zodiac sign.</t>
  </si>
  <si>
    <t>Grupo RIC(Leonardo Petrelli)</t>
  </si>
  <si>
    <t>Publishing</t>
  </si>
  <si>
    <t>242080-21T</t>
  </si>
  <si>
    <t>TaOn</t>
  </si>
  <si>
    <t>Provider of a mobile internet subscription service intended for flexible and commitment-free access to mobile data. The company provides prepaid mobile internet plans with unlimited access to selected applications, transparent pricing, and simplified digital onboarding, enabling mobile users to maintain continuous internet connectivity without traditional carrier restrictions.</t>
  </si>
  <si>
    <t>Astella Investimentos, Mago Capital</t>
  </si>
  <si>
    <t>Internet Service Providers</t>
  </si>
  <si>
    <t>280147-24T</t>
  </si>
  <si>
    <t>Abbiamo</t>
  </si>
  <si>
    <t>Operator of a digital platform intended for purchasing tools and handling product movement, distribution, and delivery. The company's platform specializes in digital control of logistics processes, enabling businesses to use logistics as a business differential for market growth ensuring a better customer experience.</t>
  </si>
  <si>
    <t>Natura Ventures, Vox Capital</t>
  </si>
  <si>
    <t>280938-97T</t>
  </si>
  <si>
    <t>Alea (Sao Paulo)</t>
  </si>
  <si>
    <t>Developer of real estate projects intended to create affordable living homes for Brazilians. The company offers homes built using the off-site model, combined with wood-frame technology, widely used in high-end properties around the world, ensuring a quality life for the residents within everyone's reach.</t>
  </si>
  <si>
    <t>Good Karma Partners</t>
  </si>
  <si>
    <t>Construction and Engineering</t>
  </si>
  <si>
    <t>280684-81T</t>
  </si>
  <si>
    <t>Automob Participações (BVMF: AMOB3)</t>
  </si>
  <si>
    <t>Automob Participacoes SA, along with its subsidiaries, operates a network of light and heavy vehicle dealerships in Brazil. It sells new and used vehicles, including passenger cars, commercial vehicles, electric vehicles, motorcycles, trucks, buses, and forklifts, as well as agricultural equipment and machinery for construction, mining, and industrialization. In addition, the company provides parts, accessories, mechanical services, bodywork and painting, vehicle armoring, financing, insurance brokerage, and related services. The group's operating segments are the Authorized dealership of light vehicles, which generates maximum revenue, and the Authorized dealership of heavy vehicles.</t>
  </si>
  <si>
    <t>273730-24T</t>
  </si>
  <si>
    <t>Dexco (Dexco Hydra Corona Water Heating Systems)</t>
  </si>
  <si>
    <t>Operator of electric shower manufacturing business in Sao Paulo, Brazil.</t>
  </si>
  <si>
    <t>Zagonel</t>
  </si>
  <si>
    <t>Household Appliances</t>
  </si>
  <si>
    <t>288686-35T</t>
  </si>
  <si>
    <t>Ekoa</t>
  </si>
  <si>
    <t>Operator of education platform intended to bring transformative change. The company driven by the belief that transformative change begins with knowledge and empowerment by recognizing the interconnectedness of environmental, economic and social well-being fostering individual and collective progress through tailored educational solutions, enabling customers to get equipped with the skills and understanding needed to achieve their professional goals and contribute to a more sustainable future.</t>
  </si>
  <si>
    <t>Grupo Rede+</t>
  </si>
  <si>
    <t>280682-74T</t>
  </si>
  <si>
    <t>Embu</t>
  </si>
  <si>
    <t>Producer of crushed stone and crushed sand intended for the construction industry. The company offers production of gravel and gravel sand, observing the commitment to preserving the environment through investments in the development of sustainable processes and social projects in Brazil.</t>
  </si>
  <si>
    <t>Huaxin Cement (SHG: 600801)</t>
  </si>
  <si>
    <t>Raw Materials (Non-Wood)</t>
  </si>
  <si>
    <t>280901-35T</t>
  </si>
  <si>
    <t>Renov (Brazil)</t>
  </si>
  <si>
    <t>Developer of resale of pre-owned technology equipment platform intended to serve the used equipment market. The company specializes in using artificial intelligence to assess the commercial value of used smartphones, tablets, and computers, thereby providing all necessary tax assistance and issuing invoices to operationalize the trade-in flow.</t>
  </si>
  <si>
    <t>Voke(Rene Almeida)</t>
  </si>
  <si>
    <t>287926-21T</t>
  </si>
  <si>
    <t>Ephrom Business Transformation</t>
  </si>
  <si>
    <t>Developer of an organizational development platform intended to improve organizational processes and corporate training. The company's platform integrates technologies with conceptual bases such as change, knowledge, and project management, simplifying training and increasing employee knowledge of how to execute business processes, enabling businesses to reduce training costs and timelines, increase employee and manager interest in process development.</t>
  </si>
  <si>
    <t>255448-72T</t>
  </si>
  <si>
    <t>Distribuidora Internacional de Alimentación (Brazilian Operation)</t>
  </si>
  <si>
    <t>Operator of a supermarket chain based in Brazil. The company provides grocery and other daily usage articles.</t>
  </si>
  <si>
    <t>280686-97T</t>
  </si>
  <si>
    <t>Gotaquímica</t>
  </si>
  <si>
    <t>Distributor of chemical products intends to serve the middle market industry. The company specializes in the dilution and packaging of acids and bases and offers household cleaning products, water treatment and general products.</t>
  </si>
  <si>
    <t>Natrio(Julio Picoto)</t>
  </si>
  <si>
    <t>Industrial Chemicals</t>
  </si>
  <si>
    <t>280700-74T</t>
  </si>
  <si>
    <t>PCX Tecnologia</t>
  </si>
  <si>
    <t>Provider of information technology services and solutions based in Belo Horizonte, Brazil. The company offers outsourcing, information technology services, technical support and information technology management.</t>
  </si>
  <si>
    <t>Cab Tec</t>
  </si>
  <si>
    <t>284971-33T</t>
  </si>
  <si>
    <t>Rede Decisão</t>
  </si>
  <si>
    <t>Operator of a network of schools intended to provide access to quality education on a large scale. The company offers pedagogical services including child education, elementary school and high school, enabling students to develop cognitive and social relationships.</t>
  </si>
  <si>
    <t>Rise Ventures(Daniel Madureira)</t>
  </si>
  <si>
    <t>279867-16T</t>
  </si>
  <si>
    <t>Clave Capital</t>
  </si>
  <si>
    <t>Provider of asset management services located in Sao Paulo. The company offers alternative niche products designed for capital preservation and real returns, across different market cycles, thereby ensuring the protection of clients' resources.</t>
  </si>
  <si>
    <t>BTG Pactual (BVMF: BPAC3)</t>
  </si>
  <si>
    <t>280697-77T</t>
  </si>
  <si>
    <t>Mata de Santa Genebr</t>
  </si>
  <si>
    <t>Operator of an electric power transmission company based out of Rio de Janeiro, Brazil.</t>
  </si>
  <si>
    <t>Copel (BVMF: CPLE3)</t>
  </si>
  <si>
    <t>Electric Utilities</t>
  </si>
  <si>
    <t>248392-27T</t>
  </si>
  <si>
    <t>Trinus.Co</t>
  </si>
  <si>
    <t>Developer of a financial and real estate service platform designed for organizations to simplify day-to-day tasks. The company's platform manages real estate investment funds and helps in legal litigation and contract management, enabling Brazilian citizens to get help from regional real estate entrepreneurs in their businesses.</t>
  </si>
  <si>
    <t>Bewater(Guilherme Weege), Headline</t>
  </si>
  <si>
    <t>Consulting Services (B2B)</t>
  </si>
  <si>
    <t>279780-67T</t>
  </si>
  <si>
    <t>AppBarber</t>
  </si>
  <si>
    <t>Developer of online management application for barbershops. The company schedules appointments with various previously registered services, organizing the schedule and optimizing the establishment's processes to organize your schedule and encourage more appointments through the app.</t>
  </si>
  <si>
    <t>Zucchetti(Alessio Mainardi)</t>
  </si>
  <si>
    <t>279708-76T</t>
  </si>
  <si>
    <t>CARE Natural Beauty</t>
  </si>
  <si>
    <t>Operator of a skincare company intended to provide natural and organic makeup products. The company offers cosmetics products that are made with locally sourced ingredients and packaging made of paper, glass and recyclable plastic, providing women with clean beauty and socially responsible products.</t>
  </si>
  <si>
    <t>Grupo Granado(Sissi Freeman)</t>
  </si>
  <si>
    <t>Personal Products</t>
  </si>
  <si>
    <t>279623-62T</t>
  </si>
  <si>
    <t>Frenet</t>
  </si>
  <si>
    <t>Provider of logistics solutions designed to streamline freight management for e-commerce businesses. The platform integrates with over 500 carriers and 100 e-commerce platforms, offering tools for shipping quotes, label generation, tracking, and customizable shipping rules, enabling merchants to optimize operations and manage logistics with simplicity and flexibility.</t>
  </si>
  <si>
    <t>SkydropX(Tavo Zambrano Garcia)</t>
  </si>
  <si>
    <t>280365-40T</t>
  </si>
  <si>
    <t>Pextron Electronic Controls</t>
  </si>
  <si>
    <t>Manufacturer and designer of protection relays for the electric energy sector. The company specializes in offering solutions for the protection of substations, feeders, reclosers, capacitor banks, high and medium-voltage distribution lines, auxiliary power, primary cabins/substations, electric motors, generators, transformers, parallelism and circuit breakers.</t>
  </si>
  <si>
    <t>Itaipu Transformadores(Reno Bezerra)</t>
  </si>
  <si>
    <t>Alternative Energy Equipment</t>
  </si>
  <si>
    <t>294415-12T</t>
  </si>
  <si>
    <t>Scipopulis</t>
  </si>
  <si>
    <t>Developer of a data integration and analysis platform designed to develop smart cities and urban mobility systems. The company's platform works with data analysis, processing, integration, and visualization focused on making cities smart and offers products and delivery systems, enabling managers of the mobility system to help in the areas of monitoring, data analysis, relationship, sharing, and active mobility.</t>
  </si>
  <si>
    <t>CitzTech</t>
  </si>
  <si>
    <t>291963-25T</t>
  </si>
  <si>
    <t>Yapuana</t>
  </si>
  <si>
    <t>Developer of functional aromas designed to provide a fresh approach to a healthier lifestyle. The company utilizes olfactory technology to make an electronic censer, working with solid incense in capsules, activated and controlled by an application, providing customers with ways to improve their well-being through aromatherapy.</t>
  </si>
  <si>
    <t>Angel (individual)</t>
  </si>
  <si>
    <t>Carol Paiffer(Carol Paiffer), Sergio Zimerman</t>
  </si>
  <si>
    <t>Household Products</t>
  </si>
  <si>
    <t>294397-66T</t>
  </si>
  <si>
    <t>Direito Agil</t>
  </si>
  <si>
    <t>Operator of a public management firm intended to protect women in the city. The company's services include the management of reports of domestic violence and extra-family violence, such as harassment at work and harassment on public transport, enabling women to access justice online.</t>
  </si>
  <si>
    <t>Accelerate Niterói</t>
  </si>
  <si>
    <t>Information Services (B2C)</t>
  </si>
  <si>
    <t>279637-93T</t>
  </si>
  <si>
    <t>Oobj</t>
  </si>
  <si>
    <t>Developer of an e-invoicing software platform designed to streamline electronic tax document management in Latin America. The company offers a comprehensive suite of solutions for issuing and receiving invoices, covering NFe, MDFe, CTe, NFCe, NF3e, NFSe, and NFCom documents, enabling businesses of all sizes to comply with tax regulations and optimize their supply chain processes across Brazil and six additional Latin American countries.</t>
  </si>
  <si>
    <t>Ares Capital (NAS: ARCC), Avalara(Jayme Fishman), Susquehanna Growth Equity, Vista Equity Partners(Adrian Alonso)</t>
  </si>
  <si>
    <t>280685-08T</t>
  </si>
  <si>
    <t>Edufor São Luis</t>
  </si>
  <si>
    <t>Operator of a higher educational institute to offer an education capable of positively transforming society, generating socioeconomic, environmental and cultural impacts in São Luís, Brazil. The company offers various courses such as undergraduate, blended courses, postgraduate, improvement, CPA, law, healthcare, technical and medical courses, thereby offering education for all.</t>
  </si>
  <si>
    <t>YDUQS Participações (BVMF: YDUQ3)(Eduardo Menezes)</t>
  </si>
  <si>
    <t>279563-59T</t>
  </si>
  <si>
    <t>Fuse Capital (Brazil)</t>
  </si>
  <si>
    <t>Operator of an investment firm intended to invest in early-stage technology companies. The company specializes in investing in blockchain and crypto firms in the form of both debt and equity, enabling startups to have access to capital.</t>
  </si>
  <si>
    <t>Transfero(Claudio Just)</t>
  </si>
  <si>
    <t>Private Equity</t>
  </si>
  <si>
    <t>288132-67T</t>
  </si>
  <si>
    <t>Pix Force</t>
  </si>
  <si>
    <t>Developer of an AI-powered visual inspection technology designed to optimize and standardize industrial monitoring and inspection tasks. The company's technology offers tools including autonomous drones, computer vision-based detection, document data extraction, and custom AI models, enabling manufacturing, energy, and logistics industries to reduce operational risks, enhance safety, and increase productivity.</t>
  </si>
  <si>
    <t>Unicorn Factory Lisboa</t>
  </si>
  <si>
    <t>Electronic Equipment and Instruments</t>
  </si>
  <si>
    <t>279524-44T</t>
  </si>
  <si>
    <t>Nunca Foi Velho</t>
  </si>
  <si>
    <t>Operator of an online marketplace intended to promote sustainability and the circular economy. The company's platform features a selection of inspected and sanitized pre-owned clothing, accessories, and footwear for various occasions, allowing customers to purchase fashion products sustainably.</t>
  </si>
  <si>
    <t>Shell Iniciativa Jovem</t>
  </si>
  <si>
    <t>Specialty Retail</t>
  </si>
  <si>
    <t>279317-89T</t>
  </si>
  <si>
    <t>Safecyber</t>
  </si>
  <si>
    <t>Operator of a cybersecurity company based in Sao Paulo, Brazil. The company specializes in providing managed security services by firewall technology physical or virtual UTM, monitored resources, providing cyber cloud services and protection against threats and risks from the internet, such as malware, hackers, and ransomware, among others, significantly increasing the security, confidentiality, availability, and integrity of user information.</t>
  </si>
  <si>
    <t>BluePex(Jefferson Penteado)</t>
  </si>
  <si>
    <t>Network Management Software</t>
  </si>
  <si>
    <t>279217-81T</t>
  </si>
  <si>
    <t>SysGaming</t>
  </si>
  <si>
    <t>Developer of gambling software and games based in Foz do Iguacu, Brazil. The company offers various gambling games, platforms, skill games, sports betting platforms and game aggregators.</t>
  </si>
  <si>
    <t>TG Lab(Ugnius Simelionis)</t>
  </si>
  <si>
    <t>Entertainment Software</t>
  </si>
  <si>
    <t>280342-72T</t>
  </si>
  <si>
    <t>XP Investimentos (NAS: XP)</t>
  </si>
  <si>
    <t>XP Inc is a Cayman Island-based technology-driven financial services platform. It is a provider of low-fee financial products and services in Brazil. The company evaluates its business through a single segment such as monitoring operations, making decisions on fund allocation, and evaluating the performance. It generates revenue through the Brokerage commission.</t>
  </si>
  <si>
    <t>Public Investment 2nd Offering</t>
  </si>
  <si>
    <t>Brokerage</t>
  </si>
  <si>
    <t>279163-27T</t>
  </si>
  <si>
    <t>Bipa</t>
  </si>
  <si>
    <t>Developer of a digital account application designed for integrating Bitcoin with the traditional banking system. The company offers features like creating and paying invoices, transferring sats from the Bitcoin network and Lightning Network, without any withdrawal fees, providing users with financial information and services with improved technology, and selling securities conveniently.</t>
  </si>
  <si>
    <t>Concentric(Alexander Mann), ego death capital, Initial Capital</t>
  </si>
  <si>
    <t>279515-71T</t>
  </si>
  <si>
    <t>Clube dos Jogos &amp; Presentes</t>
  </si>
  <si>
    <t>Operator of a board game company intended to offer game rentals and purchases. The company specializes in providing board game rentals, purchases, on-site play, and personalized game selection from classics to the latest releases, enabling customers to choose from a wide range of games suited to their preferences and experience.</t>
  </si>
  <si>
    <t>271986-76T</t>
  </si>
  <si>
    <t>Ipsense Tecnologia Em Redes De Comunicacao</t>
  </si>
  <si>
    <t>Provider of cloud computing services based in Rio De Janeiro, Brazil. The company offers cloud services such as analytics, machine learning, migration, professional services, cloud migration, networking, cloud content management, managing AWS cost-efficiently and cloud infrastructure services.</t>
  </si>
  <si>
    <t>TD Synnex (NYS: SNX)(Otavio Lazarini)</t>
  </si>
  <si>
    <t>279194-59T</t>
  </si>
  <si>
    <t>M3 Lending</t>
  </si>
  <si>
    <t>Developer of a fintech platform designed to connect companies and investors for funding. The company's platform offers investment and loan services to businesses searching for credit by connecting them with investors offering low-interest rates, enabling investors and companies with returns and finance respectively.</t>
  </si>
  <si>
    <t>279151-21T</t>
  </si>
  <si>
    <t>Minds Digital</t>
  </si>
  <si>
    <t>Developer of a fraud prevention platform designed to analyze, understand, and predict suspicious behaviors from users. The company's platform uses artificial intelligence to protect from fraud in applications and call centers with voice biometrics, enabling businesses to safeguard against sophisticated cyber threats.</t>
  </si>
  <si>
    <t>BR Angels, Rock9 Ventures</t>
  </si>
  <si>
    <t>280344-97T</t>
  </si>
  <si>
    <t>Rbr Log - Fundo DE Investimento Imobiliario is an asset management company.</t>
  </si>
  <si>
    <t>292203-64T</t>
  </si>
  <si>
    <t>Anime Friends</t>
  </si>
  <si>
    <t>Operator of an asian pop culture festival based in São Paulo, Brazil. The company specializes in events in anime, manga, and everything related to the oriental universe.</t>
  </si>
  <si>
    <t>Omelete Company(Pierre Mantovani)</t>
  </si>
  <si>
    <t>Movies, Music and Entertainment</t>
  </si>
  <si>
    <t>279036-73T</t>
  </si>
  <si>
    <t>klubi</t>
  </si>
  <si>
    <t>Provider of financial services intended to help people with their credit and offer a new way of consortium. The company provides financing through a group purchasing model, reducing costs and offering more accessible credit options eliminating brokers, and minimizing fees associated with traditional financial products, enabling clients to achieve their financial goals through a fully digital, educational, simple, transparent, and secure experience.</t>
  </si>
  <si>
    <t>L4 Venture Builder(Tiago Wigman), Vivo Ventures(Phillip Trauer)</t>
  </si>
  <si>
    <t>279151-03T</t>
  </si>
  <si>
    <t>Runrun.it</t>
  </si>
  <si>
    <t>Developer of team management software designed to increase the productivity of employees while working as a team. The company's software offers a work collaboration interface that assists managers in organizing and managing their tasks, time, costs, workflow, and talent, enabling clients to increase profitability and reduce operational costs through task management and performance evaluation.</t>
  </si>
  <si>
    <t>Softplan(Eduardo Smith)</t>
  </si>
  <si>
    <t>257950-18T</t>
  </si>
  <si>
    <t>Zig</t>
  </si>
  <si>
    <t>Developer of a digital payment platform designed to facilitate money transactions. The company's platform offers pre or post-payment options, personalized cards or bracelets, self-service via totem or smartphone, data and insights, automatic processing of net flows, and an overview of cash flow and financial transactions, enabling events and nightclubs businesses to increase sales, simplify management, and optimize operations.</t>
  </si>
  <si>
    <t>Across Capital Partners, Cloud9 Capital, Endeavor Catalyst, Endeavor Group Holdings, Endeavor Promessas, Kaszek, Spectra Investments</t>
  </si>
  <si>
    <t>279253-27T</t>
  </si>
  <si>
    <t>Davvero</t>
  </si>
  <si>
    <t>Operator of gelato ice cream cafes intended to bring traditional Italian flavors to Brazil. The company offers banoffee, Belgian chocolate, stracciatella, fior de latte, pistachio, almond and coconut gelato made with traditional Italian gelato production methods and using fresh ingredients.</t>
  </si>
  <si>
    <t>MV Group (Brazil)(Matheus Vantini)</t>
  </si>
  <si>
    <t>279170-74T</t>
  </si>
  <si>
    <t>Fincapital Credit Payments and Services</t>
  </si>
  <si>
    <t>Operator of magnesium silicate deposits located in Campinas, Brazil.</t>
  </si>
  <si>
    <t>HUMBL (PINX: HMBL)</t>
  </si>
  <si>
    <t>Other Metals, Minerals and Mining</t>
  </si>
  <si>
    <t>278936-74T</t>
  </si>
  <si>
    <t>Onze</t>
  </si>
  <si>
    <t>Operator of a fintech platform intended to help firms employees manage their financial health. The company provides financial support with equity accumulation for employees through a modern pension plan, enabling corporates to offer their employees a proper pension portfolio.</t>
  </si>
  <si>
    <t>Atlantico Partners, Red Ventures, Ribbit Capital</t>
  </si>
  <si>
    <t>279791-92T</t>
  </si>
  <si>
    <t>4B Mining</t>
  </si>
  <si>
    <t>Operator of a mining company with sizable iron ore and manganese resources intended for a multi decade cash flow generation platform. The company deliver premium DSO green iron ore lump product, along with operating, financing and investing in the mining sector, thereby aiming to develop and offer materials that are greener, less pollutive and energy efficient.</t>
  </si>
  <si>
    <t>Resource Capital Funds</t>
  </si>
  <si>
    <t>280694-62T</t>
  </si>
  <si>
    <t>Arado</t>
  </si>
  <si>
    <t>Operator of an online fruit and vegetable marketplace designed to bring buyers closer to the farmers. The company's platform connects producers to restaurants and retailers, which allows restaurants and retailers to access a large catalog of vegetables, customize maturation, packaging and product quality, as well as allow producers to sell directly to retailers and restaurants, enabling sellers and buyers to reduce dependency on intermediaries and bringing transparency in the transaction.</t>
  </si>
  <si>
    <t>Capria Ventures</t>
  </si>
  <si>
    <t>278972-56T</t>
  </si>
  <si>
    <t>Camu (Business/Productivity Software)</t>
  </si>
  <si>
    <t>Developer of a taxation software designed to simplify the complexity of indirect taxes in Brazil. The company offers tools that automate tax-related processes, enabling tax teams to reduce repetitive tasks and ensure compliance.</t>
  </si>
  <si>
    <t>Andreessen Horowitz, Canary (Brazil), Everywhere Ventures</t>
  </si>
  <si>
    <t>294412-78T</t>
  </si>
  <si>
    <t>Gerencit</t>
  </si>
  <si>
    <t>Developer an information technology platform designed for managing citizen demands for governments. The company's platform includes features such as automatic demand distribution, feedback, a heat map, and offline functionality, enabling customers to submit demands to their city government through a mobile application.</t>
  </si>
  <si>
    <t>279069-49T</t>
  </si>
  <si>
    <t>hiperfy</t>
  </si>
  <si>
    <t>Developer of an online platform designed to connect creators with brands using technology and data. The company's platform offers interaction between digital content creators and advertising companies such as payment intermediation, assess influencer affinity with brand based on language, categories, and media, enabling users to search their related influencers, get creator insights and campaign suggestions.</t>
  </si>
  <si>
    <t>Bernardo Mendes</t>
  </si>
  <si>
    <t>279539-74T</t>
  </si>
  <si>
    <t>Sr.Proprietário</t>
  </si>
  <si>
    <t>Provider of property selling services intended to make the process easier and more advantageous for property owners. The company offers personalized assistance, free home insurance, professional photos, and a legal team to handle documentation, enabling property owners to sell with peace of mind and full support throughout the process.</t>
  </si>
  <si>
    <t>Urca Angels</t>
  </si>
  <si>
    <t>301660-84T</t>
  </si>
  <si>
    <t>Typcal</t>
  </si>
  <si>
    <t>Producer of food products intended to offer packaged vegan food. The company's platform develops a mycelium ingredient based on the circular economy, its products include ketchup, mustard sauces, seasoning mix, and mayonnaise which are free of sugar, sodium, preservatives, and artificial colors, enabling consumers to buy healthy ready-made plant-based products to be used in a variety of dishes.</t>
  </si>
  <si>
    <t>FoodTech Hub Latam</t>
  </si>
  <si>
    <t>284250-43T</t>
  </si>
  <si>
    <t>Vórtx Distribuidora de Títulos e Valores Mobiliários</t>
  </si>
  <si>
    <t>Provider of tech-enabled corporate and trust services intended to offer infrastructure for capital markets focused on technology. The company's offering includes services in areas such as corporate trust, focusing on fiduciary agents, asset custody, and transfer agent services, funds trust, concentrating on fund administration and qualified services; and clearing agent, bookkeeping, and legal representation and custody for non-resident investors, enabling clients to reduce the margin of operational errors that could occur throughout the process.</t>
  </si>
  <si>
    <t>HIX Capital, Treecorp Investimentos (BVMF: TCPF11)</t>
  </si>
  <si>
    <t>299300-23T</t>
  </si>
  <si>
    <t>Beegol</t>
  </si>
  <si>
    <t>Developer of an Artificial Intelligence platform designed to monitor, manage, and enhance the quality of experience for broadband and WiFi users. The company offers real-time detection tools, autonomous AI agents, and support for core ISP processes such as network operations, customer care, and sales and retention, enabling internet service providers to anticipate issues, improve service performance, and reduce operational costs.</t>
  </si>
  <si>
    <t>300813-67T</t>
  </si>
  <si>
    <t>Brasil Solair</t>
  </si>
  <si>
    <t>Provider of photovoltaic solar systems focused on micro- and minigeneration across residential, commercial, and industrial segments. The company provides procurement, installation, maintenance, and rental of solar PV panels and related equipment, leveraging fully automated monitoring systems and competitive financing models to reduce installed cost per kilowatt, along with domestic manufacturing of solar panels and inverters, thereby empowering consumers to access affordable, self-produced clean energy.</t>
  </si>
  <si>
    <t>Cinco Cap Investments, Colcharter IPS, Pacific Lake</t>
  </si>
  <si>
    <t>277245-64T</t>
  </si>
  <si>
    <t>Hidrover Hydraulic Equipment</t>
  </si>
  <si>
    <t>Manufacturer of hydraulic cylinders intended for the main industrial and automotive segments in the Brazilian and global markets. The company offers a wide range of products for agricultural, automotive, construction, and industrial sectors.</t>
  </si>
  <si>
    <t>Interpump Group (MIL: IP)</t>
  </si>
  <si>
    <t>Industrial Supplies and Parts</t>
  </si>
  <si>
    <t>299992-87T</t>
  </si>
  <si>
    <t>Neuralmind</t>
  </si>
  <si>
    <t>Developer of a data insights platform designed to extract value from a large database of images. The company's platform automatically recognizes documents and images of various types, extracts, characterizes, and classifies data of interest, searches public databases, and analyzes the information obtained for decision-making, enabling clients to improve operational efficiency and minimize risks and transaction errors for clients and suppliers.</t>
  </si>
  <si>
    <t>Unicamp</t>
  </si>
  <si>
    <t>Database Software</t>
  </si>
  <si>
    <t>278706-88T</t>
  </si>
  <si>
    <t>NoPing</t>
  </si>
  <si>
    <t>Developer of latency reduction software designed to reduce ping reduction, packet loss correction, and lag in computer internet games. The company's technology focuses on latency improvement and utilizes an algorithm that calculates available routes and chooses the one that allows, simultaneously, a reduced amount of latency, with packet loss and connection drop correction, thereby enabling users to play any online game with optimized ping.</t>
  </si>
  <si>
    <t>Edgeuno(Mehmet Akcin)</t>
  </si>
  <si>
    <t>278732-26T</t>
  </si>
  <si>
    <t>Stepps</t>
  </si>
  <si>
    <t>Developer of video analytics platform designed to enhance industrial performance and safety by providing real-time insights. The company provides video analytics tools for monitoring production lines, recognizing human actions, detecting safety risks, and ensuring quality control through customizable dashboards and real-time updates, enabling clients to reduce accidents, optimize productivity, streamline quality assurance, and maintain secure, efficient industrial operations.</t>
  </si>
  <si>
    <t>K.A. Schmersal Holding</t>
  </si>
  <si>
    <t>279255-79T</t>
  </si>
  <si>
    <t>Green Ventures (Brazil)</t>
  </si>
  <si>
    <t>Operator of a biodiesel plant based in Lucas do Rio Verde, Brazil.</t>
  </si>
  <si>
    <t>Oleoplan</t>
  </si>
  <si>
    <t>270187-39T</t>
  </si>
  <si>
    <t>Potassio do Brasil (ASE: GRO)</t>
  </si>
  <si>
    <t>Brazil Potash Corp is a mineral exploration and development company with a potash mining project located in the state of Amazonas, Brazil. The company's technical operations are based in Autazes, Amazonas, Brazil, and Belo Horizonte, Minas Gerais, Brazil. The operating activities of the company include focusing on the extraction and processing of potash ore from the underground mine of the Autazes Project and selling and distributing the processed potash in Brazil.</t>
  </si>
  <si>
    <t>278657-74T</t>
  </si>
  <si>
    <t>GBM Tech &amp; Control</t>
  </si>
  <si>
    <t>Provider of logistics and technology solutions designed to optimize supply chain operations. The company offers a range of services, including transportation, warehousing, and technology solutions, enabling businesses to improve efficiency and reduce costs.</t>
  </si>
  <si>
    <t>Greenbridge Partners, Hindiana, Niche Partners(Vasco Neto), Niche Supply Technologies, Tarpon Capital</t>
  </si>
  <si>
    <t>278490-34T</t>
  </si>
  <si>
    <t>iBuild</t>
  </si>
  <si>
    <t>Manufacturer of steel frame structures designed to be built faster, economically, and sustainably. The company's steel frame construction method offers several advantages over traditional methods, including fire, mold, and pest resistance, enabling builders to finish building projects faster.</t>
  </si>
  <si>
    <t>Gustavo Rizzo(Gustavo Rizzo)</t>
  </si>
  <si>
    <t>278467-39T</t>
  </si>
  <si>
    <t>LDX Capital</t>
  </si>
  <si>
    <t>Provider of investment consulting services intended to build a financially secure future. The company offers asset management, financial planning, portfolio management, and financial education services, enabling clients to mitigate risks and achieve their goals, and students to learn investment terms and concepts.</t>
  </si>
  <si>
    <t>Equity Fund Group(João Kepler)</t>
  </si>
  <si>
    <t>274950-55T</t>
  </si>
  <si>
    <t>Salto Botelho Agroenergia</t>
  </si>
  <si>
    <t>Operator of a sugar mill based in Lucélia, Brazil. The company processes sugarcane to produce VHP sugar, hydrous and anhydrous ethanol and exports excess energy, thereby assisting its client as per their requirements.</t>
  </si>
  <si>
    <t>Zilor(Fabiano Zillo)</t>
  </si>
  <si>
    <t>278477-74T</t>
  </si>
  <si>
    <t>Teachy (Business/Productivity Software)</t>
  </si>
  <si>
    <t>Developer of a teaching platform designed to help teachers with the endless overtime faced by them. The company allows to assembly of exercises, corrects questions automatically, prepares lessons, and follows up with their students, helping teachers to create a generation of customizable exercise lists, correct objective and discursive tests, and preparation of classes and supplementary materials.</t>
  </si>
  <si>
    <t>Endeavor Group Holdings, Goodwater Capital, NXTP Ventures, Reach Capital(Esteban Sosnik), Roble Ventures, The MBA Fund</t>
  </si>
  <si>
    <t>279578-71T</t>
  </si>
  <si>
    <t>Bako Safe</t>
  </si>
  <si>
    <t>Developer of electronic wallet security designed for identity and asset management. The company offers personal and collective wallets, a digital identity system, asset management, and robust security infrastructure, enabling businesses to improve financial operations with security and efficiency.</t>
  </si>
  <si>
    <t>Outlier Ventures(Francesca Conti)</t>
  </si>
  <si>
    <t>279255-70T</t>
  </si>
  <si>
    <t>Fruta imperfeita</t>
  </si>
  <si>
    <t>Provider of fruit and vegetable subscriptions intended to reduce wastage. The company specializes in surprise baskets with varied contents, reusable packaging, flexible frequency, free delivery, and partnership options, enabling users to access low-cost food while supporting producers and minimizing waste.</t>
  </si>
  <si>
    <t>Food To Save(Lucas Infante)</t>
  </si>
  <si>
    <t>Other Restaurants, Hotels and Leisure</t>
  </si>
  <si>
    <t>278340-49T</t>
  </si>
  <si>
    <t>Sinatra (Business/Productivity Software)</t>
  </si>
  <si>
    <t>Operator of an AI-based co-pilot service platform intended to detect and solve problems in e-commerce. The company's platform offers strategic decisions based on centralized data, analytical management and trends, back office operationalization, e-commerce data, and web analytics data, enabling clients to enhance maximum efficiency and security.</t>
  </si>
  <si>
    <t>Beatriz Standard(Beatriz Standard), Cristiano Hypolito(Cristiano Hypolito), Latitud, Mario Augusto Sa, Quality Digital, Startup SC</t>
  </si>
  <si>
    <t>278365-06T</t>
  </si>
  <si>
    <t>Zemo Bank</t>
  </si>
  <si>
    <t>Developer of a digital FinTech platform intended to integrate financial services to optimize cash flow and profitability. The company's platform facilitates high-volume financial transactions between large corporations and their suppliers and facilitates real-time monitoring of transactions, enabling users to automate their company's financial transactions.</t>
  </si>
  <si>
    <t>Bertha Capital(Rafael Moreira)</t>
  </si>
  <si>
    <t>279255-61T</t>
  </si>
  <si>
    <t>Almah Sistemas</t>
  </si>
  <si>
    <t>Developer of management software intended for condominium administration. The company offers comprehensive solutions for condominium management, including financial management, maintenance coordination, and communication tools, enabling administrators to streamline operations and enhance efficiency, ensuring a seamless and transparent management process for residents and property managers.</t>
  </si>
  <si>
    <t>Porter Group (IT Consulting and Outsourcing)(Fabio Beal)</t>
  </si>
  <si>
    <t>248005-36T</t>
  </si>
  <si>
    <t>Apoia</t>
  </si>
  <si>
    <t>Developer of an educational platform designed to provide AI-personalized courses and tools. The company offers customized courses, high quality content built by the professionals and the latest technology, virtual assistant supports, English course and custom templates, enabling users will their customers training and development courses.</t>
  </si>
  <si>
    <t>Big Bets, Bluestone Capital, Reach Capital(Esteban Sosnik)</t>
  </si>
  <si>
    <t>Educational Software</t>
  </si>
  <si>
    <t>282096-73T</t>
  </si>
  <si>
    <t>Cotesa Engenharia</t>
  </si>
  <si>
    <t>Provider of operation and maintenance engineering services intended for electrical assets in power generation and transmission. The company specializes in O&amp;M services for power generation and transmission assets serving the renewable energy sector.</t>
  </si>
  <si>
    <t>Cymi Construcoes e Participacoes</t>
  </si>
  <si>
    <t>278666-92T</t>
  </si>
  <si>
    <t>Parati Crédito Financiamento e Investimento</t>
  </si>
  <si>
    <t>Provider of payroll loan solutions based in Vitória, Brazil. The company launched a banking-as-a-service platform for digital correspondents that serves as the backend to host fintech startups, thereby enabling allowing non-financial companies to easily and efficiently launch innovative financial products.</t>
  </si>
  <si>
    <t>Meu Tudo</t>
  </si>
  <si>
    <t>297036-37T</t>
  </si>
  <si>
    <t>Consist Multi Family Office</t>
  </si>
  <si>
    <t>Provider of multi-family office services intended to support high-net-worth families in Brazil and internationally with comprehensive wealth management and succession planning services. The company's services include financial planning, investment advisory, tax optimization, and estate structuring, leveraging a multidisciplinary team to assist affluent families in preserving and growing their wealth across generations, ensuring alignment with their long-term objectives and values.</t>
  </si>
  <si>
    <t>Vita Investimentos(Ricardo Guimaraes)</t>
  </si>
  <si>
    <t>278097-94T</t>
  </si>
  <si>
    <t>Imobia ( Financial Software)</t>
  </si>
  <si>
    <t>Developer of rental management platform designed for rent collection for real estate agencies The company offers invoices automatically generated and sent via email and sms with automatic invoice updates, sends payment reminders until the due date of the charge, collects fees such as property tax, condominium fees, and other taxes, reports on late charges, charges received, enabling users to reduce conflicts and smoothen the renting process.</t>
  </si>
  <si>
    <t>SC Angels(Cacio Packer)</t>
  </si>
  <si>
    <t>278172-64T</t>
  </si>
  <si>
    <t>Rhino (Automotive)</t>
  </si>
  <si>
    <t>Developer of an online ride-hailing platform intended for comfortable and hassle-free travel. The company provides luxury, armored cars from its fleet or rented with highly trained and experienced drivers, enabling customers to request a car, track their journey in real-time, and access driver information.</t>
  </si>
  <si>
    <t>4Equity, Clapper Venture, European Investment Fund, TMT Investments (LON: TMT), Vitaly Bedarev(Vitaly Bedarev)</t>
  </si>
  <si>
    <t>277880-41T</t>
  </si>
  <si>
    <t>Dobe (Clothing)</t>
  </si>
  <si>
    <t>Operator of a clothing retail company based out of Brasília, Brazil. The company offers coats, pants, t-shirts, collarless polo shirts, and bermuda.</t>
  </si>
  <si>
    <t>Clothing</t>
  </si>
  <si>
    <t>282394-81T</t>
  </si>
  <si>
    <t>LastWish</t>
  </si>
  <si>
    <t>Operator of the messaging platform intended to facilitate the delivery of last wishes and messages after death. The company offers digital will, inventory calculator, time capsule, stored wishes, and psychological support for grief, enabling individuals to preserve the memory and wishes of the deceased, offering comfort and closure.</t>
  </si>
  <si>
    <t>Bossa Invest</t>
  </si>
  <si>
    <t>278228-08T</t>
  </si>
  <si>
    <t>Novvo Bem Estar</t>
  </si>
  <si>
    <t>Producer of a pre-drink pill intended to neutralize alcohol toxins and prevent hangover symptoms. The company offers scientifically-backed, expert-developed products tested in international laboratories, enabling consumers who enjoy socializing and drinking to feel refreshed and avoid hangovers the next day.</t>
  </si>
  <si>
    <t>BR Angels(Orlando Cintra), JBR Partners Capital, Orgânica Participações</t>
  </si>
  <si>
    <t>Other Consumer Non-Durables</t>
  </si>
  <si>
    <t>277785-91T</t>
  </si>
  <si>
    <t>Blip (Belo Horizonte)</t>
  </si>
  <si>
    <t>Developer of a communication platform designed to serve intelligently on the digital channel. The company's technology is a router that directs brand conversations with their customers to bots with artificial intelligence and human attendants and helps companies chat with customers on social media channels, thereby creating engagement, service, and sales.</t>
  </si>
  <si>
    <t>Accel Management Company, M12, SoftBank Group (TKS: 9984), Warburg Pincus</t>
  </si>
  <si>
    <t>277835-95T</t>
  </si>
  <si>
    <t>Real Engenharia</t>
  </si>
  <si>
    <t>Developer of a construction platform intended to manage and deliver civil engineering projects.The company offers a proven track record, expertise in various construction phases, enabling property developers and investors to achieve their project goals efficiently.</t>
  </si>
  <si>
    <t>Alpha Key Capital Management(Christian Keleti)</t>
  </si>
  <si>
    <t>278499-52T</t>
  </si>
  <si>
    <t>SPE Linha Verde I</t>
  </si>
  <si>
    <t>Provider of public electric power transmission services based in Belo Horizonte, Brazil. The company offers construction, operation, and maintenance services for transmission projects.</t>
  </si>
  <si>
    <t>Caisse de dépôt et placement du Québec</t>
  </si>
  <si>
    <t>292619-80T</t>
  </si>
  <si>
    <t>TeamMove</t>
  </si>
  <si>
    <t>Developer of a communication platform designed to focus on managing the team's activities that are aligned with the main indicators of the company. The company's platform provides information simply and objectively as per a person's role and profile with a centralized view of the entire operation by eliminating the need to log in to multiple applications that connect to the main management and operation software, enabling businesses to increase people's engagement and help retain talent.</t>
  </si>
  <si>
    <t>Catarinense Technology Association</t>
  </si>
  <si>
    <t>277810-39T</t>
  </si>
  <si>
    <t>WeVets</t>
  </si>
  <si>
    <t>Operator of veterinary hospitals based in São Paulo and Porto Alegre in Brazil. The company offers vaccination, lab tests, imaging exams, surgery and various treatments, thereby helping in attaining specific and personalized care for pets.</t>
  </si>
  <si>
    <t>L Catterton(Ramiro Lauzan)</t>
  </si>
  <si>
    <t>277101-19T</t>
  </si>
  <si>
    <t>4ARTZ</t>
  </si>
  <si>
    <t>Developer of a digital platform designed to connect artists and art enthusiasts. The company's platform offers artists a space to display and manage their portfolios, alongside tools for promotion and direct sales, facilitating interaction and transaction, providing artists with increased visibility and broader market access, and art collectors or enthusiasts a way to discover diverse artworks.</t>
  </si>
  <si>
    <t>278741-71T</t>
  </si>
  <si>
    <t>Itaminas</t>
  </si>
  <si>
    <t>Operator of a mining company, based in Minas Gerais, Brazil. The company deals in extracting iron ores, by using open-pit mining and ore treatment methods.</t>
  </si>
  <si>
    <t>RDA Mineração</t>
  </si>
  <si>
    <t>281304-55T</t>
  </si>
  <si>
    <t>EPOC (Business/Productivity Software)</t>
  </si>
  <si>
    <t>Developer of a digital enterprise platform intended for the food and entertainment industries. The company offers integrated software that permits user overview of all financial and operational information for pubs, nightclubs, restaurants, parties, and events, enabling bars and restaurants to transform customer service with the help of technologies</t>
  </si>
  <si>
    <t>277806-97T</t>
  </si>
  <si>
    <t>Eu Médico Residente Ensino</t>
  </si>
  <si>
    <t>Provider of educational services for medical residency and Revalida exams. The company offers preparatory courses that provide an extensive review of medical basics and contextualize knowledge in practice with services including access to a database of questions, personalized revision schedules and performance metric analysis, helping students prepare for exams.</t>
  </si>
  <si>
    <t>IBCMED</t>
  </si>
  <si>
    <t>277490-26T</t>
  </si>
  <si>
    <t>Privacy Tools</t>
  </si>
  <si>
    <t>Developer of privacy and data protection platform designed for compliance projects. The company's platform is based on artificial intelligence and blockchain that allows users to comply with the protection of personal data for consent management and data subject request automation, helping global companies to be compliant with data protection requirements.</t>
  </si>
  <si>
    <t>277458-76T</t>
  </si>
  <si>
    <t>Renter</t>
  </si>
  <si>
    <t>Provider of information technology (IT) equipment rental services based in Sao Paulo, Brazil.</t>
  </si>
  <si>
    <t>Partner Ventures, Voke</t>
  </si>
  <si>
    <t>Computers, Parts and Peripherals</t>
  </si>
  <si>
    <t>277375-24T</t>
  </si>
  <si>
    <t>Cervello (Business Productivity Software)</t>
  </si>
  <si>
    <t>Developer of business process management software intended for process optimization and standardization. The company's platform focuses on meeting specific organizational needs through structuring and automating workflows, enabling businesses of various scales to manage tickets, integrate workflows, and enhance operational efficiency across user and managerial levels.</t>
  </si>
  <si>
    <t>277906-60T</t>
  </si>
  <si>
    <t>Cobransaas</t>
  </si>
  <si>
    <t>Developer of a loan and debt collection management platform intended to serve investment managers, banks, card administrators and retailers. The company's platform offers features such as activations and reminders to debtors, judicial recovery including negative listing in credit bureaus and management of collection consultancies, and also provides application architecture, web development, mobile development, and iT migration services, thereby enabling clients to analyze non-performing portfolios.</t>
  </si>
  <si>
    <t>Celcoin(Marcelo França)</t>
  </si>
  <si>
    <t>278076-34T</t>
  </si>
  <si>
    <t>Intercement</t>
  </si>
  <si>
    <t>Manufacturer of cement products intended for the global construction industry market. The company specializes in the production of cement, aggregates, concrete, and limestone for wholesalers, distributors, concrete producers, and industrial clients, among others.</t>
  </si>
  <si>
    <t>Building Products</t>
  </si>
  <si>
    <t>277915-78T</t>
  </si>
  <si>
    <t>Odonto Rad</t>
  </si>
  <si>
    <t>Operator of a private college intended to offer courses on health care. The company offers graduation courses in medicine, dentistry, and physiotherapy.</t>
  </si>
  <si>
    <t>277672-60T</t>
  </si>
  <si>
    <t>Legacy Capital Portfolio Renda Mais</t>
  </si>
  <si>
    <t>Operator of a closed-ended fund based in Sao Paulo, Brazil. The company offers an investment fund that has a fixed number of shares issued at its launch and is closed to new capital after that.</t>
  </si>
  <si>
    <t>277877-17T</t>
  </si>
  <si>
    <t>Provet (Brazil)</t>
  </si>
  <si>
    <t>Operator of centers for diagnostics and veterinary specialties intended for pets and domestic animals. The company offers a range of treatments and medicines for animals, enabling people to take care of their pets.</t>
  </si>
  <si>
    <t>Anjost Investment, Hindiana, IGNIA Partners, L Catterton, Monashees, PetLove, Riverwood Capital(Francisco Alvarez-Demalde), SoftBank Latin America Fund(Paulo Passoni), Spectra Investments, Tarpon Capital</t>
  </si>
  <si>
    <t>277142-50T</t>
  </si>
  <si>
    <t>Tako</t>
  </si>
  <si>
    <t>Developer of an employee life cycle platform designed to automate tasks like onboarding to offboarding and eliminate the inefficiencies of scattered tools and third-party providers. The company's platform provides employees with a dashboard to view information and access an interactive paystub meant to increase transparency with the help of an LLM to keep up with these constant changes, enabling users to get rid of having to use manual updates to multiple systems with employee information.</t>
  </si>
  <si>
    <t>Andreessen Horowitz(Eric Alby), Eric Glyman, Karim Atiyeh(Karim Atiyeh), ONEVC, Ribbit Capital</t>
  </si>
  <si>
    <t>269362-00T</t>
  </si>
  <si>
    <t>Tok &amp; Stok</t>
  </si>
  <si>
    <t>Operator of a retail chain for home furniture and furnishings products in Brazil. The company offers a variety of furniture for bedrooms, living rooms, kitchens, offices, dining rooms, laundry and bathrooms as well as provides accessories such as maintenance gear, kitchen wear and crafts, including home decor, thereby enabling consumers to get durable, fair quality and fair price products.</t>
  </si>
  <si>
    <t>Grupo Toky (BVMF: TOKY3)</t>
  </si>
  <si>
    <t>294436-45T</t>
  </si>
  <si>
    <t>OnNet Telecom</t>
  </si>
  <si>
    <t>Operator of a telecommunications company catering to residential and business customers across the Alto Paranaíba, Triângulo Mineiro, and northern regions of Minas Gerais. The company offers fiber-optic internet, digital TV, fixed-line telephony, business internet with dedicated IP, and local customer support.</t>
  </si>
  <si>
    <t>Brasil Serviços de Tecnologia(Gustavo Stock)</t>
  </si>
  <si>
    <t>Telecommunications Service Providers</t>
  </si>
  <si>
    <t>276989-86T</t>
  </si>
  <si>
    <t>Pravaler</t>
  </si>
  <si>
    <t>Provider of financial assistance intended for students seeking educational opportunities. The company's platform offers monetary assistance which includes educational loans for undergraduate, graduate and distance learning courses, enabling pupils to find universities as per their budget and get fees and scholarships consultancy.</t>
  </si>
  <si>
    <t>Consumer Finance</t>
  </si>
  <si>
    <t>279004-69T</t>
  </si>
  <si>
    <t>Identi (Business/Productivity Software)</t>
  </si>
  <si>
    <t>Developer of a digital platform designed to make digital identity accessible in rural regions. The company's platform allows farmers to manage their data without needing internet or smart devices, paving the way for more secure and decentralized identity solutions in remote communities, enabling farmers to unlock digital and financial access by transforming voice into a gateway to the digital economy.</t>
  </si>
  <si>
    <t>Outlier Ventures(Jon Valero Odriozola)</t>
  </si>
  <si>
    <t>259256-35T</t>
  </si>
  <si>
    <t>Infragás</t>
  </si>
  <si>
    <t>Operator of a holding company based in Florianopolis, Brazil.</t>
  </si>
  <si>
    <t>Energisa (BVMF: ENGI3)(Ricardo Botelho)</t>
  </si>
  <si>
    <t>288523-63T</t>
  </si>
  <si>
    <t>Mercado Único</t>
  </si>
  <si>
    <t>Developer of an Artificial Intelligence-powered B2B platform intended to support food industries in selling excess inventory. The company's platform connects retailers and distributors to manufacturers who offer products nearing their expiration dates or with cosmetic defects at discounted prices, enabling suppliers to avoid additional disposal costs and reduce excess stock waste.</t>
  </si>
  <si>
    <t>Rockstart</t>
  </si>
  <si>
    <t>268415-20T</t>
  </si>
  <si>
    <t>Revi (Sao Paulo)</t>
  </si>
  <si>
    <t>Developer of a marketing platform designed to help businesses with WhatsApp marketing and conversational commerce. The company's platform offers to automate and personalize WhatsApp marketing campaigns through artificial intelligence and offers an ideal target audience and creates personalized messages that resonate with each segment, enabling businesses to track customer journeys and offer customer support through WhatsApp.</t>
  </si>
  <si>
    <t>Crivo, StaminaVC, Veredas Partners, Verve Capital</t>
  </si>
  <si>
    <t>276760-72T</t>
  </si>
  <si>
    <t>VarejOnline</t>
  </si>
  <si>
    <t>Developer of an enterprise resource planning platform designed to meet the administrative and operational demands of the retail segment. The company's platform allows integration of the external digital platform into the system, centralization of information, and the monitoring of data in real-time, enabling segments of clothing, footwear, accessories, gifts, and others to make the operation of their stores more standardized, efficient, and profitable.</t>
  </si>
  <si>
    <t>Totvs (BVMF: TOTS3)(Dennis Herszkowicz)</t>
  </si>
  <si>
    <t>277190-92T</t>
  </si>
  <si>
    <t>Kapô</t>
  </si>
  <si>
    <t>Operator of a rental car platform based in Brasilia, Brazil. The company offers wide range of vehicles, assistance and personalized services.</t>
  </si>
  <si>
    <t>Primavia Group</t>
  </si>
  <si>
    <t>276637-42T</t>
  </si>
  <si>
    <t>lerian (Financial Software)</t>
  </si>
  <si>
    <t>Developer of a financial platform designed to enable secure, scalable, and robust management of high-volume transactions. The company offers cutting-edge software architecture, extensive technical expertise, and a commitment to open-source development, enabling companies and developers to optimize infrastructure within the financial services sector.</t>
  </si>
  <si>
    <t>Crivo Ventures, Maya Capital (Brazil)(Lara Lemann), Norte Ventures, Quartz (Brazil), Supera Capital</t>
  </si>
  <si>
    <t>276682-87T</t>
  </si>
  <si>
    <t>Mercado de Recebíveis</t>
  </si>
  <si>
    <t>Developer of financial software designed to operate in the financial sector. The company's software offers services for cash management and greater liquidity, enabling businesses to access their receivables from card and commercial invoices.</t>
  </si>
  <si>
    <t>1289 Capital</t>
  </si>
  <si>
    <t>276800-68T</t>
  </si>
  <si>
    <t>Norgás</t>
  </si>
  <si>
    <t>Operator of a holding company with interests in piped gas distributors located in different states of Brazil. The company currently holds five companies which operate in natural gas production and supply.</t>
  </si>
  <si>
    <t>276571-90T</t>
  </si>
  <si>
    <t>Multiledgers</t>
  </si>
  <si>
    <t>Developer of a blockchain platform designed to help companies build and manage blockchain networks. The company offers an agnostic platform with multi-cloud and multi-blockchain protocol capabilities, enabling customers to accelerate their blockchain projects and enter the production stage safely and robustly.</t>
  </si>
  <si>
    <t>Indicator Capital(Derek Bittar), koyamaki, Oxygea(Vitor Moreira)</t>
  </si>
  <si>
    <t>276306-58T</t>
  </si>
  <si>
    <t>Shopper</t>
  </si>
  <si>
    <t>Operator of an online supermarket platform intended to help automate consumers' purchasing process. The company's offerings include non-perishable food, beverages, cleaning products, toiletries, utilities, pet food, craft beer, and healthy snacks among other products, enabling consumers to get the delivery of goods at a reasonable price at home.</t>
  </si>
  <si>
    <t>4Equity, Fegik Investimentos, GIC Private, iFood.com Agencia de Restaurantes Online, Minerva Foods (BVMF: BEEF3)</t>
  </si>
  <si>
    <t>Internet Retail</t>
  </si>
  <si>
    <t>275834-89T</t>
  </si>
  <si>
    <t>CredAluga</t>
  </si>
  <si>
    <t>Provider of flexible financial services designed for leasing purposes. The company's platform offers tailored credit options, competitive interest rates, and streamlined application processes, enabling businesses to access financing solutions that simplify vehicle ownership and leasing, enhancing affordability and accessibility within the automotive market.</t>
  </si>
  <si>
    <t>Caravela Capital, FJ Labs, Honey Island Capital, Norte Ventures, Terracotta Ventures</t>
  </si>
  <si>
    <t>277957-99T</t>
  </si>
  <si>
    <t>FRANQ</t>
  </si>
  <si>
    <t>Developer of a financial platform designed to connect people and companies to financial products through self-employed bankers and investment advisors. The company's platform guarantees the independence and autonomy of independent professionals working in the financial market and brings freedom and transparency to consumers, enabling clients to access products and services from banks, fintech, and insurance companies, to select the ones that suit their needs, their customers, end consumers or small and medium-sized enterprises.</t>
  </si>
  <si>
    <t>Globo Ventures, Quona Capital(Jonathan Whittle), Valor Capital Group(Carlos Costa)</t>
  </si>
  <si>
    <t>276455-53T</t>
  </si>
  <si>
    <t>Instabov Desenvolvimento De Tecnologia</t>
  </si>
  <si>
    <t>Operator of precision beef cattle farming focused on real-time geolocation monitoring of animals. The company offers virtual fencing, identification of intruders, animal management, behavior monitoring and evasion alerts for the herd.</t>
  </si>
  <si>
    <t>Belgo Bekaert Arames</t>
  </si>
  <si>
    <t>Animal Husbandry</t>
  </si>
  <si>
    <t>277198-66T</t>
  </si>
  <si>
    <t>Lacan Ativos Reais</t>
  </si>
  <si>
    <t>Operator of an alternative investment platform intended to invest in forestry assets. The company offers sustainable forestry management, aligning with ESG principles, enabling investors to contribute to environmental conservation while achieving long-term financial returns.</t>
  </si>
  <si>
    <t>Vinci Compass Investments (NAS: VINP)(Alessandro Horta)</t>
  </si>
  <si>
    <t>288560-53T</t>
  </si>
  <si>
    <t>Porfin</t>
  </si>
  <si>
    <t>Developer of an artificial intelligence-based platform designed for financial management. The company's platform offers agents that are continuously improved by machine learning and provide data-driven monitoring of services and results in real-time, enabling clients to take care of their customers for better retention.</t>
  </si>
  <si>
    <t>big_bets, NFX(James Currier)</t>
  </si>
  <si>
    <t>276441-04T</t>
  </si>
  <si>
    <t>Precisao-I Consulting</t>
  </si>
  <si>
    <t>Developer of shareholder meeting software catering to publicly-held companies in the Brazilian market. The company offers a registration and management tool, a digital meeting platform, a hybrid meeting platform, online voting and immediate result tabulation, facilitating and streamlining the company's meeting process.</t>
  </si>
  <si>
    <t>Atlas Governance(Eduardo Carone)</t>
  </si>
  <si>
    <t>279323-02T</t>
  </si>
  <si>
    <t>APR Insurance Broker</t>
  </si>
  <si>
    <t>Provider of insurance brokerage services specializing in corporate and employee benefits. The company offers a range of insurance solutions, including property, casualty, and health insurance, enabling businesses to mitigate risks and protect their assets.</t>
  </si>
  <si>
    <t>MDS Group(Ariel Couto)</t>
  </si>
  <si>
    <t>290817-46T</t>
  </si>
  <si>
    <t>Amaril Franklin Securities Brokerage</t>
  </si>
  <si>
    <t>Provider of financial services based in Belo Horizonte, Brazil. The company provides securities brokerage services offering custody of shares, investment funds, direct treasury, exchange and fixed income products along with financial market consultancy, real estate administration and insurance broking services.</t>
  </si>
  <si>
    <t>Warren Investimentos</t>
  </si>
  <si>
    <t>Multi-line Insurance</t>
  </si>
  <si>
    <t>291887-02T</t>
  </si>
  <si>
    <t>Baasic.</t>
  </si>
  <si>
    <t>Developer of integrated financial infrastructure designed for embedding financial services into non-banking businesses. The company offers consultancy services and includes secure, cloud-based technology with full back-office capabilities, customizable digital interfaces, regulatory compliance support, and operational assistance, enabling clients to generate new revenue streams through tailored financial services without altering their core business models.</t>
  </si>
  <si>
    <t>Grupo Integrado</t>
  </si>
  <si>
    <t>277179-13T</t>
  </si>
  <si>
    <t>Balcão Agrícola do Brasil</t>
  </si>
  <si>
    <t>Developer of risk management tool design for Brazilian Agribusiness. The company offers product listings, buyer search, communication tools, payment and logistics management, market information and analysis, providing clients with safe and reliable hedging tools.</t>
  </si>
  <si>
    <t>Rumo (BVMF: RAIL3)</t>
  </si>
  <si>
    <t>244342-00T</t>
  </si>
  <si>
    <t>MyNews</t>
  </si>
  <si>
    <t>Operator of a publishing platform intended for innovative and independent journalism. The company's platform publishes quality information, with context and analysis for numerous fields including business, finance, sports, current affairs, and much more, providing readers and viewers with a wide range of information and news from various genres.</t>
  </si>
  <si>
    <t>Media Development Investment Fund(Marie Nemcova)</t>
  </si>
  <si>
    <t>283869-19T</t>
  </si>
  <si>
    <t>Nexo Jornal</t>
  </si>
  <si>
    <t>Operator of a digital newspaper platform intended to bring various contexts to the news which will help to increase access to data and statistics. The company's platform offers precise explanations and balanced interpretations of the main facts of Brazil and the world, enabling readers to receive contextual information with regard to various important news from Brazil and around the world.</t>
  </si>
  <si>
    <t>Media Development Investment Fund</t>
  </si>
  <si>
    <t>276287-77T</t>
  </si>
  <si>
    <t>OxPay (Financial Software)</t>
  </si>
  <si>
    <t>Developer of a digital account designed for the transport sector. The company's digital account offers features like multiple-user access, an easy-to-integrate API and strong security measures, enabling companies to eliminate bureaucracy in driver payments, automate payments and make batch payments via PIX, TED and boleto.</t>
  </si>
  <si>
    <t>Golden Equator Capital, SRM Ventures(Andre Szapiro)</t>
  </si>
  <si>
    <t>298010-44T</t>
  </si>
  <si>
    <t>Salutho</t>
  </si>
  <si>
    <t>Developer of a digital health platform designed to streamline clinical operations and enhance patient care. The company offers integrated scheduling, electronic health records, teleconsultations, e-prescriptions, electronic medical records, and financial management tools, enabling healthcare professionals and clinics to increase efficiency and improve patient experience.</t>
  </si>
  <si>
    <t>Biominas Brasil</t>
  </si>
  <si>
    <t>295511-68T</t>
  </si>
  <si>
    <t>Topway</t>
  </si>
  <si>
    <t>Producer of personalized nutritional supplements intended to provide nutrition and encourage good health. The company's nutritional supplements are macronutrient-balanced, plant-based protein products optimized with complex carbs intended to reduce stress and anxiety, enabling health-conscious consumers and professional athletes to gain energy and reach their health goals.</t>
  </si>
  <si>
    <t>Lore Improta(Lore Improta), Léo Santana(Léo Santana)</t>
  </si>
  <si>
    <t>276952-42T</t>
  </si>
  <si>
    <t>Ultrapão Alimentos</t>
  </si>
  <si>
    <t>Producer of frozen bread products catering to supermarkets and bakeries. The company offers a diverse range of quality frozen breads such as cookies, bagels, cornbreads, and much more, along with technical services, and training programs, enabling businesses to streamline production, reduce costs, and deliver fresh, flavorful bread to their customers.</t>
  </si>
  <si>
    <t>Allievo Capital</t>
  </si>
  <si>
    <t>276501-88T</t>
  </si>
  <si>
    <t>ZCore Network</t>
  </si>
  <si>
    <t>Developer of blockchain network focused intended for crypto market. The company offers security and performance to the crypto market and integrates digital finance with the traditional market.</t>
  </si>
  <si>
    <t>259515-46T</t>
  </si>
  <si>
    <t>AES Brasil</t>
  </si>
  <si>
    <t>AES Brasil Energia SA is engaged in the production, transmission, and commercialization of energy. Its portfolio consists of hydraulic, wind, and solar sources, with plants located in the states of Sao Paulo, Bahia, and Rio Grande do Norte. The company operates mainly in the electric power generation sector. It is focused on clean and sustainable energy.</t>
  </si>
  <si>
    <t>Auren Energia (BVMF: AURE3)</t>
  </si>
  <si>
    <t>276524-02T</t>
  </si>
  <si>
    <t>Inapós</t>
  </si>
  <si>
    <t>Operator of a college based in Pouso Alegre, Brazil. The group operates in the health area, exclusively with medicine and now also with dentistry.</t>
  </si>
  <si>
    <t>Clariens Educação(Pedro Regazzo)</t>
  </si>
  <si>
    <t>279643-69T</t>
  </si>
  <si>
    <t>WPS Brasil</t>
  </si>
  <si>
    <t>Operator of automated parking service catering to airports, hospitals, local governments, hotels, leisure, shopping malls and parking operators. The company offers entry and exit terminals, automated payment stations and license plate recognition systems, enabling parking facility operators to streamline operations, enhance security and improve customer convenience.</t>
  </si>
  <si>
    <t>Perto (Brazil)(Thomas Elbling)</t>
  </si>
  <si>
    <t>251075-80T</t>
  </si>
  <si>
    <t>Stay Technologies</t>
  </si>
  <si>
    <t>Developer of a digital financial management platform designed to help businesses and their employees invest for the future. The company's platform helps companies offer a variety of benefits to help employees make informed financial decisions, including retirement savings, health insurance, and financial education, enabling businesses to reduce costs and engage their employees.</t>
  </si>
  <si>
    <t>17Sigma, Aaron Schumm(Aaron Schumm), Better Tomorrow Ventures, Grão (São Paulo), Maya Capital (Brazil), Rally Cap VC, Roger Lee(Roger Lee), Sequoia Capital</t>
  </si>
  <si>
    <t>280662-85T</t>
  </si>
  <si>
    <t>4KST</t>
  </si>
  <si>
    <t>Operator of an artificial intelligence-based data analysis platform intended to build predictive models. The company's platform offers predictive analytics, credit analysis, fraud detection and other data-driven services to reduce defaults and fraud and recommends the right customers to minimize chances of evasion, enabling companies to detect the dynamics of data.</t>
  </si>
  <si>
    <t>278458-66T</t>
  </si>
  <si>
    <t>Azure Investimentos</t>
  </si>
  <si>
    <t>Operator of a financial services company intended to provide personalized investment solutions. The company offers a range of services, including investment advisory and portfolio management, enabling clients to achieve their long-term financial goals.</t>
  </si>
  <si>
    <t>Other Capital Markets/Institutions</t>
  </si>
  <si>
    <t>272598-94T</t>
  </si>
  <si>
    <t>FormulaXR</t>
  </si>
  <si>
    <t>Developer of a multi-user virtual reality platform designed to create immersive training modules. The company's platform offers a codeless workflow, remote collaboration, and digital twin, enabling businesses to create immersive content and manage virtual reality conferences autonomously.</t>
  </si>
  <si>
    <t>Bossa Invest, KPTL(Diego Bertolin), Rock9 Ventures</t>
  </si>
  <si>
    <t>277243-66T</t>
  </si>
  <si>
    <t>Mg Net Informatics And Services</t>
  </si>
  <si>
    <t>Provider of broadband services intended for the business and residential market. The company offers high-speed internet services to various municipalities, enabling residents and businesses to access reliable and efficient online connectivity, enhancing their digital experience.</t>
  </si>
  <si>
    <t>Proxxima Telecommunications</t>
  </si>
  <si>
    <t>277249-51T</t>
  </si>
  <si>
    <t>Pontomed Pré-Vestibular</t>
  </si>
  <si>
    <t>Operator of a medical preparatory course institute intended to prepare students to enter higher education in renowned institutions in the medical course. The company offers professional teachers, mock exams, reviews, courses, updated materials, and individual support.</t>
  </si>
  <si>
    <t>Inspira Mudança Participações</t>
  </si>
  <si>
    <t>295562-44T</t>
  </si>
  <si>
    <t>Supermídia</t>
  </si>
  <si>
    <t>Developer of a digital communication platform designed to maximize sales. The company's platform offers multiple solutions such as complete management of price disclosure, promotional activities, content and retail media, helps to modernize retail, generating impulse sales and adding value to its clients' brands and offers technologies that optimize price management, promote consumer loyalty and drive retail growth, enabling brands to get a simplified solution to team's work and makes communication with the customer agile and effective.</t>
  </si>
  <si>
    <t>Startups in Lab</t>
  </si>
  <si>
    <t>295562-62T</t>
  </si>
  <si>
    <t>Microsoft for Startups</t>
  </si>
  <si>
    <t>276186-16T</t>
  </si>
  <si>
    <t>Tappaggo Information Technology Services</t>
  </si>
  <si>
    <t>Developer of phone platform intended to transform the cell phone into a contactless payment machine. The company's platform transforms phones into contactless payments of credit cards, Pix, QR codes, conventional credit, recurring payments, debit pix, approximation, payment links and tickets.</t>
  </si>
  <si>
    <t>Afinz(Claudio Yamaguchi)</t>
  </si>
  <si>
    <t>Application Software</t>
  </si>
  <si>
    <t>278253-91T</t>
  </si>
  <si>
    <t>Eduvem</t>
  </si>
  <si>
    <t>Developer a digital education platform intended to build corporate universities. The company's platform integrates multiple functionalities into a single system such as education, events, social networking, knowledge, digital training, and development providing a unified educational experience, enabling clients to evolve employee and customer training processes.</t>
  </si>
  <si>
    <t>276194-44T</t>
  </si>
  <si>
    <t>Multivix</t>
  </si>
  <si>
    <t>Provider of college education services intended to serve students of all ages. The company offers graduation, second-degree, scholarship, and post-graduate programs.</t>
  </si>
  <si>
    <t>Bpifrance, CPP Investments(Alain Carrier), Galileo Global Education(Kamil Senhaji), Montagu Private Equity(Guillaume Jabalot), Tethys Investments</t>
  </si>
  <si>
    <t>272285-38T</t>
  </si>
  <si>
    <t>Oi Telecommunications (BVMF: OIBR3)</t>
  </si>
  <si>
    <t>Oi SA is a provider of telecommunication services. The company's operating segment include Residential; Personal mobility and Other services and business. It generates maximum revenue from the Residential segment. The Residential Services segment focused on the sale of fixed telephony services, including voice services, data communication services (broadband).</t>
  </si>
  <si>
    <t>266920-84T</t>
  </si>
  <si>
    <t>Bits Academy</t>
  </si>
  <si>
    <t>Developer of a legal design software designed to translate legal documents into simple words. The company's software makes communication easier, generates more sales, increases customer satisfaction and eliminates bureaucracy and can also be used to apply legal design to own documents easily with the help of a clause library, icon library and tool to track changes, compare of documents and document automation, enabling customers to understand legal documentation.</t>
  </si>
  <si>
    <t>Anjos do Brasil(Leandro Fariello), Bossa Invest, HBS Alumni Angels of Brazil, Insper Angels, Levain Ventures, Quintal Ventures, Valora Ventures, Westwood Capital (Brazil)</t>
  </si>
  <si>
    <t>277102-54T</t>
  </si>
  <si>
    <t>Datta Business</t>
  </si>
  <si>
    <t>Operator of a a marketing platform intended to optimize digital investment strategies and performance analysis. The company offers real-time data analysis, AI-driven optimization, and comparative performance tracking, centralizing and facilitating the analysis of companies' marketing performance, enabling franchises, entrepreneurs, traffic managers, and agencies to gain clarity and make informed decisions about their digital investments.</t>
  </si>
  <si>
    <t>287995-96T</t>
  </si>
  <si>
    <t>Linhares Geração</t>
  </si>
  <si>
    <t>Operator of a thermal power plant based in Linhares, Brazil.</t>
  </si>
  <si>
    <t>Eneva (BVMF: ENEV3)</t>
  </si>
  <si>
    <t>275614-84T</t>
  </si>
  <si>
    <t>Scala Data Centers</t>
  </si>
  <si>
    <t>Operator of a hyper-scalable data center platform intended for the development of digital infrastructure. The company offers expertise colocation and connectivity services, enabling cloud service providers and large corporations to scale agilely and flexibly.</t>
  </si>
  <si>
    <t>Systems and Information Management</t>
  </si>
  <si>
    <t>277194-97T</t>
  </si>
  <si>
    <t>Atex Telecom</t>
  </si>
  <si>
    <t>Operator of fiber optic internet service provider company based out of Açailândia, Maranhão. The company offers internet packages and download and upload speeds up to 650 mega, with 24/7 support, and telecom and equipment rental services in addition to their internet contracts.</t>
  </si>
  <si>
    <t>Alloha Fibra</t>
  </si>
  <si>
    <t>275751-01T</t>
  </si>
  <si>
    <t>Augen</t>
  </si>
  <si>
    <t>Developer of digital technology intended for water analysis and treatment. The company's technology provides analysis, treatment, sanitation, and digital management of water using IoT technology, enabling people to have drinking water in their homes.</t>
  </si>
  <si>
    <t>Biosolvit</t>
  </si>
  <si>
    <t>281440-00T</t>
  </si>
  <si>
    <t>Bgr B32 Fundo De Investimento Imobiliario (BVMF: BGRB11)</t>
  </si>
  <si>
    <t>Bgr B32 Fundo De Investimento Imobiliario operates as a real estate trust fund.</t>
  </si>
  <si>
    <t>276195-52T</t>
  </si>
  <si>
    <t>Pax Lubrificantes</t>
  </si>
  <si>
    <t>Manufacturer of specialized lubricating greases intended for industries, such as automotive, manufacturing, and mining. The company offers a comprehensive range of greases formulated to withstand extreme conditions, reduce friction, and prevent wear, enabling clients to achieve maximum equipment uptime, minimize maintenance costs, and improve overall operational efficiency.</t>
  </si>
  <si>
    <t>CVC Capital Partners (AMS: CVC)(Jean-Marc Etlin), Moove Lubricants</t>
  </si>
  <si>
    <t>275398-93T</t>
  </si>
  <si>
    <t>GP Pneus</t>
  </si>
  <si>
    <t>Distributor of tires across Brazil. The company offers a wide range of services such as oil change, service precision, and vehicle geometry enabling customers with convenient access to high-quality tires and reliable car maintenance services.</t>
  </si>
  <si>
    <t>Cantu(Humberto Cantu), International Finance (Washington D.C.)(Mohan Chimalakonda), L Catterton(Julio Babecki)</t>
  </si>
  <si>
    <t>Distributors/Wholesale</t>
  </si>
  <si>
    <t>276355-54T</t>
  </si>
  <si>
    <t>Solfácil</t>
  </si>
  <si>
    <t>Operator of a solar energy financing company intended to facilitate access to solar energy installations. The company offers a platform that provides competitive payment terms, real-time credit pre-analysis, and a wide selection of solar kits, enabling integrators to efficiently implement solar projects while promoting sustainable energy solutions and reducing carbon emissions.</t>
  </si>
  <si>
    <t>Endeavor Catalyst, VEF (STO: VEFAB)</t>
  </si>
  <si>
    <t>275116-87T</t>
  </si>
  <si>
    <t>Akmey Biotecnologia Têxtil</t>
  </si>
  <si>
    <t>Manufacturer of ecologically correct textile products intended to process textile fibers and render industrial services. The company's platform uses ecologically valid textile biotechnology formulas based on natural enzymes produced by microorganisms that accelerate the bleaching and dyeing of fiber, enabling companies in the textile industry to eliminate the use of caustic soda and hydrogen peroxide and reuse water.</t>
  </si>
  <si>
    <t>Investor Buyout by Management</t>
  </si>
  <si>
    <t>274982-59T</t>
  </si>
  <si>
    <t>2Neuron</t>
  </si>
  <si>
    <t>Developer of a comprehensive monitoring system designed to enhance predictive maintenance in industrial settings. The company offers continuous monitoring through direct electrical data collection, enabling businesses to achieve higher reliability and operational safety while reducing maintenance costs.</t>
  </si>
  <si>
    <t>Quartzo Capital</t>
  </si>
  <si>
    <t>Other IT Services</t>
  </si>
  <si>
    <t>274960-00T</t>
  </si>
  <si>
    <t>Bizuu (Application Software)</t>
  </si>
  <si>
    <t>Operator of a restaurant promotion platform intended to attract customers. The company's platform allows restaurants to propose commercial benefits and connects them with consumers and they receive offers in real-time, enabling restaurant owners to to attract new customers during off-peak hours</t>
  </si>
  <si>
    <t>279641-71T</t>
  </si>
  <si>
    <t>Dr. Patinhas</t>
  </si>
  <si>
    <t>Operator of a veterinary clinic intended to serve pet owners. The company offers animal neutering, general veterinary care, bathing and grooming services.</t>
  </si>
  <si>
    <t>L Catterton</t>
  </si>
  <si>
    <t>288096-58T</t>
  </si>
  <si>
    <t>Flint ( Educational Software)</t>
  </si>
  <si>
    <t>Developer of an edutainment platform intended for promoting the creator language to professionals from all areas. The company's platform combines education with entertainment to empower specialists with the essential skills to stand out in today's market by applying it to their work, connecting technical knowledge with creative strategies to amplify reach and relevance, enabling users to create engaging content, build loyal communities and communicate effectively.</t>
  </si>
  <si>
    <t>277256-17T</t>
  </si>
  <si>
    <t>Tangotech</t>
  </si>
  <si>
    <t>Provider of consultancy services focused on supply chain management. The company specializes in digital technologies including Artificial intelligence, Internet of Things and blocking chain into traditional problem solving.</t>
  </si>
  <si>
    <t>Ábaco Consulting(Fernando Teixeira)</t>
  </si>
  <si>
    <t>274800-07T</t>
  </si>
  <si>
    <t>Zé Coxinha</t>
  </si>
  <si>
    <t>Operator of a food franchise intended for quick and convenient snacking. The company engages in the sale of food boxes and offers a wide variety of savory snacks such as crispy potatoes, french fries, milk balls with mozzarella cheese, chocolate cake, creamy brigadier, meat-stuffed pastries, burritos, warm chicken dishes and more, enabling consumers wo have access to affordable food options suitable for any occasion.</t>
  </si>
  <si>
    <t>ATW Delivery Brands(Victor Abreu)</t>
  </si>
  <si>
    <t>277208-47T</t>
  </si>
  <si>
    <t>Beflex (Consumer Finance)</t>
  </si>
  <si>
    <t>Provider of credit card services based out of São Paulo, Brazil. The company offers a credit card for online and in-person purchases with digital wallets and contactless payment options along with offering flexible benefits such as health benefit management and life insurance and helps manage the card through an app thus, enabling their customers a plethora of benefits on a single card and in compliance with all the laws set out in the CLT.</t>
  </si>
  <si>
    <t>Funcional Health Tech(Bruno Monica)</t>
  </si>
  <si>
    <t>270778-06T</t>
  </si>
  <si>
    <t>Serena Energia (Portfolio of Wind Farms in Brazil)</t>
  </si>
  <si>
    <t>Portfolio of wind farms located in the state of Bahia, in the Northeast region of Brazil. The portfolio comprises of two wind farms with a total installed capacity of 393 MW.</t>
  </si>
  <si>
    <t>Coatue Management(Malachi Price), DigitalBridge Group (NYS: DBRG)(Jonathan Mauck), Investment Management Corporation of Ontario(Fred Robert), Scala Data Centers(Fabio Yanaguita)</t>
  </si>
  <si>
    <t>269783-47T</t>
  </si>
  <si>
    <t>Telcoweb</t>
  </si>
  <si>
    <t>Developer of an integrated communication technology designed to enhance network efficiency and connectivity. The company's platform combines fiber, cellular, radio, and satellite links into a unified connectivity offering real-time monitoring, proactive management, and additional security services such as URL blocking, advanced encryption, and port forwarding, enabling businesses to improve service reliability and operational performance.</t>
  </si>
  <si>
    <t>274583-53T</t>
  </si>
  <si>
    <t>Digitra.com</t>
  </si>
  <si>
    <t>Developer of digital asset exchange designed to make trading digital assets easier and inexpensive. The company's platform offers protection mechanisms including a background check on the customer record to prevent money laundering and the separation of custody from asset management and has a trade-to-earn feature, enabling users to earn by trading cryptocurrencies, save on commission fees and invest in digital assets relying on security, liquidity and exclusive services.</t>
  </si>
  <si>
    <t>4Equity(Renato Mendes)</t>
  </si>
  <si>
    <t>273622-60T</t>
  </si>
  <si>
    <t>Amazonas Energia</t>
  </si>
  <si>
    <t>Supplier of electricity intended to serve more than 1 million consumer units in the 62 municipalities of Amazonas. The company engages in the generation, transmission, distribution, and commercialization of electric energy.</t>
  </si>
  <si>
    <t>Âmbar Energia</t>
  </si>
  <si>
    <t>274491-19T</t>
  </si>
  <si>
    <t>Aoop Cloud Solutions</t>
  </si>
  <si>
    <t>Developer of a digital transformation software intended to serve companies around the world. The company's software specializes in application modernization in the cloud platform, cloud project portfolio, cloud and cloud shared services management, cloud customer 360 services, strategic consulting, marketing automation and performance analytics.</t>
  </si>
  <si>
    <t>NTT DATA Business Solutions(Norbert Rotter)</t>
  </si>
  <si>
    <t>277204-87T</t>
  </si>
  <si>
    <t>Cedro Serviços e Participações</t>
  </si>
  <si>
    <t>Provider of investment services intended for sustainable development. The company's platform focuses on mining, real estate, agribusiness and healthcare.</t>
  </si>
  <si>
    <t>VB0224 Participações</t>
  </si>
  <si>
    <t>Other Commercial Services</t>
  </si>
  <si>
    <t>274655-98T</t>
  </si>
  <si>
    <t>Icatu Vanguarda Gru Logistico Fundo De Invest Imobi Respons (BVMF: GRUL11)</t>
  </si>
  <si>
    <t>Icatu Vanguarda Gru Logistico Fundo De Invest Imobi Respons Ltd operates as operates as a real estate investment fund.</t>
  </si>
  <si>
    <t>278243-11T</t>
  </si>
  <si>
    <t>Levilo</t>
  </si>
  <si>
    <t>Operator of a sales management platform intended to offer cloud-based suite services. The company's platform controls delivery sales, sales at the counter, tables and even orders and provides constant updates on improving the system on a subscription basis along with step-by-step training videos on installation and configuration, enabling clients to optimize their business processes efficiently.</t>
  </si>
  <si>
    <t>Saipos</t>
  </si>
  <si>
    <t>274677-22T</t>
  </si>
  <si>
    <t>Raízen Energia (40 Smaller Solar Power Plants in Sao Paulo, Brazil)</t>
  </si>
  <si>
    <t>A portfolio of 40 solar power plant projects located across Sao Paulo, Brazil. The assets have an aggregate installed capacity of up to 157 megawatts (MW).</t>
  </si>
  <si>
    <t>BlackRock (NYS: BLK)(Anmay Dittman), Brasol, Siemens Financial Services</t>
  </si>
  <si>
    <t>267755-86T</t>
  </si>
  <si>
    <t>Tucano Gold</t>
  </si>
  <si>
    <t>Operator of a gold mining company based in Pedra Branca do Amapari, Brazil. The company offers mining services.</t>
  </si>
  <si>
    <t>Reverse Merger</t>
  </si>
  <si>
    <t>Gold Mining</t>
  </si>
  <si>
    <t>257405-68T</t>
  </si>
  <si>
    <t>Starbucks Brasil</t>
  </si>
  <si>
    <t>Operator of a chain of cafes based in Rio De Janeiro, Brazil. The company's coffee chain sources and processes fresh-roasted whole bean coffees, offering a selection of teas, pastries and other delectable treats.</t>
  </si>
  <si>
    <t>Zamp (Brazil) (BVMF: ZAMP3)(Paulo Camargo)</t>
  </si>
  <si>
    <t>277190-20T</t>
  </si>
  <si>
    <t>Stoque (Managed Print Services Division)</t>
  </si>
  <si>
    <t>Provider of managed print services based in Belo Horizonte, Brazil.</t>
  </si>
  <si>
    <t>Selbetti Tecnologia</t>
  </si>
  <si>
    <t>254866-24T</t>
  </si>
  <si>
    <t>Asaas</t>
  </si>
  <si>
    <t>Developer of a financial platform designed to manage billing and payments automate financial processes and improve their relationship with customers. The company's platform generates bills and invoices along with automatically sending invoice charges via email and SMS without a membership fee and to receive payments through PIX, bank payment slips, credit, and debit, send transfers, pay bills, anticipate receivables and issue tax invoices, enabling individual entrepreneurs and micro companies to accept payments and have financial control of their business.</t>
  </si>
  <si>
    <t>23S Capital, BOND Capital (San Francisco)(Mary Meeker), Endeavor Catalyst, SaaS Ventures, SoftBank Investment Advisers</t>
  </si>
  <si>
    <t>274316-86T</t>
  </si>
  <si>
    <t>Forlex</t>
  </si>
  <si>
    <t>Developer of a legal intelligence platform designed for legal professionals, judicial institutions and society to access egal knowledge and optimize the performance in the legal process. The company's AI multilingual legal platform offers a range of features including document analysis, deposition preparation, database exploration, legal research support, document summarization, contract data extraction, and more, thereby enabling clients with legal knowledge management for decision-making in legal matters.</t>
  </si>
  <si>
    <t>Vinci Venture Capital</t>
  </si>
  <si>
    <t>260169-85T</t>
  </si>
  <si>
    <t>Reinvent</t>
  </si>
  <si>
    <t>Operator of a B2C AI-powered financial advisory firm intended to improve the financial advice process. The company's platform offers financial advice and scales all necessary activities, enabling investors to gain the insights they need to make informed decisions.</t>
  </si>
  <si>
    <t>277255-72T</t>
  </si>
  <si>
    <t>Villa Sansu</t>
  </si>
  <si>
    <t>Operator of the villa intended to provide an event space. The company offers all the infrastructure for a wedding, including furniture and accommodates all styles and sizes of weddings from classic to rustic, destination weddings to mini-weddings and elopements to large parties.</t>
  </si>
  <si>
    <t>Welucci(Roberta Bernardi)</t>
  </si>
  <si>
    <t>264443-68T</t>
  </si>
  <si>
    <t>BP Bioenergy</t>
  </si>
  <si>
    <t>Producer of bioenergy and biofuels based in Sao Paulo, Brazil. The company is engaged in the production of ethanol, sugar, and bioelectricity from sugarcane, milling capacity of 32 million tons.</t>
  </si>
  <si>
    <t>BP (LON: BP.)</t>
  </si>
  <si>
    <t>274119-76T</t>
  </si>
  <si>
    <t>Demetra Agroscience</t>
  </si>
  <si>
    <t>Manufacturer of bioinsecticide intended to control agricultural pests. The company offers innovative products developed from bacterial metabolites for simultaneous control of coffee berry borer and rust, enabling farmers to increase their crop yield.</t>
  </si>
  <si>
    <t>Didaciebe</t>
  </si>
  <si>
    <t>Agricultural Chemicals</t>
  </si>
  <si>
    <t>277270-39T</t>
  </si>
  <si>
    <t>Morada</t>
  </si>
  <si>
    <t>Developer of real estate technology platforms designed to enhance customer interactions and operational efficiency. The company's platform accelerates customer service, delivers qualified leads, and boosts sales team productivity, offering a flexible payment structure based on usage volume, enabling real estate businesses to streamline workflows, improve client acquisition, and adapt to varying demands.</t>
  </si>
  <si>
    <t>Nexus Empreendimentos</t>
  </si>
  <si>
    <t>295842-79T</t>
  </si>
  <si>
    <t>NexAtlas</t>
  </si>
  <si>
    <t>Developer of an air navigation platform designed to improve flight planning. The company's platform offers access to aeronautical charts, road and aerial maps, and other important flight-related information while interacting with aerodromes, and air traffic services (ATS) routes and also offers fixed and navigational aids, enabling professional pilots throughout Brazil to take assertive decisions for their flight through satellite imagery before take off.</t>
  </si>
  <si>
    <t>MSW Capital</t>
  </si>
  <si>
    <t>274509-37T</t>
  </si>
  <si>
    <t>Auto Posto Evolução</t>
  </si>
  <si>
    <t>Operator of a fuel service station based in Mogi Mirim, Brazil.</t>
  </si>
  <si>
    <t>Rede 7</t>
  </si>
  <si>
    <t>273900-43T</t>
  </si>
  <si>
    <t>Escola Móbile</t>
  </si>
  <si>
    <t>Operator of a high school and college intended to The company offers education for children from elementary through high school as well as qualified guidance for students who wish to pursue their studies around the world, thereby providing innovative and imaginative experiences, focusing on good coexistence, artistic-cultural perception, and individual academic skills.</t>
  </si>
  <si>
    <t>CPP Investments(Deborah Orida), EQT Private Capital Asia(Jean Salata), GIC Private, Nord Anglia Education(Andrew Fitzmaurice)</t>
  </si>
  <si>
    <t>273723-76T</t>
  </si>
  <si>
    <t>Barte</t>
  </si>
  <si>
    <t>Developer of a B2B online payments platform designed to automate payment procedures in the Latin America region. The company's platform optimizes cash flow management for small and mid-size enterprises (SMEs) through automated payments and revenue-based financing, enabling users to get easy access to financial metrics and credit payments.</t>
  </si>
  <si>
    <t>6 Degrees Capital, AlleyCorp(Kevin Ryan), Force Over Mass Capital, NXTP Ventures, VentureFriends</t>
  </si>
  <si>
    <t>273789-82T</t>
  </si>
  <si>
    <t>D4Sign</t>
  </si>
  <si>
    <t>Developer of an electronic and digital signature platform based in Sao Paulo, Brazil. The company offers data integration services with the federal government as a form of authentication.</t>
  </si>
  <si>
    <t>273694-15T</t>
  </si>
  <si>
    <t>Kaiima</t>
  </si>
  <si>
    <t>Developer of genetic and breeding technology designed to improve plant productivity. The company focuses on the development of elite hybrids with enhanced productivity and resource efficiency, enabling farmers to increase crop yields and optimize land and water use.</t>
  </si>
  <si>
    <t>Societa Italiana Sementi</t>
  </si>
  <si>
    <t>Other Agriculture</t>
  </si>
  <si>
    <t>267405-13T</t>
  </si>
  <si>
    <t>Azza Telecom</t>
  </si>
  <si>
    <t>Provider of Internet and television services for the residential and corporate markets. The company offers networking, telecommunication, digital inclusion, and internet services for customers.</t>
  </si>
  <si>
    <t>Conexão Group(Denis Marcel Ferreira), Grain Management(David Grain)</t>
  </si>
  <si>
    <t>281763-01T</t>
  </si>
  <si>
    <t>Mention (Communication Software)</t>
  </si>
  <si>
    <t>Operator of a public relations platform intended to improve business reputation and gain visibility. The company offers agenda suggestions to increase media awareness, personalized planning, reputation building, sharing information regarding products or services, and opinion articles, enabling businesses to improve their brand reputation.</t>
  </si>
  <si>
    <t>273699-91T</t>
  </si>
  <si>
    <t>MontPelier Consultoria</t>
  </si>
  <si>
    <t>Provider of insurance broking and consulting services intended for businesses. The company offers health, life, travel, and occupational health insurance, enabling access to customized insurance and benefits management aligned with its clients' strategic objectives.</t>
  </si>
  <si>
    <t>It'sSeg(Thomaz de Menezes)</t>
  </si>
  <si>
    <t>274354-66T</t>
  </si>
  <si>
    <t>Polo Films</t>
  </si>
  <si>
    <t>Manufacturer of bioriented polypropylene films intended to serve businesses. The company's offerings include labeling, flexible packaging, branding, adhesive tapes, and technical films, thereby providing clients with waterproof and efficient packaging films to preserve and ensure the quality of their products.</t>
  </si>
  <si>
    <t>Videolar-Innova</t>
  </si>
  <si>
    <t>Plastic Containers and Packaging</t>
  </si>
  <si>
    <t>298038-70T</t>
  </si>
  <si>
    <t>Aloracosmeticos</t>
  </si>
  <si>
    <t>Manufacturer of personal care products designed for individuals undergoing oncology treatments. The company offers dermatologically formulated products with biomimetic technology, vegan and cruelty-free compositions, recyclable and renewable packaging, and specialized items for managing side effects such as dry skin, mucositis, and radiodermatitis, enabling cancer patients to maintain skin and oral health during treatment with clinically informed, ethically produced care options.</t>
  </si>
  <si>
    <t>Tecnopuc</t>
  </si>
  <si>
    <t>283058-65T</t>
  </si>
  <si>
    <t>Caccao</t>
  </si>
  <si>
    <t>Developer of a digital lead conversion platform designed to offer connections between social media influencers and the financial market. The company's platform facilitates tools for audience analysis, performance tracking, and monetization strategies that allow financial content creators to monetize their audiences fairly, enabling financial institutions to efficiently acquire customers while allowing influencers to generate sustainable income.</t>
  </si>
  <si>
    <t>A2 Capital, Diego Fonseca(Diego Fonseca), DOMO.VC, Gustavo Caetano(Gustavo Caetano), Spin Pay</t>
  </si>
  <si>
    <t>277178-77T</t>
  </si>
  <si>
    <t>Café Girondino</t>
  </si>
  <si>
    <t>Operator of the cafe and restaurant intended to provide a setting for meeting friends, business and family meetings. The company offers a cafe and a snack bar, restaurant and bar on distinct floors.</t>
  </si>
  <si>
    <t>Fábrica de Bares(Caire Aoas)</t>
  </si>
  <si>
    <t>273630-97T</t>
  </si>
  <si>
    <t>Estação Locanda</t>
  </si>
  <si>
    <t>Operator of a shopping mall intended for community engagement. The company offers commercial and entertainment space that includes a variety of retail stores, dining options and cultural events, as well as ample parking and modern facilities, enabling the local community to enjoy a diverse environment that promotes social interaction and economic growth.</t>
  </si>
  <si>
    <t>Locanda</t>
  </si>
  <si>
    <t>Leisure Facilities</t>
  </si>
  <si>
    <t>267722-92T</t>
  </si>
  <si>
    <t>IPNET</t>
  </si>
  <si>
    <t>Provider of digital transformation services catering to financial services, retail and wholesale and government industries. The company specializes in workplace transformation, cloud migration, application development, infrastructure, cloud migration and analytics services, enabling clients to optimize the routine of their employees, reduce costs and keep their data in a secure environment.</t>
  </si>
  <si>
    <t>Telefonica Brasil (BVMF: VIVT3)</t>
  </si>
  <si>
    <t>274086-91T</t>
  </si>
  <si>
    <t>Paraná Supermercados</t>
  </si>
  <si>
    <t>Operator of a chain of supermarkets based in Brazil. The company operates multiple supermarket stores providing customers with a variety of products.</t>
  </si>
  <si>
    <t>Patria Investments (NAS: PAX)(Luis Cruz), Plurix</t>
  </si>
  <si>
    <t>273617-92T</t>
  </si>
  <si>
    <t>Red House International School</t>
  </si>
  <si>
    <t>Operator of a preschool and elementary school intended to provide education through an international bilingual pedagogy. The company provide international education from early childhood related to how to act and transform the world in a positive, creative, ethical and humane way, enabling parents to have a structured curriculum based on the pedagogical methodologies and educational technologies for their children in their early stage of learning.</t>
  </si>
  <si>
    <t>274834-72T</t>
  </si>
  <si>
    <t>Wito (Financial Software)</t>
  </si>
  <si>
    <t>Developer of a financial investment platform designed to connect venture capitalists, investors and startups. The company's platform offers tools for fundraising, portfolio control and liquidity for investors such as an automated back office and tailored structures for buying and selling investments in startups, fundraising process governance, enabling clients to invest in startups.</t>
  </si>
  <si>
    <t>Canastra Ventures, Leonora Ventures</t>
  </si>
  <si>
    <t>263308-06T</t>
  </si>
  <si>
    <t>Cetrel (Camacari)</t>
  </si>
  <si>
    <t>Provider of environmental engineering solutions catering to the pharmaceutical and cosmetics, chemical and petrochemical, oil and gas, food and beverage, pulp and paper, mining and steel industries. The company is engaged in supplying water, treatment and final disposal of effluents and thermal disposal of industrial waste along with management programs for water resources and environmental monitoring using a shared management model for the effluent treatment system, enabling industries to help in the treatment and for the final disposal of effluents and industrial waste, as well as environmental monitoring of the industrial complex and all its influence area.</t>
  </si>
  <si>
    <t>Gerenciamento de Residuos Industriais, Solví Participações</t>
  </si>
  <si>
    <t>Environmental Services (B2B)</t>
  </si>
  <si>
    <t>274140-01T</t>
  </si>
  <si>
    <t>Falcon Distribuição Armazenamento e Transporte</t>
  </si>
  <si>
    <t>Manufacturer of baby diapers and adult incontinence products based in Sao Paulo, Brazil. The company offers baby diapers, napkins, adult and old-age diaper products.</t>
  </si>
  <si>
    <t>Softys</t>
  </si>
  <si>
    <t>273763-36T</t>
  </si>
  <si>
    <t>Haight</t>
  </si>
  <si>
    <t>Retailer of women's clothing intended to occupy a more sober and chic place in beachwear. The company offers swim &amp; resort wear, ready-to-wear dresses, tops, shorts &amp; pants.</t>
  </si>
  <si>
    <t>Shoulder (Clothing)(Beny Majtlis)</t>
  </si>
  <si>
    <t>273670-39T</t>
  </si>
  <si>
    <t>Mozper</t>
  </si>
  <si>
    <t>Developer of a youth payment card designed to manage savings and spending. The company's card lets the parents give their kids an allowance and set spending rules so they can not spend it all on video games, also allows them to assign chores and track savings goals, enabling parents to let their children get a hands-on, real-world financial education appropriate for the digital era.</t>
  </si>
  <si>
    <t>277263-37T</t>
  </si>
  <si>
    <t>Organismo</t>
  </si>
  <si>
    <t>Operator of the investment platform intended to help companies take all the necessary steps to ensure healthy and consistent growth. The company's platform offers investments in companies with high growth potential.</t>
  </si>
  <si>
    <t>SMU Investimentos(Rodrigo Carneiro)</t>
  </si>
  <si>
    <t>278101-45T</t>
  </si>
  <si>
    <t>Primecap Plataforma de Investimentos Coletivos</t>
  </si>
  <si>
    <t>Operator of an investment platform focused on startups and real estate. The company offers investment opportunities in the real economy including equity crowdfunding and advisory, helping clients diversify their investment portfolios and become partners in exclusive and promising projects.</t>
  </si>
  <si>
    <t>273499-84T</t>
  </si>
  <si>
    <t>Rockhead Games</t>
  </si>
  <si>
    <t>Developer of console and computer games intended to challenge people by revisiting elements of the classic games. The company specializes in developing projects for next-generation handheld devices using modular technology that optimizes performance for each platform, enabling gamers of all ages to enjoy immersive worlds while improving problem-solving, strategic thinking, and teamwork skills.</t>
  </si>
  <si>
    <t>Google Play</t>
  </si>
  <si>
    <t>287788-96T</t>
  </si>
  <si>
    <t>Sense Eletrônica</t>
  </si>
  <si>
    <t>Provider of solutions in sensing and connectivity, operating in the process automation and manufacturing segments. The company offers sensors for factory automation, process automation, automation services and electrical solutions.</t>
  </si>
  <si>
    <t>TE Connectivity (NYS: TEL)</t>
  </si>
  <si>
    <t>273318-13T</t>
  </si>
  <si>
    <t>BHub</t>
  </si>
  <si>
    <t>Developer of an artificial intelligence-based platform designed to unburden both entrepreneurs and accountants by enabling full outsourcing of all the finance and administrative work. The company's platform offers a range of service subscription packages that include accounting, accounts payables and receivables, legal, human resources, and other processes, enabling startups and small and medium enterprises to reduce time, cost, and labor associated with administrative functions.</t>
  </si>
  <si>
    <t>Aito Capital, International Finance (Washington D.C.)</t>
  </si>
  <si>
    <t>274338-82T</t>
  </si>
  <si>
    <t>Rbr Top Offices Fundo De Invest Imobiliario Responsabilidade (BVMF: TOPP11)</t>
  </si>
  <si>
    <t>Rbr Top Offices Fundo De Invest Imobiliario Responsabilidade Ltd operates as a real estate investment fund.</t>
  </si>
  <si>
    <t>273229-66T</t>
  </si>
  <si>
    <t>Bnex</t>
  </si>
  <si>
    <t>Developer of data intelligence and technology platform designed to analyze and predict consumption behaviors and generate insights. The company's platform specializes in applying artificial intelligence, analytics, and CRM algorithms to optimize consumer marketing processes, enabling retailers to find the proper location to open a new store, understand the real potential of their network, and identify the factors that are sacrificing their revenue.</t>
  </si>
  <si>
    <t>ROCK Encantech</t>
  </si>
  <si>
    <t>273767-23T</t>
  </si>
  <si>
    <t>Canuma Capital Renda Varejo Fundo De Investimento (BVMF: CCVA11)</t>
  </si>
  <si>
    <t>Canuma Capital Renda Varejo Fundo De Investimento Imobiliario Responsa is a real estate investment fund. Its main economic activity is Real estate investment funds.</t>
  </si>
  <si>
    <t>273261-52T</t>
  </si>
  <si>
    <t>Gibb (Financial Software)</t>
  </si>
  <si>
    <t>Developer of an on-demand pay platform designed to offer employees access to their earned wages anytime they need them. The company's platform offers secure payroll integration, flexible payment options, and advanced data analytics, enabling businesses to improve employee financial well-being, increase retention, and boost productivity.</t>
  </si>
  <si>
    <t>SRM Ventures(Andre Szapiro)</t>
  </si>
  <si>
    <t>276771-70T</t>
  </si>
  <si>
    <t>Just Travel</t>
  </si>
  <si>
    <t>Provider of travel agency services intended to facilitate the distribution of tourism products and services according to the purpose and position of the agent. The company offers a customer base connecting travelers with hotels, resorts, vacation homes, cruises, car rentals, tickets, activities and insurance, order management, commission configuration, and zero-cost website hosting with payment methods and anti-fraud tools, providing travel agencies with wide travel network and management in the industry.</t>
  </si>
  <si>
    <t>040 Ventures, Bossa Invest, Sai do Papel</t>
  </si>
  <si>
    <t>273225-25T</t>
  </si>
  <si>
    <t>Nexaas</t>
  </si>
  <si>
    <t>Developer of an Omnichannel retail technology designed to build the future of retail. The company's platform eliminates the need for a store cashier and the system runs on the smart mobile POS from anywhere, synchronized with all sales channels focus on understanding the customers' needs has allowed them to build a intuitive, scalable, and secure omnichannel platform, enabling retailers to offer their customers a better shopping experience.</t>
  </si>
  <si>
    <t>HiPartners Capital &amp; Work</t>
  </si>
  <si>
    <t>277254-82T</t>
  </si>
  <si>
    <t>Risel Combustíveis</t>
  </si>
  <si>
    <t>Distributor of oil products intended for various industrial and agricultural purposes. The company offers transportation and supply of diesel, biofuels, lubricants and other fuel products, along with services such as tank leasing and delivery, enabling sectors like agriculture, construction, food, aviation, condominiums, generators, hospitals, hotels, transportation and public bodies to maintain efficient operations with fuel supply and support.</t>
  </si>
  <si>
    <t>Energy Transportation</t>
  </si>
  <si>
    <t>273204-82T</t>
  </si>
  <si>
    <t>A&amp;T Engenharia e Manutencao</t>
  </si>
  <si>
    <t>Operator of a bank holding company based in Sao Paulo, Brazil.</t>
  </si>
  <si>
    <t>Azevedo &amp; Travassos (BVMF: AZEV3)</t>
  </si>
  <si>
    <t>274725-46T</t>
  </si>
  <si>
    <t>Abyara Brokers Intermediação Imobiliária</t>
  </si>
  <si>
    <t>Provider of real estate brokerage services based in Sao Paulo, Brazil. The company's services include brokerage, consulting, advisory, property valuation and property search related to residential and commercial real estate, enabling customers to buy, sell and find properties in Brazil.</t>
  </si>
  <si>
    <t>Quantum Partners Intermediacao Imobiliaria</t>
  </si>
  <si>
    <t>273275-56T</t>
  </si>
  <si>
    <t>Index Denim</t>
  </si>
  <si>
    <t>Manufacturing and e-commerce services of jeanswear based in Erechim, Rio Grande do Sul. The company offers a wide range of denim products with unique designs and comfort, ensuring a perfect fit for customers and delivering quality fashion solutions.</t>
  </si>
  <si>
    <t>Denim Zero(Iuri Cristofolini)</t>
  </si>
  <si>
    <t>273329-65T</t>
  </si>
  <si>
    <t>Supper Certo</t>
  </si>
  <si>
    <t>Operator of insurance broker company catering intended to bridge the gap between the end consumer and insurance companies. The company offers car insurance, motorcycle insurance, utility insurance, truck insurance, cellphone insurance, health insurance and life insurance helping customers find affordable and right insurance.</t>
  </si>
  <si>
    <t>Grupo Allcom(Marcelo Catapani)</t>
  </si>
  <si>
    <t>275368-96T</t>
  </si>
  <si>
    <t>ASJA Paraíba Serviços Ambientais</t>
  </si>
  <si>
    <t>Operator of a thermoelectric power plant based in João Pessoa, Brazil. The plant has a capacity of 5.7 megawatts.</t>
  </si>
  <si>
    <t>Orizon Meio Ambiente (BVMF: ORVR3)</t>
  </si>
  <si>
    <t>284241-88T</t>
  </si>
  <si>
    <t>Greentown Labs</t>
  </si>
  <si>
    <t>272935-81T</t>
  </si>
  <si>
    <t>Umilk Industria e Comercio de Laticinios</t>
  </si>
  <si>
    <t>Producer of skyr yogurt and milk products based in Sao Paulo, Brazil. The company's products include lactose-free yogurt, vegan yogurt, caramelized yogurt, kefir and drinks.</t>
  </si>
  <si>
    <t>Vitalatte(Enrico Leta)</t>
  </si>
  <si>
    <t>271909-81T</t>
  </si>
  <si>
    <t>Latam Energy Acquisition</t>
  </si>
  <si>
    <t>Operator of exploration and discovery company based in Minas Gerais, Brazil. The company specializes in lithium and energy metal minerals.</t>
  </si>
  <si>
    <t>Spark Energy Minerals (CNQ: SPRK)(Eugene Hodgson)</t>
  </si>
  <si>
    <t>272800-00T</t>
  </si>
  <si>
    <t>Movêu</t>
  </si>
  <si>
    <t>Operator of an online custom furniture company intended to create customized furniture that fits perfectly into the required space. The company helps users create their furniture easily and intuitively, enabling customers to browse and purchase a variety of stylish furniture for their homes.</t>
  </si>
  <si>
    <t>Alan Chusid(Alan Chusid), GVAngels, Investidores.vc, Otávio Maluf(Otávio Maluf), Patrick Sigrist(Patrick Sigrist), Pedro Conrade, Poli Angels Group, Silvio Kożuchowicz(Silvio Kożuchowicz)</t>
  </si>
  <si>
    <t>Home Furnishings</t>
  </si>
  <si>
    <t>272832-58T</t>
  </si>
  <si>
    <t>Noodle</t>
  </si>
  <si>
    <t>Operator of a financial platform intended to accelerate careers and expand businesses. The company's platform simplifies paying creators and suppliers through one-tap global payouts and allows advance payments of up to a year to support business growth, enabling content creators, social media influencers, publishers, and companies to save time, money, and effort while keeping digital and media artists productive.</t>
  </si>
  <si>
    <t>Bee K Ventures, QED Investors</t>
  </si>
  <si>
    <t>277247-35T</t>
  </si>
  <si>
    <t>Polocred</t>
  </si>
  <si>
    <t>Developer of a credit platform intended to serve small and medium-sized enterprises. The company's platform offers credit services and loans.</t>
  </si>
  <si>
    <t>Pinbank (South America)(Felipe Negri)</t>
  </si>
  <si>
    <t>272724-40T</t>
  </si>
  <si>
    <t>VTR Effects</t>
  </si>
  <si>
    <t>Manufacturer of musical instruments intended to provide musicians with guitar effects pedals. The company offers pedals that alter a guitar's sound through various effects, enabling guitar enthusiasts to access guitars with maximum acoustic and functional potential to experiment with their sound and create distinctive tones.</t>
  </si>
  <si>
    <t>Electronics (B2C)</t>
  </si>
  <si>
    <t>285496-21T</t>
  </si>
  <si>
    <t>BemAgro</t>
  </si>
  <si>
    <t>Developer of Image and data processing system designed to produce more with the use of artificial intelligence and computer vision in agriculture. The company's platform offers planning, management, and monitoring throughout the harvest with targeted inspections and large-scale monitoring to generate reports that transform this data into actionable information for decision-making from planting to harvest, enabling farming and agro companies in increased productivity and ensure the necessary quantity and quality of food for future generations.</t>
  </si>
  <si>
    <t>GLOCAL (Argentina)(Florencia Solari)</t>
  </si>
  <si>
    <t>285714-64T</t>
  </si>
  <si>
    <t>Bigtrade (Financial Software)</t>
  </si>
  <si>
    <t>Developer of an agricultural fintech platform designed to connect investors to the agribusiness opportunities and expanding access to credit for rural producers. The company's platform helps farmers to expand their businesses, expand access to credit through a guarantee originated, mainly, by their production, enabling farmers to manage their financial operations efficiently.</t>
  </si>
  <si>
    <t>GLOCAL (Argentina)</t>
  </si>
  <si>
    <t>270399-25T</t>
  </si>
  <si>
    <t>Easy Alert</t>
  </si>
  <si>
    <t>Developer of a property management platform designed for preventive maintenance for construction companies. The company helps depict the frequency, activity, and execution responsibilities in buildings to make the user experience, with maintenance, much easier and more pleasant, enabling property managers to participate in the day-to-day activities with ease.</t>
  </si>
  <si>
    <t>272528-65T</t>
  </si>
  <si>
    <t>Galapagos Desenvolvimento (BVMF: GCDL11)</t>
  </si>
  <si>
    <t>Galapagos Desenvolvimento Logistico Fundo De Investimento Imobiliario is an investment fund constituted in the form of a closed condominium.</t>
  </si>
  <si>
    <t>276759-91T</t>
  </si>
  <si>
    <t>Guapeco</t>
  </si>
  <si>
    <t>Provider of customized pet insurance services intended for individuals as well as corporations. The company helps pet parents take care of the health and well-being of their pets through a health plan that can be also purchased by companies throughout Brazil that want to offer the benefit to their employees under more attractive conditions, enabling users to leverage their employees' passion for animals to improve their employee retention, attraction, and engagement rates.</t>
  </si>
  <si>
    <t>Bossa Invest, Raja Ventures, Sebrae Nacional, Startup SC, Unifique Telecomunicacoes (BVMF: FIQE3)</t>
  </si>
  <si>
    <t>269781-22T</t>
  </si>
  <si>
    <t>Hiperbanco</t>
  </si>
  <si>
    <t>Developer of financial technology and white label platform designed to manage and scale business. The company's platform provides a banking-as-a-service and empowers businesses to focus on their core customer experience that handles the underlying banking infrastructure, and other essential features, enabling businesses of all sizes to create new revenue channels and promote customer engagement.</t>
  </si>
  <si>
    <t>Other Commercial Banks</t>
  </si>
  <si>
    <t>285480-28T</t>
  </si>
  <si>
    <t>Landprint</t>
  </si>
  <si>
    <t>Developer of an environmental assessment platform designed for accelerating the transition to regenerative agriculture. The company's platform leverages advanced measurement technologies, science-based ratings, and standardized protocols to quantify natural capital, transform environmental data into financial assets, and support in implementing, monitoring, and financing sustainable practices, enabling farmers to reduce risk, incentivize regenerative transitions, and drive scalable environmental impact.</t>
  </si>
  <si>
    <t>272532-61T</t>
  </si>
  <si>
    <t>MeetRox</t>
  </si>
  <si>
    <t>Developer of a coaching and training platform intended to increase sales enablement. The company's platform uses speech-to-text technology to automatically capture and analyze calls and video calls, track respective information linked, and discover patterns of success, enabling sales teams to increase their performance.</t>
  </si>
  <si>
    <t>Alessio Alionço(Alessio Alionço), Alta Escala, João Del Valle(João Del Valle), Raio Capital, Stamina Capital, StaminaVC, Tiago Dalvi(Tiago Dalvi)</t>
  </si>
  <si>
    <t>285504-76T</t>
  </si>
  <si>
    <t>Sensix</t>
  </si>
  <si>
    <t>Developer of an agricultural monitoring intelligence platform designed to offer cloud assistance for processing drone images and generating agronomic indicators. The company's platform identifies the variability of vigor and leaf density indicating anomalies of plantation nutritional status, spots pest or disease incidence points using sensors embedded in drones, collects crop images, and submits data for processing on the platform, enabling farmers to receive results in less time to optimize management and decision-making.</t>
  </si>
  <si>
    <t>285703-21T</t>
  </si>
  <si>
    <t>Trag ( Other Agriculture)</t>
  </si>
  <si>
    <t>Provider of parametric insurance services designed to help the agricultural industry manage climate-related risks. The company's platform offers advanced technologies and data-driven insights, enabling agricultural producers to reduce financial losses, optimize operations, and promote sustainability while ensuring growth and resilience in the sector.</t>
  </si>
  <si>
    <t>272462-68T</t>
  </si>
  <si>
    <t>4 Yousee Digital Signage</t>
  </si>
  <si>
    <t>Developer of digital signage technology intended for retailers, integrators, service providers, and internal communication purposes. The company offers a range of solutions which include digital signage management, analytics, online pricing, equipment such as totems, cameras, and screens, as well as complementary services such as custom projects, content creation, installation, technical visits, and monitoring, thereby enabling clients to optimize campaigns and increase sales performance.</t>
  </si>
  <si>
    <t>Eletromidia (BVMF: ELMD3)</t>
  </si>
  <si>
    <t>272350-63T</t>
  </si>
  <si>
    <t>Adaggio</t>
  </si>
  <si>
    <t>Operator of an investment fund created to invest in music catalogs and songs to leverage the royalties earned from it. The company offers royalties to the musicians on behalf of their music catalogs, receives future royalties in exchange for immediate liquidity, thereby managing catalogues to increase revenue.</t>
  </si>
  <si>
    <t>272449-09T</t>
  </si>
  <si>
    <t>Give Energia</t>
  </si>
  <si>
    <t>Provider of electricity trading services intended to facilitate energy transactions in the marketplace. The company offers robust licenses and authorizations, enabling businesses and consumers to access reliable energy solutions.</t>
  </si>
  <si>
    <t>J. Safra Sarasin Holding</t>
  </si>
  <si>
    <t>Energy Traders and Brokers</t>
  </si>
  <si>
    <t>272322-73T</t>
  </si>
  <si>
    <t>Embracred</t>
  </si>
  <si>
    <t>Provider of financial services intended to provide accessible credit options. The company offers personal loans, as well as secured loans using car and home collateral, enabling individuals to seek financial support to achieve their financial goals.</t>
  </si>
  <si>
    <t>Asa Retrofits Fundo De (BVMF: ASRF11)(Alberto Safra)</t>
  </si>
  <si>
    <t>272508-22T</t>
  </si>
  <si>
    <t>BBC Solar Subholding</t>
  </si>
  <si>
    <t>Operator of a holding company based in Maracanau, Brazil.</t>
  </si>
  <si>
    <t>ArcelorMittal (AMS: MT)</t>
  </si>
  <si>
    <t>272211-22T</t>
  </si>
  <si>
    <t>Utreino</t>
  </si>
  <si>
    <t>Provider of fitness and wellness services intended to democratize access to health and well-being resources. The company's platform offers various workout types, detailed instructional videos, nutrition content, and expert-led videocasts, enabling individuals to build and sustain a healthy lifestyle.</t>
  </si>
  <si>
    <t>Moriah Asset(Fabiano Zettel)</t>
  </si>
  <si>
    <t>272101-69T</t>
  </si>
  <si>
    <t>Bindflow</t>
  </si>
  <si>
    <t>Provider of information technology consulting and other technical solutions based in Curitiba, Brazil. The company offers advanced technology solutions and integrates innovative ideas and practices into all dimensions, enabling organizations to incorporate new processes and experience innovation with tangible results.</t>
  </si>
  <si>
    <t>Compwire Informática</t>
  </si>
  <si>
    <t>272027-98T</t>
  </si>
  <si>
    <t>Base39</t>
  </si>
  <si>
    <t>Developer of credit decisioning platform intended for financial institutions. The company's platform utilizes Generative AI and Machine Learning to analyze a wider range of data sources, including Open Finance and alternative data, to assess creditworthiness and recommend personalized credit offers, enabling financial institutions to increase loan approvals, reduce risk, and improve customer relationships.</t>
  </si>
  <si>
    <t>AWS Startups</t>
  </si>
  <si>
    <t>271887-22T</t>
  </si>
  <si>
    <t>Beep Saude</t>
  </si>
  <si>
    <t>Operator of vaccination and home medical care platform intended to offer quality experiences in health services and simplify people's lives. The company specializes in providing home vaccination services via its vaccine marketplace application where users can choose their vaccine and schedule an appointment, offers an opportunity for new players to outpace incumbents, who are slow in adjusting their offerings to this new demand, enabling patients or healthcare-seeking users to get vaccinated and receive medical care economically in the comfort of their homes.</t>
  </si>
  <si>
    <t>Actyus(Sergio Furio), Chan Zuckerberg Initiative, David Vélez(David Vélez), Lightsmith Group(Jay Koh)</t>
  </si>
  <si>
    <t>Other Healthcare Technology Systems</t>
  </si>
  <si>
    <t>272173-33T</t>
  </si>
  <si>
    <t>DNK Infotelecom</t>
  </si>
  <si>
    <t>Provider of customer service and software integration service catering to the call centers. The company offers virtual agents, smart bots, call routing, fax servers, business logs, and interactive voice response, providing real-time monitoring to maximize clients' efficiency.</t>
  </si>
  <si>
    <t>272032-30T</t>
  </si>
  <si>
    <t>Enter (Sao Paulo)</t>
  </si>
  <si>
    <t>Developer of an AI-driven data extraction and analysis tool intended to streamline claims processing. The company's platform uses advanced AI and machine learning algorithms to automate the extraction of data from unstructured documents, categorization of claims, identification of relevant information, and prediction of outcomes, enabling insurance companies and financial institutions to accelerate claim cycles, reduce operational costs, improve accuracy, and enhance customer satisfaction.</t>
  </si>
  <si>
    <t>AWS Startups(Álvaro Echeverría)</t>
  </si>
  <si>
    <t>271865-98T</t>
  </si>
  <si>
    <t>HRZ Transmissoras</t>
  </si>
  <si>
    <t>Provider of transmission line and substation concessionaire intended to contribute to the country's energy transition. The company offers electric power transmission, transmission lines and substations, ensuring the availability of transmission lines across the Northeast and Southeast regions of Brazil.</t>
  </si>
  <si>
    <t>280372-06T</t>
  </si>
  <si>
    <t>iaas!</t>
  </si>
  <si>
    <t>Operator of investment management services intended to streamline operational structures and improve efficiency. The company offers consultancies, training, compliance services, and various operational tools, enabling investment managers, resource managers, funds, and managed portfolios to automate and standardize their processes, improving overall operational effectiveness.</t>
  </si>
  <si>
    <t>ACE Ventures (Commercial Services), Quartzo Capital(Marcel Malczewski), Sovereign Fund of Espírito Santo</t>
  </si>
  <si>
    <t>270372-61T</t>
  </si>
  <si>
    <t>InCeres</t>
  </si>
  <si>
    <t>Developer of a digital agriculture platform designed to collect, process, and store agricultural data, with an emphasis on plant fertility and nutrition. The company's platform offers soil analysis, automatic data filtering, integration with laboratories, and productivity maps, enabling farmers to manage soil fertility and monitor crops.</t>
  </si>
  <si>
    <t>Husqvarna (STO: HUSQ A)(Mauro Favero)</t>
  </si>
  <si>
    <t>272489-86T</t>
  </si>
  <si>
    <t>IW Melcheds Advogados</t>
  </si>
  <si>
    <t>Operator of a consultancy firm catering to the corporate market. The company specialties in providing banking, international trade, compliance, competition and antitrust, business contracts, strategic litigation civil and commercial, automotive law, digital law, copyright and entertainment, energy and infrastructure, project financing, insolvency and debt restructuring, legal design, capital markets, media and advertising, real estate business, estate, family and succession planning, privacy and data protection, commercial promotions, industrial property, product and consumer liability, corporate, mergers and acquisitions and, labor, union relations and tax.</t>
  </si>
  <si>
    <t>Merger of Equals</t>
  </si>
  <si>
    <t>Accounting, Audit and Tax Services (B2B)</t>
  </si>
  <si>
    <t>272043-37T</t>
  </si>
  <si>
    <t>Lexter</t>
  </si>
  <si>
    <t>Developer of a bureaucratic analytical platform designed to interpret and revise contracts smartly. The company's platform uses artificial intelligence that interprets, analyzes, and reviews contracts to bring efficiency and reduce complexity, time, and amounts spent in performing repetitive work so that the legal teams can dedicate themselves to more strategic and complex work, enabling clients to reduce the time taken in performing legal work.</t>
  </si>
  <si>
    <t>AWS Startups(Jon Jones)</t>
  </si>
  <si>
    <t>272272-42T</t>
  </si>
  <si>
    <t>Riza Lecci Fundo De (BVMF: RZLC11)</t>
  </si>
  <si>
    <t>Riza Lecci Fundo De Investimento Imobiliario Responsabilidade operates as a real estate investment fund.</t>
  </si>
  <si>
    <t>271920-07T</t>
  </si>
  <si>
    <t>Rodobank</t>
  </si>
  <si>
    <t>Developer of a software intended for transportation ecosystem. The company offers freight and toll solutions, change management solutions, payment solutions, and fleet management solutions, enabling clients to make the logistics process more efficient through its use of technology.</t>
  </si>
  <si>
    <t>CSU Digital (BVMF: CSUD3)(Ricardo José Leite), Fitbank(Otavio Farah), NVA Capital(Pedro Englert)</t>
  </si>
  <si>
    <t>272657-71T</t>
  </si>
  <si>
    <t>Zaytas</t>
  </si>
  <si>
    <t>Producer of gluten-free, vegan, kosher, and paleo snacks without preservatives. The company offers multiple snack lines with more than 14 flavors, making gluten-free food delicious.</t>
  </si>
  <si>
    <t>Positive Company(Rodrigo Carvalho)</t>
  </si>
  <si>
    <t>273130-30T</t>
  </si>
  <si>
    <t>GC Security (IT Consulting and Outsourcing)</t>
  </si>
  <si>
    <t>Provider of cybersecurity services intended to identify the risk and their likelihood of becoming an incident and correct not only the security flaws but the process. The company's services include red team assessment, offensive security workshops, cybersecurity governance, cybersecurity mentoring, and other related services, helping organizations protect digital assets with integrated solutions that monitor and manage the entire life cycle of cyber vulnerabilities and threats.</t>
  </si>
  <si>
    <t>VULTUS Cybersecurity Ecosystem</t>
  </si>
  <si>
    <t>257816-80T</t>
  </si>
  <si>
    <t>Raiar Orgânicos</t>
  </si>
  <si>
    <t>Producer of organic protein intended to provide a healthy and ethical alternative to conventionally raised protein sources. The company offers organic eggs from cage-free chickens raised on a natural diet, enabling customers to consume eggs produced with respect for animal welfare and free from antibiotics or hormones.</t>
  </si>
  <si>
    <t>Fabio Barbosa(Fabio Barbosa), Otavio Lopes Castello Branco Neto(Otavio Lopes Castello Branco Neto)</t>
  </si>
  <si>
    <t>272436-67T</t>
  </si>
  <si>
    <t>Driven Technologia</t>
  </si>
  <si>
    <t>Provider of digital business modeling company aims to align the consumer journey with e-commerce, improving digital efficiency. The company offers financial strategy and business analysis services along with data intelligence, direct communication with the consumer and integrated performance management.</t>
  </si>
  <si>
    <t>Quality Digital(Britto Julio)</t>
  </si>
  <si>
    <t>271884-25T</t>
  </si>
  <si>
    <t>Iguá Saneamento</t>
  </si>
  <si>
    <t>Igua Saneamento SA develops and operates long-term contracts to provide public water and sewerage services. Its activities include Water collection and treatment, Distribution of drinking water, Client management, Sewage collection, Sewage treatment, and Disposal of sludge and disposal of effluents.</t>
  </si>
  <si>
    <t>CPP Investments(James Bryce)</t>
  </si>
  <si>
    <t>271608-22T</t>
  </si>
  <si>
    <t>Coinbase Ventures, NFX, Progression Fund</t>
  </si>
  <si>
    <t>242075-80T</t>
  </si>
  <si>
    <t>Actyus, Global Founders Capital, ICU (Ukraine), Kaszek, Moore Capital Management, ONEVC, Piton Capital, Valor Capital Group, VEF (STO: VEFAB)</t>
  </si>
  <si>
    <t>271652-50T</t>
  </si>
  <si>
    <t>PsycoAI</t>
  </si>
  <si>
    <t>Developer of a healthcare operational efficiency platform designed to offer AI solutions for cost reduction, data automation and multichannel support. The company's platform offers advanced artificial intelligence solutions that transform operational management in healthcare and automate administrative tasks, collect data accurately and provide support across multiple channels, enabling healthcare providers to get more agile operations, reduced costs and greater efficiency.</t>
  </si>
  <si>
    <t>Dr.Consulta, Flávio Rossetto(Flávio Rossetto), Paulo Chapchap(Paulo Chapchap), Ricardo Bottas(Ricardo Bottas), Rodrigo Freire(Rodrigo Freire)</t>
  </si>
  <si>
    <t>273911-05T</t>
  </si>
  <si>
    <t>Nava (Sao Paulo)</t>
  </si>
  <si>
    <t>Operator of a digital infrastructure firm intended to serve finance, insurance, payment method, education, energy, healthcare, telecommunication and retail sectors. The company provides business and technology services and solutions such as platforms for AIOps and observability strategy, digital strategy and agile development, payments, intelligent outsourcing, cloud and infrastructure solutions, advanced analytics and automation, and cybersecurity, thereby supporting its customers on their digital transformation journey.</t>
  </si>
  <si>
    <t>Crescera Capital(Laura Guarana)</t>
  </si>
  <si>
    <t>282508-75T</t>
  </si>
  <si>
    <t>Kinea Fenix Fundo De Investimento Imobiliario Respo (BVMF: KFEN11)</t>
  </si>
  <si>
    <t>Kinea Fenix Fundo De Investimento Imobiliario Respo Ltd is a real estate investment fund.</t>
  </si>
  <si>
    <t>271445-68T</t>
  </si>
  <si>
    <t>Autobanking</t>
  </si>
  <si>
    <t>Developer of a credit-as-a-service (CaaS) platform designed for financial services for car dealerships. The company offers automotive credit with tailored conditions unique terms and conditions that meet the needs of each customer, enabling car dealer get access to new financial products.</t>
  </si>
  <si>
    <t>Specialized Finance</t>
  </si>
  <si>
    <t>272108-17T</t>
  </si>
  <si>
    <t>Bmg Seguros</t>
  </si>
  <si>
    <t>Provider of insurance services catering to brokers and companies. The company offers surety bonds, judicial guarantees, engineering risks, and errors &amp; omissions insurance offering clients with best solutions in the insurance market.</t>
  </si>
  <si>
    <t>Banco Daycoval(Morris Dayan)</t>
  </si>
  <si>
    <t>Other Insurance</t>
  </si>
  <si>
    <t>271349-47T</t>
  </si>
  <si>
    <t>Biomethane Energy</t>
  </si>
  <si>
    <t>Operator of a clean energy company intended to increase the availability of energy and gas and consequently provide waste disposal services. The company assists in the area of energy and gas with any type of waste and equipment manufacturing for the use of biogas and biomethane, enabling clients with a lot of energy for a better future.</t>
  </si>
  <si>
    <t>Biop</t>
  </si>
  <si>
    <t>271402-03T</t>
  </si>
  <si>
    <t>Jade Autism</t>
  </si>
  <si>
    <t>Developer of educational therapeutic validation games designed to help children and adolescents with cognitive disabilities. The company's games offer data science, updates, reporting, and behavior analysis, enabling users to stimulate visual performance, attention, receptive language, and mathematical logical reasoning through games.</t>
  </si>
  <si>
    <t>Anjal Z(Yousef Alhammadi)</t>
  </si>
  <si>
    <t>267526-36T</t>
  </si>
  <si>
    <t>SalaryFits Sistemas</t>
  </si>
  <si>
    <t>Developer of an employee financial sustainability platform designed to offer a risk assessment tool and a reliable channel for a sustainable and fair credit offer. The company helps financial institutions integrate their systems with the payroll information of employers, giving access to a risk assessment tool and the connection to deduct installments directly from one's salary, enabling employees to repay their loan installments through salary deductions at lower interest rates.</t>
  </si>
  <si>
    <t>272526-13T</t>
  </si>
  <si>
    <t>TGN Brazil</t>
  </si>
  <si>
    <t>Provider of technology solutions, focusing on software implementation, training, and technical support. The company offers a range of services, including the implementation of solutions, training, and technical support with consulting services to help businesses optimize their processes and improve efficiency.</t>
  </si>
  <si>
    <t>SoftExpert Software(Ricardo Lepper)</t>
  </si>
  <si>
    <t>271263-52T</t>
  </si>
  <si>
    <t>Plaza</t>
  </si>
  <si>
    <t>Operator of a commercial leasing platform designed to streamline the rental process. The company's platform analyzes the urgency, business sector, and credit of the lead and offers a financial infrastructure that eases real estate transactions to eliminate the need for a guarantor, collateral, and capitalization title while ensuring zero default, enabling real estate agencies with the ideal guarantee for their commercial leases to handle more business efficiently.</t>
  </si>
  <si>
    <t>Ernani Assis(Ernani Assis), Latitud, Leandro Abreu(Leandro Abreu), Magma Partners, Renato Zimmermann(Renato Zimmermann), Urca Angels</t>
  </si>
  <si>
    <t>Buildings and Property</t>
  </si>
  <si>
    <t>272523-25T</t>
  </si>
  <si>
    <t>Saires Capital</t>
  </si>
  <si>
    <t>Provider of investment strategies services focused on a scientific approach to investing and research. The company specializes in algorithmic trading and Quantitative investment strategies.</t>
  </si>
  <si>
    <t>ACE Capital (Brazil)(Ricardo Denadai)</t>
  </si>
  <si>
    <t>271445-59T</t>
  </si>
  <si>
    <t>Banco de Brasília (BVMF: BSLI3)</t>
  </si>
  <si>
    <t>BRB Banco de Brasilia SA provides commercial banking products and solutions to individuals and corporates. The company offers current accounts, loans and financing facilities, investment products, and debit and prepaid cards. It also offers insurance products, such as company, car, residence, life, and condominium insurance.</t>
  </si>
  <si>
    <t>Kardbank, Konect Sociedade de Crédito Direto</t>
  </si>
  <si>
    <t>273768-04T</t>
  </si>
  <si>
    <t>BRK Ambiental Araguaia Saneamento</t>
  </si>
  <si>
    <t>Provider of drinking water supply and sewage services based in Redenção, Brazil.</t>
  </si>
  <si>
    <t>Norte Saneamento</t>
  </si>
  <si>
    <t>Water Utilities</t>
  </si>
  <si>
    <t>271046-35T</t>
  </si>
  <si>
    <t>Advent Brasil Mineracao</t>
  </si>
  <si>
    <t>Operator of a gold mine based in Rio De Janeiro, Brazil. The company engages in the exploration, mining and production of gold and gold-related products.</t>
  </si>
  <si>
    <t>Rivermet Group</t>
  </si>
  <si>
    <t>272042-29T</t>
  </si>
  <si>
    <t>Amadeus AI</t>
  </si>
  <si>
    <t>Developer of artificial intelligence (AI) tools designed for developing, running, and managing applications. The company's platform provides developers with access to a cloud-based service model and data, trained on native language and cultural nuances, enabling users to build more effective business application.</t>
  </si>
  <si>
    <t>296081-65T</t>
  </si>
  <si>
    <t>Grifo Asset Management</t>
  </si>
  <si>
    <t>Operator of a financial management firm catering to the needs of high-net-worth individuals (HNWIs) and institutional clients. The company specializes in fund management, wealth management and future planning thereby providing management services to their clients.</t>
  </si>
  <si>
    <t>Novus Capital (Rio de Janeiro)(Rodrigo Galindo)</t>
  </si>
  <si>
    <t>296732-08T</t>
  </si>
  <si>
    <t>International Meal Company Alimentação</t>
  </si>
  <si>
    <t>International Meal Co Alimentacao SA is a Brazil-based company principally engaged in the sale of food and beverages to restaurants, snack bars, coffee shops, cafes on motorways, airports, shopping malls, and airline catering services. It also subleases stores and spaces for promotional and commercial purposes in its store chain, upon the sale of fuel, and provides general services related to these segments. The company operates in five segments: Shopping malls, Airports, Highways, the United States of America (USA), and Others. Some of its brands are Viena, Olive Garden, Margaritaville, KFC Brazil, and Pizza Hut Brazil. Its geographical segments are Brazil, The Caribbean, and the USA.</t>
  </si>
  <si>
    <t>271559-35T</t>
  </si>
  <si>
    <t>Nexa Finance</t>
  </si>
  <si>
    <t>Developer of an investment platform designed to give access to retail investors to alternative asset classes. The company's platform offers investment opportunities, democratized finance, blockchain investments, startup investments, liquid investing, and more, enabling clients with tailored financial opportunities to cater to their long-term goals.</t>
  </si>
  <si>
    <t>Brainvest Wealth Management, Koli Capital, Newtopia VC, Norte Ventures, viden.vc, Vita Investimentos</t>
  </si>
  <si>
    <t>272592-55T</t>
  </si>
  <si>
    <t>Power Focus</t>
  </si>
  <si>
    <t>Manufacturer of natural and vegan superfoods intended for health-conscious people. The company offers a clean label, with few good ingredients, no sweeteners, no artificial stimulants, and no excess caffeine, lactose-free and gluten-free, enabling it to increase the energy of the brain, and mental performance quickly, practically, and healthily.</t>
  </si>
  <si>
    <t>273738-34T</t>
  </si>
  <si>
    <t>TrackCash</t>
  </si>
  <si>
    <t>Operator of financial management platform intended to become the most accessible reconciliation tool on the market. The company's platform offers reconciliation of sales and payments from e-commerce, marketplace, and physical stores through an automated system, enabling businesses to control each business transaction, optimize the finance team's time, and organize all the information from sales channels in one place.</t>
  </si>
  <si>
    <t>Hindiana</t>
  </si>
  <si>
    <t>295878-79T</t>
  </si>
  <si>
    <t>Verosenso</t>
  </si>
  <si>
    <t>Manufacturer of leather apparel designed for fashion and durability. The company offers premium leather garments crafted using traditional techniques, featuring reinforced stitching, high-quality tanning processes, and precise tailoring, allowing consumers to enjoy long-lasting, well-constructed clothing that prioritizes material integrity and craftsmanship.</t>
  </si>
  <si>
    <t>271054-00T</t>
  </si>
  <si>
    <t>Bepass (Electronic Equipment and Instruments)</t>
  </si>
  <si>
    <t>Developer of an access management platform designed to enhance security and convenience during registration and entry. The company offers facial recognition technology with security standards, enabling businesses to provide an access experience across various environments.</t>
  </si>
  <si>
    <t>Ingresse, LinkinFirm, OutField Capital</t>
  </si>
  <si>
    <t>271397-71T</t>
  </si>
  <si>
    <t>CSI Loctech</t>
  </si>
  <si>
    <t>Provider of rental services intended for events and productions. The company offers rentals of audiovisual equipment, computers, generators, portable lighting towers, UPS units, and other products, thereby enabling clients to reduce mobility costs by making equipment management easy.</t>
  </si>
  <si>
    <t>Partner Ventures, Voke(João Lima)</t>
  </si>
  <si>
    <t>262383-94T</t>
  </si>
  <si>
    <t>Esfera Energia</t>
  </si>
  <si>
    <t>Provider of energy consulting services based in Sao Paulo, Brazil.</t>
  </si>
  <si>
    <t>251401-87T</t>
  </si>
  <si>
    <t>Guide Investimentos</t>
  </si>
  <si>
    <t>Operator of an institutional brokerage and wealth management consulting firm intended to offer investment and wealth management advisory services. The company's institutional brokerage and wealth management services are offered in the areas of investment funds, fixed income, real estate funds, futures, and options markets, enabling clients to avail enhanced financial services.</t>
  </si>
  <si>
    <t>272473-75T</t>
  </si>
  <si>
    <t>Liqi Digital Assets</t>
  </si>
  <si>
    <t>Developer of a tokenization platform designed to democratize access to different types of investments with crypto assets. The company's platform connects blockchain and tokens to the traditional financial market by offering autonomy, learning and security through blockchain technology, enabling a large part of the population to acquire tokens from their partners through launches on our website.</t>
  </si>
  <si>
    <t>Igah Ventures</t>
  </si>
  <si>
    <t>272456-47T</t>
  </si>
  <si>
    <t>RHGestor</t>
  </si>
  <si>
    <t>Developer of human resource management software designed to manage the entire employee life cycle. The company uses artificial intelligence to better recruit and select, evaluate performance, train, develop and retain talent, enabling clients to help with the hiring process.</t>
  </si>
  <si>
    <t>Solides Tecnologia(Mônica Hauck)</t>
  </si>
  <si>
    <t>270394-21T</t>
  </si>
  <si>
    <t>Sismetro</t>
  </si>
  <si>
    <t>Developer of intelligent management systems designed to provide performance, mobility, safety, and robustness. The company offers a variety of software products like smart systems for hospitals, industry, and critical operations, and software for asset management, maintenance, telemetry, IoT, and sterilization, enabling clients to optimize resources and increase profits.</t>
  </si>
  <si>
    <t>271015-75T</t>
  </si>
  <si>
    <t>U-All Solutions</t>
  </si>
  <si>
    <t>Developer of a mobile marketing platform designed to combine Wi-Fi access with communication via WhatsApp. The company's platform collects strategic data in compliance with the general data protection law (LGPD) when someone connects to the Wi-Fi that gives life to unforgettable actions for the consumer and incredible results for companies, enabling businesses to create personalized campaigns to delight, satisfy and retain the end consumer, strengthening connections.</t>
  </si>
  <si>
    <t>270975-34T</t>
  </si>
  <si>
    <t>Wickbold</t>
  </si>
  <si>
    <t>Manufacturer and distributor of bread products based in Diadema, Brazil. The company produces various types of bread, loaves, and multigrain packaged breads.</t>
  </si>
  <si>
    <t>Grupo Bimbo (MEX: BIMBOA)(Rafael Pamias Romero)</t>
  </si>
  <si>
    <t>274172-41T</t>
  </si>
  <si>
    <t>Gryfo</t>
  </si>
  <si>
    <t>Developer of a biometric recognition platform designed to recognize faces in videos and photos. The company's product transforms face images into unique facial features and compares them to the database and facial feature registries for identification, enabling clients to improve their services, expand their customer base, and increase their profitability.</t>
  </si>
  <si>
    <t>Bossa Invest, FEA Angels, Inova Startups</t>
  </si>
  <si>
    <t>272546-02T</t>
  </si>
  <si>
    <t>Nura.AI</t>
  </si>
  <si>
    <t>Provider of artificial intelligence services based IN Sao Paulo, Brazil. The company specializes in providing services related to Artificial intelligence.</t>
  </si>
  <si>
    <t>PowerOfData(Dalmer Sella)</t>
  </si>
  <si>
    <t>277760-26T</t>
  </si>
  <si>
    <t>TIVIT</t>
  </si>
  <si>
    <t>Provider of integrated business process and information technology management services intended to support the digital evolution in businesses. The company specializes in digital business, cloud services, digital payments infrastructure and application solutions and technology platforms, helping clients to get high availability, information security, evolve their business and get flexibility and robustness to their business operations.</t>
  </si>
  <si>
    <t>271059-58T</t>
  </si>
  <si>
    <t>Weni</t>
  </si>
  <si>
    <t>Developer of a multi-lingual interactive chatbot designed to facilitate campaigns and intuitive automated responses. The company's chatbot is an intelligent, interactive robot that can provide people with relevant, tailored information using a crowdsourcing model to translate data sets into multiple languages, enabling businesses to talk to the robot, ask questions, and seek information interactively.</t>
  </si>
  <si>
    <t>VTEX (NYS: VTEX)(Alexandre Soncini)</t>
  </si>
  <si>
    <t>277449-22T</t>
  </si>
  <si>
    <t>Grupo HDI</t>
  </si>
  <si>
    <t>Provider of software testing and automation services intended to improve the quality and reliability of applications and systems. The company offers services to meet the quality demands from design to production and throughout the entire application lifecycle, enabling clients to get ensured quality and reliability of critical applications and systems.</t>
  </si>
  <si>
    <t>MANA Tech</t>
  </si>
  <si>
    <t>272567-08T</t>
  </si>
  <si>
    <t>Konecta BR</t>
  </si>
  <si>
    <t>Provider of integration and support services for customer relationship management, intended to help organizations optimize their processes and reach new levels of efficiency and competitiveness. The company offer services to boost sales, improve service, manage leads, and sales training.</t>
  </si>
  <si>
    <t>Taking</t>
  </si>
  <si>
    <t>272541-25T</t>
  </si>
  <si>
    <t>Sonar Produtora</t>
  </si>
  <si>
    <t>Operator of a production company catering to the music industry. The company engages in producing music, artist management and offers and digital distribution, as well as legal and artistic support for musicians.</t>
  </si>
  <si>
    <t>GR6(Pernambuco Pernambuco)</t>
  </si>
  <si>
    <t>270787-96T</t>
  </si>
  <si>
    <t>Vixting</t>
  </si>
  <si>
    <t>Developer of a human resource tech platform intended for occupational health and safety management. The company's platform allows candidates for digital admission and offers a self-scheduling feature and workplace safety, enabling clients to digitally transform occupational health and safety management in their organization.</t>
  </si>
  <si>
    <t>GIC Private, Sankhya Gestão de Negócios</t>
  </si>
  <si>
    <t>271050-40T</t>
  </si>
  <si>
    <t>Icatu Vanguarda Credito Imob Fundo De Invest Imobiliario Respons (BVMF: IVCI11)</t>
  </si>
  <si>
    <t>Icatu Vanguarda Credito Imob Fundo De Invest Imobiliario Respons Ltd is a Real Estate Investment Company.</t>
  </si>
  <si>
    <t>270639-73T</t>
  </si>
  <si>
    <t>xbloom</t>
  </si>
  <si>
    <t>Operator of a fast-food chain intended to serve delicious and healthy food with the functionality of nutrition. The company specializes in making food filled with nutrients and supplements that seek to provide physical and mental well-being and delivers functional foods with the same pleasure as junk food flavors, enabling food lovers to eat burgers, fries, ice cream, milkshakes, and even soda without too much guilt.</t>
  </si>
  <si>
    <t>PG&amp;MP - Participações, Investimentos e Administração de Bens Próprios</t>
  </si>
  <si>
    <t>274092-22T</t>
  </si>
  <si>
    <t>Amethyst SPE</t>
  </si>
  <si>
    <t>Provider of real estate development services based in Rio De Janeiro, Brazil.</t>
  </si>
  <si>
    <t>Abovyan Participações</t>
  </si>
  <si>
    <t>270593-92T</t>
  </si>
  <si>
    <t>Before</t>
  </si>
  <si>
    <t>Developer of a customized digital services company intended to specialize in the development of software as a service for medium and large companies. The company aims to increase the profitability of the business, with creativity, security and practicality and focuses on the client's reality and its digital inclusion, enabling businesses to see how the data reading system works through facial biometrics.</t>
  </si>
  <si>
    <t>270447-31T</t>
  </si>
  <si>
    <t>GGNET Telecomunicações</t>
  </si>
  <si>
    <t>Provider of telecommunications services based in Cacador, Brazil. The company offers wireless internet services to clients across Brazil.</t>
  </si>
  <si>
    <t>Brasil Serviços de Tecnologia</t>
  </si>
  <si>
    <t>272513-26T</t>
  </si>
  <si>
    <t>Itelfibra Telecom</t>
  </si>
  <si>
    <t>Provider of fiber optic internet plans based in Itapoá, Brazil. The company provides 5G Wifi, immediate installation, fixed-line telephone services and internet services.</t>
  </si>
  <si>
    <t>270469-99T</t>
  </si>
  <si>
    <t>Popular Pet</t>
  </si>
  <si>
    <t>Operator of pet product and service store chains intended to offer veterinary care facilities. The company offers pet food, pharmaceutical, hygiene and supplement products, as well as services such as bathing, grooming and veterinary care, enabling its clients with all products and services related to the health and well-being of pets.</t>
  </si>
  <si>
    <t>Epitychia(Janguiê Diniz)</t>
  </si>
  <si>
    <t>254418-76T</t>
  </si>
  <si>
    <t>Wehandle</t>
  </si>
  <si>
    <t>Developer of a web-based third-party management platform designed to connect service providers and their customers. The company's platform provides videos, evaluates the performance of each third party with graphs and reports, and measures the risks and levels of service associated with each service provider, enabling clients to unite customers and their suppliers and promote a safe and healthy relationship.</t>
  </si>
  <si>
    <t>Canary (Brazil), Grão (São Paulo), ONEVC</t>
  </si>
  <si>
    <t>258596-29T</t>
  </si>
  <si>
    <t>Magie</t>
  </si>
  <si>
    <t>Developer of a financial application designed to pay bills through WhatsApp. The company's artificial intelligence-powered application offers a digital bank that uses language models and manages invoices and scheduled payments through instructions and data sent via audio, image, and forwarded text messages, enabling customers to access and manage the transactions paid and received.</t>
  </si>
  <si>
    <t>Canary (Brazil), Lux Capital(Brandon Reeves)</t>
  </si>
  <si>
    <t>270455-77T</t>
  </si>
  <si>
    <t>Acaso (Educational and Training Services (B2C))</t>
  </si>
  <si>
    <t>Operator of a talent development company intended to empower people and organizations to unlock their full potential. The company offers talent development strategies, including self-inventory, mentoring programs and learning communities, enabling customers to cultivate a growth mindset, build critical skills and navigate career transitions.</t>
  </si>
  <si>
    <t>272103-85T</t>
  </si>
  <si>
    <t>Acessoline Telecomunicacoes</t>
  </si>
  <si>
    <t>Provider of telecommunication services catering to corporate, government, wholesale, and individuals. The company offers dedicated IP Link, LAN to LAN, IP transit, landline services, home internet, cable TV, and streaming services.</t>
  </si>
  <si>
    <t>291928-15T</t>
  </si>
  <si>
    <t>Ceres Seeding</t>
  </si>
  <si>
    <t>Developer of ecological restoration drones designed to enhance environmental recovery. The company offers services that include drone-based seed dispersal, customized equipment tailored to diverse ecosystems, and integrated agribusiness technologies, enabling organizations focused on environmental restoration to achieve efficient and scalable land revitalization.</t>
  </si>
  <si>
    <t>YECO Accelerator</t>
  </si>
  <si>
    <t>270263-53T</t>
  </si>
  <si>
    <t>Easyjur</t>
  </si>
  <si>
    <t>Developer of an artificial intelligence-based legal-tech tool designed to democratize access to justice. The company's tool captures and monitors lawsuits in all courts of the country, transforms a large amount of information into structured data, monitors processes related to an attorney's name and OAB number and controls all activities related to legal control, enabling lawyers to send notifications whenever the status changes and track their cases efficiently.</t>
  </si>
  <si>
    <t>Investidores.vc(Amure Pinho)</t>
  </si>
  <si>
    <t>270402-31T</t>
  </si>
  <si>
    <t>Emet Multiestrategia Fundo De Invest I Mobiliario Responsabilidade (BVMF: EMET11)</t>
  </si>
  <si>
    <t>Emet Multiestrategia Fundo De Invest I Mobiliario Responsabilidade Ltd is an Real Estate Investment company.</t>
  </si>
  <si>
    <t>244440-10T</t>
  </si>
  <si>
    <t>ESG Now</t>
  </si>
  <si>
    <t>Developer of a digital compliance platform designed for maturity in ESG and sustainability. The company's platform offers tools for tracking, managing and reporting environmental, social and governance data, supports alignment with global sustainability standards, provides frameworks for risk assessment and performance measurement and includes dashboards for monitoring progress, enabling companies across industries to meet regulatory expectations and improve sustainability practices.</t>
  </si>
  <si>
    <t>ACI Worldwide (ACI), angelswallet, DOMO.VC, Sicredi, Ventiur</t>
  </si>
  <si>
    <t>276786-73T</t>
  </si>
  <si>
    <t>Tuto</t>
  </si>
  <si>
    <t>Developer of an educational platform designed to provide metric education and gamification training. The company offers three customizable modes that empower and engage your team, standardizing processes and creating metrics that generate more effective results, enabling the learners to get fun training to strengthen organizational culture, encourage knowledge management and increase your team's productivity in practice.</t>
  </si>
  <si>
    <t>281610-46T</t>
  </si>
  <si>
    <t>Elisa.bet</t>
  </si>
  <si>
    <t>Operator of a betting company intended to be a home for influencers, artists and affiliates. The company offers online betting on various games, enabling clients to play and bet on games online.</t>
  </si>
  <si>
    <t>Crownstone Ventures(Brunno Cunha)</t>
  </si>
  <si>
    <t>Casinos and Gaming</t>
  </si>
  <si>
    <t>244443-16T</t>
  </si>
  <si>
    <t>FazGame</t>
  </si>
  <si>
    <t>Developer of an interactive learning platform designed for immersive reading and writing experiences. The company's platform provides tools for creating narrative-based digital content, integrating features such as artificial intelligence-assisted writing support, customizable educational materials, real-time progress tracking, enabling students to enhance literacy skills, foster creativity, and engage in self-directed learning through interactive storytelling.</t>
  </si>
  <si>
    <t>Anjos do Brasil, GVAngels, Ventiur, Yunus Social Business</t>
  </si>
  <si>
    <t>271431-91T</t>
  </si>
  <si>
    <t>Mega Energia</t>
  </si>
  <si>
    <t>Provider of consulting services intended for the renewable energy segment. The company offers services catering to prospecting for new developments, project management and implantation, obtaining environmental licenses, technical and economic feasibility analysis as well as commercialization of the generated electricity, delivering structured solutions to clients.</t>
  </si>
  <si>
    <t>Ibes Participações</t>
  </si>
  <si>
    <t>Energy Marketing</t>
  </si>
  <si>
    <t>270082-09T</t>
  </si>
  <si>
    <t>PharmaSpecial Especialidades Químicas e Farmacêuticas</t>
  </si>
  <si>
    <t>Manufacturer of personal care products catering to small-scale magistral and industrial markets. The company offers active ingredients, conditioning agents, preservatives, emulsifiers, sensory modifiers, organic ingredients, product development, and regulatory assistance, enabling clients to create effective products.</t>
  </si>
  <si>
    <t>Brenntag (ETR: BNR)(Torsten Walz)</t>
  </si>
  <si>
    <t>264019-60T</t>
  </si>
  <si>
    <t>Jequiti Cosméticos</t>
  </si>
  <si>
    <t>Retailer of personal care and beauty products based in Osasco, Brazil. The company's platform engages in the online selling of perfumes, lipsticks, hair oils, beard oils, make-up products, and personal care products.</t>
  </si>
  <si>
    <t>269966-89T</t>
  </si>
  <si>
    <t>Applause</t>
  </si>
  <si>
    <t>Developer of an employee engagement platform intended to encourage, recognize, and reward employees based on their performance. The company's platform simplifies recognition, incentivizes exceptional performance, and offers a gamification and rewards system that turns culture and performance challenges into a tangible opportunity for recognition, enabling companies to encourage productivity, recognize those who perform, gamify and give visibility to goals and campaigns, and reward employees.</t>
  </si>
  <si>
    <t>Valora Ventures, Westwood Capital (Brazil)</t>
  </si>
  <si>
    <t>269545-06T</t>
  </si>
  <si>
    <t>Farmax (Brazil)</t>
  </si>
  <si>
    <t>Manufacturer of beauty and personal care cosmetic products intended to contribute to people's well-being, beauty, and health. The company operates an online platform, works with brands, and offers products to cosmetic, pharmaceutical, hospital, and food supplement lines, providing quality products for adults, babies, and kids at affordable prices.</t>
  </si>
  <si>
    <t>Lazuli Partners(Bruno Alves), Vidya Capital(Rodrigo Galindo)</t>
  </si>
  <si>
    <t>270508-69T</t>
  </si>
  <si>
    <t>Fofuuu</t>
  </si>
  <si>
    <t>Developer of a digital therapeutic platform designed to enhance treatment efficiency and accessibility for children with neurodevelopmental disorders. The company's platform integrates AI to automate content and difficulties, allowing for personalized care and reducing costs, enabling clinics to expand their reach and improve treatment outcomes.</t>
  </si>
  <si>
    <t>279265-60T</t>
  </si>
  <si>
    <t>Grupo BC Energia (21 Distributed Solar Generation Plants)</t>
  </si>
  <si>
    <t>Portfolio of 21 solar plants located across the states of Goiás, Minas Gerais, Mato Grosso and the Federal District, Brazil.</t>
  </si>
  <si>
    <t>280681-75T</t>
  </si>
  <si>
    <t>NanoScoping</t>
  </si>
  <si>
    <t>Developer of green nanotechnology designed for veterinary animal health nutrition and agriculture. The company offers products that are developed using biocompatible, biodegradable ingredients through green processes, providing companies with nanocapsules for agro-veterinary applications.</t>
  </si>
  <si>
    <t>257410-72T</t>
  </si>
  <si>
    <t>Pet Center Comércio e Participações (BVMF: PETZ3)</t>
  </si>
  <si>
    <t>Pet Center Comercio E Participacoes SA operates an online pet store. The store offers pet food, sanitary care products, pet toys, pet clothing, blankets and pillows, carrying bags, trolleys, bathing products, stool collector, and other related products. Also, the company provides medicines for pets.</t>
  </si>
  <si>
    <t>Cobasi, Kinea Investimentos (BVMF: KNHY11)(Cristiano Lauretti)</t>
  </si>
  <si>
    <t>270101-17T</t>
  </si>
  <si>
    <t>Psicologus</t>
  </si>
  <si>
    <t>Operator of an online education platform catering to professionals and students in the psychology industry. The company engages in providing a subscription-based service with a focus on skills and knowledge essential in the field of clinical psychology.</t>
  </si>
  <si>
    <t>Vetor Editora Psico Pedagogica(Ricardo Mattos)</t>
  </si>
  <si>
    <t>280672-21T</t>
  </si>
  <si>
    <t>Zaruc</t>
  </si>
  <si>
    <t>Developer of internet of things (IoT) devices designed to optimize energy and water measurement data management. The company specializes in facilitating operations and processes in the transmission and capture of reading data by leveraging measurement and communication technologies, enabling businesses to streamline data flow, automate processes, reduce costs, and improve decision-making.</t>
  </si>
  <si>
    <t>270244-63T</t>
  </si>
  <si>
    <t>Grab&amp;Go Tech</t>
  </si>
  <si>
    <t>Provider of financial services based in Sao Paulo, Brazil. The company engages in providing payment methods and banking services thereby providing digital financial support.</t>
  </si>
  <si>
    <t>EDAN Payment Institution</t>
  </si>
  <si>
    <t>214585-93T</t>
  </si>
  <si>
    <t>Granto Seguros</t>
  </si>
  <si>
    <t>Operator of a mining brokerage platform intended to facilitate the contracting of insurance through technology and humanized service throughout Brazil. The company's platform specializes in surety bonds, civil liability, engineering risks, and group life, enabling companies to cover the damage caused by the company to the body if it does not perform the contract as agreed.</t>
  </si>
  <si>
    <t>Algar Telecom, Bossa Invest, SC Angels(Cacio Packer)</t>
  </si>
  <si>
    <t>Property and Casualty Insurance</t>
  </si>
  <si>
    <t>269617-24T</t>
  </si>
  <si>
    <t>Atvos, CNH Industrial (NYS: CNH), Suzano (BVMF: SUZB3)</t>
  </si>
  <si>
    <t>270102-61T</t>
  </si>
  <si>
    <t>MyCAP Investimentos</t>
  </si>
  <si>
    <t>Developer of an application-based trading software designed for capital market assets. The company's platform allows users to buy, sell and trade stocks, futures &amp; options, currencies, and commodities, cryptocurrencies, index, real estate, pension and investment funds.</t>
  </si>
  <si>
    <t>Nomos (investment advisory firm)(Rodrigo Imperatriz)</t>
  </si>
  <si>
    <t>270520-75T</t>
  </si>
  <si>
    <t>StartGi</t>
  </si>
  <si>
    <t>Operator of a technology company intended to enhance the operational efficiency of businesses. The company's platform caters to specific needs, such as managing public tender opportunities, automating and managing documents, conducting government market benchmarking research, and providing outsourcing services, enabling businesses to improve decision-making and ensure that organizations can efficiently manage and analyze information.</t>
  </si>
  <si>
    <t>Cedro Capital, KPTL(Adriano Pitoli)</t>
  </si>
  <si>
    <t>276780-97T</t>
  </si>
  <si>
    <t>TecPet</t>
  </si>
  <si>
    <t>Developer of an automated management platform designed to increase loyalty and productivity for companies in the pet market. The company's platform offers a management dashboard, team management module, managing packages and monthly plans with automatic scheduling, automatic notifications, automation of the online scheduling process, and virtual assistant, enabling businesses to stimulate new sales and generate reminders and new appointments with customers.</t>
  </si>
  <si>
    <t>269742-97T</t>
  </si>
  <si>
    <t>SenseUp Tech</t>
  </si>
  <si>
    <t>Developer of an agile data integration platform designed for the digital transformation era. The company's platform offers features and services such as infrastructure costs, setup and deployment, data security, data flow editor, monitoring and recovery, scalability and support and secure integration services, enabling users to create, test and manage customer data integration flows without the need for manual coding, using a visual and intuitive interface.</t>
  </si>
  <si>
    <t>271298-53T</t>
  </si>
  <si>
    <t>VetWork IT</t>
  </si>
  <si>
    <t>Developer of a credit and management platform designed to support the entire pet segment chain, including shop owners, veterinarians, and product distributors. The company's platform offers payment technology, specific business insurance, and an integrated purchase, replenishment, and inventory management tool, enabling businesses of all sizes to streamline their operations and financial processes.</t>
  </si>
  <si>
    <t>SRM Ventures</t>
  </si>
  <si>
    <t>270117-64T</t>
  </si>
  <si>
    <t>Vex Capital (Sao Paulo)</t>
  </si>
  <si>
    <t>Provider of capital and financial market services based in Sao Paulo, Sao Paulo, Brazil. The company specializes in debt restructuring, fundraising, and fund structuring, especially Credit Rights Investment Funds designed to meet appropriate market alternatives for business.</t>
  </si>
  <si>
    <t>Yards Capital(Roberto Marinho)</t>
  </si>
  <si>
    <t>270107-74T</t>
  </si>
  <si>
    <t>Pequeno Príncipe Stadium</t>
  </si>
  <si>
    <t>Operator of a network of elementary schools based in Goiânia, Brazil. The company comprises early childhood education, elementary education 1, and elementary education 2 for students.</t>
  </si>
  <si>
    <t>Advent International, BTG Pactual (BVMF: BPAC3), CPP Investments, Inspira Rede de Educadores</t>
  </si>
  <si>
    <t>275078-26T</t>
  </si>
  <si>
    <t>Segware</t>
  </si>
  <si>
    <t>Developer of a security monitoring software platform designed to empower security companies and alarm centers with cutting-edge technology for improved efficiency and customer protection. The company's platform offers features such as access, analytics, image monitoring, message, MySecurity, OS Mobile, VMS cloud and VTRMobile, enabling security companies and alarm centers to reduce response times and optimize costs.</t>
  </si>
  <si>
    <t>Crescera Capital</t>
  </si>
  <si>
    <t>269404-57T</t>
  </si>
  <si>
    <t>Espresso</t>
  </si>
  <si>
    <t>Developer of a corporate expense management platform designed to automate the employee reimbursement and accountability process. The company's platform reduces the mess of disorganized refund processes using audit platform-based tools, enabling clients to keep track of their organizational expenses.</t>
  </si>
  <si>
    <t>GIC Private, Sankhya Gestão de Negócios(André Britto)</t>
  </si>
  <si>
    <t>270882-91T</t>
  </si>
  <si>
    <t>ParqueBrasil</t>
  </si>
  <si>
    <t>Provider of funeral assistance services based in Belo Horizonte, Brazil. The company offers immediate funeral support, cremation, memorial services and sustainable burial options.</t>
  </si>
  <si>
    <t>Falconi</t>
  </si>
  <si>
    <t>269302-06T</t>
  </si>
  <si>
    <t>Conecta Tech</t>
  </si>
  <si>
    <t>Operator of a data integration platform intended to connect various systems used in business management. The company's platform allows businesses to connect their various sales channels and systems, such as e-commerce platforms, marketplaces, and CRMs, enabling businesses to streamline their operations and improve efficiency.</t>
  </si>
  <si>
    <t>Logstore(Helson Santos)</t>
  </si>
  <si>
    <t>269371-54T</t>
  </si>
  <si>
    <t>Facio</t>
  </si>
  <si>
    <t>Developer of a digital financial platform designed to provide loans to the working class. The company's platform integrates with the employer's system to offer credit facilities or loans without any intermediary fees on an interest basis that will be deducted monthly from employees' payroll, enabling businesses to consider and offer secure liquidity options.</t>
  </si>
  <si>
    <t>Mago Capital, Saison Capital, Tekton Ventures, Uncorrelated Ventures</t>
  </si>
  <si>
    <t>268011-10T</t>
  </si>
  <si>
    <t>Flip Saúde</t>
  </si>
  <si>
    <t>Developer of a financial management platform intended to eliminate errors and save more time. The company's platform focuses on simplifying day-to-day operations and leveraging clinical practice with credit and payment services which are automatically integrated with patient data, enabling healthcare administration and sector to control all the money that comes in and goes out simply and quickly.</t>
  </si>
  <si>
    <t>EquityRio, EXT Capital, Kria, MG Tech., South Capital, STRIVE (São Paulo)(Eduardo Casarini)</t>
  </si>
  <si>
    <t>270395-20T</t>
  </si>
  <si>
    <t>Hablla</t>
  </si>
  <si>
    <t>Developer of a conversational marketing platform designed to streamline customer interactions. The company's platform unifies omnichannel, customer relationship management and integration into a single tool for customer service, sales and other departments, enabling businesses to automate tasks, reduce costs and improve operational efficiency.</t>
  </si>
  <si>
    <t>241892-02T</t>
  </si>
  <si>
    <t>Veggi</t>
  </si>
  <si>
    <t>Operator of a delivery platform intended to offer vegan delivery services to people living in Brazil. The company's platform focuses on conscious consumption of food and products and maintains communication between restaurants, customers and delivery partners, enabling people to avail of animal-free delivery options.</t>
  </si>
  <si>
    <t>Equity Crowdfunding</t>
  </si>
  <si>
    <t>269232-49T</t>
  </si>
  <si>
    <t>ArmyBR</t>
  </si>
  <si>
    <t>Developer of sportswear designed to enhance athletic performance and comfort. The company offers high-quality, digitally designed apparel featuring cutting-edge materials and ergonomic fits, enabling athletes to achieve optimal performance and confidence during workouts.</t>
  </si>
  <si>
    <t>Accessories</t>
  </si>
  <si>
    <t>292216-78T</t>
  </si>
  <si>
    <t>IDS Software e Assessoria</t>
  </si>
  <si>
    <t>Developer of public management software based in Pato Branco, Brazil. The company offers software development, software consulting tools, social assistance for health management, education, and citizen engagement.</t>
  </si>
  <si>
    <t>Volaris Group(Henrique Barreto)</t>
  </si>
  <si>
    <t>285463-90T</t>
  </si>
  <si>
    <t>Niiw</t>
  </si>
  <si>
    <t>Developer of a consumer data collection platform intended for collecting, cleaning, categorizing and analyzing physical market consumption data. The company's platform offers campaign automation, database sanitization and reimbursement process automation and helps in classifying and analyzing services through big data, enabling businesses to know the real power of data in their business.</t>
  </si>
  <si>
    <t>FI Boost</t>
  </si>
  <si>
    <t>280413-55T</t>
  </si>
  <si>
    <t>Data4Company</t>
  </si>
  <si>
    <t>Developer of financial management and billing analysis tools intended to enhance business decision-making processes. The company's platform provides interactive and straightforward features for managing financial data, automating closures, and delivering strategic insights, enabling small to medium-sized enterprises to optimize their financial operations and improve efficiency.</t>
  </si>
  <si>
    <t>269289-55T</t>
  </si>
  <si>
    <t>Js Recebiveis Imobiliario (BVMF: JSCR11)</t>
  </si>
  <si>
    <t>Js Recebiveis Imobiliarios Fundo De Investimento Imobiliario is a Real Estate Investment Fund Company.</t>
  </si>
  <si>
    <t>255692-98T</t>
  </si>
  <si>
    <t>Bready</t>
  </si>
  <si>
    <t>Operator of a nutritional food product company intended to create protein, low-carb, and gluten-free bread for individuals seeking healthier alternatives. The company offers an easy-to-prepare bread mix made from natural ingredients, enabling customers to have a nutritious option without compromising their dietary goals.</t>
  </si>
  <si>
    <t>270539-47T</t>
  </si>
  <si>
    <t>Inova Startups</t>
  </si>
  <si>
    <t>268951-51T</t>
  </si>
  <si>
    <t>Pay2All Instituição de Pagamento</t>
  </si>
  <si>
    <t>Operator of the licensed payment institution based in São Paulo, Brazil.</t>
  </si>
  <si>
    <t>Nuvei Technologies(Philip Fayer)</t>
  </si>
  <si>
    <t>248418-10T</t>
  </si>
  <si>
    <t>Refinaria de Mataripe</t>
  </si>
  <si>
    <t>A refinery with 201 storage tanks and 18 storage spheres with a capacity of 323,000 bbl/d based in in the Recôncavo Baiano region. The property offers various products including diesel, gasoline, jet fuel, asphalt and petrochemical gases such as propane, propylene and butane and industrial, thermal and bunker fuel oils to the states of Bahia and Sergipe, in addition to other states in Northern and Northeastern Brazil.</t>
  </si>
  <si>
    <t>268969-78T</t>
  </si>
  <si>
    <t>Selene (Clothing)</t>
  </si>
  <si>
    <t>Manufacturer of clothing and textiles based in Sao Paulo, Brazil. The company manufactures products recognized in the hosiery, underwear, lingerie, shapewear, fitness, sports and beachwear markets.</t>
  </si>
  <si>
    <t>DeMillus</t>
  </si>
  <si>
    <t>268843-78T</t>
  </si>
  <si>
    <t>Paraná Innovative Angel</t>
  </si>
  <si>
    <t>300179-08T</t>
  </si>
  <si>
    <t>Ursula</t>
  </si>
  <si>
    <t>Developer of an AI platform designed to build living digital characters with emotional intelligence. The company leverages proprietary cognitive architecture to design characters that possess emotions, memories, and unique behaviors that can be licensed and integrated into third-party products to serve as a companion for children, enabling businesses to create new digital experiences for their clients and users.</t>
  </si>
  <si>
    <t>Betaworks</t>
  </si>
  <si>
    <t>271071-10T</t>
  </si>
  <si>
    <t>Courageous Land</t>
  </si>
  <si>
    <t>Developer of an agroforestry intelligence platform designed to reverse climate change. The company specializes in planning and operating biodiverse, regenerative, tropical agroforestry systems, and works at the frontier of deforestation, providing rural income that protects the forest through sustainable wild-harvesting of organic superfoods, biodiverse and native, optimized for carbon removal, helping the team and fellow agroforester with operations, commercial partnerships for premium agroforestry products and carbon.</t>
  </si>
  <si>
    <t>JLL Foundation, Seedstars International Ventures, The Yield Lab Latam</t>
  </si>
  <si>
    <t>259637-14T</t>
  </si>
  <si>
    <t>D'Or Consultoria</t>
  </si>
  <si>
    <t>Provider of insurance and benefits services with a focus on corporate and individual clients. The company specializes in corporate and health insurance services, thereby offering solutions to the client as per their customization.</t>
  </si>
  <si>
    <t>276535-63T</t>
  </si>
  <si>
    <t>Progato</t>
  </si>
  <si>
    <t>Producer of hygienic granules intended for pet care. The company specializes in cat care and offers a variety of products including cat litter products such as clumping, non-clumping and biodegradable options, scented and unscented options and lightweight and eco-friendly alternatives, enabling pet owners in Brazil to maintain clean and odor-free environments for their pets.</t>
  </si>
  <si>
    <t>PremieRpet</t>
  </si>
  <si>
    <t>268970-41T</t>
  </si>
  <si>
    <t>Roberty Automation</t>
  </si>
  <si>
    <t>Developer a robotic process automation tool intended to automate manual and repetitive activities. The company's tool enables clients to construct intelligent robots for hyper-automation of various tasks such as issuing invoices, reading and manipulating spreadsheets, creating purchase orders and registering leads in CRM tools, helping clients boost productivity and save employee time.</t>
  </si>
  <si>
    <t>268941-25T</t>
  </si>
  <si>
    <t>Acquion</t>
  </si>
  <si>
    <t>Developer of collagen and gelatin products designed for various sectors like food, pharmaceuticals, supplements, cosmetics, and nutrition. The company's product contributes to skin, nails, and hair health and is responsible for constituting fibers that support the body's tissues, such as bones, muscles, tendons, and joints, enabling people with better health through the manufacture of raw materials with high-quality standards.</t>
  </si>
  <si>
    <t>Shift Capital (São Paulo)</t>
  </si>
  <si>
    <t>272985-13T</t>
  </si>
  <si>
    <t>Menlo (Financial Software)</t>
  </si>
  <si>
    <t>Developer of a payment platform designed for small entrepreneurs franchising. The company's platform offers features such as receipt management, optimized financial management and automated royalty calculation and data for franchisors to obtain an overview of the performance of their entire network and improve the cash flow of their franchisees by offering multiple payment methods, enabling franchisors to manage accounts receivable more efficiently.</t>
  </si>
  <si>
    <t>FJ Labs, Hi Ventures, ONEVC</t>
  </si>
  <si>
    <t>268595-20T</t>
  </si>
  <si>
    <t>Mmartan Textil</t>
  </si>
  <si>
    <t>Manufacturer of textiles and home furnishing products based in Salvador, Brazil. The company manufactures beds, pillow tops, bedside tables, trays, bath towels and bathroom rugs.</t>
  </si>
  <si>
    <t>256881-88T</t>
  </si>
  <si>
    <t>Pet Delícia</t>
  </si>
  <si>
    <t>Provider of pet food products intended to offer fresh, delicious, and balanced food for cats and dogs. The company's products are made using human-grade ingredients using no conservatives, coloring, or by-products, enabling pet owners to offer natural nutrition to pets.</t>
  </si>
  <si>
    <t>270310-78T</t>
  </si>
  <si>
    <t>Raíx</t>
  </si>
  <si>
    <t>Operator of a cover crop company intended to serve farmers in Brazil. The company specializes in research and development, agronomic expertise, and seed technology to offer products based on region, crop, and cycle, enabling farmers with increased productivity and soil health.</t>
  </si>
  <si>
    <t>Aqua Capital</t>
  </si>
  <si>
    <t>270634-78T</t>
  </si>
  <si>
    <t>Rei do Pitaco</t>
  </si>
  <si>
    <t>Operator of a fantasy sports platform intended to offer cash prizes to the users. The company's platform builds teams by selecting players of choice to play with or against friends, create a league and receive true rewards, enabling users to actively engage in the game and get rewarded for the same.</t>
  </si>
  <si>
    <t>The Raine Group</t>
  </si>
  <si>
    <t>289458-73T</t>
  </si>
  <si>
    <t>SolarVolt</t>
  </si>
  <si>
    <t>Operator of a solar panel installation company committed to contributing to a more sustainable future. The company performs feasibility analyses, prepares basic and executive projects, supplies and installs equipment and prepares documentation for registration at the local energy concessionaire, thereby providing clean, renewable and profitable distributed photovoltaic solar energy solutions to both residential and commercial customers.</t>
  </si>
  <si>
    <t>269128-81T</t>
  </si>
  <si>
    <t>Syos Sistemas de Iot</t>
  </si>
  <si>
    <t>Developer of temperature management technology designed to prevent commercial refrigerators from malfunctioning. The company specializes in utilizing the Internet of Things (IoT) to monitor commercial refrigerators, identify anomalies, get custom reports and access user data on the application or web dashboard, thereby helping its clients in the food and pharmaceutical sectors to avoid losses and ensure quality for the product delivered to their consumers.</t>
  </si>
  <si>
    <t>255891-34T</t>
  </si>
  <si>
    <t>Enauta</t>
  </si>
  <si>
    <t>Enauta Participacoes SA is a Brazilian company that is principally engaged in the exploration, production, and sale of oil and natural gas products. The company's exploration and production areas include Santos Basin, Espirito Santo Basin, Camamu-Almada Basin, Sergipe-Alagoas Basin, Ceara Basin, Para-Maranhao Basin, and Foz do Amazonas Basin.</t>
  </si>
  <si>
    <t>Brava Energia (BVMF: BRAV3)(Rodrigo Da Silva)</t>
  </si>
  <si>
    <t>270869-68T</t>
  </si>
  <si>
    <t>Petshop 3P</t>
  </si>
  <si>
    <t>Operator of a pet store based in Uberaba, Brazil. The company offers a range of products including food, medicines, accessories, toys, beauty and hygiene products.</t>
  </si>
  <si>
    <t>PetCamp</t>
  </si>
  <si>
    <t>272444-86T</t>
  </si>
  <si>
    <t>Cayena</t>
  </si>
  <si>
    <t>Operates of a procurement platform for restaurants, bars and bakeries intended to help suppliers connect with restaurants. The company's software empowers small restaurants and commercial kitchens with technology to increase profitability, streamline operations and facilitate direct procurement of food items from suppliers to delivery and provide a comprehensive suite of add-on services, enabling restaurants, bars, hotels and kitchens to access and purchase essential food products.</t>
  </si>
  <si>
    <t>Astella Investimentos, Bicycle Capital(Felipe Fujiwara), Canary (Brazil), Clocktower Ventures, Coca-Cola FEMSA (PINX: COCSF), Endeavor Catalyst, Endeavor Global, FJ Labs, Globo Ventures, Norte Ventures, Picus Capital</t>
  </si>
  <si>
    <t>Distributors/Wholesale (B2C)</t>
  </si>
  <si>
    <t>269703-73T</t>
  </si>
  <si>
    <t>Emanda</t>
  </si>
  <si>
    <t>Developer of email marketing platform designed to create marketing campaigns in a targeted manner. The company's platform helps to create an email marketing campaign within seconds that complies with all anti-spam rules, with the insertion of urchin tracking module (UTM) tags, and it already segments the database to receive the email, enabling clients to improve customer engagement and sales.</t>
  </si>
  <si>
    <t>268370-83T</t>
  </si>
  <si>
    <t>nScreen</t>
  </si>
  <si>
    <t>Developer of cloud based software services, intended to transform cloud infrastructure into a strategic catalyst for achieving business goals. The company offers cloud assessment, cloud projects, research and development, digital products, business intelligence solutions, and generative artificial intelligence.</t>
  </si>
  <si>
    <t>Eclipseworks(Lucas Xavier)</t>
  </si>
  <si>
    <t>268348-51T</t>
  </si>
  <si>
    <t>Tell Me Now</t>
  </si>
  <si>
    <t>Developer of an enterprise conversational AI platform designed to streamline communication across recruitment, customer service, sales, and debt negotiation. The company offers specialized artificial intelligence (AI) for each stage of the relationship cycle, intelligent automation, and humanized conversations, enabling businesses in HR, finance, and customer engagement to improve efficiency and maintain personalization at scale.</t>
  </si>
  <si>
    <t>Edward Wible(Edward Wible), Founders for Founders, Mateo Bryant(Mateo Bryant)</t>
  </si>
  <si>
    <t>268223-23T</t>
  </si>
  <si>
    <t>Raiô</t>
  </si>
  <si>
    <t>Provider of financial services intended to offer card services. The company offers a card that offers services on food, education, and fuel among others, enabling companies to encourage employee payments via cards and get rewarded for it.</t>
  </si>
  <si>
    <t>Muralha Capital, Provence Partners(Marcelo Mitre), Upload Ventures (Sao Paulo)(Marco Camhaji)</t>
  </si>
  <si>
    <t>275626-27T</t>
  </si>
  <si>
    <t>Monuv</t>
  </si>
  <si>
    <t>Operator of a custom mobile platform intended to transform any security camera into an intelligent device by applying artificial intelligence. The company's platform offers software capable of connecting with any security camera and using artificial intelligence to autonomously generate real-time alerts, enabling clients to make the existing hardware more intelligent and avoid the disposal of cameras, leading to reduced electronic waste generation.</t>
  </si>
  <si>
    <t>Indicator Capital(Derek Bittar)</t>
  </si>
  <si>
    <t>268096-33T</t>
  </si>
  <si>
    <t>Confrapar Administração e Gestão de Recursos</t>
  </si>
  <si>
    <t>Provider of private equity and asset management services serving companies, funds of funds, and family offices from Latin America, Europe and the United States.</t>
  </si>
  <si>
    <t>273973-06T</t>
  </si>
  <si>
    <t>Quill (Real Estate Services (B2C))</t>
  </si>
  <si>
    <t>Operator of a prop-tech platform intended to optimize real estate transactions. The company uses artificial intelligence for real estate transactions and increases the levels of agility, automation, transparency and security of the operation, enabling clients to get an integrated digital experience and to customize analysis criteria.</t>
  </si>
  <si>
    <t>267852-34T</t>
  </si>
  <si>
    <t>Strm</t>
  </si>
  <si>
    <t>Developer of an artificial intelligence software designed for the music industry. The company's software offers various features such as the digital distribution of releases on all platforms, analysis of career criteria, comparison of artists, strategic planning, and investment data, enabling users to connect with producers and songwriters and get personalized insights.</t>
  </si>
  <si>
    <t>269002-00T</t>
  </si>
  <si>
    <t>Amar.elo Saúde Mental</t>
  </si>
  <si>
    <t>Operator of mental health and emotional well-being programs intended for corporate environments. The company offers psychoeducation through an online academy with video classes, podcasts, and e-books, alongside organizational emotional analysis via research and testing for stress, anxiety, and depression levels, and online therapy connecting employees to psychologists without waiting lines, enabling companies to prepare for new psychosocial risk regulations, reduce absenteeism and turnover, and improve employee quality of life and team productivity.</t>
  </si>
  <si>
    <t>Rede ICC Saúde(Caio Juacaba)</t>
  </si>
  <si>
    <t>267890-41T</t>
  </si>
  <si>
    <t>Destrava Aí</t>
  </si>
  <si>
    <t>Operator of an information technology (IT) consulting firm intended to scale credit offers with receivables. The company offers automated contract execution, daily control, and conciliation services for transactional data and provides access to all registrars, and a solution for businesses to embed finance with their brand, enabling banks, fintech, finance industry development council (FIDC), and franchisors to increase the granting and recovery of their corporate credit offers.</t>
  </si>
  <si>
    <t>BR Angels</t>
  </si>
  <si>
    <t>288112-33T</t>
  </si>
  <si>
    <t>Modatta</t>
  </si>
  <si>
    <t>Developer of a data management platform designed to provide consented, personal data-empowered alternatives. The company's platform allows companies to pay users directly for their data or profile-targeted interactions, like showing a text or video, directing to a URL, or answering direct questions, enabling clients and users to earn revenue while giving companies an alternative to reach their audience that is fully compliant with privacy regulations.</t>
  </si>
  <si>
    <t>268426-18T</t>
  </si>
  <si>
    <t>Ribon</t>
  </si>
  <si>
    <t>Developer of a fund donation application designed to popularize the habit of donating among millennials and young generations. The company's application allows large donors to put money into the platform so that this money is available to the public to choose which social project it will be destined for and disburse small amounts of their own to increase the donations sent to these social projects, enabling people to help social causes without spending a penny.</t>
  </si>
  <si>
    <t>Blackbaud (NAS: BLKB)(Jerry Needel)</t>
  </si>
  <si>
    <t>267772-15T</t>
  </si>
  <si>
    <t>Gekom (Software)</t>
  </si>
  <si>
    <t>Developer of an application software serving gas stations and individuals. The company's software specializes in fuel control and economy, fleet and fuel management.</t>
  </si>
  <si>
    <t>267896-98T</t>
  </si>
  <si>
    <t>Mell.ro</t>
  </si>
  <si>
    <t>Developer of a property rental platform designed to provide security, simplicity, and a new way of renting. The company's platform offers simplified and up-to-date property management for brokers and provides rent guarantees to the owners through registration, financial analysis, and contract process, allowing users to process renting a property as simply and safely as possible.</t>
  </si>
  <si>
    <t>Anjos do Brasil, G2 Energia e Empreendimentos Imobiliarios, GVAngels(Fabio Carneiro), Parceiro Ventures, StaminaVC</t>
  </si>
  <si>
    <t>267774-22T</t>
  </si>
  <si>
    <t>Storia Capital</t>
  </si>
  <si>
    <t>Provider of financial advisory services based in Sao Paulo, Brazil. The company offers services for ESG, variable income, real estate funds, fixed income, and other related services, helping clients achieve their goals and optimize their financial opportunities.</t>
  </si>
  <si>
    <t>KNOX Capital (São Paulo)(Brunno Cortes)</t>
  </si>
  <si>
    <t>280844-47T</t>
  </si>
  <si>
    <t>Casoca</t>
  </si>
  <si>
    <t>Operator of a design platform intended to streamline product specification for architects. The company provides 3D blocks, product catalogs, and pricing data, enabling architects to efficiently specify products and connect directly with Brazilian brands and stores.</t>
  </si>
  <si>
    <t>Start-Up Chile</t>
  </si>
  <si>
    <t>Multimedia and Design Software</t>
  </si>
  <si>
    <t>267500-35T</t>
  </si>
  <si>
    <t>Clube FII</t>
  </si>
  <si>
    <t>Developer a SaaS real estate fund platform designed to offer information regarding real estate investment funds and the real estate market. The company offers real estate funds courses, analysis reports, education club, video reports, and online private consultations, providing clients with a large, easy-to-read, fully interactive database and analysis tools.</t>
  </si>
  <si>
    <t>L4 Venture Builder, Travessia</t>
  </si>
  <si>
    <t>267454-09T</t>
  </si>
  <si>
    <t>Capodarte</t>
  </si>
  <si>
    <t>Retailer of fashion brands catering products with delicate and intricate handcraft. The company offers Brazilian leather used footwear and accessories.</t>
  </si>
  <si>
    <t>Di Santinni(Artur Tchilian)</t>
  </si>
  <si>
    <t>267718-87T</t>
  </si>
  <si>
    <t>Lecom Tecnologia</t>
  </si>
  <si>
    <t>Developer of business process management technology based in São Paulo, Brazil. The company offers information management, routine streamlining, and performance tracking enabling businesses to increase operational efficiency, governance, and sustainable growth.</t>
  </si>
  <si>
    <t>267275-35T</t>
  </si>
  <si>
    <t>Vammo</t>
  </si>
  <si>
    <t>Manufacturer of electric motorcycles intended to provide technologically advanced mobility products. The company offers end-to-end motorcycle services including resale, maintenance, and insurance of electric motorcycles and easily available charging stations, enabling users to exchange their discharged batteries for recharged ones at their convenience.</t>
  </si>
  <si>
    <t>EXT Capital, Solis Investimentos</t>
  </si>
  <si>
    <t>267242-14T</t>
  </si>
  <si>
    <t>CTA Smart</t>
  </si>
  <si>
    <t>Developer of fuel management tool designed to monitor fuel consumption. The company's platform combines online software with hardware devices that can be installed in the pumps to collect data about the supply and equipment that automatically sends the information to the cloud system, enabling clients to improve their fuel and fleet management by saving time and money.</t>
  </si>
  <si>
    <t>Indicator Capital, Invisto</t>
  </si>
  <si>
    <t>267189-22T</t>
  </si>
  <si>
    <t>Meu Pescado</t>
  </si>
  <si>
    <t>Developer of an aquaculture platform designed to expand and digitize aquaculture farming. The company platform focuses on financial and zoo technical management of the property and offers complete management of the farms, connects buyers with producers, and also promotes quality and safety, enabling producers and buyers to save their time and money.</t>
  </si>
  <si>
    <t>Fabio Barra(Fabio Barra), Incubate Fund, Marcos Bernat, Stamina Capital, StaminaVC</t>
  </si>
  <si>
    <t>267219-55T</t>
  </si>
  <si>
    <t>NetLex</t>
  </si>
  <si>
    <t>Developer of a contract management platform designed to create, approve, sign and manage documents. The company's platform offers document versioning, automatically performing conjugations and calculations and ensuring adherence to the desired formatting standard, along with contract administration tools, receiving alerts about important contract dates and addendum documents when needed, enabling businesses to reduce the creation time costs and decrease errors and fraud.</t>
  </si>
  <si>
    <t>Riverwood Capital(Gustavo Pinheiro Melo)</t>
  </si>
  <si>
    <t>272611-81T</t>
  </si>
  <si>
    <t>SimpleWay</t>
  </si>
  <si>
    <t>Operator of data protection and security platform intended to meet the needs of small, medium, and large companies. The company's platform provides security management, business continuity, audits, and protection against advanced threats, enabling the organizations to operate to the current data protection and privacy requirements</t>
  </si>
  <si>
    <t>267056-92T</t>
  </si>
  <si>
    <t>Avra (AI analytics)</t>
  </si>
  <si>
    <t>Developer of an AI analytics platform designed to transform business data into actionable intelligence. The company offers real-time monitoring, predictive algorithms, and multimodal data processing, enabling clients to improve sales, reduce risks, and make informed decisions.</t>
  </si>
  <si>
    <t>ArpexCapital, Dorival Dourado(Dorival Dourado), Doug Scherrer(Doug Scherrer), Maya Capital (Brazil), Norte Ventures, Sequoia Capital</t>
  </si>
  <si>
    <t>267729-40T</t>
  </si>
  <si>
    <t>Eneva SA is a Brazilian energy utilities company involved in the generation and distribution of electricity, with complementary businesses in natural gas exploration and production. The company generates electricity through various resources, including coal, natural gas, thermoelectric plants, and renewable energy sources, such as solar energy. Furthermore, the company mines coal in Columbia, operates thermoelectric plants in Chile and Brazil, and extracts natural gas from Brazil. The firm primarily operates through its Power Generation, Energy Trading, Natural Resources, and Corporate segments.</t>
  </si>
  <si>
    <t>267081-31T</t>
  </si>
  <si>
    <t>Grupo SEB</t>
  </si>
  <si>
    <t>Operator of brands providing educational services across the world. The company offers customized educational services, thereby assisting students get the perfect match for their education segments and socioeconomic classes.</t>
  </si>
  <si>
    <t>Kinea Investimentos (BVMF: KNHY11)</t>
  </si>
  <si>
    <t>264671-38T</t>
  </si>
  <si>
    <t>Velocity Academia De Ginastica</t>
  </si>
  <si>
    <t>Operator of a chain of spinning studios across Brazil. The company offers indoor cycling classes at multiple studios, thereby allowing customers to reserve classes online, and achieve their fitness goals.</t>
  </si>
  <si>
    <t>Smartfit Escola de Ginástica e Dança (BVMF: SMFT3)(Diogo de Andrade Corona)</t>
  </si>
  <si>
    <t>266990-32T</t>
  </si>
  <si>
    <t>Versa Fuel</t>
  </si>
  <si>
    <t>Operator of a fuel-delivering application intended based in São Paulo, Brazil. The company offers refueling services through the application by adding the fuel option and quantity, time, and location, enabling customer to order and receive fuel at their preferred location.</t>
  </si>
  <si>
    <t>Vibrant Ventures</t>
  </si>
  <si>
    <t>267704-29T</t>
  </si>
  <si>
    <t>Conducco</t>
  </si>
  <si>
    <t>Developer of a process automation platform designed to automate and streamline various insurance and benefit management tasks. The company's platform offers automation, connection, and intelligence features, including connectors, validation models, and applications to automate processes, enabling clients to improve customer experience, increase revenue, and reduce costs.</t>
  </si>
  <si>
    <t>264194-74T</t>
  </si>
  <si>
    <t>Gado Certo</t>
  </si>
  <si>
    <t>Operator of animal trading lot services intended to buy and sell cattle digitally. The company's services include consultancy and operation of the purchase and sale of cattle, and offer a calculator to assess the feasibility of purchasing a specific number or by the viable arroba value, enabling ranchers to select the cattle based on their preferences.</t>
  </si>
  <si>
    <t>Banco de Brasília (BVMF: BSLI3)(Paulo Costa), Bossa Invest, KPTL(Gustavo Junqueira)</t>
  </si>
  <si>
    <t>266794-93T</t>
  </si>
  <si>
    <t>Hypnobox</t>
  </si>
  <si>
    <t>Developer of CRM software catering to real estate developers and builders. The company's software includes customer relationship management, sales management, and marketing solutions including multichannel integration, lead distribution, tracking, reporting, and customized reports.</t>
  </si>
  <si>
    <t>Senior Sistemas</t>
  </si>
  <si>
    <t>Automation/Workflow Software</t>
  </si>
  <si>
    <t>267060-88T</t>
  </si>
  <si>
    <t>Monkey</t>
  </si>
  <si>
    <t>Developer of an online finance marketplace platform designed to make the receivables discount market more efficient. The company's platform works like an auction happening in real-time, bringing a competitive process among buyers, enabling customers to have a competitive environment and trade in new securities and receivables daily.</t>
  </si>
  <si>
    <t>DEG, Kinea Investimentos (BVMF: KNHY11)(Philippe Schlumpf), L4 Venture Builder(Tiago Wigman), Quona Capital(Jonathan Whittle)</t>
  </si>
  <si>
    <t>294431-23T</t>
  </si>
  <si>
    <t>Renner Herrmann (Metal Packaging Plant in Gravatai, Brazil)</t>
  </si>
  <si>
    <t>Manufacturer of metal packaging products based in Gravatai, Brazil. The company offers metal cans, conical cans, and industrial containers designed for paints, solvents, adhesives, and food products.</t>
  </si>
  <si>
    <t>Brasilata</t>
  </si>
  <si>
    <t>Metal Containers and Packaging</t>
  </si>
  <si>
    <t>216208-45T</t>
  </si>
  <si>
    <t>Compagas</t>
  </si>
  <si>
    <t>Distributor of natural gas intended to serve customers in the residential, commercial, industrial and vehicular segments.</t>
  </si>
  <si>
    <t>Compass Gas e Energia (BVMF: PASS3)</t>
  </si>
  <si>
    <t>267031-09T</t>
  </si>
  <si>
    <t>Fundo De Investiment Imobiliario Rbr Credito Pulverizado Respons (BVMF: PULV11)</t>
  </si>
  <si>
    <t>Fundo De Investiment Imobiliario Rbr Credito Pulverizado Respons Ltd is a real estate investment fund that operates under closed condominium.</t>
  </si>
  <si>
    <t>271797-49T</t>
  </si>
  <si>
    <t>Log CP Inter FII (BVMF: INLG11)</t>
  </si>
  <si>
    <t>Inter Fundo De Investimento Imobiliario is a real estate investment fund.</t>
  </si>
  <si>
    <t>274687-75T</t>
  </si>
  <si>
    <t>MadFibra Indústria Moveleira</t>
  </si>
  <si>
    <t>Manufacturer of kitchen and furniture lines designed to enhance modern living spaces. The company offers diverse options, including the high design, essenziale, veloce, and artzzano lines, enabling homeowners and designers to create unique environments that blend personal style with high-quality craftsmanship.</t>
  </si>
  <si>
    <t>Excom, Formentor Capital(Jose Ramón de Pablo), Inveready Asset Management(Josep Echarri)</t>
  </si>
  <si>
    <t>301239-73T</t>
  </si>
  <si>
    <t>SignumWeb</t>
  </si>
  <si>
    <t>Developer of video conferencing web platform designed for communicative accessibility between Brazilian companies and their deaf customers. The company offers services for webinar, institutional meetings, pound windows and translation of websites and blogs, thereby offering companies the possibility of communicating with their deaf employees and customers, promoting freedom, autonomy, dignity and equality for deaf people.</t>
  </si>
  <si>
    <t>Google for Startups</t>
  </si>
  <si>
    <t>301052-71T</t>
  </si>
  <si>
    <t>Better Drinks</t>
  </si>
  <si>
    <t>Producer of sustainable beverage production and distribution services intended to serve retailers and private label brands across Europe. The company develops and bottles organic juices and functional drinks with a focus on climate-neutral operations and circular packaging, thereby enabling environmentally conscious beverage solutions for modern consumers.</t>
  </si>
  <si>
    <t>Heineken (AMS: HEIA)</t>
  </si>
  <si>
    <t>266893-48T</t>
  </si>
  <si>
    <t>Farmtech</t>
  </si>
  <si>
    <t>Provider of financial products and services intended to finance agricultural businesses. The company's platform streamlines the loan application process for farmers and rural businesses, allowing them to access financing for purchasing agricultural inputs through a network of partner suppliers, enabling agribusinesses to access capital, and facilitating investment in essential resources needed to increase productivity.</t>
  </si>
  <si>
    <t>Bewater</t>
  </si>
  <si>
    <t>255904-75T</t>
  </si>
  <si>
    <t>Produtecnica Nordeste Comercio de Insumos Agricolas</t>
  </si>
  <si>
    <t>Producer of agricultural products based in Passo Fundo, Brazil. The company offers products and services related to fertilizers thereby enabling farmers to get affordable farming products.</t>
  </si>
  <si>
    <t>Syngenta Proteção de Cultivos</t>
  </si>
  <si>
    <t>266578-39T</t>
  </si>
  <si>
    <t>Realize (Educational Software)</t>
  </si>
  <si>
    <t>Developer of an educational content platform intended for educational institutions to produce and manage distance learning content. The company's platform supports content production, storage, formatting, and integration with any Learning Management System (LMS), covers the entire educational content production pipeline, eliminating the need to work with multiple tools simultaneously, enabling its users to create online courses in an affordable way.</t>
  </si>
  <si>
    <t>Investidores.vc</t>
  </si>
  <si>
    <t>267746-23T</t>
  </si>
  <si>
    <t>Qura Editora</t>
  </si>
  <si>
    <t>Operator of a publishing company focused on business and management knowledge content. The company specializes in publishing and distributing books, magazines, podcasts and online content catering to students and professionals.</t>
  </si>
  <si>
    <t>CNEX (Education and Training Services)</t>
  </si>
  <si>
    <t>266326-12T</t>
  </si>
  <si>
    <t>Alume</t>
  </si>
  <si>
    <t>Operator of a financial systems platform designed for the medical community's purpose. The company's platform provides specialized student financing, comprehensive accounting services, and tailored credit options for medical professionals, emphasizing responsible financial solutions aligned with future career potential, enabling the Brazilian medical community to enhance their professional growth and focus on patient care.</t>
  </si>
  <si>
    <t>Credit Saison (TKS: 8253)</t>
  </si>
  <si>
    <t>266366-35T</t>
  </si>
  <si>
    <t>Artemyn</t>
  </si>
  <si>
    <t>Operator of a non-metal mining firm based in Sao Paulo, Brazil. The company extracts kaolin, ground calcium carbonate, precipitated calcium carbonate, and talc.</t>
  </si>
  <si>
    <t>Flacks Group(Michael Flacks)</t>
  </si>
  <si>
    <t>269278-57T</t>
  </si>
  <si>
    <t>Cpv Energia FII (BVMF: RENV11)</t>
  </si>
  <si>
    <t>Cpv Energia Fundo De Investimento Imobiliario Responsabilidade Ltd is a Real Estate Investment Fund Company.</t>
  </si>
  <si>
    <t>274081-24T</t>
  </si>
  <si>
    <t>Equatorial Transmissora 7 SPE</t>
  </si>
  <si>
    <t>266319-55T</t>
  </si>
  <si>
    <t>Pipeimob Tecnologia</t>
  </si>
  <si>
    <t>Developer of a real estate transaction management platform designed to digitize and streamline property sales from proposal to commission. The company's platform offers integrated modules for communication, document handling, contract formalization with AI, digital banking tools, and marketplace connectivity, enabling real estate agencies, brokers, and partners to accelerate deal closure and reduce manual tasks.</t>
  </si>
  <si>
    <t>DOMO.VC(Mario Letelier)</t>
  </si>
  <si>
    <t>267887-62T</t>
  </si>
  <si>
    <t>América Gestão</t>
  </si>
  <si>
    <t>Operator of an energy consulting and management company based in Sao Paulo, Brazil. The company provides market consulting services, consulting for energy contracting, regulatory advice, energy balance management and auditing.</t>
  </si>
  <si>
    <t>Santander (Finance Sector)(Rafael Thomaz)</t>
  </si>
  <si>
    <t>272616-85T</t>
  </si>
  <si>
    <t>Dropify (Business/Productivity Software)</t>
  </si>
  <si>
    <t>Developer of a dropshipping platform designed to streamline wholesale product management and sales. The company's platform offers no minimum order requirements, application programming interface (API) integration and product data with shipping options, enabling online retailers to manage inventory, automate processes and enhance their sales operations.</t>
  </si>
  <si>
    <t>267527-89T</t>
  </si>
  <si>
    <t>Galloway Capital Management</t>
  </si>
  <si>
    <t>Operator of an asset and capital management firm intended to serve single, multi-family offices and banks. The company provides wealth management services and specializes in offshore investment advisory, especially corporate credit in emerging markets.</t>
  </si>
  <si>
    <t>B.Side Investimentos</t>
  </si>
  <si>
    <t>273027-52T</t>
  </si>
  <si>
    <t>Maxima Tech</t>
  </si>
  <si>
    <t>Developer of sales automation software, intended to help organizations in the wholesale and distribution sector. The company's software manages the external sales process, delivery logistics and trade marketing by automating tasks, managing customer relationships, and providing analytics for better decision-making.</t>
  </si>
  <si>
    <t>Volaris Group(Puneet Soni)</t>
  </si>
  <si>
    <t>242730-91T</t>
  </si>
  <si>
    <t>Payer Serviços de Pagamento</t>
  </si>
  <si>
    <t>Developer of digital payment platform designed to reduce costs with fees and machine rentals. The company's platform provides a range of digital wallets and cashback, enabling users to unify all payments in one place.</t>
  </si>
  <si>
    <t>270829-99T</t>
  </si>
  <si>
    <t>Speciale Real Estate (BVMF: DVLT11)</t>
  </si>
  <si>
    <t>Speciale Real Estate Develop II Fund De Invest Imob De Respons Ltd is an Real Estate Investment Company.</t>
  </si>
  <si>
    <t>267828-04T</t>
  </si>
  <si>
    <t>Bauminas Química (Agribusiness Division in Brazil)</t>
  </si>
  <si>
    <t>Operator of a plant nutrition company based in Brazil. The company offers a range of products designed to enhance crop productivity.</t>
  </si>
  <si>
    <t>Ubyfol</t>
  </si>
  <si>
    <t>267488-92T</t>
  </si>
  <si>
    <t>DPOnet</t>
  </si>
  <si>
    <t>Developer of compliance software designed to automate the implementation and management of General Data Protection Law (LGPD). The company's platform provides regulatory interpretation which can then be mapped to an organization, tracked, resolved, and reported in a way that is fully transparent and evidenced, enabling businesses to secure their digital information whilst reducing the cost and risks of compliance.</t>
  </si>
  <si>
    <t>279541-27T</t>
  </si>
  <si>
    <t>266042-17T</t>
  </si>
  <si>
    <t>GAtec Agroindustrial Management</t>
  </si>
  <si>
    <t>Developer of web platform intended for the agribusiness industry. The company's platform offers a range of solutions designed to simplify and automate every chain of the agriculture production process.</t>
  </si>
  <si>
    <t>Senior Sistemas(Carlênio Branco)</t>
  </si>
  <si>
    <t>276741-28T</t>
  </si>
  <si>
    <t>Agidesk</t>
  </si>
  <si>
    <t>Developer of a process management and automation platform designed to transform the work routine in companies. The company's platform specializes in centralizing and organizing all the company's service channels in a multiplatform system, which delivers a personalized service portal, demand management, tasks, and projects, enabling companies to control processes to reduce costs, increase productivity and team engagement, and generate operational intelligence.</t>
  </si>
  <si>
    <t>265896-64T</t>
  </si>
  <si>
    <t>Floriano Fundo De (BVMF: FLNR11)</t>
  </si>
  <si>
    <t>Floriano Fundo De Investimento Imobiliario is a real estate investment fund established under closed condominium.</t>
  </si>
  <si>
    <t>285423-67T</t>
  </si>
  <si>
    <t>Acqio</t>
  </si>
  <si>
    <t>Developer of a financial technology platform designed to offer payment alternatives for retailers. The company's platform focuses on democratizing payment methods and fostering entrepreneurship and provides electronic transactions, credit products, management services, and many others, enabling businesses to facilitate financial transactions and boost their sales.</t>
  </si>
  <si>
    <t>EntrePay(Antonio Freixo)</t>
  </si>
  <si>
    <t>272127-61T</t>
  </si>
  <si>
    <t>Agrovisia</t>
  </si>
  <si>
    <t>Developer of an agriculture technology platform designed to manage soil correction and fertilization processes. The company's platform offers soil fertility mapping through high-tech sensors that measure nutrients in real time while generating correction recommendations through artificial intelligence algorithms, enabling farmers to simplify the agriculture process.</t>
  </si>
  <si>
    <t>Antler</t>
  </si>
  <si>
    <t>267336-28T</t>
  </si>
  <si>
    <t>Arrow Mobility</t>
  </si>
  <si>
    <t>Manufacturer of an automobile company intended to provide electric vehicles. The company produces an electrical fleet for the logistics industry with features like zero carbon emission, a fast charging option, auto hill holder assist and electronic mirrors, enabling businesses to provide safe and smooth operation.</t>
  </si>
  <si>
    <t>Mercado Libre Fund</t>
  </si>
  <si>
    <t>291728-26T</t>
  </si>
  <si>
    <t>InovAtiva</t>
  </si>
  <si>
    <t>276322-87T</t>
  </si>
  <si>
    <t>Descarbonize</t>
  </si>
  <si>
    <t>Provider of environmental services intended to certify carbon neutrality for businesses, products, and events. The company offers a comprehensive approach to calculating emissions, generating verified carbon credits from renewable energy sources, and providing traceable certifications, enabling organizations to offset their greenhouse gas emissions while supporting sustainable development initiatives and enhancing their environmental responsibility.</t>
  </si>
  <si>
    <t>InnoEnergy</t>
  </si>
  <si>
    <t>272117-08T</t>
  </si>
  <si>
    <t>Futuriza</t>
  </si>
  <si>
    <t>Developer of a digital platform intended to facilitate efficient management of resources and projects. The company's platform provides tools for project tracking, resource allocation, and team collaboration, enabling businesses to optimize operations and enhance productivity while reducing costs and improving overall project outcomes. The company is currently operating in Stealth mode.</t>
  </si>
  <si>
    <t>266043-70T</t>
  </si>
  <si>
    <t>Janus &amp; Pergher</t>
  </si>
  <si>
    <t>Manufacturer of gas solutions catering to the hospital and industrial sectors. The company offers a wide range of services and products including biogas purifiers, nitrogen generators and oxygen generators enabling clients with greater autonomy safely and sustainably.</t>
  </si>
  <si>
    <t>Schulz Compressores</t>
  </si>
  <si>
    <t>Oil and Gas Equipment</t>
  </si>
  <si>
    <t>266706-55T</t>
  </si>
  <si>
    <t>Movva</t>
  </si>
  <si>
    <t>Developer of student engagement software designed to enhance results on engagement and re-enrollment. The company's software is based on science, technology, and commitment to education and uses multimedia strategies to ensure that the right message reaches each student at the right time, enabling users to generate proven impacts in reducing dropouts and increasing university retention and revenue.</t>
  </si>
  <si>
    <t>MOV Investimentos</t>
  </si>
  <si>
    <t>267206-59T</t>
  </si>
  <si>
    <t>Solinftec</t>
  </si>
  <si>
    <t>Developer of a digital agricultural platform intended for managing the farm ecosystem and optimizing farming operations. The company's platform offers process monitoring and data analysis solutions for real-time decision-making and develops a range of broad-reaching algorithmic solutions that address challenges specific to a range of crops, enabling farmers to make real-time decisions, increase crop efficiency, and reduce environmental impact.</t>
  </si>
  <si>
    <t>Stratus (Investor)</t>
  </si>
  <si>
    <t>265909-87T</t>
  </si>
  <si>
    <t>Syonet Informática</t>
  </si>
  <si>
    <t>Developer of customer relationship management software intended for lead management for the automotive segment. The company offers a platform for after-sales services, used vehicle evaluation reports, marketing, lead generation and monitoring and controlling of all negotiations, including lost sales, thereby providing its customers solutions they need to attract, sell and retain their customers.</t>
  </si>
  <si>
    <t>Cerralv Capital, Kviv Ventures</t>
  </si>
  <si>
    <t>272147-77T</t>
  </si>
  <si>
    <t>Tistto</t>
  </si>
  <si>
    <t>Developer of an online monitoring platform designed to identify fake news. The company's platform monitors and identifies fake comments or news on the internet before it goes viral, enabling companies to remove fake news as soon as it appears on the internet and ensure the good reputation of their brand.</t>
  </si>
  <si>
    <t>257060-35T</t>
  </si>
  <si>
    <t>TOP CAU</t>
  </si>
  <si>
    <t>Manufacturer of chocolate products intended to reach excellence in product development and manufacturing. The company has multiple production lines, allowing for simultaneous manufacturing of easter eggs, chocolate bars, bonbons, gourmet products, and sugar-free products.</t>
  </si>
  <si>
    <t>Marilan Alimentos(Rodrigo Garla)</t>
  </si>
  <si>
    <t>258474-34T</t>
  </si>
  <si>
    <t>Unidom Participações</t>
  </si>
  <si>
    <t>Provider of educational services intended to train conscious citizens and competent professionals for solidary and well-founded human development. The company offers graduation and postgraduation courses, a scheduling coordinator and a student portal.</t>
  </si>
  <si>
    <t>Afya (NAS: AFYA)</t>
  </si>
  <si>
    <t>268193-44T</t>
  </si>
  <si>
    <t>Valsa</t>
  </si>
  <si>
    <t>Developer of a healthcare platform designed to add innovation, technology, and management tools to healthcare. The company offers a platform, data management, and clinics, enabling customers to have increased access and services provided, sustainably and humanely.</t>
  </si>
  <si>
    <t>Lorinvest</t>
  </si>
  <si>
    <t>266787-46T</t>
  </si>
  <si>
    <t>Velotax</t>
  </si>
  <si>
    <t>Developer of a financial platform designed to calculate taxes. The company's platform automatically processes and calculates monthly taxes on the investments made abroad on stock exchanges, assets, and cryptocurrencies through account integration with brokers, enabling users to calculate, pay, and declare income tax.</t>
  </si>
  <si>
    <t>Valor Capital Group</t>
  </si>
  <si>
    <t>272139-40T</t>
  </si>
  <si>
    <t>Vulkan</t>
  </si>
  <si>
    <t>Developer of workflow automation engine designed for financial institutions. The company is currently operating in stealth mode.</t>
  </si>
  <si>
    <t>267713-20T</t>
  </si>
  <si>
    <t>CH Master Data | Astrein</t>
  </si>
  <si>
    <t>Developer of software for master data management and data governance catering to the information technology sector. The company offers a software platform that enhances data quality through standardization, cleansing, and governance, ensuring accurate and consistent master data across various business systems.</t>
  </si>
  <si>
    <t>CH Master Data I Astrein(Tadeu Avellar)</t>
  </si>
  <si>
    <t>266244-94T</t>
  </si>
  <si>
    <t>Cia Caminho Aereo Pao De Acucar (BVMF: CPDABZ)</t>
  </si>
  <si>
    <t>Service provider of Entertainment and Leisure based in Rio De Janeiro, Brazil. The company owns amusement parks and provides entertainment services.</t>
  </si>
  <si>
    <t>265808-98T</t>
  </si>
  <si>
    <t>Agéo, AVG Mineração, Banco Master(Daniel Vorcaro)</t>
  </si>
  <si>
    <t>257885-29T</t>
  </si>
  <si>
    <t>MAV Capital</t>
  </si>
  <si>
    <t>Provider of asset management based in Sao Paulo, Brazil. The company offers resource management for structured credits and illiquid assets to agribusiness, real estate and infrastructure sectors.</t>
  </si>
  <si>
    <t>265425-85T</t>
  </si>
  <si>
    <t>OmniK</t>
  </si>
  <si>
    <t>Developer of modular digital commerce infrastructure platform designed for integration and management of multivendor operations. The company's platform supports sellers' onboarding, catalog and order management, freight coordination, business intelligence, customized dashboards, and operational automation, enabling e-commerce businesses to scale efficiently, reduce customer acquisition costs, and expand product assortment.</t>
  </si>
  <si>
    <t>A.B.Seed Ventures</t>
  </si>
  <si>
    <t>265467-25T</t>
  </si>
  <si>
    <t>Budz</t>
  </si>
  <si>
    <t>Developer of a pet care mobile application designed to support and educate pet owners. The company offers an artificial intelligence platform for providing guidance on training, health, nutrition, and behavior, enabling users to provide better care for their pets and build stronger bonds.</t>
  </si>
  <si>
    <t>287416-63T</t>
  </si>
  <si>
    <t>Gyra+</t>
  </si>
  <si>
    <t>Developer of a SaaS based credit platform intended to help companies with working capital by providing real-time data analysis. The company's platform helps with an application for loans through online registration, background check, analyze customers' integrations and documentation, enabling entrepreneurs to avail the desired amount of loan as per their need within a short time.</t>
  </si>
  <si>
    <t>Fenasbac(Danielle Teixeira)</t>
  </si>
  <si>
    <t>271129-24T</t>
  </si>
  <si>
    <t>Ventura Offshore (OSL: VTURA)</t>
  </si>
  <si>
    <t>Ventura Offshore Holding Ltd is a deep-water drilling contractor providing offshore drilling services to the oil and gas industry. The group specializes in deepwater drilling, primarily operating in the offshore oil and gas sector in Brazil. Also, the group owns and operates the drillship Carolina and the semisubmersible rig Victoria (the Owned Rigs), and manages the drillship Zonda and semisubmersible rig Catarina (the Managed Rigs, and together with the Owned Rigs, the Rigs), all of which drilling rigs capable of drilling in ultra-deep waters. The company operates in two reportable segments being the Operations of owned vessels and the Operations of managed vessels.</t>
  </si>
  <si>
    <t>Energy Infrastructure</t>
  </si>
  <si>
    <t>265481-83T</t>
  </si>
  <si>
    <t>Fof Jhsf Capital Institucional - Fundo De Investimento Imobiliario (BVMF: JCIN11)</t>
  </si>
  <si>
    <t>Fof Jhsf Capital Institucional - Fundo De Investimento Imobiliario operates as a real estate investment fund.</t>
  </si>
  <si>
    <t>265127-77T</t>
  </si>
  <si>
    <t>Gênica</t>
  </si>
  <si>
    <t>Operator of an agriculture research company intended to develop a vaccine for a common soybean fungus. The company offers integrated pest and disease management technology aimed at controlling insects and phytopathogenic microorganisms and its services focus on the production of agricultural pesticides, enabling clients to receive protection for their crops from various sorts of fungal diseases using their chemical products.</t>
  </si>
  <si>
    <t>Arar Capital, Mitsubishi (TKS: 8058), Rise Ventures, SP Ventures, Vox Capital</t>
  </si>
  <si>
    <t>265417-12T</t>
  </si>
  <si>
    <t>Kokku</t>
  </si>
  <si>
    <t>Operator of a game development studio intended to offer interactive and creative games. The company's studio specializes in developing several visualized gaming projects in fantasy and adventure art, concept art, casual game art, and art direction, enabling companies to bring gaming concepts to life from scratch.</t>
  </si>
  <si>
    <t>OV Entertainment</t>
  </si>
  <si>
    <t>270516-16T</t>
  </si>
  <si>
    <t>Mainô</t>
  </si>
  <si>
    <t>Developer of import management software designed to simplify the complexities of importing and distributing goods in Brazil. The company offers features like import process control, tax and fiscal management, and inventory cost control, enabling businesses in Brazil to streamline operations and maintain accurate financial oversight.</t>
  </si>
  <si>
    <t>265363-57T</t>
  </si>
  <si>
    <t>Sorvete Brasil</t>
  </si>
  <si>
    <t>Manufacturer of ice cream products based in Rio De Janeiro, Brazil. The company offers a wide range of flavored popsicles, ice creams, ice cream pies and artisanal ice cream, made with high-quality natural ingredients.</t>
  </si>
  <si>
    <t>Grupo BDC(Clodoaldo Nascimento)</t>
  </si>
  <si>
    <t>300885-67T</t>
  </si>
  <si>
    <t>DealerSites</t>
  </si>
  <si>
    <t>Provider of dealership website services intended to offer a digital shopping experience to the end customer. The company creates websites for automotive dealerships and multi-brand stores with a focus on performance, increases the number of visitors, and intensifies the conversion of leads on the website, helping companies to measure results and update their strategies.</t>
  </si>
  <si>
    <t>DealerSpace</t>
  </si>
  <si>
    <t>300889-54T</t>
  </si>
  <si>
    <t>Provider of a marketing and sales platform intended for the automotive ecosystem. The company offers a wide range of services to connect and integrate the entire customer purchase journey from initial marketing efforts through to after-sales support, designed to enhance business intelligence, increase lead conversion rates, and streamline operational efficiency for dealerships.</t>
  </si>
  <si>
    <t>Bolt Software</t>
  </si>
  <si>
    <t>260857-09T</t>
  </si>
  <si>
    <t>Dia Brasil</t>
  </si>
  <si>
    <t>Operator of a chain of supermarkets intended to offer customers an easy, quick and complete shopping experience. The company offers bakery, fruits, vegetables, fresh meats and other products daily, enabling customers to purchase quality products at an affordable price.</t>
  </si>
  <si>
    <t>Banco Master(Daniel Vorcaro)</t>
  </si>
  <si>
    <t>300962-71T</t>
  </si>
  <si>
    <t>Followize Software</t>
  </si>
  <si>
    <t>Developer of lead management software designed to improve sales productivity and lead management for businesses. The software offers a comprehensive solution with a dashboard displaying important metrics such as lead volume, conversion rates, and sales performance.</t>
  </si>
  <si>
    <t>265521-79T</t>
  </si>
  <si>
    <t>Fundo De Invest Imob De Desenvolvimento De Esc Boutique Respons (BVMF: EGDB11)</t>
  </si>
  <si>
    <t>Fundo De Invest Imob De Desenvolvimento De Esc Boutique Respon Ltd is a real estate investment trust fund. Its main goal is to provide shareholders with the appreciation and profitability of their shares by investing mainly in companies that develop and construct real estate projects, known as SPEs. It also invests in shares of other real estate investment funds, FII Shares, and various other assets including certificates of real estate receivables (CRI), mortgage-backed securities (LH), real estate credit notes (LCI), guaranteed real estate notes (LIG), and certificates of additional construction.</t>
  </si>
  <si>
    <t>273966-67T</t>
  </si>
  <si>
    <t>Cognitive (Business/Productivity Software)</t>
  </si>
  <si>
    <t>Operator of a data analytics platform intended to optimize marketing decision-making processes. The company's platform integrates data sources to analyze data, identify trends, and provide actionable real-time insights, enabling businesses to extract value from their data and improve their overall decision-making processes and operational efficiency.</t>
  </si>
  <si>
    <t>264926-98T</t>
  </si>
  <si>
    <t>Fracel Corretora de Seguros</t>
  </si>
  <si>
    <t>Provider of insurance broking and advisory services based in Chapecó, Brazil. The company offers services for auto insurance, life insurance, home insurance, travel insurance, private pension, business insurance, and other related fields, protecting clients' integrity from risks and financial losses directly related to their activities.</t>
  </si>
  <si>
    <t>294706-36T</t>
  </si>
  <si>
    <t>Solvpro</t>
  </si>
  <si>
    <t>Provider of digital business consulting services intended to support operational modernization and digital growth. The company offers process automation, custom application development, system integration, and digital marketing support, enabling small and medium-sized enterprises to optimize internal operations, enhance technological adaptability, and expand digital presence through tailored, scalable solutions aligned with specific business needs.</t>
  </si>
  <si>
    <t>264666-79T</t>
  </si>
  <si>
    <t>MassChallenge(Matthew Lashmar)</t>
  </si>
  <si>
    <t>264957-85T</t>
  </si>
  <si>
    <t>Fundo de Investimento Imobiliario Plus (BVMF: VTPL11)</t>
  </si>
  <si>
    <t>Fundo Investimento Imobiliario Plus operates as a real estate investment fund.</t>
  </si>
  <si>
    <t>261193-51T</t>
  </si>
  <si>
    <t>Catho Online</t>
  </si>
  <si>
    <t>Provider of recruitment services to candidates and companies. The company offers e-recruitment services, online employment classifieds and education and training services as well as resume search and salary surveys to clients.</t>
  </si>
  <si>
    <t>Red Arbor(David González Castro)</t>
  </si>
  <si>
    <t>Human Capital Services</t>
  </si>
  <si>
    <t>282777-13T</t>
  </si>
  <si>
    <t>Celcoin</t>
  </si>
  <si>
    <t>Developer of a digital payments technology designed to provide payment feasibility within various applications. The company's platform allows connection to a financial system simply and without bureaucracy to offer innovative experiences to the customers, enabling businesses to increase the flow of people in stores and outlets that use the application.</t>
  </si>
  <si>
    <t>265282-84T</t>
  </si>
  <si>
    <t>Mubadala Brazil SailGP Team</t>
  </si>
  <si>
    <t>Operator of a SailGP league team intended to represent Brazil.</t>
  </si>
  <si>
    <t>F50 League(Russell Coutts)</t>
  </si>
  <si>
    <t>264835-18T</t>
  </si>
  <si>
    <t>Spgm Fundo De (BVMF: SPGM11)</t>
  </si>
  <si>
    <t>Spgm Fundo De Investimento Imobiliario operates as a real estate investment fund.</t>
  </si>
  <si>
    <t>264594-34T</t>
  </si>
  <si>
    <t>Brix Fundo (BVMF: BRIX11)</t>
  </si>
  <si>
    <t>Brix Fundo De Investimento Imobiliario is a Real estate investment fund established as a closed condominium, with an indefinite term and provides shareholders with the appreciation and profitability of their shares through long-term real estate investments, consisting of the acquisition of real estate assets, for subsequent lease, rental or sale, as the case may be an investment in other assets by aiming to make the investments made by the unitholders profitable.</t>
  </si>
  <si>
    <t>298359-73T</t>
  </si>
  <si>
    <t>Future Cow</t>
  </si>
  <si>
    <t>Developer of a cellular agriculture technology designed to produce real milk without cows. The company uses precision fermentation technology for alternative dairy using agro-industrial waste to replicate the molecular proteins produced by cows, enabling consumers to get animal-free milk that is molecularly identical to traditional dairy but with significantly less environmental impact.</t>
  </si>
  <si>
    <t>Brazilian Center for Research in Energy and Materials (CNPEM)</t>
  </si>
  <si>
    <t>264610-72T</t>
  </si>
  <si>
    <t>Opportunity Balassiano (BVMF: OBAL11)</t>
  </si>
  <si>
    <t>Opportunity Balassiano Fundo De Investimento Imobiliario is a Real estate investment fund whose objective is to provide shareholders with the appreciation and profitability of their shares, predominantly through investments in the acquisition of target properties, in the development of real estate projects in general and in investing in other assets, aiming to make the investments made by unitholders.</t>
  </si>
  <si>
    <t>277649-38T</t>
  </si>
  <si>
    <t>Ponta (Business/Productivity Software)</t>
  </si>
  <si>
    <t>Operator of livestock management software intended to optimize farm operations. The company's software integrates data collection, analysis, and automation tools into the market for a profitable and sustainable farming model, and contributes to global livestock farming, enabling farmers to improve efficiency, reduce costs, and enhance decision-making through features like genetic selection, pasture management, and feed efficiency monitoring.</t>
  </si>
  <si>
    <t>264502-45T</t>
  </si>
  <si>
    <t>Rbr Desenvolvimento Logistico I- FII (BVMF: RDLI11)</t>
  </si>
  <si>
    <t>Rbr Desenvolvimento Logistico I Fund De Invest Imobiliario Respons Ltd is engaged in investing in real estate properties in order to develop logistics projects located in Sao Paulo.</t>
  </si>
  <si>
    <t>264317-14T</t>
  </si>
  <si>
    <t>Inter Desenvolvimento FII Resp (BVMF: INDE11)</t>
  </si>
  <si>
    <t>Inter Desenvolvimento Fundo De Investiment Imobiliario Respons Ltd is a real estate investment fund engaged in development, construction or renovation of properties.</t>
  </si>
  <si>
    <t>264405-16T</t>
  </si>
  <si>
    <t>Licitei</t>
  </si>
  <si>
    <t>Developer of an AI bidding management platform intended to bring transparency and efficiency in bidding. The company's platform integrates with the National Public Accounts Portal, allowing users to access a range of notices and bidding opportunities, offers a management module and monitors phases of the process from registration to approval, enabling entrepreneurs to access the government procurement market overcoming the complications that often prevent SMEs from participating in public tenders.</t>
  </si>
  <si>
    <t>Thompson Participações</t>
  </si>
  <si>
    <t>297740-62T</t>
  </si>
  <si>
    <t>RIS3D</t>
  </si>
  <si>
    <t>Developer of industrial simulation and digital twin systems designed for advanced operational visualization and training. The company's platform integrates virtual reality simulators, laser-scanned 3D models, and augmented reality-linked documentation, enabling businesses to improve equipment accuracy, reduce downtime, and manage resources efficiently.</t>
  </si>
  <si>
    <t>Sharjah Advanced Industry Accelerator</t>
  </si>
  <si>
    <t>283023-10T</t>
  </si>
  <si>
    <t>A5X</t>
  </si>
  <si>
    <t>Opeartor of a derivatives-focused stock exchange platform designed to transform and enhance the Brazilian financial market with agility, technology, and efficiency. The company offers cutting-edge technology, operational robustness, and a customer-centric approach, enabling financial institutions, investors, and market participants to access a streamlined, adaptable, and efficient trading ecosystem</t>
  </si>
  <si>
    <t>264110-41T</t>
  </si>
  <si>
    <t>Bry Technologia</t>
  </si>
  <si>
    <t>Developer of digital certification hardware and software designed for safe procedures in virtual relationships. The company provides services to ensure safety in the use of electronic documents and provides technology for issuing and managing digital certificates through the creation of a corporate certificate authority and storage of certificates in the cloud, enabling users to secure standardized protocols (CMP), biometric, and biographical validation.</t>
  </si>
  <si>
    <t>Usinas Siderurgicas de Minas Gerais (BVMF: USIM3)</t>
  </si>
  <si>
    <t>264133-63T</t>
  </si>
  <si>
    <t>Innova Capital (Brazil), John Coughlin, Summit Partners</t>
  </si>
  <si>
    <t>263727-37T</t>
  </si>
  <si>
    <t>Colégio Ábaco</t>
  </si>
  <si>
    <t>Provider of primary and secondary education services intended for young children. The company offers a range of educational courses ranging from elementary to high school along with extracurricular activities, enabling students' overall development.</t>
  </si>
  <si>
    <t>Atmos Capital Gestao de Recursos, Gera Venture Capital, Salta Educacao(Bruno Elias), Warburg Pincus</t>
  </si>
  <si>
    <t>246172-96T</t>
  </si>
  <si>
    <t>Konsi</t>
  </si>
  <si>
    <t>Developer of a fintech platform intended to offer a transparent way to secure loans. The company's platform analyzes the conditions offered by banks for new credit and portability and provides price comparisons from different banks across the country, facilitating the choice of offers and conditions that fit requirements. enabling users to search and compare credit opportunities and make smart decisions as on their suitability.</t>
  </si>
  <si>
    <t>Lighthouse Invest(Alexandre Darzé), Valutia</t>
  </si>
  <si>
    <t>264234-34T</t>
  </si>
  <si>
    <t>MelhorCambio.com</t>
  </si>
  <si>
    <t>Operator of a currency exchange comparison website allowing users to find the exchange rates and make offers. The company operates as a tourism exchange marketplace, thereby serving customers looking for currency exchange services in various locations.</t>
  </si>
  <si>
    <t>Nomad (Financial Software)(Eduardo Baer)</t>
  </si>
  <si>
    <t>264168-91T</t>
  </si>
  <si>
    <t>Mercado Diferente</t>
  </si>
  <si>
    <t>Operator of a food shopping platform intended to democratize healthy eating while fighting food waste in Brazil. The company works in partnership with local organic producers to rescue 'non-standard' food from traditional markets that would be thrown away and deliver it to subscribers, enabling customers to shop more affordable, convenient and sustainable ways for fresh organic products.</t>
  </si>
  <si>
    <t>Caravela Capital, Collaborative Fund</t>
  </si>
  <si>
    <t>275321-89T</t>
  </si>
  <si>
    <t>MAPData Tecnologia</t>
  </si>
  <si>
    <t>Developer of business software designed for manufacturing projects, documentation and product and process management. The company's platform offers features for architecture, urbanization, infrastructure and construction as well as provides training, consulting and advice on the software, thereby helping companies in the construction, design and manufacturing industries implement the digital prototyping concept effectively.</t>
  </si>
  <si>
    <t>Axcel Management(Lars Cordt), NTI Group (Værløse)(Steen Alexander)</t>
  </si>
  <si>
    <t>265073-50T</t>
  </si>
  <si>
    <t>VOEPASS</t>
  </si>
  <si>
    <t>Provider of air travel services based in Sao Paulo, Brazil. The company's platform allows users to search and book flights, with features such as filtering by origin and destination, checking in for flights, and browsing special offers, enabling travelers to conveniently research and book domestic flights.</t>
  </si>
  <si>
    <t>Latam Airlines Group (SGO: LTM)</t>
  </si>
  <si>
    <t>Air</t>
  </si>
  <si>
    <t>263838-25T</t>
  </si>
  <si>
    <t>a55</t>
  </si>
  <si>
    <t>Developer of a financial platform designed to offer a revenue-backed credit line system to companies with recurring revenue. The company's platform underwrites small and medium-sized enterprises by connecting their bank accounts, escrow services, billing, payment means, and credit intelligence, enabling borrowers to access a credit monitoring dashboard and insights on revenue and cost metrics and lenders a monitoring platform fed by transactional data.</t>
  </si>
  <si>
    <t>Paysecure(Amit Hooja)</t>
  </si>
  <si>
    <t>263614-15T</t>
  </si>
  <si>
    <t>Ambient Serviços Ambientais de Ribeirão Preto</t>
  </si>
  <si>
    <t>Designer and developer of new concessions and PPPs intended for the universalization of Basic Sanitation services in the country.</t>
  </si>
  <si>
    <t>Obrascon Huarte Lain (MAD: OHLA)</t>
  </si>
  <si>
    <t>264086-20T</t>
  </si>
  <si>
    <t>Pro-Cardiaco</t>
  </si>
  <si>
    <t>Provider of health care services based in Rio De Janeiro, Brazil. The company specializes in cardiological and neurological care and performs procedures that require sedation or anesthesia and monitoring cameras for polysomnography.</t>
  </si>
  <si>
    <t>Diagnosticos da America (BVMF: DASA3)(Lício Cintra)</t>
  </si>
  <si>
    <t>Hospitals/Inpatient Services</t>
  </si>
  <si>
    <t>279302-05T</t>
  </si>
  <si>
    <t>Somos Young</t>
  </si>
  <si>
    <t>Developer of an educational fintech platform intended to manage universities and private schools. The company's platform provides marketing, market intelligence, relationship, recruitment, retention, collections and credit solutions for higher education institutions, enabling students to improve their financial health, student experience and operational efficiency.</t>
  </si>
  <si>
    <t>Arien Invest Resource Management, Banco BS2(Vinicius Bandeira)</t>
  </si>
  <si>
    <t>263959-12T</t>
  </si>
  <si>
    <t>Sooper</t>
  </si>
  <si>
    <t>Operator of an online B2B marketplace designed to connect retailers, suppliers, distributors, and manufacturers. The company's marketplace partners with different brands, factories, and distributors to create a portfolio of quality products, enabling retailers to get access to the product portfolio and make customers' buying experiences pleasant.</t>
  </si>
  <si>
    <t>TUL</t>
  </si>
  <si>
    <t>263311-75T</t>
  </si>
  <si>
    <t>BoostLAB, BTG Pactual (BVMF: BPAC3)</t>
  </si>
  <si>
    <t>262951-66T</t>
  </si>
  <si>
    <t>285519-79T</t>
  </si>
  <si>
    <t>Noby Academy</t>
  </si>
  <si>
    <t>Developer of omnichannel teaching platform designed to learn to sell products. The company's platform offers hands-on commercial training, simple, direct, and quick and that puts salespeople to perform tasks that generate results, helping businesses in Brazil to generate value and wealth for the market through an innovative education model.</t>
  </si>
  <si>
    <t>262852-12T</t>
  </si>
  <si>
    <t>MXM Sistemas</t>
  </si>
  <si>
    <t>Operator of a software development company that offers technology solutions for businesses. The company's services include business solutions, cloud computing, business intelligence, compliance, and governance, and other related services.</t>
  </si>
  <si>
    <t>Vela Software(Paulo Martins)</t>
  </si>
  <si>
    <t>264022-84T</t>
  </si>
  <si>
    <t>A de Agro</t>
  </si>
  <si>
    <t>Developer of a credit application designed to deliver suitable credit to farmers based on the quality of their crops. The company's platform uses satellite imagery and artificial intelligence to estimate production history, offering fairer credit, enabling producers and financiers with fair credit and safe operation respectively.</t>
  </si>
  <si>
    <t>Sette</t>
  </si>
  <si>
    <t>273428-74T</t>
  </si>
  <si>
    <t>Bart Digital</t>
  </si>
  <si>
    <t>Developer of a blockchain-based platform designed to formalize exchange operations in a more agile and secure manner. The company's platform utilizes blockchain technology and digital certification, bringing transparency through integration among producers, trading, and reselling, enabling businesses to mitigate risks, and enhance traceability in their transactions.</t>
  </si>
  <si>
    <t>263292-67T</t>
  </si>
  <si>
    <t>Capitania Logistica Fundo De (BVMF: CPLG11)</t>
  </si>
  <si>
    <t>Capitania Logistica Fundo De Investimento Imobiliario Fii is a real estate investment trust fund.</t>
  </si>
  <si>
    <t>263521-63T</t>
  </si>
  <si>
    <t>InterCompany</t>
  </si>
  <si>
    <t>Provider of IT solutions based in São Paulo, Brazil. The company offers high availability, business continuity, IT infrastructure, IT monitoring and management, cloud computing, mobile, DRP, digital transformation, data management, artificial intelligence, AI, machine learning, information security, network security, management data, LGPD, IOTS, generative AI, virtual assistant and hybrid cloud.</t>
  </si>
  <si>
    <t>266510-08T</t>
  </si>
  <si>
    <t>Sementes São Francisco</t>
  </si>
  <si>
    <t>Producer of soybean seed intended to serve the Brazilian market. The company offers different types of germinated soybean seeds, thereby delivering products with a focus on reliability and integrity in its production, commercialization, and delivery processes.</t>
  </si>
  <si>
    <t>Patria Investments (NAS: PAX)</t>
  </si>
  <si>
    <t>263293-30T</t>
  </si>
  <si>
    <t>Vitru Brasil Empreendimentos Participacoes e Comercio (BVMF: VTRU3)</t>
  </si>
  <si>
    <t>Vitru Brasil Empreendimentos Participacoes e Comercio SA is engaged in the sale of books and offers professional and educational training.</t>
  </si>
  <si>
    <t>262506-79T</t>
  </si>
  <si>
    <t>Globus Seguros</t>
  </si>
  <si>
    <t>Operator of an insurance brokerage firm intended to provide policies. The company's platform offers personalized insurance plans and policies such as life insurance, pension insurance, and other related insurance according to the customer's requirement, enabling customers to enhance their quality of life through financial security by availing products and services of aspired attributes.</t>
  </si>
  <si>
    <t>NVA Capital(Marcelo Maisonnave)</t>
  </si>
  <si>
    <t>262089-10T</t>
  </si>
  <si>
    <t>Semexe</t>
  </si>
  <si>
    <t>Operator of a sports equipment e-commerce platform intended for buying and selling sports bikes and accessories. The company's platform allows reselling used, returned, and refurbished products and offers trade-in programs in which customers exchange used products for credits toward new purchases, enabling amateur athletes and sports enthusiasts to trade in a safe market environment effectively.</t>
  </si>
  <si>
    <t>Hiker Ventures</t>
  </si>
  <si>
    <t>261532-63T</t>
  </si>
  <si>
    <t>Belmonte I Parque Solar</t>
  </si>
  <si>
    <t>Producer of electrical energy based in São José do Belmonte, Brazil. the company offers electrical energy from hydraulic, thermal, nuclear, solar and wind, The company also holds non-financial institutions and provides engineering services.</t>
  </si>
  <si>
    <t>RIMA Industrial</t>
  </si>
  <si>
    <t>268737-67T</t>
  </si>
  <si>
    <t>Dersalis</t>
  </si>
  <si>
    <t>Developer of a human risk management platform designed to reduce human error in industrial and logistics operations. The company's platform monitors in real-time fatigue levels, location, speed, levels of alertness, and other data points via sensor and keeps a record of full health history, with easy access for authorized parties, enabling businesses to ensure health, and safety and reduce negligence at risk work environments.</t>
  </si>
  <si>
    <t>Plug and Play Tech Center</t>
  </si>
  <si>
    <t>262959-49T</t>
  </si>
  <si>
    <t>Pinhais Teaching Center</t>
  </si>
  <si>
    <t>Provider of educational and training services based in Pinhais, Brazil.</t>
  </si>
  <si>
    <t>Grupo Positivo</t>
  </si>
  <si>
    <t>262775-80T</t>
  </si>
  <si>
    <t>UNIFAPI</t>
  </si>
  <si>
    <t>Provider of higher education services intended to meet the needs of students in Pinhais. The company offers a variety of courses including biomedicine, which prepares professionals to work in various areas such as clinical analysis, aesthetics, molecular biology, oncotic cytology, imaging, environmental analysis and more, enabling students to choose the course that best suits them and gain professional training accredited by the Ministry of Education.</t>
  </si>
  <si>
    <t>Centro de Estudos Superiores Positivo</t>
  </si>
  <si>
    <t>262947-88T</t>
  </si>
  <si>
    <t>Empirica Investimentos</t>
  </si>
  <si>
    <t>Operator of an investment management company aimed at helping to connect credit borrowers with investors. The company offers structured credit and a large network of investors to borrowers.</t>
  </si>
  <si>
    <t>261304-39T</t>
  </si>
  <si>
    <t>Kanastra</t>
  </si>
  <si>
    <t>Developer of an asset management platform designed to solve the friction in the securitization market. The company's platform offers bank services, debt issuance, book-keeping, distribution, passive management and mirroring and gives access to real-time analytics and structured data, enabling investors and originators to invest with freedom and minimize the time spent.</t>
  </si>
  <si>
    <t>Actyus, Alfa Collab, Atlantico Partners, Kaszek, Kinea Investimentos (BVMF: KNHY11), QED Investors, Quona Capital, Spectra Investments, Valor Capital Group</t>
  </si>
  <si>
    <t>268016-14T</t>
  </si>
  <si>
    <t>MABE Bio</t>
  </si>
  <si>
    <t>Operator of a biotech startup intended to investigate the potential of the Brazilian flora for the development of sustainable plant-based materials. The company blends ancestral and contemporary research methods and integrates knowledge from various fields, enabling industries such as fashion, home decor, accessories, footwear, and upholstery to unveil commonly overlooked raw materials that can be transformed into high-value textile materials.</t>
  </si>
  <si>
    <t>Anjos do Brasil(Flávio Levi), Isabella Prata(Isabella Prata), Sororité(Jaana Goeggel)</t>
  </si>
  <si>
    <t>Plant Textiles</t>
  </si>
  <si>
    <t>261418-24T</t>
  </si>
  <si>
    <t>261180-01T</t>
  </si>
  <si>
    <t>Antecipa</t>
  </si>
  <si>
    <t>Developer of a receivables anticipation platform intended to eliminate existing inefficiencies in supply chain financing and receivables prepayment. The company's platform leverages big data analysis and machine learning algorithms to assess each supplier's risk and credit reputation and provides attractive rates to both buyer and supplier, automatically speeding up the negotiation process, enabling clients to smooth out the transaction inefficiencies.</t>
  </si>
  <si>
    <t>261181-27T</t>
  </si>
  <si>
    <t>Grupo Amigão</t>
  </si>
  <si>
    <t>Operator and owner of supermarket stores intended to serve the people across Brazil. The company operates supermarket chains with different kinds of grocery items and also offers home delivery facilities and gift cards, enabling customers to get products under one roof at lower prices.</t>
  </si>
  <si>
    <t>Patria Investments (NAS: PAX)(Marcos Ambrosano)</t>
  </si>
  <si>
    <t>272238-94T</t>
  </si>
  <si>
    <t>Indigo Hive</t>
  </si>
  <si>
    <t>Developer of an all-in-one AI platform designed to integrate knowledge engineering into large enterprises. The company offers advanced computing systems, including data engineering, customized models, and content creation tools, enabling businesses to enhance operations, drive growth, and achieve strategic goals effectively.</t>
  </si>
  <si>
    <t>2Future Holdings</t>
  </si>
  <si>
    <t>255068-83T</t>
  </si>
  <si>
    <t>Algar TI Consultoria</t>
  </si>
  <si>
    <t>Provider of managed IT services based out in Minas Gerias, Brazil. The company's offerings include digital workplace, intuitive service desk, cloud management, cloud bcm, infrastructure management.</t>
  </si>
  <si>
    <t>Positivo Tecnologia (BVMF: POSI3)</t>
  </si>
  <si>
    <t>262959-58T</t>
  </si>
  <si>
    <t>Mada Araújo Asset Management</t>
  </si>
  <si>
    <t>Provider of asset management services for financial and infrastructure projects. The company offers services for issuing financial instruments, evaluating mining assets, providing tax advisory, permanent assistance in tax matters and compliance support.</t>
  </si>
  <si>
    <t>Seara</t>
  </si>
  <si>
    <t>272596-24T</t>
  </si>
  <si>
    <t>Vista (Financial Software)</t>
  </si>
  <si>
    <t>Developer of a fintech application designed to focus on social planning. The company's application facilitates to replace the old spreadsheets in personal finance, by bringing practicality and professionalism to personal planning, enabling financial planners to connect with clients using technology.</t>
  </si>
  <si>
    <t>272830-87T</t>
  </si>
  <si>
    <t>BRF SA is an international producer of fresh and frozen protein foods. It operates by raising, producing, and slaughtering poultry and pork for processing, production, and sale of fresh meat, processed products, pasta, margarine, pet food, and others. The Company holds as its main brands Sadia, Perdigao, Qualy, Chester, Kidelli, Perdix, Banvit, Biofresh, and Gran Plus, present mainly in Brazil, Turkey, and Middle Eastern countries. The group has three reportable segments, being; Brazil, International, and Other segments.</t>
  </si>
  <si>
    <t>Marfrig Global Foods (BVMF: MRFG3)</t>
  </si>
  <si>
    <t>293223-07T</t>
  </si>
  <si>
    <t>Escola Internacional De Alphaville</t>
  </si>
  <si>
    <t>Operator of the educational school located in Barueri, Brazil. The company offers a wide range of services, including bilingual education, kids' school, junior school, and high school, thereby ensuring students to get well educated.</t>
  </si>
  <si>
    <t>International Schools Partnership, OMERS Private Equity, Partners Group Private Equity (LON: PEY)</t>
  </si>
  <si>
    <t>287294-32T</t>
  </si>
  <si>
    <t>Alt.Bank</t>
  </si>
  <si>
    <t>Operator of an online digital bank intended to provide individuals with financial stability and payments virtually. The company engages in improving the attributes of existing payment models by helping unbanked people to start and expand businesses, invest in education, manage risks, and absorb financial shocks, providing customers with digital and financial independence through various modes of payments and finance.</t>
  </si>
  <si>
    <t>SquareOne Capital(Michel Goguikian)</t>
  </si>
  <si>
    <t>293913-37T</t>
  </si>
  <si>
    <t>Agro Alfa</t>
  </si>
  <si>
    <t>Manufacturing of animal products based in Parana, Brazil. The company specializes in the processing, manufacturing and commercialization of by-products, flours and animal based oils.</t>
  </si>
  <si>
    <t>267390-01T</t>
  </si>
  <si>
    <t>Atlantica Hospitality International</t>
  </si>
  <si>
    <t>Operator of an independent multi-brand chain of hotels in South America. The company owns and operates a hotel management and franchising business.</t>
  </si>
  <si>
    <t>260912-08T</t>
  </si>
  <si>
    <t>Brentech Energia</t>
  </si>
  <si>
    <t>Operator of a thermoelectric company catering to the electric power generation industry.</t>
  </si>
  <si>
    <t>Enegen Participacoes</t>
  </si>
  <si>
    <t>270394-57T</t>
  </si>
  <si>
    <t>DataSpoc</t>
  </si>
  <si>
    <t>Developer of an automated machine learning platform intended for creating artificial intelligence models. The company's platform offers a user-friendly interface for configuring and training models, as well as on-demand AI services for more complex tasks and automating the data preparation, model creation, and deployment processes, enabling clients to build and deploy AI models efficiently, empowering them to make data-driven decisions and gain insights from their data.</t>
  </si>
  <si>
    <t>260908-03T</t>
  </si>
  <si>
    <t>Faculdade Full Cycle de Tecnologia</t>
  </si>
  <si>
    <t>Developer of an online educational platform based in Porto Seguro, Brazil. The company's platform offers postgraduate courses in the area of technology and development, enabling its students to grow professionally and work in the technology area.</t>
  </si>
  <si>
    <t>Full Cycle (Brazil)(Wesley Willians)</t>
  </si>
  <si>
    <t>260523-10T</t>
  </si>
  <si>
    <t>Warabu</t>
  </si>
  <si>
    <t>Producer of chocolate intended to promote the culture of cocoa cultivation. The company offers organic, gluten, and lactose-free chocolate made from wild organic cocoa that is grown within the local rainforest, enabling customers to have access to organic products.</t>
  </si>
  <si>
    <t>260446-96T</t>
  </si>
  <si>
    <t>Accountfy</t>
  </si>
  <si>
    <t>Developer of a smart finance platform designed to focus on financial analysis and planning. The company's platform is a management tool for professionals in controllership used to standardize the reporting of investee companies to gain agility in data analysis which is easy to operationalize and understand, enabling clients to increase the provision of services by financial advisors and accounting firms.</t>
  </si>
  <si>
    <t>HDI Global, Redpoint eventures</t>
  </si>
  <si>
    <t>284464-72T</t>
  </si>
  <si>
    <t>Cerrado Infinito</t>
  </si>
  <si>
    <t>Provider of urban ecological restoration intended to restore and preserve native Cerrado landscapes. The company offers urban reforestation initiatives, provides ecological education programs, and facilitates community engagement in native habitat restoration, enabling people and clients to participate in environmental preservation, reconnect with native landscapes, and contribute to biodiversity conservation in urban areas.</t>
  </si>
  <si>
    <t>What Design Can Do(Richard van der Laken)</t>
  </si>
  <si>
    <t>263039-14T</t>
  </si>
  <si>
    <t>Energia Sirius</t>
  </si>
  <si>
    <t>Manufacturer of renewable energy semiconductor delivering to the solar market. The company offers micro inverters, inverters, modules, granules and panels.</t>
  </si>
  <si>
    <t>Colibri Capital(Carlos Eduardo Barros)</t>
  </si>
  <si>
    <t>Other Semiconductors</t>
  </si>
  <si>
    <t>257906-35T</t>
  </si>
  <si>
    <t>Giro.Tech</t>
  </si>
  <si>
    <t>Developer of a finance credit operations platform designed to transform startups and non-financial companies into credit fintech. The company's platform offers customized financing options and finance credit operations in its ecosystem and tailored financing services, enabling users and customers to improve financial efficiency in the management of accounts reducing bureaucracy and simplifying transactions.</t>
  </si>
  <si>
    <t>Honey Island Capital, Urca Angels</t>
  </si>
  <si>
    <t>260579-26T</t>
  </si>
  <si>
    <t>Newton Paiva Ferreira Cultural Institute</t>
  </si>
  <si>
    <t>Provider of educational and training services based in Brazil. The company operates, colleges, and distance-learning courses intended to provide knowledge and scientific initiation and extension programs.</t>
  </si>
  <si>
    <t>YDUQS Participações (BVMF: YDUQ3)</t>
  </si>
  <si>
    <t>256013-02T</t>
  </si>
  <si>
    <t>Sociedade de Atividades em Multimídia</t>
  </si>
  <si>
    <t>Provider of multimedia communication services based in Sao Paulo, Brazil. The company specializes in data collection solutions, interfaces, IP com anti-DDoS and IP connectivity.</t>
  </si>
  <si>
    <t>Megatelecom Telecomunicacoes(Carlos Sedeh)</t>
  </si>
  <si>
    <t>260319-43T</t>
  </si>
  <si>
    <t>Bebook</t>
  </si>
  <si>
    <t>Developer of a revenue management system intended to maximize the results of the hospitality businesses. The company specializes in designing tools, technology and robots that optimize rate management, boost reservations, revenue maximization, commercial automation and increase sales of hotels, inns and hotel chains of any size, enabling clients to commercially manage their hospitality businesses through a single platform or application.</t>
  </si>
  <si>
    <t>Bertha Capital</t>
  </si>
  <si>
    <t>266087-71T</t>
  </si>
  <si>
    <t>Checkbits</t>
  </si>
  <si>
    <t>Developer of digital checklists designed to improve efficiency, productivity, and safety in various industries. The company's platform allows users to create and customize checklists, schedule tasks, and collect data with photo evidence, enabling businesses to automate workflows, generate reports, and monitor progress, ultimately improving operational control.</t>
  </si>
  <si>
    <t>Stars Acceleradora(Aislan Menk)</t>
  </si>
  <si>
    <t>260252-11T</t>
  </si>
  <si>
    <t>Desktop (BVMF: DESK3)</t>
  </si>
  <si>
    <t>Desktop - Sigmanet Comunicacao Multimidia SA is a telecommunications company focused on Internet access, television, and telephone.</t>
  </si>
  <si>
    <t>265175-92T</t>
  </si>
  <si>
    <t>DmCard Cartoes de Credito</t>
  </si>
  <si>
    <t>Operator of a fintech company intended to provide credit to the low-income population. The company offers services by issuing store cards, branded credit cards, digital accounts, personal credit lines and insurance as well as provides retail chains the possibility of adopting their own credit card and CRM tools, ensuring its clients with happiness, inclusion, credit and innovation, eliminating barriers and creating opportunities.</t>
  </si>
  <si>
    <t>Omni (brazil)(Heverton Peixoto)</t>
  </si>
  <si>
    <t>247889-62T</t>
  </si>
  <si>
    <t>Frubana</t>
  </si>
  <si>
    <t>Developer of an online grocery shopping platform designed to buy and sell agricultural products. The company's platform offers a variety of food products that can be bought and sold directly with no middlemen facilitating price transparency and reducing trade barriers, enabling restaurants to source agricultural produce ingredients directly from farmers with no intermediaries.</t>
  </si>
  <si>
    <t>Decart Ventures, Endeavor Catalyst</t>
  </si>
  <si>
    <t>260353-90T</t>
  </si>
  <si>
    <t>Maximus (Sao Paulo)</t>
  </si>
  <si>
    <t>Provider of financial contract services based in Sao Paulo, Brazil. The company offers loans with property guarantee, and real estate financing, thereby offering receivable management, credit collection, financial and legal audit, mirroring, and credit analysis services to clients.</t>
  </si>
  <si>
    <t>Jaguar Growth Partners(Mario De Barros), Opea Securitizadora(Flavia Palacios)</t>
  </si>
  <si>
    <t>298264-69T</t>
  </si>
  <si>
    <t>Updairy</t>
  </si>
  <si>
    <t>Manufacturer of food ingredients intended to produce animal-free dairy proteins. The company's process harnesses microorganisms to produce dairy proteins without animals, resulting in ingredients that offer the taste and nutrition of traditional dairy with significantly reduced greenhouse gas emissions, enabling customers to get new dairy products without the environmental impact of traditional dairy farming.</t>
  </si>
  <si>
    <t>269160-31T</t>
  </si>
  <si>
    <t>GIRA</t>
  </si>
  <si>
    <t>Developer of agriculture receivables management system designed for online monitoring of agribusiness credit operations. The company's platform facilitates and offers georeferenced surveys, area demarcation, and post-germination and granulation reports, enabling agricultural industry and related parties to ensure transparency along with credit instruments and information security.</t>
  </si>
  <si>
    <t>Return Capital</t>
  </si>
  <si>
    <t>260183-80T</t>
  </si>
  <si>
    <t>Unio Partners</t>
  </si>
  <si>
    <t>Provider of financing advisory services catering to real estate, investment banks, software, financial technology, industrials, e-commerce, artificial intelligence, machine learning, and others. The company specializes in corporate advisory, capital market, mergers and acquisitions and wealth management.</t>
  </si>
  <si>
    <t>Renova Energia (BVMF: RNEW3)</t>
  </si>
  <si>
    <t>298088-56T</t>
  </si>
  <si>
    <t>HiperCard</t>
  </si>
  <si>
    <t>Provider of financial transaction services designed for consumer payments and credit accessibility. The company offers credit card issuance, digital payment solutions, installment purchase options, fraud prevention measures and customer support services, thereby enabling individuals and businesses to conduct secure transactions, manage credit efficiently, and access flexible payment solutions for everyday purchases and financial planning.</t>
  </si>
  <si>
    <t>Itaú Unibanco Holding (BVMF: ITUB3)</t>
  </si>
  <si>
    <t>260158-96T</t>
  </si>
  <si>
    <t>Tex Tecnologia</t>
  </si>
  <si>
    <t>Developer of insurance solutions intended to revolutionize the Brazilian insurance market. The company specializes in solutions that range from tools that allow insurance to be quoted simultaneously to market intelligence functions and offers a wide range of solutions such as multi-calculation and management, online insurance sales, market intelligence and quick insurance forecast, enabling centralized management of insurance brokerage in a single solution.</t>
  </si>
  <si>
    <t>265745-08T</t>
  </si>
  <si>
    <t>Armatore (Business/Productivity Software)</t>
  </si>
  <si>
    <t>Developer of a fan engagement analytics platform designed to help the Sports and Entertainment industry grow and maximize its fan base. The company's platform uses the power of artificial intelligence to track and analyze sports-related data of all kinds with detailed review and understanding, enabling sports managers and agencies to enhance marketing, engagement, and loyalty strategies.</t>
  </si>
  <si>
    <t>Bossa Invest, Ventiur</t>
  </si>
  <si>
    <t>266073-40T</t>
  </si>
  <si>
    <t>Btg Pactual You Inc Desenvol Imob Fundo De Invest Imob Respon (BVMF: BTYU11)</t>
  </si>
  <si>
    <t>Btg Pactual You Inc Desenvol Imob Fundo De Invest Imob Respon Ltd is a real estate investment fund.</t>
  </si>
  <si>
    <t>259944-85T</t>
  </si>
  <si>
    <t>Companhia Agrícola Novo Horizonte</t>
  </si>
  <si>
    <t>Provider of agricultural services based in Brazil. The company's 670 hectares are irrigated, suitable for crop and off-season production of grains and cotton.</t>
  </si>
  <si>
    <t>BrasilAgro (BVMF: AGRO3)</t>
  </si>
  <si>
    <t>259946-74T</t>
  </si>
  <si>
    <t>Enttry Software</t>
  </si>
  <si>
    <t>Provider of print management services platform intends for control, ticketing, pricing and secure printing to provide constant innovation combined with sustainability, safety and savings. The company focuses on remote monitoring of printing parks for proactive maintenance and monitoring of supplies and data collection for charging MPS and Outsourcing contracts.</t>
  </si>
  <si>
    <t>DocService(Marlon Santos da Veiga)</t>
  </si>
  <si>
    <t>259957-09T</t>
  </si>
  <si>
    <t>Sensio (Business/Productivity Software)</t>
  </si>
  <si>
    <t>Developer of a workflow management software designed to manage and automate industrial processes. The company's platform features the ability to provide production and inventory control along with automatic data analysis using artificial intelligence, enabling clients to increase production, reduce costs with stranded items, and avoid stockouts.</t>
  </si>
  <si>
    <t>Christal (Brazil)</t>
  </si>
  <si>
    <t>260131-33T</t>
  </si>
  <si>
    <t>Sysvision</t>
  </si>
  <si>
    <t>Provider of data integration services intended to offer management, business intelligence, analytics and digital transmission. The company offers a wide range of services including technical support, API management, data governance, business intelligence, data analytics and consulting, implementation, consulting and management services for data-related solutions.</t>
  </si>
  <si>
    <t>DEAL Technologies(Fabio Hayashi)</t>
  </si>
  <si>
    <t>259796-17T</t>
  </si>
  <si>
    <t>Bee Vale</t>
  </si>
  <si>
    <t>Developer of a financial services application designed to offer real flexible benefits for employees. The company's application has full acceptance and flexibility to use the benefits according to the needs of each employee such as making payments at markets, restaurants, delivery applications and gas stations, earning cash back, transport and mobility, enabling users to have access to benefits, wherever they are and how they need to use it.</t>
  </si>
  <si>
    <t>Somapay Sociedade De Credito Direto(Nayana Branco)</t>
  </si>
  <si>
    <t>259887-07T</t>
  </si>
  <si>
    <t>Doma</t>
  </si>
  <si>
    <t>Operator of a domiciled real estate investment company based in Brazil. The company focused on the identification, acquisition and development of forestlands in the amazon rainforest for the production and sale of carbon offsets.</t>
  </si>
  <si>
    <t>259892-11T</t>
  </si>
  <si>
    <t>267121-09T</t>
  </si>
  <si>
    <t>EB JHSF Capital Fundo de Investimento Imobiliário Residencial Alto Padrão Responsabilidade</t>
  </si>
  <si>
    <t>Operator of real estate investment trust based in Sao Paulo, Brazil. The company offers real estate asset portfolio management services.</t>
  </si>
  <si>
    <t>260520-67T</t>
  </si>
  <si>
    <t>Psyche Aerospace</t>
  </si>
  <si>
    <t>Manufacturer of a specialized unmanned vehicle designed for agricultural spraying. The company creates innovations that connect efficiency, sustainability and results in the field from autonomous drones to smart stations, connecting every step of your operation with just a few clicks, enabling farmers to reduce costs and environmental impacts.</t>
  </si>
  <si>
    <t>277246-99T</t>
  </si>
  <si>
    <t>Quantum Financiamentos</t>
  </si>
  <si>
    <t>Provider of financial services intended to provide safe and ethical services. The company offers loans with property guarantee, real estate/vehicle consortium, corporate credit (working capital) and real estate financing.</t>
  </si>
  <si>
    <t>PX Ativos Judiciais(Renata Nilsson)</t>
  </si>
  <si>
    <t>259527-25T</t>
  </si>
  <si>
    <t>ASIS (Brazil)</t>
  </si>
  <si>
    <t>Provider of tax and accounting services intended to cater to Latin America. The company offers tax knowledge and technology services in the tax, accounting, labor, and social security areas, enabling companies and accounting offices to minimize errors and maximize analytical power.</t>
  </si>
  <si>
    <t>259327-54T</t>
  </si>
  <si>
    <t>CRMBonus</t>
  </si>
  <si>
    <t>Developer of a customer relationship management software designed to increase the store's income. The company's platform is integrated via Weblink/API into the main ERPs and e-commerce platforms and offers discounts to customers on their purchases, enabling companies to increase their profitability by diluting the fixed costs with the increment of sales.</t>
  </si>
  <si>
    <t>BOND Capital (San Francisco)(Mary Meeker), Industry Ventures, Valor Capital Group, Vivo Ventures</t>
  </si>
  <si>
    <t>280361-26T</t>
  </si>
  <si>
    <t>Invista Brazilian Business Park (BVMF: IBBP11)</t>
  </si>
  <si>
    <t>Invista Brazilian Business Park Fundo De Investimento Imobiliario is a real estate investment fund aimed at generating income and capital gains through the acquisition of industrial and logistics warehouses for subsequent leasing.</t>
  </si>
  <si>
    <t>259374-34T</t>
  </si>
  <si>
    <t>Bloxs</t>
  </si>
  <si>
    <t>Operator of a financial ecosystem intended to facilitate access to the capital market by connecting companies and investors. The company's platform provides access to alternative investment options and provides a way of diversifying from traditional investment options by providing structured operations and market insights, enabling investors by digitizing the stock and debt issuance process through its platform.</t>
  </si>
  <si>
    <t>Banco BS2, Rio Venture Capital</t>
  </si>
  <si>
    <t>300673-90T</t>
  </si>
  <si>
    <t>Gofind</t>
  </si>
  <si>
    <t>Developer of a decision intelligence platform designed for companies to make corporate decisions. The company's platform uses artificial intelligence to collect retail sales data and calculate product availability in physical stores and online, providing companies with insights to make decisions and support strategic planning based on accurate data.</t>
  </si>
  <si>
    <t>Grupo Boticario</t>
  </si>
  <si>
    <t>298645-75T</t>
  </si>
  <si>
    <t>HVEX</t>
  </si>
  <si>
    <t>Manufacturer and developer of high-voltage equipment intended to bring automation and data management to all companies in the electricity sector. The company offers research and development for the generation, transmission, distribution, and energy consumption sectors and offers a product line that includes energy meters, fault flags, transformers and voltage monitoring systems, enabling clients to transform and simplify the use of electrical energy.</t>
  </si>
  <si>
    <t>Primatec</t>
  </si>
  <si>
    <t>266740-12T</t>
  </si>
  <si>
    <t>Meliva.ai</t>
  </si>
  <si>
    <t>Developer of an AI-powered marketing campaign platform intended to streamline content production. The company's platform offers a suite of user-friendly AI tools for generating text in various formats, creating unique and relevant images, producing engaging videos with avatars, and even adding natural-sounding voiceovers, all within a single platform, enabling clients to streamline their workflow, save resources, and consistently produce fresh and engaging content for marketing, social media, or any communication need.</t>
  </si>
  <si>
    <t>Oxigenio Aceleradora</t>
  </si>
  <si>
    <t>258294-07T</t>
  </si>
  <si>
    <t>NG.CASH</t>
  </si>
  <si>
    <t>Developer of a digital wallet designed to bring financial education through access to digital money. The company's application provides several advantages which include a free account, virtual card, and physical card that is customizable with instant transfers, enabling customers to build their financial independence.</t>
  </si>
  <si>
    <t>17Sigma, Andreessen Horowitz, Daphni, Dastore, Monashees, Tekton Ventures, The Generalist</t>
  </si>
  <si>
    <t>259389-73T</t>
  </si>
  <si>
    <t>Rezultz</t>
  </si>
  <si>
    <t>Developer of sales enablement technology designed for sales optimization and lead activation in large enterprises. The company's platform integrates sales intelligence, credit facilitation, and lead activation features, enabling B2B markets to enhance commercial prioritization, mitigate credit risk, increase operational liquidity, personalize customer engagement, monitor credit-linked transactions, and leverage behavioral analytics.</t>
  </si>
  <si>
    <t>Enseada Family Office(Louis Charbonnières)</t>
  </si>
  <si>
    <t>247365-64T</t>
  </si>
  <si>
    <t>Salvy (Telecommunications Service Providers)</t>
  </si>
  <si>
    <t>Developer of a mobile telephony platform designed to help businesses manage their mobile lines. The company's platform offers a wide range of features, including easy purchase, management, and cancellation of mobile plans, real-time tracking of data usage, purchase of additional data, round-the-clock customer support, enabling businesses to manage their mobile lines efficiently, reduce mobile costs, and improve data usage control.</t>
  </si>
  <si>
    <t>Ariel Lambrecht(Ariel Lambrecht), Fiamma Zarife(Fiamma Zarife), João Del Valle(João Del Valle), João Zaratine(João Zaratine), Pioneer Fund, SaaSholic, Silicon Valley, StaminaVC, Y Combinator, Zeno Ventures</t>
  </si>
  <si>
    <t>259252-66T</t>
  </si>
  <si>
    <t>True Securitizadora</t>
  </si>
  <si>
    <t>Provider of credit structuring, fundraising and investments services catering to businesses. The company specializes in the capital markets and securitization of agricultural, corporate, residential and commercial developments and subdivisions industries, thus helping clients manage their investments.</t>
  </si>
  <si>
    <t>259489-99T</t>
  </si>
  <si>
    <t>WHG Finvest Sp Realty (BVMF: SPDE11)</t>
  </si>
  <si>
    <t>WHG Finvest Sp Realty Fundo De Investimento Imobiliario operates as a real estate investment fund.</t>
  </si>
  <si>
    <t>294468-76T</t>
  </si>
  <si>
    <t>WixNet</t>
  </si>
  <si>
    <t>Provider of telecommunication services intended to offer high-capacity connectivity services to companies of all sizes. The company provides public internet connection with broad coverage of global, regional and local routes, enabling clients to transform their connectivity experience with agility and efficiency.</t>
  </si>
  <si>
    <t>Cinven, Ufinet Latam(Javier Lacasa)</t>
  </si>
  <si>
    <t>282492-73T</t>
  </si>
  <si>
    <t>Inspira</t>
  </si>
  <si>
    <t>Developer of a search platform for lawyers designed to promote collaborative legal intelligence in decision-making. The company's platform allows search in several courts using a single platform and gaining the agility to serve clients to navigate the legal world by optimizing attorneys' routines and empowering decision-making in the Brazilian law practice, enabling lawyers a simpler and more practical way to combine their skills and knowledge.</t>
  </si>
  <si>
    <t>Challenger Accelerator</t>
  </si>
  <si>
    <t>259191-64T</t>
  </si>
  <si>
    <t>Apex Realty Fundo (BVMF: APXR11)</t>
  </si>
  <si>
    <t>Apex Realty Fundo De Investimento Imobiirio Responsabilidade Ltd is a real estate investment trust fund.</t>
  </si>
  <si>
    <t>269782-30T</t>
  </si>
  <si>
    <t>OMD Soluções</t>
  </si>
  <si>
    <t>Developer of an office management platform intended to enhance the organization's online visibility. The company's platform offers comprehensive tools for managing and optimizing digital advertising campaigns, including data analytics, targeted advertisement placements, and performance tracking, enabling businesses to efficiently reach their target audience and improve marketing outcomes.</t>
  </si>
  <si>
    <t>260445-61T</t>
  </si>
  <si>
    <t>Centralsul</t>
  </si>
  <si>
    <t>Manufacturer of products for automotive beautification based in Arroio do Meio, Brazil. The company's product line consist of flavorings, silicones, cleaners, polishes and a complete line of aerosols.</t>
  </si>
  <si>
    <t>Energizer Holdings (NYS: ENR)</t>
  </si>
  <si>
    <t>259187-95T</t>
  </si>
  <si>
    <t>Fazenda Churrascada</t>
  </si>
  <si>
    <t>Provider of entertainment services intended to provide a gastronomic experience. The company offers a unique experience to its clients including Barbecue Moment, bringing experienced, professional Chefs or recognized authors of a new culinary proposition, thereby bringing family and friends together.</t>
  </si>
  <si>
    <t>Heat Group (Holding Companies)(Gabriel Carvalho)</t>
  </si>
  <si>
    <t>215276-95T</t>
  </si>
  <si>
    <t>Muda Meu Mundo</t>
  </si>
  <si>
    <t>Developer of a supply chain platform designed to connect family farmers and small producers with retailers. The company's platform engages producers with the market as retailers while managing to generate positive social and environmental impact benefits for each link in the chain by screening the production chain at each level, enabling small-scale farmers to use ESG data intelligence to develop a sustainable supply chain.</t>
  </si>
  <si>
    <t>Agro Ven, Bossa Invest, Eduardo Mufarej(Eduardo Mufarej), Pedro Diniz(Pedro Diniz), Sororité(Erica Stul), Squared Ventures, Ticiana Rolim(Ticiana Rolim)</t>
  </si>
  <si>
    <t>254097-28T</t>
  </si>
  <si>
    <t>Petroserv Marine</t>
  </si>
  <si>
    <t>Manufacturer of production equipment catering to the oil industry. The company specializes in offering manufacturing of drilling and production equipment, Dedicated engineering, QSMS and marine, technical and subsea equipment to its customers.</t>
  </si>
  <si>
    <t>277507-36T</t>
  </si>
  <si>
    <t>A&amp;B conect</t>
  </si>
  <si>
    <t>Developer of a training platform designed to empower the team and prepare them for market challenges. The company's platform offers short videos and personalized training, a comprehensive dashboard to monitor the team's progress, and a checklist module by function for each employee, enabling clients to meet the demands of their restaurant.</t>
  </si>
  <si>
    <t>Jornada Startups</t>
  </si>
  <si>
    <t>270793-18T</t>
  </si>
  <si>
    <t>AZ Quest Panorama (BVMF: AZPL11)</t>
  </si>
  <si>
    <t>Az Quest Panorama Logistica Fundo De Investimento Imobiliario Renda is a real estate investment fund. It invests in performing logistics warehouses leased to tenants with good credit quality. Its Portfolio is composed of (i) assets located close (up to 40km) to the main urban centers of the country and (ii) assets that may be outside the 40km radius, but that have an atypical long-term lease agreement.</t>
  </si>
  <si>
    <t>264243-70T</t>
  </si>
  <si>
    <t>Google for Startups(André Barrence)</t>
  </si>
  <si>
    <t>277500-88T</t>
  </si>
  <si>
    <t>Cervejaria 4.0</t>
  </si>
  <si>
    <t>Producer of craft beers intended to offer customized beers. The company offers variety of beers, automated brewing kitchen, self-cooled fermentors and water treatment to produce their own recipe and launch business, enabling its customers to get crafted beers and also showcase their recipes and create revenue.</t>
  </si>
  <si>
    <t>277400-89T</t>
  </si>
  <si>
    <t>HorusBI</t>
  </si>
  <si>
    <t>Developer of a business intelligence and analytics platform designed to leverage data for better decision-making. The company's platform utilizes artificial intelligence to offer data integration, real-time reporting, and interactive dashboards for improved operational insights, enabling businesses to make better data-based decisions across all levels of the organization.</t>
  </si>
  <si>
    <t>258690-79T</t>
  </si>
  <si>
    <t>Payssego</t>
  </si>
  <si>
    <t>Operator of a financial well-being platform intended to provide employees easy access to their salaries. The company technology is completely integrated with HR payroll software and attendance software and employees can watch their earnings tick up as they work and access what they've already earned, enabling employees to access salaries when needed.</t>
  </si>
  <si>
    <t>258784-66T</t>
  </si>
  <si>
    <t>Skoob</t>
  </si>
  <si>
    <t>Provider of online e-book subscription service intended for readers. The company's range of books include latest releases, most wanted once, the best publishers, featured books and more, enabling its clients to avail literary enhancement.</t>
  </si>
  <si>
    <t>Skeelo Musik</t>
  </si>
  <si>
    <t>284680-54T</t>
  </si>
  <si>
    <t>Valuez</t>
  </si>
  <si>
    <t>Developer of a technology-based valuation platform intended to offer advanced business assessment. The company's customized platform provides a custom pitch deck, maturity index, financial index simulator, fast and accurate assessments, performance indicators, and other related services, enabling clients to get the desired plan to transform their business.</t>
  </si>
  <si>
    <t>186856-30T</t>
  </si>
  <si>
    <t>JobConvo</t>
  </si>
  <si>
    <t>Developer of a recruiting software and applicant tracking platform intended to help clients manage applications and interviews of their candidates. The company's platform leverages artificial intelligence to automate tests and provide feedback through structured interviews or video conferences and allows users to evaluate both the interviews and information attached to the curriculum, enabling clients to search for desired candidates online and reducing the time to organize interviews.</t>
  </si>
  <si>
    <t>259074-91T</t>
  </si>
  <si>
    <t>M Capital Investimentos</t>
  </si>
  <si>
    <t>Provider of consultancy services intends to serve in capital markets. The company specializes in capital raising for real estate, venture capital and alternative investments.</t>
  </si>
  <si>
    <t>Blue3(Wagner Vieira)</t>
  </si>
  <si>
    <t>260012-53T</t>
  </si>
  <si>
    <t>Prudential Seguros</t>
  </si>
  <si>
    <t>Provider of insurance brokerage services based in Rio de Janeiro, Brazil. The company's services include personal accident, serious illness, severe joint disease endowment and pure endowment insurance services.</t>
  </si>
  <si>
    <t>Grupo ST</t>
  </si>
  <si>
    <t>267281-11T</t>
  </si>
  <si>
    <t>Signa (Sao Paulo)</t>
  </si>
  <si>
    <t>Developer of systems for managing transportation processes catering to Brazilian transport and logistics companies. The company offers e-cargo systems that help in operations with large volumes of information, are multimodal, help monitor operations from collection to delivery, with profitability assessment, and more, thereby revolutionizing and innovating to meet the demands and changes of the market</t>
  </si>
  <si>
    <t>Greenbridge Partners, Niche Partners(Vasco Neto), Niche Supply Technologies</t>
  </si>
  <si>
    <t>258861-97T</t>
  </si>
  <si>
    <t>Bb Premium Malls Fundo (BVMF: BBIG11)</t>
  </si>
  <si>
    <t>Bb Premium Malls Fundo De Investimento Imobiliario De Responsabilidade is a real estate investment fund constituted in the form of a closed condominium. Its objective is to generate income and distribute results to shareholders through the purchase of real estate assets in the shopping center segment aimed at high-income consumers.</t>
  </si>
  <si>
    <t>259653-79T</t>
  </si>
  <si>
    <t>HS+Bank</t>
  </si>
  <si>
    <t>Developer of a digital banking platform designed to buy dreams, goals, joy, and communion. The company's platform facilitates saving money, generating connections, and purchasing products and services through a virtual prepaid card, enabling users to simplify their daily lives while earning cashback and rewards.</t>
  </si>
  <si>
    <t>Goldstreet Venture Capital</t>
  </si>
  <si>
    <t>261185-77T</t>
  </si>
  <si>
    <t>Jfdcam Fundo De (BVMF: VJFD11)</t>
  </si>
  <si>
    <t>Jfdcam Fundo De Investimento Imobiliario Fii is a Real Estate Investment Fund constituted in the form of a special closed condominium. The Fund's objective is to provide Shareholders with the appreciation and profitability of their Shares predominantly through investments: (i) in the acquisition of Target Properties, directly by the Fund and /or through Specific Purpose Companies, intended for this purpose; (ii) in the development of real estate projects in general (residential, corporate or commercial); and (iii) investment in Other Assets; aiming to make investments made by Shareholders profitable through (a) the payment of remuneration arising from the exploitation of the Fund's Real Estate Assets.</t>
  </si>
  <si>
    <t>258513-94T</t>
  </si>
  <si>
    <t>Qred Brasil</t>
  </si>
  <si>
    <t>Developer of an online microfinancing platform designed to provide credit to small and medium businesses. The company's platform offers online lending to solve the problem of shortfall in cash flow and to provide credit that meets the operational needs of small businesses, enabling SMEs to secure loans easily and safely.</t>
  </si>
  <si>
    <t>NAU Capital (Family)</t>
  </si>
  <si>
    <t>258362-29T</t>
  </si>
  <si>
    <t>BrasilbyBus</t>
  </si>
  <si>
    <t>Operator of a mobility platform intended to book tickets online. The company provides a platform that facilitates users to book bus tickets for more destinations around Brazil, enabling users to book and plan their travel accordingly.</t>
  </si>
  <si>
    <t>Travelier(Noam Toister)</t>
  </si>
  <si>
    <t>258642-10T</t>
  </si>
  <si>
    <t>Escola Conquer</t>
  </si>
  <si>
    <t>Operator of a business school based in Curitiba, Brazil. The company offers postgraduate courses, marketing courses, business education courses and master of business administration, assisting professionals by providing them with standard education for their future endeavors.</t>
  </si>
  <si>
    <t>Kinea Investimentos (BVMF: KNHY11), Wise Up chain(Flávio Silva)</t>
  </si>
  <si>
    <t>258354-64T</t>
  </si>
  <si>
    <t>Indicium</t>
  </si>
  <si>
    <t>Operator of a data consultancy firm intended to foster a data-driven culture within organizations. The company specializes in identifying the optimal strategies and teams for data projects, crafting customized methodologies, and overseeing projects from inception to completion, it leverages data science, analytics, and artificial intelligence to create offerings, employing teams, methodologies, and technologies, enabling businesses to achieve data-driven innovation with security, and governance and make data-driven decisions that lead to a competitive advantage in the marketplace.</t>
  </si>
  <si>
    <t>Columbia Capital(Jason Booma), Ox Ventures</t>
  </si>
  <si>
    <t>258526-18T</t>
  </si>
  <si>
    <t>Push Matcha</t>
  </si>
  <si>
    <t>Operator of a matcha-selling company intended to sell coffee and energy drinks. The company offers quality matcha powder, enabling customers to experience the health benefits and delicious taste of matcha.</t>
  </si>
  <si>
    <t>Georgios Frangulis(Georgios Frangulis), Moriah Asset(Fabiano Zettel)</t>
  </si>
  <si>
    <t>282025-63T</t>
  </si>
  <si>
    <t>Scorify (Financial Services)</t>
  </si>
  <si>
    <t>Developer of AI and open banking software intended for rental payment validation service. The company helps customers to understand the risk and help them solve it, enabling real estate agencies to meet their goals and needs.</t>
  </si>
  <si>
    <t>272408-50T</t>
  </si>
  <si>
    <t>BABY&amp;ME</t>
  </si>
  <si>
    <t>Operator of a baby diaper company intended to offer baby's poop bag. The company offers a potty training mat, toilet bags for the baby, helping parents simplify their daily lives with practical and fun products, and allowing them to spend more time with their little ones.</t>
  </si>
  <si>
    <t>251887-60T</t>
  </si>
  <si>
    <t>De Benguela</t>
  </si>
  <si>
    <t>Provider of hair extensions and hair care products intended to meet the needs of people with different hair textures. The company offers cater to various textures and styles of natural curls, quality products that are difficult to find in Brazil, contributes to the beauty and self-esteem of women with curly and kinky hair that promotes self-love and celebrates individuality, also provides other hair products and all the products are available in their online shopping platform, enabling users to get natural human hair and ensures a natural look and feel.</t>
  </si>
  <si>
    <t>259878-43T</t>
  </si>
  <si>
    <t>ds.marketing</t>
  </si>
  <si>
    <t>Developer of a marketing automation platform designed to simplify retail marketing strategies. The company's platform has a customer relationship management system, loyalty club, cashback system, and custom application and website configuration, enabling businesses to send targeted advertisements to their customers and increase sales.</t>
  </si>
  <si>
    <t>Silver Angels (Angel Group)</t>
  </si>
  <si>
    <t>284226-40T</t>
  </si>
  <si>
    <t>Empresa Brasileira de Agregados Minerais</t>
  </si>
  <si>
    <t>Manufacturer of mineral aggregates and construction materials based in Manaus, Brazil. The company produces mineral aggregates including concrete, mortar, masses, asphalt and soil used for construction purposes.</t>
  </si>
  <si>
    <t>269673-13T</t>
  </si>
  <si>
    <t>Grupo Estrutura</t>
  </si>
  <si>
    <t>Provider of building and structural services intended to improve construction projects of commercial and residential properties. The company's platform offers services in engineering, project management, and specialized construction techniques, enabling the construction industry to achieve higher efficiency, accuracy, and reliability in structural development and management.</t>
  </si>
  <si>
    <t>ARC Capital (Brazil)</t>
  </si>
  <si>
    <t>256929-31T</t>
  </si>
  <si>
    <t>Laticínios Verde Campo</t>
  </si>
  <si>
    <t>Producer of dairy products based in Lavras, Brazil. The company is engaged in producing and selling cheese, lactose-free yogurt, milk cream, shakes and dairy-based products.</t>
  </si>
  <si>
    <t>Emmi (Switzerland) (SWX: EMMN)(Ricarda Demarmels)</t>
  </si>
  <si>
    <t>260695-09T</t>
  </si>
  <si>
    <t>Plateaus</t>
  </si>
  <si>
    <t>Operator of a blockchain-based ecosystem intended to accelerate the development of community projects and web3 applications with less complexity. The company offers services such as digital wallets and payments, traceability, blockchain registry, apps integrated marketplace, and networks, enabling developers to create transparent auditable, and scalable applications reduce development friction, and bring more efficiency.</t>
  </si>
  <si>
    <t>258718-69T</t>
  </si>
  <si>
    <t>Segura (Insurance)</t>
  </si>
  <si>
    <t>Developer of an insurance connecting ecosystem designed to boost sales and expand opportunities in the insurance market. The company's tool organizes sales, facilitating process management to close more deals and provides human support with specialized service, enabling businesses with a weekly report of defaulting customers and managing other processes.</t>
  </si>
  <si>
    <t>Pipeline Capital Partners</t>
  </si>
  <si>
    <t>270535-33T</t>
  </si>
  <si>
    <t>258120-55T</t>
  </si>
  <si>
    <t>Cruzeiro Esporte Clube</t>
  </si>
  <si>
    <t>Operator of a soccer club focused on participating in Brazilian soccer leagues. The company manages the soccer team and all affiliated club activities including the media network, foundation, fan zone, news, training schools, sports features and team merchandise.</t>
  </si>
  <si>
    <t>270457-57T</t>
  </si>
  <si>
    <t>270543-70T</t>
  </si>
  <si>
    <t>270537-40T</t>
  </si>
  <si>
    <t>259070-50T</t>
  </si>
  <si>
    <t>Espaço Itaú de Cinema</t>
  </si>
  <si>
    <t>Provider of media services based in Sao Paulo, Brazil. The company offers corporate invitations, human rights cinema, sports, musical, educational content and broadcasts live.</t>
  </si>
  <si>
    <t>Cinesystem (brazil)</t>
  </si>
  <si>
    <t>270537-58T</t>
  </si>
  <si>
    <t>270469-90T</t>
  </si>
  <si>
    <t>270540-55T</t>
  </si>
  <si>
    <t>258199-48T</t>
  </si>
  <si>
    <t>Smartbreeder</t>
  </si>
  <si>
    <t>Developer of a cloud-based digital agricultural intelligence platform intended to optimize the performance and management of crops by developing decision support systems. The company's agronomic intelligence platform facilitates sustainable agriculture with high efficiency of agricultural inputs, reduced costs, increased productivity, and rationalized the decision-making process, enabling farmers to manage the crops, avoiding losses, and increasing savings in application logistics.</t>
  </si>
  <si>
    <t>EcoEnterprises Fund(John McKenna)</t>
  </si>
  <si>
    <t>256333-87T</t>
  </si>
  <si>
    <t>TutorMundi</t>
  </si>
  <si>
    <t>Developer of an online tutoring platform designed to connect students the tutors. The company's platform tutors to help high school students with their studies and clarify their doubts, enabling students to get their issues resolved from a variety of tutors available online.</t>
  </si>
  <si>
    <t>Loyal VC</t>
  </si>
  <si>
    <t>258200-92T</t>
  </si>
  <si>
    <t>Unitech (Third Party Maintenance Services)</t>
  </si>
  <si>
    <t>Provider of hardware support for server, storage, and network equipment catering to businesses.</t>
  </si>
  <si>
    <t>GTCR(David Donnini), Park Place Technologies(Christopher Adams)</t>
  </si>
  <si>
    <t>232756-39T</t>
  </si>
  <si>
    <t>Vale is a large global miner and the world's largest producer of iron ore and pellets. In recent years the company has sold noncore assets such as its fertilizer, coal, and steel operations to concentrate on iron ore, nickel, and copper. Earnings are dominated by the bulk materials division, primarily iron ore and iron ore pellets. The base metals division is much smaller, consisting of nickel mines and smelters along with copper mines producing copper in concentrate. In 2024, Vale sold a minority 10% stake in energy transition metals, its base metals business, likely the first step in separating base metals and iron ore.</t>
  </si>
  <si>
    <t>Manara Minerals(Bob Wilt)</t>
  </si>
  <si>
    <t>Multi-line Mining</t>
  </si>
  <si>
    <t>253772-11T</t>
  </si>
  <si>
    <t>VMtecnologia</t>
  </si>
  <si>
    <t>Developer of a mobile financial software catering to the self-service industry. The company specializes in self-service, self-service, telemetry, solutions for autonomous sales, self-service totem, micro market, vending machines and plush cranes.</t>
  </si>
  <si>
    <t>Nayax (TAE: NYAX)(Yair Nechmad)</t>
  </si>
  <si>
    <t>299163-25T</t>
  </si>
  <si>
    <t>Kaduceu</t>
  </si>
  <si>
    <t>Developer of financial management software designed for enterprise cash flow analysis and planning. The company's platform integrates with enterprise resource planning. systems and banking services, allows simulation of financial scenarios, supports multi-entity and multi-currency operations, manages receivables and loans, includes detailed budgeting and forecasting tools, and provides dashboards, access controls, and audit logs, enabling medium and large businesses to consolidate financial data, improve decision-making, and maintain control over complex cash flow activities.</t>
  </si>
  <si>
    <t>Startup SC</t>
  </si>
  <si>
    <t>297558-01T</t>
  </si>
  <si>
    <t>Rocketmat</t>
  </si>
  <si>
    <t>Developer of talent management software designed to hire and manage talent more effectively. The company's platform uses machine learning to match candidates to jobs, personalized training and development and track employee performance, enabling businesses to make better hiring decisions, improve employee retention and boost productivity.</t>
  </si>
  <si>
    <t>257030-38T</t>
  </si>
  <si>
    <t>Bossa Invest, Inova Startups, Raja Ventures, SC Angels(Cacio Packer), Unifique Telecomunicacoes (BVMF: FIQE3)</t>
  </si>
  <si>
    <t>268447-33T</t>
  </si>
  <si>
    <t>Vexia</t>
  </si>
  <si>
    <t>Provider of information technology consulting and outsourcing services based in Americana, Brazil. The company offers a range of services including consulting, business process solutions, digital technology solutions, governance, risk and compliance services, thereby enhancing value for shareholders, employees, partners, society and the environment.</t>
  </si>
  <si>
    <t>258126-31T</t>
  </si>
  <si>
    <t>Yuna</t>
  </si>
  <si>
    <t>Developer of an artificial intelligence-native platform designed to foster a healthy reading habit globally. The company crafts personalized and interactive stories by combining the heart of professional writers with the flexibility afforded by generative AI, turning any family into the protagonist of their own story, enabling users to awaken their child's imagination and attract them towards reading.</t>
  </si>
  <si>
    <t>Canary (Brazil), Positive Ventures</t>
  </si>
  <si>
    <t>257989-51T</t>
  </si>
  <si>
    <t>Caliza</t>
  </si>
  <si>
    <t>Developer of a global financial infrastructure designed to promote commerce by eliminating borders. The company's platform supports a variety of use cases, including instant international supplier payments and instant international corporate fund transfers, enabling merchant settlement providers to move funds across borders efficiently and cost-effectively.</t>
  </si>
  <si>
    <t>Abstract Ventures, Aito Capital, Alexandre Liuzzi(Alexandre Liuzzi), Class 5 Global, Digital Currency Group, Doug Scherrer(Doug Scherrer), Initialized Capital, Kraynos Capital Management, Lucas Amoroso Lima(Lucas Amoroso Lima), New Form Capital, Quona Capital</t>
  </si>
  <si>
    <t>277163-29T</t>
  </si>
  <si>
    <t>Ecotrace</t>
  </si>
  <si>
    <t>Developer of a supply chain data integration technology designed to bring transparency and security to the supply chain market in the agribusiness segment. The company's technology uses machine learning, internet of things, big data and data science to digitize traceability and make information accessible throughout the production chain from the source to the end consumer, enabling companies to ensure security and prevent their brands from getting linked to socio-environmental problems.</t>
  </si>
  <si>
    <t>232965-64T</t>
  </si>
  <si>
    <t>goFlux</t>
  </si>
  <si>
    <t>Operator of a SaaS marketplace platform intended to connect companies and service providers. The company's tool allows companies to connect to service providers such as carriers and logistics operators and gives transparency to the process of quotation and contracting of transport, enabling shippers, transporters, and suppliers to boost their business.</t>
  </si>
  <si>
    <t>Arrebol Capital, Blue Impact Supply Chain Ventures, Capria Ventures(William Poole), Reflect Ventures, SP Ventures, Techmind, The Yield Lab, The Yield Lab Latam</t>
  </si>
  <si>
    <t>266562-37T</t>
  </si>
  <si>
    <t>244406-62T</t>
  </si>
  <si>
    <t>QI Tech</t>
  </si>
  <si>
    <t>Developer of a banking-as-a-service platform designed to invest and manage credit assets and raise debt. The company's platform provides licensed technology and automated financial tools that offer debt issuance, slips issuance, credit analysis, and receivables lock, enabling the fintech market to facilitate the entry and management of banking systems.</t>
  </si>
  <si>
    <t>Across Capital Partners(Rafael Costa), Endeavor Catalyst, General Atlantic</t>
  </si>
  <si>
    <t>256468-15T</t>
  </si>
  <si>
    <t>Akad Seguros</t>
  </si>
  <si>
    <t>Operator of an insurance company intended to cater to the needs of individuals and businesses. The company specializes in offering a wide range of coverage including cargo, professional liabilities, financial lines and cybersecurity, thereby ensuring its clients cover eventual failures efficiently.</t>
  </si>
  <si>
    <t>Across Capital Partners, Actyus, Endeavor Catalyst, ScaleUP Ventures, Valor Capital Group(Paulo Passoni)</t>
  </si>
  <si>
    <t>288103-60T</t>
  </si>
  <si>
    <t>Destinos Inteligentes</t>
  </si>
  <si>
    <t>Operator of a platform for intelligent tourism management intended to promote sustainable and tourism development in Brazilian destinations. The company offers a comprehensive platform that integrates data, technology, and strategic planning to enable destinations to improve their tourism management, enhance visitor experiences, and foster sustainable development. This platform provides tools for data analysis, monitoring, and decision-making, enabling customers to optimize resource allocation, personalize visitor services, and promote responsible tourism practices.</t>
  </si>
  <si>
    <t>269797-69T</t>
  </si>
  <si>
    <t>Indika.tv</t>
  </si>
  <si>
    <t>Operator of an entertainment platform intended to connect movies and series with various streaming service subscribers. The company organizes films and series from all the subscribed streaming services, only recommends what the audience needs, and separates and analyzes streaming services, enabling users with everything they like to watch, in one place, without jumping from one app to another.</t>
  </si>
  <si>
    <t>Bossa Invest, Inova Startups</t>
  </si>
  <si>
    <t>257995-63T</t>
  </si>
  <si>
    <t>Um Dois Esportes</t>
  </si>
  <si>
    <t>Provider of sports coverage and analysis for the Brazilian state of Paraná. The company offers coverage of local and global sports events, including football, basketball and volleyball along with in-depth analysis, match previews, and live commentary during sports events, thereby keeping fans informed and engaged.</t>
  </si>
  <si>
    <t>North Star Network (Digital Sports Media)(Julien Josset)</t>
  </si>
  <si>
    <t>248383-72T</t>
  </si>
  <si>
    <t>Vixtra</t>
  </si>
  <si>
    <t>Developer of a payment gateway platform designed to simplify international transactions. The company's gateway offers instant payment and bank account verification as well as facilitates transactions via several methods including credit and debit cards, enabling businesses to make bulk outbound payments to multinational suppliers in a hassle-free manner.</t>
  </si>
  <si>
    <t>Actyus, BluStone, Endeavor Promessas, NXTP Ventures, QED Investors, Valor Capital Group(Carlos Costa)</t>
  </si>
  <si>
    <t>258029-29T</t>
  </si>
  <si>
    <t>Zoppy</t>
  </si>
  <si>
    <t>Developer of a customer relationship management platform intended to serve the retail and e-commerce sectors. The company offers omnichannel communication, customer purchase history tracking, and sales automation, thereby enhancing customer loyalty and increasing sales.</t>
  </si>
  <si>
    <t>Meliuz (BVMF: CASH3)</t>
  </si>
  <si>
    <t>257614-30T</t>
  </si>
  <si>
    <t>Greg Pay</t>
  </si>
  <si>
    <t>Developer of a financial technology platform designed to contribute to the success of clients' businesses by simplifying processes and bringing savings. The company's platform offers health pay, installment payment, and pay refunds, among others, enabling businesses to make simplified tax payments.</t>
  </si>
  <si>
    <t>Hiker Ventures(Rodrigo Moreira)</t>
  </si>
  <si>
    <t>271221-13T</t>
  </si>
  <si>
    <t>Let me pay</t>
  </si>
  <si>
    <t>Operator of a payment platform intended to increase security in payment flow. The company's payment management platform automates financial routine with its software by providing online payments and receipts, money receipts from QR codes, provides validation, enabling its clients to make batch payments in a simplified and integrated manner.</t>
  </si>
  <si>
    <t>259248-43T</t>
  </si>
  <si>
    <t>Boa Safra Sementes (BVMF: SOJA3)</t>
  </si>
  <si>
    <t>Boa Safra Sementes SA is engaged in the production of soybean seeds in Brazil. With the production of certified seeds in partnership with the technology providers, it offers treatments with various chemical and genetic components adapted to ensure high rates of germination and vigor. Its complete portfolio of quality soy seeds also includes corn and bean seeds.</t>
  </si>
  <si>
    <t>HIX Capital</t>
  </si>
  <si>
    <t>258787-63T</t>
  </si>
  <si>
    <t>Deep Legal Analytics</t>
  </si>
  <si>
    <t>Developer of a digital platform intended for monitoring and analyzing data and information. The company's platform leverages artificial intelligence and uses statistical techniques and advanced technologies such as big data and machine learning tools to collect data, normalize it and transform it into consistent information in order to create a new experience, enabling legal professionals to monitor, compare and predict portfolios of lawsuits.</t>
  </si>
  <si>
    <t>Softplan</t>
  </si>
  <si>
    <t>257955-58T</t>
  </si>
  <si>
    <t>Newsco</t>
  </si>
  <si>
    <t>Developer of an AI platform designed to aggregate news. The company's platform offers filtering and selecting content from various sources, audio and text summaries of news articles, with trends and the option to create personalized newspapers with selected themes and sources, providing users with a personalized reading experience.</t>
  </si>
  <si>
    <t>STRIVE (São Paulo)</t>
  </si>
  <si>
    <t>265987-99T</t>
  </si>
  <si>
    <t>Talkd.ai</t>
  </si>
  <si>
    <t>Operator of an open-source platform intended to enable the easy deployment of large language models. The company offers an extensible LLM API and integration with messaging platforms, enabling developers to create and deploy chat assistants efficiently, enhancing their applications with advanced conversational capabilities.</t>
  </si>
  <si>
    <t>GitHub Accelerator</t>
  </si>
  <si>
    <t>260367-40T</t>
  </si>
  <si>
    <t>Cia de Fiacao e Tecidos (BVMF: CEDO3)</t>
  </si>
  <si>
    <t>Cia de Fiacao e Tecidos Cedro e Cachoeira is engaged in the textile industry. It produces and markets garment products such as fashionable clothing, professional uniforms, accessories and personal protective equipment, among others.</t>
  </si>
  <si>
    <t>Synthetic Textiles</t>
  </si>
  <si>
    <t>244052-20T</t>
  </si>
  <si>
    <t>Credz</t>
  </si>
  <si>
    <t>Provider of credit card administrator service based in Sao Paulo, Brazil.</t>
  </si>
  <si>
    <t>DmCard Cartoes de Credito(Denis Correia), Vinci Compass Investments (NAS: VINP)(José Pano)</t>
  </si>
  <si>
    <t>267495-31T</t>
  </si>
  <si>
    <t>Drexfy</t>
  </si>
  <si>
    <t>Developer of crypto payments app designed to trade digital currencies ensuring superior returns and a balanced portfolio. The company's platform specializes in instant payment with no restrictions on currencies, wallets and no need to create a specific bank or brokerage account, enabling businesses to accept crypto as an additional payment option which has low, transparent and fixed fees with safe and regulated operation.</t>
  </si>
  <si>
    <t>Portugal FinLab</t>
  </si>
  <si>
    <t>259214-77T</t>
  </si>
  <si>
    <t>Empresa Metropolitana de Aguas &amp; Energia (BVMF: EMAE4)</t>
  </si>
  <si>
    <t>Empresa Metropolitana de Aguas &amp; Energia SA is engaged in electricity generation. The company manages a complex hydraulic system that includes dykes, dams, and reservoirs, with notable ones being Billings and Guarapiranga, located in the southern zone of Sao Paulo city, as well as the Sao Paulo and Pedreira pumping stations and the Pinheiros River canal. The company's activities include electricity supply, the construction of energy generation assets, and the provision of operation and maintenance services for power plants and related structures, serving both private companies and public sector entities.</t>
  </si>
  <si>
    <t>Phoenix Investment Funds</t>
  </si>
  <si>
    <t>257468-86T</t>
  </si>
  <si>
    <t>FWC Intelligence</t>
  </si>
  <si>
    <t>Developer of a cloud platform intended to provide business solutions in distributed storage. The company offers database and storage enabling its partners in cost reduction, security, infrastructure and business support.</t>
  </si>
  <si>
    <t>Skyone(Rodrigo Tremante)</t>
  </si>
  <si>
    <t>261226-63T</t>
  </si>
  <si>
    <t>Fundo De Invest Imobiliario Smart Real Estate (BVMF: SMRE11)</t>
  </si>
  <si>
    <t>Fundo De Invest Imobiliario Smart Real Estate Fii Responsabilidade Ltd is real estate investment trust fund whose investment objective is to provide shareholders with the appreciation and profitability of their shares, through investment predominantly in the exploration of real estate projects whose entrepreneur, developer, builder, or land subdivision is the Smart Consultoria Imobiliaria Ltda.</t>
  </si>
  <si>
    <t>257204-71T</t>
  </si>
  <si>
    <t>Letsbank</t>
  </si>
  <si>
    <t>Provider of technological banking solutions intended to help small and medium-sized companies in Brazil. The company offers transfers and tax payments directly on a partner platform, thereby helping to simplify clients' financial lives and help entrepreneurs grow and develop.</t>
  </si>
  <si>
    <t>Banco Master</t>
  </si>
  <si>
    <t>257583-07T</t>
  </si>
  <si>
    <t>Valora Renda Imobiliaria (BVMF: VGRI11)</t>
  </si>
  <si>
    <t>Valora Renda Imobiliaria Fundo De Invest Imobiliario Respons Ltd is a real estate investment trust fund.</t>
  </si>
  <si>
    <t>292585-33T</t>
  </si>
  <si>
    <t>Biotecland</t>
  </si>
  <si>
    <t>Developer of microalgae-based bioinputs designed to empower the potential of microalgae to revolutionize agricultural processes. The company offers a range of microalgae-based products, including primafert, a natural and organic input that enhances soil quality, increase crop productivity and promote resistance to pests and diseases, use the technology on soy farms as an alternative to chemical fertilizers that will promote enhanced crop yields and regenerate degraded areas, enabling farmers to get advanced bioinputs for their agricultural operations.</t>
  </si>
  <si>
    <t>Agtech Innovation</t>
  </si>
  <si>
    <t>257319-91T</t>
  </si>
  <si>
    <t>BrandLovrs</t>
  </si>
  <si>
    <t>Developer of fan engagement platform designed for brands to collaborate with influencers and content creators. The company's platform offers to scale collaboration with creators from discovery to automated payment and reward creators for producing authentic content to boost the brand, enabling clients and businesses to increase their e-commerce sales through the automatic management of thousands of influencers.</t>
  </si>
  <si>
    <t>Canary (Brazil), Kaszek</t>
  </si>
  <si>
    <t>257167-72T</t>
  </si>
  <si>
    <t>Denga Love</t>
  </si>
  <si>
    <t>Developer of a dating application designed for the black people of Brazil. The company offers a platform for Black singles to connect and find love by catering to a specific ethnicity and cultural background which allows them to create a more targeted and inclusive dating experience for Black users, enabling users to connect with like-minded individuals who share similar cultural experiences.</t>
  </si>
  <si>
    <t>257353-39T</t>
  </si>
  <si>
    <t>Imcopa</t>
  </si>
  <si>
    <t>Manufacturer of sustainable soy products for animal feed and food ingredients. The company offers Degummed Soybean Oil, soybean meal, soy lecithin, soy alcohol and soy tocopherol.</t>
  </si>
  <si>
    <t>Cervejaria Petropolis</t>
  </si>
  <si>
    <t>288345-70T</t>
  </si>
  <si>
    <t>INOCAS</t>
  </si>
  <si>
    <t>Producer of vegetable oil intended to promote agriculture from a sustainable perspective. The company collaborates with family farmers and carries out the planting, cultivation as well as harvesting of macabre, enabling clients to promote environment-friendly forms of agricultural practices.</t>
  </si>
  <si>
    <t>Impact Earth (England), Mirova</t>
  </si>
  <si>
    <t>257068-81T</t>
  </si>
  <si>
    <t>Moderna Sistemas</t>
  </si>
  <si>
    <t>Developer of comprehensive management software catering to hospitals, clinics, and diagnostic centers. The company offers management practices, strategic management services, clinic management software and integrated healthcare solutions across healthcare facilities, thereby optimizing healthcare processes and enhancing efficiency.</t>
  </si>
  <si>
    <t>Benner Sistemas(Severino Benner)</t>
  </si>
  <si>
    <t>257222-08T</t>
  </si>
  <si>
    <t>PROOF (Cyber Security Software)</t>
  </si>
  <si>
    <t>Provider of cyber security services intended to serve its clients in the business sector. The company offers monitoring services and security assets, detects and responds to incidents using robust tools, raises employee awareness of cyber risks, creates policies, conducts vulnerability surveys, and implements complex technologies through a qualified team authorized to distribute solutions from international partners.</t>
  </si>
  <si>
    <t>Security Ecosystem Knowledge(Maurício Prado)</t>
  </si>
  <si>
    <t>257359-78T</t>
  </si>
  <si>
    <t>Zagros Multiestrategia (BVMF: ZAGH11)</t>
  </si>
  <si>
    <t>Zagros Multiestrategia Fundo De Investimento Imobiliario operates as a real estate investment fund.</t>
  </si>
  <si>
    <t>257066-38T</t>
  </si>
  <si>
    <t>Cattlevis</t>
  </si>
  <si>
    <t>Developer of cattle monitoring software designed to track livestock farming efficiently. The company's platform leverages different technological features to track and monitor cattle in real-time, which can be powered by solar energy, enabling farm owners to get a management tool to receive health and safety alerts for their herd conveniently.</t>
  </si>
  <si>
    <t>GHT4 Group(Laércio Cosentino)</t>
  </si>
  <si>
    <t>269123-59T</t>
  </si>
  <si>
    <t>Dama FII Responsabilidade (BVMF: DAMA11)</t>
  </si>
  <si>
    <t>Dama Fundo De Investiment Imobiliario Responsabilidade Ltd is a real estate investment fund with a closed condominium.</t>
  </si>
  <si>
    <t>256897-90T</t>
  </si>
  <si>
    <t>EmpreX</t>
  </si>
  <si>
    <t>Developer of a digital lending system designed to offer fair and affordable consumer loans in Brazil. The company offers loans at lower rates, based on a convenient analysis of clients' financial situation, enabling clients to refinance their expensive loans or take out a new loan.</t>
  </si>
  <si>
    <t>244457-11T</t>
  </si>
  <si>
    <t>256856-59T</t>
  </si>
  <si>
    <t>GranServices</t>
  </si>
  <si>
    <t>Provider of engineering, commissioning, hook-up, and integrity management services intended for the energy sector. The company offers expertise in supply chain management, inspection and maintenance, operations, composite materials, repair services, and more, enabling clients to increase efficiency and create long-term value.</t>
  </si>
  <si>
    <t>249321-25T</t>
  </si>
  <si>
    <t>Turbi</t>
  </si>
  <si>
    <t>Developer of a micro-mobility platform designed to provide vehicle rentals on an hourly basis. The company offers a platform that allows users to reserve a vehicle, unlock it with a smartphone, use it for as much time as they want, and return it to the same location, enabling clients to keep cars for as long as they want and pay only for what they use, with insurance and fuel included.</t>
  </si>
  <si>
    <t>ARC Capital (Brazil), Bossa Invest, Carbyne Investimentos(Filipe Caldas), Clave, DOMO.VC</t>
  </si>
  <si>
    <t>296932-24T</t>
  </si>
  <si>
    <t>Univalores</t>
  </si>
  <si>
    <t>Operator of a B2B insurtech intended to provide financial solutions through a needs analysis tool that seeks alignment of interests. The company offers financial advisory services, financial solutions, and consultative sales in the insurance sector.</t>
  </si>
  <si>
    <t>Alta Vista Investimentos(Rogerio Thome)</t>
  </si>
  <si>
    <t>270440-74T</t>
  </si>
  <si>
    <t>256713-67T</t>
  </si>
  <si>
    <t>Dati (Automation/Workflow Software)</t>
  </si>
  <si>
    <t>Developer of an automation platform intended to simplify trading and manage import processes. The company offers personalized artificial intelligence based supply, clearance and financial details and reports of imports, thereby allowing businesses to automate their manual tasks in the import process and increase efficiency and productivity.</t>
  </si>
  <si>
    <t>Asia Shipping</t>
  </si>
  <si>
    <t>257696-83T</t>
  </si>
  <si>
    <t>FRN (Business/Productivity Software)</t>
  </si>
  <si>
    <t>Operator of a digital development company intended to build commercial and institutional projects consistent with our market vision and technical knowledge. The company supports the market with the development of technologies for e-commerce and consultancy focused on innovation, digital transformation and increased sales, training, CRO, BI, SEO, CRM and media, enabling businesses to get an optimized journey with comprehensive support.</t>
  </si>
  <si>
    <t>Pipeline Capital Tech (Brazil)(Alon Sochaczewski)</t>
  </si>
  <si>
    <t>269798-23T</t>
  </si>
  <si>
    <t>266189-86T</t>
  </si>
  <si>
    <t>Operator of a software aggregation company intended to partner with niche software companies, unlocking growth opportunities. The company specializes in investing in the business as a strategic partner, acquiring a relevant stake, and injecting capital for growth through highly qualified talents and experts to design an organic and inorganic expansion plan, enabling businesses to have profitable growth through new products and categories.</t>
  </si>
  <si>
    <t>Gunderson Dettmer, L4 Venture Builder(Tiago Wigman)</t>
  </si>
  <si>
    <t>256737-88T</t>
  </si>
  <si>
    <t>Magna Sistemas</t>
  </si>
  <si>
    <t>Provider of innovative technology designed to address business challenges and drive return on investment. The company offers a versatile team with expertise in various technologies, enabling businesses in the public and private sectors to achieve digital transformation.</t>
  </si>
  <si>
    <t>AlmavivA(Marco Tripi), Ekuity Capital</t>
  </si>
  <si>
    <t>266157-10T</t>
  </si>
  <si>
    <t>256588-39T</t>
  </si>
  <si>
    <t>Maeztra</t>
  </si>
  <si>
    <t>Provider of IT consulting services intended to serve the e-commerce market of various sectors. The company offers digital marketing, UX design, outsourcing, implementation and CRO services, enabling clients to leverage and boost their sales.</t>
  </si>
  <si>
    <t>Cadastra(Thiago Bacchin)</t>
  </si>
  <si>
    <t>256499-92T</t>
  </si>
  <si>
    <t>Infotreasury Informática</t>
  </si>
  <si>
    <t>Developer of management software intended to serve the financial market. The company specializes in fixed-income, stock exchange, swap contracts, flexible options and currency forward contracts, enabling clients to ease up their financial operations in stipulated time.</t>
  </si>
  <si>
    <t>Kinea Investimentos (BVMF: KNHY11)(Eduardo Marrachine), Matera (IT Consulting and Outsourcing)(Carlos Netto)</t>
  </si>
  <si>
    <t>256499-56T</t>
  </si>
  <si>
    <t>Intelligenza</t>
  </si>
  <si>
    <t>Provider of business and technology consultancy services intended to serve the human resources area. The company offers services like evaluation, monitoring and career management combining experiential and technical experience, enabling clients to explore the work potential of their team and accelerate results for the company as a whole.</t>
  </si>
  <si>
    <t>Andera Partners(Francois-Xavier Mauron), HR Path(François Boulet), Societe Generale Capital Partenaires</t>
  </si>
  <si>
    <t>225779-05T</t>
  </si>
  <si>
    <t>Ocyan (Rio de Janeiro)</t>
  </si>
  <si>
    <t>Operator of an offshore oil drilling company serving the oil and gas industry. The company offers integrated services, the latest generation assets as well as an integrated business model focusing on ultra-deep-water including the pre-salt, enabling clients to generate more revenue with additional support.</t>
  </si>
  <si>
    <t>EIG(Flavio Valle)</t>
  </si>
  <si>
    <t>272815-93T</t>
  </si>
  <si>
    <t>Coatue Management(Malachi Price), Investment Management Corporation of Ontario(Fred Robert)</t>
  </si>
  <si>
    <t>256880-89T</t>
  </si>
  <si>
    <t>Zavit Credito Imobiliario (BVMF: ZAVC11)</t>
  </si>
  <si>
    <t>Zavit Credito Imobiliario Fundo De Investimento Imobiliario is an real estate investment fund.</t>
  </si>
  <si>
    <t>269697-88T</t>
  </si>
  <si>
    <t>E-Station (Business/Productivity Software)</t>
  </si>
  <si>
    <t>Developer of a cloud-based software platform designed to manage customers and market data in the Brazilian free energy market. The company's platform offers a suite of tools, including sales, energy management, and back office functionalities, all focused on data and user experience, enabling energy retailers and wholesalers to gain valuable analytics and insights to help manage customer portfolios remotely or on demand.</t>
  </si>
  <si>
    <t>292737-07T</t>
  </si>
  <si>
    <t>MindSun</t>
  </si>
  <si>
    <t>Developer of an energy management platform designed to monitor industrial energy consumption and improve efficiency. The company provides real-time data analytics, AI-generated insights, and anomaly detection across equipment and sectors, enabling businesses to support cost reduction and connect clean energy producers with industrial consumers.</t>
  </si>
  <si>
    <t>FIEMG Lab</t>
  </si>
  <si>
    <t>257345-92T</t>
  </si>
  <si>
    <t>Aguas de Fortaleza</t>
  </si>
  <si>
    <t>The operator of a seawater desalinization plant based in Ceara Brazil.</t>
  </si>
  <si>
    <t>GS Inima Brasil</t>
  </si>
  <si>
    <t>Other Consumer Products and Services</t>
  </si>
  <si>
    <t>257114-17T</t>
  </si>
  <si>
    <t>Avantia</t>
  </si>
  <si>
    <t>Provider of artificial intelligence technology security services intended for a wide range of industries related to retail, health, construction, energy, and agriculture. The company specializes in smart monitoring, digital products, solution integration, security technology, audio alerts, and complete security projects, thereby enabling industries with customized platforms aligned with digital transformation for access control and perimeter alarms.</t>
  </si>
  <si>
    <t>Crescera Capital(Daniel Borghi)</t>
  </si>
  <si>
    <t>256569-67T</t>
  </si>
  <si>
    <t>Bonsai (Healthcare Application)</t>
  </si>
  <si>
    <t>Operator and developer of an online healthcare application intended to organize health documents. The company stores, organizes and shares exams, medical prescriptions and other health documents with anyone you want thereby enabling the clients to find the data they need in less than three clicks.</t>
  </si>
  <si>
    <t>STARLAB International GmbH(João Côrtes)</t>
  </si>
  <si>
    <t>257957-47T</t>
  </si>
  <si>
    <t>256589-11T</t>
  </si>
  <si>
    <t>Grupo Irajá</t>
  </si>
  <si>
    <t>Operator of restaurants and bars located in Rio de Janeiro, Brazil. The company offers seven restaurants and catering brands.</t>
  </si>
  <si>
    <t>Alife Nino(Alessandro Avila), XP Vista Asset Management(Chu Kong)</t>
  </si>
  <si>
    <t>288276-58T</t>
  </si>
  <si>
    <t>Horta da Terra</t>
  </si>
  <si>
    <t>Developer of freeze-dried super ingredients using sustainable agriculture practices intended to provide healthy, natural food while preserving the environment through sustainable methods. The company's conventional food plants (PANCs) are pesticide-free and suitable for use in food, drinks, supplements, and cosmetics, thus catering to the medicinal, herbal medicines, and health and well-being industries.</t>
  </si>
  <si>
    <t>Impact Earth (England)</t>
  </si>
  <si>
    <t>256345-84T</t>
  </si>
  <si>
    <t>InstaCarro</t>
  </si>
  <si>
    <t>Operator of an online car-selling marketplace intended to allow individuals to sell their used cars directly to professional traders. The company's marketplace gives the advantage of instantaneous payouts and offers online access to a large stock of previously inspected cars, transparency with detailed photos and reports, and an immediate return guarantee if a purchased car is in different conditions from those reported, enabling consumers to buy a used car at affordable prices with the convenience of online quotes.</t>
  </si>
  <si>
    <t>Bamboo Technology Platform, Fasanara Capital, FJ Labs, J Ventures, Rise Capital</t>
  </si>
  <si>
    <t>258887-26T</t>
  </si>
  <si>
    <t>Ume (Consumer Finance)</t>
  </si>
  <si>
    <t>Developer of a purchase credit platform designed to create an economic environment in which access to credit is simple and democratic. The company's platform offers credit to low-income consumers who don't have a bank account or access to traditional credit through retailers' points of sale without hidden fees, unclear terms, or abusive interest rates, enabling consumers to achieve their personal goals while helping retailers provide a risk-free alternative.</t>
  </si>
  <si>
    <t>big_bets, Clocktower Ventures, FJ Labs, Globo Ventures, NFX, PayPal Holdings (NAS: PYPL)(Aaron Webster)</t>
  </si>
  <si>
    <t>268150-15T</t>
  </si>
  <si>
    <t>Advoga IA</t>
  </si>
  <si>
    <t>Developer of an AI-powered legal assistant intended to optimize legal workflows. The company's platform automates the creation of legal documents, performs precise text analysis, manages deadlines, organizes documents, and provides marketing and educational tools, enabling law firms to improve efficiency, reduce errors, and focus more on client service.</t>
  </si>
  <si>
    <t>Stars Acceleradora</t>
  </si>
  <si>
    <t>285013-18T</t>
  </si>
  <si>
    <t>CashU</t>
  </si>
  <si>
    <t>Developer of a financial platform designed to optimize sales through flexible, adaptive, and immediate credit facilitation. The company's platform utilizes artificial intelligence to refine credit terms, adjust lending conditions based on risk evaluation, enhance approval efficiency, broaden financing availability, and streamline repayment structures while offering optional risk mitigation measures, enabling businesses to integrate seamless financing across digital and in-person transactions to drive growth and financial accessibility.</t>
  </si>
  <si>
    <t>A.B.Seed Ventures, Bertha Capital, Caravela Capital, Lighthouse Invest</t>
  </si>
  <si>
    <t>257106-70T</t>
  </si>
  <si>
    <t>Fatal Model</t>
  </si>
  <si>
    <t>Operator of an online advertising platform intended for escort services. The company's platform provides services including advertising, photos, videos and stories services, enabling escorts and clients to find each other easily.</t>
  </si>
  <si>
    <t>270408-61T</t>
  </si>
  <si>
    <t>258256-45T</t>
  </si>
  <si>
    <t>Plug and Play Tech Center(Saeed Amidi)</t>
  </si>
  <si>
    <t>256204-54T</t>
  </si>
  <si>
    <t>Langflow</t>
  </si>
  <si>
    <t>Provider of machine learning services intended for custom data solutions powered by state-of-the-art technologies with pipelines that start from experimentation up to deployment. The company offers services like natural language processing, time series forecasting, deep neural nets, quantitative research and portfolio optimization.</t>
  </si>
  <si>
    <t>DataStax(Chetan Kapoor)</t>
  </si>
  <si>
    <t>269281-18T</t>
  </si>
  <si>
    <t>Itau Total Return Fundo (BVMF: ITRI11)</t>
  </si>
  <si>
    <t>Itau Total Return Fundo De Investimento Imobiliario is a real estate investment fund organized in the form of a closed condominium. Its objective in investment in real estate projects in the manner provided for in the applicable regulations.</t>
  </si>
  <si>
    <t>250345-09T</t>
  </si>
  <si>
    <t>Alexia Ventures(Bianca Martinelli), Canary (Brazil), Endeavor Promessas, Grão (São Paulo)(Sung Lim)</t>
  </si>
  <si>
    <t>256594-24T</t>
  </si>
  <si>
    <t>Staage</t>
  </si>
  <si>
    <t>Operator of a digital marketing education platform intended to serve professionals and businesses. The company offers courses on business and sales, copywriting, social media, branding and community and also provides companies to find the best professionals to boost business in Digital Marketing.</t>
  </si>
  <si>
    <t>V4 Company(Dener Lippert)</t>
  </si>
  <si>
    <t>248483-98T</t>
  </si>
  <si>
    <t>Inner AI</t>
  </si>
  <si>
    <t>Developer of a content creation platform designed to empower individuals to improve their creative potential. The company's platform uses artificial intelligence as a writing assistant for screenplays, short video scripts, marketing, and professional writing as well as offers transcription-based editing, artificial intelligence digital character studio, and video storage, enabling creators to save time and money creating texts, videos, audios, and images.</t>
  </si>
  <si>
    <t>Alexia Ventures, Canary (Brazil), Crivo, LASP Capital, Newtopia VC, Play9</t>
  </si>
  <si>
    <t>256588-93T</t>
  </si>
  <si>
    <t>Limine DTVM</t>
  </si>
  <si>
    <t>Provider of financial services based in São Paulo, Brazil. The company offers collateral agent, monitoring agent, trustee, securities custody, fiduciary administration, and securities bookkeeping</t>
  </si>
  <si>
    <t>Kanastra(Gustavo Mapeli)</t>
  </si>
  <si>
    <t>292646-35T</t>
  </si>
  <si>
    <t>PlayBPO</t>
  </si>
  <si>
    <t>Developer of task management platform intended to manage financial business process outsourcing. The company's platform control the execution time of tasks, the management time of client and concentrates services on a single channel for financial business process outsourcing (BPO's) operations, enabling financial BPO's to streamline operations and improve efficiency.</t>
  </si>
  <si>
    <t>Djassi Africa</t>
  </si>
  <si>
    <t>252440-56T</t>
  </si>
  <si>
    <t>BeConfident</t>
  </si>
  <si>
    <t>Developer of artificial intelligence-based tutoring software intended to help get a personalized English learning experience online. The company provides explanations, improvement tips, and examples built into a vocabulary builder to remember later, simulates being in a job interview, in a business meeting, or even flirting with someone, enabling customers to immerse themselves in interactive conversations, receive insightful feedback, and learn from their mistakes.</t>
  </si>
  <si>
    <t>André Penha(André Penha), Benjamin Gleason, Doug Scherrer(Doug Scherrer), Grão (São Paulo), Latitud, Manoel Lemos(Manoel Lemos)</t>
  </si>
  <si>
    <t>281953-27T</t>
  </si>
  <si>
    <t>CERC (Operations Registration System)</t>
  </si>
  <si>
    <t>Provider of operation registration services based in Sao Paulo, Brazil.</t>
  </si>
  <si>
    <t>Nuclea</t>
  </si>
  <si>
    <t>255413-44T</t>
  </si>
  <si>
    <t>Cia Cacique de Café Solúvel</t>
  </si>
  <si>
    <t>Manufacturer and distributor of coffee products based in Sao Paulo, Brazil. The company's coffee products include dried and roasted coffee.</t>
  </si>
  <si>
    <t>ADQ(Mohamed AlSuwaidi), Louis Dreyfus Company(Michael Gelchie)</t>
  </si>
  <si>
    <t>258172-48T</t>
  </si>
  <si>
    <t>CicloShadow</t>
  </si>
  <si>
    <t>Developer of smart umbrella to protect cyclists from the heat. The company's umbrella is a well-being instrument as it protects from strong sun exposure, is modern and aerodynamic, enabling cyclists to promote accessibility and social inclusion in a creative, safe and sustainable way.</t>
  </si>
  <si>
    <t>Darwin Startups</t>
  </si>
  <si>
    <t>Other Consumer Durables</t>
  </si>
  <si>
    <t>262013-50T</t>
  </si>
  <si>
    <t>Dunning Gestão de Recebíveis</t>
  </si>
  <si>
    <t>Developer of receivables management software designed for automating and optimizing credit collections based on customer payment behavior. The company's platform uses artificial intelligence, personalized credit scoring, automated communication through email, text messages, and voice calls, integration with enterprise resource planning systems, and access to national credit databases, enabling businesses that operate on credit to reduce defaults, and improve recovery performance through data-driven workflows, predictive analysis, and customizable billing and notification tools.</t>
  </si>
  <si>
    <t>263323-27T</t>
  </si>
  <si>
    <t>Guru (Financial Software)</t>
  </si>
  <si>
    <t>Developer of a financial application designed to make investing simple, affordable and intuitive. The company's application offers financial tools, including real-time profitability monitoring, quotes, graphs, news and indicators, enabling customers to invest in various financial instruments easily.</t>
  </si>
  <si>
    <t>FinTech Sandbox</t>
  </si>
  <si>
    <t>255962-44T</t>
  </si>
  <si>
    <t>Livre</t>
  </si>
  <si>
    <t>Operator of a motor vehicle company intended to help physically handicapped people have mobility. The company offers equipment that transforms the wheelchair into an electric motorized tricycle and has several features including a range, a high speed that can be controlled on multiple terrains, enabling wheelchair users to have freedom and autonomy to roam freely.</t>
  </si>
  <si>
    <t>Kviv Ventures</t>
  </si>
  <si>
    <t>257702-68T</t>
  </si>
  <si>
    <t>Mooney Educação Financeira, Consultoria E Serviços De Tecnologia</t>
  </si>
  <si>
    <t>Developer of an educational platform designed for financial literacy. The company offers qualified instructors who facilitate engaging classes in a dynamic learning environment with real-life examples and applications to make financial concepts relatable and understandable, enabling users with the knowledge and skills needed to navigate the complex world of personal finance.</t>
  </si>
  <si>
    <t>Mergus Ventures, MSW Capital</t>
  </si>
  <si>
    <t>255900-61T</t>
  </si>
  <si>
    <t>SGRP Brasil Participações</t>
  </si>
  <si>
    <t>Operator of a holding company based in Sao Paulo, Brazil.</t>
  </si>
  <si>
    <t>274144-69T</t>
  </si>
  <si>
    <t>Pochet do Brasil</t>
  </si>
  <si>
    <t>Manufacturer of packaging intended for the cosmetic industry. The company offers packaging for perfumes and cosmetics in Brazil.</t>
  </si>
  <si>
    <t>America Indústria e Comércio de Embalagens(Gustavo Alvarez)</t>
  </si>
  <si>
    <t>Paper Containers and Packaging</t>
  </si>
  <si>
    <t>256778-65T</t>
  </si>
  <si>
    <t>Check OK</t>
  </si>
  <si>
    <t>Developer of an electronic credit verification platform intended to simplify the credit journey of SMEs. The company's platform offers services including credit consultation, credit score information of customers and digital billing and negative payment facilities, enabling users to get relevant information needed to grant the right credit to the customers.</t>
  </si>
  <si>
    <t>Delend</t>
  </si>
  <si>
    <t>255745-99T</t>
  </si>
  <si>
    <t>Vacinas.net</t>
  </si>
  <si>
    <t>Operator of a vaccination marketplace intended to connect unvaccinated people to vaccine service providers. The company's platform allows users to research prices, buy vaccines in a few clicks, and get vaccinated in the comfort of their homes or approved clinics, enabling people with a practical and economical way to access vaccination services.</t>
  </si>
  <si>
    <t>Anjos do Brasil, Rock9 Ventures</t>
  </si>
  <si>
    <t>214890-31T</t>
  </si>
  <si>
    <t>Atlas Lithium (NAS: ATLX)</t>
  </si>
  <si>
    <t>Atlas Lithium Corp is a mineral exploration and development company with lithium projects and exploration properties in other critical and battery minerals, including nickel, rare earth, graphite, and titanium, to power the increased demand for electrification. Its focus is on developing its hard-rock lithium project Minas Gerais Lithium Project located in Minas Gerais State in Brazil. The company intends to produce and sell lithium concentrate, a key ingredient for the battery supply chain. It intends to mine and then process its lithium-containing ore to produce lithium concentrate (also known as spodumene concentrate), a key ingredient for the battery supply chain.</t>
  </si>
  <si>
    <t>Mitsui &amp; Company (TKS: 8031)</t>
  </si>
  <si>
    <t>256254-31T</t>
  </si>
  <si>
    <t>Rockstar Capital (TSX: ROC), STRIVE (São Paulo), Techstars</t>
  </si>
  <si>
    <t>255603-79T</t>
  </si>
  <si>
    <t>279520-66T</t>
  </si>
  <si>
    <t>Sinaliza Enem</t>
  </si>
  <si>
    <t>Operator of a distance learning platform intended to prepare deaf students for higher education entrance exams. The company provides sign language courses by bilingual deaf instructors, online classes, and group learning, enabling deaf learners to improve their language skills and interact with peers.</t>
  </si>
  <si>
    <t>256119-22T</t>
  </si>
  <si>
    <t>Awari (Brazil)</t>
  </si>
  <si>
    <t>Developer of a digital school platform designed for complete professional development of in-demand tech skills. The company's platform offers individual mentoring, real projects, career guidelines, and support that focus on the professional goals of the mentee, enabling learners to gain expertise on the latest theoretical backgrounds.</t>
  </si>
  <si>
    <t>Fluency Academy(Finn Puklowski), General Atlantic(Luiz Ribeiro)</t>
  </si>
  <si>
    <t>268966-81T</t>
  </si>
  <si>
    <t>Krilltech</t>
  </si>
  <si>
    <t>Developer and provider of nano-technology solutions designed to improve both yield and nutritional quality of crops. The company's nanobiostimulants and organic nanobiofertilizers accelerate the metabolism of plants and improve the nutritional quality of food contributing to increase photosynthetic rates, usage of water and reducing hydric and chemical stresses thus efficiently supplementing essential nutrients for the plant, enabling farmers to improve the productivity of fields.</t>
  </si>
  <si>
    <t>255518-56T</t>
  </si>
  <si>
    <t>Quasar Asset Management</t>
  </si>
  <si>
    <t>Vbi Agro Fundo De Investimento Imobiliario invests in real estate storage structures for the agribusiness chain. The fund acquires and builds real estate in four segments namely, Grains and Fibers, Sugar and Alcohol, Industries, and Logistic operators.</t>
  </si>
  <si>
    <t>279528-85T</t>
  </si>
  <si>
    <t>Tecer</t>
  </si>
  <si>
    <t>Operator of an architecture firm intended for home renovation and decorations. The company is currently operating in Stealth Mode.</t>
  </si>
  <si>
    <t>255790-72T</t>
  </si>
  <si>
    <t>Arquiteto De Bolso</t>
  </si>
  <si>
    <t>Operator of an interior design platform intended to offer professional architecture and decoration consultancy. The company offers architectural and interior design consulting packages through its online platform for residential projects and corporate spaces, enabling customers to receive quality and efficient interior architecture services within a stipulated time.</t>
  </si>
  <si>
    <t>Headline(Romero Rodrigues)</t>
  </si>
  <si>
    <t>250694-92T</t>
  </si>
  <si>
    <t>Pecsmart</t>
  </si>
  <si>
    <t>Manufacturer of information management and precision livestock devices intended to control animal production. The company provides a variety of products that help to reduce costs associated with feed consumption, optimize logistics, and provide focused treatments, enabling farmers to accelerate or slow down production depending on opportunities.</t>
  </si>
  <si>
    <t>271939-24T</t>
  </si>
  <si>
    <t>TMF Fertilizantes</t>
  </si>
  <si>
    <t>Manufacturer of fertilizers based in Pains, Brazil. The company offers fertilizers, soil quality enhancers and manures, thereby offering technology and innovations for soil fertility, to provide the best agricultural practices with the best cost-benefit and increased productivity.</t>
  </si>
  <si>
    <t>256077-73T</t>
  </si>
  <si>
    <t>FFC Serviços Financeiros</t>
  </si>
  <si>
    <t>Provider of financial and insurance services intended to serve entrepreneurs. The company offers insurance services, banking products, capitalization, and assistance, thereby helping clients manage their business finances and achieve greater profitability.</t>
  </si>
  <si>
    <t>273624-13T</t>
  </si>
  <si>
    <t>Latú Seguros</t>
  </si>
  <si>
    <t>Developer of an insurance platform intended to provide coverage to a community of professionals. The company offers insurance that addresses current and future cyber risks caused by increasingly organized hackers, and friction-free monitoring integrated into systems, it specializes in business insurance, emphasizing protection against corporate risks like lawsuits, fines, and cyber threats and offers products such as Cyber Insurance, Directors &amp; Officers Liability, Professional Responsibility, and General Liability, it provides advanced cybersecurity software to policyholders, enhancing digital security and reducing cyber risks, allowing businesses to focus on sustainable growth.</t>
  </si>
  <si>
    <t>Lloyd's Lab(Rosie Denée)</t>
  </si>
  <si>
    <t>Commercial/Professional Insurance</t>
  </si>
  <si>
    <t>256611-25T</t>
  </si>
  <si>
    <t>Number One (Brokerage)</t>
  </si>
  <si>
    <t>Provider of brokerage and consulting services intended for foreign exchange markets. The company provides solutions to demands related to foreign capital and ancillary obligations to clients.</t>
  </si>
  <si>
    <t>Confidence Corretora de Cambio</t>
  </si>
  <si>
    <t>255261-70T</t>
  </si>
  <si>
    <t>Investo</t>
  </si>
  <si>
    <t>Operator of an exchange-traded fund management platform designed to provide investors access to financial products for investing in international assets. The company's platform makes investors make investments abroad in a simple, safe, agile way and at an affordable cost, along with giving simple and accessible educational content to guide an investor in enhancing his wealth, enabling investors to get access to new investment opportunities.</t>
  </si>
  <si>
    <t>VanEck(Jan van Eck)</t>
  </si>
  <si>
    <t>256129-39T</t>
  </si>
  <si>
    <t>IZI</t>
  </si>
  <si>
    <t>Developer of a retail management software designed to provide commercial and supermarket management services. The company engages to develop an application for the management and anticipation of receivables by streamlining their decisions and spreading a data-driven culture, enabling clients to deliver retail indicators in several panels aimed at essential business information.</t>
  </si>
  <si>
    <t>DOMO.VC</t>
  </si>
  <si>
    <t>255419-74T</t>
  </si>
  <si>
    <t>PrintWayy</t>
  </si>
  <si>
    <t>Developer of technology software intended to monitor printer parks. The company offers automated monitoring and management of printer fleets, including supply management, alert monitoring, and integration with ERP systems which specializes in management and monitoring solutions for print outsourcing services to increase productivity through optimization metrics.</t>
  </si>
  <si>
    <t>NDD Tech(Valmir Tortelli)</t>
  </si>
  <si>
    <t>277209-73T</t>
  </si>
  <si>
    <t>Apura</t>
  </si>
  <si>
    <t>Provider of cybersecurity services intended to implement security know-how of the complex projects for information protection. The company provides a range of services including threat detection and response, situational awareness, computer forensics, and security diagnostics, enabling customers to know the threats, reduce the impact and remove the vulnerabilities that affect their business.</t>
  </si>
  <si>
    <t>250265-53T</t>
  </si>
  <si>
    <t>Clara (Financial Software)</t>
  </si>
  <si>
    <t>Developer of a spend management software designed to simplify and automate corporate expense management. The company offers a suite of financial tools, including corporate cards, bill pay, a financing system, and a spend management platform, enabling businesses to streamline expense reporting, gain real-time insights into spending, and control budgets more effectively.</t>
  </si>
  <si>
    <t>Aito Capital, Endeavor Catalyst, Evolution, Finaccess Capital, Gaingels, Liquid 2 Ventures, Mana Ventures, Mark Jacobstein(Mark Jacobstein), Notable Capital(Hans Tung), Nyca Partners, Sebastián Galnares(Sebastián Galnares)</t>
  </si>
  <si>
    <t>244532-17T</t>
  </si>
  <si>
    <t>Integração Transmissora de Energia</t>
  </si>
  <si>
    <t>Developer of electrical transmission facilities based in Rio de Janeiro, Brazil. The company's activities include management, implementation and maintenance of transmission facilities utilized for the purpose of generating and supplying of electricity, enabling consumers to avail smooth supply of electricity.</t>
  </si>
  <si>
    <t>Caisse de dépôt et placement du Québec(Emmanuel Jaclot)</t>
  </si>
  <si>
    <t>277447-60T</t>
  </si>
  <si>
    <t>KYMO</t>
  </si>
  <si>
    <t>Developer of an IT service platform designed to enhance data resilience, collaboration, and resource flexibility. The company offers backup management services, collaborative IT monitoring tools, and on-demand access to skilled IT professionals, enabling businesses to ensure compliance, streamline incident management, and address resource gaps effectively.</t>
  </si>
  <si>
    <t>277208-20T</t>
  </si>
  <si>
    <t>Luby</t>
  </si>
  <si>
    <t>Provider of end-to-end IT services intended to help organizations transform digitally. The company serves startups, corporations, and traditional businesses to scale their ability to design and launch high-impact, scalable digital products, enabling businesses to efficiently implement the design, development, and integration of complex technologies and earn returns.</t>
  </si>
  <si>
    <t>255300-94T</t>
  </si>
  <si>
    <t>RB Capital</t>
  </si>
  <si>
    <t>Rb Capital Tfo Situs Fundo Investimento Imobiliario FII, formerly RB Capital Investimentos Ltda is engaged in developing solutions in the capital markets through alternative investments. These alternative investment securities include debentures, incentivized infrastructure debentures, real estate backed securities, agribusiness backed securities, and receivables funds amongst others. It is also engaged in the Asset Management Business.</t>
  </si>
  <si>
    <t>277212-61T</t>
  </si>
  <si>
    <t>Woof</t>
  </si>
  <si>
    <t>Developer of pet identification and data management application intended to enhance canine wellness and play experiences. The company's platform provides a range of durable toys and nutritious treat refills designed for various canine needs and consolidates pet data from various industries, enabling pet owners to improve their pets' quality of life while simplifying care routines, ultimately fostering a healthier and more engaging environment for dogs.</t>
  </si>
  <si>
    <t>279941-50T</t>
  </si>
  <si>
    <t>BW Commerce</t>
  </si>
  <si>
    <t>Developer of a cloud-based e-commerce platform designed for businesses to create fully customizable online stores. The company's platform offers an easy-to-use interface with drag-and-drop functionality, supports various product types including physical, digital, and subscription-based items, and integrates with multiple payment gateways for secure transactions, enabling businesses in the fashion and accessories industry to effectively manage and grow their online presence.</t>
  </si>
  <si>
    <t>Magazord - Digital Commerce</t>
  </si>
  <si>
    <t>284968-90T</t>
  </si>
  <si>
    <t>TRIA Energia</t>
  </si>
  <si>
    <t>Provider of a free energy marketplace intended to serve across Sao Paulo, Brazil. The company's platform provides consumer solutions and Generator/Trading solutions, thereby helping customers to reduce their company's energy bill safely.</t>
  </si>
  <si>
    <t>Patria Investments (NAS: PAX)(Frederico Sarmento)</t>
  </si>
  <si>
    <t>254784-16T</t>
  </si>
  <si>
    <t>Buson</t>
  </si>
  <si>
    <t>Developer of a ticket booking platform designed to connect travelers and bus operators. The company's application allows users to search bus schedules, routes, and prices and facilitates quick and guaranteed bookings, enabling customers to get bus travel with desired convenience and security.</t>
  </si>
  <si>
    <t>Busbud(Louis-Philippe Maurice)</t>
  </si>
  <si>
    <t>254941-84T</t>
  </si>
  <si>
    <t>Embeddo</t>
  </si>
  <si>
    <t>Developer of advanced industrial internet of Things technologies designed to offer digital transformation in the automotive, mobility, and logistics industries. The company develops smart sensors, intelligent embedded systems and advanced data analytics using artificial intelligence to create a complete system, enabling clients to get quality services.</t>
  </si>
  <si>
    <t>Oxygea(Vitor Moreira)</t>
  </si>
  <si>
    <t>254844-73T</t>
  </si>
  <si>
    <t>growPack</t>
  </si>
  <si>
    <t>Developer of compostable biomaterials designed for sustainable packaging. The company's technology utilizes lignin and cellulose, aiming to create a circular flow of materials and reduce dependence on traditional plastics, enabling businesses to offer eco-friendly packaging without sacrificing functionality, aesthetics, or costs.</t>
  </si>
  <si>
    <t>DRACO CAPITAL, Irani Ventures, Oxygea(Vitor Moreira)</t>
  </si>
  <si>
    <t>Other Containers and Packaging</t>
  </si>
  <si>
    <t>256728-88T</t>
  </si>
  <si>
    <t>Nexinvoice</t>
  </si>
  <si>
    <t>Developer of a digital platform intended to optimize all B2B payment flows. The company offers it services and it consulting and specializes in processes of invoice collection, processing, receipt control, back office, and integration with ERP systems guaranteeing full visibility of all financial management relating to the accounts payable sector, a fundamental process for analyzing the growth of any business.</t>
  </si>
  <si>
    <t>Asaas(Piero Contezini)</t>
  </si>
  <si>
    <t>255419-29T</t>
  </si>
  <si>
    <t>Emana Supplements</t>
  </si>
  <si>
    <t>Producer of healthy products catering to athletes. The company offers a diverse range of products including proteins, bars, gums, collagen and carbohydrate gels.</t>
  </si>
  <si>
    <t>Piracanjuba(Luiz Lorenz)</t>
  </si>
  <si>
    <t>250169-05T</t>
  </si>
  <si>
    <t>Inspira Rede de Educadores</t>
  </si>
  <si>
    <t>Provider of a network of learning centers intended to promote the protagonism of young people in schools. The company operates and manages learning centers and focuses on treating teaching broadly and preserving the identity of each student and institution, thereby improving education with the help of technology for adaptive learning and socio-emotional skills.</t>
  </si>
  <si>
    <t>Advent International, CPP Investments</t>
  </si>
  <si>
    <t>254706-04T</t>
  </si>
  <si>
    <t>Nemu (Business/Productivity Software)</t>
  </si>
  <si>
    <t>Developer of an advertisement tracking platform designed for brands to improve ad targeting accuracy. The company's platform features a dashboard that offers a view of the results of acquisition channels and technology, which collects data from each user interaction on the client's website, enabling brands to improve the efficiency and effectiveness of their advertising campaigns.</t>
  </si>
  <si>
    <t>André Siqueira(André Siqueira), Diego Libanio(Diego Libanio), Guilherme Bonifácio(Guilherme Bonifácio), Out of the Box Ventures, Raoni Lapagesse(Raoni Lapagesse)</t>
  </si>
  <si>
    <t>256571-02T</t>
  </si>
  <si>
    <t>Itajuí Gestão de Patrimônio</t>
  </si>
  <si>
    <t>Provider of wealth management services intended for the sports industry. The company specializes in managing, protecting and expanding the assets of high-performance athletes, entrepreneurs and artists, estate or succession planning and operational cash flow management, thereby allowing customers to protect their assets and grow their capital safely.</t>
  </si>
  <si>
    <t>Portofino Multi Family Office(Carolina Giovanella)</t>
  </si>
  <si>
    <t>254439-10T</t>
  </si>
  <si>
    <t>Brazil Airport Restaurants</t>
  </si>
  <si>
    <t>Operator of restaurants at major airports across Brazil. The company manages restaurants.</t>
  </si>
  <si>
    <t>254440-72T</t>
  </si>
  <si>
    <t>Eataly</t>
  </si>
  <si>
    <t>Provider of Italian food, groceries and dining experiences by bringing together Italian food under the same roof based in São Paulo, Brazil. The company operates an online marketplace with offerings in fresh produce, groceries, drinks, home products and cooking books, in addition to operating seven sit-down restaurants and a culinary school, enabling Latin American consumers to experience Italian culture.</t>
  </si>
  <si>
    <t>270649-81T</t>
  </si>
  <si>
    <t>Grupo Pao de Acucar (BVMF: PCAR3)</t>
  </si>
  <si>
    <t>Companhia Brasileira De Distribuicao is engaged in the retail of food and other products through its chain of supermarkets and specialized stores.</t>
  </si>
  <si>
    <t>258514-93T</t>
  </si>
  <si>
    <t>Global Innovation Lab for Climate Finance</t>
  </si>
  <si>
    <t>254590-93T</t>
  </si>
  <si>
    <t>Protega (Systems and Information Management)</t>
  </si>
  <si>
    <t>Provider of information security services intended to serve clients from different sectors throughout the national territory and abroad. The company specializes in managed cybersecurity services, governance solutions, risk management, IT strategy and governance, compliance management consulting and incident monitoring.</t>
  </si>
  <si>
    <t>Informática y Tecnología Stefanini(Bruno Caloi)</t>
  </si>
  <si>
    <t>256116-07T</t>
  </si>
  <si>
    <t>Via Rovigo Industria, Comercio E Distribuicao De Produtos Alimenticios</t>
  </si>
  <si>
    <t>Producer of food products based in Sao Paulo, Brazil. The company specializes in homemade recipes such as the traditional and very Brazilian feijoada and the irresistible broths and risottos.</t>
  </si>
  <si>
    <t>256806-46T</t>
  </si>
  <si>
    <t>VOLGA Energia</t>
  </si>
  <si>
    <t>Operator of energy projects based in Curitiba, Brazil. The company offers wind and solar energy production and also invests in sustainable energy projects and publisher of clean energy materials.</t>
  </si>
  <si>
    <t>Esfera Energia(Guilherme Esperidião)</t>
  </si>
  <si>
    <t>244437-13T</t>
  </si>
  <si>
    <t>Comuniverse</t>
  </si>
  <si>
    <t>Operator of an educational platform intended to optimize English learning. The company offers personalized courses in live classes through AI and machine learning, enabling teachers, students, and organizations to improve their language skills and create opportunities.</t>
  </si>
  <si>
    <t>288306-28T</t>
  </si>
  <si>
    <t>IBBX</t>
  </si>
  <si>
    <t>Developer of a wireless energy technology designed to power a wide range of electronic devices wirelessly. The company's technology provides electrical energy from electromagnetic waves and can charge fixed and mobile devices, such as security cameras, smartphones, remote controls, and Internet of Things devices, enabling businesses and individuals to get new ways of charging electronic devices.</t>
  </si>
  <si>
    <t>Financiadora de Estudos e Projetos</t>
  </si>
  <si>
    <t>244351-18T</t>
  </si>
  <si>
    <t>Intreguei</t>
  </si>
  <si>
    <t>Developer of a logistics management platform designed to connect small business carriers with e-commerce and marketplaces. The company's platform facilitates a mobile application for drivers to receive their route and scan orders, as well as a web application with full integration with e-commerce and marketplace systems, enabling small businesses and marketplaces to have streamlined logistics management.</t>
  </si>
  <si>
    <t>André Shinohara(André Shinohara), Bossa Invest, DOMO.VC, Flavio Dias(Flavio Dias), Joao Costa(Joao Costa)</t>
  </si>
  <si>
    <t>292490-83T</t>
  </si>
  <si>
    <t>254340-64T</t>
  </si>
  <si>
    <t>Turn2C</t>
  </si>
  <si>
    <t>Operator of a fintech platform intended to help sales partners find the best consortium product for their customers. The company's platform utilizes artificial intelligence and statistical models to analyze the best consortium operation, considering what the customer wants to buy, how much they can pay, and when they want to buy, enabling customers to make informed decisions with more options to leverage their goals.</t>
  </si>
  <si>
    <t>255423-97T</t>
  </si>
  <si>
    <t>Croma -Pharma Produtos Medicos</t>
  </si>
  <si>
    <t>Manufacturer and provider of skincare products and aesthetic procedures designed for personal and professional use. The company's product line includes a hydrating facial mask, a calming mask, and a facial serum, thereby enabling customers with formulated noninvasive and gentle on skin treatments.</t>
  </si>
  <si>
    <t>MegaLabs (Pharmaceuticals)(Gianclaudio Broggi)</t>
  </si>
  <si>
    <t>254259-82T</t>
  </si>
  <si>
    <t>Visio.ai</t>
  </si>
  <si>
    <t>Developer of an AI powered retail manager designed to help improve store operations, driving scalability and profitability. The company's platform uses computer vision and machine learning to create a co-pilot for retail operations, enabling business owners and managers to get assistance with their day to day operations.</t>
  </si>
  <si>
    <t>Alexia Ventures, DGF Investimentos, ScaleUP Ventures</t>
  </si>
  <si>
    <t>254239-66T</t>
  </si>
  <si>
    <t>Vitagema</t>
  </si>
  <si>
    <t>Producer of chicken and quail eggs based in Parnamirim, Brazil. The company offers the production and sale of free-range eggs, white eggs, red eggs and quail eggs for its consumers in the northeast region.</t>
  </si>
  <si>
    <t>Granja Faria (BVMF: EGGY3)</t>
  </si>
  <si>
    <t>248972-95T</t>
  </si>
  <si>
    <t>Conta Simples</t>
  </si>
  <si>
    <t>Developer of digital bank accounts designed to make financial transactions agile and secure. The company's platform allows small and medium-sized companies to carry out everything from transfers, withdrawals, and payments while also offering digital accounts with multiple corporate cards and Internet banking facilities, enabling businesses to make financial transactions more organized and accessible from a mobile app or a computer.</t>
  </si>
  <si>
    <t>Base10 Partners(Thomas Nahigian), big_bets, Bossa Invest, Broadhaven Capital Partners, DOMO.VC, EXT Capital, FJ Labs, JAM Fund, Valor Capital Group, Y Combinator</t>
  </si>
  <si>
    <t>266843-08T</t>
  </si>
  <si>
    <t>Croct</t>
  </si>
  <si>
    <t>Developer of a personalization management system designed for digital marketing. The company's system identifies the customer using demographic, behavioral, geographic data, browsing interest, and purchase history, which decides the different stages of the customer lifecycle for increasing conversions, enabling clients to increase customer engagement, improve conversion rates, and drive revenue growth.</t>
  </si>
  <si>
    <t>Techstars(Malte Witt)</t>
  </si>
  <si>
    <t>257197-96T</t>
  </si>
  <si>
    <t>Cub</t>
  </si>
  <si>
    <t>Developer of a financial technology platform designed to automate receivables management. The company's platform offers tools to collect, receive, and have full control of the portfolio with analysis and efficient release of resources, enabling clients to improve financial predictability and optimize cash flow.</t>
  </si>
  <si>
    <t>Alexia Ventures, Endeavor Promessas</t>
  </si>
  <si>
    <t>254485-45T</t>
  </si>
  <si>
    <t>M4E Lithium</t>
  </si>
  <si>
    <t>Operator of a lithium mining company intended to serve the mining industry. The company specializes in the management, exploration, and development of the next generation of hard-rock lithium deposits and related assets.</t>
  </si>
  <si>
    <t>Lithium Royalty (TSE: LIRC), Waratah Capital Advisors</t>
  </si>
  <si>
    <t>256253-77T</t>
  </si>
  <si>
    <t>Techstars(Matt Kozlov)</t>
  </si>
  <si>
    <t>273778-84T</t>
  </si>
  <si>
    <t>ATIVA Soluções</t>
  </si>
  <si>
    <t>Developer of a web management technology designed to provide remote management from multi-device web browsers. The company offers M2M and IoT products for telemetry, telemanagement and automation, with Word Class applications, for the efficient acquisition of information in real-time, allowing quick decision-making, in order to avoid and reduce losses, enabling individuals to manage their devices and data from wherever they are.</t>
  </si>
  <si>
    <t>ClimAccelerator Black Sea</t>
  </si>
  <si>
    <t>260232-49T</t>
  </si>
  <si>
    <t>Infleet</t>
  </si>
  <si>
    <t>Developer of a fleet management platform designed to simplify and centralize fleet management information. The company's platform centralizes and organizes all routing, supply, maintenance and telemetry data in a custom control tower and makes operational control agile and simplified, enabling clients to save money and manage their fleet.</t>
  </si>
  <si>
    <t>BluStone, Canary (Brazil), CV Idexo, DOMO.VC, Fundo Anjo(Fundo Anjo), Indicator Capital, Totvs (BVMF: TOTS3)</t>
  </si>
  <si>
    <t>281956-06T</t>
  </si>
  <si>
    <t>Oasis Solar Jequitibá SPE</t>
  </si>
  <si>
    <t>Operator of a photovoltaic plant based in Jequitiba, Brazil.</t>
  </si>
  <si>
    <t>Cemig Sim</t>
  </si>
  <si>
    <t>253932-49T</t>
  </si>
  <si>
    <t>Trampay</t>
  </si>
  <si>
    <t>Provider of financial services intended to work as a benefits platform for the worker. The company's platform helps businesses to offer a concrete and plural benefit to their employees and provides greater savings and an increase in quality of life &amp; works with personalized services for both suppliers and partner companies and offers, through a virtual wallet, tools that make transactions easier and faster, enabling clients to improve their employee satisfaction and engagement.</t>
  </si>
  <si>
    <t>Potencia Ventures(Itali Pedroni Collini)</t>
  </si>
  <si>
    <t>253846-18T</t>
  </si>
  <si>
    <t>Baseworks</t>
  </si>
  <si>
    <t>Developer of an AI-powered platform designed to streamline marketing tasks. The company specializes in enhancing productivity through automated transcription, content creation, and analytics, enabling agencies and companies to save time, reduce costs, and personalize marketing strategies efficiently.</t>
  </si>
  <si>
    <t>Bruno Portnoi(Bruno Portnoi), DOMO.VC(Mario Letelier), Pedro Sant'Anna(Pedro Sant'Anna), Rodrigo Ricco(Rodrigo Ricco), Rodrigo Tognini(Rodrigo Tognini)</t>
  </si>
  <si>
    <t>246756-97T</t>
  </si>
  <si>
    <t>Amplifica Capital, Impacta VC</t>
  </si>
  <si>
    <t>260111-71T</t>
  </si>
  <si>
    <t>Sanctu</t>
  </si>
  <si>
    <t>Developer of a fintech platform designed to make small Amazonian farmers' dreams come true. The company's platform finances land upgradation at affordable rates, creating a virtuous cycle of prosperity through the sale of sustainable products and land regeneration to major corporate buyers, enabling farmers to maximize the efficiency of their lands with the digital management system and improve their income.</t>
  </si>
  <si>
    <t>Canary (Brazil), Collaborative Fund, Monashees</t>
  </si>
  <si>
    <t>258308-11T</t>
  </si>
  <si>
    <t>Signal Capital</t>
  </si>
  <si>
    <t>Provider of asset managing services catering to private markets. The company specializes in managing funds for other funds.</t>
  </si>
  <si>
    <t>BTG Pactual (BVMF: BPAC3)(Allan Hadid)</t>
  </si>
  <si>
    <t>277452-01T</t>
  </si>
  <si>
    <t>Di2win</t>
  </si>
  <si>
    <t>Developer of a digital transformation system designed to transform interaction with the world from automation to digital twins. The company's platform leverages AI and computer vision to extract data from various documents, automate workflows, and create digital replicas of real-world systems, enabling clients to streamline operations, improve decision-making, and drive innovation across industries such as finance, education, and manufacturing.</t>
  </si>
  <si>
    <t>254169-19T</t>
  </si>
  <si>
    <t>Fermavi Eletroquímica</t>
  </si>
  <si>
    <t>Manufacturer of agricultural products catering to agricultural, water, livestock and industrial sectors. The company specializes in the production of manganese derivatives in agricultural livestock water treatment and mineral plant nutrition.</t>
  </si>
  <si>
    <t>AgroCP(Marcos Lucas)</t>
  </si>
  <si>
    <t>233091-82T</t>
  </si>
  <si>
    <t>Fit Energia</t>
  </si>
  <si>
    <t>Provider of renewable energy services based in Belo Horizonte, Brazil. The company specialized in managing plants and maximizing the results thereby providing help to those who also invest in renewable energy.</t>
  </si>
  <si>
    <t>Santander (Finance Sector)</t>
  </si>
  <si>
    <t>253673-83T</t>
  </si>
  <si>
    <t>Nextron Energia</t>
  </si>
  <si>
    <t>Developer of a clean-tech platform designed to simplify access to renewable energy. The company connects residential electricity consumption to renewable energy plants to facilitate access to clean energy through smart technology, creating simple and safe value-added products, enabling customers and clients to use clean and renewable energy and reduce electricity bills.</t>
  </si>
  <si>
    <t>Barn Investimentos, Endeavor Promessas, Valor Capital Group, Vox Capital(Rafael Campos)</t>
  </si>
  <si>
    <t>273023-83T</t>
  </si>
  <si>
    <t>Patagonia Capital Multiestrategia (BVMF: PATA11)</t>
  </si>
  <si>
    <t>Patagonia Capital Multiestrategia Fundo De Investimento Imobiliario is constituted in the form of a closed condominium.</t>
  </si>
  <si>
    <t>244441-00T</t>
  </si>
  <si>
    <t>solusolo</t>
  </si>
  <si>
    <t>Manufacturer of TMT Bar and Rebar intended to restore soil health. The company provides an organic product, ideal for sustainable planting using Japanese biotechnology that stimulates the growth of beneficial microorganisms, helping rural producers to increase profitability without harming the environment and society.</t>
  </si>
  <si>
    <t>Agro Ven, Cooxupé, Grupo de Investidores Biopark, Ubyfol, Ventiur</t>
  </si>
  <si>
    <t>254485-18T</t>
  </si>
  <si>
    <t>Colmeia</t>
  </si>
  <si>
    <t>Developer of a communication platform intended to create bots and organize both human and self-service in an integrated way. The company's platform provides communication services, and enhances the interaction process, enabling clients to deliver digital communication and generate results.</t>
  </si>
  <si>
    <t>253580-68T</t>
  </si>
  <si>
    <t>FinanZero</t>
  </si>
  <si>
    <t>Operator of an online loan marketplace intended to offer financial comparison and loan services to individuals and small businesses. The company's marketplace helps to compare loans, credit cards and other financial products from various banks and financial institutions and simplifies the process of finding and accessing financial services by providing a user-friendly platform and personalized support, enabling customers to avail of loans from credit institutions and banks in an easy manner.</t>
  </si>
  <si>
    <t>4Equity</t>
  </si>
  <si>
    <t>253594-36T</t>
  </si>
  <si>
    <t>Prestige Cosméticos</t>
  </si>
  <si>
    <t>Manufacturer of cosmetic products based in Rio De Janeiro, Brazil. The company specializes in cosmetics, fragrances, makeup and skincare products.</t>
  </si>
  <si>
    <t>Leste Group(Emmanuel Hermann)</t>
  </si>
  <si>
    <t>253595-35T</t>
  </si>
  <si>
    <t>Publicações Online</t>
  </si>
  <si>
    <t>Developer of legal routine management software designed for law offices, legal departments and attorneys. The company's platform offers features for capturing and managing summonses from the electronic systems of courts as well as supplying electronic judicial summons clippings, thereby helping its clients get continuous improvement in the management of legal work effectively.</t>
  </si>
  <si>
    <t>Dura Software(Paul Salisbury), Peterson Partners(Jordan Lusk)</t>
  </si>
  <si>
    <t>253603-36T</t>
  </si>
  <si>
    <t>Zapay</t>
  </si>
  <si>
    <t>Developer of a financial platform designed to revolutionize the payment experience in the automotive sector. The company's platform is an omnichannel distribution network that includes its own POS, e-commerce, agents, and strategic partners and allows vehicle owners to pay taxes, fees, and debts in an easy and fast way, enabling vehicle and fleet owners to manage their car finances from a single platform.</t>
  </si>
  <si>
    <t>Corpay (NYS: CPAY)(Humberto Menusier)</t>
  </si>
  <si>
    <t>253475-29T</t>
  </si>
  <si>
    <t>Naturanic</t>
  </si>
  <si>
    <t>Producer of organic snacks intended to inspire healthy habits for the mind, body and planet. The company offers freeze-dried fruits, chocolate-covered snacks and bars and chocolates that are made by utilizing natural and organic ingredients from the Brazilian biodiversity, enabling consumers to get healthy food alternatives that break the monotony of daily diets.</t>
  </si>
  <si>
    <t>258547-78T</t>
  </si>
  <si>
    <t>Papoom</t>
  </si>
  <si>
    <t>Developer of community-driven software designed to boost local economies and foster commerce in underserved areas. The company offers a connection between consumers and sellers in communities, facilitating transactions across various segments like food, products, services, and properties, enabling businesses to empower the target market and enhancing economic growth.</t>
  </si>
  <si>
    <t>Adyen (AMS: ADYEN)</t>
  </si>
  <si>
    <t>249295-87T</t>
  </si>
  <si>
    <t>umgrauemeio</t>
  </si>
  <si>
    <t>Operator of a climate tech company intended to make advancements in forest fire prevention and environmental protection. The company provides a centralized platform and a team of experts in various fields, including engineering, data science, forestry and law, to address environmental challenges, enabling clients to mitigate forest fires and minimize their environmental impact.</t>
  </si>
  <si>
    <t>Arar Capital, Baraúna Investimentos, Rural Ventures (Sao Paulo), SP Ventures, The Yield Lab, The Yield Lab Latam</t>
  </si>
  <si>
    <t>255714-58T</t>
  </si>
  <si>
    <t>Mutant</t>
  </si>
  <si>
    <t>Developer of a contact center technology software platform intended for the retail, finance, and telecom industries. The company's platform specializes in customer experience management for business-to-customer communication models, enabling clients to leverage digital transformations, design, and optimize customer service.</t>
  </si>
  <si>
    <t>Permira</t>
  </si>
  <si>
    <t>256478-41T</t>
  </si>
  <si>
    <t>Polipox Indústria e Comércio</t>
  </si>
  <si>
    <t>Manufacturer and distributor of epoxy resin, curing hardeners, polyurethanes and other polymers, based in intended to serve its clients in various sectors. The company offers polymers which are formulated to serve different market segments, such as: coatings for civil construction, structural adhesives, self-leveling floors and paints for industrial maintenance, electronics, labels and gifts, marble and granite, in addition to selling a wide range of auxiliary products for the chemical industry, all with a high level of quality and responsibility, offering the market compatible prices and long-lasting and reliable partnerships.</t>
  </si>
  <si>
    <t>Soprema Brazil(Sergio Guerra)</t>
  </si>
  <si>
    <t>253372-51T</t>
  </si>
  <si>
    <t>Analytics Teaching</t>
  </si>
  <si>
    <t>Operator of the education technology platform intended to provide personalized education to students. The company uses data analysis to offer tailored personalized courses from a platform that has classes recorded by specialized teachers, enabling educational institutions, companies, and governments to boost student learning.</t>
  </si>
  <si>
    <t>Iron Capital (Sao Paulo)</t>
  </si>
  <si>
    <t>254301-76T</t>
  </si>
  <si>
    <t>Brazil Tower Company</t>
  </si>
  <si>
    <t>Operator of wireless communications towers company intended to serve service providers, radio and television broadcast industry. The company specializes in building and developing transmission and communication infrastructure in Brazil and leases space in multi-user towers, enabling clients to get passive infrastructure and help speed the network deployment.</t>
  </si>
  <si>
    <t>Hammock Park Capital(David Neithardt)</t>
  </si>
  <si>
    <t>255615-40T</t>
  </si>
  <si>
    <t>Developer of a decentralized lending platform designed to optimize the monitoring of payments and collections The company's platform utilizes artificial intelligence and open finance technology to share financial data from different institutions through a single link, transform raw data into models of income, credit, and consumer profiles, and manage payments, enabling small and medium enterprises to accelerate the receipt of funds.</t>
  </si>
  <si>
    <t>Airborne Ventures, Andreessen Horowitz, Mercado Bitcoin Serviços Digitais</t>
  </si>
  <si>
    <t>274956-76T</t>
  </si>
  <si>
    <t>Foozi</t>
  </si>
  <si>
    <t>Operator of an online marketplace designed to offer home-cooked food. The company helps chefs to build their businesses by connecting directly with consumers, enabling chefs to offer quality food straight from the kitchen.</t>
  </si>
  <si>
    <t>Investortech Ventures</t>
  </si>
  <si>
    <t>235966-69T</t>
  </si>
  <si>
    <t>Grupo CRM</t>
  </si>
  <si>
    <t>Manufacturer of handcrafted chocolates based in Sao Paulo, Brazil. The company offers a wide range of products under its brands through franchisees spread all across the region.</t>
  </si>
  <si>
    <t>Nestlé (SWX: NESN)(Laurent Freixe)</t>
  </si>
  <si>
    <t>253865-26T</t>
  </si>
  <si>
    <t>Haoma (Food Products)</t>
  </si>
  <si>
    <t>Producer of healthy food items intended to offer naturally made sweets and chocolates. The company offers products that are made without added sugar and use fine cocoa that is available in a variety of flavors, providing consumers with healthy and alternate substitutes to traditional chocolates.</t>
  </si>
  <si>
    <t>Arar Capital, Baraúna Investimentos, Moriah Asset(Fabiano Zettel)</t>
  </si>
  <si>
    <t>291899-08T</t>
  </si>
  <si>
    <t>Hapy</t>
  </si>
  <si>
    <t>Operator of an event planning platform intended for creating and managing personalized celebration websites. The company offers event website customization, online RSVP tracking, gift registry integration, and guest communication features, enabling customers planning occasions such as birthdays, baby showers, and graduations to organize, share, and manage all event-related information in one centralized digital space.</t>
  </si>
  <si>
    <t>255122-11T</t>
  </si>
  <si>
    <t>Neofin (Sao Paulo)</t>
  </si>
  <si>
    <t>Developer of a B2B payments platform designed to optimize accounts receivable and billing processes. The company offers multiple payment methods, reduced transactional fees, automated and personalized billing, and real-time reconciliation, enabling finance teams to save time and make informed decisions for their business.</t>
  </si>
  <si>
    <t>17Sigma</t>
  </si>
  <si>
    <t>295712-29T</t>
  </si>
  <si>
    <t>Saphir</t>
  </si>
  <si>
    <t>Provider of cloud computing services intended to enhance productivity and optimize business processes. The company offers cloud solutions, including cloud servers, management, projects and consulting, backup, website hosting, and AWS-based services, enabling clients to streamline operations efficiently.</t>
  </si>
  <si>
    <t>4bdigital</t>
  </si>
  <si>
    <t>256019-68T</t>
  </si>
  <si>
    <t>Ada (Educational Software)</t>
  </si>
  <si>
    <t>Developer of an online coaching platform designed to teach programming languages. The company's platform offers coding training, learning, and assessment skills required for information technology (IT) language in an affordable and hassle-free manner, enabling businesses to give courses to their employees or train and direct new professionals for them.</t>
  </si>
  <si>
    <t>QMS Capital Management, Wayra Brazil</t>
  </si>
  <si>
    <t>253269-64T</t>
  </si>
  <si>
    <t>Analytica Ensino</t>
  </si>
  <si>
    <t>Developer of education support platform designed to transform the physical environment into the virtual through technological advancement. The company's platform offers detailed performance metrics, real-time tracking, and personalized teaching tools for basic education, elementary education, final years, and high school through daily tests and video content, enabling educational institutions to improve learning by monitor and supporting student progress.</t>
  </si>
  <si>
    <t>Iron Capital (Sao Paulo)(Bruno Guedes)</t>
  </si>
  <si>
    <t>253263-16T</t>
  </si>
  <si>
    <t>Clube Atlético Sorocaba</t>
  </si>
  <si>
    <t>Operator of a football club based in Sorocaba, Brazil. The company offers a training center along with infrastructure and medical support sports academy for players.</t>
  </si>
  <si>
    <t>Korea Investment Group(Moon Kyo-joo)</t>
  </si>
  <si>
    <t>246604-78T</t>
  </si>
  <si>
    <t>Contbank</t>
  </si>
  <si>
    <t>Developer of credit and financial software designed for accountants from across the country. The company's platform specializes in business accounts, NFC-enabled payment cards for online and offline purchases, bill payments, and money transfers, and also provides digital treasury and cash management insights on credit score improvement, enabling businesses to capitalize on existing relationships, generating revenue by serving their accounting firm's current clients.</t>
  </si>
  <si>
    <t>262946-44T</t>
  </si>
  <si>
    <t>Eat Clean</t>
  </si>
  <si>
    <t>Producer of plant-based nutritional products based in Sao Paula, Brazil. The company offers protein powders, amino acids, vitamins, minerals, and various performance-enhancing supplements designed to support physical and mental well-being.</t>
  </si>
  <si>
    <t>DUX Nutrition</t>
  </si>
  <si>
    <t>253352-08T</t>
  </si>
  <si>
    <t>GigU</t>
  </si>
  <si>
    <t>Developer of a community application designed for gig workers and independent contractors. The company's application offers access to discounts and benefits, equipped bases and courses, and tips for drivers, enabling professional driving community to improve operational efficiency and productivity.</t>
  </si>
  <si>
    <t>Ace Ventures, Raio Capital, Redpoint eventures(Romero Rodrigues)</t>
  </si>
  <si>
    <t>255385-63T</t>
  </si>
  <si>
    <t>Agente Imóvel</t>
  </si>
  <si>
    <t>Developer of a real estate portal designed to bring transparency to the Brazilian real estate market. The company's platform connects buyers, sellers, and brokers by offering market information, trends, statistics, and real estate evaluation online and free of charge, enabling buyers and owners to get professional assistance in their real estate transactions.</t>
  </si>
  <si>
    <t>Propdo Brasil</t>
  </si>
  <si>
    <t>253163-98T</t>
  </si>
  <si>
    <t>Mundo Abacus</t>
  </si>
  <si>
    <t>Operator of an educational platform intended to provide learning through gamified educational content. The company's platform allows students to learn bilingual Technology skills, while having fun with an immersive game and at the end earn gift cards as a reward for progress, enabling children to engage in learning important subjects, as well as monitoring progress in less time.</t>
  </si>
  <si>
    <t>Mooney Educação Financeira, Consultoria E Serviços De Tecnologia(Fernando Machado)</t>
  </si>
  <si>
    <t>253169-29T</t>
  </si>
  <si>
    <t>Skala Cosmetics</t>
  </si>
  <si>
    <t>Manufacturer of a cosmetic products based in Uberaba, Brazil. The company offers a wide range of products including hair, shampoo, conditioner, hair products, beard products, deodorant and moisturizers to its clients.</t>
  </si>
  <si>
    <t>Advent International(Rafael Patury)</t>
  </si>
  <si>
    <t>255176-83T</t>
  </si>
  <si>
    <t>Anhambi Animal Nutrition (Animal Production Factory in Pato Branco, Brazil)</t>
  </si>
  <si>
    <t>Producer of animal food products based in Pato Branco, Brazil.</t>
  </si>
  <si>
    <t>Cargill(Celso Mello)</t>
  </si>
  <si>
    <t>253095-13T</t>
  </si>
  <si>
    <t>Neowrk</t>
  </si>
  <si>
    <t>Developer of a workplace management platform designed for managing employee journeys in the various workspaces of corporate offices. The company's platform combines advanced hardware, software and artificial intelligence to provide real information by identifying behaviors and the purpose of the space, bringing visibility to the organization, promoting agility and intelligence in operations, enabling corporate managers to optimize investment and increase speed of action and data security by keeping people as the main beneficiary.</t>
  </si>
  <si>
    <t>Daniel Cherman(Daniel Cherman), Indicator Capital(Fabio Iunis de Paula)</t>
  </si>
  <si>
    <t>252765-73T</t>
  </si>
  <si>
    <t>Will Bank</t>
  </si>
  <si>
    <t>Provider of digital banking services based in Sao Paulo, Brazil. The company offers virtual cards, digital accounts, debit cards, credit cards, and checking account services including bank transfers, payments, and withdrawals, enabling users to get a safe, user-friendly, and reliable service for their banking needs.</t>
  </si>
  <si>
    <t>252982-27T</t>
  </si>
  <si>
    <t>Housi</t>
  </si>
  <si>
    <t>Provider of an online housing marketplace intended to provide on-demand rental housing. The company's platform digitally manages apartments and houses available for rental without the need for a broker or guarantor, enabling users to eliminate the bureaucracy involved in renting and managing a property by the investor, thereby facilitating house searching.</t>
  </si>
  <si>
    <t>ArcelorMittal (AMS: MT), Açolab Ventures, Redpoint eventures(Romero Rodrigues), TM3 Capital</t>
  </si>
  <si>
    <t>277230-34T</t>
  </si>
  <si>
    <t>Nobis (Business/Productivity Software)</t>
  </si>
  <si>
    <t>Developer of an environmental, social, and governance platform designed for monitoring socio-environmental impact with a digital presence. The company's platform specializes in offering environmental, social, and governance communication, branding, and monitoring, along with materiality seal and hands-on services, enabling businesses, governments, and third-sector organizations to generate wealth by taking care of people and the planet.</t>
  </si>
  <si>
    <t>253157-32T</t>
  </si>
  <si>
    <t>Zazuu (Other Services)</t>
  </si>
  <si>
    <t>Developer a health and wellness platform intended to provide well-being to pets, through unique and convenient experiences. The platform provides pet's essential care routine, consultation, vaccines, and preventive care routine, providing owners with healthy, hygienic, and well-being services for their pets</t>
  </si>
  <si>
    <t>252806-05T</t>
  </si>
  <si>
    <t>AFZ Remit Pagamentos</t>
  </si>
  <si>
    <t>Provider of credit card administration and information technology services based in Sao Paulo, Brazil. The company offers technical support and maintenance services.</t>
  </si>
  <si>
    <t>Transfast</t>
  </si>
  <si>
    <t>253165-42T</t>
  </si>
  <si>
    <t>Cyrela Desenvolvimento (BVMF: CYLD11)</t>
  </si>
  <si>
    <t>Cyrela Desenvolvimento Logistico Fundo De Investimento Imobiliario is a fund that operates in the field of logistics that seek high rates of return on each development investment.</t>
  </si>
  <si>
    <t>256358-35T</t>
  </si>
  <si>
    <t>Hedge Brasil Log Industrial Fund (BVMF: HGBL11)</t>
  </si>
  <si>
    <t>Hedge Brasil Log Industrial Fund De Invest Imobiliario De Respon Ltd is a fund aims to invest in logistics-industrial properties.</t>
  </si>
  <si>
    <t>270526-78T</t>
  </si>
  <si>
    <t>Irapuru II Energia</t>
  </si>
  <si>
    <t>Provider of energy services based in Sao Paulo, Brazil.</t>
  </si>
  <si>
    <t>Minerva Foods (BVMF: BEEF3)</t>
  </si>
  <si>
    <t>256561-21T</t>
  </si>
  <si>
    <t>Lend (Sao Paulo)</t>
  </si>
  <si>
    <t>Developer of a credit management platform designed to enhance credit analysis and streamline sales processes. The company offers tools for accessing complete data and automating transactions for credit analysis, loan issuance, and collection, enabling businesses to reduce risks and improve revenue protection.</t>
  </si>
  <si>
    <t>FJ Labs, KFund, Wayra Brazil</t>
  </si>
  <si>
    <t>252805-96T</t>
  </si>
  <si>
    <t>Skyone</t>
  </si>
  <si>
    <t>Developer of a technological management platform designed to simplify the migration of systems. The company's platform offers tools for cloud computing, data, and cybersecurity, and also facilitates the use and migration of enterprise resource planning systems for the cloud, enabling information technology companies to streamline daily operations and enhance productivity.</t>
  </si>
  <si>
    <t>Airborne Ventures, Bewater, Bradesco Asset Management</t>
  </si>
  <si>
    <t>256853-26T</t>
  </si>
  <si>
    <t>SQM Vitas Brasil</t>
  </si>
  <si>
    <t>Manufacturer of industrial chemicals based in Candeias, Brazil. The company's products include dripsol micro boron, dripsol SOP K+, dripsol KCL Standard and purified dripsol MAP, thereby enabling customers with enhanced plant nutrition chemical products.</t>
  </si>
  <si>
    <t>Roullier Group</t>
  </si>
  <si>
    <t>251127-19T</t>
  </si>
  <si>
    <t>Traive</t>
  </si>
  <si>
    <t>Developer of a finance platform intended to connect the entire agricultural chain to the capital market. The company's platform uses big data and artificial intelligence to bring clearer, real-time analysis to producers, distributors, and investors by looking beyond credit scores and considering factors such as agronomic performance, market risks, and behavioral risks, providing lenders with protection, and producers with savings and less bureaucracy.</t>
  </si>
  <si>
    <t>Astella Investimentos(Laura Constantini), Banco do Brasil (BVMF: BBAS3)(Rodrigo Vasconcelos), BASF Venture Capital, Bossa Invest, FMC Ventures, SP Ventures(Ariadne Caballero), Spectra Investments, SV Pacific Ventures, Torq (Brazil)</t>
  </si>
  <si>
    <t>292571-65T</t>
  </si>
  <si>
    <t>Green Bonds Brasil</t>
  </si>
  <si>
    <t>Provider of carbon fintech services intended to support sustainable finance and credit origination. The company specializes in blockchain-based asset custody, geoprocessing for emission tracking, and credit origination for carbon and plastic waste, enabling agribusinesses, industries, and public institutions to monetize environmental assets and finance low-carbon projects through verifiable, long-term mechanisms.</t>
  </si>
  <si>
    <t>256078-81T</t>
  </si>
  <si>
    <t>Bossa Invest, FEA Angels</t>
  </si>
  <si>
    <t>252750-07T</t>
  </si>
  <si>
    <t>Maminfo</t>
  </si>
  <si>
    <t>Provider of telecom and IT maintenance services based in Campinas, São Paulo. The company specializes in networking, technical support, wi-fi implementation, logistics storage and cyber security, enabling businesses to access networks and maintain them.</t>
  </si>
  <si>
    <t>3i Group (LON: III)(Remi Carnimolla), Evernex(Rennan Serrano)</t>
  </si>
  <si>
    <t>270094-42T</t>
  </si>
  <si>
    <t>Dinda Foods</t>
  </si>
  <si>
    <t>Manufacturer and supplier of food products catering to Africa, the Middle East and South America. The company offers a wide range of products including proteins, fruits, vegetables, pasta, cookies, grains and flour.</t>
  </si>
  <si>
    <t>Timbro(Bruno Russo)</t>
  </si>
  <si>
    <t>252452-62T</t>
  </si>
  <si>
    <t>Agro Ven, CNH Industrial (NYS: CNH)(Rafael Miotto), MMAgro, Rural Ventures (Sao Paulo)(Fernando Rodrigues)</t>
  </si>
  <si>
    <t>245375-47T</t>
  </si>
  <si>
    <t>EDP Transmissão SP-MG</t>
  </si>
  <si>
    <t>Operator of an electric power transmission, control, and distribution company based in Sao Paulo, Brazil.</t>
  </si>
  <si>
    <t>252528-49T</t>
  </si>
  <si>
    <t>Playcenter</t>
  </si>
  <si>
    <t>Operator of an entertainment park intended for families can have fun together in Sao Paulo. The park offers incredible attractions, thrilling games, party halls, a theater, a cafeteria, and more, enabling customers to have their leisure time.</t>
  </si>
  <si>
    <t>Cacau Comercio Eletronico(Alê Costa)</t>
  </si>
  <si>
    <t>258776-38T</t>
  </si>
  <si>
    <t>Zamp (Brazil) (BVMF: ZAMP3)</t>
  </si>
  <si>
    <t>Zamp SA operates restaurants. The company develops and administers restaurants under the brand Burger King which is located in Brazil. Its products consist of burgers, salads, soft drinks, desserts, and beverages, also it operates a brand Popeyes, a fried chicken restaurant chain, and a fast food brand. In addition, the company provides advisory and support services, as well as also trading, importing, and exporting its products and holding equity interests in other companies that develop the activities above in Brazil, as a partner or shareholder.</t>
  </si>
  <si>
    <t>Affinity Partners(Miami)(Jared Kushner)</t>
  </si>
  <si>
    <t>252737-20T</t>
  </si>
  <si>
    <t>88i Seguradora Digital</t>
  </si>
  <si>
    <t>Developer of digital insurance company intended to transform and democratize the insurance market. The company offers a wide range of services including mobile insurance, life protection, and a protected wallet focusing on customers and service providers of the mobility, delivery, fintech, and eCommerce ecosystems, enabling customers with quick and safe insurance coverage plans for their needs.</t>
  </si>
  <si>
    <t>Endeavor Promessas</t>
  </si>
  <si>
    <t>252734-59T</t>
  </si>
  <si>
    <t>Blipay</t>
  </si>
  <si>
    <t>Developer of a digital-native fintech platform designed to focus on microcredit and payments in Brazil. The company's platform specializes in making purchases at any establishment or website that accepts PIX and offers digital salary advances and other financial products, enabling customers with access to withdraw as per custom limit and rate and get the flexibility to pay on the next invoice.</t>
  </si>
  <si>
    <t>252741-52T</t>
  </si>
  <si>
    <t>Cargo Sapiens</t>
  </si>
  <si>
    <t>Developer of logistics software designed for the management of multimodal freight. The company's software is aimed at automating and managing commercialization and contracting processes for international logistics services such as air, sea, and multimodal freight, enabling companies to achieve high levels of productivity while saving time and money.</t>
  </si>
  <si>
    <t>252746-38T</t>
  </si>
  <si>
    <t>Cubos Academy</t>
  </si>
  <si>
    <t>Developer of an online education platform intended to provide technical courses. The company's platform offers courses on software development, product management, and user interface design to allow students to purchase services directly or join the shared success program, enabling students to learn various technology-related courses of interest.</t>
  </si>
  <si>
    <t>252717-49T</t>
  </si>
  <si>
    <t>Datanomik</t>
  </si>
  <si>
    <t>Developer of multi-bank cash management platform designed to eliminate time waste and improve efficiency. The company's platform offers secure access to financial data in real-time, through simple API integration, gives cash visibility, and allows developers to implement any APIs with few lines of code, enabling businesses to get their financial information faster, simpler, and more efficiently.</t>
  </si>
  <si>
    <t>252742-69T</t>
  </si>
  <si>
    <t>Deco</t>
  </si>
  <si>
    <t>Developer of digital experience platform intended to offer combined performance and personalization of sales. The company's platform is a front-end-as-a-service platform that is designed for business users and developers to create e-commerce experiences and its features include a built-in CMS, A/B testing, audience personalization, campaigns, and analytics, enabling businesses to increase revenue with performance-optimized storefronts, personalized experiences, and a conversion-driven approach.</t>
  </si>
  <si>
    <t>252755-47T</t>
  </si>
  <si>
    <t>Galena Educação</t>
  </si>
  <si>
    <t>Developer of a professional development platform designed to help companies in developing their workforce. The company offers a platform that connects employees with learning resources, manages educational incentives, and provides data insights for management teams, enabling businesses to enhance employee engagement, improve talent retention, and optimize investment in professional development programs for their workforce.</t>
  </si>
  <si>
    <t>252740-80T</t>
  </si>
  <si>
    <t>Homelend</t>
  </si>
  <si>
    <t>Operator of a real estate financing platform intended to facilitate property purchase. The company engages in assisting the entire process from buying the ideal home to hiring, documentation, waiting for the keys, and financing, enabling buyers to choose the house and location with more convenience, security, and agility without bureaucracy.</t>
  </si>
  <si>
    <t>252745-39T</t>
  </si>
  <si>
    <t>252432-19T</t>
  </si>
  <si>
    <t>Itau Credito Imobiliario (BVMF: ICRI11)</t>
  </si>
  <si>
    <t>Itau Credito Imobiliario Ipca Fundo De Investimento Imobiliario is a real estate investment fund which has exposure in different segments of the real estate sector, such as corporate buildings, logistics warehouses, residential developments and other sectors of expertise. It is a Listed fund focused on income distribution and share appreciation, through the evaluation and purchase of credit assets with attractive returns and good guarantee structures.</t>
  </si>
  <si>
    <t>252739-09T</t>
  </si>
  <si>
    <t>252737-65T</t>
  </si>
  <si>
    <t>Payface Instituição de Pagamento</t>
  </si>
  <si>
    <t>Developer of a financial software platform designed to make payments using facial recognition technology. The company's platform offers to choose a payment method and complete the transaction by visiting any partner establishment, enabling people to make transactions without touching the screen.</t>
  </si>
  <si>
    <t>252743-95T</t>
  </si>
  <si>
    <t>252743-68T</t>
  </si>
  <si>
    <t>Purple Metrics</t>
  </si>
  <si>
    <t>Developer of branding measurement software designed for marketing teams to visualize the results of the brand. The company engages in marketing management to track the brand's performance with data insights based on the responses, algorithms generate metrics on brand sentiment, declared behavior, and perceived attributes, enabling businesses to monitor results and make regular business and marketing action decisions.</t>
  </si>
  <si>
    <t>252738-46T</t>
  </si>
  <si>
    <t>Silverguard</t>
  </si>
  <si>
    <t>Developer of a digital fintech platform intended to protect individuals and valuable data. The company's platform offers cybersecurity and financial insurance technology and connects victims and guardians of the financial system, shortening the reporting journey, blocking scam accounts faster, reducing service costs, and increasing the efficiency of anti-fraud teams, enabling users and their families to use the internet from anywhere and carry out their digital transactions without worrying.</t>
  </si>
  <si>
    <t>252740-17T</t>
  </si>
  <si>
    <t>291989-53T</t>
  </si>
  <si>
    <t>Telite</t>
  </si>
  <si>
    <t>Manufacturer of sustainable tiles intended to transform waste materials into eco-friendly products. The company uses a reverse logistics program to produce good-quality tiles, chemical toilets and solar roofing solutions made from recycled materials, enabling environmentally conscious businesses, homes and industries to reduce waste and energy costs while promoting sustainability.</t>
  </si>
  <si>
    <t>252158-32T</t>
  </si>
  <si>
    <t>Milhão Ingredients</t>
  </si>
  <si>
    <t>Manufacturer and provider of corn-based products headquartered in Goiânia, Brazil. The company offers various kind of corn products which are GMO-free, providing clients quality corn and corn products.</t>
  </si>
  <si>
    <t>Agropecuaria Maggi(Judiney Carvalho)</t>
  </si>
  <si>
    <t>268002-46T</t>
  </si>
  <si>
    <t>Cryptum</t>
  </si>
  <si>
    <t>Operator of a web3 development platform designed to create applications or integrate the business. The company's decentralized technology designs science research, product discovery, product development, support, and scale to provide crypto-based products to bring decentralized finance to the mainstream and offers accessibility, infrastructure, and education for the development of the DeFi ecosystem, enabling clients to boost the web3 finance potential at scale.</t>
  </si>
  <si>
    <t>248919-94T</t>
  </si>
  <si>
    <t>Órigo Energia</t>
  </si>
  <si>
    <t>Operator of renewable energy farms intended for commercial, industrial, residential and remote purposes. The company designs, installs, commissions, operates and maintains photovoltaic systems as well as supplies renewable energy through its solar and biogas farms on a monthly subscription basis, thereby keeping the environment clean by offering renewable energy.</t>
  </si>
  <si>
    <t>I Squared Capital(Gautam Bhandari)</t>
  </si>
  <si>
    <t>252007-66T</t>
  </si>
  <si>
    <t>Multifidelidade</t>
  </si>
  <si>
    <t>Developer of marketing application designed to enable users to buy, pay, accumulate points, and exchange prizes. The company's application transforms payments into rewards and offers a loyalty program, electronic wallet, and e-commerce platform, enabling users to improve their shopping experience.</t>
  </si>
  <si>
    <t>TM3 Capital</t>
  </si>
  <si>
    <t>251676-10T</t>
  </si>
  <si>
    <t>4MDG</t>
  </si>
  <si>
    <t>Developer of master data governance software suite designed to offer management, sanitation, and enrichment of all types of records. The company's platform specializes in registry sanitation, data governance, data analysis, and integrated and customized solutions, providing businesses with access to real-time data, automated tasks, data integrity, reducing risks, and increasing operational efficiency in master data management.</t>
  </si>
  <si>
    <t>BR Angels, Darwin Startups</t>
  </si>
  <si>
    <t>256575-79T</t>
  </si>
  <si>
    <t>Desincha</t>
  </si>
  <si>
    <t>Manufacturer of tea and supplement products intended to transform people's lives in Brazil. The company offers a range of coffees, capsules, gummies, and collagen, and caters to health-conscious consumers, enabling customers to get a healthy lifestyle.</t>
  </si>
  <si>
    <t>285522-13T</t>
  </si>
  <si>
    <t>Pro Soccer (Business/Productivity Software)</t>
  </si>
  <si>
    <t>Operator of a sports management technology platform intended to manage and integrate soccer teams. The company's platform organizes, integrates, analyzes, and cross-references data, and translates algorithms into reports and graphs, allowing technical members to make decisions that build better results for the team.</t>
  </si>
  <si>
    <t>270715-96T</t>
  </si>
  <si>
    <t>Sociedade Anônima do Futebol</t>
  </si>
  <si>
    <t>Operator of a sports company based in Brazil. The company involves in the promotion and development of activities related to the practice of football, training of professional football athletes and other services.</t>
  </si>
  <si>
    <t>248882-14T</t>
  </si>
  <si>
    <t>Plano (Financial Services)</t>
  </si>
  <si>
    <t>Provider of financial educational services intended to help individuals become financially independent. The company offers services that allow users to schedule meetings with experts and provides training and education on how to plan, organize, and control money, whether to pay off debt, save, or invest, enabling customers to get financial awareness and online services in a personalized way.</t>
  </si>
  <si>
    <t>Anjos do Brasil, Bossa Nova, FEA Angels, Levain Capital, Poli Angels Group, Quintal Ventures, Sai do Papel, Valora Ventures, Westwood Capital (Brazil)</t>
  </si>
  <si>
    <t>251561-26T</t>
  </si>
  <si>
    <t>ProLog</t>
  </si>
  <si>
    <t>Developer of a fleet management software designed to optimize operations and reduce costs for transportation and logistics businesses. The company offers a suite of technologies like electronic checklists, tire management, and fuel management, enabling firms to streamline operations, reduce costs, and improve decision-making through its cloud-based software, leading to increased efficiency, profitability, and safety.</t>
  </si>
  <si>
    <t>Parceiro Ventures(Paul Anderson)</t>
  </si>
  <si>
    <t>256076-65T</t>
  </si>
  <si>
    <t>RevisaPrev</t>
  </si>
  <si>
    <t>Operator of a technology company intended to provide retirement review and pension planning services. The company offers services to recover the financial dignity of retirees and correct INSS errors, enabling clients to get the benefits of retirement plans.</t>
  </si>
  <si>
    <t>251767-99T</t>
  </si>
  <si>
    <t>Gazit Malls Fundo De (BVMF: GZIT11)</t>
  </si>
  <si>
    <t>Gazit Malls Fundo De Investimento Imobiliario operates as a real estate investment trust.</t>
  </si>
  <si>
    <t>251768-53T</t>
  </si>
  <si>
    <t>MBA Kids &amp; Teens</t>
  </si>
  <si>
    <t>Operator of a network of franchises in the education area focused on promoting a pedagogical approach that includes teaching entrepreneurship, financial education and youth leadership. The company offers developing an entrepreneurial mindset for children and teenagers and teaches constructive mindset and business education for children, thereby providing them the practical tools to translate their ideas into reality and enabling them to become agents of change and creators of a better world.</t>
  </si>
  <si>
    <t>Grupo MKR(Rafael Oliveira)</t>
  </si>
  <si>
    <t>251415-28T</t>
  </si>
  <si>
    <t>Proffer</t>
  </si>
  <si>
    <t>Developer of an automated platform designed to manage pricing and discount strategies for the pharmaceutical distribution and retail market. The company's platform leverages artificial intelligence and data science to automate price and discount management, offering real-time competitor data, personalized pricing suggestions based on margin and competitiveness strategies, and the ability to monitor market trends, enabling businesses to optimize pricing, increase profitability, and improve operational efficiency.</t>
  </si>
  <si>
    <t>Crescera Capital, Triaxis Capital</t>
  </si>
  <si>
    <t>235114-66T</t>
  </si>
  <si>
    <t>Banco Voiter</t>
  </si>
  <si>
    <t>Provider of commercial banking products and services intended for agribusiness investment. The company operates with commercial, investment and foreign exchange portfolios, and other transactions related to securities brokerage and distribution by focusing on credit products, domestic, and foreign currency, fixed-income products, and corporate finance for large and medium-sized companies.</t>
  </si>
  <si>
    <t>251357-41T</t>
  </si>
  <si>
    <t>256076-11T</t>
  </si>
  <si>
    <t>Celero</t>
  </si>
  <si>
    <t>Developer of a financial management platform designed to manage business finances. The company's platform specializes in financial automation, total financial control, automatic bank reconciliation, integration with business technologies, and the ability to transform photos of payment slips, invoices, and other financial documents into payments and reports, enabling clients and customers to adequately manage their finances and reduce time spent on financial management.</t>
  </si>
  <si>
    <t>Alfa Collab, Bossa Invest</t>
  </si>
  <si>
    <t>251689-42T</t>
  </si>
  <si>
    <t>Hedge Yees Habit Eco Fund (BVMF: YEES11)</t>
  </si>
  <si>
    <t>Hedge Yees Habit Eco Fundo De Invest Imobiliario De Responsabili Ltd is a fund whose objective is to develop real estate projects intended for popular housing programs.</t>
  </si>
  <si>
    <t>253142-92T</t>
  </si>
  <si>
    <t>Loovi</t>
  </si>
  <si>
    <t>Developer of insurtech platform designed to simplify access to vehicle insurance. The company's platform leverages telematics data, digital processes, and partnerships with authorized insurers to provide streamlined quotes, coverage customization, and convenient policy management, enabling customers to efficiently obtain and manage vehicle insurance.</t>
  </si>
  <si>
    <t>MARCAL HOLDING, Oliveira Participações</t>
  </si>
  <si>
    <t>251439-13T</t>
  </si>
  <si>
    <t>Picchioni Câmbio</t>
  </si>
  <si>
    <t>Provider of financial services intended to serve customers with foreign exchange and securities dealing. The company offers international currencies, prepaid cards, remittances and payments, foreign currencies and foreign exchange services.</t>
  </si>
  <si>
    <t>Webull (Financial Services Company) (NAS: BULL)(Anthony Denier)</t>
  </si>
  <si>
    <t>277899-49T</t>
  </si>
  <si>
    <t>Zenvia (NAS: ZENV)</t>
  </si>
  <si>
    <t>Zenvia Inc provides a platform that enables companies to create journeys for their end customers across a variety of channels. The company operates in two reportable segments namely CPaaS and SaaS. It has a geographic presence in Brazil, the USA, Argentina, Mexico, and Others. The company generates the majority of its revenue from Brazil.</t>
  </si>
  <si>
    <t>Bobsin</t>
  </si>
  <si>
    <t>250888-06T</t>
  </si>
  <si>
    <t>Grupo De Moda Soma</t>
  </si>
  <si>
    <t>Grupo De Moda Soma SA is a e-commerce company in the Brazilian fashion retail sector. The company's portfolio covers a wide variety of styles and occasions for women, men and children. It also sells fashion accessories including jewelry, bags, shoes, among others. Its brands include ANIMALE, FARM, FABULA, A. BRAND, FOXTON, CRIS BARROS, and OFF PREMIUM.</t>
  </si>
  <si>
    <t>Azzas 2154 (BVMF: AZZA3)</t>
  </si>
  <si>
    <t>251568-10T</t>
  </si>
  <si>
    <t>Paramis Hedge Fund Fundo (BVMF: PMIS11)</t>
  </si>
  <si>
    <t>Paramis Hedge Fund Fundo De Investimento Imobiliario - Fii operates as a real estate investment trust.</t>
  </si>
  <si>
    <t>250661-17T</t>
  </si>
  <si>
    <t>Astella Investimentos(Marcelo Sato), Endeavor Catalyst, Endeavor Global</t>
  </si>
  <si>
    <t>269943-85T</t>
  </si>
  <si>
    <t>FII Development V1 (BVMF: LKDV11)</t>
  </si>
  <si>
    <t>Fundo De Investimento Imobiliario Development V1 is a Real Estate Investment Company.</t>
  </si>
  <si>
    <t>251801-38T</t>
  </si>
  <si>
    <t>Somos (Other Financial Services)</t>
  </si>
  <si>
    <t>Operator of a collective claims management company catering to law firms. The company offers services to manage the proceedings, thereby helping clients to engage and assist throughout builds and develop and manage group action claims from inception through to conclusion.</t>
  </si>
  <si>
    <t>Mishcon de Reya(Hugo Plowman)</t>
  </si>
  <si>
    <t>274751-56T</t>
  </si>
  <si>
    <t>Atlético Clube Paranavaí</t>
  </si>
  <si>
    <t>Operator of a football club based in Paranavaí, Brazil.</t>
  </si>
  <si>
    <t>255703-15T</t>
  </si>
  <si>
    <t>CloQ</t>
  </si>
  <si>
    <t>Provider of financial lending services intended to provide financial inclusion to the low-income and unbanked entrepreneur population. The company provides finance based on a model that evaluates clients based on behavior and reliability, enabling lower-income business clients to get affordable and legal alternative nano-credit and reducing financial vulnerability.</t>
  </si>
  <si>
    <t>251697-25T</t>
  </si>
  <si>
    <t>Cogtive</t>
  </si>
  <si>
    <t>Developer of manufacturing execution system and operations management software designed to provide a global factory overview. The company's platform is IoT and AI-based, which collects data, processes it, and provides a clear digital view of the factory floor, enabling firms to reduce line stoppages, improve production rate, and make efficient use of labor.</t>
  </si>
  <si>
    <t>Indicator Capital(Thomas Bittar)</t>
  </si>
  <si>
    <t>251536-60T</t>
  </si>
  <si>
    <t>Energisa (BVMF: ENGI3)</t>
  </si>
  <si>
    <t>Energisa SA is a holding company. Energisa along with its subsidiaries is engaged in the production of energy from renewable sources and; the transmission and distribution of electricity. The company segments include Electricity Distribution, Hydraulic, solar and distributed generation, Electricity Transmission, Marketing, Gas distribution,and Holding company and Services. It generates maximum revenue from the Electricity Distribution segment.</t>
  </si>
  <si>
    <t>284354-92T</t>
  </si>
  <si>
    <t>Energy2Go</t>
  </si>
  <si>
    <t>Provider of mobile power bank products and services intended to solve the lack of battery problem that affects most smartphone users. The company offers self-service terminals where customers can rent a portable charger to recharge their cell phone without interrupting their journey and returning it to any other station through its mobile application, enabling customers to save time on mobile charging.</t>
  </si>
  <si>
    <t>Genesis Institute</t>
  </si>
  <si>
    <t>261033-58T</t>
  </si>
  <si>
    <t>FestaLab</t>
  </si>
  <si>
    <t>Developer of a party planning platform intended to help people make online invitations and host parties. The company's platform offers template creation, integrated video calling and attendance confirmation for occasions including children's parties, baptisms, weddings and baby showers, and it also provides a digital experience for buying and receiving gifts in Brazil, enabling users to personalise invitations simply and create the experience to buy and receive gifts.</t>
  </si>
  <si>
    <t>259923-52T</t>
  </si>
  <si>
    <t>Ideal CTVM</t>
  </si>
  <si>
    <t>Operator of a brokerage firm intended to provide innovative services in the financial intermediation market. The company's platform provides technologies for institutional investors and develops them to optimize their trading flows, it acts as an intermediary for acquiring securities listed on the stock exchange and also provides relevant market data for financial investors, enabling investors and traders to execute their investments and trades in a digitalized process with zero human intervention making them gain an efficient and inexpensive experience.</t>
  </si>
  <si>
    <t>IMC Trading</t>
  </si>
  <si>
    <t>272255-41T</t>
  </si>
  <si>
    <t>IMM (Brazil)</t>
  </si>
  <si>
    <t>Operator of a sports and entertainment company based in Rio de Janeiro, Brazil. The company specializes in the sale and management of hospitality programs with boxes and seats at events, arenas, and stadiums along with online ticket sale services to its customers.</t>
  </si>
  <si>
    <t>252003-16T</t>
  </si>
  <si>
    <t>Leadster</t>
  </si>
  <si>
    <t>Developer of a marketing platform designed to engage visitors with the website. The company's platform converts leads via dialogue-driven activities and customizes the approach for each visitor according to the origin of access, page visited and device, enabling businesses to offer an automatic interactive interface that optimizes conversions.</t>
  </si>
  <si>
    <t>Citrino Ventures, South Capital</t>
  </si>
  <si>
    <t>251371-18T</t>
  </si>
  <si>
    <t>Loyall Capital Partners</t>
  </si>
  <si>
    <t>Provider of independent investment services catering to service providers and investment managers. The company offers a range of services including wealth and asset management and other financial services.</t>
  </si>
  <si>
    <t>GHT4 Group</t>
  </si>
  <si>
    <t>246618-55T</t>
  </si>
  <si>
    <t>Marfood Comércio e Serviços de Hotelaria</t>
  </si>
  <si>
    <t>Operator of a maritime dining and hospitality company intended to serve industrial meals to companies located in Macaé-RJ. The company offers food, hospitality services, product sales and healthy eating programs.</t>
  </si>
  <si>
    <t>GPS Participacoes E Empreendimentos (BVMF: GGPS3)</t>
  </si>
  <si>
    <t>251007-04T</t>
  </si>
  <si>
    <t>Nas Nuvens Catalog</t>
  </si>
  <si>
    <t>Operator of a music distribution agency intended for the development, management, and acquisition of music catalogs. The company has a focus on legendary and iconic music and offers personalized care to renowned artists by leveraging technology and data intelligence, thereby empowering artists and composers, unlocking new revenue streams, and amplifying their music's reach.</t>
  </si>
  <si>
    <t>Brookfield Corporation (TSE: BN), Brookfield Oaktree Holdings(Bruce Karsh), Primary Wave Entertainment(William Cisneros)</t>
  </si>
  <si>
    <t>265740-85T</t>
  </si>
  <si>
    <t>NeoPTO</t>
  </si>
  <si>
    <t>Developer of an intelligent agent platform designed to enhance data-driven innovation in healthcare. The company offers advanced search algorithms, natural language processing, real-time notifications, visualized patent search results, personalized user profiles, collaboration tools, insights via machine learning, user training and support, and integration with industry data, enabling healthcare professionals and researchers to access, analyze, and collaborate on patent information to support innovation and informed decision-making.</t>
  </si>
  <si>
    <t>258241-15T</t>
  </si>
  <si>
    <t>Onstoq</t>
  </si>
  <si>
    <t>Developer of a procurement platform designed to streamline sourcing and supply chain management. The company's platform offers tax-compliant invoicing, complex procurement challenges that generic e-commerce can't handle inventory tracking, and real-time analytics to access industrial-grade supply chains, expediting project timelines and enhancing operational efficiency, enabling small and medium businesses and retail store owners to manage transactions, stock, and business performance efficiently.</t>
  </si>
  <si>
    <t>252151-48T</t>
  </si>
  <si>
    <t>PagFast</t>
  </si>
  <si>
    <t>Developer of payment processing solution catering to serve businesses within the financial sector. The company specializes in online payment processing, cloud processing, security and management of financial transactions, thereby enabling clients to get reliable transaction processing.</t>
  </si>
  <si>
    <t>PayBrokers(Edson Lenzi)</t>
  </si>
  <si>
    <t>251746-66T</t>
  </si>
  <si>
    <t>Quiver (Brazil)</t>
  </si>
  <si>
    <t>Developer of business productivity software catering to insurance companies, brokers and banks. The company's platform offers a wide range of solutions such as management, mutlicalculus, statistics, electronic signature, broking, business intelligence.</t>
  </si>
  <si>
    <t>Dimensa</t>
  </si>
  <si>
    <t>255751-12T</t>
  </si>
  <si>
    <t>Stac</t>
  </si>
  <si>
    <t>Developer of agriculture-based software intended to increase the productivity of farms. The company provides cost reduction through management, assertive decision-making, and efficient handling and processes, enabling poultry owners to have productive control and efficient decision-making remotely and in real-time.</t>
  </si>
  <si>
    <t>250971-76T</t>
  </si>
  <si>
    <t>Tenchi</t>
  </si>
  <si>
    <t>Developer of security management platform designed to connect companies and their value chains. The company reduces information asymmetry regarding information security and compliance risks in corporate ecosystems in a cooperative and scalable way, enabling clients to continuously monitor all relationships with technology suppliers in real-time, providing simplified decision-making.</t>
  </si>
  <si>
    <t>Accenture Ventures, Bank Bradesco (BVMF: BBDC3)(Rodrigo Ragazzi), Inovabra Ventures, L4 Venture Builder, Maya Capital (Brazil)</t>
  </si>
  <si>
    <t>262722-97T</t>
  </si>
  <si>
    <t>Weather Service</t>
  </si>
  <si>
    <t>Developer of a meteorological platform intended for the agricultural sector. The company's platform is based on databases and algorithms, offering weather and climate monitoring tools to reduce risks, increase productivity, work directly with climate data intelligence, and provide integrated and essential information for better decision-making in agricultural production, enabling farmers to enhance their agricultural production.</t>
  </si>
  <si>
    <t>WBGI</t>
  </si>
  <si>
    <t>255542-95T</t>
  </si>
  <si>
    <t>Adora Pet</t>
  </si>
  <si>
    <t>Provider of pet food services based out in Brazil.</t>
  </si>
  <si>
    <t>250838-92T</t>
  </si>
  <si>
    <t>UniDub Brasil</t>
  </si>
  <si>
    <t>Operator of a dubbing studio based in São Paulo, Brazil. The company offers Brazilian dubbing of movies, animations, documentaries, promos, trailers, previews, spots, television series, cinema, and other media formats, thereby delivering artistic and technical quality work with commercial competitiveness.</t>
  </si>
  <si>
    <t>IMM Investment(SungMin Na), Iyuno(David Lee), SoftBank Investment Advisers(Chris Lee)</t>
  </si>
  <si>
    <t>Other Media</t>
  </si>
  <si>
    <t>251097-94T</t>
  </si>
  <si>
    <t>Bluemacaw Logistica Fundo (BVMF: BLMG11)</t>
  </si>
  <si>
    <t>Bluemacaw Logistica Fundo DE Investimento Imobiliario invests in assets, with the potential for generating income, in the logistics and industrial warehouse sectors located throughout the territory national, with a main focus on the Southeast region and on assets with exposure to the e-commerce.</t>
  </si>
  <si>
    <t>251096-41T</t>
  </si>
  <si>
    <t>Bluemacaw Office Fund Il (BVMF: BLMO11)</t>
  </si>
  <si>
    <t>Bluemacaw Office Fund Il - Fundo DE Investimento Imobiliario invests in real estate, in addition to obtaining income and eventual gain of capital, to be obtained through the acquisition of Real Estate Assets ready for subsequent rental and/or disposal.</t>
  </si>
  <si>
    <t>251095-33T</t>
  </si>
  <si>
    <t>Cartesia Recebiveis (BVMF: CACR11)</t>
  </si>
  <si>
    <t>Cartesia Recebiveis Imobiliarios - Fundo DE Investimento Imobiliario is engaged in the acquisition of financial assets of a real estate nature, with a focus on the acquisition of Real Estate Receivables Certificates.</t>
  </si>
  <si>
    <t>250676-20T</t>
  </si>
  <si>
    <t>CYNS</t>
  </si>
  <si>
    <t>Operator of a biotechnology company intended to create sustainable insect-based animal nutrition. The company specializes in upcycling organic food waste using the black soldier fly into insect protein for animal feed, insect oil for biodiesel, and insect frass for farming and delivers high bioconversion rates with minimum HVAC requirements, enabling food, personal care, pet and pharmaceutical industries to promote the consumption of all-natural insect-based agricultural products while utilizing the medical benefits of insect larvae which, otherwise, are eliminated using pests.</t>
  </si>
  <si>
    <t>Lambarin, Sumitomo (TKS: 8053)</t>
  </si>
  <si>
    <t>252137-53T</t>
  </si>
  <si>
    <t>SRV Editora</t>
  </si>
  <si>
    <t>Provider of publishing services intended to serve the book publishers industry. The company offers various types of publishing services like books, periodical and newspapers.</t>
  </si>
  <si>
    <t>Grupo Editorial Nacional</t>
  </si>
  <si>
    <t>251049-34T</t>
  </si>
  <si>
    <t>AF Invest CRI Fundo (BVMF: AFHI11)</t>
  </si>
  <si>
    <t>AF Invest CRI Fundo DE Investimento Imobiliario Recebiveis Imobiliario invests resources in real estate projects to provide the shareholder with income and capital gains arising from investment, primarily in Target Assets and, secondarily, in Financial Investments.</t>
  </si>
  <si>
    <t>250516-90T</t>
  </si>
  <si>
    <t>Avenia</t>
  </si>
  <si>
    <t>Developer of a financial infrastructure platform designed to simplify cross-border payments and streamline financial transactions in Brazil. The company's platform offers API integrations, allowing businesses to accept, send, and hold money in their preferred currency, enabling international businesses to manage payments with ease and compliance.</t>
  </si>
  <si>
    <t>99 Capital(David Wang)</t>
  </si>
  <si>
    <t>251086-96T</t>
  </si>
  <si>
    <t>Iridium Fundo De (BVMF: IRIM11)</t>
  </si>
  <si>
    <t>Iridium Fundo De Investimento Imobiliario focuses on investment in real estate-based assets.</t>
  </si>
  <si>
    <t>250493-23T</t>
  </si>
  <si>
    <t>Magazine Luiza (BVMF: MGLU3)</t>
  </si>
  <si>
    <t>Magazine Luiza SA is engaged in retail sales, through physical stores, e-commerce, and its SuperApp, which is an application that offers products and services from its subsidiaries, as well as from commercial partners (sellers) through the marketplace platform. Its operations include four segments, Retail segment: substantially resale of goods and services in the Company's stores, electronic commerce, and food delivery management platform; Financial operations: through the joint venture Luizacred, whose main purpose is to provide credit to the Company's customers for the purchase of products; Insurance operations, and Other services. The company derives maximum revenue from the Retail segment.</t>
  </si>
  <si>
    <t>251052-49T</t>
  </si>
  <si>
    <t>Merito Fundo E Acoes</t>
  </si>
  <si>
    <t>Merito Fundo E Acoes Imobiliarias FII - Fundo DE Investimento Imobilia asset portfolio is made up of real estate investment funds, the company's main objective is additionally, capital gain.</t>
  </si>
  <si>
    <t>251051-59T</t>
  </si>
  <si>
    <t>Suno Fundo De Fundos De (BVMF: SNFF11)</t>
  </si>
  <si>
    <t>Suno Fundo De Fundos De Investimento Imobiliario is a real estate investment trust. The objective of the fund is to invest in shares of other real estate investment funds.</t>
  </si>
  <si>
    <t>250614-37T</t>
  </si>
  <si>
    <t>Clarão da Lua Agronotiações</t>
  </si>
  <si>
    <t>Operator of agricultural property based in Wanderlândia, Brazil.</t>
  </si>
  <si>
    <t>FII Riza Terrax</t>
  </si>
  <si>
    <t>250874-02T</t>
  </si>
  <si>
    <t>Estacionamento Digital</t>
  </si>
  <si>
    <t>Developer of a digital parking platform designed to serve private and public parking lots. The company offers services to private and public parking lots, courtyards, land, or shopping malls with an online application, enabling users with a new way of using parking services.</t>
  </si>
  <si>
    <t>Estacionamientos y Servicios(Javier Delgado), H.I.G. Europe</t>
  </si>
  <si>
    <t>265740-04T</t>
  </si>
  <si>
    <t>LeadFinder</t>
  </si>
  <si>
    <t>Developer of CRM and marketing automation platform designed for outsourced marketing, pre-sales, and sales teams. The company's platform specializes in the automation of customer prospecting by offering team training alternatives, lead generation by search, attraction, and integration, enabling businesses with customer relationship management and marketing.</t>
  </si>
  <si>
    <t>252088-66T</t>
  </si>
  <si>
    <t>Servcom - Serviços de Computação</t>
  </si>
  <si>
    <t>Developer of computerized automation software designed to manage operational and administrative routines. The company's platform develops software for the automation of notary offices and hotels, as well as services in training, support, consulting and software development.</t>
  </si>
  <si>
    <t>Vela Software</t>
  </si>
  <si>
    <t>264995-83T</t>
  </si>
  <si>
    <t>1M Bits Horde</t>
  </si>
  <si>
    <t>Operator of a gaming studio intended to provide the launchpad for emerging gaming businesses. The company offers life-sim RPG games by blending different genres, such as crafting, town-building, survival, and others, that are both stylized and realistic, allowing players to continue playing, receive content updates, and more.</t>
  </si>
  <si>
    <t>Narwhal Accelerator</t>
  </si>
  <si>
    <t>250210-00T</t>
  </si>
  <si>
    <t>Bossa Invest, BR Angels</t>
  </si>
  <si>
    <t>250211-08T</t>
  </si>
  <si>
    <t>Daki</t>
  </si>
  <si>
    <t>Operator of a grocery delivery application platform intended to offer multi-category grocery supplies to customers. The company's platform acts as a digital supermarket to offer day-to-day necessities and also provides home delivery services, enabling users to easily order from home via a mobile application.</t>
  </si>
  <si>
    <t>251370-46T</t>
  </si>
  <si>
    <t>Pagolivre</t>
  </si>
  <si>
    <t>Provider of recurring payment services based in Sao Paulo, Brazil. The company specializes in recurring payments, including management, control, integration into sales channels and member-get-member campaigns to its clients.</t>
  </si>
  <si>
    <t>245885-05T</t>
  </si>
  <si>
    <t>Cooperativa Languiru (Pig Processing Unit)</t>
  </si>
  <si>
    <t>Operator of a food processing unit based in Poço das Antas, Brazil. The company offers pork processing services for its customers.</t>
  </si>
  <si>
    <t>JBS (Food Products) (NYS: JBS)</t>
  </si>
  <si>
    <t>250063-93T</t>
  </si>
  <si>
    <t>Nexti Talent</t>
  </si>
  <si>
    <t>Developer of user-centric applicant tracking system (ATS) software intended to streamline recruitment. The company offers an artificial intelligence-powered applicant tracking system with a user-friendly interface, enabling human resource teams to source, screen, and hire talent while providing candidates with a transparent and engaging recruitment journey.</t>
  </si>
  <si>
    <t>ALZA Capital Partners, Ambit Partners, Anacapa Partners, Caatinga Capital(Marcelo Gomes), Miramar Equity Partners, Nexti(Marcelo Gomes), Partner Ventures, Spectra Investments, WSC &amp; Company</t>
  </si>
  <si>
    <t>249940-00T</t>
  </si>
  <si>
    <t>Cenu - Fundo De (BVMF: CENU11)</t>
  </si>
  <si>
    <t>Cenu - Fundo De Investimento Imobiliario operates as a real estate investment fund.</t>
  </si>
  <si>
    <t>211538-35T</t>
  </si>
  <si>
    <t>Cromai</t>
  </si>
  <si>
    <t>Operator of an agriculture technology firm designed to offer technology for georeferenced identification of weed groups in sugarcane fields using artificial intelligence. The company uses a frontier technology, computer vision, which identifies patterns in images collected in the field to offer diagnoses that allow a better basis for agronomic decision-making, enabling farms to reach their productive potential through the use of artificial intelligence, simply and sustainably.</t>
  </si>
  <si>
    <t>Arar Capital, Baraúna Investimentos(Paulo Ciampolini), Citrino Family Office, Henrique Del Papa(Henrique Del Papa), Luiza Del Papa(Luiza Del Papa)</t>
  </si>
  <si>
    <t>250109-29T</t>
  </si>
  <si>
    <t>Governar.TI</t>
  </si>
  <si>
    <t>Provider of IT solutions intended to developing computerized systems to support business management. The company specializes in security management technologies and financial management software and offers services like maintenance of computer equipment, implementation and management of IT infrastructure and computer networks, sales of computers, peripherals and supplies, support for the use of IT resources (equipment and systems) and consultancy in strategic planning and management.</t>
  </si>
  <si>
    <t>249863-14T</t>
  </si>
  <si>
    <t>DPaschoal</t>
  </si>
  <si>
    <t>Provider of automotive services catering to auto and truck customers in Brazil. The company specializes in tires and tubes, oil filters, shock absorbers, brakes, batteries and automotive accessories.</t>
  </si>
  <si>
    <t>Stellantis (MIL: STLAM)(Emanuele Cappellano)</t>
  </si>
  <si>
    <t>252738-91T</t>
  </si>
  <si>
    <t>Lastlink</t>
  </si>
  <si>
    <t>Operator of a content-sharing platform intended to help content creators manage groups. The company's platform facilitates the work by automating sales and management to access exclusive communities, managing subscriptions, adding and removing members automatically, and also in financial management with payment plans and automatic subscriptions, helping the creators distribute more content and strengthen the connection with their audience.</t>
  </si>
  <si>
    <t>255328-21T</t>
  </si>
  <si>
    <t>Minum</t>
  </si>
  <si>
    <t>Developer of a digital electricity platform designed to offer energy solutions for homes and businesses. The company's platform offers a fixed price plan, enabling customers to switch from their utility to simpler, cheaper and cleaner electricity.</t>
  </si>
  <si>
    <t>Oedipus Private Ventures</t>
  </si>
  <si>
    <t>249807-61T</t>
  </si>
  <si>
    <t>Produtos Alimentícios Nacionais</t>
  </si>
  <si>
    <t>Producer of chocolate products intended to serve the customers in Brazil. The company is engaged in manufacturing and selling chocolate cigarettes, pencils and coins, milk chocolates, gingerbreads, sprinkles and gummy bears.</t>
  </si>
  <si>
    <t>250506-46T</t>
  </si>
  <si>
    <t>Banco Inter (NAS: INTR)</t>
  </si>
  <si>
    <t>Inter &amp; Co Inc operates as a digital bank. The company's segment includes Banking &amp; Spending; Investments; Insurance Brokerage; and Inter Shop. It generates maximum revenue from the Banking &amp; Spending segment which comprises a wide range of banking products and services, such as checking accounts, cards, deposits, loans and advances, and other services, which are available to the clients by means of Inter's mobile application.</t>
  </si>
  <si>
    <t>284567-77T</t>
  </si>
  <si>
    <t>EloGroup</t>
  </si>
  <si>
    <t>Provider of consulting services intended to combine technology, analytics, and management skills to assist public, private and third-sector organizations. The company's services include ecosystem strategy, cultural transformation, reskilling, organizational design, digital transformation, digital strategy, innovation management, supply chain analytics and other related services, enabling companies to overcome their management challenges.</t>
  </si>
  <si>
    <t>Incubadora de Empresas da COPPE/UFRJ</t>
  </si>
  <si>
    <t>270831-25T</t>
  </si>
  <si>
    <t>Speciale Real Estate Development Fundo De Investimento Imobiliario (BVMF: DVLP11)</t>
  </si>
  <si>
    <t>Speciale Real Estate Development Fundo De Investimento Imobiliario is an Real Estate Development company.</t>
  </si>
  <si>
    <t>249622-57T</t>
  </si>
  <si>
    <t>Digital Business</t>
  </si>
  <si>
    <t>Provider of IT services catering to Brazilian and international markets. The company offers BI and digital consultancy, digital and content marketing, videos and animations and UX/UI design, thereby delivering timely online media and campaigns.</t>
  </si>
  <si>
    <t>OSF Digital(Adriano Patrão)</t>
  </si>
  <si>
    <t>249589-18T</t>
  </si>
  <si>
    <t>249585-13T</t>
  </si>
  <si>
    <t>Alcolina</t>
  </si>
  <si>
    <t>Manufacturer of chemicals intended to serve sugar-energy, water, and industrial segments. The company specializes in water treatment for bioethanol, sugar production, and industrial applications, including paints, pulp, and paper, thereby developing alternatives for improving chemical products.</t>
  </si>
  <si>
    <t>Bain Capital(Ivano Sessa), Dussur(Raed Al-Rayes), Ergo Partners, Italmatch Chemicals(Sergio Iorio)</t>
  </si>
  <si>
    <t>254000-35T</t>
  </si>
  <si>
    <t>Bravologic</t>
  </si>
  <si>
    <t>Developer of software development services intended to create, maintain and expansion of information systems. The company offers services such as analysis, development, support and expansion, enabling to automate processes and improve information management.</t>
  </si>
  <si>
    <t>RP Info Sistemas(Rodrigo Ferst)</t>
  </si>
  <si>
    <t>249577-39T</t>
  </si>
  <si>
    <t>Icone - Fundo (BVMF: ICNE11)</t>
  </si>
  <si>
    <t>Icone - Fundo De Investimento Imobiliario Responsabilidade Ltd is a real estate investment fund constituted in the form of a condominium. Its assets are made up of a single class of Shares that are closed and restricted.</t>
  </si>
  <si>
    <t>265742-29T</t>
  </si>
  <si>
    <t>Yours Bank</t>
  </si>
  <si>
    <t>Developer of a financial technology platform designed to provide digital allowance and financial education to children. The company offers a payment card to children for physical and online purchases, check balances, statements, and set goals, enabling parents and kids with a unique digital banking experience.</t>
  </si>
  <si>
    <t>249737-68T</t>
  </si>
  <si>
    <t>Alona Laboratórios e Cosméticos</t>
  </si>
  <si>
    <t>Manufacturer of cosmetics products based in Taubaté, Brazil. The company offers nail care, pedicure, exfoliating and health and beauty care products.</t>
  </si>
  <si>
    <t>Grupo Unhas Cariocas(Maurício Cesar)</t>
  </si>
  <si>
    <t>249375-34T</t>
  </si>
  <si>
    <t>Sigma Lithium Corp. (TSX: SGML)</t>
  </si>
  <si>
    <t>Sigma Lithium Corp together with its direct and indirect subsidiaries, is a commercial producer of lithium concentrate. It holds a 100% interest in four mineral properties: Grota do Cirilo, Sao Jose, Santa Clara, and Genipapo, located in the municipalities of Aracuai and Itinga, in the Vale do Jequitinhonha region in the State of Minas Gerais, Brazil.</t>
  </si>
  <si>
    <t>251536-24T</t>
  </si>
  <si>
    <t>HMS Negócios</t>
  </si>
  <si>
    <t>Operator of hotels and parks based in Goiania, Brazil.</t>
  </si>
  <si>
    <t>LAND MAASTRICHT SA, WAM Multipropriedade</t>
  </si>
  <si>
    <t>300251-17T</t>
  </si>
  <si>
    <t>Nivu.</t>
  </si>
  <si>
    <t>Developer of marketing automation software designed for real estate lead generation and customer acquisition. The company's platform integrates automated highlight creation, lead capture tools, customer relationship management features, data intelligence modules, and real-time performance tracking, enabling real estate professionals to improve campaign efficiency, centralize data workflows, reduce manual tasks, personalize communications, and make decisions driven by behavioral insights and market performance metrics.</t>
  </si>
  <si>
    <t>158702-86T</t>
  </si>
  <si>
    <t>Gabriel</t>
  </si>
  <si>
    <t>Developer of security cameras designed to offer video surveillance services with military-grade encryption, enterprise quality, and personal customer service. The company's cameras are installed in residential areas and public places and use machine learning algorithms that can recognize suspicious patterns and issue an alert, enabling users to have a safe and secure neighborhood.</t>
  </si>
  <si>
    <t>4M Holding, Astella Investimentos, Aurelia Ventures, CamelFarm Ventures, Canary (Brazil), Endeavor Promessas, Globo Ventures, Indie Capital, Norte Ventures, Proximity Angels, QMS Capital Management, Qualcomm Ventures, SIMMA Capital, SoftBank Group (TKS: 9984), SoftBank Latin America Fund, Wayra Brazil</t>
  </si>
  <si>
    <t>254674-00T</t>
  </si>
  <si>
    <t>PlantScanner</t>
  </si>
  <si>
    <t>Developer of a plant management software intended for factory operations and data management. The company offers tools that connect people, machines, and processes while collecting real-time data, enabling manufacturing professionals to access real-time data, make decisions, and enhance productivity.</t>
  </si>
  <si>
    <t>SPS Group (Brazil)</t>
  </si>
  <si>
    <t>253620-10T</t>
  </si>
  <si>
    <t>Bluecyber Insurance</t>
  </si>
  <si>
    <t>Developer of a digital platform designed to focus on insurance and assistance for personal and family digital protection. The company's application programming Interface marketplace enables digital distribution channels to embed customizable cyber insurance services into their products and services, providing users with optimization of equipment performance, and expert support to assist in setting up any device connected to the internet in customers' home, solve questions or performance issues with games and consoles.</t>
  </si>
  <si>
    <t>Bossa Invest, Invisto</t>
  </si>
  <si>
    <t>249110-92T</t>
  </si>
  <si>
    <t>Lina (Financial Software)</t>
  </si>
  <si>
    <t>Developer of a financial infrastructure designed for open banking, finance, and insurance data. The company focuses on the secure and intelligent sharing of data and services across different segments and industries through its technology, enabling clients to transform their digital journey and boost their development.</t>
  </si>
  <si>
    <t>MSW Capital(Richard Zeiger)</t>
  </si>
  <si>
    <t>249332-32T</t>
  </si>
  <si>
    <t>Metadados</t>
  </si>
  <si>
    <t>Developer of business productivity software designed to develop solutions for human resources. The company provides a complete human resources management system and a portfolio of services that includes process consulting, operational and technical assistance, operational and technical support, and training.</t>
  </si>
  <si>
    <t>Constellation Software (TSE: CSU)</t>
  </si>
  <si>
    <t>249100-75T</t>
  </si>
  <si>
    <t>Tela (Automation/Workflow Software)</t>
  </si>
  <si>
    <t>Operator of a technology platform intended to offer services for building products based on other language models. The company provides quality control for all applications that employ language models, enabling businesses to access suitable technologies to regulate operations related to prompt management, system testing, quality result evaluation, and system monitoring in production.</t>
  </si>
  <si>
    <t>Audacious Ventures, Hugh Strange(Hugh Strange), Monashees, Oleg Rogynskyy(Oleg Rogynskyy), Paul John</t>
  </si>
  <si>
    <t>255447-46T</t>
  </si>
  <si>
    <t>Tembici</t>
  </si>
  <si>
    <t>Provider of micro-mobility services intended to facilitate the integration of the bicycle with the urban transport network. The company's transport services provide shared electric bike renting and parking lots, enabling public and private spaces and residential and corporate clients to move into urban areas comfortably without using much space.</t>
  </si>
  <si>
    <t>IDB Invest, U.S. International Development Finance Corporation</t>
  </si>
  <si>
    <t>249063-22T</t>
  </si>
  <si>
    <t>Bullla</t>
  </si>
  <si>
    <t>Developer of financial software designed for credit and flexible benefits offerings for employers and employees. The company's tool offers a transparent and accessible system, with direct negotiations that allow reduced fees and offer credit for everyone without bureaucracy, enabling clients the option to improve their credit through the credit function.</t>
  </si>
  <si>
    <t>246536-29T</t>
  </si>
  <si>
    <t>4M Holding, Crivo, FJ Labs, Lanx Capital, Maya Capital (Brazil)(Monica Leal)</t>
  </si>
  <si>
    <t>249077-08T</t>
  </si>
  <si>
    <t>Infocap Tecnologia</t>
  </si>
  <si>
    <t>Developer of technological solutions focused on facilitating the routine of insurance brokers. The company specializes in multicalculation for insurance brokers, along with management system and CRM for them, thereby making technology an ally and simplifying up day-to-day tasks so that there is time to do what really matters.</t>
  </si>
  <si>
    <t>Agger(Gabriel Ronacher), Arco Capital.(Gabriel Ronacher)</t>
  </si>
  <si>
    <t>250112-17T</t>
  </si>
  <si>
    <t>Primaveras Group</t>
  </si>
  <si>
    <t>Provider of funeral service bases out of Sao Paulo, Brazil. The company's offerings include cemeteries, funeral homes, crematorium, columbarium, guard Square for ashes, funeral assistance plan and support services for the Bereaved.</t>
  </si>
  <si>
    <t>ParqueBrasil Group</t>
  </si>
  <si>
    <t>253343-44T</t>
  </si>
  <si>
    <t>Bahia Etanol Holding</t>
  </si>
  <si>
    <t>246221-92T</t>
  </si>
  <si>
    <t>Fluna</t>
  </si>
  <si>
    <t>Developer of hyper-automation platform designed to help companies automate their processes and make decisions. The company's platform transforms the enterprise with robotic process automation, low-code, and artificial intelligence technology, enabling firms to save time and focus on adding value to their work.</t>
  </si>
  <si>
    <t>248921-20T</t>
  </si>
  <si>
    <t>Jarbas</t>
  </si>
  <si>
    <t>Provider of business management tools catering to small businesses located in Brazil. The company offers finances, inventory and sales through features like customer relationship management, point of sales, inventory management and financial reporting, thereby offering real-time sales data and expense tracking, simplifying business operations for its clients.</t>
  </si>
  <si>
    <t>Wevy(Tiago Garbim)</t>
  </si>
  <si>
    <t>286587-55T</t>
  </si>
  <si>
    <t>Oriba</t>
  </si>
  <si>
    <t>Operator of a clothing brand intended to provide comfortable wear for men through an online marketplace. The company's platform offers a variety of products from kits, and t-shirts to accessories and pants with minimal involvement of intermediaries in the distribution and wholesale chain, enabling customers to get access to men's clothing at affordable prices.</t>
  </si>
  <si>
    <t>Shoulder (Clothing)</t>
  </si>
  <si>
    <t>248952-70T</t>
  </si>
  <si>
    <t>Provider Industria E Comercio</t>
  </si>
  <si>
    <t>Manufacturer of personal care products based in Louveira, Brazil.</t>
  </si>
  <si>
    <t>Plimax</t>
  </si>
  <si>
    <t>248931-55T</t>
  </si>
  <si>
    <t>Trackfy</t>
  </si>
  <si>
    <t>Developer of a cloud-based platform designed to digitalize management and capture field data. The platform offers Internet of Things hardware for implementation, a web system with real-time dashboards, and document software for digital document approval, enabling industrial sectors to enhance safety, compliance, and productivity.</t>
  </si>
  <si>
    <t>232387-66T</t>
  </si>
  <si>
    <t>Marata (Coffee &amp; Tea Business in Brazil)</t>
  </si>
  <si>
    <t>Supplier of packaged coffee and tea located in Brazil.</t>
  </si>
  <si>
    <t>JDE Peet's (AMS: JDEP)(Fabien Simon)</t>
  </si>
  <si>
    <t>248822-47T</t>
  </si>
  <si>
    <t>Alianza Urban Hub Renda (BVMF: AURB11)</t>
  </si>
  <si>
    <t>Alianza Urban Hub Renda Fundo De Investimento Imobiliario is a fund whose objective is to obtain income and capital gains, through investment of at least sixty-seven percent of your net worth, directly or indirectly in real estate or real rights on properties intended for and or related to logistics activities, through the acquisition of projects logistics real estate, including commercial buildings, distribution centers, storage centers and warehouses in general, for subsequent leasing, leasing, exploitation of surface rights and or disposal of such real estate or assets and rights related to them.</t>
  </si>
  <si>
    <t>248667-04T</t>
  </si>
  <si>
    <t>Nomowave</t>
  </si>
  <si>
    <t>Developer of a telecommunication application designed to change billing and customer relationship management systems. The company offers an application that can track consumption, and change or cancel plans whenever one wants, with no fidelity and no crisis and if users don't use the data that is hired, it indicates a new cheaper plan, providing clients its services at affordable rates.</t>
  </si>
  <si>
    <t>Bemobi (BVMF: BMOB3)</t>
  </si>
  <si>
    <t>248459-14T</t>
  </si>
  <si>
    <t>Transportadora Associada de Gás</t>
  </si>
  <si>
    <t>Provider of natural gas transport and storage services intended to ensure the transportation of natural gas safely, reliably and profitably. The company's transport and storage services are offered through pipelines, terminals or vessels, own or third parties, thereby managing a significant portion of the country's natural gas transportation assets, distributed.</t>
  </si>
  <si>
    <t>248353-66T</t>
  </si>
  <si>
    <t>Vex Telecomunicações</t>
  </si>
  <si>
    <t>Provider of internet services catering to individual and corporate clients. The company offers a wide range of broadband and internet service plans in around 50 cities in Santa Catarina in the Planalto Catarinense, from the Serrana region to Vale do Contestado.</t>
  </si>
  <si>
    <t>Unifique Telecomunicacoes (BVMF: FIQE3)</t>
  </si>
  <si>
    <t>295941-16T</t>
  </si>
  <si>
    <t>67 Bits</t>
  </si>
  <si>
    <t>Operator of a game studio intended to transform ideas into simple, casual, and hyper casual games. The company creates funny experiences for creators, influencers, and artists that align with their brand, captivating their audience, and their IPs offer endless possibilities, from animations to merchandise like toys and clothes, enabling people to get new gaming experiences.</t>
  </si>
  <si>
    <t>268080-76T</t>
  </si>
  <si>
    <t>AHOY!</t>
  </si>
  <si>
    <t>Operator of an online cleaning services booking platform intended for professionals to connect with users looking for specific services. The company's platform offers real-time day laborers, safely, in a few clicks, on a single screen, via geolocation at any time, enabling customers to avail themselves of affordable and quality services from the comfort of their homes.</t>
  </si>
  <si>
    <t>Madeira Startup Retreat</t>
  </si>
  <si>
    <t>258216-49T</t>
  </si>
  <si>
    <t>Ampfox</t>
  </si>
  <si>
    <t>Developer of an electric fleet management platform intended to improve the adoption and operation of electric vehicles. The company offers features such as route planning with better autonomy predictability, avoidance of vehicle unavailability, management of energy consumption to avoid peak hours, insights into energy consumption and costs for chargers, and AI to organize charging queues with energy cost optimization, enabling retail, consumer goods, transportation, and rental companies to real-time alerts and optimized energy usage.</t>
  </si>
  <si>
    <t>280360-54T</t>
  </si>
  <si>
    <t>Apoena</t>
  </si>
  <si>
    <t>Operator of an agroindustry intended to offer and trade vegetable oils, cassava flour, and Amazonian fruits. The company provides a flour value chain that plays a crucial role in supporting Indigenous and local communities, enabling local people to sell their cassava directly to the organizations and earn more income.</t>
  </si>
  <si>
    <t>NESsT</t>
  </si>
  <si>
    <t>269966-71T</t>
  </si>
  <si>
    <t>272034-01T</t>
  </si>
  <si>
    <t>294407-29T</t>
  </si>
  <si>
    <t>Biblioteca Acessivel</t>
  </si>
  <si>
    <t>Operator of an accessible digital library platform intended to promote educational and cultural inclusion. The company's platform combines a tablet interface with a braille mouse to provide access to a collection of books and digital content in braille and audio formats, enabling children and young people with visual impairments in schools and libraries to access knowledge and participate more fully in educational and cultural activities.</t>
  </si>
  <si>
    <t>292585-69T</t>
  </si>
  <si>
    <t>BNDES</t>
  </si>
  <si>
    <t>298892-35T</t>
  </si>
  <si>
    <t>Box24x7</t>
  </si>
  <si>
    <t>Operator of a multi-category rental platform designed to facilitate short-term access to household and electronic items. The company's platform includes a mobile application, real-time inventory browsing, one-hour delivery, pick-up scheduling, distributed inventory through local partners, and a wide catalog of tools, appliances, and personal care devices, enabling urban consumers with affordable, on-demand access to rarely used products without the burden of ownership.</t>
  </si>
  <si>
    <t>276750-55T</t>
  </si>
  <si>
    <t>Brick</t>
  </si>
  <si>
    <t>Operator of profiling and fleet insurance tools intended to make fleet insurance more affordable. The company's platform identifies, prevents, and mitigates risks along with offering a real-time report on the risk profile of each of the customers, enabling small and medium-sized car rental companies to avoid fraud and reduce claims.</t>
  </si>
  <si>
    <t>Honey Island Capital</t>
  </si>
  <si>
    <t>277385-95T</t>
  </si>
  <si>
    <t>CAPZ</t>
  </si>
  <si>
    <t>Developer of a marketing and sales management platform designed to help clients earn and retain their customers through segmentation and activation actions. The company's platform imports data, segments the customer base, classifies it, runs sales campaigns, tracks results, and centralizes processes from marketing creations, lead generation, CRM monitoring, and payment, enabling clients to run their business efficiently.</t>
  </si>
  <si>
    <t>258217-21T</t>
  </si>
  <si>
    <t>Cercle (Brazil)</t>
  </si>
  <si>
    <t>Developer of a product relationship management platform designed to engage and retain customers with circular incentives. The company's platform uses a plug-and-play method that manages products from check-out, promoting a continuous relationship between brand and consumers, and offers authenticated digital copies of their physical purchases, enabling clients to connect with their customers post-sale with repurchase, resale and reverse rewards.</t>
  </si>
  <si>
    <t>285977-62T</t>
  </si>
  <si>
    <t>Brainforest</t>
  </si>
  <si>
    <t>292596-94T</t>
  </si>
  <si>
    <t>Cyan Agroanalytics</t>
  </si>
  <si>
    <t>Developer of a climate monitoring and analytics technology designed for real-time agricultural decision-making. The company provides high-precision weather forecasts, rain tracking, fire alerts, NDVI analysis, and water balance tools using satellite data and atmospheric modeling, enabling farmers and agronomists to mitigate climate risks and optimize field operations.</t>
  </si>
  <si>
    <t>258217-39T</t>
  </si>
  <si>
    <t>EasyTelling</t>
  </si>
  <si>
    <t>Developer of research communication software intended to translate, simplify and communicate scientific evidence to audiences. The company's software uses a Knowledge Translation approach and a six-step methodology to accelerate research results, enabling researchers to identify, among all research results, those with the good potential to impact society and communicate them to any audience.</t>
  </si>
  <si>
    <t>248739-76T</t>
  </si>
  <si>
    <t>ecota</t>
  </si>
  <si>
    <t>Provider of renewable energy investment services intended for sustainable and accessible energy. The company allows individuals to invest in collective capital for the development of new energy plants, including hydroelectric, solar, and wind, utilizing an easy-to-use application, enabling investors to participate in the creation of a greener and more energized future with minimal environmental impact.</t>
  </si>
  <si>
    <t>265788-64T</t>
  </si>
  <si>
    <t>EcoTrust</t>
  </si>
  <si>
    <t>Operator of a SaaS-based cybersecurity platform intended for the discovery and management of cyber vulnerabilities and risks. The company identifies, analyzes, and delivers live information about business digital security vulnerabilities, ensuring the detection of threats that can exploit the company's digital weaknesses, enabling organizations to access technological resources that leverage the technical capabilities of the security team, reducing the risk of cyberattacks and data leakage.</t>
  </si>
  <si>
    <t>SantanderX</t>
  </si>
  <si>
    <t>293654-80T</t>
  </si>
  <si>
    <t>ESGscan</t>
  </si>
  <si>
    <t>Developer of an automated legal risk monitoring platform designed to assess Environmental, Social, and Governance (ESG) compliance across supply chains. The company's platform utilizes artificial intelligence to analyze public data sources, providing real-time risk assessments related to labor practices, environmental infractions, and governance issues, enabling organizations to proactively manage ESG risks, ensure regulatory compliance, and align with sustainability frameworks.</t>
  </si>
  <si>
    <t>293679-37T</t>
  </si>
  <si>
    <t>Eskive</t>
  </si>
  <si>
    <t>Developer of cybersecurity awareness and training software intended for human risk reduction. The company uses behavior-based simulations, real-time monitoring, and micro-learning modules tailored to sectors and compliance requirements, enabling corporate security managers to measure user vulnerabilities and direct targeted educational actions.</t>
  </si>
  <si>
    <t>262015-21T</t>
  </si>
  <si>
    <t>Fintalk</t>
  </si>
  <si>
    <t>Operator of an artificial voice intelligence platform intended to reduce service costs and increase efficiency. The company's platform specializes in using voice technology to serve customers and also generate an uncomplicated, inclusive, and humanized digital transformation, enabling businesses to stay connected to their customers.</t>
  </si>
  <si>
    <t>258241-51T</t>
  </si>
  <si>
    <t>Govy</t>
  </si>
  <si>
    <t>Developer of a sales platform designed to ease trade with public administration. The company's platform offers an intuitive and intelligent interface that uses artificial intelligence to solve sales problems, enabling businesses to better coordinate their sales with clients, including city halls, states, and the federal government.</t>
  </si>
  <si>
    <t>270443-17T</t>
  </si>
  <si>
    <t>293633-83T</t>
  </si>
  <si>
    <t>Hitemp</t>
  </si>
  <si>
    <t>Developer of industrial digitalization technology designed for real-time process optimization and operational efficiency. The company integrates (IoT) internet of things systems, machine learning, and numerical simulation, and offers a continuous monitoring system, control systems, numerical simulation, and data analysis system, enabling clients to make enhanced decision-making, remote management, and increased productivity.</t>
  </si>
  <si>
    <t>293630-59T</t>
  </si>
  <si>
    <t>Hyperus</t>
  </si>
  <si>
    <t>Developer of industrial automation and monitoring systems designed to enhance manufacturing line efficiency. The company's platform integrates embedded hardware, real-time data analytics, and machine learning algorithms, enabling manufacturers to monitor equipment performance, predict maintenance needs, and reduce downtime, enhancing overall productivity and operational cost-effectiveness.</t>
  </si>
  <si>
    <t>290026-54T</t>
  </si>
  <si>
    <t>Incentivar</t>
  </si>
  <si>
    <t>Developer of incentive software designed to motivate teams through incentives and rewards. The company's platform offers features like automated goal setting, daily progress tracking with insights, and a comprehensive rewards catalog, enabling businesses to improve employee engagement and performance by encouraging teams to work towards achieving shared goals, enabling engaging people and helping companies strategically use their data.</t>
  </si>
  <si>
    <t>BoostLAB</t>
  </si>
  <si>
    <t>277155-46T</t>
  </si>
  <si>
    <t>iRiS Pay</t>
  </si>
  <si>
    <t>Developer of a payment alternatives platform designed for self-service payment that does not require interaction with people at the establishment. The company's platform provides alternatives to turn any machine into a vending machine and its technology helps optimize the user experience, reduces the cost of operating stores, and increases revenue, enabling clients to provide self-service for a convenient shopping experience.</t>
  </si>
  <si>
    <t>291908-35T</t>
  </si>
  <si>
    <t>IZZA</t>
  </si>
  <si>
    <t>Operator of a centralized procurement platform designed for institutional purchasing needs. The company's platform consolidates quotes from multiple suppliers, facilitates segment-based product selection, automates optimal purchasing through a cost-saving algorithm, and streamlines the ordering process with features such as unified invoicing, guaranteed exchanges, free delivery, and real-time pricing, enabling schools and nursing homes to reduce procurement complexity, increase efficiency, and optimize their operational costs.</t>
  </si>
  <si>
    <t>248345-20T</t>
  </si>
  <si>
    <t>JetBov</t>
  </si>
  <si>
    <t>Operator of a cloud-based livestock chain management platform intended to control all stages of the reproductive cycle. The company's platform brings intelligence and technology in management to the meat production chain to electronically integrate and digitize the beef cattle production chain to help agronomical, zootechnical, and economic indices, enabling farm owners to manage information regarding their animals, production, and other related financial or operational data either from their mobile or computer.</t>
  </si>
  <si>
    <t>301617-73T</t>
  </si>
  <si>
    <t>272039-50T</t>
  </si>
  <si>
    <t>Lastro</t>
  </si>
  <si>
    <t>Developer of a real estate management platform designed to bring together everything needed to manage one's rental portfolio. The company's platform includes integrated payments that simplify managing rental properties, it helps landlords streamline workflows by organizing lease contract information in a cloud-based system automating rent charging processes and monitoring tenant obligations and generating customized reports, enabling landlords to keep track of all their contracts and rentals.</t>
  </si>
  <si>
    <t>271812-97T</t>
  </si>
  <si>
    <t>Luca (Sao Paulo)</t>
  </si>
  <si>
    <t>Developer of an online store platform designed to upgrade e-commerce experiences. The company offers components, native shopping compatibility, and expert support, enabling retailers and agencies to significantly boost conversions and streamline store management.</t>
  </si>
  <si>
    <t>291916-09T</t>
  </si>
  <si>
    <t>Lunatic Monkey</t>
  </si>
  <si>
    <t>Developer of customer relationship intelligence software designed for optimizing client interactions. The company's platform automates the extraction of actionable insights from customer conversations, reducing manual data entry into CRM systems and providing strategic analysis of communication patterns and sentiments, enabling businesses to enhance decision-making, increase productivity, and improve customer engagement.</t>
  </si>
  <si>
    <t>272042-20T</t>
  </si>
  <si>
    <t>267422-59T</t>
  </si>
  <si>
    <t>Matched (Real Estate Services)</t>
  </si>
  <si>
    <t>Developer of a real estate software designed to automate the search for commercial points. The company's software solves expansion challenges from prospecting to point validation and offers features such as a pre-point approval algorithm, competition analysis, synergy analysis, network potential analysis and socio-economic data, enabling franchise owners to eliminate obstacles when it comes to identifying commercial spaces and negotiating with owners.</t>
  </si>
  <si>
    <t>MIDITEC Incubator</t>
  </si>
  <si>
    <t>295536-70T</t>
  </si>
  <si>
    <t>Mazodan</t>
  </si>
  <si>
    <t>Manufacturer of construction materials derived from river sediments and mining waste, intended for sustainable and low-cost building purposes. The company uses polymer-based cement alternatives with zero waste and high durability, enabling the construction industry to reduce environmental impact and material costs.</t>
  </si>
  <si>
    <t>291922-03T</t>
  </si>
  <si>
    <t>292224-88T</t>
  </si>
  <si>
    <t>MGás</t>
  </si>
  <si>
    <t>Operator of a natural gas trading and management company intended to offer customized, flexible, and supply solutions to its customers. The company with solid experience of its executives in the O&amp;G sector enables complete operations that range from contracting gas molecules, their pipeline transportation, and their provision to the end customer.</t>
  </si>
  <si>
    <t>J&amp;F Investimentos(Joesley Batista)</t>
  </si>
  <si>
    <t>292602-07T</t>
  </si>
  <si>
    <t>Mogai</t>
  </si>
  <si>
    <t>Developer of business monitoring technologies designed to improve complex industrial processes. The company's technologies are focused on computer vision, artificial intelligence, and industrial processes and offer services for inventory management, traffic management, control systems, traceability for audits, and real-time tracking, among others, enabling industries to streamline processes and have increased efficiency.</t>
  </si>
  <si>
    <t>286418-53T</t>
  </si>
  <si>
    <t>Muvuca Agroflorestal</t>
  </si>
  <si>
    <t>Operator of a food products delivery platform designed to provide organic food products for home delivery. The company's platform allows users to choose products and set the frequency for receiving deliveries every Tuesday, the products are healthy, essential, and sourced from small producers, also the company supports the reforestation of agricultural land, enabling users to improve their quality of life with convenient delivery and healthy food.</t>
  </si>
  <si>
    <t>285336-46T</t>
  </si>
  <si>
    <t>My Hot Share</t>
  </si>
  <si>
    <t>Operator of a content selling platform intended for content sharing. The company operates a platform that allows content creators to post photos, videos, and live streams, and fans to pay for that content.</t>
  </si>
  <si>
    <t>Privacy (Business/Productivity Software)</t>
  </si>
  <si>
    <t>Social/Platform Software</t>
  </si>
  <si>
    <t>251775-91T</t>
  </si>
  <si>
    <t>O2B</t>
  </si>
  <si>
    <t>Provider of cloud-based software services based in Sao Paulo, Brazil. The company offers cloud-based solutions designed to modernize, improve DevOps, enhance SRE, ensure observability, provide data services, and offer DBA support and the entity specializes in constructing cloud-native ecosystems that prioritize low cost and high efficiency, while also providing valuable training and platform engineering resources for businesses looking to thrive in the cloud and maintains specific policies that relate to privacy and cookies.</t>
  </si>
  <si>
    <t>291934-54T</t>
  </si>
  <si>
    <t>Openi</t>
  </si>
  <si>
    <t>Developer of a digital automation platform designed to integrate financial and accounting systems with banks. The company automates bank and credit card classifications and reconciliations, monitors cash flows in real-time through open finance, and monitors accounting and management reports in one place, enabling finance professionals to make better strategic decisions.</t>
  </si>
  <si>
    <t>292810-51T</t>
  </si>
  <si>
    <t>Oppem</t>
  </si>
  <si>
    <t>Developer of enterprise compliance software designed for automated contract oversight and regulatory assurance. The company's platform integrates workflow automation, lifecycle tracking, and real-time compliance insights, enabling industrial businesses to reduce risk and enhance operational governance.</t>
  </si>
  <si>
    <t>292814-56T</t>
  </si>
  <si>
    <t>OpsFactor</t>
  </si>
  <si>
    <t>Developer of business operations software designed to optimize planning and execution. The company's platform facilitates end-to-end operations optimization and orchestration, integrating workflows across sales, operations, marketing, and finance teams, enabling clients with collaborative planning from strategic to operational levels, automating decisions with artificial intelligence through predictive and optimization models.</t>
  </si>
  <si>
    <t>292813-30T</t>
  </si>
  <si>
    <t>Optimum Supply</t>
  </si>
  <si>
    <t>Provider of strategic sourcing software and consulting services intended to optimize procurement decision-making and supply chain performance. The company offers integrated e-procurement tools combined with decision analysis methodologies, enabling procurement teams and supply chain managers to improve supplier evaluation, ensure compliance, and enhance transparency in sourcing processes.</t>
  </si>
  <si>
    <t>295230-70T</t>
  </si>
  <si>
    <t>PayFast</t>
  </si>
  <si>
    <t>Developer of mobile-based retail payment systems designed for supermarket checkout optimization purposes. The company's platform integrates a real-time transaction system into mobile applications, allowing customers to scan and pay directly while shopping, enabling the retail market to reduce in-store congestion, improve operational flow, and enhance user convenience without relying on traditional point-of-sale terminals.</t>
  </si>
  <si>
    <t>START Global</t>
  </si>
  <si>
    <t>294853-51T</t>
  </si>
  <si>
    <t>Piipee</t>
  </si>
  <si>
    <t>Manufacturer of a biodegradable liquid intended to reduce water usage in washrooms and toilets. The company's eco-friendly liquid works specifically for urine, removing the smell, changing the color, sanitizing, and giving a good smell, enabling customers to sanitize the toilet without wasting water.</t>
  </si>
  <si>
    <t>Regeneration Voices</t>
  </si>
  <si>
    <t>252884-53T</t>
  </si>
  <si>
    <t>263333-71T</t>
  </si>
  <si>
    <t>Free Electrons</t>
  </si>
  <si>
    <t>263334-52T</t>
  </si>
  <si>
    <t>295220-35T</t>
  </si>
  <si>
    <t>QueroCode</t>
  </si>
  <si>
    <t>Operator of an AI-driven customer interaction platform designed for e-commerce automation. The company's platform integrates with official WhatsApp and Instagram APIs, offers intelligent order tracking, personalized abandoned cart recovery, and behavior-based marketing campaigns, enabling online retailers to streamline customer engagement, reduce manual support costs, and enhance conversion rates through automated, round-the-clock service.</t>
  </si>
  <si>
    <t>296734-96T</t>
  </si>
  <si>
    <t>Y Combinator</t>
  </si>
  <si>
    <t>298959-04T</t>
  </si>
  <si>
    <t>SMUSH Smart Mushrooms</t>
  </si>
  <si>
    <t>Operator of a wellness food brand intended to offer super foods and drinks based on functional mushrooms. The company develops products with mushrooms in their composition to improve well-being and routine with nootropic and functional mushrooms, enabling users to improve their cognition, energy, and immunity.</t>
  </si>
  <si>
    <t>Carlo Sabino(Carlo Sabino), Fernanda Melzer(Fernanda Melzer)</t>
  </si>
  <si>
    <t>269015-68T</t>
  </si>
  <si>
    <t>Squair</t>
  </si>
  <si>
    <t>Developer of an IoT platform designed to make operations sustainable through monitoring and automation, assisting facilities and maintenance. The company's automation platform transforms the way businesses monitor and manage their resources goes beyond simple digitization of automation and provides a comprehensive and real-time view of resource utilization and supervision, empowering businesses to make informed decisions and optimize their processes.</t>
  </si>
  <si>
    <t>292621-60T</t>
  </si>
  <si>
    <t>ST-One</t>
  </si>
  <si>
    <t>Developer of industrial analytics technology designed to optimize factory performance through data science. The company specializes in IoT (Internet of Things) hardware, algorithmic data structuring, and production dashboards, enabling manufacturers across sectors to reduce operational costs, enhance product quality, and integrate Environmental, Social, and Governance (ESG) practices by leveraging actionable insights from factory floor data.</t>
  </si>
  <si>
    <t>Endeavor Global</t>
  </si>
  <si>
    <t>271228-06T</t>
  </si>
  <si>
    <t>Stalo</t>
  </si>
  <si>
    <t>Developer of AI-powered platform designed to improve service quality by training AI to identify unexpected customer service issues. The company's platform utilizes machine learning to monitor the quality of customer service interactions, enabling businesses to identify areas for improvement and ensure customer satisfaction.</t>
  </si>
  <si>
    <t>294585-94T</t>
  </si>
  <si>
    <t>biotope by VIB</t>
  </si>
  <si>
    <t>291958-75T</t>
  </si>
  <si>
    <t>301614-49T</t>
  </si>
  <si>
    <t>295538-59T</t>
  </si>
  <si>
    <t>ValidaPix</t>
  </si>
  <si>
    <t>Developer of payment verification software designed for fraud prevention in retail transactions. The company's platform integrates with banking systems to confirm real-time payments, provides transaction-level reporting, supports cashier-side validation without direct bank access, eliminates reliance on screenshots or printed receipts, and connects with enterprise resource planning systems, enabling retailers to securely and efficiently authenticate Pix-based payments across physical and digital points of sale.</t>
  </si>
  <si>
    <t>258241-24T</t>
  </si>
  <si>
    <t>Vizineo</t>
  </si>
  <si>
    <t>Developer of a condominium management platform intended to cut unnecessary expenses and keep condominium bills balanced. The company's platform helps to optimize resources with the budget review and increase the financial potential to ensure efficient condominium management, enabling users to balance the functioning of their condominium quickly, easily and without complications.</t>
  </si>
  <si>
    <t>Antler(Marcelo Ciampolini)</t>
  </si>
  <si>
    <t>291987-28T</t>
  </si>
  <si>
    <t>WebBula</t>
  </si>
  <si>
    <t>Developer of a digital healthcare platform designed to connect healthcare networks. The company's platform offers personalized and patient-centered services such as connecting with doctors, and pharmacies, generating medical history, exams, and prescriptions, enabling patients to keep track of health activities while getting connected to all health resources.</t>
  </si>
  <si>
    <t>Clinics/Outpatient Services</t>
  </si>
  <si>
    <t>291963-07T</t>
  </si>
  <si>
    <t>265195-99T</t>
  </si>
  <si>
    <t>Zaia</t>
  </si>
  <si>
    <t>Developer of a customer service chatbot designed to answer customer questions and automate tasks. The company's platform can answer questions, collect leads, schedule meetings, and integrate with different channels, enabling businesses to provide customer service and improve efficiency.</t>
  </si>
  <si>
    <t>277937-65T</t>
  </si>
  <si>
    <t>Zap (Database Software)</t>
  </si>
  <si>
    <t>Developer of a decentralized infrastructure intended for creating a data asset marketplace. The company's platform leverages blockchain technology, ensuring secure data transactions, decentralized storage mechanisms, and transparent validation processes, enabling businesses to monetize, trade, and manage data assets in a distributed ecosystem while fostering greater trust, accessibility, and control in the data economy.</t>
  </si>
  <si>
    <t>Crypto Valley Venture Capital, Smape Capital</t>
  </si>
  <si>
    <t>257601-25T</t>
  </si>
  <si>
    <t>ZNIT</t>
  </si>
  <si>
    <t>Developer of a sustainability reporting and analysis platform designed to enable companies and investors to meet their sustainability targets and reporting obligations transparently. The company's platform collects, centralizes, and reports sustainability data, enabling businesses and investors to create strategies to reduce emissions and report with artificial intelligence.</t>
  </si>
  <si>
    <t>233452-09T</t>
  </si>
  <si>
    <t>Centro Britânico</t>
  </si>
  <si>
    <t>Operator of a language teaching platform based in Sao Paulo, Brazil. The company offers English, German language courses, Spanish courses, French courses, Italian courses and Portuguese for foreigners and also conducts international exams, Cambridge certifications and Cambridge exam preparation.</t>
  </si>
  <si>
    <t>Happy Hub Educacional(William Kendrick de Matos Silva)</t>
  </si>
  <si>
    <t>269424-46T</t>
  </si>
  <si>
    <t>GVQ Holding</t>
  </si>
  <si>
    <t>Producer of agricultural commodities based in Barretos, Brazil. The company offers cattle, soybeans, and other grains.</t>
  </si>
  <si>
    <t>245205-46T</t>
  </si>
  <si>
    <t>Mata Grande Transmissora de Energia Elétrica</t>
  </si>
  <si>
    <t>Producer of electric energy based in Maranhao, Brazil. The company operates 113 kilometers of 230 kV transmission lines.</t>
  </si>
  <si>
    <t>224293-24T</t>
  </si>
  <si>
    <t>Sociedade da Mesa Comércio de Vinhos</t>
  </si>
  <si>
    <t>Operator of subscription-based distribution services and digital retail channels designed for curated access to international and domestic alcoholic beverages. The company's platform offers monthly selections sourced directly from producers, customizable delivery options, editorial content including tasting notes and pairing suggestions, member-exclusive pricing, and integration with e-commerce tools, featuring a network of sommeliers and procurement specialists across Brazil and Europe, enabling consumers, collectors, and hospitality professionals to achieve reliable access to diverse beverage selections, informed purchasing decisions, and consistent product quality across varying consumption preferences and regional markets.</t>
  </si>
  <si>
    <t>Chez France Export and Import, Vitis (Brazil)</t>
  </si>
  <si>
    <t>288654-31T</t>
  </si>
  <si>
    <t>Tombador Iron Mineracao</t>
  </si>
  <si>
    <t>Operator of an iron ore mining company based in Bahia, Brazil.</t>
  </si>
  <si>
    <t>Investimentos e Participações (BVMF: IVPR4B)</t>
  </si>
  <si>
    <t>245032-21T</t>
  </si>
  <si>
    <t>Alper Consultoria e Corretora de Seguros</t>
  </si>
  <si>
    <t>Alper Consultoria E Corretora De Seguros SA, formerly BR Insurance Corretora de Seguros SA is a Brazil-based company which specializes in corporate risk management, benefits consulting and massification. It offers complete solutions in mass insurance management, focused on generating new revenues, acting directly in all stages of the business, from development to implementation and after-sales. The company also offers various products of personal insurance.</t>
  </si>
  <si>
    <t>Warburg Pincus</t>
  </si>
  <si>
    <t>299160-91T</t>
  </si>
  <si>
    <t>249890-05T</t>
  </si>
  <si>
    <t>Kompass Energia</t>
  </si>
  <si>
    <t>Provider of renewable energy systems intended for condos.</t>
  </si>
  <si>
    <t>Trinity Energia</t>
  </si>
  <si>
    <t>245316-61T</t>
  </si>
  <si>
    <t>Agenda Edu</t>
  </si>
  <si>
    <t>Developer of school management and communication platform designed to improve communication between parents and schools. The company's platform simplifies the processes of updating school routine, communication, and charges and provides assistance to improve the engagement and educational journey of school officials, students, and educators, enabling schools and parents to monitor their and their children's daily activities and benchmarking progress in real-time through indicators transparently.</t>
  </si>
  <si>
    <t>Bemobi (BVMF: BMOB3)(Andre Veloso)</t>
  </si>
  <si>
    <t>258934-96T</t>
  </si>
  <si>
    <t>272830-42T</t>
  </si>
  <si>
    <t>Marfrig Global Foods (BVMF: MRFG3)(Eduardo Puzziello)</t>
  </si>
  <si>
    <t>234820-54T</t>
  </si>
  <si>
    <t>SolarZ</t>
  </si>
  <si>
    <t>Developer of solar plant monitoring systems designed to facilitate after-sales management of photovoltaic integrators. The company's after-sales tool generates data from multiple monitoring portals of multiple plants in one click, gives access to plant information, and provides alerts, enabling businesses to monitor all the customer's plants in one place.</t>
  </si>
  <si>
    <t>Bossa Invest, DOMO.VC</t>
  </si>
  <si>
    <t>254467-27T</t>
  </si>
  <si>
    <t>Dhama Capital</t>
  </si>
  <si>
    <t>Provider of asset management services focused on private credit based in Sao Paulo, Brazil. The company focuses on operating in the private credit sector, offering strategies based on results, diligence and respect for regulatory policies, enabling clients to get credit facilities for their future business development goals.</t>
  </si>
  <si>
    <t>Absolute Investimentos(Tiago Sant'Anna)</t>
  </si>
  <si>
    <t>248388-76T</t>
  </si>
  <si>
    <t>Coram</t>
  </si>
  <si>
    <t>Retailer of agricultural products and services intended for rural producers. The company offers seeds, fertilizers, pesticides and biological products, thereby helping rural producers with agricultural products and services that contribute to the productivity and safety of their crops.</t>
  </si>
  <si>
    <t>Lavoro (NAS: LVRO)(Ruy Cunha)</t>
  </si>
  <si>
    <t>248365-99T</t>
  </si>
  <si>
    <t>OnlyPay</t>
  </si>
  <si>
    <t>Developer of a comprehensive digital incentive platform intended to empower businesses with complete control over employee reward and recognition programs. The company offers customizable campaign creation, real-time performance tracking through business intelligence (BI) dashboards, diverse reward options with digital wallets, and secure data protection, enabling companies of all sizes to motivate employees, boost engagement, and drive desired outcomes.</t>
  </si>
  <si>
    <t>GARD2N(Luca De Martino)</t>
  </si>
  <si>
    <t>248641-66T</t>
  </si>
  <si>
    <t>Bossa Invest, DOMO.VC, Google for Startups</t>
  </si>
  <si>
    <t>248321-08T</t>
  </si>
  <si>
    <t>InvestPlay</t>
  </si>
  <si>
    <t>Developer of a fintech platform designed to offer hyper-personalized offers for customers. The company's platform helps to arrange all of the customer data in one place and generate personalized insights to offer products and services in the areas of credit, CRM, investment, cards, insurance, and others, enabling clients to get personal finance management and payment initiation.</t>
  </si>
  <si>
    <t>BRQ Solucoes em Informatica (BVMF: BRQB3), Darwin Startups, Osten Moove</t>
  </si>
  <si>
    <t>255807-91T</t>
  </si>
  <si>
    <t>Grazing</t>
  </si>
  <si>
    <t>Developer of a pasture management platform designed to optimize livestock productivity through efficient pasture management. The company offers a mobile application integrated with satellite images, meteorological data, and research-based insights to maximize the use of pastures for increasing the productivity of beef and dairy cattle, enabling livestock farmers and consultants to increase pasture utilization and enhance herd health and productivity.</t>
  </si>
  <si>
    <t>248502-07T</t>
  </si>
  <si>
    <t>Cf3 Fundo De (BVMF: CFII11)</t>
  </si>
  <si>
    <t>Cf3 Fundo De Investimento Imobiliario Fii is a real estate investment fund constituted in the form of a closed condominium, with a determined duration. The Fund's objective is to earn capital gains from the purchase and sale of real estate assets, differentiating itself in prospecting, evaluation, acquisition and monitoring.</t>
  </si>
  <si>
    <t>270518-41T</t>
  </si>
  <si>
    <t>Intelivix</t>
  </si>
  <si>
    <t>Developer of an AI-powered legal risk management platform designed to help legal departments and law firms manage large volumes of cases efficiently. The company's platform offers exclusive legal artificial intelligence and presents strategic information and decision-making support through intuitive jurimetrics dashboards, enabling legal professionals to achieve optimal results with complex cases.</t>
  </si>
  <si>
    <t>248296-60T</t>
  </si>
  <si>
    <t>Oakberry</t>
  </si>
  <si>
    <t>Operator of a restaurant chain catering to the healthy food market. The company offers food bowls, smoothies and energy tea that are free of colors, artificial preservatives and syrup, thereby offering healthy fast food to customers.</t>
  </si>
  <si>
    <t>BTG Pactual (BVMF: BPAC3), Moriah Asset(Fabiano Zettel)</t>
  </si>
  <si>
    <t>242895-79T</t>
  </si>
  <si>
    <t>Porto do Pecém Geração de Energia</t>
  </si>
  <si>
    <t>Operator of coal-fired thermal power plants based in Sao Goncalo Do Amarante, Brazil. The company operates coal-fired thermal power plants that are located in the State of Ceará, with an installed capacity of 720 megawatts.</t>
  </si>
  <si>
    <t>Mercurio Partners, XP Investimentos (NAS: XP)</t>
  </si>
  <si>
    <t>270560-80T</t>
  </si>
  <si>
    <t>Pragas.com</t>
  </si>
  <si>
    <t>Provider of insect services intended to produce biological inputs that will boost agricultural research. The company offers differentiated products to its customers, it also operates in carrying out experimentation, training, consulting, and technical assistance for those who purchase its products, enabling agricultural research companies to reduce costs and accelerate the development of technologies for the control of agricultural pests.</t>
  </si>
  <si>
    <t>248486-32T</t>
  </si>
  <si>
    <t>Trustee DTVM (BVMF: HILG11)</t>
  </si>
  <si>
    <t>270523-90T</t>
  </si>
  <si>
    <t>We4City</t>
  </si>
  <si>
    <t>Developer of an urban management platform designed to integrate and connect institutions and citizens. The company's platform offers a range of features, including data integration, Internet of Things, geographic information systems, virtual assistants, big data and business intelligence, and open innovation for disaster prevention and response, infrastructure management, and municipal record qualification, enabling clients to collect, manage, analyze, and visualize urban data to improve decision-making, resource allocation, and overall city operations.</t>
  </si>
  <si>
    <t>248270-41T</t>
  </si>
  <si>
    <t>Positiv.a</t>
  </si>
  <si>
    <t>Manufacturer of sustainable cleaning products intended to positively impact the planet. The company's products are offered through a subscription model in bottles made from plastic litter on beaches, are dermatologically tested, and are used for cleaning windows, furniture, floors, and household items, enabling customers to avail eco-friendly cleaning products and promote conscious consumption.</t>
  </si>
  <si>
    <t>273750-13T</t>
  </si>
  <si>
    <t>Vale do São Bartolomeu Transmissora de Energia</t>
  </si>
  <si>
    <t>Provider of electricity transmission, control and distribution services based in Rio de Janeiro, Brazil.</t>
  </si>
  <si>
    <t>Eletrobras (BVMF: ELET3)(Antônio Godoy)</t>
  </si>
  <si>
    <t>248332-78T</t>
  </si>
  <si>
    <t>B.Nous</t>
  </si>
  <si>
    <t>Developer of a microlearning platform designed for corporate clients. The company offers data analysis, measures and engaging courses, micro-level learning and course certifications, enabling clients to get a humanized and collaborative methodology for learning.</t>
  </si>
  <si>
    <t>Resilia(Bruno Neves)</t>
  </si>
  <si>
    <t>288032-59T</t>
  </si>
  <si>
    <t>Granja Faria SA together with its subsidiaries, is engaged in the production of commercial eggs, fertilizers, hatching eggs and 1-day-old chicks. Part of the production of fertile and commercial eggs is exported to other countries, including Mexico, Bolivia, Paraguay, Chile, Uruguay, United Arab Emirates, Taiwan, Japan, Senegal and South Africa. The Company serves customers in the national and international markets for fertile eggs, and 1-day-old chicks, as well as in the market for commercial eggs for consumption.</t>
  </si>
  <si>
    <t>202795-03T</t>
  </si>
  <si>
    <t>Bankme</t>
  </si>
  <si>
    <t>Developer of an online financial platform designed to assist entrepreneurs in financing their productive ecosystem, without intermediaries. The company's platform helps enterprises across different industries to build their financial structures and operate credit for the ecosystem, taking care of everything from the structuring of the operation to the accounting closing, enabling businesses to offer prepayment of receivables and other credit products to their suppliers and customers and generate more profitability in the process.</t>
  </si>
  <si>
    <t>Apex Partners (Brazil), Aury Francisco(Aury Francisco), Bamboo Technology Platform, DOMO.VC(Felipe Andrade)</t>
  </si>
  <si>
    <t>248052-70T</t>
  </si>
  <si>
    <t>Cresci e Perdi</t>
  </si>
  <si>
    <t>Operator of a used product franchise network based in Sao Paulo, Brazil. The company sells clothes from newborn sizes up to 16 years old, new and pre owned shoes and accessories for babies, furthermore, the store's difference is that the customer can take their pieces to be evaluated and the value generated can be converted into shopping voucher or payment in cash for the lot.</t>
  </si>
  <si>
    <t>Enjoei (BVMF: ENJU3)(Tie Lima)</t>
  </si>
  <si>
    <t>Other Retail</t>
  </si>
  <si>
    <t>251547-94T</t>
  </si>
  <si>
    <t>Infracommerce CXaaS (BVMF: IFCM3)</t>
  </si>
  <si>
    <t>Infracommerce Caxaas SA is the largest full service company for digital businesses and works with the modular concept, bringing together platform, marketing, content, payment, logistics and SAC in three core competence cores: Omnichannel Platform, Marketing and Sales and Operations.</t>
  </si>
  <si>
    <t>248047-39T</t>
  </si>
  <si>
    <t>R2M</t>
  </si>
  <si>
    <t>Manufacturer of wet wipes intended for baby and infant care. The company offers hygiene and personal care products, thereby providing families with affordable care products</t>
  </si>
  <si>
    <t>Grupo Cimed(João Marques)</t>
  </si>
  <si>
    <t>256275-91T</t>
  </si>
  <si>
    <t>YUNA Clinic</t>
  </si>
  <si>
    <t>Operator of a transition clinic intended to provide post-acute care. The company provides integrative hospitalization, prioritizing comfort and well-being in palliative care or rehabilitation, enabling patients a safe and confident return home.</t>
  </si>
  <si>
    <t>IDB Invest</t>
  </si>
  <si>
    <t>247957-39T</t>
  </si>
  <si>
    <t>Zeev</t>
  </si>
  <si>
    <t>Provider of automated software platform intended to create low-code applications that transform processes designed in workflow applications. The company offers solutions for automating corporate processes, optimizing supply chain management, and low-code platforms, thereby helping its customers accelerate their digital transformation through technology applied to the automation of processes, decisions and documents.</t>
  </si>
  <si>
    <t>AIJ Global, Archipelago Capital Partners (Boston)(Tomas Bergstrand), Kinase Investments(Thiago de Assis Silva), Stoque Soluções Tecnológicas</t>
  </si>
  <si>
    <t>295945-39T</t>
  </si>
  <si>
    <t>Almob</t>
  </si>
  <si>
    <t>Developer of construction project management software intended to digitize and centralize inventory, tools, contracts, and supplier control. The company's platform integrates with major enterprise resource planning systems, offering real-time digital tracking, automated requests, and material verification, enabling construction businesses to maintain operational control, regulatory compliance, and workflow efficiency across job sites.</t>
  </si>
  <si>
    <t>239479-21T</t>
  </si>
  <si>
    <t>Biotrop</t>
  </si>
  <si>
    <t>Provider of biological agricultural products intended for healthy food production. The company offers services catering to the production, development, registration and commercialization of biological products and plant-based natural extracts including bio activators and inoculants, enabling agricultural clients to increase productivity in cost-effective and sustainable ways.</t>
  </si>
  <si>
    <t>Biobest (Belgium)(Jean-Marc Vandoorne), Compagnie du Bois Sauvage (BRU: COMB), M&amp;G (LON: MNG)(Niranjan Sirdeshpande), Mérieux Equity Partners(Thierry Chignon), Sofina (BRU: SOF), Sofiproteol, Tikehau Capital (PAR: TKO)(Emmanuel Laillier), Unigrains (Paris)</t>
  </si>
  <si>
    <t>247912-03T</t>
  </si>
  <si>
    <t>Blu (Local Credit Arm)</t>
  </si>
  <si>
    <t>Provider of financial services based in Rio de Janeiro, Brazil.</t>
  </si>
  <si>
    <t>Shopee</t>
  </si>
  <si>
    <t>247907-98T</t>
  </si>
  <si>
    <t>Live (SAP Business One operations)</t>
  </si>
  <si>
    <t>Operator of a SAP business based in São Paulo, Brazil.</t>
  </si>
  <si>
    <t>SPS Group (IT Consulting and Outsourcing)</t>
  </si>
  <si>
    <t>247788-64T</t>
  </si>
  <si>
    <t>Inês Souza(Inês Souza), Marcelo Bella(Marcelo Bella), Urca Angels</t>
  </si>
  <si>
    <t>247747-33T</t>
  </si>
  <si>
    <t>Aroeira 333 Renda Logist (BVMF: AROA11)</t>
  </si>
  <si>
    <t>Aroeira 333 Renda Logistica Fundo De Investimento Imobiliario is an real estate investment fund whose fund objective is to provide Shareholders with the appreciation and profitability of their Shares.</t>
  </si>
  <si>
    <t>249505-75T</t>
  </si>
  <si>
    <t>Anteris Capital</t>
  </si>
  <si>
    <t>247685-77T</t>
  </si>
  <si>
    <t>Deep ESG</t>
  </si>
  <si>
    <t>Developer of a data analytics platform intended to assess, measure, and report ESG financial data within organizations and across sectors. The company's platform offers fully integrated management and financial systems to produce comparable and accurate information about socio-environmental impact, enabling clients to make investment decisions, measurement, and strategic management to earn profits from positive ESG reporting.</t>
  </si>
  <si>
    <t>Banco BV, Citrino Ventures, Vibra Energia (BVMF: VBBR3)(Clarissa Lins)</t>
  </si>
  <si>
    <t>247629-07T</t>
  </si>
  <si>
    <t>BizHub Ventures</t>
  </si>
  <si>
    <t>Operator of the venture firm intended for startups. The company offers technology, innovation and scale up including data and analytics, digital services, strategy and fundraising, enabling its clients to achieve their organizational goals.</t>
  </si>
  <si>
    <t>247522-96T</t>
  </si>
  <si>
    <t>Conexa Saúde</t>
  </si>
  <si>
    <t>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t>
  </si>
  <si>
    <t>Airborne Ventures, Vivo Ventures, Vox Capital, Wayra Brazil(Gabriela Toribio)</t>
  </si>
  <si>
    <t>247746-70T</t>
  </si>
  <si>
    <t>Fundo De Investimento (Real Estate Investment Trust) (BVMF: SNEL11)</t>
  </si>
  <si>
    <t>Fundo De Investimento Imobiliario Suno Energias Limpas is a real estate fund hat invests in Clean and Renewable Energy ,being an democratic way for common investors to have access to a thesis that, in addition to being extremely profitable, generates a positive impact for society.</t>
  </si>
  <si>
    <t>247690-81T</t>
  </si>
  <si>
    <t>Konviva</t>
  </si>
  <si>
    <t>Developer of learning management and corporate education solutions intended to help companies disseminate knowledge and improve their performance. The company provides aims to enhance clients performance through corporate education and knowledge management with technology based solutions thereby enabling to offer enhanced corporate learning solutions to the clients.</t>
  </si>
  <si>
    <t>247977-91T</t>
  </si>
  <si>
    <t>UEG Araucária</t>
  </si>
  <si>
    <t>Producer of electricity catering to the South and Southeast regions of Brazil. The company operates gas based power plants.</t>
  </si>
  <si>
    <t>215846-20T</t>
  </si>
  <si>
    <t>AIRed</t>
  </si>
  <si>
    <t>Developer of pasture management software designed to optimize sustainable land use. The company's software integrates animal batch rotation data with paddock and forage information, enabling professionals and companies in the agricultural sector to access suitable tools to increase productivity.</t>
  </si>
  <si>
    <t>Criabiz Ventures</t>
  </si>
  <si>
    <t>247489-39T</t>
  </si>
  <si>
    <t>RecargaPay Receivables Fund</t>
  </si>
  <si>
    <t>Operator of an Investment fund based in Sao Paulo, Brazil.</t>
  </si>
  <si>
    <t>291947-86T</t>
  </si>
  <si>
    <t>Sharenergy</t>
  </si>
  <si>
    <t>Provider of renewable energy services intended to expand access to solar power in Brazil. The company's services include the installation and management of photovoltaic systems and supporting the energy transition by reducing dependence on traditional sources, enabling businesses with safe and cost-effective energy consumption.</t>
  </si>
  <si>
    <t>224602-39T</t>
  </si>
  <si>
    <t>Houseasy</t>
  </si>
  <si>
    <t>Developer of a home automation controller software designed to provide control over electronic devices. The company's platform allows control of air conditioners, lighting, televisions, stereos, electric shutters, and other devices through a mobile application quickly to create smart homes, enabling consumers to ease their lives and save costs and electricity.</t>
  </si>
  <si>
    <t>Bossa Invest, TM3 Capital</t>
  </si>
  <si>
    <t>256693-96T</t>
  </si>
  <si>
    <t>Ivi Energia</t>
  </si>
  <si>
    <t>Provider of energy services for the distributed generation market.</t>
  </si>
  <si>
    <t>Brookfield Asset Management (TSE: BAM)</t>
  </si>
  <si>
    <t>247365-19T</t>
  </si>
  <si>
    <t>Oligos Biotec</t>
  </si>
  <si>
    <t>Manufacturer of biological pesticides intended to increase the productivity of crops. The company offers products such as insecticides, fertilizers as well as biological pest control solutions, thereby providing its customers with better crop yield and pest control without causing damage to the environment and respecting nature.</t>
  </si>
  <si>
    <t>Fram Capital (BVMF: RCFA11)(Nicolas Lodoño)</t>
  </si>
  <si>
    <t>247299-49T</t>
  </si>
  <si>
    <t>BRPR A Administradora De Ativos Imobiliarios</t>
  </si>
  <si>
    <t>Provider of asset management services based in Sao Paulo, Brazil.</t>
  </si>
  <si>
    <t>CBRE Group (NYS: CBRE)(William Donners)</t>
  </si>
  <si>
    <t>248712-13T</t>
  </si>
  <si>
    <t>Iglu (Brazil)</t>
  </si>
  <si>
    <t>Developer of software designed to facilitate sales and automate businesses with connectivity resolutions between systems and applications. The company's technology provides multiple payment methods, connects to the ERP systems, and works as an omnichannel between e-commerce and physical stores, allowing retailers to facilitate sales and automate their business.</t>
  </si>
  <si>
    <t>1616 Ventures, FJ Labs, Gilgamesh Ventures, Verve Capital</t>
  </si>
  <si>
    <t>248464-36T</t>
  </si>
  <si>
    <t>Iteris</t>
  </si>
  <si>
    <t>Provider of IT consultancy services intended for the digital transformation of clients' businesses in Brazil and around the world. The company specializes in business intelligence, portals and collaboration, business process management and automation, workflows, power BI, data integration, SharePoint, analytics, Nintex workflow, QlikView, tableau, APIs, azure, aws, Qlik sense, Meios de pagamento and Sharepoint online.</t>
  </si>
  <si>
    <t>Globant (NYS: GLOB)(Martin Migoya)</t>
  </si>
  <si>
    <t>247721-95T</t>
  </si>
  <si>
    <t>Kinea Oportunidades Real Estate Fundo (BVMF: KORE11)</t>
  </si>
  <si>
    <t>Kinea Oportunidades Real Estate Fundo De Investimento Imobiliario is a real estate fund is organized in the form of a closed condominium in which the redemption of shares is not permitted with an indefinite duration.</t>
  </si>
  <si>
    <t>247381-21T</t>
  </si>
  <si>
    <t>QGP Quimica Geral</t>
  </si>
  <si>
    <t>Operator of a specialty chemicals company intended to cater to leather, agriculture, home care, industrial chemicals, construction and other related markets. The company specialises in the production of chemical specialties and agrochemicals, thereby enabling its clients to be provided with chemical solutions meeting their specific requirements.</t>
  </si>
  <si>
    <t>Innospec (NAS: IOSP)(Patrick Williams)</t>
  </si>
  <si>
    <t>247247-65T</t>
  </si>
  <si>
    <t>Vou de Nekô</t>
  </si>
  <si>
    <t>Developer of an Asian culture and gastronomy application designed to connect people through cultural experiences and cuisine exploration. The company offers a platform dedicated to promoting Asian gastronomy and culture, enabling community connections, and delivering diverse Asian cuisines with the culinary experiences of Asian food enthusiasts, and strengthening cultural connections.</t>
  </si>
  <si>
    <t>Angelica NKyn(Angelica NKyn)</t>
  </si>
  <si>
    <t>297569-71T</t>
  </si>
  <si>
    <t>Zentek(Financial Software)</t>
  </si>
  <si>
    <t>Developer of digital risk management systems designed for customer engagement and retention. The company's platform offers telemedicine, psychological support, life insurance, pharmacy discounts, and health check-ups, enabling insurers and brokers to integrate personalized benefits into their systems, enhancing user experience, improving service accessibility, and fostering stronger client relationships through technology-driven, comprehensive assistance.</t>
  </si>
  <si>
    <t>221140-72T</t>
  </si>
  <si>
    <t>Acre Venture Partners, Globo Ventures, IDB Lab, Maya Capital, SP Ventures, Syngenta Group Ventures, Valor Capital Group</t>
  </si>
  <si>
    <t>209602-99T</t>
  </si>
  <si>
    <t>Arco Educação</t>
  </si>
  <si>
    <t>Operator of an educational platform intended to provide education through content and technology in a sustainable way. The company offers a complete pedagogical system with interactive digital, print, and audiovisual materials aligned to the Brazilian K-12 curriculum, enabling private school students in Brazil to experience a personalized and immersive education.</t>
  </si>
  <si>
    <t>Dragoneer Investment Group, General Atlantic(Martin Escobari)</t>
  </si>
  <si>
    <t>247218-13T</t>
  </si>
  <si>
    <t>Codebuddy (Brazil)</t>
  </si>
  <si>
    <t>Provider of educational services designed for children and young teenagers to develop programming and digital intelligence skills. The company combines playful learning activities with a hybrid methodology and personalized advancement options, enabling students to become active creators and changemakers in the increasingly technological world.</t>
  </si>
  <si>
    <t>Supergeeks</t>
  </si>
  <si>
    <t>247189-51T</t>
  </si>
  <si>
    <t>Escola e Colégio Jardim das Nações</t>
  </si>
  <si>
    <t>Operator of an Educational institution based in Taubate, Brazil. The company offers a school of large space with a park, trees and lawns, to serve children from two to eight years of age, high school with the Montessori teaching method.</t>
  </si>
  <si>
    <t>226300-42T</t>
  </si>
  <si>
    <t>Letrus</t>
  </si>
  <si>
    <t>Developer of an education literacy program intended to reduce functional illiteracy in the Portuguese language by improving practice opportunities. The company's platform tracks the writing skills and linguistic intelligence of individual students to generate reports that are delivered to teachers for further assessment, enabling teaching organizations to diagnose texts and propose didactic sequences based on learning as well as improve the pedagogical, writing, and cognitive skills of students.</t>
  </si>
  <si>
    <t>Altitude (Sao Paulo), Altitude Investment Management, Crescera Capital, IDB Lab, Lemann Foundation(Jorge Lemann), Owl Ventures(Hailey Carter), Potencia Ventures, VélezReyez+(David Vélez)</t>
  </si>
  <si>
    <t>247127-68T</t>
  </si>
  <si>
    <t>Colab Tecnologia E Servicos De Internet</t>
  </si>
  <si>
    <t>Developer of an online citizen relationship management platform designed to connect citizens with their governments. The company's platform monitors daily issues, evaluates public services, and helps share thoughts and findings with other citizens, enabling the government to improve cities and citizen participation in the decision-making process.</t>
  </si>
  <si>
    <t>253027-63T</t>
  </si>
  <si>
    <t>Moya Aero</t>
  </si>
  <si>
    <t>Developer of an automated cargo drone designed for a range of logistics applications. The company's drones are built for multiple applications and diverse market needs and deliver expressive gains in operating costs and productivity, enabling clients to overcome the challenges of conventional transportation sustainably and efficiently.</t>
  </si>
  <si>
    <t>Techstars</t>
  </si>
  <si>
    <t>233682-94T</t>
  </si>
  <si>
    <t>UBS Group (Real Estate Business Unit in Brazil)</t>
  </si>
  <si>
    <t>Operator of real estate business based out of Brazil.</t>
  </si>
  <si>
    <t>Patria Investments (NAS: PAX)(Alexandre de Assumpcao Saigh)</t>
  </si>
  <si>
    <t>246988-18T</t>
  </si>
  <si>
    <t>Abrahão</t>
  </si>
  <si>
    <t>Developer of a digital menu platform intended to help clients modernize the ordering system. The company's platform specializes in providing detailed reports on on-site movement, including comparisons between the number of requests from one week to another, it also helps to take orders on time and schedule promotional dates to boost sales in real-time, enabling clients to get feedback and analyze them to make improvements along with reducing service expenses.</t>
  </si>
  <si>
    <t>Goomer Tecnologias(Felipe Sardo)</t>
  </si>
  <si>
    <t>246978-46T</t>
  </si>
  <si>
    <t>Camerge</t>
  </si>
  <si>
    <t>Provider of energy management services intended to guide consumers and generators who sell energy in the free energy market. The company's services include energy management, energy generator management, power management and other services.</t>
  </si>
  <si>
    <t>292206-25T</t>
  </si>
  <si>
    <t>Copagri</t>
  </si>
  <si>
    <t>Provider of grain handling and processing services intended to manage post-harvest operations and facilitate market access. The company offers grain standardization, custom soybean industrialization and integrated logistics, including storage and transport, enabling agricultural producers, cooperatives and traders to distribute products across domestic and international markets.</t>
  </si>
  <si>
    <t>Grupo Safras(Pedro Filho)</t>
  </si>
  <si>
    <t>261432-91T</t>
  </si>
  <si>
    <t>Deskfy</t>
  </si>
  <si>
    <t>Developer of brand management software designed to centralize brand-related content. The company's platform centralizes processes, marketing requests, demands, approvals, and communication material to have consistency, enabling businesses to maintain brand consistency and boost marketing efficiency and strategies.</t>
  </si>
  <si>
    <t>248049-82T</t>
  </si>
  <si>
    <t>Valora Cri Infra Ii Fundo (BVMF: VGII11)</t>
  </si>
  <si>
    <t>Valora Cri Infra Ii Fundo De Investimento Imobiliario De Responsabilid is a fund which falls into the category of real estate investment fund. The Fund's objective is to invest predominantly in Certificates of Real Estate Receivables.</t>
  </si>
  <si>
    <t>216174-34T</t>
  </si>
  <si>
    <t>Vidroporto</t>
  </si>
  <si>
    <t>Manufacturer of glass containers intended to serve alcoholic beverages and food sectors. The company offers glass containers and bottles for cachaça, beers, wines, cognacs, ices, liqueurs, olive oils.</t>
  </si>
  <si>
    <t>Vidrala (MAD: VID)</t>
  </si>
  <si>
    <t>287492-86T</t>
  </si>
  <si>
    <t>Bitshopp</t>
  </si>
  <si>
    <t>Developer of a tokenization platform intended to tokenize assets and record data on the blockchain. The company's platform specializes in providing blockchain-based financial architecture and infrastructure to connect with tokenization application programming interface (API) and automate processes and services, creating fully customized and white-label operations, enabling businesses to issue, trade, and manage digital assets in a simple, secure, and scalable way.</t>
  </si>
  <si>
    <t>Fenasbac</t>
  </si>
  <si>
    <t>287412-67T</t>
  </si>
  <si>
    <t>Pluggy</t>
  </si>
  <si>
    <t>Developer of open banking infrastructure for programmers intended to connect fintech applications to users' financial data. The company's platform allows its clients and their companies to get access to their digital financial data flexibly and provides innovators of all segments and sizes to create experiences based on open finance with security and respect for users' privacy, enabling institutions and their clients to share their banking data through interconnected APIs to provide differentiated services according to individual consumption.</t>
  </si>
  <si>
    <t>249087-70T</t>
  </si>
  <si>
    <t>Guangde Chengxin, Sichuan Yahua Industrial Group (SHE: 002497)</t>
  </si>
  <si>
    <t>256828-96T</t>
  </si>
  <si>
    <t>A Sementeria</t>
  </si>
  <si>
    <t>Provider of healthy food products based in Sao Paulo, Brazil. The company offers variety mix of seasoned, roasted, and vegan seeds to its clients in the food industry.</t>
  </si>
  <si>
    <t>Manjuba(Juliana Braz)</t>
  </si>
  <si>
    <t>263348-38T</t>
  </si>
  <si>
    <t>Agrointeli</t>
  </si>
  <si>
    <t>Developer of agriculture technology designed to connect farmers with their farms. The company's platform centralizes, integrates, and organizes several data sources in a complete system of simple access, which serves all levels of its farm team, producing intelligence, automation, and optimization of processes that save money and time, enabling farmers to track every operation of the farm's employees and increase their efficiency.</t>
  </si>
  <si>
    <t>Federal University of Mato Grosso do Sul</t>
  </si>
  <si>
    <t>246716-74T</t>
  </si>
  <si>
    <t>Ahgora</t>
  </si>
  <si>
    <t>Developer of a human resource management platform designed to transform the management of people in small, medium and large companies. The company's platform assists in managing employees in multiple locations simultaneously on a single dashboard, thereby enabling clients to speed up routine procedures and keep costs under control.</t>
  </si>
  <si>
    <t>Totvs (BVMF: TOTS3)</t>
  </si>
  <si>
    <t>258241-60T</t>
  </si>
  <si>
    <t>Antler, TM3 Capital</t>
  </si>
  <si>
    <t>248338-90T</t>
  </si>
  <si>
    <t>É Bom ou Não</t>
  </si>
  <si>
    <t>Developer of an artificial intelligence technology designed to make the best purchase. The company's platform compares prices and helps in finding the best products to scour the web for the lowest prices, presenting users with clear and concise comparisons to facilitate informed purchasing decisions, enabling shoppers to save money and stretch their budgets further.</t>
  </si>
  <si>
    <t>Brazil Venture Capital</t>
  </si>
  <si>
    <t>300993-22T</t>
  </si>
  <si>
    <t>ENG Technological Solutions</t>
  </si>
  <si>
    <t>Developer of customizable embedded software designed for data acquisition and communication support. The company offers expertise in microcontroller programming, communication protocols such as radio-frequency identification and long range, printed circuit board design, and big data analytics for sensor data interpretation, enabling sectors like agribusiness, automotive, energy, internet of things, and telecommunications to implement tailored technological systems that improve operational efficiency, data accuracy, and integration across distributed environments.</t>
  </si>
  <si>
    <t>MS Global Emerging Business Program</t>
  </si>
  <si>
    <t>246788-38T</t>
  </si>
  <si>
    <t>Fluxus Oge</t>
  </si>
  <si>
    <t>Operator of oil and gas production company based in Rio de Janeiro, Brazil. The company offers oil infrastructure, fields and power projects</t>
  </si>
  <si>
    <t>J&amp;F Investimentos(Wesley Batista Filho)</t>
  </si>
  <si>
    <t>253149-85T</t>
  </si>
  <si>
    <t>GR Industria Quimica</t>
  </si>
  <si>
    <t>Manufacturer of chemical products for the treatment of water, effluents and industrial processes intended to serve the sanitation sector and segments of the paper, textile, food cleaning and many other industries. The company offers various chemicals such as acids, chlorine gas, sodium aluminate and other products as well as provides services such as removing impurities, disinfecting and preserving water, thus contributing to the improvement of the environment.</t>
  </si>
  <si>
    <t>GEF Capital Partners</t>
  </si>
  <si>
    <t>247047-76T</t>
  </si>
  <si>
    <t>Identityz</t>
  </si>
  <si>
    <t>Developer of an authentication mechanism designed for secure and reliable people verification. The company offers integrated Open Authentication and integrated API, enabling clients to request integrations in a friendly way.</t>
  </si>
  <si>
    <t>Chile Ventures</t>
  </si>
  <si>
    <t>248355-19T</t>
  </si>
  <si>
    <t>Poli Angels Group</t>
  </si>
  <si>
    <t>295348-42T</t>
  </si>
  <si>
    <t>Mark (IT Consulting and Outsourcing)</t>
  </si>
  <si>
    <t>Provider of digital technology solutions intended to optimize regular operations and increase revenue in each sales channel. The company's platform offers a unified space for marketing services, helps to use CRM intelligence to activate customers via WhatsApp or user's brand's application automatically, enabling small and medium businesses to get a platform to run their entire operation and sell their products and services.</t>
  </si>
  <si>
    <t>247852-90T</t>
  </si>
  <si>
    <t>NANOFOOD</t>
  </si>
  <si>
    <t>Manufacturer of a nanotechnology packaging material intended to increase product life. The company's products are biodegradable components and inputs authorized for use in food, resulting in a coating capable of increasing the shelf life of the fruit and preventing rapid maturation of the fruits in the post-harvest preserving a significant part of the production from being exported, enabling businesses to strengthen their foreign sales and increase their profitability.</t>
  </si>
  <si>
    <t>Mergus Ventures</t>
  </si>
  <si>
    <t>284467-24T</t>
  </si>
  <si>
    <t>Perfect Flight</t>
  </si>
  <si>
    <t>Developer of an aerial spray analysis platform designed to facilitate the daily life of the producer. The company's platform helps to focus on quality analysis, use, and success of applications, with the objective of optimizing performance and improving the accuracy and uniformity of applications on an ongoing basis, enabling clients to have access to relevant data quickly and assertively for decision-making.</t>
  </si>
  <si>
    <t>Esalqtec</t>
  </si>
  <si>
    <t>285894-37T</t>
  </si>
  <si>
    <t>Pin Up (Entertainment Software)</t>
  </si>
  <si>
    <t>Developer of an online casino platform designed to offer games with payment options and bonuses. The company's platform has a playful retro pin-up design, enabling games to get convenient payment options and a safe and fair gaming experience.</t>
  </si>
  <si>
    <t>Koolen &amp; Partners</t>
  </si>
  <si>
    <t>276758-38T</t>
  </si>
  <si>
    <t>Snackin'</t>
  </si>
  <si>
    <t>Operator of an autonomous micro-market platform intended to innovate the way of shopping. The company's platform focuses on installing a micro market inside a condominium or business with exclusive design and installation, enabling customers to choose a product, scan the barcode and make the payment.</t>
  </si>
  <si>
    <t>Fegik Investimentos</t>
  </si>
  <si>
    <t>213979-51T</t>
  </si>
  <si>
    <t>Symbiomics</t>
  </si>
  <si>
    <t>Operator of a biotechnology company intended to focus on developing biological products containing efficient microbes for multiple applications in agriculture and the environment. The company's services include translating cutting-edge scientific knowledge into products that improve plant performance and reduce environmental degradation, performing notable work, and becoming a global reference in the biological market by developing innovative products and technologies, enabling farmers to do sustainable agricultural production through the use of organic products.</t>
  </si>
  <si>
    <t>Arar Capital, Baraúna Investimentos, Ecoa Capital, MOV Investimentos, The Yield Lab Latam, Vesper (Biotechnology)</t>
  </si>
  <si>
    <t>254341-99T</t>
  </si>
  <si>
    <t>247031-83T</t>
  </si>
  <si>
    <t>EliteSoft</t>
  </si>
  <si>
    <t>Developer of software for telecom providers intended to serve the internet provider market. The company specializes in enterprise resource planning, business intelligence, CRM, and telecommunications, thereby enabling it to serve various departments including financial administration, commercial and implantation.</t>
  </si>
  <si>
    <t>Voalle Group(Gilnei Engelmann)</t>
  </si>
  <si>
    <t>266663-98T</t>
  </si>
  <si>
    <t>Fitinsur</t>
  </si>
  <si>
    <t>Developer of a cloud-based insurance platform intended to accelerate the digital transformation of insurance companies. The company's platform provides a wide range of features, including product configuration, distribution, and customer management, enabling clients to reach new markets and offer innovative products and services.</t>
  </si>
  <si>
    <t>247034-26T</t>
  </si>
  <si>
    <t>Fundo de Investimento Imobiliario de Unidades Autonomas IV (BVMF: IDUA11)</t>
  </si>
  <si>
    <t>Fundo De Investimento Imobiliario De Unidades Autonomas IV Is a Real estate investment trust.</t>
  </si>
  <si>
    <t>297531-55T</t>
  </si>
  <si>
    <t>226080-55T</t>
  </si>
  <si>
    <t>SMART Modular Technologies do Brasil - Indústria e Comércio de Componentes</t>
  </si>
  <si>
    <t>Manufacturer of semiconductor memory components based in Sao Paulo, Brazil. The company offers semiconductors for memory modules, solid-state data storage devices and wireless communication modules for the Internet of Things, thereby developing high-tech solutions and innovative products.</t>
  </si>
  <si>
    <t>Lexar</t>
  </si>
  <si>
    <t>General Purpose Semiconductors</t>
  </si>
  <si>
    <t>247166-65T</t>
  </si>
  <si>
    <t>Suno Multiestrategia Fund (BVMF: SNME11)</t>
  </si>
  <si>
    <t>Suno Multiestrategia Fundo De Investimento Imobiliario is a fund with the objective of investing broadly in the local real estate market . Management navigates through different classes of products and strategies, seeking to navigate different market cycles through a dynamic and bold allocation.</t>
  </si>
  <si>
    <t>272126-53T</t>
  </si>
  <si>
    <t>BSeller</t>
  </si>
  <si>
    <t>Developer of enterprise resource planning (ERP) tools intended to serve medium and large-scale firms. The company offers back-office tools to meet the new demand for online sales, thereby offering greater logistics performance and cost optimization.</t>
  </si>
  <si>
    <t>Loja do Mecânico, PetLove</t>
  </si>
  <si>
    <t>252005-32T</t>
  </si>
  <si>
    <t>295511-23T</t>
  </si>
  <si>
    <t>efexHub</t>
  </si>
  <si>
    <t>Developer of financial software designed to facilitate international currency exchange operations. The company's platform offers digital tools that streamline processes such as registration, transaction monitoring, and compliance checks, enabling businesses to conduct cross-border transactions efficiently and securely, thereby reducing operational costs and enhancing user experience.</t>
  </si>
  <si>
    <t>FGV EAESP</t>
  </si>
  <si>
    <t>297539-74T</t>
  </si>
  <si>
    <t>Logstore</t>
  </si>
  <si>
    <t>Developer of a retail logistics platform designed to improve customer experience. The company's platform offers collaboration between suppliers, customers and partners and emphasizes the value of human interactions and connections, enabling brands to sell and deliver in just one click.</t>
  </si>
  <si>
    <t>291216-70T</t>
  </si>
  <si>
    <t>Metha Energia</t>
  </si>
  <si>
    <t>Developer of a digital energy management platform intended to connect residential consumers to renewable energy plants. The company specializes in offering energy generated using renewable resources such as sunlight and organic matter through renewable plants that generate energy, enabling users with sustainable, practical and low-cost energy.</t>
  </si>
  <si>
    <t>228041-83T</t>
  </si>
  <si>
    <t>Velos</t>
  </si>
  <si>
    <t>Developer of a digital intelligence platform designed for agricultural machinery monitoring. The company offers accurate management of agricultural operations, and collects and provides information directly from the sensors connected to the machines and equipment on the field, enabling clients and farmers to fetch the performance of assets, extract real-time data, and fix efficiency.</t>
  </si>
  <si>
    <t>299152-45T</t>
  </si>
  <si>
    <t>Ap.controle</t>
  </si>
  <si>
    <t>Developer of property management software intended for the administration of residential buildings. The company's platform offers financial tracking, incident reporting, reservation systems, and mobile access for residents, enabling condominium managers and administrators to efficiently handle daily operations and enhance resident engagement.</t>
  </si>
  <si>
    <t>299635-21T</t>
  </si>
  <si>
    <t>ConstruMoney</t>
  </si>
  <si>
    <t>Operator of an essential credit platform intended for small and medium-sized construction companies. The company is for businesses that have difficulty accessing financing for their projects, and they offer financial solutions for the entire project journey, creating a customized analysis model that allows them to grant credit in a safer and more agile way, enabling clients to get security and greater profitability for the builder.</t>
  </si>
  <si>
    <t>299161-09T</t>
  </si>
  <si>
    <t>Digiliza</t>
  </si>
  <si>
    <t>Developer of process automation tools designed for enhancing business management and communication. The company's platform integrates digital workflow automation for accounting processes and chatbot technology for customer interaction, featuring error reduction, productivity optimization, automated support, and seamless integration into operational routines, enabling businesses across accounting, real estate, retail, and healthcare to increase efficiency, minimize rework, and deliver consistent service experiences at scale.</t>
  </si>
  <si>
    <t>299151-46T</t>
  </si>
  <si>
    <t>E2B Tecnologia e Treinamento</t>
  </si>
  <si>
    <t>Developer of organizational management tools designed for facilitating the setting and tracking of goals and objectives.The company is currently operating in stealth mode.</t>
  </si>
  <si>
    <t>299381-32T</t>
  </si>
  <si>
    <t>Emusys</t>
  </si>
  <si>
    <t>Operator of a music school management platform intended for music schools within the education technology sector. The company offers tools for administrative and financial operations, including class scheduling, billing, and performance analytics, accessible through applications for students and teachers, enabling users to be organized in their day-to-day life.</t>
  </si>
  <si>
    <t>299386-45T</t>
  </si>
  <si>
    <t>Huna Habits</t>
  </si>
  <si>
    <t>Developer of a behavioral technology platform designed to foster healthy behaviors for improved well-being and productivity. The company's platform offers personalized programs and daily support via a virtual assistant, along with corporate well-being initiatives, enabling individuals and organizations to achieve consistent behavioral change and measurable improvements in health and productivity.</t>
  </si>
  <si>
    <t>299162-35T</t>
  </si>
  <si>
    <t>299405-98T</t>
  </si>
  <si>
    <t>Lean Guide</t>
  </si>
  <si>
    <t>Developer of operational management technology designed for process optimization and lean implementation. The company's platform offers digital tools for executing, monitoring, and sustaining continuous improvement practices such as visual management, workflow standardization, and task tracking, enabling industrial teams and manufacturing leaders to increase efficiency, reduce waste, and make data-informed decisions through streamlined operational oversight.</t>
  </si>
  <si>
    <t>246471-94T</t>
  </si>
  <si>
    <t>Livance</t>
  </si>
  <si>
    <t>Developer of space as a service platform designed to reinvent medical offices. The company's platform provides pay-per-use office space for healthcare professionals to see and captivate their patients and provides amenities such as common areas, acoustic systems, cleaning services, gynecology rooms, and more, enabling healthcare professionals to reduce fixed costs and administer tasks easily.</t>
  </si>
  <si>
    <t>Cadonau Investimentos, Monashees, Rock9 Ventures, Terracotta Ventures</t>
  </si>
  <si>
    <t>Office Services (B2B)</t>
  </si>
  <si>
    <t>299150-02T</t>
  </si>
  <si>
    <t>Logiconn</t>
  </si>
  <si>
    <t>Developer of a logistics intelligence platform designed to optimize freight management and reduce logistics costs across the industry. The company's platform automates key freight processes such as selection of optimal carriers, cargo monitoring, financial reconciliation, and audit of logistics operations with features such as negotiation of freight tables, freight simulator, delivery tracking, financial reconciliation, process audit, dashboards and reports, enabling clients to achieve consistency, security, and transparency in operational outcomes.</t>
  </si>
  <si>
    <t>299386-72T</t>
  </si>
  <si>
    <t>MaHR Tech</t>
  </si>
  <si>
    <t>Developer of workforce engagement technology intended to enhance talent acquisition and retention efforts. The company's platform supports Human Resource managers, executive leaders, and employer branding specialists in amplifying their organization's appeal as an employer. By combining tools, actionable insights, and curated knowledge rooted in practices from large the company promotes growth, culture, and organizational attractiveness.</t>
  </si>
  <si>
    <t>299390-32T</t>
  </si>
  <si>
    <t>Stift (Educational Software)</t>
  </si>
  <si>
    <t>Developer of a mobile application designed to provide answers to the questions sent by users. The company's application solves complex questions by sending them through text, videos, photos, audios and PDFs and get answers from professors across the country, connects students with tutors and creates entirely online tutoring with mechanisms that students, coordinators and teachers are looking for, enabling students to get answers of their questions and simplify their education process.</t>
  </si>
  <si>
    <t>299154-34T</t>
  </si>
  <si>
    <t>Zenobia Consulting</t>
  </si>
  <si>
    <t>Developer of an organization development platform designed to support agile transformation and strategic growth. The company offers customized training in agile methodologies, objectives and key results (OKRs), design thinking, and business frameworks, delivered through practical, scenario-based learning experiences that emphasize real-world application, collaborative exercises, expert instruction, and peer networking, enabling businesses to improve team efficiency, decision-making, and adaptability in evolving business environments.</t>
  </si>
  <si>
    <t>299154-61T</t>
  </si>
  <si>
    <t>Zroo</t>
  </si>
  <si>
    <t>Developer of a digital property rentals platform designed to deliver affordable and accessible services to the real estate market. The company's platform offers users to browse and select properties, schedule visits at their convenience, and connect with on-site brokers, all without unnecessary bureaucracy and also offers tools for brokers to manage earnings and accelerate their growth, enabling clients to experience a modern, efficient, and dynamic approach to renting that's simple, fast, and streamlined.</t>
  </si>
  <si>
    <t>211838-50T</t>
  </si>
  <si>
    <t>Bankly (Financial Software)</t>
  </si>
  <si>
    <t>Operator of a financial services platform intended to work with any type of segment and business model. The company's service offerings include card issuance, operational regulation, and integration with SPB to the customers.</t>
  </si>
  <si>
    <t>Banco BV</t>
  </si>
  <si>
    <t>266103-46T</t>
  </si>
  <si>
    <t>SafePoint (IT Consulting and Outsourcing )</t>
  </si>
  <si>
    <t>Provider of cybersecurity services intended for businesses. The company's platform offers customized cybersecurity solutions, ensuring the protection of critical data and real-time monitoring of information.</t>
  </si>
  <si>
    <t>Mindworks (IT Consulting and Outsourcing)(Niase Borjaille)</t>
  </si>
  <si>
    <t>257587-30T</t>
  </si>
  <si>
    <t>AIQGen</t>
  </si>
  <si>
    <t>Developer of generative AI products intended to make the technology widely available. The company offers a generative assistant that can be used on WhatsApp to answer questions, generate images, and transcribe audio, empowering users to leverage the capabilities of artificial intelligence.</t>
  </si>
  <si>
    <t>257588-02T</t>
  </si>
  <si>
    <t>NVIDIA Inception</t>
  </si>
  <si>
    <t>244195-21T</t>
  </si>
  <si>
    <t>Brasol</t>
  </si>
  <si>
    <t>Operator of a solar energy service company intended for commercial and industrial energy consumers including retailers, manufacturers and other related clients. The company specializes in offering turn-key solutions for a diverse range of commercial and industrial energy needs, including free- and captive-market consumers with an interest in either on-site or remote generation, helping the clients by creating immediate energy cost-savings without their having to invest in equipment, installation or operations.</t>
  </si>
  <si>
    <t>BlackRock (NYS: BLK)(Anmay Dittman), Siemens Financial Services(David Taff)</t>
  </si>
  <si>
    <t>246369-70T</t>
  </si>
  <si>
    <t>Ctrl+Play</t>
  </si>
  <si>
    <t>Operator of an educational platform intended to serve children and teenagers. The company offers teaching programming and robotics through a methodology, that contributes to the training and development of their students, thereby providing customer focus and innovative and collaborative services.</t>
  </si>
  <si>
    <t>Actis(Patrick Ledoux), CNA Inglês Definitivo</t>
  </si>
  <si>
    <t>246292-48T</t>
  </si>
  <si>
    <t>Destaxa</t>
  </si>
  <si>
    <t>Developer of payment software intended to send each transaction to the acquirer offering a low processing fee. The company's platform offers a technology to help merchants seamlessly work with multiple payment acquirers and accept multiple payment networks with its automatic routing solutions, enabling merchants to find cost-efficient payment methods for each transaction.</t>
  </si>
  <si>
    <t>Astella Investimentos, Caravela Capital, Clocktower Ventures, Endeavor Promessas, Quona Capital, Supera Capital</t>
  </si>
  <si>
    <t>246296-62T</t>
  </si>
  <si>
    <t>Flavor Tec Aromas de Frutas</t>
  </si>
  <si>
    <t>Producer of essential oils intended to offer citric essential oils for consumer goods market, including foods, cosmetics, and daily necessities. The company's products include sweetened concentrated juices, natural citric aromas, concentrated citrus fruit oils, frozen fruit pulps, and other products.</t>
  </si>
  <si>
    <t>Prinova</t>
  </si>
  <si>
    <t>251199-19T</t>
  </si>
  <si>
    <t>Smash Mountain Studio</t>
  </si>
  <si>
    <t>Operator of a highly competitive and community-driven cross-gaming platform intended to provide innovative technology experiences. The company's platform is focused on entertainment and aims to transform the competitive gaming structure with original mechanics created for smartphones, tablets and PC, enabling gamers to experience realistic technology.</t>
  </si>
  <si>
    <t>Block Dojo</t>
  </si>
  <si>
    <t>246611-08T</t>
  </si>
  <si>
    <t>Chippu</t>
  </si>
  <si>
    <t>Developer of a curated video streaming platform based in Brasilia, Brazil. The company offers cinema, web series and reviews, thereby helping save customers's time.</t>
  </si>
  <si>
    <t>Omelete Company(Fabio Reis)</t>
  </si>
  <si>
    <t>246542-05T</t>
  </si>
  <si>
    <t>Fator Verita (BVMF: VRTM11)</t>
  </si>
  <si>
    <t>Fator Verita Multiestrategia Fundo De Investimento Imobiliario is Real Estate Investment Fund whose objective is to acquire real estate-based assets such as real estate developments, shares in the real estate sector, Debentures, Special Purpose Companies (SPE), Equity Investment Funds (FIP), Certificates of Additional Construction Potential (CEPAC), Real Estate Fund Shares (FII), Real Estate Receivables Certificates (CRI), Credit Rights Investment Fund Shares (FIDC), Mortgage Letter ( LH), Real Estate Credit Letter (LCI), Guaranteed Real Estate Letter (LIG), Fixed Income FI Quotas, and other assets and securities.</t>
  </si>
  <si>
    <t>264424-33T</t>
  </si>
  <si>
    <t>More Invest</t>
  </si>
  <si>
    <t>Operator of asset management firm based in Sao Paulo, Brazil. The company offers investment products with predictability and significant opportunities, focusing on structured credit funds and real estate investment trusts (REITs).</t>
  </si>
  <si>
    <t>VBI Real Estate (BVMF: LVBI11)</t>
  </si>
  <si>
    <t>224255-71T</t>
  </si>
  <si>
    <t>Coelce</t>
  </si>
  <si>
    <t>CIA Energetica Do Ceara - COELCE is primarily engaged in the generation and sale of electricity business activities. It also involved in development, distribution, and marketing of electrical power. In addition, the company involved in the distribution of electrical power for industrial, rural, public and residential consumption. It derives most of its revenues from the sale of the electricity business activities and has operations spread across Brazil.</t>
  </si>
  <si>
    <t>Enel Brasil(Aurelio de Oliveira)</t>
  </si>
  <si>
    <t>246077-47T</t>
  </si>
  <si>
    <t>RadarFit</t>
  </si>
  <si>
    <t>Developer of a fitness application designed to offer an online game for people to transform their health and body. The company's software proposes tasks and awards real prizes for every task performed, enabling users to adopt a lifestyle through the gamification of various activities.</t>
  </si>
  <si>
    <t>Bertha Capital, Hiker Ventures, M8 Partners, We Ventures(Marcella Ceva)</t>
  </si>
  <si>
    <t>256122-19T</t>
  </si>
  <si>
    <t>Snackclub</t>
  </si>
  <si>
    <t>Developer of a community-based gaming platform designed to empower people through games and blockchain technologies. The company offers tournaments, events, and investment opportunities in NFT games, enabling gamers to compete, earn rewards in cryptocurrency, and engage with a network.</t>
  </si>
  <si>
    <t>Animoca Ventures, Beam Interface, Fundamental Labs</t>
  </si>
  <si>
    <t>250653-43T</t>
  </si>
  <si>
    <t>Useflow</t>
  </si>
  <si>
    <t>Developer of an internal marketing platform designed for corporate communication. The company's applications develop greater adherence and engagement with everyone on the team regarding communication, research, training, and development in a revolutionary technology, helping firms make the right decisions, and transform their relationship with their employees.</t>
  </si>
  <si>
    <t>Pegasus Tech Ventures</t>
  </si>
  <si>
    <t>254139-31T</t>
  </si>
  <si>
    <t>Ecomilhas</t>
  </si>
  <si>
    <t>Developer of an eco-friendly mobility program designed to reduce carbon emissions. The company's platform rewards sustainable mobility, including walking, cycling, public transport, and electric or ethanol-fueled vehicles, by providing benefits such as discounts, enabling individuals and companies to contribute to a sustainable future.</t>
  </si>
  <si>
    <t>Urban-X(Sarah Schappert)</t>
  </si>
  <si>
    <t>245878-30T</t>
  </si>
  <si>
    <t>Mappa (Brazil)</t>
  </si>
  <si>
    <t>Developer of a online drone image processing platform designed to process the images captured by the drones. The company offers software solutions related to energy, engineering, topography, environmental and agricultural.</t>
  </si>
  <si>
    <t>Aerologix(Tom Caska)</t>
  </si>
  <si>
    <t>255815-74T</t>
  </si>
  <si>
    <t>Captur (Alternative Energy Equipment)</t>
  </si>
  <si>
    <t>Provider of remote solar power plants intended to focus on the renewable energy sector. The company provides investment service in a remote photovoltaic plant, once the plant is assembled it starts generating energy which is delivered to the consumer unit, enabling users to save energy and contribute to building a a greener world.</t>
  </si>
  <si>
    <t>245716-57T</t>
  </si>
  <si>
    <t>Cebrac</t>
  </si>
  <si>
    <t>Provider of educational services for young people in primary and secondary education. The company offers professional courses, ranging from industrial mechanics and cell phone and computer maintenance to caregivers and pharmacy attendants.</t>
  </si>
  <si>
    <t>Fictor Alimentos(Carol Paiffer)</t>
  </si>
  <si>
    <t>291925-27T</t>
  </si>
  <si>
    <t>WRI Brasil</t>
  </si>
  <si>
    <t>291927-25T</t>
  </si>
  <si>
    <t>AmBev (BVMF: ABEV3)</t>
  </si>
  <si>
    <t>245653-03T</t>
  </si>
  <si>
    <t>LogComex</t>
  </si>
  <si>
    <t>Developer of a foreign trade management platform intended to provide real-time information on customs procedures for ports, warehouses, importers, and exporters. The company's platform helps in global trade, big data, and business intelligence to improve operations by providing strategic, operational, and commercial information to businesses, enabling clients to monitor their shipments in real time and verify exactly where they can be saved in logistics.</t>
  </si>
  <si>
    <t>Alexia Ventures, Caravela Capital(Rodrigo Vieira), Endeavor Catalyst, Igah Ventures, Muralha Capital, Riverwood Capital(Francisco Alvarez-Demalde), Spectra Investments</t>
  </si>
  <si>
    <t>245721-52T</t>
  </si>
  <si>
    <t>Levain Capital, Quintal Ventures, Richardson Communications Group, Valora Ventures, Westwood Capital (Brazil)</t>
  </si>
  <si>
    <t>253460-62T</t>
  </si>
  <si>
    <t>Nude</t>
  </si>
  <si>
    <t>Producer of vegan milk intended to produce plant-based foods from oats. The company develops food products made from organically-grown oats, produced by small growers, which have a combination of flavor, health, and sustainability, and calculates the carbon footprint of all its products, enabling consumers to consume vegetable alternatives in a simplified way.</t>
  </si>
  <si>
    <t>Lever VC, Overboost(Laura Prado)</t>
  </si>
  <si>
    <t>266485-06T</t>
  </si>
  <si>
    <t>Able-On</t>
  </si>
  <si>
    <t>Developer of a mobility platform designed to transform mobility and logistics challenges with innovative and practical technology. The company's technology transforms operational processes with precision, connectivity and adaptable intelligence and boasts a user-friendly, customizable interface infused with artificial intelligence(AI), uniting top internet-of-things (IoT) devices with a real-time analytics, enabling logistics sector to get driver behavior analysis and real-time data insights, respectively, addressing fuel efficiency, accident prevention and workflow management.</t>
  </si>
  <si>
    <t>244367-11T</t>
  </si>
  <si>
    <t>GrowinCo.</t>
  </si>
  <si>
    <t>Developer of a digital platform intended to connect co-packers, fast-moving consumer goods companies, and co-manufacturers. The company's platform features a database of suppliers, co-manufacturing and co-packing services, as well as a new product development tool, enabling industries to optimize their manufacturing, procurement, and research and development processes.</t>
  </si>
  <si>
    <t>Mandi Ventures(Raffael Teruel), South Capital</t>
  </si>
  <si>
    <t>245391-58T</t>
  </si>
  <si>
    <t>Data Rudder</t>
  </si>
  <si>
    <t>Developer of an AI-powered data analytics platform designed to empower businesses to make data-driven decisions that enhance customer experience and prevent fraud. The company's platform leverages AutoML and machine learning to extract actionable insights from diverse data sources, enabling businesses to gain a deeper understanding of their customers, identify fraudulent activities, optimize marketing campaigns and personalize customer interactions.</t>
  </si>
  <si>
    <t>BoostLAB, L4 Venture Builder</t>
  </si>
  <si>
    <t>295940-53T</t>
  </si>
  <si>
    <t>Sandora (Business/Productivity Software)</t>
  </si>
  <si>
    <t>Developer of a risk management and compliance platform designed to help businesses stay protected and compliant. The company's system automates and measures critical information related to risk management, climate impact, and legal compliance also integrates a reporting channel, artificial intelligence based risk classification, institutional policies, measurement surveys, training, psychological support, and auditable reports, enabling clients to effectively manage risks and ensure regulatory adherence.</t>
  </si>
  <si>
    <t>245352-70T</t>
  </si>
  <si>
    <t>Singulare</t>
  </si>
  <si>
    <t>Owner and operator of a securities brokerage firm intended to work mainly with Credit Rights Investment Funds (FIDC). The company offers administration, management, custody and controllership services, thereby enabling its clients to be provided with quality securities broking services in an easliy accessible manner.</t>
  </si>
  <si>
    <t>QI Tech(Pedro Dowell)</t>
  </si>
  <si>
    <t>277249-60T</t>
  </si>
  <si>
    <t>UpMat Educacional</t>
  </si>
  <si>
    <t>Provider of educational content intended to revolutionize how students learn mathematics and computing. The company specializes in making basic education of mathematics, computing, computational thinking, logical reasoning, and problem-solving accessible, enabling children and young people to acquire knowledge and improve their academic performance.</t>
  </si>
  <si>
    <t>Artemisia</t>
  </si>
  <si>
    <t>216120-79T</t>
  </si>
  <si>
    <t>BRF (Pet Food Business)</t>
  </si>
  <si>
    <t>Producer of pet food based in Brazil.</t>
  </si>
  <si>
    <t>245278-45T</t>
  </si>
  <si>
    <t>CondoConta</t>
  </si>
  <si>
    <t>Developer of a digital financial platform designed to offer transparency in the financial management of condominiums. The company's platform works through its application available for iOS and Android devices and includes services like deposit accounts, money transfers, bill payments, and tracking of revenues, enabling customers to manage their bank accounts from their mobiles in the comfort of their homes made for property managers and residents.</t>
  </si>
  <si>
    <t>Elie Horn, Endeavor Promessas, EXT Capital, Igah Ventures, Redpoint eventures(Romero Rodrigues), SYN Prop E Tech, Terracotta Ventures</t>
  </si>
  <si>
    <t>245454-22T</t>
  </si>
  <si>
    <t>Fundo De Investimento Imobiliario - Fator Renda Estruturada (BVMF: FAOE11)</t>
  </si>
  <si>
    <t>Fundo De Investimento Imobiliario - Fator Renda Estruturada is a real estate investment fund constituted in the form of a closed condominium. The Fund's main objective is to invest in off-plan residential properties with income and real estate residential in stock with income, with initial tactical allocation in a portfolio of CRIs.</t>
  </si>
  <si>
    <t>288199-90T</t>
  </si>
  <si>
    <t>Adaflow</t>
  </si>
  <si>
    <t>Provider of accounting services designed to simplify the accounting and compliance process for technology professionals. The company's platform automates company formation to tax calculation and international invoicing, enabling tech professionals in Brazil to manage their accounting efficiently, save on taxes.</t>
  </si>
  <si>
    <t>Parallel18(Hector Jirau)</t>
  </si>
  <si>
    <t>245511-19T</t>
  </si>
  <si>
    <t>FII AJ Malls (BVMF: AJFI11)</t>
  </si>
  <si>
    <t>Aj Malls Fundo De Investimento Imobiliario is engaged in the activity of managing securities portfolios.</t>
  </si>
  <si>
    <t>247486-06T</t>
  </si>
  <si>
    <t>REAG Investimentos SA is an independent business platform that develops customized financial solutions. The company has a wide portfolio of financial products and services allows customer segments to consider different objectives and risk profiles. The financial solutions of the company are structured and interconnected by Business Areas and supported by management, resource management, securitization, and fiduciary services.</t>
  </si>
  <si>
    <t>219133-54T</t>
  </si>
  <si>
    <t>Jobecam</t>
  </si>
  <si>
    <t>Developer of a digital recruitment and selection platform designed to bring agility to the recruitment process. The company's platform creates accessibility and diversity through AI applied to video technology, enabling recruiters to make automatic screenings and hire the professionals based on real skills and competencies.</t>
  </si>
  <si>
    <t>IDB Lab</t>
  </si>
  <si>
    <t>241569-46T</t>
  </si>
  <si>
    <t>Parabolic Lithium</t>
  </si>
  <si>
    <t>Operator of mining exploration projects based in Minas Gerais, Brazil. The company specializes in the excavation of lithium</t>
  </si>
  <si>
    <t>Hawk Resources (ASX: HWK)(Scott Caithness)</t>
  </si>
  <si>
    <t>244940-95T</t>
  </si>
  <si>
    <t>ITA Frota</t>
  </si>
  <si>
    <t>257860-54T</t>
  </si>
  <si>
    <t>285511-78T</t>
  </si>
  <si>
    <t>Creditares</t>
  </si>
  <si>
    <t>Developer of a financial platform designed to improve the financial services of the agro sector. The company's platform specializes in raising credit for rural producers through the application of the open banking model to agribusiness and offers risk and credit analyses of financial transactions, enabling farmers to access loans as well as working capital to grow their operations.</t>
  </si>
  <si>
    <t>285500-44T</t>
  </si>
  <si>
    <t>DigiFarmz</t>
  </si>
  <si>
    <t>Developer of a digital platform designed for data that combines climatic information, cultivar genetics, sowing dates, disease biology, location, and other parameters. The company's platform provides personalized smart agronomic recommendations to reduce errors in crop management and also offers a real increase in decision precision, considering the reality of each plot, and providing personalized recommendations, which daily follow changes in the scenarios, maintaining the higher potential yield of the crop, enabling users to make better-informed decisions in the intelligent management of soybean.</t>
  </si>
  <si>
    <t>245047-78T</t>
  </si>
  <si>
    <t>Grow Química e Farmacêutica</t>
  </si>
  <si>
    <t>Manufacturer of household sanitizers based in Indaiatuba, Brazil. The company's products includes healthcare products, disinfectant products, lubricants and enzymatic detergents.</t>
  </si>
  <si>
    <t>Sodel (Lisieux)(David Guffroy)</t>
  </si>
  <si>
    <t>245216-89T</t>
  </si>
  <si>
    <t>Iugu</t>
  </si>
  <si>
    <t>Developer of a financial automation platform intended to help digital businesses simplify their financial operations. The company's software leverages technology to help users to customize and automate their receiving and payment needs with a focus on issuing invoices, recurrence and splitting, enabling customers to get a transparent, scalable and secure way of transaction.</t>
  </si>
  <si>
    <t>H2 Kapital</t>
  </si>
  <si>
    <t>284232-25T</t>
  </si>
  <si>
    <t>AgroTools</t>
  </si>
  <si>
    <t>Developer of a technological ecosystem designed to use big data insights through a geographic platform to help agribusinesses make smarter decisions, leading to increased sustainability and profitability. The company provides technology for the agribusiness ecosystem, and its software offers digital tools for agriculture management, including digitalization of rural credit, and agricultural insurance, enabling clients with crop insights, quality checks, and production enhancement strategies to scale up efficiency.</t>
  </si>
  <si>
    <t>245555-20T</t>
  </si>
  <si>
    <t>Clave Indices De Precs (BVMF: CLIN11)</t>
  </si>
  <si>
    <t>Clave Indices De Precs Fundo De Investimento Imobiliario is a fund which invests its in assets in Certificates of Real Estate Receivables and additionally, in the following assets Shares of other Real Estate Investment Funds, Mortgage Notes, Real Estate Credit Letters, Guaranteed Real Estate Notes, Shares of Credit Rights Investment Funds.</t>
  </si>
  <si>
    <t>276844-96T</t>
  </si>
  <si>
    <t>Maxcor Indústria de Etiquetas</t>
  </si>
  <si>
    <t>Manufacturer of adhesive labels and flexible packaging materials intended to serve the chemical and oil market. The company produce labels, stickers and sleeves using rotary flexographic and screen printing processes, enabling it to offer complete consulting and cutting-edge technology to its customers.</t>
  </si>
  <si>
    <t>All4Labels Group(Fernando Gabel), Triton Partners(Herbert Doleisch)</t>
  </si>
  <si>
    <t>245555-83T</t>
  </si>
  <si>
    <t>Merito Cemiterios (BVMF: MCEM11)</t>
  </si>
  <si>
    <t>Merito Cemiterios Fii Fundo De Investimento Imobiliario is a closed condominium fund, with an indefinite duration. The Fund's purpose is to make long-term real estate investments through the acquisition of the following assets: (i) any real rights over real estate; (ii) real rights over real estate, shares, debentures, subscription bonuses, their coupons, rights, subscription receipts and split certificates, securities deposit certificates, debenture notes, investment fund shares, promissory notes, and any other securities, as long as the issuers registered with the CVM and whose activities are permitted for real estate investment funds.</t>
  </si>
  <si>
    <t>250029-91T</t>
  </si>
  <si>
    <t>Suno (Asset Management) (BVMF: SNCI11)</t>
  </si>
  <si>
    <t>Suno Recebiveis Imobiliarios Fundo DE Investimento Imobiliario is focused on providing the best information to the public interested in the capital market. The group provides organizes courses and provides personalized consultancy for clients.</t>
  </si>
  <si>
    <t>205084-81T</t>
  </si>
  <si>
    <t>Bossa Invest, Grupo Rede+, Sai do Papel</t>
  </si>
  <si>
    <t>250628-32T</t>
  </si>
  <si>
    <t>Startup Wise Guys</t>
  </si>
  <si>
    <t>258852-52T</t>
  </si>
  <si>
    <t>Nouvenn</t>
  </si>
  <si>
    <t>Developer of a Internet of Things technology hub designed to solve connectivity problems. The company offers IoT systems for smart cities, agro industry, and cybersecurity, enabling clients to implement intelligent ecosystems and improve operational efficiency.</t>
  </si>
  <si>
    <t>Futurum Capital</t>
  </si>
  <si>
    <t>210428-20T</t>
  </si>
  <si>
    <t>Dairy Partners Americas</t>
  </si>
  <si>
    <t>Producer of refrigerated milk products based in Goiania, Brazil. The company's products include yogurts, desserts, fermented milk and petit suisse.</t>
  </si>
  <si>
    <t>Groupe Lactalis(Morten Felthaus)</t>
  </si>
  <si>
    <t>244210-78T</t>
  </si>
  <si>
    <t>Food To Save</t>
  </si>
  <si>
    <t>Developer of a food delivery application designed to reduce food waste. The company's platform connects establishments with surplus production, with food close to expiration or that demands immediate consumption, with consumers interested in purchasing them at a deep discount, enabling food businesses and customers to be part of a sustainable movement by reducing food waste.</t>
  </si>
  <si>
    <t>Danilo Costa(Danilo Costa), DSK Capital(Diego Stark), HiPartners Capital &amp; Work, João Branco(João Branco), João Galassi(João Galassi), Paulo Camargo(Paulo Camargo), Rosana Blasio(Rosana Blasio), Spectra Investments, Valora Ventures, Westwood Capital (Brazil)</t>
  </si>
  <si>
    <t>224172-82T</t>
  </si>
  <si>
    <t>Hortigil Hortifruti</t>
  </si>
  <si>
    <t>Retailer of farm-based fresh fruits and vegetables intended for the health food products market. The company operates a chain of grocery stores to offer a range of horticultural products including fresh fruits, vegetables, dairy products, grocery and meat products.</t>
  </si>
  <si>
    <t>232245-91T</t>
  </si>
  <si>
    <t>Rio Energy</t>
  </si>
  <si>
    <t>Operator of an investment platform focused on the renewable energy sector. The company specializes in the development, construction, sale of energy and operation of renewable energy projects with integrated capabilities focused on delivering insights, services and technology, ensuring the full functioning and efficiency of projects.</t>
  </si>
  <si>
    <t>Equinor (OSL: EQNR)(Pal Eitrheim)</t>
  </si>
  <si>
    <t>245775-70T</t>
  </si>
  <si>
    <t>Acelen</t>
  </si>
  <si>
    <t>Operator of an energy company intended to generate opportunities and support the development of Brazil. The company specializes in investing and enhancing efficiency and productivity in fuels, petrochemicals and feedstock sectors with the standards of governance and safety, ensuring the creation of opportunities, jobs and revenue for the country efficiently.</t>
  </si>
  <si>
    <t>Brookside Equity Partners</t>
  </si>
  <si>
    <t>264019-87T</t>
  </si>
  <si>
    <t>PIT - São José dos Campos Technological Innovation Park</t>
  </si>
  <si>
    <t>241938-01T</t>
  </si>
  <si>
    <t>AllowMe Tecnologias</t>
  </si>
  <si>
    <t>Provider of technology services based in Sao Paulo, Brazil. The company offers solutions that include account opening, device change, account takeover prevention, and transactions to help companies grow in a safe and simple way.</t>
  </si>
  <si>
    <t>275254-30T</t>
  </si>
  <si>
    <t>ATW Delivery Brands</t>
  </si>
  <si>
    <t>Developer of a delivery platform designed to provide a cloud kitchen for delivery-only restaurants. The company's platform offers infrastructure and multiple solutions for dark kitchens and storage and professional site management services including waste management, pest control, cleaning, and more, enabling customers to establish successful delivery-oriented businesses.</t>
  </si>
  <si>
    <t>245952-91T</t>
  </si>
  <si>
    <t>Divid (Real Estate Services (B2C)</t>
  </si>
  <si>
    <t>Developer of a housing rental platform intended to provide co-living options to individuals. The company's platform offers fully furnished and equipped apartments in strategic locations and provides condominiums, telecommunications, internet, water, electricity, gas, insurance, and monthly cleaning, enabling individuals to get furnished rentals that are comfortable, modern, and also sustainable.</t>
  </si>
  <si>
    <t>263269-36T</t>
  </si>
  <si>
    <t>Evergreen Capital (Brazil Security &amp; Fire Services Business)</t>
  </si>
  <si>
    <t>Provider of security and fire services intended for industrial, infrastructure, automotive, telecommunication and education industries. The company offers integrated systems for security and fire detection and suppression, enabling clients with turnkey services.</t>
  </si>
  <si>
    <t>Other Commercial Products</t>
  </si>
  <si>
    <t>252785-89T</t>
  </si>
  <si>
    <t>Grupo IMendes</t>
  </si>
  <si>
    <t>Developer of financial software products intended for tax and accountancy processes. The company engages in the training and working in various business areas, in order to meet business management needs, whether with consultancy, services or software along with creating system solutions with tax calculation engines, thereby making the challenge of tax management simpler and safer for companies.</t>
  </si>
  <si>
    <t>Concept Investimentos, e-Auditoria Softwares como Serviço(Frederico Amaral)</t>
  </si>
  <si>
    <t>190297-90T</t>
  </si>
  <si>
    <t>Mais Mu</t>
  </si>
  <si>
    <t>Manufacturer of healthy food and supplements intended to offer various food products to customers. The company's brand offers protein bars, supplements, vegetable protein products, and other healthy options, enabling consumers to purchase their desired healthy products at affordable prices.</t>
  </si>
  <si>
    <t>Btomorrow Ventures(Lukasz Garbowski), Grão (São Paulo)</t>
  </si>
  <si>
    <t>235040-23T</t>
  </si>
  <si>
    <t>Prime Energy</t>
  </si>
  <si>
    <t>Provider of energy consultancy intended to reduce energy costs. The company specializes in electricity consulting and trading, electric engineering, self-sustainable projects, electricity market, captive energy market, electricity trading, energy cost reduction, and free energy market.</t>
  </si>
  <si>
    <t>Shell (LON: SHEL)</t>
  </si>
  <si>
    <t>228867-31T</t>
  </si>
  <si>
    <t>Sinqia</t>
  </si>
  <si>
    <t>Developer of software applications intended to provide information technology products and services for the financial industry. The company is a software company that develops software and provides information technology products and services for the financial industry and offers solutions to banks, funds, social security; outsourcing; consulting, and others.</t>
  </si>
  <si>
    <t>Evertec (NYS: EVTC)(Alan Schumacher)</t>
  </si>
  <si>
    <t>244703-17T</t>
  </si>
  <si>
    <t>Actar (Network Management Software)</t>
  </si>
  <si>
    <t>Provider of technology and information services based in Belo Horizonte, Brazil. The company offers various types of solutions like micro-segmentation and application visibility, privileged access management, risk-based multifactor authentication, security and code analysis, enabling users to get privacy automated privacy operations and cyber security solutions.</t>
  </si>
  <si>
    <t>Peers Consulting</t>
  </si>
  <si>
    <t>244413-64T</t>
  </si>
  <si>
    <t>Alicerce Educação</t>
  </si>
  <si>
    <t>Operator of a social impact company intended to develop the educational base for people of any age and in any social context. The company offers a disruptive educational platform that accelerates the development of kids at an affordable price, enabling customers to develop their socioemotional skills with the help of professional coaching to escape the poverty trap in Brazil.</t>
  </si>
  <si>
    <t>Rise Ventures(Pedro Vilela)</t>
  </si>
  <si>
    <t>244414-81T</t>
  </si>
  <si>
    <t>300005-11T</t>
  </si>
  <si>
    <t>Grid Exponential</t>
  </si>
  <si>
    <t>235152-01T</t>
  </si>
  <si>
    <t>Bluefit</t>
  </si>
  <si>
    <t>Operator of a gym network intended to offer fitness plans. The company offers specialized training and fitness programs in gymnastics, dances, neuromuscular workouts and martial arts, enabling customers to reach their fitness goals.</t>
  </si>
  <si>
    <t>Mubadala Investment Company</t>
  </si>
  <si>
    <t>244497-07T</t>
  </si>
  <si>
    <t>Indicator Capital(Derek Bittar), Invest Tech</t>
  </si>
  <si>
    <t>244586-26T</t>
  </si>
  <si>
    <t>Pacific Sec</t>
  </si>
  <si>
    <t>Operator of a cybersecurity company intended to minimize the impact of cyber-attacks in various areas of business in the world. The company adopts an adaptive, effective, and transparent vision in identifying the most relevant risks based on the vision and simulation of a real attack in all its proportions and uses the lessons learned to define a cybersecurity strategy that would bring real gains in protection, not just compliance, enabling clients to effectively mitigate cyber risks.</t>
  </si>
  <si>
    <t>Gear Ventures(Gustavo Chamati)</t>
  </si>
  <si>
    <t>256059-91T</t>
  </si>
  <si>
    <t>QueroQuitar</t>
  </si>
  <si>
    <t>Developer of a debt negotiation platform designed for a direct payment channel. The company's platform provides privacy, independence, and security in operations carried out by debtors, facilitating access to debts without intermediaries, and also gives information and tips on how to improve the financial planning of families, enabling debtors and individuals to handle their debt online on a single platform.</t>
  </si>
  <si>
    <t>242086-24T</t>
  </si>
  <si>
    <t>SiloReal</t>
  </si>
  <si>
    <t>Developer of a digital identity platform intended to enhance the management of stored agricultural products. The company offers real-time monitoring and traceability features for silo bags, ensuring unique identification, status certification, and geolocation of stored grains, enabling agricultural producers to improve asset management and access financing opportunities effectively.</t>
  </si>
  <si>
    <t>Draper Cygnus, Inventure, Rio Uruguay Seguros, Xperiment Ventures</t>
  </si>
  <si>
    <t>244345-51T</t>
  </si>
  <si>
    <t>Auge Wealth Management</t>
  </si>
  <si>
    <t>Provider of investment advisory based in Caxias do Sul, Brazil. The company offers investment allocation, consulting, Estate Planning and management, thereby moving from the traditional model to the fee-based format, using the operating model.</t>
  </si>
  <si>
    <t>Sameside Gestão de Patrimônio</t>
  </si>
  <si>
    <t>253771-84T</t>
  </si>
  <si>
    <t>Fundo De Investimento Imobiliario (BVMF: GARE11)</t>
  </si>
  <si>
    <t>Fundo De Investimento Imobiliario Guardian Logistica is a Real Estate Investment Fund.</t>
  </si>
  <si>
    <t>244434-97T</t>
  </si>
  <si>
    <t>Jusbrasil</t>
  </si>
  <si>
    <t>Operator of a technology company intended to connect people to lawyers and get assistance with legal information. The company organizes and provides political and legal information, as well as promotes constructive debate among its members, enabling members to enhance their political and legal knowledge.</t>
  </si>
  <si>
    <t>Warburg Pincus(Luca Tajra)</t>
  </si>
  <si>
    <t>266481-28T</t>
  </si>
  <si>
    <t>The Coffee.</t>
  </si>
  <si>
    <t>Operator of a chain of micro cafeterias intended to bring the model of coffee shops in Brazil. The company's micro cafeterias are inspired by the Japanese culture of a store with an average space area and limited employees, enabling residents to have a fine taste of coffee on the go.</t>
  </si>
  <si>
    <t>CapSur Capital</t>
  </si>
  <si>
    <t>256331-53T</t>
  </si>
  <si>
    <t>277452-64T</t>
  </si>
  <si>
    <t>Doare</t>
  </si>
  <si>
    <t>Operator of a donation platform intended for philanthropic organizations to strengthen through fundraising technology. The company's platform offers charitable organizations support through fundraising and amplifies corporate donations to increase employee engagement in companies and connects people with important causes to donate safely, enabling needy people to fulfill their requirements and live happy lives.</t>
  </si>
  <si>
    <t>244283-32T</t>
  </si>
  <si>
    <t>Oi Telecommunications (Copper Network Cables Business)</t>
  </si>
  <si>
    <t>Operator of copper network cables business based in Brazil.</t>
  </si>
  <si>
    <t>CPP Investments(Andrea Jeffery), V.tal (Acquired)</t>
  </si>
  <si>
    <t>Other Communications and Networking</t>
  </si>
  <si>
    <t>270801-73T</t>
  </si>
  <si>
    <t>Parcela Mais</t>
  </si>
  <si>
    <t>Developer of an fintech platform for installment health and wellness procedures designed to help users pay bills in installment credit. The company's platform allows users to register for treatment with installments and split procedures in terms of affordable interest rates and also offers the option to receive the amount in cash directly, helping users attend to more patients and increase the number of procedures performed.</t>
  </si>
  <si>
    <t>244336-24T</t>
  </si>
  <si>
    <t>FII Invest SCJ (BVMF: ISCJ11)</t>
  </si>
  <si>
    <t>Invista Scj Fundo De Investimento Imobiliario Fii is engaged in the activity of managing a securities portfolio. It is a real estate opportunistic fund managed by BRL Trust.</t>
  </si>
  <si>
    <t>244334-62T</t>
  </si>
  <si>
    <t>Kinea Unique Hy Cdi Fundo De Investimento Imobiliario (BVMF: KNUQ11)</t>
  </si>
  <si>
    <t>Kinea Unique Hy Cdi Fundo De Investimento Imobiliario is a Real Estate Investment Trust whose objective is to invest in real estate projects in the form provided in the applicable regulations, for the purpose of obtaining income and possible capital gains, through the acquisition of Receivables Certificates.</t>
  </si>
  <si>
    <t>227523-52T</t>
  </si>
  <si>
    <t>O Personal Digital</t>
  </si>
  <si>
    <t>Developer of an online training delivery platform intended to help personal trainers to manage their students. The company's platform enables customized student management, automatic online training prescriptions, individual assessments and student feedback, enabling trainers to manage and scale up their businesses.</t>
  </si>
  <si>
    <t>244228-87T</t>
  </si>
  <si>
    <t>VAAS (Network Management Software)</t>
  </si>
  <si>
    <t>Developer of a transaction monitoring platform designed to prevent crimes and suspicious activities. The company's platform checks the risk in pix and crypto transactions in real-time and automatically blocks high-risk transactions, and cross-references on-chain and off-chain data to detect risk entities and check origins of customer and recipient resources and identify inconsistencies, enabling financial institutions, including banks and DeFi platforms to protect themselves against regulatory risks and high-risk transactions.</t>
  </si>
  <si>
    <t>A.B.Seed Ventures, Fuse Capital (Brazil), Honey Island Capital</t>
  </si>
  <si>
    <t>244081-36T</t>
  </si>
  <si>
    <t>Nutriens</t>
  </si>
  <si>
    <t>Operator of an online fruit and vegetable marketplace platform designed to get fresh organic products. The company offers healthy and conscious eating, to maintain balance, promote health and prevent diseases in people of different ages and social classes.</t>
  </si>
  <si>
    <t>Arado(Victor Bernardino)</t>
  </si>
  <si>
    <t>244160-11T</t>
  </si>
  <si>
    <t>Coins.ph(Wei Zhou), Rodrigo Benez(Rodrigo Benez)</t>
  </si>
  <si>
    <t>272830-33T</t>
  </si>
  <si>
    <t>243992-62T</t>
  </si>
  <si>
    <t>Enso Gestão de Recursos</t>
  </si>
  <si>
    <t>Provider of wealth management services catering to multi-family offices. The company offers services such as risk management, planning for longevity, financial planning and estate planning.</t>
  </si>
  <si>
    <t>Brainvest Wealth Management</t>
  </si>
  <si>
    <t>243771-04T</t>
  </si>
  <si>
    <t>Bionexo</t>
  </si>
  <si>
    <t>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t>
  </si>
  <si>
    <t>Bain Capital Tech Opportunities(Darren Abrahamson)</t>
  </si>
  <si>
    <t>276863-32T</t>
  </si>
  <si>
    <t>Box 24/7</t>
  </si>
  <si>
    <t>Operator of the mobile vending store intended to serve residential, commercial, hotels and public spaces. The company offers foods and beverages and also offers 18+ products with total safety and comfort, only for authorized users, thereby providing customers with products without employee intervention and totally automated.</t>
  </si>
  <si>
    <t>Expresso Nutri</t>
  </si>
  <si>
    <t>244080-55T</t>
  </si>
  <si>
    <t>Isla Sementes</t>
  </si>
  <si>
    <t>Producer of flower and vegetable seeds catering to the agricultural industry. The company offers a variety of products that include different vegetables, flowers and ornamentals, herbs and seasonings, fertilizers and accessories.</t>
  </si>
  <si>
    <t>Sakata Seed (TKS: 1377)(Hiroshi Sakata)</t>
  </si>
  <si>
    <t>Horticulture</t>
  </si>
  <si>
    <t>243495-64T</t>
  </si>
  <si>
    <t>FieldPRO (Electronic Equipment and Instruments)</t>
  </si>
  <si>
    <t>Developer an edaphoclimatic analysis model dedicated to developing sustainable systems for the analysis of the farming ecosystem. The company's device offers features such as climate analysis, soil analysis, Co2 analysis, water analysis, and others, enabling farmers with competitive advantages that generate impact.</t>
  </si>
  <si>
    <t>244080-19T</t>
  </si>
  <si>
    <t>Nova Águas Participações</t>
  </si>
  <si>
    <t>Provider of extraction of non-metallic minerals-related services based in Rua Julio Jose De Figueiredo, Brazil.</t>
  </si>
  <si>
    <t>Maa Investimentos E Participações</t>
  </si>
  <si>
    <t>245977-84T</t>
  </si>
  <si>
    <t>226680-40T</t>
  </si>
  <si>
    <t>Santander Papeis Imobiliarios Fundo (BVMF: SAPI11)</t>
  </si>
  <si>
    <t>Santander Papeis Imobiliarios Fundo De Investimento Imobiliario is a Real Estate Fund that invests mainly in CRI's (Real Estate Receivables Certificates). The Fund's objective is to seek out businesses with low credit risk, diversifying the allocation in CRIs indexed to the IPCA and/or CDI, in addition to having monthly distribution of dividends.</t>
  </si>
  <si>
    <t>243540-01T</t>
  </si>
  <si>
    <t>Inapel Embalagens</t>
  </si>
  <si>
    <t>Operator of a packaging company intended for rotogravure printing. The company specializes in bar soap and wet wipe packaging, ketchup sachets, chocolate bags and stick packs as well as offers flexible packaging and cylinder engraving.</t>
  </si>
  <si>
    <t>Graffo Paranaense de Embalagens</t>
  </si>
  <si>
    <t>273989-35T</t>
  </si>
  <si>
    <t>Korui</t>
  </si>
  <si>
    <t>Operator of a reusable menstrual based products company intended to generate less waste, taboo and more comfort and freedom. The company offers products such as menstrual cup, sanitizer, reusable absorbent kit, sterilizing cup, absorbent kit and panties, deodorant, toothbrush, enabling its clients to maintain their menstrual health.</t>
  </si>
  <si>
    <t>243784-81T</t>
  </si>
  <si>
    <t>Morro Verde</t>
  </si>
  <si>
    <t>Manufacturer of phosphate fertilizer based in Sao Paulo, Brazil. The company transforms ore into lasting nutrients for Brazilian soil and gets closer to agents of a more humane agribusiness, thereby building balanced relationships between mining, agribusiness, people and the environment.</t>
  </si>
  <si>
    <t>Ore Investments(Mauro Barros), Spectra Investments</t>
  </si>
  <si>
    <t>276732-28T</t>
  </si>
  <si>
    <t>Seu Plantao</t>
  </si>
  <si>
    <t>Developer of a medical application designed to speed up the search and dissemination of medical shifts. The company offers a technology-based solution that connects doctors to on-call vacancies, enabling users to expand the offer of medical services and increase the access to vacancies in public health units.</t>
  </si>
  <si>
    <t>BNDES(Bruno Laskowsky)</t>
  </si>
  <si>
    <t>243613-90T</t>
  </si>
  <si>
    <t>SmileGo</t>
  </si>
  <si>
    <t>Developer of a financial software platform based in Sao Paulo, Brazil. The company's platform specializes in a biometric recognition system that enables people to make payments without touching the screen.</t>
  </si>
  <si>
    <t>Payface Instituição de Pagamento(Eladio Isoppo)</t>
  </si>
  <si>
    <t>227530-63T</t>
  </si>
  <si>
    <t>Digital Grid (Business/Productivity Software)</t>
  </si>
  <si>
    <t>Developer of an energy credit management platform designed to contribute toward clean energy generation. The company's platform manages energy credits in distributed generation. It is responsible for managing the mills' credits and carrying out all the related procedures with the final consumer, that is, creating access environments, generating invoices and charging automatically and intelligently, enabling clients to get detailed billing control, invoices and optimization of energy credits.</t>
  </si>
  <si>
    <t>244716-13T</t>
  </si>
  <si>
    <t>Platanus Ventures(Paula Enei)</t>
  </si>
  <si>
    <t>244041-49T</t>
  </si>
  <si>
    <t>Priner Servicos Industriais (BVMF: PRNR3)</t>
  </si>
  <si>
    <t>Priner Servicos Industriais SA provides diversified services like industrial painting, surface treatment, thermal insulation and pressurized habitat. Priner operates throughout Brazil providing services in the areas of Petrochemical, Pulp, and Paper, Steel, Offshore, Naval, and Mining.</t>
  </si>
  <si>
    <t>243369-82T</t>
  </si>
  <si>
    <t>Unigás</t>
  </si>
  <si>
    <t>Operator of gas installation facilities based out of Brazil. The company's offerings include gas leak location and repair, industrial facilities, installation and conversion, residential and commercial natural gas.</t>
  </si>
  <si>
    <t>Porto Servicos</t>
  </si>
  <si>
    <t>Other Chemicals and Gases</t>
  </si>
  <si>
    <t>275128-75T</t>
  </si>
  <si>
    <t>Matraquinha</t>
  </si>
  <si>
    <t>Developer of app-based online platform intended to provide resources for children with autism and language difficulties. The company's platform offers services such as printable cards, computer games, picture-matching activities with a free trial period, communication through photos, logic and memorization exercises, and other related services, enabling customers to interact and communicate through photos from their archives.</t>
  </si>
  <si>
    <t>243270-55T</t>
  </si>
  <si>
    <t>Hi Pokee</t>
  </si>
  <si>
    <t>Operator of a poke restaurant based out of Brazil. The company offers salads, other food items and delivery services.</t>
  </si>
  <si>
    <t>Olga Ri Alimentos(Bruno Sindicic)</t>
  </si>
  <si>
    <t>242433-73T</t>
  </si>
  <si>
    <t>Atakarejo</t>
  </si>
  <si>
    <t>Operator of an e-commerce company focused on food and beverages. The company offers milk, household products, packed items, drinks and kitchen utensils.</t>
  </si>
  <si>
    <t>Patria Investments (NAS: PAX)(Alfonso Duval)</t>
  </si>
  <si>
    <t>243054-01T</t>
  </si>
  <si>
    <t>EB Capital</t>
  </si>
  <si>
    <t>Operator of alternative investment funds intended to create value and returns. The company helps to identify investment opportunities in private equity, infrastructure, and the real-estate sector, enabling investors to increase return on investments.</t>
  </si>
  <si>
    <t>Claure Group(Marcelo Claure)</t>
  </si>
  <si>
    <t>243190-99T</t>
  </si>
  <si>
    <t>MBOChip</t>
  </si>
  <si>
    <t>Manufacturer of microchip solutions catering to trading firms, multimarket funds and small investors based in Porto Alegre, Brazil. The company offers a programmable chip that accelerates the execution of algorithms along with an electronic trading platform, thereby offering electronic trading solutions to its institutional clients.</t>
  </si>
  <si>
    <t>B3(Brazil) (BVMF: B3SA3)(Mario Palhares)</t>
  </si>
  <si>
    <t>Application Specific Semiconductors</t>
  </si>
  <si>
    <t>243657-73T</t>
  </si>
  <si>
    <t>Zenklub</t>
  </si>
  <si>
    <t>Operator of a mental healthcare platform intended to provide mental therapy sessions online. The company's platform allows its users to schedule sessions with psychologists, therapists, psychoanalysts, and coaches, enabling people to take care of their mental health with the help of experts.</t>
  </si>
  <si>
    <t>242966-26T</t>
  </si>
  <si>
    <t>Brota Company</t>
  </si>
  <si>
    <t>Developer of an intelligent and autonomous indoor garden designed to make it easy for anyone to grow their own food at home, without the mess or hassle. The company's smart and self-watering indoor garden automates all aspects of plant care, from planting to harvesting, enabling customers to grow fresh, organic food at home with ease.</t>
  </si>
  <si>
    <t>242951-86T</t>
  </si>
  <si>
    <t>Casa e Construcao</t>
  </si>
  <si>
    <t>Retailer of materials for construction, renovation and decoration serving in stores across Sao Paulo and Rio de Janeiro. The company specializes in building materials , lighting, doors, windows, bathroom options and more.</t>
  </si>
  <si>
    <t>Arcos Gestão e Investimento</t>
  </si>
  <si>
    <t>221356-99T</t>
  </si>
  <si>
    <t>CJ Selecta</t>
  </si>
  <si>
    <t>Manufacture of soy-derived products based in Uberlândia, Brazil. The company's soybean processing services include producing and processing soybean oil, soybean meal, soybean hulls and soy molasses, enabling customers to consume quality soybean products.</t>
  </si>
  <si>
    <t>256057-57T</t>
  </si>
  <si>
    <t>Closecare</t>
  </si>
  <si>
    <t>Operator of a document management platform designed to reduce the operational burden and monetary waste brought on by medical certifications for the benefit of employers while also improving experiences, results, and healthcare costs. The company's platform helps to track and reduce workplace accidents, lower costs associated with absenteeism, accidents, and labor lawsuits, and identify fraud and health issues by company area with the aid of intelligent reports, enabling organizations to identify cases of certificate purchase and falsification and take appropriate action to reduce them.</t>
  </si>
  <si>
    <t>243026-74T</t>
  </si>
  <si>
    <t>Vexpenses</t>
  </si>
  <si>
    <t>Developer of an application intended to record business transactions. The company's application helps businesses record receipts and vouchers of daily transactions and offers approval and reimbursement of business costs.</t>
  </si>
  <si>
    <t>VR Benefícios e Serviços de Processamento(Claudio Szajman)</t>
  </si>
  <si>
    <t>242963-65T</t>
  </si>
  <si>
    <t>Mush</t>
  </si>
  <si>
    <t>Manufacturer of microscopic structures designed to transform agricultural waste into a sustainable, scalable material using mycelium. The company offers sustainability technology that turns organic waste into a moldable, biodegradable product, enabling industries to reduce waste, combat global warming and promote zero-waste practices with minimal environmental impact.</t>
  </si>
  <si>
    <t>Irani Ventures, Ventiur</t>
  </si>
  <si>
    <t>242855-83T</t>
  </si>
  <si>
    <t>Níon Energia</t>
  </si>
  <si>
    <t>Opearor of oil and natural gas exploration and production based in Mossoró, Brazil.</t>
  </si>
  <si>
    <t>255480-40T</t>
  </si>
  <si>
    <t>Núcleo Jornalismo</t>
  </si>
  <si>
    <t>Operator of a journalism platform intended to focus on the impact of social media and artificial intelligence on society. The company utilizes investigative techniques and data analysis to produce reports and articles, enabling the public to have more transparency in the government, political debate, and public policies, in different spheres and locations.</t>
  </si>
  <si>
    <t>Luminate Group</t>
  </si>
  <si>
    <t>243190-90T</t>
  </si>
  <si>
    <t>Skytef</t>
  </si>
  <si>
    <t>Developer of electronic funds transfer platform intended for businesses to accept credit and debit card payments. The company offers a variety of EFT solutions, including point-of-sale systems, mobile EFT solutions and e-commerce integrations that are designed to be easy to use and affordable, making them a good option for businesses of all sizes.</t>
  </si>
  <si>
    <t>Fiserv (NYS: FI)(Jorge Valdivia)</t>
  </si>
  <si>
    <t>242887-96T</t>
  </si>
  <si>
    <t>Voltalia (420 MW Solar Power Plant in Minas Gerais, Brazil)</t>
  </si>
  <si>
    <t>A 420-megawatt solar project located in Minas Gerais, Brazil.</t>
  </si>
  <si>
    <t>Metalurgica Gerdau (BVMF: GOAU3), Newave Energia, Northwest Capital Management, XP Investimentos (NAS: XP)</t>
  </si>
  <si>
    <t>264275-38T</t>
  </si>
  <si>
    <t>Fii Hire Residencial (BVMF: HRES11)</t>
  </si>
  <si>
    <t>Fii Hire Residencial I Fundo De Investimento Imobiliario is a Real estate investment fund whose fund objective is to invest, directly or indirectly in properties intended for the development of Real Estate Enterprises located in the Capital of the State of Sao Paulo and certificates of real estate receivables.</t>
  </si>
  <si>
    <t>242779-24T</t>
  </si>
  <si>
    <t>Zenit (Educational and Training Services (B2C))</t>
  </si>
  <si>
    <t>Operator of an online training platform intended to provide fitness content. The company's platform offers video classes for yoga, physical exercises, functional fighting, nutrition tips, CrossFit and nutritional re-education, enabling pregnant women and elderly people to stay fit.</t>
  </si>
  <si>
    <t>Oikos Wealth Management (São Paulo), Spalla Partners</t>
  </si>
  <si>
    <t>241484-05T</t>
  </si>
  <si>
    <t>Biotrigo Genética</t>
  </si>
  <si>
    <t>Operator of wheat breeding company intended to focus on developing cultivators. The company offers services that focus on developing cultivators in the country, enabling research and investments in technology with improvement programs.</t>
  </si>
  <si>
    <t>GDM Seeds(Ignacio Bartolome)</t>
  </si>
  <si>
    <t>300273-67T</t>
  </si>
  <si>
    <t>Eólica do Agreste Potiguar II</t>
  </si>
  <si>
    <t>Provider of wind generation services based in São Paulo, Brazil. The company engages in the implementation, operation, maintenance, and exploration of wind generation facilities.</t>
  </si>
  <si>
    <t>WEG (BVMF: WEGE3)</t>
  </si>
  <si>
    <t>264249-46T</t>
  </si>
  <si>
    <t>233852-59T</t>
  </si>
  <si>
    <t>Pick n Go</t>
  </si>
  <si>
    <t>Developer of a delivery management platform intended to increase the efficiency and profits of the delivery companies. The company's platform helps to manage delivery operations, including order tracking, driver dispatch and customer notifications, enabling businesses to improve the efficiency and profitability of their delivery operations.</t>
  </si>
  <si>
    <t>Bossa Invest, Cedro Capital(Bruno Brito), SEBRAE RS</t>
  </si>
  <si>
    <t>242693-38T</t>
  </si>
  <si>
    <t>Tatic</t>
  </si>
  <si>
    <t>Provider of innovative information technology services based in Belo Horizonte, Brazil. The company brings together people, expertise, methodologies and technologies to identify and solve specific data challenges.</t>
  </si>
  <si>
    <t>Stefanini Scala(Filipe Cotait)</t>
  </si>
  <si>
    <t>242642-80T</t>
  </si>
  <si>
    <t>Size (Financial Software)</t>
  </si>
  <si>
    <t>Operator of a digital credit platform intended to make access to credit possible for micro and small businesses. The company's platform offers financial services such as loans to individuals and companies, prepayment of receivables, sub-accreditation services for payment instruments, payment of bank slips, and management of payment accounts, enabling users to get a loan.</t>
  </si>
  <si>
    <t>Zink (Investor)</t>
  </si>
  <si>
    <t>227524-51T</t>
  </si>
  <si>
    <t>Doutor ao Vivo</t>
  </si>
  <si>
    <t>Operator of the digital health platform intends to carry out the practice of telemedicine. The company's platform provides scheduled consultation, emergency care, management of clinical operations, screening, access to call rooms, API integration, and appointment reminders, allowing healthcare companies to carry out services in a practical and safer way.</t>
  </si>
  <si>
    <t>Bossa Invest, Brazilian Service of Support for Micro and Small Enterprises, Raja Ventures</t>
  </si>
  <si>
    <t>242432-56T</t>
  </si>
  <si>
    <t>Frontier Capital</t>
  </si>
  <si>
    <t>Provider of equity management services based in Sao Paulo, Brazil. The company specializes in offering deep analysis, original sources of information and funds management, thereby enabling its clients to have efficiency in investments.</t>
  </si>
  <si>
    <t>Galapagos Capital(Fabio Guarda)</t>
  </si>
  <si>
    <t>242093-53T</t>
  </si>
  <si>
    <t>Kovver</t>
  </si>
  <si>
    <t>Developer of a musical platform designed to offer the experience of playing and singing. The company's platform provides training and studies, leisure time, and replaces a member of a band, where people can add and remove the channel from the song whenever they want, enabling users to transform music into their part of life.</t>
  </si>
  <si>
    <t>Empresa Paulista de Televisão, Raketo.</t>
  </si>
  <si>
    <t>242450-92T</t>
  </si>
  <si>
    <t>Alta Comercial de Veículos</t>
  </si>
  <si>
    <t>Operator of a car dealership agency based in Sao Paulo, Brazil. The company operates six dealership stores which provide direct sales, vehicle offers and other parts and accessories for its customers.</t>
  </si>
  <si>
    <t>AUTOMOB</t>
  </si>
  <si>
    <t>242781-22T</t>
  </si>
  <si>
    <t>Companhia Carris Porto-Alegrense</t>
  </si>
  <si>
    <t>Provider of public transport services for bus routes in Porto Alegre, Brazil. The company provides 20 lines in operation, thereby providing the travelers with affordable bus travel.</t>
  </si>
  <si>
    <t>Empresa de Transporte Coletivo Viamao(Octávio Bortoncello)</t>
  </si>
  <si>
    <t>232556-05T</t>
  </si>
  <si>
    <t>Extra Power (Beverages)</t>
  </si>
  <si>
    <t>Producer of an energy drink based in Noa, Brazil. The company offers a variety of flavors like traditional, sugar-free, mango, pitaya and watermelon energy drinks.</t>
  </si>
  <si>
    <t>Britvic</t>
  </si>
  <si>
    <t>232942-24T</t>
  </si>
  <si>
    <t>Globalbev</t>
  </si>
  <si>
    <t>Distributor of food products and beverages intended to reach a large number of point-of-sale stores in the Brazil region. The company owns and operates a wide variety of brands and operates through regional units strategically positioned to reach supermarkets, convenience stores, bakeries and bars, ensuring wide distribution and exposure at the point of sale and satisfying clients through solid, lasting and profitable partnerships.</t>
  </si>
  <si>
    <t>Britvic(Simon Litherland)</t>
  </si>
  <si>
    <t>242350-66T</t>
  </si>
  <si>
    <t>Órama</t>
  </si>
  <si>
    <t>Provider of investment products and services through a digital platform based in Rio de Janeiro, Brazil. The company offers products including public offering, private pension, fixed income and investment funds.</t>
  </si>
  <si>
    <t>BTG Pactual (BVMF: BPAC3)(Marcelo Flora Sales)</t>
  </si>
  <si>
    <t>243233-92T</t>
  </si>
  <si>
    <t>Vinci Compass Investments Ltd is an alternative investment platform in Brazil. Its business segments include Private Equity, Equities, Real Assets, Credit, Global IP&amp;S, and Corporate Advisory. The company's majority of its revenue comes from the Private Equity segment, which is comprised of five business lines: private equity, real estate, infrastructure, credit, and special situations.</t>
  </si>
  <si>
    <t>Ares Management (NYS: ARES)(Michael Arougheti)</t>
  </si>
  <si>
    <t>244059-40T</t>
  </si>
  <si>
    <t>Blink Telecom</t>
  </si>
  <si>
    <t>Provider of telecommunications services intended to streamline medium to large enterprise's communications network. The company specializes in fiber optic internet, voice service, dedicated link, lan to lan and voice over IP, thereby helping customers to transmit data and signals to any corner of the planet.</t>
  </si>
  <si>
    <t>277262-47T</t>
  </si>
  <si>
    <t>CTM Investimentos</t>
  </si>
  <si>
    <t>Operator asset management company catering to investors in Brazilian Markets. The company offers Open Funds, Managed Portfolios, Portfolio Consolidation, Asset Structuring, Exclusive Funds, International allocation and hedge funds, helping provide financial profitability and security.</t>
  </si>
  <si>
    <t>TM3 Capital(Marcel Malczewski)</t>
  </si>
  <si>
    <t>278262-37T</t>
  </si>
  <si>
    <t>eBarn</t>
  </si>
  <si>
    <t>Developer of an online platform designed to offer tailored information on agricultural produce. The company's application platform allows the rural producer to connect with suppliers of inputs and industries that buy soybeans, corn, beans and sorghum in real time, enabling farmers to have greater reach and generate savings.</t>
  </si>
  <si>
    <t>244010-62T</t>
  </si>
  <si>
    <t>GNLLink</t>
  </si>
  <si>
    <t>Distributor of natural gas intended to facilitate energy transition with the expansion of gas supply. The company helps with the liquefaction, transport, cabotage, storage and re-gasification of liquefied natural gas, enabling industries to access competitive, safe and sustainable energy for replicable projects and rapid implementation.</t>
  </si>
  <si>
    <t>250357-42T</t>
  </si>
  <si>
    <t>idwall</t>
  </si>
  <si>
    <t>Developer of an identity verification platform designed to improve user authentication and fraudulent detection. The company's platform extracts data from document images and checks whether the data and users' faces match the public source in real-time, enabling businesses to verify their customers' data in sign-ups and purchases and operate safely.</t>
  </si>
  <si>
    <t>500 Global, Altitude (Sao Paulo)</t>
  </si>
  <si>
    <t>254215-00T</t>
  </si>
  <si>
    <t>Kowalski Alimentos</t>
  </si>
  <si>
    <t>Producer of corn based food products catering to industry and human consumption. The company offers products such as corn cakes and corn flakes, enabling customers to consume fresh corn products at affordable prices.</t>
  </si>
  <si>
    <t>Nutri Agroindústria group</t>
  </si>
  <si>
    <t>246006-55T</t>
  </si>
  <si>
    <t>Logás</t>
  </si>
  <si>
    <t>Distributor of compressed natural gas intended for the gas industry. The company specializes in the supply and logistics of compressed natural gas, storage, and distribution of LNG, and related activities, thereby bringing energy efficiency solutions to industries in their internal processes, optimizing costs, and increasing their competitiveness.</t>
  </si>
  <si>
    <t>Golar LNG (NAS: GLNG)</t>
  </si>
  <si>
    <t>Gas Utilities</t>
  </si>
  <si>
    <t>243947-08T</t>
  </si>
  <si>
    <t>Nexti</t>
  </si>
  <si>
    <t>Developer of technology-based human capital management (HCM) software intended for companies that have intensive and decentralized labor. The company's software integrates operational and people management in the HCM concept and offers to resolve employee absences and delays, motivate and value the employees, track movements of personnel, and unauthorized overtime among others, enabling clients with comprehensive applications to manage manpower while reducing costs.</t>
  </si>
  <si>
    <t>Cerralv Capital, Miramar Equity Partners</t>
  </si>
  <si>
    <t>283546-63T</t>
  </si>
  <si>
    <t>Eder Medeiros(Eder Medeiros)</t>
  </si>
  <si>
    <t>242601-04T</t>
  </si>
  <si>
    <t>Quaddro</t>
  </si>
  <si>
    <t>Developer of an all-in-one application designed to help small firms save time to grow their home service business. The company's platform allows users to organize their tasks, schedule and manage jobs, assign jobs in a team, settle payments easily, and track customer satisfaction, enabling companies to streamline their operations efficiently.</t>
  </si>
  <si>
    <t>Capria Ventures, The MBA Fund</t>
  </si>
  <si>
    <t>242726-95T</t>
  </si>
  <si>
    <t>Robbin</t>
  </si>
  <si>
    <t>Provider of financial services intended to provide credit cards for small and medium businesses. The company provides inclusive and transparent credit cards without any deposit, annual fee, or revolving interest, providing businesses with financial management services that sell through the machine or payment links.</t>
  </si>
  <si>
    <t>Canary (Brazil), Caravela Capital, Norte Ventures</t>
  </si>
  <si>
    <t>243031-60T</t>
  </si>
  <si>
    <t>Storytrackin</t>
  </si>
  <si>
    <t>Developer of a data intelligence platform designed for customer engagement. The company's platform offers giftback, and customer insights based on profile and purchasing habits and helps with retention and activation through real-time data analysis, enabling businesses to reduce time-to-market and generate immediate return on investment.</t>
  </si>
  <si>
    <t>244069-93T</t>
  </si>
  <si>
    <t>UpFlux</t>
  </si>
  <si>
    <t>Developer of a process mining platform intended to help organizations improve their operational efficiencies. The company's platform utilizes artificial intelligence to map and visualize business processes, identify inefficiencies and deviations, ensure alignment with internal and external regulations, and propose strategies, enabling industries to detect, monitor, and improve process efficiency, saving both time and costs.</t>
  </si>
  <si>
    <t>Citrino Ventures</t>
  </si>
  <si>
    <t>251933-68T</t>
  </si>
  <si>
    <t>Conta Black</t>
  </si>
  <si>
    <t>Developer of a financial platform intended to manage finances. The company's platform offers a digital bank account, a Black Money Card, a mobile application, internet banking, loans, and a variety of other features, enabling users to easily manage their money.</t>
  </si>
  <si>
    <t>232306-66T</t>
  </si>
  <si>
    <t>Dori Alimentos</t>
  </si>
  <si>
    <t>Manufacturer of confectionery products based in Maríliam, Brazil. The company's range of products includes healthy peanut snacks, sweet snacks and chocolate snacks, candies, gummies, sprinkles and others, exporting its wide of products across the globe.</t>
  </si>
  <si>
    <t>Ferrara Candy Company(Marco Capurso)</t>
  </si>
  <si>
    <t>270919-63T</t>
  </si>
  <si>
    <t>i4sea</t>
  </si>
  <si>
    <t>Developer of an oceanography data management platform designed to integrate observations and forecasting of ship movement in ports and shipyards. The company's platform collects oceanographic and meteorological data which can be transformed into understandable information to eliminate uncertainties related to the impact of nature on the economy by monitoring and predicting ocean and weather conditions and their influences on each vessel operation, enabling shipyard operators to enhance safety, efficiency, and profitability across the maritime sector.</t>
  </si>
  <si>
    <t>Atlantic Smart Ports Blue Acceleration Network</t>
  </si>
  <si>
    <t>212630-41T</t>
  </si>
  <si>
    <t>Mercato Partners Acquisition(Greg Warnock)</t>
  </si>
  <si>
    <t>242186-05T</t>
  </si>
  <si>
    <t>Conexos Consultoria E Sistemas</t>
  </si>
  <si>
    <t>Developer of global trade management software catering to the retail, trading, logistics, industrial, and commodity exchange sectors. The company offers management of foreign trade, customs clearance, special regimes, currency exchange and taxation.</t>
  </si>
  <si>
    <t>248851-81T</t>
  </si>
  <si>
    <t>Hábil Software</t>
  </si>
  <si>
    <t>Developer of business management and financial control software designed for micro and small companies in Brazil. The company offers a comprehensive management system that has financial control, sales and quotations efficiency, fiscal issuance automation and comprehensive control over inventory and production, thereby facilitating management and giving entrepreneurs more control.</t>
  </si>
  <si>
    <t>Limber Software(Fernanda Sanches)</t>
  </si>
  <si>
    <t>242216-65T</t>
  </si>
  <si>
    <t>Fundação Itau Unibanco, Galapagos Capital, Honey Island Capital, Kinea Investimentos (BVMF: KNHY11)(Philippe Schlumpf)</t>
  </si>
  <si>
    <t>242178-22T</t>
  </si>
  <si>
    <t>040 Ventures, Astella Investimentos(Daniel Chalfon), Barrah Investimentos, Duda Vieira(Duda Vieira), Isabela Ventura(Isabela Ventura), Monique Evelle(Monique Evelle), Pedro Sirotsky(Pedro Sirotsky), Raio Capital, Regina Gotthilf(Regina Gotthilf), Roberto Grossman(Roberto Grossman), Tiago Lafer(Tiago Lafer)</t>
  </si>
  <si>
    <t>242537-86T</t>
  </si>
  <si>
    <t>Vic Desenvolvimento Vint (BVMF: VIDS11)</t>
  </si>
  <si>
    <t>Vic Desenvolvimento Vintage 20/21 Fundo DE Investimento Imobiliario is a real estate investment trust.</t>
  </si>
  <si>
    <t>287886-97T</t>
  </si>
  <si>
    <t>Hidreletrica Teles Pires</t>
  </si>
  <si>
    <t>Operator of a hydroelectric power plant in Rio de Janeiro, Brazil. The company generates electricity with an installed capacity of 1,820 MW, thereby contributing to the region's energy efficiency.</t>
  </si>
  <si>
    <t>Eletrobras (BVMF: ELET3)</t>
  </si>
  <si>
    <t>241979-86T</t>
  </si>
  <si>
    <t>Esporte Educa</t>
  </si>
  <si>
    <t>Operator of a sports connections platform intended to connect athletes to scholarships at Brazilian universities and colleges. The company's platform utilizes sports as a tool to give access to study and encourages the practice of sports combined with education, enabling athletes to learn from experts in teaching and providing access to quality education.</t>
  </si>
  <si>
    <t>272830-06T</t>
  </si>
  <si>
    <t>242451-73T</t>
  </si>
  <si>
    <t>Taler Planejamentos Financeiros</t>
  </si>
  <si>
    <t>Provider of wealth and asset management services catering to the domestic and international markets, estate planning and family governance. The company offers services in economic scenarios, strategy definition, selection of managers, composition assets and selection risk management, thereby helping to plan to achieve goals.</t>
  </si>
  <si>
    <t>Galapagos Capital(Carlos Fonseca)</t>
  </si>
  <si>
    <t>241764-22T</t>
  </si>
  <si>
    <t>Bondy</t>
  </si>
  <si>
    <t>Developer of an HR automation platform intended for clients to focus on their employee experience. The company's platform offers tools that allow connections between systems already used by companies such as employee support, requesting and sending documents, registration changes, communication, onboarding and offboarding, timesheets, and performance evaluation, enabling clients to eliminate multiple logins and passwords for different accesses.</t>
  </si>
  <si>
    <t>Incubate Fund, Investidores.vc, Smart Money Ventures</t>
  </si>
  <si>
    <t>241668-28T</t>
  </si>
  <si>
    <t>Mission Brasil</t>
  </si>
  <si>
    <t>Developer of a legal compliance management platform designed to provide legal and administration, retail monitoring, research and audit-related services. The company's platform provides digital outsourcing for administrative tasks and activities through a centralized sourcing system, enabling companies to connect with to professionals seeking temporary services, such as mystery shopping, conducting market research, replacing products at POS, purchasing and logistics.</t>
  </si>
  <si>
    <t>242905-96T</t>
  </si>
  <si>
    <t>América Futebol Clube - Sociedade Anônima de Futebol</t>
  </si>
  <si>
    <t>Provider of soccer coaching and training services catering to youth and adult players in Brazil. The company specializes in expert coaching, offering personalized training programs and nurturing the next generation of football athletes.</t>
  </si>
  <si>
    <t>227531-62T</t>
  </si>
  <si>
    <t>Brickup</t>
  </si>
  <si>
    <t>Developer of business management platform designed for the construction industry. The company's platform offers features such as an automated work diary, automated quotes, verification of products and equipment, financial management, appropriation of resources, and Personal Protective Equipment (PPE) management, enabling customers to save time and resources through process intelligence and automation.</t>
  </si>
  <si>
    <t>227533-60T</t>
  </si>
  <si>
    <t>Intexfy</t>
  </si>
  <si>
    <t>Operator of a business intelligence platform intended to find prospective clients for users' businesses. The company's platform offers services that include market size analysis, analysis of business segments, commercial demand generation analysis, and many more services, enabling businesses to accelerate demand generation, understand the customer's business, define the ideal customer profile, and improve business results.</t>
  </si>
  <si>
    <t>241659-37T</t>
  </si>
  <si>
    <t>DOMO.VC, Headline(Romero Rodrigues)</t>
  </si>
  <si>
    <t>241685-29T</t>
  </si>
  <si>
    <t>Nagro</t>
  </si>
  <si>
    <t>Operator of a fintech company providing a comprehensive financial services platform. The company's platform facilitates access to credit through personalized products such as personal loans, working capital, farm equity, and credit receivables, with a focus on simplicity, digital inclusion, and speed, enabling farmers to get loans on time and at a reasonable interest rate.</t>
  </si>
  <si>
    <t>Arthur O'Keefe(Arthur O'Keefe), Ghia3, Kinea Investimentos (BVMF: KNHY11), Oasis Ventures (São Paulo)</t>
  </si>
  <si>
    <t>242450-38T</t>
  </si>
  <si>
    <t>Superticket</t>
  </si>
  <si>
    <t>Operator of online tickets platform intended for events. The company offers a platform for event organizers to sell tickets online and manage events also allows users to search for events listed on the website and buy tickets for music events thereby providing details about dates, timings, venue details, and ticket details.</t>
  </si>
  <si>
    <t>241843-51T</t>
  </si>
  <si>
    <t>Grupo Casas Bahia (BVMF: BHIA3)</t>
  </si>
  <si>
    <t>Grupo Casas Bahia SA is an omnichannel retailer with national reach, serving millions of consumers through brick-and-mortar stores and e-commerce (1P and marketplace), using Casas Bahia, Ponto, and Extra.com brands. The company also provides credit card services to clients. The company operates through two traditional retail brand chains in Brazil: Casas Bahia and Pontofrio. The Company sells consumer electronics, home appliances, furniture, and other domestic items. It also offers services, such as intermediation in the sale of extended warranty, equipment installation, marketplace, and financial and operational services such as installment sales and co-branded credit cards.</t>
  </si>
  <si>
    <t>256047-13T</t>
  </si>
  <si>
    <t>Mais Vivida</t>
  </si>
  <si>
    <t>Developer of a video-based training platform intended for intergenerational connection and digital inclusion. The company's platform connects young people with more experienced people who want to learn about digital technology, helping elderly people to be included in the digital world and improve their quality of life.</t>
  </si>
  <si>
    <t>264794-05T</t>
  </si>
  <si>
    <t>School Guardian</t>
  </si>
  <si>
    <t>Developer of a school security platform designed to offers security, agility and communication with ease and reliability for schools, parents and students. The company's platform initiates real-time tracking of children and sends notifications to parents at regular intervals regarding when students board and disembark from school transportation, enabling parents to track their children and maintain awareness regarding their safety at all times.</t>
  </si>
  <si>
    <t>241674-13T</t>
  </si>
  <si>
    <t>Yooga</t>
  </si>
  <si>
    <t>Developer of a management platform intended to provide business operations services. The company's platform specializes in offering services like inventory management, client management, delivery systems, artificial intelligence, and performance reports, enabling entrepreneurs to have control of their businesses and increase sales in a simplified way, without complex notebooks and spreadsheets.</t>
  </si>
  <si>
    <t>Alexandre Dubugras(Alexandre Dubugras), Apex Partners (Brazil), Backfuture, Gilgamesh Ventures, Paulo Silveira(Paulo Silveira), Rodrigo Dantas(Rodrigo Dantas), SaaSholic</t>
  </si>
  <si>
    <t>215643-97T</t>
  </si>
  <si>
    <t>Allievo Capital, KPTL(Gustavo Junqueira)</t>
  </si>
  <si>
    <t>243198-37T</t>
  </si>
  <si>
    <t>Hospital De Olhos De Sergipe</t>
  </si>
  <si>
    <t>Operator of an eye hospital based in to offers ophthalmologic treatments. The company offers laser cataract surgery, conjunctivitis treatment, age-related macular degeneration correction, vision correction surgeries and general eye examinations, thereby providing its customers with complete solutions for eye health care.</t>
  </si>
  <si>
    <t>Vision One(Rafael Mendes), XP Vista Asset Management(Chu Kong)</t>
  </si>
  <si>
    <t>242452-45T</t>
  </si>
  <si>
    <t>Verso Investimentos</t>
  </si>
  <si>
    <t>Provider of financial advisory services based out of Brazil.</t>
  </si>
  <si>
    <t>Capitol Investimentos</t>
  </si>
  <si>
    <t>267438-61T</t>
  </si>
  <si>
    <t>Agro Insight</t>
  </si>
  <si>
    <t>Operator of an education and curation portal designed to help agro professionals find practical digital content. The company focuses on democratizing knowledge and connect the Brazilian agricultural sector for sustainability with short and long-term profitability combined with technology for a better future, providing farmers with access to real-time data on weather, soil conditions, and crop health, as well as recommendations for irrigation, fertilization, and pest control to improve their productivity.</t>
  </si>
  <si>
    <t>Cyklo Agritech</t>
  </si>
  <si>
    <t>241627-60T</t>
  </si>
  <si>
    <t>SGA</t>
  </si>
  <si>
    <t>Provider of IT consultancy services intended for cloud computing and cybersecurity. The company offers solutions for data centers, cloud applications, data modernization, artificial intelligence and security.</t>
  </si>
  <si>
    <t>Grupo FCamara(Mauricio Cataneo)</t>
  </si>
  <si>
    <t>241153-93T</t>
  </si>
  <si>
    <t>Abstract Ventures, Andrés Bilbao(Andrés Bilbao), Berrywood Capital, Better Tomorrow Ventures, Chipper Cash, Class 5 Global, ComplyAdvantage, DCG Expeditions, Dock (Sao Paulo), Gaston Irigoyen(Gaston Irigoyen), Latitud, Loft Brasil Tecnologia, QED Investors, Quona Capital, Rally Cap VC, Rally Capital, Serunjogi Ventures, Spectra Investments, The Raba Partnership, Valor Capital Group</t>
  </si>
  <si>
    <t>241370-56T</t>
  </si>
  <si>
    <t>ComBio Energia</t>
  </si>
  <si>
    <t>Provider of biomass steam generation solutions that help customers reduce their steam costs. The company focuses on the generation and commercialization of thermal energy in the form of steam, thermal fluid, and hot gas, in addition to electrical energy cogeneration projects based on the burning of biomass.</t>
  </si>
  <si>
    <t>Lightrock, SPX Capital</t>
  </si>
  <si>
    <t>241308-55T</t>
  </si>
  <si>
    <t>DEVPASS</t>
  </si>
  <si>
    <t>Developer of business software designed to help the developers in day-to-day work. The company offers a simulation of the routine of a real-life team that works with agile methodologies and a technology that can be applied in practice in open-source projects, advancing technical skills and soft skills, enabling businesses and designers to generate a simulation of the daily challenges of a technology that can constantly improve the hard and soft skill.</t>
  </si>
  <si>
    <t>256481-38T</t>
  </si>
  <si>
    <t>Leblank</t>
  </si>
  <si>
    <t>Operator of a gifting marketplace intended to offer luxury personalized gifts. The company is a boutique studio that sells gift kits for corporations and households that include mugs, Gin kits, Wine kits and coffee kits, enabling customers to get customized gift sets that are suitable for every occasion.</t>
  </si>
  <si>
    <t>241357-78T</t>
  </si>
  <si>
    <t>Mottu</t>
  </si>
  <si>
    <t>Provider of motorcycle rental services intended to assist delivery people. The company's services include a logistics platform that takes care of all maintenance services and does not require a guarantor to rent bikes, empoweri the Brazilian population in order to make a living through delivering goods.</t>
  </si>
  <si>
    <t>Bicycle Capital, Bossa Invest, Caravela Capital, Endeavor Catalyst, FJ Labs, Muralha Capital, QED Investors</t>
  </si>
  <si>
    <t>258775-12T</t>
  </si>
  <si>
    <t>EGT Management Holdings, FitPart Management Advisors</t>
  </si>
  <si>
    <t>301239-19T</t>
  </si>
  <si>
    <t>Murabei</t>
  </si>
  <si>
    <t>Developer of a predictive modeling platform intended to offer analytical components for large volumes of information. The company specializes in software development with scientific approach, predictive modeling, cloud computing and data science consulting services for the construction, maintenance, knowledge dissemination and management of analytical models, enabling companies to use the knowledge extracted from data in their decision processes.</t>
  </si>
  <si>
    <t>249477-67T</t>
  </si>
  <si>
    <t>Talura Solucoes Tecnologicas</t>
  </si>
  <si>
    <t>Operator of an international freight marketplace platform intended to connect shippers with freight forwarders. The company engages in contracting, carbon offset, shipment lead generator, customs clearance and cargo insurance, thereby providing air, maritime and road freight access to cargo agents.</t>
  </si>
  <si>
    <t>Cheap2Ship(Jociano Motta)</t>
  </si>
  <si>
    <t>239427-10T</t>
  </si>
  <si>
    <t>IRancho</t>
  </si>
  <si>
    <t>Developer of a livestock farm management platform designed to increase productivity and profitability in beef cattle operations. The company's platform offers integrated tools for herd tracking, reproductive management, financial planning, nutrition monitoring, and traceability, enabling cattle producers, consultants, and veterinarians to simplify decision-making, optimize farm performance, and ensure sustainable, data-driven livestock farming.</t>
  </si>
  <si>
    <t>Banco do Brasil (BVMF: BBAS3), MSW Capital</t>
  </si>
  <si>
    <t>210912-67T</t>
  </si>
  <si>
    <t>270407-71T</t>
  </si>
  <si>
    <t>Speciale Blue Real Asset (BVMF: LTMT11)</t>
  </si>
  <si>
    <t>Speciale Blue Real Asset Fundo De Investimento Imobiliario operates as a Real Estate Investment Company.</t>
  </si>
  <si>
    <t>241705-90T</t>
  </si>
  <si>
    <t>Arqgen</t>
  </si>
  <si>
    <t>Developer of an automated architectural design platform intended to streamline architectural and urban planning projects. The company's platform offers features like layouts for residential, commercial, and corporate interiors, tools for generating feasibility studies for buildings, importing, defining project parameters, making project choices, and exporting project data, enabling architecture and planning sector to enhance their efficiency and cost-effectiveness.</t>
  </si>
  <si>
    <t>A.B.Seed Ventures, BR Angels, Smart Money Ventures, Terracotta Ventures</t>
  </si>
  <si>
    <t>295867-18T</t>
  </si>
  <si>
    <t>Coob+</t>
  </si>
  <si>
    <t>Operator of a platform intended for hotel subscription. The company offers products and services like airline tickets, special accommodations, sea cruises, transfers, tours and excursions, vehicle rental, executive taxi, and VIP lounges.</t>
  </si>
  <si>
    <t>Banstur Hoteis Lazer e Turismo</t>
  </si>
  <si>
    <t>295327-45T</t>
  </si>
  <si>
    <t>Pet Apertiz</t>
  </si>
  <si>
    <t>Producer of pet food intended to offer natural foods to pets to promote health and quality of pets. The company offers healthy, chemical-free food to prevent health problems such as food allergies, obesity, diabetes and cancer, products undergo a food preservation process, in addition to enhancing the aroma and flavor, guaranteeing a shelf life of up to one year, enabling customers to get healthy foods to their pet and promote a sustainable lifestyle for their pets.</t>
  </si>
  <si>
    <t>215804-17T</t>
  </si>
  <si>
    <t>AgroBee</t>
  </si>
  <si>
    <t>Developer of intelligent pollination software designed to increase the quality and quantity of food using ecosystemic bees. The company's platform employs artificial intelligence technology in its daily tasks by connecting those who want their flowers pollinated with those who provide bees, enabling rural producers, agribusiness, and bee breeders to protect bees while benefiting from sustainable agricultural production.</t>
  </si>
  <si>
    <t>Agro Ven, Bossa Invest</t>
  </si>
  <si>
    <t>235211-77T</t>
  </si>
  <si>
    <t>Prosper Tech Talents</t>
  </si>
  <si>
    <t>Developer of an ed-tech platform intended to offer training programs customized to clients' needs. The company's platform provides learning for women in the technology area, focused on diversity and inclusion, enabling women to avail of tech-related training and get hired easily.</t>
  </si>
  <si>
    <t>2.5 Ventures, Din4mo Ventures</t>
  </si>
  <si>
    <t>235179-82T</t>
  </si>
  <si>
    <t>Torcedores</t>
  </si>
  <si>
    <t>Developer of a digital sports content platform intended to provide high-quality sports content to millions of fans. The company's platform features news articles, videos, live streams, and podcasts, enabling users to stay up-to-date on the latest news and events.</t>
  </si>
  <si>
    <t>Better Collective (STO: BETCO)(Simon Hovmand-Stilling)</t>
  </si>
  <si>
    <t>244785-34T</t>
  </si>
  <si>
    <t>Barigui Gestao</t>
  </si>
  <si>
    <t>Fundo De Investimento Imobiliario Vbi Rendimentos Imobiliarios I Fii operates as a real estate trust.</t>
  </si>
  <si>
    <t>258478-57T</t>
  </si>
  <si>
    <t>Bemisa Group</t>
  </si>
  <si>
    <t>Operator of a mining company committed to exploring and developing opportunities in the mineral sector. The company specializes in the prospection, development and commercialization of mineral deposits of basic metals, iron ore, precious metals and fertilizing and industrial metals, ensuring its clients add value to their shareholders and project development sustainably.</t>
  </si>
  <si>
    <t>248707-54T</t>
  </si>
  <si>
    <t>FJ Labs, ONEVC</t>
  </si>
  <si>
    <t>241846-39T</t>
  </si>
  <si>
    <t>Fmax Telecom</t>
  </si>
  <si>
    <t>Operator of a fiber optic internet and telecommunications company designed to provide high-speed internet and unlimited phone calls to customers in Brazil. The company offers fiber optic broadband internet, and unlimited landline and mobile calls, enabling residential and business customers to stay connected and productive.</t>
  </si>
  <si>
    <t>Click Telecom</t>
  </si>
  <si>
    <t>259205-86T</t>
  </si>
  <si>
    <t>GD Solar (Brazil)</t>
  </si>
  <si>
    <t>Developer of photo-voltaic plants intended to facilitate renewable energy distribution. The company engages in the design, construction and operation of photovoltaic plants, enabling companies to reduce their conventional electrical energy costs.</t>
  </si>
  <si>
    <t>241188-94T</t>
  </si>
  <si>
    <t>Huna</t>
  </si>
  <si>
    <t>Developer of a cancer screening technology designed to make early cancer detection faster, cheaper, and accessible for everyone. The company offers an AI-powered risk stratification model that analyzes blood biomarkers and age to analyze blood exams, supporting early cancer detection and the identification of other diseases, enabling healthcare providers to identify high-risk individuals and prioritize care, ultimately improving patient outcomes and reducing mortality rates.</t>
  </si>
  <si>
    <t>Decision/Risk Analysis</t>
  </si>
  <si>
    <t>261381-61T</t>
  </si>
  <si>
    <t>Intelia (Business/Productivity Software)</t>
  </si>
  <si>
    <t>Developer of a call-tracking platform designed to improve the performance of media campaigns. The company's platform leverages artificial intelligence to manage incoming calls and monitors sales staff with quantitative and qualitative analysis, enabling agencies and businesses to increase sales and improve customer engagement.</t>
  </si>
  <si>
    <t>234349-84T</t>
  </si>
  <si>
    <t>Magnetis</t>
  </si>
  <si>
    <t>Developer of an online investment platform intended to revolutionize how people plan their future through smart investments. The company's platform provides investment management services that use algorithms to analyze market assets and set up a personalized investment portfolio, enabling investors to invest in a customized investment plan.</t>
  </si>
  <si>
    <t>235107-73T</t>
  </si>
  <si>
    <t>Riverdata</t>
  </si>
  <si>
    <t>Developer of an artificial intelligence application intended to reduce costs and increase gains in organizations. The company offers personalized artificial intelligence through a production line that starts with mathematical modeling and ends with scalable software, enabling businesses of any size to use artificial intelligence with journey.</t>
  </si>
  <si>
    <t>233689-51T</t>
  </si>
  <si>
    <t>Serra Diesel Transporter Reseller Retail</t>
  </si>
  <si>
    <t>Distributor of consumable fuels based in Caxias do Sul, Brazil. The company's products include diesel oil and arla 32, enabling customers to get a wide range of consumable fuels.</t>
  </si>
  <si>
    <t>Ultrapar Participacoes (BVMF: UGPA3)</t>
  </si>
  <si>
    <t>Coal and Consumable Fuels Equipment</t>
  </si>
  <si>
    <t>257368-51T</t>
  </si>
  <si>
    <t>Viabahia Concessionaria de Rodovias</t>
  </si>
  <si>
    <t>Operator of highways intended to serve maintenance service in Bahia, Brazil. The company manages the highways with responsibility, contributing to the development of the state of Bahia, through interaction with people and communities for the sustainable development of Brazil, offers services that include traffic inspection, ambulance services, fire fighting trucks, the capture of animals, road inspection and others, enabling smooth communications and transportations.</t>
  </si>
  <si>
    <t>Road</t>
  </si>
  <si>
    <t>225480-61T</t>
  </si>
  <si>
    <t>Comviva Technologies do Brasil Indústria, Comércio, Importação e Exportação</t>
  </si>
  <si>
    <t>Supplier of computer hardware and IT products intended to provide technical support, maintenance, and other information technology services. The company offers computer equipment, IT supplies, information technology consultancy services, and business management consulting activities, enabling customers to choose from a wide range of varieties.</t>
  </si>
  <si>
    <t>Druid (IT Consulting and Outsourcing)</t>
  </si>
  <si>
    <t>235057-06T</t>
  </si>
  <si>
    <t>Frota 162</t>
  </si>
  <si>
    <t>Operator of a business intelligence platform intended to manage infractions, fines, drivers, and vehicle debts. The company's platform specializes in using fleet technology to present intuitive dashboards and data in a simplified way, enabling businesses to reduce costs with traffic fines.</t>
  </si>
  <si>
    <t>Ace Ventures, Sovereign Fund of Espírito Santo, Venture Hub</t>
  </si>
  <si>
    <t>250716-25T</t>
  </si>
  <si>
    <t>LeanOn Systems</t>
  </si>
  <si>
    <t>Provider of international software development services intended for responsive web development and mobile technology. The company software offers features such as multi-language, payment integrations, social networks, search optimization, pre-suggestion of words and an advanced search engine, thereby helping clients with specialists and agile development processes.</t>
  </si>
  <si>
    <t>99X Technology(Mano Sekaram)</t>
  </si>
  <si>
    <t>244536-31T</t>
  </si>
  <si>
    <t>234914-86T</t>
  </si>
  <si>
    <t>Praso Plataforma De Comercio</t>
  </si>
  <si>
    <t>Operator of a multi-grocery, e-commerce platform designed to disintermediate retail and industry relationships. The company's platform offers multi-category grocery supplies and products, including sugars, spice, flour, grains and cereals, dairy products, oils, olives, drinks, and beverages, enabling consumers to buy cheap and fast grocery supplies.</t>
  </si>
  <si>
    <t>Base Partners, Formus Capital, Iporanga Ventures, NFX, ScaleUp Endeavor, Valor Capital Group</t>
  </si>
  <si>
    <t>224427-61T</t>
  </si>
  <si>
    <t>Alpargatas (BVMF: ALPA3)</t>
  </si>
  <si>
    <t>Alpargatas SA primarily manufactures footwear, apparel, and sports items. Brands the company owns or manufactures under license include Havaianas, dupe, Osklen, Mizuno, Megga, and Sete Leguas. Alpargatas reaches consumers through third-party retailers and through its own retail stores. Most of the company's sales are in Brazil and Argentina, with sales in Brazil accounting for more than half of the company's total sales. Remaining revenue is generated by the company's subsidiaries in Europe and the United States, and through direct exports.</t>
  </si>
  <si>
    <t>Moreira Salles Family Office</t>
  </si>
  <si>
    <t>Footwear</t>
  </si>
  <si>
    <t>235003-96T</t>
  </si>
  <si>
    <t>Banco C6</t>
  </si>
  <si>
    <t>Operator of a full-service digital bank based in Sao Paulo, Brazil. The company's services include checking and savings accounts, debit and credit cards, free toll tags, multi-currency global accounts, investments and lending products, enabling individuals as well as small and midsize businesses to save time and money with no monthly fees.</t>
  </si>
  <si>
    <t>JP Morgan Chase (NYS: JPM)(Sanoke Viswanathan)</t>
  </si>
  <si>
    <t>234903-97T</t>
  </si>
  <si>
    <t>GaussFleet</t>
  </si>
  <si>
    <t>Developer of off-road fleet management platform catering to steelmakers, construction companies and logistics operators. The company offers fleet management service, improving internal logistics, programming, executing and measuring contracts, thereby enabling to provision of more strategic information and a productive fleet to reduce costs.</t>
  </si>
  <si>
    <t>Companhia Siderúrgica Nacional (BVMF: CSNA3)</t>
  </si>
  <si>
    <t>260469-64T</t>
  </si>
  <si>
    <t>Tamboro</t>
  </si>
  <si>
    <t>Developer of education software designed to offer an innovative way of recruiting new candidates and doing skill-based training. The company's platform offers a personalized and adaptive learning platform for basic education and also job-specific skill development by using games and communication technologies, enabling clients to optimize time, resources, and productivity.</t>
  </si>
  <si>
    <t>Informática y Tecnología Stefanini</t>
  </si>
  <si>
    <t>234917-74T</t>
  </si>
  <si>
    <t>Vinci Capital Partners IV</t>
  </si>
  <si>
    <t>Operator of the private equity fund based in Rio de Janeiro, Brazil. The company provides growth capital to medium-sized enterprises in vital sectors of the Brazilian economy, including health care, consumer and retail, education, financial services, technology, and agribusiness.</t>
  </si>
  <si>
    <t>234815-05T</t>
  </si>
  <si>
    <t>Azevedo E Travassos SA is an engineering and construction contractor. The company's business areas include heavy and civil construction; electromechanical assembly; well drilling and completion; property development and oil exploration and production. It builds highways, roads, bridges, airports, residential, commercial, industrial health care and buildings, and others.</t>
  </si>
  <si>
    <t>234773-11T</t>
  </si>
  <si>
    <t>NUU Alimentos</t>
  </si>
  <si>
    <t>Producer of carbon-neutral food products intended to promote sustainable farming by introducing local seasonal ingredients to customers. The company's products are made without gluten, coloring, flavoring, and haste which helps to offer natural flavored food to people, enabling consumers to purchase their favorite food products at affordable prices.</t>
  </si>
  <si>
    <t>Bioma Food Hub, Bruno Soares(Bruno Soares), CamelFarm Ventures, EcoEnterprises Fund(Tammy Newmark), EquityRio, Gavea Angels, GVAngels, Marcelo Abritta(Marcelo Abritta), Newlin, Rodolfo Chung(Rodolfo Chung)</t>
  </si>
  <si>
    <t>251991-10T</t>
  </si>
  <si>
    <t>287916-67T</t>
  </si>
  <si>
    <t>Volta Energy (Business/Productivity Software)</t>
  </si>
  <si>
    <t>Operator of a digital energy platform intended to enable customers to purchase economical energy from renewable sources and manage electromobility. The company offers personalized services and a range of products, enabling retailers and energy consumers to save money while promoting sustainability.</t>
  </si>
  <si>
    <t>234847-63T</t>
  </si>
  <si>
    <t>Lighthouse Invest(Gustavo Menezes)</t>
  </si>
  <si>
    <t>234421-93T</t>
  </si>
  <si>
    <t>Cumbuca</t>
  </si>
  <si>
    <t>Developer of a digital account platform designed to share expenses. The company's platform helps split monthly bills, supermarket expenses, or any other cost and it also offers shared accounts with visibility of individual balances, enabling users to organize shared recurring expenses.</t>
  </si>
  <si>
    <t>Lightspeed Venture Partners(Mercedes Bent), Supera Capital</t>
  </si>
  <si>
    <t>287927-74T</t>
  </si>
  <si>
    <t>Stefanini Group(87.co)</t>
  </si>
  <si>
    <t>215329-78T</t>
  </si>
  <si>
    <t>MightyGreens</t>
  </si>
  <si>
    <t>Producer of variety of mushrooms intended to do vertical farming in a Controlled Environment Agriculture (CEA). The company specializes in the production of local, pesticide-free, vegan, and high-nutritional-value foods, providing people with a variety of mushrooms via urban agriculture.</t>
  </si>
  <si>
    <t>Raio Capital(Bruno Teixeira)</t>
  </si>
  <si>
    <t>234464-23T</t>
  </si>
  <si>
    <t>Provi (Financial Software)</t>
  </si>
  <si>
    <t>Developer of a credit analysis platform designed to analyze public data from social networks to assist in calculating rates on personal loans. The company's platform uses machine learning and artificial intelligence to develop credit methods that make sense for students by increasing checkout conversion, enabling young people interested in carrying out the school's boot camps to finance the course fee with an interest rate below the market rate.</t>
  </si>
  <si>
    <t>Principia(Newton Alves)</t>
  </si>
  <si>
    <t>234470-62T</t>
  </si>
  <si>
    <t>SP Pass</t>
  </si>
  <si>
    <t>Developer of an urban mobility application designed for paying bus fares in Sao Paulo, Brazil. The company's platform uses mobile tickets for transport, toll plazas, concerts, cinemas, and other access controls are numerous, both for customers and for organizations, enabling customers to pay the fare for buses through a QR code.</t>
  </si>
  <si>
    <t>234510-04T</t>
  </si>
  <si>
    <t>Speciale Real Estate Fund (BVMF: PMFO11)</t>
  </si>
  <si>
    <t>Speciale Real Estate Fund of Funds Fundo DE Investimento Imobiliario is a fund classified as an Active Management FII and is intended to business segment which is Bonds and Securities. The purpose of the FUND is to invest in following securities, subject to the requirements and provisions relating to the investments contained in the Regulation shares of other real estate investment funds (FII), primarily mortgage bills (LH), real estate letters of credit (LCI),real estate receivables.</t>
  </si>
  <si>
    <t>220454-38T</t>
  </si>
  <si>
    <t>Vendah</t>
  </si>
  <si>
    <t>Operator of an e-commerce platform intended for reselling products in a single application. The company provides new products, promotional materials, payment, and logistic tools and makes it convenient for people to sell and make extra money, enabling users to earn commissions on the products they sell and their customers to gain access to products at reasonable prices.</t>
  </si>
  <si>
    <t>Acacia Venture Capital Partners, Ariel Lambrecht(Ariel Lambrecht), DOMO.VC, EquitasVC, Goodwater Capital, Lanx Capital, Marcia Netto, Maya Capital, Pioneer Fund, Robson Privado(Robson Privado), Sergio Furio(Sergio Furio), Village Global, Y Combinator</t>
  </si>
  <si>
    <t>245979-28T</t>
  </si>
  <si>
    <t>Botnicks</t>
  </si>
  <si>
    <t>Developer of a chatbot technology designed to solve the engagement gap between the employee's acceptance and their first months in the company. The company's platform offers AI-based technology that simplifies the work of an HR, enabling businesses to have assistance with communication with their employees.</t>
  </si>
  <si>
    <t>Bossa Invest, Raja Ventures</t>
  </si>
  <si>
    <t>234568-36T</t>
  </si>
  <si>
    <t>Og do Brasil Alimentacao</t>
  </si>
  <si>
    <t>Operator of a restaurant and bar based in Sao Paulo, Brazil. The company offers alcoholic beverages and serves prepared food.</t>
  </si>
  <si>
    <t>Restaurante Wow</t>
  </si>
  <si>
    <t>234970-93T</t>
  </si>
  <si>
    <t>Webby Participações Societarias</t>
  </si>
  <si>
    <t>Provider of high-speed internet using fiber to the home technology services based in Sao Paulo, Brazil. The company offers fixed telephony, internet and cable television services, ensuring convenience, quality and ease to subscribers.</t>
  </si>
  <si>
    <t>Multiplay (Brazil)</t>
  </si>
  <si>
    <t>215508-79T</t>
  </si>
  <si>
    <t>Alfa Collab, BTG Pactual (BVMF: BPAC3), DXA Invest(Oscar Decotelli), Heitor Martins(Heitor Martins), Ricardo Madureira(Ricardo Madureira), SP Ventures, Suno (Asset Management) (BVMF: SNCI11)(Tiago Reis), SVG Ventures|THRIVE, Victor Knewitz(Victor Knewitz)</t>
  </si>
  <si>
    <t>234405-82T</t>
  </si>
  <si>
    <t>CDP Capital</t>
  </si>
  <si>
    <t>Provider of funding services for innovative credit originators intended to develop funding services for portfolios. The company offers development facilities in the embedded finance model, enabling to grant its clients credit through FIDCs and other instruments.</t>
  </si>
  <si>
    <t>Solis Investimentos</t>
  </si>
  <si>
    <t>295817-77T</t>
  </si>
  <si>
    <t>chameoGLAM</t>
  </si>
  <si>
    <t>Developer of a digital beauty platform designed to connect customers with independent beauty professionals for on-demand, location-based services. The company offers appointment scheduling, profile browsing, and service delivery at chosen times and places, enabling customers seeking personalized beauty care to access trusted professionals conveniently and flexibly.</t>
  </si>
  <si>
    <t>Capital Empreendedor</t>
  </si>
  <si>
    <t>234259-48T</t>
  </si>
  <si>
    <t>Coala</t>
  </si>
  <si>
    <t>Developer of health tech software designed to support schools that need to boost children's development. The company offers full-time access to a specialized pediatric care team, post-consultation follow-up, accident coverage, infectious disease control, and a secure digital system for health data management, enabling schools and families to ensure children's well-being and academic readiness through coordinated and preventive care.</t>
  </si>
  <si>
    <t>Anderson Morais, Bruno Elias(Bruno Elias), David Peixoto(David Peixoto), Mario Ghio(Mario Ghio), Owl Ventures, Rafael Cunha(Rafael Cunha)</t>
  </si>
  <si>
    <t>234278-92T</t>
  </si>
  <si>
    <t>Construmarket</t>
  </si>
  <si>
    <t>Developer of a social platform intended to serve the civil construction industry. The company's platform offers products and services that automate projects, construction sites, purchases, sales, facility management and industrial maintenance, enabling construction enterprises to generate savings, efficiency and productivity for their business.</t>
  </si>
  <si>
    <t>234347-86T</t>
  </si>
  <si>
    <t>Kinea Hedge Fund Fundo (BVMF: KNHF11)</t>
  </si>
  <si>
    <t>Kinea Hedge Fund Fundo De Investimento Imobiliario is a fund with the objective of generating absolute return, resulting from recurring income and capital gains, based on an active multidisciplinary management, with a portfolio composed of different assets from the real estate sector and managed by different Kinea teams.</t>
  </si>
  <si>
    <t>234358-03T</t>
  </si>
  <si>
    <t>255246-13T</t>
  </si>
  <si>
    <t>4intelligence</t>
  </si>
  <si>
    <t>Developer of a predictive model automation platform intended to deliver scalable artificial intelligence-driven results for critical business questions. The company's platform offers an algorithm to customize large-scale models, deploying production models and demand estimation services, enabling clients to make effective strategic and tactical decisions.</t>
  </si>
  <si>
    <t>242565-04T</t>
  </si>
  <si>
    <t>Escola Britânica de Artes Criativas e Tecnologia</t>
  </si>
  <si>
    <t>Operator of an online school and training programs intended to offer education in creative and digital arts. The company offers webinars, video lessons, and hybrid degrees in design, marketing, programming, and more, enabling students to deepen their knowledge in their domain and develop new professional skills.</t>
  </si>
  <si>
    <t>234132-40T</t>
  </si>
  <si>
    <t>White Cube</t>
  </si>
  <si>
    <t>Provider of information technology consulting services based in Porto Alegre, Brazil. The company offers database consulting, business intelligence, data architecture and cloud solutions, thereby helping its clients with quality, specialization and technical knowledge to participate in projects and carry out consultancy in the area of Information Technology, sharing the Accumulated Knowledge.</t>
  </si>
  <si>
    <t>Think IT(Alexandre de Azevedo)</t>
  </si>
  <si>
    <t>234447-76T</t>
  </si>
  <si>
    <t>EquitasVC, Lanx Capital</t>
  </si>
  <si>
    <t>233813-71T</t>
  </si>
  <si>
    <t>Cinnecta</t>
  </si>
  <si>
    <t>Developer of a customer experience management platform intended to produce insights and strategies. The company's cloud-based platform for communications service providers enables network performance analysis, phone assessment, customer behavior identification, billing tracking and network coverage identification, enabling businesses to make optimal decisions and build customer relationships.</t>
  </si>
  <si>
    <t>242322-04T</t>
  </si>
  <si>
    <t>Quitanda</t>
  </si>
  <si>
    <t>Operator of a book publishing company intended to promote spiritual growth, respect for multiplicity, and inclusion. The company offers the connection between cultures, the flame of transformation, and the light of spirituality and provides books where every word is carefully chosen, every detail is masterfully crafted, enabling readers to inspire transformation and encouraging hearts to soar and minds to expand.</t>
  </si>
  <si>
    <t>233772-31T</t>
  </si>
  <si>
    <t>Cinco Telecom</t>
  </si>
  <si>
    <t>Operator of a virtual mobile network and telecommunication services intended to serve clients in telecommunications sector. The company offers tailor-made Machine-to-Machine (M2M) and Internet of Things (IoT) communication plans and solutions.</t>
  </si>
  <si>
    <t>EMnify</t>
  </si>
  <si>
    <t>233760-79T</t>
  </si>
  <si>
    <t>Oasis Ventures (São Paulo)</t>
  </si>
  <si>
    <t>227656-45T</t>
  </si>
  <si>
    <t>Antler(Carolina Strobel)</t>
  </si>
  <si>
    <t>247821-40T</t>
  </si>
  <si>
    <t>FII ALIANZME</t>
  </si>
  <si>
    <t>Alianza Multiestrategia Fundo De Investimento Imobiliario is engaged in investing in different asset categories.</t>
  </si>
  <si>
    <t>233623-18T</t>
  </si>
  <si>
    <t>Linked (Business/Productivity Software)</t>
  </si>
  <si>
    <t>Developer of a restaurant management platform designed to serve the food service market. The company through its platform provides complete backup with reports, an intuitive box front with modules, electronic control on the cell phone, local and delivery modules, intelligent operation and objective management, and more.</t>
  </si>
  <si>
    <t>Entre Investimentos</t>
  </si>
  <si>
    <t>248856-31T</t>
  </si>
  <si>
    <t>Plano &amp; Plano Desenvolvimento Imobiliário (BVMF: PLPL3)</t>
  </si>
  <si>
    <t>Plano &amp; Plano Desenvolvimento Imobiliario SA is one of the largest construction companies and real estate developers in the Sao Paulo Metropolitan Region.</t>
  </si>
  <si>
    <t>187762-69T</t>
  </si>
  <si>
    <t>Workhub Digital</t>
  </si>
  <si>
    <t>Developer of an intranet-integrated platform designed to optimize company communication. The company's platform offers features such as alerts and notifications, banners, surveys, events, galleries, and internal activities, helping employees communicate, engage, and be productive in managing their work.</t>
  </si>
  <si>
    <t>Astralabs, Mentori Participaçõe, Meta Ventures(Marcio Flôres), Ventiur(Guilherme Kudiess)</t>
  </si>
  <si>
    <t>233569-18T</t>
  </si>
  <si>
    <t>ADTsys</t>
  </si>
  <si>
    <t>Provider of cloud computing services intended to serve business organizations. The company offers infrastructure as a service (IaaS), and platform as a service (PaaS), and specializes in software development, information security, data centers, capacity planning, network architecture, and orchestration in cloud computing, thereby enabling clients to optimize their business through cloud technology.</t>
  </si>
  <si>
    <t>Claranet, Tikehau Capital (PAR: TKO)(Emmanuel Laillier)</t>
  </si>
  <si>
    <t>241185-61T</t>
  </si>
  <si>
    <t>228644-56T</t>
  </si>
  <si>
    <t>Elo7</t>
  </si>
  <si>
    <t>Operator of an online marketplace intended to transform people's lives through a humanized buying and selling environment that connects and inspires. The company's platform offers handmade jewelry, clothes, belts, photo frames and bags, enabling customers to buy traditional products at a reasonable price.</t>
  </si>
  <si>
    <t>241194-07T</t>
  </si>
  <si>
    <t>HartB</t>
  </si>
  <si>
    <t>Provider of data and artificial intelligence services intended to transform data into knowledge and valuable information. The company specializes in big data analytics, artificial intelligence, big data, innovation, the Internet of Things, and data science, enabling businesses by helping to guide decision-making by managers and aligning business objectives and customer expectations.</t>
  </si>
  <si>
    <t>233686-72T</t>
  </si>
  <si>
    <t>Jettax Tecnologia e Serviços Online</t>
  </si>
  <si>
    <t>Developer of process automation systems intended for tax automation services. The company offers calculation and automatic generation, the capture of incoming and outgoing notes, NFSE capture without a digital certificate, automatic identification of the simple nacional attachment and automatic monitoring of pending e-cac services.</t>
  </si>
  <si>
    <t>241186-42T</t>
  </si>
  <si>
    <t>Stattus4</t>
  </si>
  <si>
    <t>Developer of Internet of Things, cloud and artificial intelligence-based analytics system designed to detect leaks in the distribution network automatically. The company's system includes a dashboard for information presentation, telemetry-based systems for the remote capture of natural gas consumption, sensors for water distribution analysis, pipe gas analysis and leak scanning systems, enabling clients to detect leaks in the public supply network, covering areas of several square kilometers at the same time.</t>
  </si>
  <si>
    <t>233889-04T</t>
  </si>
  <si>
    <t>Conset Seguros</t>
  </si>
  <si>
    <t>Provider of insurance brokerage services intended to provide customer satisfaction with their demands and dissemination. The company offers engineering risk insurance and liability insurance for the construction industry, thereby providing transparency, diversity and sustainability to the customers.</t>
  </si>
  <si>
    <t>233718-85T</t>
  </si>
  <si>
    <t>Fundo De Investimento Imobiliario Apex (BVMF: APXM11)</t>
  </si>
  <si>
    <t>FUNDO DE INVESTIMENTO IMOBILIARIO APEX MALLS FII is real estate investment trust. The purpose of the fund is to invest in real estate projects, primarily in ready-made properties, land or properties under construction, intended for exploitation of commercial activities especially, but not limited to shopping centers (Target Properties) and additionally in real rights over Target Properties which are income generators.</t>
  </si>
  <si>
    <t>241185-43T</t>
  </si>
  <si>
    <t>Money Money Invest</t>
  </si>
  <si>
    <t>Developer of a financial services platform designed to increase the accessibility of digital credit. The company's software provides crowdfunding services, in the form of peer-to-peer lending, enabling investors and borrowers to get in touch so that the former can meet the credit demand of the latter.</t>
  </si>
  <si>
    <t>233685-28T</t>
  </si>
  <si>
    <t>Myio</t>
  </si>
  <si>
    <t>Provider of wireless automation solutions based out of Brazil. The company offers utility monitoring services, asset management and predictive maintenance and security services enabling its customers to increase their business productivity.</t>
  </si>
  <si>
    <t>Lotus ICT Empreendimentos</t>
  </si>
  <si>
    <t>241186-69T</t>
  </si>
  <si>
    <t>241186-15T</t>
  </si>
  <si>
    <t>Noh</t>
  </si>
  <si>
    <t>Developer of an automatic bill-splitting application designed to bring people together to make group payments. The company's platform offers a shared digital wallet where users can make payments through an electronic payment system, or a prepaid Visa card issued, enabling customers to pay a single bill at the same time, and split automatically.</t>
  </si>
  <si>
    <t>233201-80T</t>
  </si>
  <si>
    <t>EqSeed</t>
  </si>
  <si>
    <t>Operator of an equity crowdfunding platform intended to connect startups with investors. The company offers an online investment platform for investing in private companies, enabling startups to raise funds and investors to explore regulated investment opportunities, enabling clients to invest in emerging businesses with growth potential while supporting startups in securing financial resources for expansion.</t>
  </si>
  <si>
    <t>233672-41T</t>
  </si>
  <si>
    <t>Agric Adubos e Gestão de Resíduos Industriais e Comerciais</t>
  </si>
  <si>
    <t>Manufacturer of biofertilizer located in Santa Catarina. The company is engaged in composting industrial organic waste for the production of biofertilizers.</t>
  </si>
  <si>
    <t>234798-76T</t>
  </si>
  <si>
    <t>Flexpag</t>
  </si>
  <si>
    <t>Operator of a financial technology business based in Recife, Brazil. The company's services include digital payment solutions using chatbots, artificial intelligence, virtual cards and related financial solutions.</t>
  </si>
  <si>
    <t>233093-26T</t>
  </si>
  <si>
    <t>Hibrido Internet Business</t>
  </si>
  <si>
    <t>Provider of website designing services based in Brusque, Brazil. The company offers visual designing services, publishing, analytical, web interface design and programming services.</t>
  </si>
  <si>
    <t>Smollan Group</t>
  </si>
  <si>
    <t>262722-34T</t>
  </si>
  <si>
    <t>245978-56T</t>
  </si>
  <si>
    <t>Conecta Suite</t>
  </si>
  <si>
    <t>Developer of a cloud-based email signatures platform intended to help businesses of all sizes and industries that use Workspace. The company platform offers several functions such as creating email signatures, editing absent messages, and creating custom groups, enabling businesses to avoid labor lawsuits and data breaches.</t>
  </si>
  <si>
    <t>233016-49T</t>
  </si>
  <si>
    <t>Inklo</t>
  </si>
  <si>
    <t>Developer of a payment platform designed to offer a payment alternative for healthcare procedures. The company's platform helps to provide access to credit and also has numerous professionals registered and able to perform the procedure, enabling customers with simplified financing to carry out the surgery.</t>
  </si>
  <si>
    <t>227230-84T</t>
  </si>
  <si>
    <t>Loft Brasil Tecnologia</t>
  </si>
  <si>
    <t>Operator of an online property searching platform intended to buy, sell, and rent residential and commercial properties. The company's platform has a searchable database that lets users find, browse, rate, and purchase domestic and commercial properties based on feedback and reviews from registered customers, enabling property buyers and sellers to handle real estate deals transparently and unambiguously.</t>
  </si>
  <si>
    <t>ADQ, Altimeter Capital Management, Andreessen Horowitz(Alastair Rampell), Baillie Gifford, BTG Pactual (BVMF: BPAC3), Citi Ventures, Close (Business/Productivity Software), CPP Investments, D1 Capital Partners, DST Global, Fifth Wall(Brendan Wallace), GIC Private, Guava Capital, Launchbay Capital, Monashees, QED Investors, Silver Lake, The Finger Group(Jason Finger), Valor Capital Group, Webforce Investments</t>
  </si>
  <si>
    <t>234419-86T</t>
  </si>
  <si>
    <t>AG Mind</t>
  </si>
  <si>
    <t>Developer of data technology platform, based in São Paulo, Brazil. The company helps in anticipating the future and promotes assertiveness in decision-making, providing agro-industry with alternatives for risk analysis, enabling its clients in commercial projections, and strategic planning.</t>
  </si>
  <si>
    <t>256413-79T</t>
  </si>
  <si>
    <t>Biowash IND e Com</t>
  </si>
  <si>
    <t>Manufacturer and supplier of natural cleaning products created for household cleaning. The company's products are all-natural, do not contain any petrochemicals, do not cause allergies and do not pollute the environment which includes products and accessories for pet and laundry cleaning.</t>
  </si>
  <si>
    <t>233442-28T</t>
  </si>
  <si>
    <t>Cãez</t>
  </si>
  <si>
    <t>Operator of a perfume and cosmetics brand intended to offer well-being to dogs without harming any animal. The company offers products that are vegan, toxin-free, and biodegradable, enabling dogs to live a healthy life.</t>
  </si>
  <si>
    <t>FEA Angels</t>
  </si>
  <si>
    <t>232895-89T</t>
  </si>
  <si>
    <t>Flix</t>
  </si>
  <si>
    <t>Operator of an insurance company intended to deliver simple residential insurance services. The company offers assistance with key making, plumbing, electrical repairs, and glazings as well as a plan for pets that includes veterinary consultations, information about vaccines, and much more, enabling customers to save time on repairs and money and protect their homes.</t>
  </si>
  <si>
    <t>220693-15T</t>
  </si>
  <si>
    <t>Forno de Minas</t>
  </si>
  <si>
    <t>Producer of dairy products to countries such as the United States, Canada, Portugal, England, Uruguay, and Chile. The company produces and distributes cheese bread, appetizer, and snacks that are recognized for the traditional quality of its homemade recipe and export its products.</t>
  </si>
  <si>
    <t>McCain do Brasil Alimentos</t>
  </si>
  <si>
    <t>233663-59T</t>
  </si>
  <si>
    <t>233752-51T</t>
  </si>
  <si>
    <t>Inedita Bio</t>
  </si>
  <si>
    <t>Developer of a plant genome editing platform intended for sustainable food production. The company's platform utilizes a unique technology that allows the recovery of lost variability in plants caused by breeding techniques by introducing minor modifications in the crop's life cycle through genome editing, enabling researchers to reduce the use of chemical pesticides in food production.</t>
  </si>
  <si>
    <t>Ecoa Capital</t>
  </si>
  <si>
    <t>234152-83T</t>
  </si>
  <si>
    <t>InPlant</t>
  </si>
  <si>
    <t>Producer of in vitro micro-propagated seedlings intended to support quality seed production. The company uses artificial intelligence to control plant cultivation and monitor their growth, enabling agriculture-based companies to control environmental and social sustainability in all of the processes.</t>
  </si>
  <si>
    <t>227522-89T</t>
  </si>
  <si>
    <t>Maxbot</t>
  </si>
  <si>
    <t>Developer of a conversational chatbot intended to enable businesses to create personalized customer services for the customers. The company's platform offers various services that include, multiple operators on one number, collaboration between agents and customers, creating and tracking service requests, and businesses to scale and organize their service.</t>
  </si>
  <si>
    <t>Bossa Invest, FCJ Venture Builder</t>
  </si>
  <si>
    <t>253845-91T</t>
  </si>
  <si>
    <t>Modern Logistics ( Logistics)</t>
  </si>
  <si>
    <t>Provider of third-party logistics services intended to facilitate transportation across Brazil. The company offers air and land transport, storage services, cold chain and reverse logistics via its integrated logistics platform with multi-modal transport and distribution centers strategically located across the country, enabling industrial clients to optimize their supply chains and save costs.</t>
  </si>
  <si>
    <t>Logistics</t>
  </si>
  <si>
    <t>241647-22T</t>
  </si>
  <si>
    <t>Netell Telecom</t>
  </si>
  <si>
    <t>Provider of fiber optic network services intended for a wide range of local and international customers. The company offers a bandwidth infrastructure that consists of fiber optic and off-net networks, ensuring agile, instant response time, flexibility and adaptability to its customer needs.</t>
  </si>
  <si>
    <t>223718-68T</t>
  </si>
  <si>
    <t>PedBot</t>
  </si>
  <si>
    <t>Developer of service management platform intended to serve pharmaceutical retail. The company's platform offers services through WhatsApp, without the need for any kind of application, placing multiple attendants on a single number, creating a first-come, first-served prioritization list, and activating robots that pre-service, enabling pharmacies to place multiple attendants on a single number, create a first-come, first-served prioritization list and activate robots.</t>
  </si>
  <si>
    <t>Functional Health Tech</t>
  </si>
  <si>
    <t>233721-82T</t>
  </si>
  <si>
    <t>StreetSales</t>
  </si>
  <si>
    <t>Developer of business management software intended to automate the company's main processes that can help the business grow. The company's software offers a variety of functionalities and tools such as stock management, invoice, and tax coupon generators, that cater to a range of industries, enabling businesses to manage different stores and business units through a single network, define access controls, and centralize information.</t>
  </si>
  <si>
    <t>233719-84T</t>
  </si>
  <si>
    <t>Super Box</t>
  </si>
  <si>
    <t>Operator of autonomous minimarkets platform intended for day-to-day convenience. The company's platform offers a self-checkout, payment by credit card, and real-time inventory tracking, and the evolution of retail with an easy, fast, and secure shopping experience, enabling the company to offer a convenient and reliable shopping experience to customers in urban areas.</t>
  </si>
  <si>
    <t>234395-20T</t>
  </si>
  <si>
    <t>Voke</t>
  </si>
  <si>
    <t>Provider of information technology infrastructure services intended for small and medium enterprises. The company offers services for critical hardware infrastructure including desktop computers, notebooks, tablets and smartphones, enabling clients to reduce mobility costs by making equipment management easy.</t>
  </si>
  <si>
    <t>Partner Ventures</t>
  </si>
  <si>
    <t>200861-83T</t>
  </si>
  <si>
    <t>Atmos Capital Gestao de Recursos, JP Morgan Asset Management, Restaurant Brands International (TSE: QSR)</t>
  </si>
  <si>
    <t>204263-02T</t>
  </si>
  <si>
    <t>Engie Brasil Energia (Pampa Sul Coal Power Plant)</t>
  </si>
  <si>
    <t>345-megawatt coal-fired thermoelectric plant located in Candiota, Brazil.</t>
  </si>
  <si>
    <t>Perfin Wealth Management(Ralph Rosenberg), Starboard Restructuring Partners(Marcus Bitencourt)</t>
  </si>
  <si>
    <t>232836-58T</t>
  </si>
  <si>
    <t>Nova Quality Veículos</t>
  </si>
  <si>
    <t>Operator of a car dealership based in Guarulhos, Sao Paulo, Brazil. The company offers sales of new and used cars, repair, spare parts and armoured cars.
.</t>
  </si>
  <si>
    <t>Simpar (BVMF: SIMH3)</t>
  </si>
  <si>
    <t>232748-11T</t>
  </si>
  <si>
    <t>Vista Capital (Brazil)</t>
  </si>
  <si>
    <t>Provider of investment management services based in Rio de Janeiro, Brazil. The company specializes in managing investment funds, company reports and information as well as policies and manuals also hedge funds, long and short-term investment plans.</t>
  </si>
  <si>
    <t>Zalatoris II Acquisition (PINX: ZLSSF)</t>
  </si>
  <si>
    <t>227974-78T</t>
  </si>
  <si>
    <t>YesSinergy</t>
  </si>
  <si>
    <t>Producer of feed additives intended to be a reference organization in biotechnology for nutrition and animal health. The company's additives utilize low-cost sourcing, mycotoxin binders, prebiotics, organic minerals and protein producers with antibiotic-free solutions derived from ethanol yeast, enabling customers to have nutritional solutions that promote animal health and nutrition.</t>
  </si>
  <si>
    <t>Arkéa Capital, Motion Equity Partners(Patrick Eisenchteter), Olmix Group(Robert Clapham), Omnes Capital</t>
  </si>
  <si>
    <t>250230-34T</t>
  </si>
  <si>
    <t>CloudWalk</t>
  </si>
  <si>
    <t>Developer of an open payment networking platform intended to offer consulting services, training, and all the necessary support for the success of payment operations. The company's platform is certified for various brands and can be automatically integrated to perform debit and credit transactions can be used with a number of terminals, and provides an open-source documentation application, enabling clients to accept credit and debit cards easily as well as manage the sales process including issuing and validation of tickets directly from their terminals.</t>
  </si>
  <si>
    <t>Light Capital Group(Everson Lopes)</t>
  </si>
  <si>
    <t>232936-39T</t>
  </si>
  <si>
    <t>Liberty Seguros (LIM: LIBSEGC1)</t>
  </si>
  <si>
    <t>Liberty Seguros SA operates as an insurance company. The company product lines include vehicle insurance, credit and surety insurance, general civil liability, accident and illness insurance, short-term group or individual life insurance and others.</t>
  </si>
  <si>
    <t>HDI Global, HDI Seguros (Peru), Saint Honoré Iberia</t>
  </si>
  <si>
    <t>233009-38T</t>
  </si>
  <si>
    <t>Sendas Distribuidora (BVMF: ASAI3)</t>
  </si>
  <si>
    <t>Sendas Distribuidora SA is involved in the consumer goods business. Its cash and carry operations involve sales of items of grocery, food, perishable, beverage, wrapping, hygiene, and cleaning products, among others. Its customers include prepared food retailers (including restaurants, pizzerias, and snack bars), end-users (including schools, small businesses, religious institutions, hospitals, and hotels), conventional retailers such as grocery stores and neighborhood supermarkets, and individuals. Its stores are located throughout Brazilian states.</t>
  </si>
  <si>
    <t>BlackRock (NYS: BLK)</t>
  </si>
  <si>
    <t>232834-96T</t>
  </si>
  <si>
    <t>Solvitech</t>
  </si>
  <si>
    <t>Provider of analytical solutions intended to serve small and medium-sized companies.</t>
  </si>
  <si>
    <t>White Wall(Rafael Pacheco)</t>
  </si>
  <si>
    <t>158578-39T</t>
  </si>
  <si>
    <t>BirminD</t>
  </si>
  <si>
    <t>Developer of business management software designed to take industrial data, test different algorithms, and deliver better results. The company's software offers industrial analysis, optimization of control loops, and evaluation of the financial return on services, enabling businesses to automate daily operations and increase efficiency.</t>
  </si>
  <si>
    <t>252912-88T</t>
  </si>
  <si>
    <t>Asa Retrofits Fundo De (BVMF: ASRF11)</t>
  </si>
  <si>
    <t>Asa Retrofits Fundo De Investimento Imobiliario is a Multi strategy Asset management firm. Its products include Hedge Fund, Equities, Fixed Income,Retirement Savings Fund, Credit, Real estate, and International.</t>
  </si>
  <si>
    <t>232671-43T</t>
  </si>
  <si>
    <t>Fof Jhsf Capital Fundo (BVMF: JCCJ11)</t>
  </si>
  <si>
    <t>Fof Jhsf Capital Fundo De Investimento Imobiliario is a real estate investment trust constituted in the form of a closed condominium, with a term of indefinite duration.</t>
  </si>
  <si>
    <t>227172-25T</t>
  </si>
  <si>
    <t>GVAngels, HBS Alumni Angels of Brazil, Urca Angels</t>
  </si>
  <si>
    <t>233682-04T</t>
  </si>
  <si>
    <t>235056-07T</t>
  </si>
  <si>
    <t>Ace Ventures</t>
  </si>
  <si>
    <t>232291-54T</t>
  </si>
  <si>
    <t>IPD Digital</t>
  </si>
  <si>
    <t>Operator of a teaching institution based in Brazil.</t>
  </si>
  <si>
    <t>BTG Pactual (BVMF: BPAC3), Exame (Publishing)(Renato Mimica)</t>
  </si>
  <si>
    <t>233708-95T</t>
  </si>
  <si>
    <t>Touareg Seguros</t>
  </si>
  <si>
    <t>Operator of an insurance brokerage firm intended to serve businesses and corporate clients. The company offers insurance services that include health, group life, dental plans, private pensions, real estate receivables, condominiums, life, and other related insurance to businesses, enabling clients to get a complete insurance package for their different needs.</t>
  </si>
  <si>
    <t>240914-17T</t>
  </si>
  <si>
    <t>Aludyne Componentes Automotivos Brasil</t>
  </si>
  <si>
    <t>Manufacturer of automotive parts based in Brazil. The company offers motor vehicle steering and suspension components.</t>
  </si>
  <si>
    <t>Metalsider (Pig Iron Manufacturing)</t>
  </si>
  <si>
    <t>287915-14T</t>
  </si>
  <si>
    <t>Enermatch</t>
  </si>
  <si>
    <t>Operator of an energy management platform designed to optimize renewable energy generation and consumption. The company's platform enables real-time monitoring, automated billing, and contract management, providing schools and energy producers with tools to enhance operational efficiency, reduce carbon footprints, and achieve cost savings while supporting sustainable energy practices.</t>
  </si>
  <si>
    <t>SdP Capital</t>
  </si>
  <si>
    <t>232239-16T</t>
  </si>
  <si>
    <t>SaaSholic</t>
  </si>
  <si>
    <t>232465-78T</t>
  </si>
  <si>
    <t>Sodep</t>
  </si>
  <si>
    <t>Developer of fleet management systems catering to mining, ports, steel, forestry, agribusiness and large construction sites. The company specializes in systems development, consulting, analysis, design, planning and industrial automation, thereby enabling businesses to make better decisions based on data.</t>
  </si>
  <si>
    <t>Datamine Software(Dylan Webb)</t>
  </si>
  <si>
    <t>232749-28T</t>
  </si>
  <si>
    <t>TRR Corretora de Seguros</t>
  </si>
  <si>
    <t>Provider of insurance brokerage services catering to risk and benefit consulting and management market. The company offers strategic management in 
business insurance, risks and benefits as well as health plan management.</t>
  </si>
  <si>
    <t>Alper Consultoria e Corretora de Seguros(Marcos Aurélio Couto)</t>
  </si>
  <si>
    <t>232236-64T</t>
  </si>
  <si>
    <t>Wisemoney Tecnologia E Correspondente Bancario</t>
  </si>
  <si>
    <t>Provider of mobile application-based lending platform services in Sao Paulo, Brazil. The company offers a p2p lending platform available for loans, investing, advisory services, thereby allowing the negotiation of receivables directly between the seller and the investor.</t>
  </si>
  <si>
    <t>234505-54T</t>
  </si>
  <si>
    <t>Ariza - Comércio de Produtos Veterinários</t>
  </si>
  <si>
    <t>Operator of a veterinary hospital based in Itu, Brazil. The company offers feline medicine, acupuncture, anesthesia, surgery, physiotherapy, hemodialysis, ophthalmology and oncology services.</t>
  </si>
  <si>
    <t>Pet Care Group</t>
  </si>
  <si>
    <t>228848-59T</t>
  </si>
  <si>
    <t>Cacaus Biocosméticos</t>
  </si>
  <si>
    <t>Manufacturer of biocosmetic products intended to provide cosmetics using cocoa agricultural residues. The company provides a line of biocosmetics produced from the transformation of agricultural residues such as cocoa husks, cocoa pulp, and honey, and making products such as capillary items, shampoo, conditioner, and combing cream, enabling customers to get sustainable cosmetic products.</t>
  </si>
  <si>
    <t>228756-07T</t>
  </si>
  <si>
    <t>DieselBank</t>
  </si>
  <si>
    <t>Developer of a digital banking platform designed for truck drivers. The company's platform offers banking and financial management services that include savings accounts, NFC-enabled prepaid cards for online/offline purchases, bill payments and money transfers, enabling truck drivers to meet their day-to-day needs, making their financial life easy in a simple, secure way and at no cost.</t>
  </si>
  <si>
    <t>228799-72T</t>
  </si>
  <si>
    <t>Voltbras</t>
  </si>
  <si>
    <t>Developer of a charging station management platform intended to monitor the electro-post network. The company's platform offers a toolkit that manages and controls the charging stations in real-time with the graphical interfaces and makes it possible to monitor the availability of the electrophores, whether they are in use, free, offline, or under maintenance, and receive notifications when there are failures or other events, enabling operators to manage and control the charging stations in real-time with the graphical interfaces of the platform.</t>
  </si>
  <si>
    <t>DOMO.VC, EDP Ventures, Iberdrola - PERSEO, MSW Capital(Richard Zeiger)</t>
  </si>
  <si>
    <t>202947-67T</t>
  </si>
  <si>
    <t>232194-61T</t>
  </si>
  <si>
    <t>Big Idea Ventures(Caroline Mak)</t>
  </si>
  <si>
    <t>218518-66T</t>
  </si>
  <si>
    <t>Já Vendeu</t>
  </si>
  <si>
    <t>Operator of a used products market platform designed for selling used products online. The company acts in all the processes involved with the online sale including cleaning and repairing the furniture, taking good quality photos, and advertising on the sales platforms, enabling advertisers to sell their items on the internet effortlessly.</t>
  </si>
  <si>
    <t>Bossa Invest, DOMO.VC(Rodrigo Borges), Levain Capital, Quintal Ventures, Westwood Capital (Brazil)</t>
  </si>
  <si>
    <t>251904-16T</t>
  </si>
  <si>
    <t>Tributei</t>
  </si>
  <si>
    <t>Developer of a SaaS-based platform designed to automate the ICMS-ST and DIFAL calculation process. The company's platform utilizes artificial intelligence to download and consult invoices, calculate and audit entrance grades, and manage payment guides, enabling businesses to keep their accounts up-to-date.</t>
  </si>
  <si>
    <t>251862-85T</t>
  </si>
  <si>
    <t>Blue Fleet</t>
  </si>
  <si>
    <t>Developer of a cloud-based fleet management software designed to streamline and optimize operations for car rental companies. The company offers a comprehensive Software-as-a-service platform specifically designed for car rental companies offering cloud-based accessibility, integrated modules, 
workflow automation and data-driven insights, enabling clients to increase operational efficiency and reduce costs.</t>
  </si>
  <si>
    <t>213531-85T</t>
  </si>
  <si>
    <t>Maromar Investimentos, Muralha Capital, Provence Partners</t>
  </si>
  <si>
    <t>249042-52T</t>
  </si>
  <si>
    <t>Briefer</t>
  </si>
  <si>
    <t>Developer of a data visualization platform designed to transform raw data into meaningful insights. The company's platform offers tools for connecting to multiple data sources, features to run structured query language (sql) queries and python code, and options for building visualizations, dashboards, and data applications, enabling clients to analyze and visualize data without relying entirely on technical expertise.</t>
  </si>
  <si>
    <t>301225-96T</t>
  </si>
  <si>
    <t>Damch</t>
  </si>
  <si>
    <t>Developer of a data management platform designed to analyze large volumes of data through algorithms to extract useful insights. The company's platform facilitates understanding of user behavior, personalizes the customer experience, makes strategic decisions, and optimizes the automated decision-making process, enabling clients to improve the workflow process and gamification of their business.</t>
  </si>
  <si>
    <t>LA FABRIQUE (Brazil)</t>
  </si>
  <si>
    <t>251860-15T</t>
  </si>
  <si>
    <t>228593-44T</t>
  </si>
  <si>
    <t>Mombak</t>
  </si>
  <si>
    <t>Operator of large-scale native, biodiverse reforestation projects designed to remove carbon from the atmosphere. The company combines expertise in science, technology, forestry, and carbon markets to implement extensive reforestation efforts, enabling global communities to address climate change challenges through effective carbon sequestration strategies.</t>
  </si>
  <si>
    <t>AXA Investment Managers(Adam Gibbon)</t>
  </si>
  <si>
    <t>228835-09T</t>
  </si>
  <si>
    <t>MRV (BVMF: MRVE3)</t>
  </si>
  <si>
    <t>MRV Engenharia e Participacoes SA is engaged in the management of own and third-party assets, development, construction and sale of Company-owned or third-party real estate, the provision of technical engineering services related to the functions of the technicians in charge, real estate consultancy services, dealing service of goods and services supply in residential real estate segment and holding equity interests in other companies as a shareholder. Real estate development and the construction of real estate are performed directly by the Company or other business partners. The operating segments of the company are Real estate development, Luggo, Resia and Land development.</t>
  </si>
  <si>
    <t>234517-42T</t>
  </si>
  <si>
    <t>NetPOS (Business / Productivity)Software)</t>
  </si>
  <si>
    <t>Provider of a management system to assist micro and small entrepreneurs, MEIs and self-employed professionals in managing businesses. The company's service helps control financial flow and stock, commissioning for sellers, online sales through the catalog and issue of invoices thereby helping clients with cost-benefit option in their commercial automation, through software and hardcore solution that helps them to improve the management of their businesses.</t>
  </si>
  <si>
    <t>PagSeguro Digital (NYS: PAGS)(Artur Schunck)</t>
  </si>
  <si>
    <t>251886-88T</t>
  </si>
  <si>
    <t>Solar21</t>
  </si>
  <si>
    <t>Provider of solar plate rental service intended to produce clean and cheap energy. The company's service can save up to three thousand realis per year for the customer and reduce by twelve tons the carbon dioxide emission in the atmosphere, enabling users to produce their energy through the sun and contribute to building a more sustainable world with a pollution-free environment.</t>
  </si>
  <si>
    <t>228573-37T</t>
  </si>
  <si>
    <t>Spaco Agricola</t>
  </si>
  <si>
    <t>Provider of agricultural products intended to become a reference company in agribusiness technological solutions. The company offers fertilizers including foliar, granulated, and insecticides, adjuvants, herbicides, fungicides and seeds of soy, corn, sorghum, sunflower, crotalaria thereby providing services and technological solutions with maximizing the results and the development of clients, partners and collaborators, aiming at the continuous and mutual growth with our company.</t>
  </si>
  <si>
    <t>Tepeyac Brasil Participações</t>
  </si>
  <si>
    <t>228483-91T</t>
  </si>
  <si>
    <t>AZLeads</t>
  </si>
  <si>
    <t>Developer of sales and marketing software based in Campo Bom, Brazil. The company offers pre-sales, outbound marketing tool offering business intelligence services, contact options, task control, sales analysis tool, thereby helping its clients to reach their potential market, reduce the time and cost needed to acquire new leads and make accurate decisions.</t>
  </si>
  <si>
    <t>Meetz(Juliano Dias)</t>
  </si>
  <si>
    <t>226684-81T</t>
  </si>
  <si>
    <t>Boardible</t>
  </si>
  <si>
    <t>Developer of a digital board gaming application designed to facilitate playing games online with friends and family. The company's platform offers live collaboration, chat, and voice chat throughout the play of the game, enabling players to enjoy their game together, from different locations.</t>
  </si>
  <si>
    <t>Canary (Brazil), FJ Labs</t>
  </si>
  <si>
    <t>228520-27T</t>
  </si>
  <si>
    <t>KNW Brokers</t>
  </si>
  <si>
    <t>Provider of reinsurance services intended for energy, property and construction sectors. The company offers reinsurance and consulting services through a team of experienced professionals, thereby providing quality services as required by clients.</t>
  </si>
  <si>
    <t>BMS Group(Jose Leão), British Columbia Investment Management(Gordon Fyfe), Eurazeo (PAR: RF)(Marc Frappier), Preservation Capital Partners(Jatender Aujla)</t>
  </si>
  <si>
    <t>228649-78T</t>
  </si>
  <si>
    <t>Looqbox</t>
  </si>
  <si>
    <t>Developer of a market knowledge platform designed to make organizational information unbelievably simple to be searched and used. The company's platform combines the concept of business intelligence and knowledge management to offer corporate information and indicators, enabling viewers to stay well-versed in the market.</t>
  </si>
  <si>
    <t>207880-57T</t>
  </si>
  <si>
    <t>Next Fit</t>
  </si>
  <si>
    <t>Developer of an administration application designed for gyms and studios. The company application helps to view the gym's timeline, schedule classes, control, and carry out workouts, and view training history, enabling gym administration to manage all their activities from one place.</t>
  </si>
  <si>
    <t>Bossa Invest, DOMO.VC, Parceiro Ventures</t>
  </si>
  <si>
    <t>228448-81T</t>
  </si>
  <si>
    <t>Zarpo</t>
  </si>
  <si>
    <t>Operator of a hotel selection platform intended to offer direct negotiations with desirable hotels and resorts. The company's platform negotiates all rates directly with hotels and airlines to achieve significant reductions and privileges strictly reserved for their associates and assist in making reservations at hotels with discount for members, enabling customers to enjoy their holidays and vacations in hotels and resorts.</t>
  </si>
  <si>
    <t>Bancorbras</t>
  </si>
  <si>
    <t>228315-43T</t>
  </si>
  <si>
    <t>Culttivo</t>
  </si>
  <si>
    <t>Operator of a digital agricultural credit platform intended to provide financing in a simple and uncomplicated way. The company's platform provides credit lines, allowing the customer to keep their products in storage, aiming to sell them under better market conditions or use them as a resource for the acquisition of inputs, improvements in the field, and liquidity, enabling farmers to access credit using their farm produce.</t>
  </si>
  <si>
    <t>FIAgro, Octante</t>
  </si>
  <si>
    <t>228426-85T</t>
  </si>
  <si>
    <t>iFriend</t>
  </si>
  <si>
    <t>Operator of a tourism platform intended to connect tourists and locals around the world. The company's platform allows personal interaction between tourists and local residents, enabling tourists to connect with guides and explore cultural, economic, and social diversity with ease.</t>
  </si>
  <si>
    <t>Wintech Ventures</t>
  </si>
  <si>
    <t>228426-94T</t>
  </si>
  <si>
    <t>243517-69T</t>
  </si>
  <si>
    <t>LeverPro</t>
  </si>
  <si>
    <t>Developer of SaaS-based financial software designed to evaluate and plan economic/financial visions in real time. The company's platform offers modules for generating financial statements, explanatory notes, economic financial reports, and performance indicators, and it allows the preparation of corporate budgets, enabling users to quickly do their analysis and make decisions based on reports, indicators, and generated graphics.</t>
  </si>
  <si>
    <t>ACE Ventures (Commercial Services), Bossa Invest</t>
  </si>
  <si>
    <t>242312-05T</t>
  </si>
  <si>
    <t>Trocafone</t>
  </si>
  <si>
    <t>Operator of an online smartphone marketplace intended to help customers to buy and sell used phones and smartphones online. The company's marketplace improves the selling and buying experience by acquiring the devices from sellers, refurbishing and re-selling them as pre-owned certified, enabling buyers to enjoy various deals for peer-to-peer transactions combined with the service, convenience, and safety of a retail store.</t>
  </si>
  <si>
    <t>FJ Labs, Wayra</t>
  </si>
  <si>
    <t>225311-41T</t>
  </si>
  <si>
    <t>Marfrig Global Foods (BVMF: MRFG3)(Miguel Gularte), Saudi Agricultural and Livestock Investment</t>
  </si>
  <si>
    <t>256682-71T</t>
  </si>
  <si>
    <t>Agis Corretora</t>
  </si>
  <si>
    <t>Provider of insurance brokerage services catering to transport and agribusiness sectors. The company offers a wide range of insurance services including transport, fleet, cargo, crop, business, harvest, environmental damage and agriculture insurance, thereby enabling customers to get insurance based on their needs.</t>
  </si>
  <si>
    <t>227514-79T</t>
  </si>
  <si>
    <t>Aluga Mais</t>
  </si>
  <si>
    <t>Operator of a digital rental management platform designed to simplify the leasing process for real estate agencies. The company's platform automates rental processes with fraud prevention analysis, digital contract creation, electronic signatures, rent payment processing, delinquency management, and inspection tools, enabling real estate professionals to streamline operations, reduce administrative burdens, enhance security, and improve efficiency in managing rental agreements.</t>
  </si>
  <si>
    <t>228136-51T</t>
  </si>
  <si>
    <t>BBKO Consulting (SAP business)</t>
  </si>
  <si>
    <t>Provider of computer systems design services based in Sao Paulo, Brazil.</t>
  </si>
  <si>
    <t>Resourcesolutions</t>
  </si>
  <si>
    <t>228101-95T</t>
  </si>
  <si>
    <t>Cobli</t>
  </si>
  <si>
    <t>Provider of corporate vehicle tracking technology intended to increase fleet efficiency. The company's platform specializes in providing technological alternatives for vehicle fleet monitoring and management, providing safety and refining tools to identify driver behavioral patterns by analyzing data collected by a solar-powered tracker, enabling fleet owners to cope with everyday problems like dynamic routing, driver identification, field services, and fraud monitoring.</t>
  </si>
  <si>
    <t>Fifth Wall(Andriy Mykhaylovskyy), GLP, International Finance (Washington D.C.), NXTP Ventures, Qualcomm Ventures</t>
  </si>
  <si>
    <t>228697-39T</t>
  </si>
  <si>
    <t>Hidrovias do Brasil (BVMF: HBSA3)</t>
  </si>
  <si>
    <t>Hidrovias DO Brasil SA is a provider of integrated logistics solutions with a focus on waterway, road, and multimodal logistics and infrastructure activities. Its operating segment includes North Corridor; South Corridor; Cabotage; Santos and others. The company is engaged in the Transportation of goods, Construction and operation of ports, cargo terminals, shipyards, workshops, and warehouses, River and sea navigation, coastal navigation, and storage of goods, Provision of logistics services, either directly or through third parties, and Other related activities.</t>
  </si>
  <si>
    <t>267863-14T</t>
  </si>
  <si>
    <t>Leblon Realty (BVMF: LRDI11)</t>
  </si>
  <si>
    <t>Fundo De Investimento Imobiliario Leblon Realty Desenvolvimento I is a hybrid real estate fund in the form of a closed condominium. Th fund is focused on residential developments.</t>
  </si>
  <si>
    <t>228115-27T</t>
  </si>
  <si>
    <t>America Net</t>
  </si>
  <si>
    <t>Provider of telecommunication services in the São Paulo state and other capitals throughout Brazil. The company offers fixed and mobile broadband data services through its fiber-optic network and radio signals, thereby allowing the exchange of traffic with the main telecommunications and internet connection.</t>
  </si>
  <si>
    <t>Vero (Telecommunication Company)(Fabiano Ferreira), Vinci Compass Investments (NAS: VINP)</t>
  </si>
  <si>
    <t>228024-28T</t>
  </si>
  <si>
    <t>Data Lawyer</t>
  </si>
  <si>
    <t>Developer of legal software solutions intended to serve the legal sector. The company provides management solutions, dashboards, multiple data sources, analytics and other related services.</t>
  </si>
  <si>
    <t>ATIVA GR, Prisma Capital</t>
  </si>
  <si>
    <t>244019-26T</t>
  </si>
  <si>
    <t>Irani Ventures</t>
  </si>
  <si>
    <t>228231-46T</t>
  </si>
  <si>
    <t>Mega Embalagens</t>
  </si>
  <si>
    <t>Manufacturer and distributor of flexible packaging materials catering to food, hygiene and pet food industries. The company offers personal care packaging. industrial materials and pet food packets, thereby preventing pollution and protecting the environment by rationally using available resources.</t>
  </si>
  <si>
    <t>Goglio(Franco Goglio)</t>
  </si>
  <si>
    <t>284531-86T</t>
  </si>
  <si>
    <t>Tarvos</t>
  </si>
  <si>
    <t>Developer of a pest monitoring platform intended to receive real-time insights on a crop to get quick and accurate decision-making. The company's platform determines pest pressure in the field, assessing the damage and damage that may occur, and defines the optimal timing of insecticide application, enabling clients to monitor their crops and increase their yields.</t>
  </si>
  <si>
    <t>Global Agri-Food Advancement Partnership(Jay Robinson)</t>
  </si>
  <si>
    <t>234359-20T</t>
  </si>
  <si>
    <t>RADIX Investimentos Florestais</t>
  </si>
  <si>
    <t>Operator of a forest crowdfunding platform intended to generate environmental and financial gains by investing in the planting of commercial forests of noble wood species. The company's platform is focused on planting which produces a wood that, due to its visual characteristics of workability and durability, enabling customers to reap the benefits of forestry investments with affordable applications.</t>
  </si>
  <si>
    <t>Fundo Vale(Gustavo Luz)</t>
  </si>
  <si>
    <t>228028-60T</t>
  </si>
  <si>
    <t>14W(Ryan Ackell), Astella Investimentos, Clocktower Ventures, FJ Labs, Picus Capital(Julian Roeoes), Vine Ventures</t>
  </si>
  <si>
    <t>195984-73T</t>
  </si>
  <si>
    <t>BTG Pactual (BVMF: BPAC3)(Marcos Xavier), HiPartners Capital &amp; Work(Walter Sabini), Oasis Ventures (São Paulo), OIKOS Wealth Management</t>
  </si>
  <si>
    <t>219142-27T</t>
  </si>
  <si>
    <t>Pismo</t>
  </si>
  <si>
    <t>Developer of a cloud-based payment processing platform designed to impact people's lives positively all over the globe. The company's platform offers features including CRM, billing, acquiring network management, client acquisition, and credit analysis, enabling clients to boost and optimize their financial offerings.</t>
  </si>
  <si>
    <t>Visa (NYS: V)</t>
  </si>
  <si>
    <t>227830-15T</t>
  </si>
  <si>
    <t>ROC Nation Sports Brazil</t>
  </si>
  <si>
    <t>Operator of the football club based in Sao Paulo, Brazil.</t>
  </si>
  <si>
    <t>Roc Nation(Michael Yormark)</t>
  </si>
  <si>
    <t>256487-68T</t>
  </si>
  <si>
    <t>Torqi</t>
  </si>
  <si>
    <t>Provider of assistance with financial services intended for the Brazilian transport companies. The company's services include receivables with fair rates and no fees, advance payment through digital platform without bureaucracy and receive money in minutes after hiring the advance, thereby enabling the sector to be efficient through greater access to credit.</t>
  </si>
  <si>
    <t>Galapagos Capital</t>
  </si>
  <si>
    <t>227903-32T</t>
  </si>
  <si>
    <t>Corporate Office Properties Fii (BVMF: CPOF11)</t>
  </si>
  <si>
    <t>Capitania Office FII Fundo de investimento imobiliario formerly Corporate Office Properties Fii Fundo De Investimento Imobiliario is a real estate investment fund constituted in the form of a closed condominium. The purpose of the Fund is to provide Quotaholders with the appreciation and profitability of their shares, in accordance with the Investment Policy defined below, through investment in real estate projects, primarily through the acquisition of ready-made and duly built real estate projects, land or properties under construction, which will primarily be areas of corporate slabs, education, and hospitals.</t>
  </si>
  <si>
    <t>256021-21T</t>
  </si>
  <si>
    <t>Destra</t>
  </si>
  <si>
    <t>Developer of a licensing-as-a-service platform designed to support the licensing department. The company's platform specializes in managing contracts and prospecting business in brand licensing, enabling brands to generate new business, improve management, and optimize the entire operation.</t>
  </si>
  <si>
    <t>227789-92T</t>
  </si>
  <si>
    <t>Maxxi Viamão</t>
  </si>
  <si>
    <t>Operator of a retail departmental store based in Rio Grande do Sul, Brazil.</t>
  </si>
  <si>
    <t>SDB Comércio de Alimentos</t>
  </si>
  <si>
    <t>227727-19T</t>
  </si>
  <si>
    <t>Banco Daycoval, EXT Capital, Jive Investments, Oliveira Trust (BVMF: DMAC11), Solis Investimentos, TMF Group</t>
  </si>
  <si>
    <t>228271-33T</t>
  </si>
  <si>
    <t>Unificado Corretora de Seguros</t>
  </si>
  <si>
    <t>Operator of an insurance brokerage firm catering to the corporate clients. The company offers a wide range of products including property risk protection, logistical operations, financial losses, civil liability and personal insurance products, thereby helping companies transfer risk and handle claims in any part of the production chain and in infrastructure operations.</t>
  </si>
  <si>
    <t>227516-59T</t>
  </si>
  <si>
    <t>Vimbo</t>
  </si>
  <si>
    <t>Developer of a cloud-based automation platform designed for managing and issuing electronic fiscal documents. The company's platform includes features such as document storage, automatic capture of issued documents, and integration with accounting software, enabling businesses to simplify fiscal processes and gain time and efficiency.</t>
  </si>
  <si>
    <t>227615-23T</t>
  </si>
  <si>
    <t>Altimus'</t>
  </si>
  <si>
    <t>Developer of business management software services based in Blumenau, Brazil. The company indulges in the vehicle segment, distributing management solutions to numerous vehicle dealers thus enhancing its customers in managing the store, inventory, finance, publicize and selling their vehicles in a dynamic, organized and agile way.</t>
  </si>
  <si>
    <t>OLX Brazil(Marcos Leite)</t>
  </si>
  <si>
    <t>285715-18T</t>
  </si>
  <si>
    <t>257859-82T</t>
  </si>
  <si>
    <t>Seedstars International Ventures</t>
  </si>
  <si>
    <t>227598-31T</t>
  </si>
  <si>
    <t>227611-90T</t>
  </si>
  <si>
    <t>NXTP Ventures, Roble Ventures</t>
  </si>
  <si>
    <t>227599-66T</t>
  </si>
  <si>
    <t>DroneShow</t>
  </si>
  <si>
    <t>Operator of an event company intended to disseminate knowledge, encourage innovation and foster new business in the sectors of space, drones, and geo technologies. The company's event offers courses, seminars, forums, and a technology fair, presenting solutions for mapping, inspections, and spraying with drones, among other applications, enabling attendees to connect with service providers and companies in the same space.</t>
  </si>
  <si>
    <t>Italian Exhibition Group (MIL: IEG)</t>
  </si>
  <si>
    <t>Media and Information Services (B2B)</t>
  </si>
  <si>
    <t>227470-24T</t>
  </si>
  <si>
    <t>Hevea-Tec</t>
  </si>
  <si>
    <t>Processor of natural rubber intended for non-fossil materials in tires. The company offers rubber goods, rubberized fabrics and miscellaneous specialties.</t>
  </si>
  <si>
    <t>Pirelli &amp; C. (MIL: PIRC)</t>
  </si>
  <si>
    <t>Forestry Processing</t>
  </si>
  <si>
    <t>227794-42T</t>
  </si>
  <si>
    <t>Shoppings Aaa Fundo De (BVMF: CPSH11)</t>
  </si>
  <si>
    <t>Shoppings Aaa Fundo De Investimento Imobiliario is a Real Estate Investment Fund constituted in the form of a closed condominium, with an indefinite term of duration. The objective of the fund is to obtain appreciation and profitability of its shares through investment in real estate projects, ready-made and duly constructed real estate developments, land, or real estate in construction, which will primarily be shopping centers and outlets that make up its portfolio.</t>
  </si>
  <si>
    <t>251570-35T</t>
  </si>
  <si>
    <t>Concash</t>
  </si>
  <si>
    <t>Provider of consortium financial services intended to buy out the loss-making consortium. The company offers to buy defaulted or canceled consortium quotas to recover part of the money invested in partnership with the consortium administrators, allowing clients to make proper decisions for the consortium.</t>
  </si>
  <si>
    <t>219624-58T</t>
  </si>
  <si>
    <t>ESGás</t>
  </si>
  <si>
    <t>Distributor of piped natural gas intended to contribute to the sustainable development of the State of Espírito Santo, encouraging the use of gas and other low-carbon fuels. The company engages in the transportation of natural gas and fuels to its consumers.</t>
  </si>
  <si>
    <t>227462-05T</t>
  </si>
  <si>
    <t>Naxi</t>
  </si>
  <si>
    <t>Provider of Internet services with radio technology based in Jaraguá do Sul, Brazil. The company offers telecommunications services via fiber optics, enabling internet stability with wifi services and high technology.</t>
  </si>
  <si>
    <t>Unifique Telecomunicacoes (BVMF: FIQE3)(Jose de Souza)</t>
  </si>
  <si>
    <t>227492-74T</t>
  </si>
  <si>
    <t>TRS - Gestão e Tecnologia</t>
  </si>
  <si>
    <t>Provider of software services based in Porto Alegre, Brazil.</t>
  </si>
  <si>
    <t>294422-32T</t>
  </si>
  <si>
    <t>Athon Energia</t>
  </si>
  <si>
    <t>Operator of a solar renewable energy power project company intended to deliver quality energy, cleanly and sustainably to Brazilian society.The company invests, develops, and manages projects in renewable energy, especially in solar and distributed generation, enabling businesses to provide a Cost reduction through a sustainable, reliable, and low-risk generation model in the long term</t>
  </si>
  <si>
    <t>AZ Quest Investimentos</t>
  </si>
  <si>
    <t>227349-55T</t>
  </si>
  <si>
    <t>BeUni</t>
  </si>
  <si>
    <t>Developer of a customized gifting platform designed to develop a management platform that simplifies gift purchases. The company transforms the way companies see and relate to gifts and personalized products, making the process simpler, more efficient, scalable, and measurable, helping customers to engage employees, convert more leads, delight and retain customers, humanize online meetings and events, and close deals.</t>
  </si>
  <si>
    <t>EquityRio, Sai do Papel</t>
  </si>
  <si>
    <t>243614-35T</t>
  </si>
  <si>
    <t>Co.Urban</t>
  </si>
  <si>
    <t>Developer of an urban services platform designed to collaborate with field operations through technology. The company helps to keep track of all the functions and have more efficient field teams, connecting team data to ensure performance-enhancing insights and more agile business and facilitating access to disruptive technologies, enabling firms by developing simple and functional tools for data-driven decisions for more reliable operations and greater economic value.</t>
  </si>
  <si>
    <t>225483-67T</t>
  </si>
  <si>
    <t>Cooperativa Agroindustrial Lar (Egg Operations)</t>
  </si>
  <si>
    <t>Operator of an egg operations and processing unit based in Brazil. The company is engaged in the operations of an egg supplying business and produces egg.</t>
  </si>
  <si>
    <t>Mantiqueira(Marcio Utsch)</t>
  </si>
  <si>
    <t>243627-31T</t>
  </si>
  <si>
    <t>Crypto Hero</t>
  </si>
  <si>
    <t>Operator of a trading platform intended for traders to buy and sell crypto assets. The company's platform specializes in simple and practical ways to buy cryptocurrencies and is a tool for financial mentors to share their market knowledge in the form of courses, cryptocurrency baskets, and infoproducts, enabling traders to channel their knowledge into money.</t>
  </si>
  <si>
    <t>232357-78T</t>
  </si>
  <si>
    <t>228051-73T</t>
  </si>
  <si>
    <t>Juicy Technology</t>
  </si>
  <si>
    <t>Developer of a free AI-based platform designed to bring brands and influencers together and improve the creative economy. The company's platform promotes perfect matches, super data, perfect workflows, and much more, with just one click, enabling creative marketers to improve the results of influencer marketing with guidance and data to drive growth and sales.</t>
  </si>
  <si>
    <t>227753-65T</t>
  </si>
  <si>
    <t>Latitud</t>
  </si>
  <si>
    <t>Developer of a tech entrepreneurship education platform designed to remove roadblocks and build a bridge for founders to create technology companies. The company's platform offers equity-free cohort-based fellowship programs supporting each part of the ecosystem, enabling entrepreneurs to set up a venture-backable company structure.</t>
  </si>
  <si>
    <t>Gaingels, Myelin VC</t>
  </si>
  <si>
    <t>227449-54T</t>
  </si>
  <si>
    <t>Neuron Lab</t>
  </si>
  <si>
    <t>Developer of artificial intelligence assistant platform designed to change the company's operations. The company offers a platform to automate routine tasks and optimize operational efficiency, simplify the artificial intelligence development process, and manage business activities, enabling businesses to harness the power of technology without any programming or technical knowledge.</t>
  </si>
  <si>
    <t>EquityRio</t>
  </si>
  <si>
    <t>224903-71T</t>
  </si>
  <si>
    <t>7AZ Softwares</t>
  </si>
  <si>
    <t>Developer of payment and billing management software designed to automate the financial processes of recurring companies. The company specializes in recurring payments automation along with online registration and automatic settlement of bills, enabling companies with recurring payment schedules to make the process lighter and significantly reduce costs.</t>
  </si>
  <si>
    <t>233257-60T</t>
  </si>
  <si>
    <t>Alianza Investimentos (BVMF: ALZR11)</t>
  </si>
  <si>
    <t>Alianza Trust Renda Imobiliaria Fundo Investimento Imobiliariois a real estate investment company in Brazil. The company focuses on structured projects, such as Built-To-Suit and Sale and Leaseback. It offers property development for leases in the logistics, residential and office segments. The company is also engaged in an asset management business of premium real estate investments, such as FIIs, private equity real estate vehicles, CMBS and RMBS.</t>
  </si>
  <si>
    <t>258422-50T</t>
  </si>
  <si>
    <t>Indicator Capital, Wayra Brazil</t>
  </si>
  <si>
    <t>227565-10T</t>
  </si>
  <si>
    <t>G8 Telecomunicacoes</t>
  </si>
  <si>
    <t>Provider of telecommunication services intended to interconnect the main markets, increasing capillarity and performance capacity. The company offers services such as DDR, virtual PABX, dedicated link, data center in Sao Paulo and Goiânia-GO and over 57 mini IDC locations in different regions of Brazil.</t>
  </si>
  <si>
    <t>241661-89T</t>
  </si>
  <si>
    <t>Mix Solutions</t>
  </si>
  <si>
    <t>Developer of a mobile point of sale system designed for establishments to speed up sales and avoid queues. The company offers to use a near field communication (NFC) tag for consumption, provides ticket printing, digital menus, a ticket checking system to prevent counterfeiting, remote printing, NFC-e issuance and backup, and other administrative functions, enabling clients to make themselves interactive and keep customers up to date.</t>
  </si>
  <si>
    <t>227280-07T</t>
  </si>
  <si>
    <t>Trígono Capital</t>
  </si>
  <si>
    <t>Provider of asset management services intending to serve the small-cap and private credit market. The company offers variable fund to invest, social security, ETF and institutional investment fund, thereby opportunities in the market, regardless of the size of the companies.</t>
  </si>
  <si>
    <t>Bb Asset Management Ireland</t>
  </si>
  <si>
    <t>245784-79T</t>
  </si>
  <si>
    <t>Zatlas</t>
  </si>
  <si>
    <t>Developer of finance platform designed for managing the hotel finances. The company offers automated reservation management and maximizes your hotel earnings, enabling hotels to operate more efficiently and increase their profits.</t>
  </si>
  <si>
    <t>Kaszek, Picus Capital, Zenda Capital</t>
  </si>
  <si>
    <t>227130-13T</t>
  </si>
  <si>
    <t>Katayama Alimentos</t>
  </si>
  <si>
    <t>Producers of poultry farming intended to offer healthy, safe food with quality assurance in all production processes based in Brazil. The company specializes in producing eggs to offer quality food for customers.</t>
  </si>
  <si>
    <t>227335-96T</t>
  </si>
  <si>
    <t>Refera (Business/Productivity Software)</t>
  </si>
  <si>
    <t>Developer of a real estate management platform designed to automate renovation and maintenance management for real estate companies. The company's real estate management platform automates the management reforms and maintenance of the property, enabling real estate agencies to serve their customers more quickly and effectively.</t>
  </si>
  <si>
    <t>265197-25T</t>
  </si>
  <si>
    <t>Unxpose</t>
  </si>
  <si>
    <t>Operator of a cybersecurity platform intended to simplify and democratize internet security. The company's platform monitors the internet to identify data breaches, find, and understand the severity of the security flaws found, and divide them into different levels, from the most critical to the simplest, prioritize and remediate vulnerabilities automatically, enabling companies to maintain the health of their digital security.</t>
  </si>
  <si>
    <t>257451-40T</t>
  </si>
  <si>
    <t>TLSv Engenharia</t>
  </si>
  <si>
    <t>Provider of project and installation services intended to serve its clients in the telecommunication and data sector. The company specializes in implementing and maintaining infrastructures for telecommunications, including websites, towers, and networks using various technologies.</t>
  </si>
  <si>
    <t>227055-25T</t>
  </si>
  <si>
    <t>Woovi</t>
  </si>
  <si>
    <t>Developer of a cloud-based payments and customer engagement platform designed to help e-commerce businesses increase sales and loyalty. The company's platform offers a differentiated suite of solutions, including Pix, cashback and subscription payments integrated with all major e-commerce platforms and ERPs, making it easy for businesses to accept payments and engage with customers, enabling businesses to manage their payments and customer relationships in a hassle-free manner</t>
  </si>
  <si>
    <t>Class 5 Global</t>
  </si>
  <si>
    <t>287775-28T</t>
  </si>
  <si>
    <t>Akropoli</t>
  </si>
  <si>
    <t>Developer of an open banking platform designed for personal and business financial management. The company's platform facilitates personalized products and services in open finance for participants in the financial system, enabling financial institutions and management organizations to help their customers by giving them financial empowerment and boosting their banking systems.</t>
  </si>
  <si>
    <t>228255-22T</t>
  </si>
  <si>
    <t>CVC Brasil Operadora e Agencia de Viagens (BVMF: CVCB3)</t>
  </si>
  <si>
    <t>CVC Brasil Operadora e Agencia de Viagens SA is engaged in providing tourism services, comprising the negotiation, either individually or collectively (tour packages), including airline tickets, land transport, hotel and airline booking and ship cruise chartering, cultural and professional exchange, among others.</t>
  </si>
  <si>
    <t>227450-44T</t>
  </si>
  <si>
    <t>Visãonet Telecom</t>
  </si>
  <si>
    <t>Provider of internet services based out of Brazil. The company offers fiber optic internet and telephone services enabling its customers to stay connected with the world through technology.</t>
  </si>
  <si>
    <t>Zaaz Telecom</t>
  </si>
  <si>
    <t>227019-52T</t>
  </si>
  <si>
    <t>DeServ -Tecnologia &amp; Serviços</t>
  </si>
  <si>
    <t>Developer of an information security platform intended for managing and automating the deployment of software applications based in Sao Leopoldo, Rio Grande do Sul. The company offers solutions like backend, cloud server, endpoint and service management, enabling businesses of all sizes to deploy software applications more quickly, reliably and securely.</t>
  </si>
  <si>
    <t>Introduce Tecnologia(Esdras Moreira)</t>
  </si>
  <si>
    <t>227288-17T</t>
  </si>
  <si>
    <t>227015-02T</t>
  </si>
  <si>
    <t>Lead Force</t>
  </si>
  <si>
    <t>Developer of a digital marketing platform designed for the automotive industry. The company's platform shows maximum performance for car, motorcycle, truck, and bus dealerships and develops tools for engaging customers online and off through specialized strategies and continuous monitoring of customers' business results, helping dealerships achieve higher sales results.</t>
  </si>
  <si>
    <t>226862-11T</t>
  </si>
  <si>
    <t>Motrix</t>
  </si>
  <si>
    <t>Developer of a school curriculum content platform intended to create an agnostic curricular framework that creates a common language between the various learnings. The company's platform offers a tool for curriculum design, which turns into software, facilitating the integration of pedagogical solutions, including pedagogical interoperability as a service, enabling users to get evidence-based hybrid &amp; social learning solutions for schools.</t>
  </si>
  <si>
    <t>Ágathos Group</t>
  </si>
  <si>
    <t>244182-43T</t>
  </si>
  <si>
    <t>Solar Irapuru I Geração e Comercialização de Energia Elétrica</t>
  </si>
  <si>
    <t>Operator of electric power generation business based out of Janaúba, Brazil. The company's services include generation of electricity and sale of electric products.</t>
  </si>
  <si>
    <t>Elera Renováveis</t>
  </si>
  <si>
    <t>226920-61T</t>
  </si>
  <si>
    <t>SuaQuadra</t>
  </si>
  <si>
    <t>Operator of a commercial real estate platform intended to find the right opportunity for each business and bring tenants to each property. The company's platform offers customized properties, accredited partners to renew property, get property and business licenses, and routine maintenance, enabling businesses to get suitable tenants and save costs.</t>
  </si>
  <si>
    <t>Canary (Brazil), Caravela Capital, Cyrela (BVMF: CYRE3), Kaszek, ONEVC, Verve Capital</t>
  </si>
  <si>
    <t>227066-41T</t>
  </si>
  <si>
    <t>Atlante Capital</t>
  </si>
  <si>
    <t>250318-18T</t>
  </si>
  <si>
    <t>Grupo Geriatrics</t>
  </si>
  <si>
    <t>Provider of home health care services catering to its clients in Brazil. The company offers home care, clinic care, office care, concierge care, and hospice care which also involves health promotion actions, including prevention, treatment of diseases and rehabilitation carried out at home.</t>
  </si>
  <si>
    <t>Opalus Ativos em Saúde</t>
  </si>
  <si>
    <t>226992-97T</t>
  </si>
  <si>
    <t>FII Maua Capital MPD Desenvolvimento Residencial (BVMF: MMPD11)</t>
  </si>
  <si>
    <t>Fundo De Investimento Imobiliario Maua Capital Mpd Desenvolvimento Res is a real estate investment fund. The purpose of the FUND is to provide shareholders with the appreciation of their shares, through the application of at least 2/3 (two-thirds) of its assets, directly or indirectly, in the development of real estate projects in the design, construction phase or renovation, for purposes of a future sale to third parties.</t>
  </si>
  <si>
    <t>227077-48T</t>
  </si>
  <si>
    <t>Involv Labels</t>
  </si>
  <si>
    <t>Provider of label services intended to serve a variety of industries. The company offers a white label, security seal, roll label, adhesive label and sleeve, enabling its clients from the pharmaceutical, consumer goods and beverages sectors to get their products based on their printing requirements.</t>
  </si>
  <si>
    <t>Printing Services (B2B)</t>
  </si>
  <si>
    <t>227149-30T</t>
  </si>
  <si>
    <t>VIPe</t>
  </si>
  <si>
    <t>Developer of a financial platform designed to organize salaries and solve financial problems. The company's platform specializes in offering credit loans to users across the country through online and offline modes, enabling customers who have limited access to credit products to get finance and achieve goals.</t>
  </si>
  <si>
    <t>Airborne Ventures(Eduardo Kupper)</t>
  </si>
  <si>
    <t>214698-52T</t>
  </si>
  <si>
    <t>Zarv</t>
  </si>
  <si>
    <t>Developer of a hyper-automation platform intended to protect against car and fraud loss. The company's platform offers technology to find and secure stolen vehicles, reduce operational risks, manage claims, and occurrences, and assist with fleet needs, enabling businesses to reduce their operational risks.</t>
  </si>
  <si>
    <t>Crivo, Latitud, Niu Ventures</t>
  </si>
  <si>
    <t>242232-85T</t>
  </si>
  <si>
    <t>BizCapital (Specialized Finance)</t>
  </si>
  <si>
    <t>Developer of online financial services application designed to offer credit assessment systems. The company's services offer loans to micro and small businesses without access to large banks through an evaluation machine that analyzes and ranks each request in a few seconds and analyzes the variables digitally, enabling clients to fund their operations in a fast and simple way through an online lending platform.</t>
  </si>
  <si>
    <t>Open Co Tecnologia(Sandro Reiss)</t>
  </si>
  <si>
    <t>226795-96T</t>
  </si>
  <si>
    <t>Fl4440 Fundo De</t>
  </si>
  <si>
    <t>Fl4440 Fundo De Investimento Imobiliario is a Real Estate Investment Fund constituted in the form of a closed condominium. The purpose of the Fund is to provide Quotaholders with appreciation and profitability of their Quotas, through investments: in the acquisition of Target Properties; in the development of real estate projects in general; and investment in Other Assets.</t>
  </si>
  <si>
    <t>226562-68T</t>
  </si>
  <si>
    <t>Intercontinental</t>
  </si>
  <si>
    <t>Dealer of used and new cars of the brand Audi intended to serve the customers of Brazil. The company sells used and new cars and also provides services such as repairing and maintenance .</t>
  </si>
  <si>
    <t>Sojitz (TKS: 2768)</t>
  </si>
  <si>
    <t>226565-83T</t>
  </si>
  <si>
    <t>Ace Ventures, Bossa Invest, Fundepar, GVAngels</t>
  </si>
  <si>
    <t>226681-66T</t>
  </si>
  <si>
    <t>Toti</t>
  </si>
  <si>
    <t>Developer of a teaching platform intended to inspire change by connecting education, technology, and diversity. The company's platform provides free technology training for refugees and migrants with a focus on employability and content geared toward the job market, enabling refugees and migrants to get trained in the technical and behavioral aspects and get a job.</t>
  </si>
  <si>
    <t>Nu Holdings (NYS: NU)</t>
  </si>
  <si>
    <t>248486-14T</t>
  </si>
  <si>
    <t>Central Energética Vale do Sapucaí</t>
  </si>
  <si>
    <t>Manufacturer and producer of industrial chemicals and renewable energy intended to operate in the sugar-energy sector. The company, with its production plant, produces ethanol, sugar, and other industrial chemicals.</t>
  </si>
  <si>
    <t>Usina Batatais</t>
  </si>
  <si>
    <t>228787-66T</t>
  </si>
  <si>
    <t>gener8tor</t>
  </si>
  <si>
    <t>265344-94T</t>
  </si>
  <si>
    <t>232225-39T</t>
  </si>
  <si>
    <t>Salus Participações</t>
  </si>
  <si>
    <t>Operator of health and lifestyle clinics intended to serve healthcare, aesthetics and wellness sectors. The company provides a wide range of services, including dental care, laser hair removal, vision care, vaccinations, medical examinations and other aesthetic treatments, enabling people to get a health life and improve quality of life.</t>
  </si>
  <si>
    <t>158115-52T</t>
  </si>
  <si>
    <t>Airborne Ventures, Invisto, Light Capital Group, Parallax Ventures(Azor Barros), Spectra Investments, TM3 Capital</t>
  </si>
  <si>
    <t>226586-71T</t>
  </si>
  <si>
    <t>Octo Fundo De (BVMF: OCRE11)</t>
  </si>
  <si>
    <t>Octo Fundo De Investimento Imobiliario is intended for investors in general, including, but not limited to, natural or legal persons, investment funds, entities authorized to operate by the Central Bank of Brazil, insurance companies, private pension and capitalization entities, as well as non-public investors. The purpose of the Fund is to provide shareholders with income and capital gain, through the investment of their assets in the following target assets: shares of other real estate investment funds, certificates of real estate receivables, mortgage bills, real estate credit notes, guaranteed real estate bills, certificates of additional construction potential, issued based on Instruction, etc.</t>
  </si>
  <si>
    <t>226590-76T</t>
  </si>
  <si>
    <t>Erea Consultoria e Participacoes</t>
  </si>
  <si>
    <t>Provider of real estate consultancy services intended to serve logistics, commercial and educational sectors. The company offers complete technical, commercial and economic-financial valuation support to its clients through a team of experienced professionals, thus providing results-driven quality services as required by clients.</t>
  </si>
  <si>
    <t>Niche Partners</t>
  </si>
  <si>
    <t>194528-44T</t>
  </si>
  <si>
    <t>Bossa Invest, Citrino Ventures</t>
  </si>
  <si>
    <t>220043-98T</t>
  </si>
  <si>
    <t>Viddy (Business/Productivity Software)</t>
  </si>
  <si>
    <t>Developer of a physical retail delivery platform designed to digitize the store. The company's platform helps to accept digital payments, create sales and manage delivery, along with detailed sales reports, enabling businesses to improve their sales teams' revenue and productivity.</t>
  </si>
  <si>
    <t>226406-35T</t>
  </si>
  <si>
    <t>Amaze Travel</t>
  </si>
  <si>
    <t>Provider of online travel services focused on domestic and international flights, hotels, and tours. The company specialized in graduation and educational trips, the study of the environment and leisure, with exclusive and differentiated national and international itineraries for students from all over Brazil.</t>
  </si>
  <si>
    <t>CI Central de Intercâmbio Viagens(Victor Baseggio)</t>
  </si>
  <si>
    <t>226393-30T</t>
  </si>
  <si>
    <t>Athos Brasil Soluções Em Unidades Moveis</t>
  </si>
  <si>
    <t>Manufacturer of mobile service units intended for deployment in public outreach and operational support. The company offers custom vehicle adaptation, modular interior configurations, and compliance with national transport and safety standards, enabling healthcare providers, educational institutions, and civic organizations to deliver services in remote or underserved areas and expand market presence.</t>
  </si>
  <si>
    <t>Bringel Group</t>
  </si>
  <si>
    <t>244975-33T</t>
  </si>
  <si>
    <t>Onca Mineracao</t>
  </si>
  <si>
    <t>Operator of a lithium exploration firm based in Brasilia, Brazil.</t>
  </si>
  <si>
    <t>Solis Minerals (PINX: SLMFF)</t>
  </si>
  <si>
    <t>226525-06T</t>
  </si>
  <si>
    <t>Bravo Mining (TSX: BRVO)</t>
  </si>
  <si>
    <t>Bravo Mining Corp is an intermediate-stage mineral exploration company focused on the acquisition, exploration and development of the Luanga Project. The Luanga Project is an intermediate-stage PGE including palladium, platinum, rhodium, gold, and nickel exploration project located in Carajas, Para State, Brazil.</t>
  </si>
  <si>
    <t>226156-33T</t>
  </si>
  <si>
    <t>ImaginaKIDS</t>
  </si>
  <si>
    <t>Developer of an educational technology platform designed to allow students to materialize their stories in printed books. The company's platform combines technology and education and is available as an Android and iOS application, in addition to having a platform designed for access on the Web, enabling kids to develop reading, writing, digital literacy and skills related to protagonism.</t>
  </si>
  <si>
    <t>226029-79T</t>
  </si>
  <si>
    <t>Coala do Brasil</t>
  </si>
  <si>
    <t>Producer of hygiene care products based in Sao Paulo, Brazil. The company produces eucalyptus oil essence, a concentrated product with high-yield power as well as offers hair oil, pet care products and personal beauty care products.</t>
  </si>
  <si>
    <t>Alothon Group, Grupo MPR</t>
  </si>
  <si>
    <t>224613-01T</t>
  </si>
  <si>
    <t>Eva People</t>
  </si>
  <si>
    <t>Developer of human resource automation platform designed for hiring and onboarding employees. The company's cloud-based platform offers a no-code workflow software to automate the onboarding and employee exit process for enterprises with features such as candidate integration after job letter acceptance, internal communication, form template creations, and much more, enabling companies to digitize their HR and helping them to build smart processes.</t>
  </si>
  <si>
    <t>ACE Ventures (Commercial Services), Cotidiano Aceleradora, Meta Ventures, TM3 Capital</t>
  </si>
  <si>
    <t>225366-31T</t>
  </si>
  <si>
    <t>Exact Sales</t>
  </si>
  <si>
    <t>Developer of sales process automation software designed to assist businesses in growing through smart business services. The company's software offers an analysis methodology through which pre-sales processes can be developed and users can generate proper leads and short-term sales and also automatically suggests data-based actions for the user to augment the chances of landing a sale, enabling companies to generate insights for business process optimization and reduce sales time and cost of customer acquisition.</t>
  </si>
  <si>
    <t>Resultados Digitais(Juliana Tubino)</t>
  </si>
  <si>
    <t>196974-46T</t>
  </si>
  <si>
    <t>Actyus, Clocktower Ventures, Collaborative Fund, Crestone Venture Capital, Endeavor Group Holdings, Grão (São Paulo), Latitud, Norte Ventures, Proximity Angels, QED Investors, Quona Capital, ScaleUP Ventures, Spectra Investments, Valor Capital Group</t>
  </si>
  <si>
    <t>226225-00T</t>
  </si>
  <si>
    <t>266751-55T</t>
  </si>
  <si>
    <t>Panorama Credito Residencial (BVMF: PNCR11)</t>
  </si>
  <si>
    <t>Panorama Credito Residencial Fundo De Investimento Imobiliario is a real estate investment fund. The objective of the Fund is to provide shareholders with the appreciation of their shares, through the application of its equity in Real estate or real rights over real estate, shares of other real estate investment funds, mortgage bills, real estate letters of credit, and guaranteed real estate bills.</t>
  </si>
  <si>
    <t>226395-10T</t>
  </si>
  <si>
    <t>BRB Loterias</t>
  </si>
  <si>
    <t>Operator of a lottery gaming business based in Brazil.</t>
  </si>
  <si>
    <t>SCG DF Holding</t>
  </si>
  <si>
    <t>226000-09T</t>
  </si>
  <si>
    <t>Exato Digital</t>
  </si>
  <si>
    <t>Operator of a consultation services platform designed to simplify and automate data verification for businesses. The company's platform enables real-time access to background checks from government agencies, reducing operational costs and risks by providing detailed reports on individuals and legal entities, enabling businesses to bring more security and productivity to their day-to-day without the need for subscriptions, thus helping in decision-making and fraud prevention.</t>
  </si>
  <si>
    <t>Bank Bradesco (BVMF: BBDC3)(Rodrigo Ragazzi), Niu Ventures</t>
  </si>
  <si>
    <t>225954-46T</t>
  </si>
  <si>
    <t>ZenoX</t>
  </si>
  <si>
    <t>Developer of a network management software designed to offer cybersecurity services. The company's artificial intelligence-based platform helps to build digital security with the power of deep learning and quantum models, enabling people and organizations to operate in cyberspace with confidence and protection.</t>
  </si>
  <si>
    <t>225907-39T</t>
  </si>
  <si>
    <t>Gerônimo</t>
  </si>
  <si>
    <t>Producer of frozen foods based in Atibaia, Brazil. The company's products include chickpea burgers, eggplant burgers, chickpea nuggets, lentil burgers, pumpkin kibbeh and veggie burgers using quality ingredients.</t>
  </si>
  <si>
    <t>Continental Grain Company, Grano Alimentos(Fernando Giansante)</t>
  </si>
  <si>
    <t>227531-08T</t>
  </si>
  <si>
    <t>Pay2B</t>
  </si>
  <si>
    <t>Operator of a business-to-business payment platform intended to provide a gateway payment method to businesses. The company's platform offers financial services including payment recurrence services, multi-currency payment, multiple payment methods and payment management integrated with a digital wallet, enabling businesses to simplify online and offline payment processing.</t>
  </si>
  <si>
    <t>225790-21T</t>
  </si>
  <si>
    <t>Atlantic Nickel</t>
  </si>
  <si>
    <t>Operator of a nickel mining company intended to serve the mining sector. The company specializes in the exploration, mining, processing and commercialization of sulfide nickel which is produced by the company after undergoing a refining process, enabling clients access to essential metals at a fair price.</t>
  </si>
  <si>
    <t>225786-88T</t>
  </si>
  <si>
    <t>Mineração Vale Verde</t>
  </si>
  <si>
    <t>Operator of a copper-gold development company based in Craibas, Brazil. The company is road-accessible and has an infrastructure with water, power, and a rail system to three Atlantic ports and is responsible for the ethical extraction of natural resources, adding value to customers and shareholders.</t>
  </si>
  <si>
    <t>Precious Metals and Minerals Mining</t>
  </si>
  <si>
    <t>225096-22T</t>
  </si>
  <si>
    <t>227178-64T</t>
  </si>
  <si>
    <t>Cedro Capital, KPTL</t>
  </si>
  <si>
    <t>232477-39T</t>
  </si>
  <si>
    <t>Concentric, Hivemind Ventures, Lightning Ventures (Bitcoin), New Form Capital, Stillmark</t>
  </si>
  <si>
    <t>228887-29T</t>
  </si>
  <si>
    <t>Localiza Rent a Car (BVMF: RENT3)</t>
  </si>
  <si>
    <t>Localiza Rent A Car SA is a car rental service provider with the majority of its operations in Brazil. Through its subsidiaries, the company rents cars to individuals, manages corporate car fleets, sells its fleet to the general public, and offers a franchise model. Franchisees account for roughly half of Localize's car rental locations, while the majority of cars accessible with Localize are owned by the company. The fleet rental division has long-term agreements with companies that come up for renewal roughly every two to three years. The car rental segment delivers three-quarters of yearly revenue, and fleet rental makes up the rest, with an insignificant share contributed by the franchise management division.</t>
  </si>
  <si>
    <t>227985-94T</t>
  </si>
  <si>
    <t>Tera</t>
  </si>
  <si>
    <t>Developer of a digital training platform designed to help people learn new skills and connect their education with the job market. The company's platform provides courses in various fields including data science, machine learning, experience design, digital product management, and digital marketing, enabling employees to achieve their career opportunities in the digital age by learning multiple digital and leadership skills.</t>
  </si>
  <si>
    <t>X8 Investimentos</t>
  </si>
  <si>
    <t>265216-51T</t>
  </si>
  <si>
    <t>deskmy</t>
  </si>
  <si>
    <t>Developer of a cloud-based workspace platform designed for remote and hybrid teams to collaborate efficiently. The company's platform offers real-time visibility into team activities and centralized access to work applications, enabling businesses to enhance productivity and streamline workflows.</t>
  </si>
  <si>
    <t>FI Boost(Larissa Ramos)</t>
  </si>
  <si>
    <t>225417-70T</t>
  </si>
  <si>
    <t>Superlógica Tecnologias</t>
  </si>
  <si>
    <t>Developer of a financial and technology platform intended for the condominium and real estate markets. The company's software offers collection management, a digital accountability folder, apps for tenants, condominium insurance and credit for condominiums, thereby enabling clients with seamless integration between day-to-day operations and financial management.</t>
  </si>
  <si>
    <t>Warburg Pincus(Henrique Muramoto)</t>
  </si>
  <si>
    <t>226187-74T</t>
  </si>
  <si>
    <t>R Cap 1810 Fundo De Fundos Fundo</t>
  </si>
  <si>
    <t>R Cap 1810 Fundo De Fundos Fundo De Investimento Imobiliario is engaged in Providing Shareholders with appreciation and profitability of their Shares through the acquisition of shares of investment funds that invest in shopping centers under development with nationwide coverage.</t>
  </si>
  <si>
    <t>225481-60T</t>
  </si>
  <si>
    <t>LAR (Egg Operation)</t>
  </si>
  <si>
    <t>Producer of eggs based in Medianeira, Brazil. The company offers an egg processing unit.</t>
  </si>
  <si>
    <t>215848-27T</t>
  </si>
  <si>
    <t>Re Petit</t>
  </si>
  <si>
    <t>Operator of a commerce platform intended to resell high-quality and stylish children's items. The company offers a careful curation of clothing, accessories, shoes, toys, and utensils, enabling parents to shop sustainably for their kids without sacrificing quality or style.</t>
  </si>
  <si>
    <t>251278-03T</t>
  </si>
  <si>
    <t>Darwin Startups, Gualter Carvalho(Gualter Carvalho), Mário Cruz(Mário Cruz), SC Angels</t>
  </si>
  <si>
    <t>225108-55T</t>
  </si>
  <si>
    <t>Provider of acquisition and growth services intended to support medium-sized companies in Brazil. The company offers the expertise of search funds, private equity investors, and a team of executives and business leaders to evaluate opportunities to acquire companies in different sectors and regions of Brazi, enabling clients with results for sustainable growth and success.</t>
  </si>
  <si>
    <t>Istria Capital Partners, Kinderhook Partners, Kviv Ventures, Miramar Equity Partners, Spectra Investments, T3 Ventures</t>
  </si>
  <si>
    <t>249188-95T</t>
  </si>
  <si>
    <t>227062-18T</t>
  </si>
  <si>
    <t>Bebida na Porta</t>
  </si>
  <si>
    <t>Provider of beverage delivery services intended to save the time and resources of users. The company helps people get food and beverages without waiting for hours, enabling customers to get delivery at a fair price and enjoy their drinks anywhere.</t>
  </si>
  <si>
    <t>201250-99T</t>
  </si>
  <si>
    <t>225069-31T</t>
  </si>
  <si>
    <t>Compra Rápida</t>
  </si>
  <si>
    <t>Developer of a one-click-buy platform intended to make shopping easier on merchant's websites. The company's platform allows customers who have never purchased from the client's site to have the experience of a former customer without registration, enabling businesses to generate revenue more efficiently.</t>
  </si>
  <si>
    <t>BFF VC, Liquid 2 Ventures, Olive Tree Capital, Soma Capital</t>
  </si>
  <si>
    <t>226075-24T</t>
  </si>
  <si>
    <t>Duotalk</t>
  </si>
  <si>
    <t>Developer of an omnichannel platform designed to transform digital services into real sales. The company's platform offers direct conversational services by creating chatbots that help in sales, services, and business improvement, enabling users to link all the service channels to improve sales through conversational assistance.</t>
  </si>
  <si>
    <t>Columbia Ventures Brazil, EquityRio, Urca Angels, Venture Hub</t>
  </si>
  <si>
    <t>233683-93T</t>
  </si>
  <si>
    <t>Dz7 Telecom</t>
  </si>
  <si>
    <t>Provider of communications and networking services intended to offer internet access to residential clients, companies, and small businesses. The company's service include fiber optic internet service, enabling clients to get internet service as per their requirements.</t>
  </si>
  <si>
    <t>233374-96T</t>
  </si>
  <si>
    <t>Eucatex (BVMF: EUCA3)</t>
  </si>
  <si>
    <t>Eucatex SA Industria e Comercio manufactures laminated flooring, wall partitions, doors, panels, fiberboard, and paints and varnishes. The company provides laminate and vinyl flooring products, baseboards, paints and varnishes, wall partitions, doors, MDF and MDP panels, hardboards, high-density fiberboards, and T-HDF products.</t>
  </si>
  <si>
    <t>233684-29T</t>
  </si>
  <si>
    <t>Hi Telecom (Brazil)</t>
  </si>
  <si>
    <t>Operator of internet service provider business based out of Sinop, Mato Grosso. The company's internet network service include voice over internet protocol, access to cloud applications and remote work.</t>
  </si>
  <si>
    <t>233095-33T</t>
  </si>
  <si>
    <t>Lean Saúde</t>
  </si>
  <si>
    <t>Developer of health technology platform intended to serve businesses, health operators and government. The company's products include predictive health analysis, primary healthcare system management, consulting and patient complexity management using data science, enabling customers with corporate health management solutions.</t>
  </si>
  <si>
    <t>225187-48T</t>
  </si>
  <si>
    <t>Meetime</t>
  </si>
  <si>
    <t>Developer of sales software intended to lift inside sales strategies. The company's software is integrated with customer relationship management to improve prospecting by scheduling sales meetings, making more connections, simplifying online meetings and tracking vendor interaction with customers, thereby enabling businesses to monitor and simplify inside sales.</t>
  </si>
  <si>
    <t>242451-10T</t>
  </si>
  <si>
    <t>MMC Brasil Indústria e Comércio</t>
  </si>
  <si>
    <t>Manufacturer of paper products based in Sao Paulo, Brazil. The company offers toilet paper, paper towels, napkins and tissues as well as marketing, distribution and sales of paper products.</t>
  </si>
  <si>
    <t>Suzano (BVMF: SUZB3)</t>
  </si>
  <si>
    <t>Paper/Soft Products</t>
  </si>
  <si>
    <t>225603-37T</t>
  </si>
  <si>
    <t>Terra Analytics</t>
  </si>
  <si>
    <t>Operator of an agritech firm based in Sao Paulo, Brazil. The company is currently operating in stealth Mode.</t>
  </si>
  <si>
    <t>Fram Capital (BVMF: RCFA11)</t>
  </si>
  <si>
    <t>225398-80T</t>
  </si>
  <si>
    <t>Tipstertrade</t>
  </si>
  <si>
    <t>Developer of a business-empowering platform designed to connect tipsters in the most varied sports to people. The company's platform helps in developing a user's channel through member management, payment intermediation, message receipt, enabling users to increase the sales of their channel.</t>
  </si>
  <si>
    <t>HOOK (Paris)</t>
  </si>
  <si>
    <t>225216-55T</t>
  </si>
  <si>
    <t>Urban Farmcy</t>
  </si>
  <si>
    <t>Producer of plant-based food intended to optimize people's health and promote sustainability. The company offers a complete chain operation, from cultivation to consumption, transforming plants into beloved food by leveraging nutritious ingredients and extracting their vital power, enabling health-conscious consumers to enjoy delicious meals while contributing to the planet's well-being.</t>
  </si>
  <si>
    <t>Fundepar, Mergus Ventures</t>
  </si>
  <si>
    <t>211053-34T</t>
  </si>
  <si>
    <t>Turivius</t>
  </si>
  <si>
    <t>Developer of a legal research platform intended to improve legal data analytics and research in Brazil. The company's platform aims to integrate legal research, data analytics, archive-and-share tools, and automated production of documents in the same workflow, as well as automate a tedious task, thereby enabling clients to get rid of difficult legal work and focus on their prime objective.</t>
  </si>
  <si>
    <t>BoostLAB, DOMO.VC</t>
  </si>
  <si>
    <t>224947-63T</t>
  </si>
  <si>
    <t>AltaPlus</t>
  </si>
  <si>
    <t>Provider of IT consultancy services catering to large international corporations. The company offers system development, project management, digital transformation and e-commerce network management solutions, thereby helping clients in reducing financial close and sales process time while reducing associated costs.</t>
  </si>
  <si>
    <t>BRING IT(Omar Palacios)</t>
  </si>
  <si>
    <t>224927-65T</t>
  </si>
  <si>
    <t>Code7</t>
  </si>
  <si>
    <t>Developer of communication software designed to simplify the interaction between brands and consumers. The company offers a range of software modules, allowing consumers to communicate through their preferred channels, including text messages, phone calls, email and chat with both human and AI interactions solutions transform communication by focusing on the message rather than the medium.</t>
  </si>
  <si>
    <t>Yelcho Partners</t>
  </si>
  <si>
    <t>225482-50T</t>
  </si>
  <si>
    <t>ENC Energy (Brazilian Operations)</t>
  </si>
  <si>
    <t>Operator of biogas-fired thermal plants based in Jundiai, Brazil. The company provides biogas thermal processing services, enabling clients to avail quality energy production services.</t>
  </si>
  <si>
    <t>Gás Verde</t>
  </si>
  <si>
    <t>224906-41T</t>
  </si>
  <si>
    <t>BRE Agência Autónomo de Investimentos</t>
  </si>
  <si>
    <t>Provider of investment advisory services intended to work together with clients so that they can focus on the core of their business. The company is engaged in providing investment advisory services focused on the distribution of selected investment funds to the wealthy clients,thereby providing clients with combination of investment funds to invest.</t>
  </si>
  <si>
    <t>215852-41T</t>
  </si>
  <si>
    <t>Zinz</t>
  </si>
  <si>
    <t>Operator of a construction technology platform intended to connect franchisees with specialized service providers in construction and renovation projects. The company's platform streamlines the hiring and management processes, offering features such as project tracking, communication tools and access to a network of vetted professionals, enabling businesses to efficiently manage renovations while minimizing delays and costs and making informed decisions.</t>
  </si>
  <si>
    <t>213243-22T</t>
  </si>
  <si>
    <t>Liberty Mutual Insurance Company (Latin America Businesses)</t>
  </si>
  <si>
    <t>Provider of insurance services across Latin America.</t>
  </si>
  <si>
    <t>Talanx (ETR: TLX)</t>
  </si>
  <si>
    <t>227519-74T</t>
  </si>
  <si>
    <t>PeopleXperience</t>
  </si>
  <si>
    <t>Developer of a business platform designed for managing and mapping customer experience. The company's platform visually follows all interactions between customers and employees, maps out details and key questions per client, and provides related tutorials, enabling businesses to create simple, accessible, and profitable experiences.</t>
  </si>
  <si>
    <t>224728-93T</t>
  </si>
  <si>
    <t>DOMO.VC, SLC Agricola (BVMF: SLCE3)</t>
  </si>
  <si>
    <t>224737-30T</t>
  </si>
  <si>
    <t>FEA Angels, Investidores.vc</t>
  </si>
  <si>
    <t>224120-71T</t>
  </si>
  <si>
    <t>EquitasVC, Grão (São Paulo)</t>
  </si>
  <si>
    <t>261431-38T</t>
  </si>
  <si>
    <t>Dinie</t>
  </si>
  <si>
    <t>Provider of embedded lending services intended to provide MSMEs with the financial tools they need to succeed and prosper. The company's services include offering flexible embedded financial services to businesses with pre-approved credit limits, enabling digital platforms to provide financial services to underserved micro, small, and medium-sized enterprises.</t>
  </si>
  <si>
    <t>227518-75T</t>
  </si>
  <si>
    <t>Hubzy</t>
  </si>
  <si>
    <t>Developer of a delivery platform intended to automate the food delivery processes. The company's platform specializes in offering services including order management, order printing and centralization of orders received through a mobile app, tablet, or computer, enabling restaurant owners to save time and improve quality in their operations.</t>
  </si>
  <si>
    <t>Bossa Invest, Raja Ventures, SEBRAE RS</t>
  </si>
  <si>
    <t>224918-56T</t>
  </si>
  <si>
    <t>Narwal Tecnologia</t>
  </si>
  <si>
    <t>Developer of trade management software based in Criciúma, Brazil. The software offers import processes, document management, sales order management and export management to clients.</t>
  </si>
  <si>
    <t>Becomex(Rogério Borili)</t>
  </si>
  <si>
    <t>209841-49T</t>
  </si>
  <si>
    <t>DBO Energy</t>
  </si>
  <si>
    <t>Operator of a private upstream oil and gas company focused on mature offshore fields in Brazil. The company operates in a mature assets market and is dedicated to creating value through increasing recovery factors and efficient operations.</t>
  </si>
  <si>
    <t>Maha Energy (STO: MAHA A)</t>
  </si>
  <si>
    <t>277223-95T</t>
  </si>
  <si>
    <t>NoMoo Plant-Based</t>
  </si>
  <si>
    <t>Producer of plant-based milk products intended to provide a sustainable alternative to animal-based products. The company produces vegan cheese, yogurt, mayonnaise, and French-style fermented butter from local cashews, enabling customers to enjoy Brazilian food.</t>
  </si>
  <si>
    <t>MANA Tech(Etienne Gillard)</t>
  </si>
  <si>
    <t>224687-44T</t>
  </si>
  <si>
    <t>Santos Futebol Clube</t>
  </si>
  <si>
    <t>Operator of a professional soccer club focused to play at Campeonato Brasileiro Série A. The company manages the soccer team and all affiliated club activities of the Santos Futebol Clube which includes the media network, foundation, fan zone, news, sports features, and team merchandise.</t>
  </si>
  <si>
    <t>277227-19T</t>
  </si>
  <si>
    <t>The New (Food Products)</t>
  </si>
  <si>
    <t>Producer of plant-based meats intended to provide an alternative to aminal-based food products. The company's meats are an alternative to beef burgers, chicken tenders, and even salmon fillets using plant ingredients such as pea protein, coconut oil, and beetroot, enabling customers to consume healthy and sustainable food products.</t>
  </si>
  <si>
    <t>257954-05T</t>
  </si>
  <si>
    <t>Grupo Hipermais</t>
  </si>
  <si>
    <t>Operator and wholesale of a supermarket based in Santa Catarina, Brazil. The company offers all kinds of food, beverages, daily essentials and grocery items with valuable price, variety, ease of shopping and versatile payment method.</t>
  </si>
  <si>
    <t>Zonta Group(Joanir Zonta)</t>
  </si>
  <si>
    <t>227518-39T</t>
  </si>
  <si>
    <t>Octo.Legal</t>
  </si>
  <si>
    <t>Developer of a cloud-based legal management platform designed for managing and complying with Brazil's data protection law. The company's platform includes features such as document storage, risk assessment tools and training modules, enabling businesses to simplify their compliance processes and reduce the risk of data breaches.</t>
  </si>
  <si>
    <t>224920-45T</t>
  </si>
  <si>
    <t>Reverde Energia</t>
  </si>
  <si>
    <t>Producer and distributor of solar energy based in Rio de Janeiro, Brazil. The company specialized in the commercial management of distributed generation plants, in the shared modality, thereby enabling its clients to save on their electricity bill with renewable energy without installing solar panels.</t>
  </si>
  <si>
    <t>Grupo Gera, Raízen Energia (BVMF: RAIZ4)</t>
  </si>
  <si>
    <t>228059-92T</t>
  </si>
  <si>
    <t>224471-17T</t>
  </si>
  <si>
    <t>Flexdoc Information Technology</t>
  </si>
  <si>
    <t>Provider of strategic management service based in Guará, Brazil. The company specialized in APIs for data extraction and facial recognition, onboarding automation platform, fraud analysis and outsourcing for back office and cloud services infrastructure, thereby enabling provide technical services aimed at automating business flows, data processing and document management.</t>
  </si>
  <si>
    <t>Valid (IT Services and Consulting) (BVMF: VLID3)</t>
  </si>
  <si>
    <t>224633-35T</t>
  </si>
  <si>
    <t>Levoo</t>
  </si>
  <si>
    <t>Operator of a social delivery platform intended to reduce the problem of urban mobilitya and provide fast and routed deliveries. The company's platform enables same-day delivery, next-day delivery, in-store pickup integration, inventory synchronization, real-time tracking, delivery partner coordination, intuitive delivery dashboards, customer notifications, route optimization, and multi-channel logistics management, enabling retailers to accelerate order fulfillment and improve operational productivity.</t>
  </si>
  <si>
    <t>MOVE3 Group(Guilherme Juliani)</t>
  </si>
  <si>
    <t>244441-45T</t>
  </si>
  <si>
    <t>QualityStorm</t>
  </si>
  <si>
    <t>Developer of an inspection digitization platform designed for executing and controlling inspections. The company's platform facilitates quality inspections, process control, and customization of inspection processes and offers complete modules of reports, including basic and advanced views of an inspection, enabling clients to increase productivity and efficiency and reduce operation and quality costs.</t>
  </si>
  <si>
    <t>224485-66T</t>
  </si>
  <si>
    <t>Agrodanieli (poultry plant)</t>
  </si>
  <si>
    <t>Poultry production plants based in Tapejara, Brazil</t>
  </si>
  <si>
    <t>Cooperativa Central Aurora Alimentos</t>
  </si>
  <si>
    <t>227275-57T</t>
  </si>
  <si>
    <t>DGF Investimentos(Sidney Chameh)</t>
  </si>
  <si>
    <t>224172-55T</t>
  </si>
  <si>
    <t>Minimal Club</t>
  </si>
  <si>
    <t>Designer of high-quality clothing intended to solve everyday problems and promote well-being. The company includes casual clothing, fitness apparel, subscription clubs, T-shirts, pants, sweatshirts, socks, and underwear designed with a focus on comfort, enabling consumers to buy apparel at a reasonable rate.</t>
  </si>
  <si>
    <t>224187-04T</t>
  </si>
  <si>
    <t>Mogno Capital</t>
  </si>
  <si>
    <t>Valorama Gestão De Investimentos Renda Fixa Ltda. Formerly Fundo Investimento Imobiliario Mogno Fundo Fundos is a Brazil-based asset management company. It provides Wealth Management services which comprise Offshore and OnShore services. Its asset management services include Real Estate Investments and Private Equity and Venture Capital.</t>
  </si>
  <si>
    <t>Valora Investimentos (BVMF: VGIR11)</t>
  </si>
  <si>
    <t>191837-35T</t>
  </si>
  <si>
    <t>Odata (Systems and Information Management)</t>
  </si>
  <si>
    <t>Provider of data center infrastructure and colocation services intended for agribusiness, automotive, energy and natural resources, government, logistics, utilities and other sectors. The company offers colocation services data centers in a pure-colocation and carrier-neutral model, thereby providing flexible, reliable and secure infrastructure growth capabilities to its customers.</t>
  </si>
  <si>
    <t>Aligned Data Centers(Andrew Schaap), Macquarie Asset Management(Anton Moldan), SDC Capital Partners</t>
  </si>
  <si>
    <t>224165-35T</t>
  </si>
  <si>
    <t>Portal do Médico</t>
  </si>
  <si>
    <t>Operator of an e-commerce platform designed for buying and selling healthcare products. The company's platform offers to buy medical equipment and products in a single place, enabling doctors, health professionals, hospitals, public agencies, clinics, students and individuals to advertise, sell, and buy affordable products over the Internet and enjoy a smooth experience of buying and selling.</t>
  </si>
  <si>
    <t>224387-56T</t>
  </si>
  <si>
    <t>SVN Investimentos</t>
  </si>
  <si>
    <t>Operator of an investment advisory firm intended to offer investment in sectors like ESG, variable income, and real estate funds. The company offers various financial products and specializes in financial investment services.</t>
  </si>
  <si>
    <t>XP Investimentos (NAS: XP)(Bruno Constantino)</t>
  </si>
  <si>
    <t>224154-55T</t>
  </si>
  <si>
    <t>Temsaude</t>
  </si>
  <si>
    <t>Developer of a finance expense management platform intended to serve enterprises and public sector organizations across Brazil. The company offers financial services, giving access to private medical services at reduced prices and promoting the financial education of users for conscientious consumption of health services, enabling low-income families to get speedy and quality health services at reduced prices.</t>
  </si>
  <si>
    <t>Bella&amp;Materna(Simone Renata)</t>
  </si>
  <si>
    <t>220825-99T</t>
  </si>
  <si>
    <t>CleanCloud</t>
  </si>
  <si>
    <t>Developer of a cloud management platform designed to optimize and manage cloud-based dashboards. The company's platform controls and monitors cloud infrastructure by providing dashboards, reports, a wide range of billing and metrics information, and daily automatic recommendations, enabling companies to optimize the cost of cloud services.</t>
  </si>
  <si>
    <t>Security Ecosystem Knowledge</t>
  </si>
  <si>
    <t>244441-90T</t>
  </si>
  <si>
    <t>Ummense</t>
  </si>
  <si>
    <t>Developer of a management tool designed to focus on organizing the business growth of its clients. The company's tool supports various task management such as documents and information, team management, and various others, allowing organizations to manage their secondary tasks more efficiently while focusing on primary goals.</t>
  </si>
  <si>
    <t>224067-61T</t>
  </si>
  <si>
    <t>uMode</t>
  </si>
  <si>
    <t>Developer of technology-based fashion platform intended to analyze and recognize standards of everything that is involved in fashion business operations. The company's platform specializes in digital transformation systems by analyzing attributes in external sources, giving data regarding performance history, helping in sharing briefings with suppliers, and giving pilot test feedback, enabling fashion companies to improve sales performance with real-time reporting.</t>
  </si>
  <si>
    <t>Investidores.vc, Rock9 Ventures, Smart Money Ventures</t>
  </si>
  <si>
    <t>212267-26T</t>
  </si>
  <si>
    <t>224474-41T</t>
  </si>
  <si>
    <t>Geosite Tecnologia</t>
  </si>
  <si>
    <t>Developer of integrated geoprocessing software designed for business clients. The company offers computer-aided design, geographic information systems and location-based service solutions, thereby helping businesses to optimize their operational processes with considerable cost reduction.</t>
  </si>
  <si>
    <t>Squadra Digital(André Cioffi)</t>
  </si>
  <si>
    <t>223993-72T</t>
  </si>
  <si>
    <t>Luizaseg Seguros</t>
  </si>
  <si>
    <t>Provider of insurance solutions based in Sao Paulo, Brazil. The company offers insurance for house protection, theft protection, cell phones, video cameras and tablets and also provides warranty services.</t>
  </si>
  <si>
    <t>BNP Paribas Cardif (LIM: CARDIFC1)</t>
  </si>
  <si>
    <t>224084-26T</t>
  </si>
  <si>
    <t>Mob2Con</t>
  </si>
  <si>
    <t>Operator of a data intelligence platform intended to increase the commercial and operational performance of the retail ecosystem. The company's platform assists with the shelf replenishment process by analyzing stockout rates, ideal hours, and assortment and connecting retail chains, industries, and promotion agencies, enabling businesses to conveniently manage visits from promoters, controlling documents, and reduce disruption at points of sale.</t>
  </si>
  <si>
    <t>224165-17T</t>
  </si>
  <si>
    <t>Astella Investimentos, Latitud, Seedstars International Ventures</t>
  </si>
  <si>
    <t>223947-37T</t>
  </si>
  <si>
    <t>DG Solutions</t>
  </si>
  <si>
    <t>Provider of communication management solutions designed for business customer engagement purposes. The company integrates omnichannel messaging capabilities, ensures seamless call routing, maintains compliance with telecommunications standards, applies automation for inbound and outbound interactions, supports centralized conversation tracking, enhances operational efficiency through analytics, facilitates secure data handling, optimizes workforce collaboration, and incorporates AI-driven response mechanisms, enabling enterprises, service providers, and customer support teams to achieve streamlined communication workflows, improved service responsiveness, and enhanced interaction management.</t>
  </si>
  <si>
    <t>WeON omnichannel(Denis Galvao)</t>
  </si>
  <si>
    <t>223866-01T</t>
  </si>
  <si>
    <t>Lexos</t>
  </si>
  <si>
    <t>Developer of marketplace integrator hub designed to connect sellers to the main marketplaces. The company centralizes the entire operation of small and medium e-commerce by automating its dispatch and increasing its performance in the main online sales channels of the digital world, enabling retailers to utilize digital transformation facilities in a simplified way.</t>
  </si>
  <si>
    <t>224341-84T</t>
  </si>
  <si>
    <t>STC Tecnologia</t>
  </si>
  <si>
    <t>Developer of IoT software designed for the vehicle tracking market. The company specializes in administrative modules, client modules and mobile modules along with a complete dashboard, equipment, financial module and chip control.</t>
  </si>
  <si>
    <t>Datora Telecom(Tomas Fuchs)</t>
  </si>
  <si>
    <t>223890-31T</t>
  </si>
  <si>
    <t>Track.co</t>
  </si>
  <si>
    <t>Developer of a comprehensive customer experience management platform designed to empower businesses to monitor customer satisfaction in real time across multiple digital channels. The company's platform utilizes key CX metrics such as Net Promoter Score (NPS), Customer Satisfaction (CSAT), and Customer Effort Score (CES), which help companies gather actionable insights into customer sentiment and behavior, through its advanced OpenCX AI solution, to automate the collection, analysis, and categorization of large volumes of customer feedback, enabling clients to easily know about their customer satisfaction worldwide.</t>
  </si>
  <si>
    <t>Green Rock (Brazil), Maromar Investimentos, Plug and Play Tech Center, Provence Partners, TM3 Capital</t>
  </si>
  <si>
    <t>223905-79T</t>
  </si>
  <si>
    <t>Trevo Drywall</t>
  </si>
  <si>
    <t>Manufacturer of drywall and plaster coating for dry construction serving the Brazilian market. The company's drywall and plaster coating intend to offer dedicated sheets that are moisture and fire-resistant, providing raw materials for construction, such as cement slabs, OSB sheets and mezzanines that are environmentally friendly and help in formulating sustainable construction.</t>
  </si>
  <si>
    <t>Knauf</t>
  </si>
  <si>
    <t>224009-47T</t>
  </si>
  <si>
    <t>Vaaldiam do Brasil Mineracao</t>
  </si>
  <si>
    <t>Operator of diamond exploration properties based out of Brazil.</t>
  </si>
  <si>
    <t>Tres-Or Resources (TSX: TRS)(Laura Duffett)</t>
  </si>
  <si>
    <t>220228-75T</t>
  </si>
  <si>
    <t>Bossa Invest, XP Investimentos (NAS: XP)</t>
  </si>
  <si>
    <t>225184-60T</t>
  </si>
  <si>
    <t>Jive Investments, Vinci Compass Investments (NAS: VINP)</t>
  </si>
  <si>
    <t>227515-87T</t>
  </si>
  <si>
    <t>Revpay</t>
  </si>
  <si>
    <t>Developer of a microcredit ecosystem intended to cater to people in Macapa, Brazil. The company's application offers credit relationships and facilitates the selling of products, enabling resellers to achieve financial independence.</t>
  </si>
  <si>
    <t>224911-27T</t>
  </si>
  <si>
    <t>Editora Capital Aberto</t>
  </si>
  <si>
    <t>Publisher of magazines intended to offer information related to capital markets and the stock exchange. The company is engaged in providing news content and analysis on the financial market and investments through refresher courses, in-company, newsletters, webinars, podcasts, and events, along with content production and professional training.</t>
  </si>
  <si>
    <t>223902-64T</t>
  </si>
  <si>
    <t>Hoteis Chami</t>
  </si>
  <si>
    <t>Operator of a hotel resort intended to serve the tourism industry of Brazil. The company offers accommodation, restaurant and bar services, apartments adapted for people with special needs, room service, breakfast, a steam room and a private beach restaurant service.</t>
  </si>
  <si>
    <t>Gafisa (BVMF: GFSA3)</t>
  </si>
  <si>
    <t>223789-24T</t>
  </si>
  <si>
    <t>Interep Representações Viagens E Turismo</t>
  </si>
  <si>
    <t>Provider of travel reservation services specializing in national and international land travel based in São Paulo, Brazil. The company offers reservations involving accommodation, car rental, tickets, hotel selections, vehicle rentals including luxury options, tours and transfers, together or separately.</t>
  </si>
  <si>
    <t>Mondee (PINX: MOND)(Prasad Gundumogula)</t>
  </si>
  <si>
    <t>227489-32T</t>
  </si>
  <si>
    <t>Ponto Now</t>
  </si>
  <si>
    <t>Operator of an online platform intended to provide HR solutions. The company's platform specializes in automatic calculations, sheet digital signature, real-time information and complete Reports.</t>
  </si>
  <si>
    <t>AO3 Tecnologia</t>
  </si>
  <si>
    <t>227513-89T</t>
  </si>
  <si>
    <t>SScrop</t>
  </si>
  <si>
    <t>Developer of agricultural software designed to provide rural administration and management. The company's web-based farming tool offers farm management control over expenses, income, loans, investments, accounts payable and receivable, bank reconciliation, sales contract management, and costs by farm, crop, season, or field, enabling rural producers to have the necessary information for good management of their farm.</t>
  </si>
  <si>
    <t>Bossa Invest, uShark</t>
  </si>
  <si>
    <t>223597-81T</t>
  </si>
  <si>
    <t>Concordia ClientCo Telecomunicacoes</t>
  </si>
  <si>
    <t>Provider of telecommunications services based in Concórdia, Brazil.</t>
  </si>
  <si>
    <t>223628-68T</t>
  </si>
  <si>
    <t>Laager Sustainable Technologies</t>
  </si>
  <si>
    <t>Developer of remote automation systems intended for the management of water, gas, and energy consumption. The company offers intelligent metering devices, radio frequency communication modules, consumption monitoring software, automation systems for residential and industrial use, and tools for sectorized energy control, enabling utilities and consumers with tools for monitoring and optimizing resource consumption.</t>
  </si>
  <si>
    <t>Constanta Group</t>
  </si>
  <si>
    <t>Wireless Communications Equipment</t>
  </si>
  <si>
    <t>223612-93T</t>
  </si>
  <si>
    <t>Monitora Soluções Tecnológicas</t>
  </si>
  <si>
    <t>Operator of a digital services company catering to aviation, finance, health, education and artificial intelligence sectors. The company engages in service design, requirements engineering, software design, implementation, quality control, deployment and maintenance, thereby 
helping businesses become digital sparing them more time to focus on various business strategies.</t>
  </si>
  <si>
    <t>BV Investment Partners(Matthew Kinsey), Marlabs</t>
  </si>
  <si>
    <t>223903-81T</t>
  </si>
  <si>
    <t>Onfly</t>
  </si>
  <si>
    <t>Developer of a travel and expense management platform designed to reduce the company's hotel and reimbursement expenses. The company's platform aids in booking hotels, tickets and renting cars for trips within a pre-configured travel policy, enabling companies to maximize management and bring comfort and productivity to employees.</t>
  </si>
  <si>
    <t>Cloud9 Capital(Rafael Serson), Left Lane Capital</t>
  </si>
  <si>
    <t>223417-63T</t>
  </si>
  <si>
    <t>Coritiba Foot Ball Club</t>
  </si>
  <si>
    <t>Operator of a football club based in Curitiba, Brazil. The company include games for both men and women, with a range of tournaments like professional and amateur football, enabling its clients to avail entertainment references in the sports business.</t>
  </si>
  <si>
    <t>Spectra Investments, Treecorp Investimentos (BVMF: TCPF11)(Bruno D'Ancona)</t>
  </si>
  <si>
    <t>223422-76T</t>
  </si>
  <si>
    <t>Covalenty</t>
  </si>
  <si>
    <t>Developer of a B2B marketplace designed to streamline purchasing and distribution across the pharmaceutical retail chain. The company offers a platform with purchasing management tools, AI-driven product recommendations, partner network access, and real-time pricing, enabling independent pharmacies, wholesalers, and manufacturers to operate efficiently, increase margins, and reach underserved markets.</t>
  </si>
  <si>
    <t>1616 Ventures, DOMO.VC, Iporanga Ventures, StaminaVC</t>
  </si>
  <si>
    <t>223386-13T</t>
  </si>
  <si>
    <t>DR&amp;A Advogados</t>
  </si>
  <si>
    <t>Operator of a law firm intended to serve the insurance industry. The company offers practical and efficient legal solutions for the most varied demands, solutions for strategic issues and strategic litigation and reimbursements enabling its customers to fulfil their legal requirements.</t>
  </si>
  <si>
    <t>Costa, Albino &amp; Rocha</t>
  </si>
  <si>
    <t>211343-23T</t>
  </si>
  <si>
    <t>Fixtell</t>
  </si>
  <si>
    <t>Provider of internet services intended to operate in the multimedia telecommunication services sector. The company leverages optical fiber networks and radio communication technology to serve customers with fast and stable internet connections.</t>
  </si>
  <si>
    <t>215640-73T</t>
  </si>
  <si>
    <t>FutureMe</t>
  </si>
  <si>
    <t>Operator of an educational platform intended to provide technology-based career counseling sessions for school kids. The company provides career counseling through virtual sessions with counselors, quizzes, and reports to know personal traits and matching job profiles based on the end result, enabling students to access career guidance to make conscious and assertive professional choices according to the profile and potential in the future.</t>
  </si>
  <si>
    <t>223420-24T</t>
  </si>
  <si>
    <t>MeuChapa</t>
  </si>
  <si>
    <t>Operator of a digital platform intended to connect the offering of loading and unloading services with professionals. The company's services include connecting self-employed professionals to drivers, improving productivity, reducing risk, generating profits, and stabilizing full-time labor costs, enabling business leaders to plan and manage labor usage using their app-driven scheduling features.</t>
  </si>
  <si>
    <t>GVAngels, Tompkins Square Ventures</t>
  </si>
  <si>
    <t>223325-47T</t>
  </si>
  <si>
    <t>SensaIoTech</t>
  </si>
  <si>
    <t>Developer of agricultural technology designed to increase the client's productivity and reduce production costs. The company offers soil and environment monitoring services, from the sensors that capture the parameters, through the data processing, to the final report, enabling farmers to monitor and predict where and when a wildfire will occur and flag at-risk areas.</t>
  </si>
  <si>
    <t>DMZ (Financial Services)</t>
  </si>
  <si>
    <t>301619-80T</t>
  </si>
  <si>
    <t>MIT Solve</t>
  </si>
  <si>
    <t>214499-71T</t>
  </si>
  <si>
    <t>Cargon</t>
  </si>
  <si>
    <t>Developer of a software platform intended to manage the logistics operation. The company offers monitoring of cargo trucks, delivery of the cargo, real-time data, loading and unloading indicators, billing, delays, transit trips, data analytics, and finance management, enabling businesses to optimize resources and times through technology.</t>
  </si>
  <si>
    <t>214501-51T</t>
  </si>
  <si>
    <t>Viasoft (Business Software)(Itamir Viola)</t>
  </si>
  <si>
    <t>223459-21T</t>
  </si>
  <si>
    <t>Itaverá Investimentos</t>
  </si>
  <si>
    <t>Provider of asset management services based in Rio de Janeiro, Brazil. The company is specialized in equity investments.</t>
  </si>
  <si>
    <t>BlueLine Asset Management(Giovani Silva)</t>
  </si>
  <si>
    <t>227513-53T</t>
  </si>
  <si>
    <t>Spotlar</t>
  </si>
  <si>
    <t>Developer of a virtual platform designed to offer personalization of finishes and apartment interiors. The company's platform offers to assemble under-construction apartments and properties digitally and interactively from project models and a catalog of pre-defined products, enabling users to manage the execution and transform the digital project into reality for the end customer.</t>
  </si>
  <si>
    <t>223172-38T</t>
  </si>
  <si>
    <t>THB Brazil</t>
  </si>
  <si>
    <t>Provider of risk management and insurance brokerage services designed to offer innovative protection strategies to businesses worldwide. The company offers a team of specialists who work closely with customers, identifying risks and developing protection strategies tailored to their needs, bringing peace of mind and security in decision-making while maintaining a culture of ethics, transparency, local autonomy, active leadership, and customer focus.</t>
  </si>
  <si>
    <t>Lockton Companies(José Otávio Sampaio)</t>
  </si>
  <si>
    <t>223271-29T</t>
  </si>
  <si>
    <t>V2 Renda Imobiliaria (BVMF: VVRI11)</t>
  </si>
  <si>
    <t>V2 Renda Imobiliaria Fundo De Investimento Imobiliario Fii operates as a Real Estate Fund. The purpose of the Fund is to provide Quotaholders with the appreciation and profitability of their shares, through investment in real estate projects.</t>
  </si>
  <si>
    <t>198820-63T</t>
  </si>
  <si>
    <t>Esporte Clube Bahia</t>
  </si>
  <si>
    <t>Operator of a sports club based in Salvador, Bahia. The company engages in the development, dissemination and improvement of sports and physical education in all its modalities, especially football as well as allows participation in various leagues and events.</t>
  </si>
  <si>
    <t>Abu Dhabi United Group(Sheikh Mansour Al Nahyan), CITIC Capital, City Football Group(Ferran Soriano), Silver Lake</t>
  </si>
  <si>
    <t>223136-47T</t>
  </si>
  <si>
    <t>Honey Island Capital, SRM Ventures(Andre Szapiro)</t>
  </si>
  <si>
    <t>227558-44T</t>
  </si>
  <si>
    <t>Smart School</t>
  </si>
  <si>
    <t>Developer of an educational platform intended to make the pedagogical routine lighter and bring efficient school communication. The company's platform automates important day-to-day actions with easy-to-learn resources, offers innovative and easy methods for data collection, and reduces time spent on teaching tasks, enabling schools to successfully advance in school management and communication with kids.</t>
  </si>
  <si>
    <t>223073-47T</t>
  </si>
  <si>
    <t>ENW - Eyes NWHERE</t>
  </si>
  <si>
    <t>Provider of telecom and electronic security solutions intended to serve businesses and government entities. The company's services include video surveillance, data communication links, corporate internet network, optical fiber network, remote monitoring and internet solutions, enabling customers to communicate and secure for business data and operations.</t>
  </si>
  <si>
    <t>Foster Capital Partners</t>
  </si>
  <si>
    <t>241908-67T</t>
  </si>
  <si>
    <t>GoCache</t>
  </si>
  <si>
    <t>Developer of a content delivery network platform designed for the security of web applications. The company's platform elevates the performance, scalability, and security of applications and web content by creating processing rules in data centers closer to users, enabling clients to accelerate and scale any website, mobile application, or Application Programming Interface.</t>
  </si>
  <si>
    <t>223868-17T</t>
  </si>
  <si>
    <t>Seazone</t>
  </si>
  <si>
    <t>Operator of a vacation rental platform intended to professionally manage rental properties and enable the publication of ads within platforms. The company offers the rental real estate market by automating processes through technology, enabling people to connect to new destinations through listed accommodations.</t>
  </si>
  <si>
    <t>DOMO.VC(Rodrigo Borges)</t>
  </si>
  <si>
    <t>232749-19T</t>
  </si>
  <si>
    <t>Viqua</t>
  </si>
  <si>
    <t>Provider of a water treatment platform intended to improve water quality. The company offers water filtration, disinfection and monitoring, thereby enabling the water treatment market to provide safe and clean water.</t>
  </si>
  <si>
    <t>Krona Tubos e Conexões(Rogério Kohntopp)</t>
  </si>
  <si>
    <t>225479-80T</t>
  </si>
  <si>
    <t>Agrosatélite Geotecnologia Aplicada</t>
  </si>
  <si>
    <t>Developer of crop monitoring and geographic information technologies designed to map performance data for crops in Brazil. The company offers an extensive database of crop performances and monitoring via its suite of software used for monitoring of farms, for mapping territories through satellite images, for developing custom-made geographic information software for clients and for monitoring the development of crop harvests using geo-technology, enabling farmers to make informed decisions and promote sustainable growth in agribusiness.</t>
  </si>
  <si>
    <t>218879-11T</t>
  </si>
  <si>
    <t>Becon (Automation/Workflow Software)</t>
  </si>
  <si>
    <t>Developer of an online platform designed to connect to customers through chatbots. The company's platform allows businesses to use a single number with multiple departments and track conversations with clients using automated chatbots and mass messaging, enabling small and medium enterprises to automate repetitive tasks, personalize customer interactions at scale, and reach a wider audience.</t>
  </si>
  <si>
    <t>CRMBonus(Alexandre Zolko)</t>
  </si>
  <si>
    <t>208241-02T</t>
  </si>
  <si>
    <t>CVLB Brasil</t>
  </si>
  <si>
    <t>CVLB Brasil SA formerly, Lojas Le Biscuit SA is a multichannel integrated distribution platform, and a portfolio of diversified products offered at competitive prices. It has a large network of stores in Brazil.</t>
  </si>
  <si>
    <t>CASA&amp;VIDEO(Ivo Benderoth)</t>
  </si>
  <si>
    <t>212862-43T</t>
  </si>
  <si>
    <t>OL Indústria de Papéis</t>
  </si>
  <si>
    <t>Manufacturer of hygienic tissue papers intended for improving hygiene, comfort, and convenience. The company offers tissue, toilet and kitchen papers, napkins and baby diapers, enabling consumers to maintain self-hygiene.</t>
  </si>
  <si>
    <t>Bracell(Sérgio Montanha)</t>
  </si>
  <si>
    <t>223861-96T</t>
  </si>
  <si>
    <t>Trizy</t>
  </si>
  <si>
    <t>Developer of a scheduling platform designed to optimize logistics management for clients in Brazil. The company through its platform offers features such as loading and unloading schedule, patio management, management panel and visibility management as well as facilitates the quotation of freight with its partner carriers.</t>
  </si>
  <si>
    <t>Greenbridge Partners, Hindiana, Niche Partners, Niche Supply Technologies(Vasco Oliveira), Tarpon Capital</t>
  </si>
  <si>
    <t>223467-76T</t>
  </si>
  <si>
    <t>VitalForce (Agricultural Chemicals)</t>
  </si>
  <si>
    <t>Manufacturer of bio-defensives and specialty fertilizers intended for crops like soybeans, corn, fruit and vegetables. The company specializes in developing innovative products of foliar and soil fertilizers, thereby adding productivity and reducing environmental impacts by combining environmental preservation and social responsibility.</t>
  </si>
  <si>
    <t>Grupo Lwart.(Carlos Eggers)</t>
  </si>
  <si>
    <t>224128-36T</t>
  </si>
  <si>
    <t>Arcca (Business/Productivity Software)</t>
  </si>
  <si>
    <t>Operator of the brand acceleration platform intended for the management of food franchises in real-time. The company offers centralized monitoring with a tool for managing one or multiple units which includes tracking sales, team tasks, customer satisfaction, stock, and much more, helping business to boost their potential and growth.</t>
  </si>
  <si>
    <t>Norte Ventures, Supera Capital</t>
  </si>
  <si>
    <t>222851-62T</t>
  </si>
  <si>
    <t>Azeite Royal Olive Oils</t>
  </si>
  <si>
    <t>Producer of oil products based in Brazil. The company offers olive oils.</t>
  </si>
  <si>
    <t>JY Global Group(Baretta Salamo)</t>
  </si>
  <si>
    <t>244323-01T</t>
  </si>
  <si>
    <t>Benjamin (Sao Paulo)</t>
  </si>
  <si>
    <t>Operator of a network of bakeries across Sao Paulo. The company's bakeries offer bread, sweets, savory snacks and quick meals that are made using traditional recipes, fresh ingredients and chemical-free additives, providing cost-effective products to customers in a warm and inviting environment.</t>
  </si>
  <si>
    <t>250343-83T</t>
  </si>
  <si>
    <t>Unreasonable Group</t>
  </si>
  <si>
    <t>225008-20T</t>
  </si>
  <si>
    <t>CoreBanx</t>
  </si>
  <si>
    <t>Developer of proprietary technology designed to deliver financial products and services. The company specializes in payment methods, digital accounts, sub-acquiring management, BaaS, and financial services, enabling businesses to save time and money and improve their compliance.</t>
  </si>
  <si>
    <t>232185-25T</t>
  </si>
  <si>
    <t>Deskbee</t>
  </si>
  <si>
    <t>Developer of a workspace management platform designed to plan and manage flexible and hybrid work models. The company's platform offers an office floor plan to choose and reserve a workstation, such as sector restriction, booking recurrence, and table assignment, enabling industry-leading companies to create a positive work environment and streamline hybrid work policies while optimizing facility value.</t>
  </si>
  <si>
    <t>Keiretsu Forum</t>
  </si>
  <si>
    <t>224346-61T</t>
  </si>
  <si>
    <t>Ecobotica</t>
  </si>
  <si>
    <t>Provider of self-care and beauty products intended to prioritize using assets essential for skin health. The company specializes in developing multifunctional, essential, and quality cosmetics products that are inspired by the busy lives of women, enabling women to improve their beauty by using naturally made skin care products.</t>
  </si>
  <si>
    <t>264043-18T</t>
  </si>
  <si>
    <t>Galaxies Gaming</t>
  </si>
  <si>
    <t>Developer of a gaming employability and talent management platform designed to provide support to electronic game teams and professionals in the gaming community. The company's platform connects the e-sports market, web3, and blockchain games and offers training courses digitally with certification, enabling gamers to build careers and find opportunities in the gaming market.</t>
  </si>
  <si>
    <t>Hyper Accelerator</t>
  </si>
  <si>
    <t>247647-88T</t>
  </si>
  <si>
    <t>Global Pet</t>
  </si>
  <si>
    <t>Manufacturer of recycled plastic bottles intended to serve the processing and packaging industries. The company offers plastic bottle recycling, plastic collection, green polyethylene terephthalate (PET) post-consumer recycled (PCR) resins, plastic flake washing, extrusion and post-condensation services, enabling clients to get sustainable products.</t>
  </si>
  <si>
    <t>EB Capital(Renan Henrique)</t>
  </si>
  <si>
    <t>208744-12T</t>
  </si>
  <si>
    <t>Justto</t>
  </si>
  <si>
    <t>Developer of decoding software designed to solve conflicts in a hassle-free manner. The company's software connects people to solve their conflicts efficiently and intelligently through a fully digital and online mediation institution, enabling businesses and other clients to resolve their conflicts quickly, efficiently, and safely.</t>
  </si>
  <si>
    <t>215814-43T</t>
  </si>
  <si>
    <t>KOR Solutions</t>
  </si>
  <si>
    <t>Developer of an automated trading platform designed to resolve consumer conflicts using data intelligence. The company's platform automates negotiation and conflict resolution through its advanced data intelligence-driven software, enabling clients to automate and optimize settlement processes with a focus on empathetic resolution.</t>
  </si>
  <si>
    <t>Polaris Investimentos, Rock9 Ventures, South Capital</t>
  </si>
  <si>
    <t>267670-54T</t>
  </si>
  <si>
    <t>Kunumi Serviços em Tecnologia da Informação</t>
  </si>
  <si>
    <t>Operator of an artificial intelligence company intended to promote inclusion and prosperity through knowledge sharing. The company connects academic research and applied AI to transform machine learning predictions into actionable system intelligence and produce visualizations of AI system outputs, enabling clients to avail technology tools to develop and grow their businesses continuously.</t>
  </si>
  <si>
    <t>Bank Bradesco (BVMF: BBDC3)</t>
  </si>
  <si>
    <t>224242-66T</t>
  </si>
  <si>
    <t>Stark Bank</t>
  </si>
  <si>
    <t>Developer of an open banking platform designed to help organizations execute transactions, charges, and payments. The company's platform offers developer-friendly APIs and hassle-free integration for businesses to manage their transactions and bank transfers by eliminating avoidable additional fees, enabling clients to accept, process, and disburse payments conveniently and stay focused on their business.</t>
  </si>
  <si>
    <t>Mischief</t>
  </si>
  <si>
    <t>192835-09T</t>
  </si>
  <si>
    <t>SuperBAC BioTechnology Solutions</t>
  </si>
  <si>
    <t>Provider of a biotechnological platform designed to offer agribusiness, energy, sanitation and retail environment services. The company's biotechnological platform aims to promote sustainable and productive processes in the areas of agribusiness, wastewater treatment, retail, industry and energy, enabling consumers to reduce environmental liabilities, perform specific cleaning and fulfill highly complex demands.</t>
  </si>
  <si>
    <t>223542-55T</t>
  </si>
  <si>
    <t>Van Del Sol</t>
  </si>
  <si>
    <t>Provider car rental services intended for travelers and tourists. The company offers a variety of customized camping vans with facilities such as refrigeration, bedding, burner stoves and solar systems on rent, providing clients with a leisure experience.</t>
  </si>
  <si>
    <t>Advent-Morro Equity Partners</t>
  </si>
  <si>
    <t>220120-93T</t>
  </si>
  <si>
    <t>INCO</t>
  </si>
  <si>
    <t>Developer of a digital platform designed to facilitate and diversify investments in real estate projects. The company's platform offers information about real estate projects and their financial background, to invest in profitable projects with higher returns, enabling investors to transform and democratize real estate assets through liquidity and transparency.</t>
  </si>
  <si>
    <t>Bossa Invest, Luxor Group</t>
  </si>
  <si>
    <t>221446-18T</t>
  </si>
  <si>
    <t>Água na Caixa</t>
  </si>
  <si>
    <t>Producer of mineral water bottles intended to reduce the carbon footprint. The company offers packaging made almost entirely from plants, and is recyclable with an innovative design, enabling environmentally-conscious consumers access to mineral water while reducing waste supporting the recycling chain, and promoting sustainability.</t>
  </si>
  <si>
    <t>Order VC</t>
  </si>
  <si>
    <t>293627-26T</t>
  </si>
  <si>
    <t>Apollo Solutions</t>
  </si>
  <si>
    <t>Developer of industrial automation systems intended to enhance production accuracy and operational efficiency. The company's platform utilizes advanced computer vision and artificial intelligence to perform real-time product inspection, defect detection, and automated quality control, enabling manufacturers to reduce errors, optimize workflows, and achieve higher product standards across various sectors, including textiles, appliances, and the automotive industry.</t>
  </si>
  <si>
    <t>222998-68T</t>
  </si>
  <si>
    <t>GOVERNANÇABRASIL</t>
  </si>
  <si>
    <t>Developer of public administration and management software based in Vila Velha, Brazil. The company offers planning and budgeting, decision support, internal control, social communication, financial management, revenue and general administration thereby providing governance solutions for public management.</t>
  </si>
  <si>
    <t>221406-85T</t>
  </si>
  <si>
    <t>Neoenergia Transmissora 15 SPE</t>
  </si>
  <si>
    <t>Operator of an electric power transmission company based in Sao Paulo, Brazil.</t>
  </si>
  <si>
    <t>Warrington Investments</t>
  </si>
  <si>
    <t>263335-24T</t>
  </si>
  <si>
    <t>213419-35T</t>
  </si>
  <si>
    <t>Acrew Capital, Alter Global, Bayhouse Capital, Bossa Invest, Christopher Howard(Christopher Howard), Citi Ventures, Citius, Coatue Management(Michael Gilroy), Commerce Ventures, David Blitzer(David Blitzer), DST Global, Endeavor Catalyst, Ethos VC, Fluent Ventures, General Catalyst, Goanna Capital, Jeremy Henrickson(Jeremy Henrickson), Kevin Ryan(Kevin Ryan), Lago Innovation Fund, Monashees, Notable Capital(Hans Tung), Pathlight Ventures, Picus Capital(Julian Roeoes), Saran Chari(Saran Chari), SaxeCap, Shyam Sankar(Shyam Sankar), Soma Capital, Thomas Marano(Thomas Marano), Valor Equity Partners, Vladimir Giverts(Vladimir Giverts)</t>
  </si>
  <si>
    <t>228755-98T</t>
  </si>
  <si>
    <t>221276-80T</t>
  </si>
  <si>
    <t>221268-52T</t>
  </si>
  <si>
    <t>295576-66T</t>
  </si>
  <si>
    <t>OKAPP</t>
  </si>
  <si>
    <t>Developer of a low-code platform designed to digitize internal processes of businesses. The company's platform counts on ready-to-use components, a visual development interface, and ready-to-copy and use templates, all with the stability and reliability of a cloud application, without complex updates and without external tools, enabling users to easily and efficiently use them without advanced programming knowledge.</t>
  </si>
  <si>
    <t>221131-18T</t>
  </si>
  <si>
    <t>Cilia</t>
  </si>
  <si>
    <t>Developer of a budgeting workshop management platform designed to help in claims management. The company offers features like automatic labor calculations, daily database updates, and mobile application access, enabling businesses to manage claims, improve efficiency, and enhance customer experience.</t>
  </si>
  <si>
    <t>Cloud9 Capital(Felipe Affonso), Mago Capital, Mercado Libre Fund</t>
  </si>
  <si>
    <t>221312-44T</t>
  </si>
  <si>
    <t>DHL Tratores</t>
  </si>
  <si>
    <t>Operator of agricultural machinery and equipment dealerships based in Paraná, Brazil.</t>
  </si>
  <si>
    <t>Vamos Locacao De Caminhoes Maquinas E Equipamentos (BVMF: VAMO3)</t>
  </si>
  <si>
    <t>222618-79T</t>
  </si>
  <si>
    <t>Guru CRM</t>
  </si>
  <si>
    <t>Developer of a web-based platform intended to transform databases into a source of information and knowledge. The company engages in media with online dashboards, omnichannel customer view, campaign manager and results analysis, thereby enabling practicality, efficiency and technology to make sell more and better.</t>
  </si>
  <si>
    <t>Spot Metrics</t>
  </si>
  <si>
    <t>244152-91T</t>
  </si>
  <si>
    <t>Lakers Brasil</t>
  </si>
  <si>
    <t>Publisher of basketball-related information operating across Brazil. The company publishes important news, features, game scores, featured players, basketball analyst opinions, podcast videos and statistics regarding NBA teams, thereby enabling fans up to date on all the important news, features and statistics regarding their team.</t>
  </si>
  <si>
    <t>221143-51T</t>
  </si>
  <si>
    <t>Skilopay</t>
  </si>
  <si>
    <t>Developer of a financial technology platform intended to serve individuals and companies with payment queries. The company's financial operations include pay bills, utility bills, deposits and transfers through account-to-account payment, enabling customers with payment processing and issuing capabilities.</t>
  </si>
  <si>
    <t>Belvo(Albert Morales)</t>
  </si>
  <si>
    <t>289455-67T</t>
  </si>
  <si>
    <t>Sunne</t>
  </si>
  <si>
    <t>Operator of a clean energy and credit-sharing platform intended to make clean energy accessible in Brazil. The company provides solar energy without the upfront investment costs associated with traditional solar panel installations, enabling users to save on electricity bills and generate their own energy.</t>
  </si>
  <si>
    <t>Eneva (BVMF: ENEV3)(Rodrigo Calado)</t>
  </si>
  <si>
    <t>Energy Storage</t>
  </si>
  <si>
    <t>227906-74T</t>
  </si>
  <si>
    <t>Developer of a wealth management platform designed to assist users in investing in profitable products free of conflicts in the most efficient way. The company's platform facilitates creating an investment goal, analyzing investment results, tracking records, providing client experience along with the best value proposition to investment advisors, and more, enabling users to visualize the profitability of products and make investment decisions.</t>
  </si>
  <si>
    <t>Citi Ventures</t>
  </si>
  <si>
    <t>221056-48T</t>
  </si>
  <si>
    <t>Justos</t>
  </si>
  <si>
    <t>Provider of car insurance technology intended to modernize the automotive insurance industry in Latin America. The company uses a telematics-driven and AI-native approach to assess driving behavior and automate risk analysis, enabling drivers in the region to access fairer pricing, improved coverage, and a more transparent insurance experience.</t>
  </si>
  <si>
    <t>4Equity, Goddess Gaia Ventures, MSR Capital, SCOR (PAR: SCR)</t>
  </si>
  <si>
    <t>Automotive Insurance</t>
  </si>
  <si>
    <t>227484-01T</t>
  </si>
  <si>
    <t>226172-71T</t>
  </si>
  <si>
    <t>Gestão Agropecuária</t>
  </si>
  <si>
    <t>Developer of livestock information management software intended to provide actionable insights about cattle handling. The company's software allows monitoring of the zootechnical performance of the herd per animal and per batch and the performance of the operation from origination to slaughter, enabling producers and nutrition companies to measure and improve their profitability through farm activities.</t>
  </si>
  <si>
    <t>220889-08T</t>
  </si>
  <si>
    <t>Movilway</t>
  </si>
  <si>
    <t>Operator of an electronic transactions company intended to provide services in Latin America. The company offers a network of services including mobile recharge coverage and electronic payments, thereby enabling clients to easily transfer funds using their cell phones.</t>
  </si>
  <si>
    <t>Card Group(Rogério Albuquerque)</t>
  </si>
  <si>
    <t>226313-65T</t>
  </si>
  <si>
    <t>220866-31T</t>
  </si>
  <si>
    <t>Aquaris Game Studio</t>
  </si>
  <si>
    <t>Operator of a game studio intended to offer artistic and technical gameplay to players. The company's studio develops online games for the entertainment industry, including games for the web and across all operating systems and a broad range of platforms, enabling users to have a unique gaming experience.</t>
  </si>
  <si>
    <t>Epic Games</t>
  </si>
  <si>
    <t>227483-38T</t>
  </si>
  <si>
    <t>227791-63T</t>
  </si>
  <si>
    <t>Itau Tempus Fundo De (BVMF: TMPS11)</t>
  </si>
  <si>
    <t>Itau Tempus Fundo De Investimento Imobiliario is a real estate investment fund organized in the form of a closed condominium. The purpose of the Fund is to obtain capital gains, as well as possible income, arising from investment in real estate projects.</t>
  </si>
  <si>
    <t>221479-12T</t>
  </si>
  <si>
    <t>Pmovil</t>
  </si>
  <si>
    <t>Developer of mobile content software based in Sao Paulo, Brazil. The company develops voice social networks, a portal that allows bands to upload their songs, videos, photos, biography, show calendars, news and mobile advertising solutions.</t>
  </si>
  <si>
    <t>EntrePay</t>
  </si>
  <si>
    <t>Other Software</t>
  </si>
  <si>
    <t>215659-90T</t>
  </si>
  <si>
    <t>Agro 21</t>
  </si>
  <si>
    <t>Provider of precision agriculture services intended for farmers &amp; agriculture producers. The company offers aerial application of macrobiologicals via drones enabling more productivity with fewer chemical agents.</t>
  </si>
  <si>
    <t>Vittia (BVMF: VITT3)</t>
  </si>
  <si>
    <t>220043-80T</t>
  </si>
  <si>
    <t>QUByte Interactive</t>
  </si>
  <si>
    <t>Operator of an independent video game development studio, intended to develop in-house games. The company assists indie developers in all post-development stages of the process, from porting to publishing on all major platforms through on-demand outsourcing, enabling independent studios to bring their games to a larger audience by making those games available on consoles.</t>
  </si>
  <si>
    <t>221479-48T</t>
  </si>
  <si>
    <t>TV Alphaville</t>
  </si>
  <si>
    <t>Provider of internet and telephony services intending to serve individuals, companies and condominiums.</t>
  </si>
  <si>
    <t>220698-46T</t>
  </si>
  <si>
    <t>ZiYou</t>
  </si>
  <si>
    <t>Operator of a subscription-based platform intended to offer well-being through physical activity. The company's platform provides online fitness classes, online sales, and rental of sports equipment, such as treadmills, spinning bikes, ellipticals, paddles, and weight training stations, among others, enabling fitness enthusiasts to access equipment and workout classes on one platform.</t>
  </si>
  <si>
    <t>Recreational Goods</t>
  </si>
  <si>
    <t>220834-63T</t>
  </si>
  <si>
    <t>Braint Tecnologia</t>
  </si>
  <si>
    <t>Operator of a software development company intended for automating business processes and enhancing digital interactions. The company offers customized software, mobile application development, and user-centric design services, enabling businesses to streamline operations, reduce manual tasks, improve customer engagement, and launch validated digital products using contemporary frameworks, design thinking methodologies, and secure development practices.</t>
  </si>
  <si>
    <t>WEME (Media and Information Services)(Bruno Dinato)</t>
  </si>
  <si>
    <t>220733-74T</t>
  </si>
  <si>
    <t>221479-03T</t>
  </si>
  <si>
    <t>Paquetá (Retail Operations in Brazil)</t>
  </si>
  <si>
    <t>Operateor of a shoe retail chain based in Rio Grande do Sul, Brazil</t>
  </si>
  <si>
    <t>Catalog Retail</t>
  </si>
  <si>
    <t>220659-04T</t>
  </si>
  <si>
    <t>Scalable (Sao Paulo)</t>
  </si>
  <si>
    <t>Developer of a financial platform designed to support ambitious, growing B2B SaaS startups. The company's platform helps startups scale their businesses while maintaining control of the operation, without having to go through unnecessary dilution, enabling startups to increase their runway, finance their CAC (Customer acquisition cost), and focus on their growth.</t>
  </si>
  <si>
    <t>220583-80T</t>
  </si>
  <si>
    <t>Invest Tech, Spectra Investments</t>
  </si>
  <si>
    <t>249405-13T</t>
  </si>
  <si>
    <t>Clocktower Ventures</t>
  </si>
  <si>
    <t>223193-08T</t>
  </si>
  <si>
    <t>AW Realty Baltimore Empreendimento Imobiliário SPE</t>
  </si>
  <si>
    <t>Provider of real estate services based in Sao Paulo, Brazil. The company specializes in the purchase and sale of owned properties.</t>
  </si>
  <si>
    <t>JFL Nova 01 Empreendimento Imobiliário</t>
  </si>
  <si>
    <t>220458-97T</t>
  </si>
  <si>
    <t>Retiro Baixo Energetica</t>
  </si>
  <si>
    <t>Operator of a hydroelectric plant intended to operate energy production in Brazil. The company's service offerings include energy production in hydroelectric plants.</t>
  </si>
  <si>
    <t>Eletrobras (BVMF: ELET3)(Ana Matte)</t>
  </si>
  <si>
    <t>232306-84T</t>
  </si>
  <si>
    <t>Riza Meyenii Ativos Reais Dedicado Fundo De Investimento Imobiliario</t>
  </si>
  <si>
    <t>Riza Meyenii Ativos Reais Dedicado Fundo De Investimento Imobiliario is a real estate investment fund. The objective of the Fund is to provide Quotaholders with the appreciation and profitability of their Quotas, in accordance with the Investment Policy, through the predominant acquisition of financial assets of real estate origin.</t>
  </si>
  <si>
    <t>220467-16T</t>
  </si>
  <si>
    <t>Speedio</t>
  </si>
  <si>
    <t>Developer of a marketing platform designed for business-to-business lead generation. The company's platform offers tools to generate sales through databases and integrations that provide assertive data, validated phones and emails, and assist in commercial strategy, enabling businesses to enhance their sales and increase revenue.</t>
  </si>
  <si>
    <t>ACE Ventures (Commercial Services), Marcelo Baratella(Marcelo Baratella), TM3 Capital, Venture Hub</t>
  </si>
  <si>
    <t>226003-51T</t>
  </si>
  <si>
    <t>Action CRM</t>
  </si>
  <si>
    <t>Developer of customer relationship management platform intended to serve organizations in managing customer data. The company's software services include sales support, mapping preferences, customer data analysis and creation of customer campaigns, enabling organizations to provide better after-sales-support and understand customer preferences.</t>
  </si>
  <si>
    <t>220390-93T</t>
  </si>
  <si>
    <t>InfraTI</t>
  </si>
  <si>
    <t>Provider of IT consultation and solutions to education, financial, agricultural, industry, retail, communication, health and government. The company offers CISCO growth and management software, team collaboration, information security, network infrastructure and help services, thereby helping businesses to support the maintenance, management and planning of their technology environment</t>
  </si>
  <si>
    <t>Bravantic Group</t>
  </si>
  <si>
    <t>295332-22T</t>
  </si>
  <si>
    <t>IFormei</t>
  </si>
  <si>
    <t>Developer of a graduation website creation platform intended to simplify graduation planning and facilitate cash gifts. The company's platform allows users to create their own graduation website, share their journey and story, and raise funds to achieve their university dreams and ensures a seamless process for receiving the value of gifts in cash directly into their account without complications, enabling graduates to celebrate their achievements with ease.</t>
  </si>
  <si>
    <t>246394-00T</t>
  </si>
  <si>
    <t>Kamaroopin</t>
  </si>
  <si>
    <t>Provider of private investment management services intended to serve healthcare, pet care, education, financial, consumer and business sectors. The company focuses on building long-lasting companies, positioned to benefit from secular trends in consumer habits, enabling to accelerate the growth of companies, combining dreams, capital and talent at the service of entrepreneurship, innovation and corporate legacy.</t>
  </si>
  <si>
    <t>220336-93T</t>
  </si>
  <si>
    <t>Qinv</t>
  </si>
  <si>
    <t>Developer of an automated investment platform designed to provide the best investments, making financial self-fulfillment accessible through technology. The company's platform offers smart portfolios managed by Artificial Intelligence software, with high profitability, risk control, professional management, practicality, and transparency, enabling individuals who want to invest in variable income assets to easily manage their investment portfolio.</t>
  </si>
  <si>
    <t>218036-17T</t>
  </si>
  <si>
    <t>Z1</t>
  </si>
  <si>
    <t>Developer of a financial application designed to offer digital banking services for teenagers and young adults. The company's application provides financial education, gamification and digital banking cards, instant payments, peer-to-peer money transfers and tools for managing personal finances, enabling users to manage and spend their money responsibly without hidden fees.</t>
  </si>
  <si>
    <t>3cubed Ventures, Calm Ventures, Clocktower Ventures, Costanoa Ventures, Everywhere Ventures, Gaingels, Homebrew, Kindred Ventures, Maya Capital (Brazil), Newtopia VC, Parade Ventures, SquareOne Capital, Top Corner Capital, Y Combinator</t>
  </si>
  <si>
    <t>226688-59T</t>
  </si>
  <si>
    <t>Apprenty</t>
  </si>
  <si>
    <t>Developer of an AI-based platform intended to transform the management and engagement of frontline employees through innovative approaches. The company's platform integrates artificial intelligence and gamification to enhance productivity, streamline communication, and provide real-time support, enabling businesses to reduce turnover and improve employee satisfaction while driving measurable results in performance metrics.</t>
  </si>
  <si>
    <t>Canary (Brazil), Latitud, Latitude Ventures (New York), Positive Ventures, Potencia Ventures</t>
  </si>
  <si>
    <t>232427-26T</t>
  </si>
  <si>
    <t>Canal do Campo</t>
  </si>
  <si>
    <t>Developer of livestock chain platform that connects them with tools for managing and selling products. The company offers business-to-business auction transactions, thereby helping clients to strengthen their presence in agribusiness.</t>
  </si>
  <si>
    <t>Superbid (Business/Productivity Software)(Pedro Donati)</t>
  </si>
  <si>
    <t>220383-64T</t>
  </si>
  <si>
    <t>Companhia Estadual de Geração de Energia Elétrica</t>
  </si>
  <si>
    <t>Companhia Estadual De Geracao De Energia Eletrica is engaged in the generation, transmission, distribution, and sale of electricity. The company operates hydroelectric plants in the state of Rio Grande do Sul, Brazil.</t>
  </si>
  <si>
    <t>247223-44T</t>
  </si>
  <si>
    <t>220075-93T</t>
  </si>
  <si>
    <t>Box Delivery</t>
  </si>
  <si>
    <t>Operator of a delivery platform designed to facilitate food delivery services. The company's platform has the unique ability to manage all orders from different food ordering applications in one place, requesting a delivery man, and tracking the entire route of the food in real-time, enabling the target business to have more control, agility, ease, and cheaper method of delivering food.</t>
  </si>
  <si>
    <t>Rappi(Sebastian Mejia)</t>
  </si>
  <si>
    <t>220187-98T</t>
  </si>
  <si>
    <t>Km Online</t>
  </si>
  <si>
    <t>Developer of an expense management platform intended to help companies optimize their financial resources. The company's platform offers smart cards that simplify company spending and automate expense reporting, which makes it easier to manage expense reimbursements, advances, and control the team's spending, enabling clients to manage their expense reimbursements and provide reconciliations and control to their teams.</t>
  </si>
  <si>
    <t>249321-07T</t>
  </si>
  <si>
    <t>Taxcel</t>
  </si>
  <si>
    <t>Developer of a software-as-a-service platform designed to optimize and automate tax compliance and data management processes for corporations and consulting firms. The company's tool solves problems related to the generation, correction, editing, and delivery of files required by the Federal Revenue Service (SPED), as well as using such information as a source of business intelligence (BI), enabling clients to reduce time spent on manual routines and improve accuracy and compliance.</t>
  </si>
  <si>
    <t>264027-97T</t>
  </si>
  <si>
    <t>210233-08T</t>
  </si>
  <si>
    <t>212264-92T</t>
  </si>
  <si>
    <t>AEVO</t>
  </si>
  <si>
    <t>Developer of innovation management software designed to manage any innovation strategy, process, and project. The company's platform allows users to create and manage ideas, programs, open innovation, squads, and innovation hubs all in one place, enabling clients to get project management, corporate innovation, and industrial processes.</t>
  </si>
  <si>
    <t>KPTL, TM3 Capital(Felipe Marcondes de Mattos)</t>
  </si>
  <si>
    <t>220017-79T</t>
  </si>
  <si>
    <t>Iza (Financial Software)</t>
  </si>
  <si>
    <t>Developer of a digital insurance platform designed to protect policyholders in the event of accidents, at an affordable monthly price. The company's platform offers coverage of medical and dental care, temporary leave from work, permanent disability, accidental death, and funeral assistance, enabling customers to use financial protection according to the need for their claim.</t>
  </si>
  <si>
    <t>Columbia Ventures Brazil</t>
  </si>
  <si>
    <t>232238-80T</t>
  </si>
  <si>
    <t>220177-99T</t>
  </si>
  <si>
    <t>Tietê Veículos</t>
  </si>
  <si>
    <t>Operator of premium VW truck and bus dealership catering to the automotive segment. The company offers new and reused buses and cars, as well as accessories and parts and financing services to its clients.</t>
  </si>
  <si>
    <t>220191-49T</t>
  </si>
  <si>
    <t>Witseed</t>
  </si>
  <si>
    <t>Developer of an educational platform designed to personalize the learning experience to achieve career objectives in a simplified way. The company's platform provides artificial intelligence technologies to suggest personalized learning paths to enhance productivity and keep employees in line with market challenges, enabling employers to enhance their employee engagement and assure a continuous learning culture.</t>
  </si>
  <si>
    <t>220075-66T</t>
  </si>
  <si>
    <t>BRPR Corporate Offices (BVMF: BROF11)</t>
  </si>
  <si>
    <t>BRPR Corporate Offices FII operates as a Real Estate Fund. The purpose of the Fund is to provide the Shareholders with the appreciation and profitability of their shares, as Investment Policy defined in the Regulation, through investment in projects real estate, primarily through the acquisition of ready-made real estate developments and duly constructed, land or properties under construction, intended for institutional or commercial use.</t>
  </si>
  <si>
    <t>234438-85T</t>
  </si>
  <si>
    <t>Cae</t>
  </si>
  <si>
    <t>Developer of an educational platform designed to facilitate the memorization of content. The company offers interactive augmented reality laboratories to an assistant with artificial intelligence to facilitate the memorization of contents and connect students, teachers, and social issues in comprehensive and multidisciplinary scenarios, enabling educational professionals to educate their students using technological assistance.</t>
  </si>
  <si>
    <t>258113-89T</t>
  </si>
  <si>
    <t>Oliv-e Saúde</t>
  </si>
  <si>
    <t>Developer of a digital health platform designed to provide easy access to healthcare services. The company offers telemedicine services, including remote consultations with doctors, self-service kiosks for taking vital signs and digitizing documents, and family health plans with round-the-clock telemedicine access, enabling businesses of all sizes and healthcare providers to improve patient care and streamline healthcare delivery.</t>
  </si>
  <si>
    <t>214040-80T</t>
  </si>
  <si>
    <t>Assis</t>
  </si>
  <si>
    <t>Developer of a digital assistant platform designed to help online businesses. The company's platform offers a virtual assistant with a bot integrated with AI software that provides various services like customer relationships, payments, automatic charges, receipts tracking, and so on, enabling digital businesses to gain access to various company functions.</t>
  </si>
  <si>
    <t>1616 Ventures, BFF VC, Canaan Partners, Costanoa Ventures, FJ Labs, K50 Ventures, Latitud, Maya Capital (Brazil), Norte Ventures</t>
  </si>
  <si>
    <t>220046-50T</t>
  </si>
  <si>
    <t>Panorama Real Estate Credito Fundo De Investimento Imobiliario (BVMF: PNRC11)</t>
  </si>
  <si>
    <t>Panorama Real Estate Credito Fundo De Investimento Imobiliario operates as a corporate Real Estate Fund. Its objective is to obtain income, through the application of resources corresponding to at least two-thirds of the Fund's Shareholders' Equity in Real Estate, ready or under construction, to obtain income, as well as any rights in rem over the Real Estate, or even by indirect investment in Real Estate, through the acquisition of Real Estate Assets, as well as the capital gain obtained with the purchase and sale of Real Estate or Real Estate Asset.</t>
  </si>
  <si>
    <t>220195-36T</t>
  </si>
  <si>
    <t>Premier Hospital (Healthcare Services)</t>
  </si>
  <si>
    <t>Provider of healthcare services based in Sao Paulo, Brazil. The company specializes in palliative care and rehabilitation, thereby enabling the building a model of comprehensive health care and being a hospital reception space.</t>
  </si>
  <si>
    <t>Premier Soul</t>
  </si>
  <si>
    <t>219886-12T</t>
  </si>
  <si>
    <t>027 Capital</t>
  </si>
  <si>
    <t>Provider of financial services catering to startups, middle market companies and investment funds. The company offers a wide range of services such as fundraising, mergers and acquisitions, valuations, business modeling, debt structuring, business intelligence and analytics, thereby serving its clients with opportunities to guide their decision-making process.</t>
  </si>
  <si>
    <t>JK Capital (Brazil)(Saulo Sturaro)</t>
  </si>
  <si>
    <t>220050-82T</t>
  </si>
  <si>
    <t>Arx Dover Recebiveis (BVMF: ARXD11)</t>
  </si>
  <si>
    <t>Arx Dover Recebiveis Fundo De Investimento Imobiliario operates as a corporate Real Estate Fund. Its objective of the fund is to provide its shareholders with the appreciation and profitability of their shares in the long term.</t>
  </si>
  <si>
    <t>219687-49T</t>
  </si>
  <si>
    <t>BIO</t>
  </si>
  <si>
    <t>Developer of a health technology platform designed to focus on healthcare plans and to deliver sustainable, accessible, and comprehensive healthcare. The company's platform specializes in constant monitoring by analyzing the lines of care to offer a suitable treatment team with round-the-clock availability to track patients continuously, enabling patients to have their family doctor and basic healthcare plans and services always available and accessible.</t>
  </si>
  <si>
    <t>Enterprise Systems (Healthcare)</t>
  </si>
  <si>
    <t>220862-26T</t>
  </si>
  <si>
    <t>4Equity, 4M Holding, Canary (Brazil), Endeavor Promessas, TheVentureCity(Ricardo Sangion)</t>
  </si>
  <si>
    <t>220888-36T</t>
  </si>
  <si>
    <t>Lumx</t>
  </si>
  <si>
    <t>Developer web3-created products designed to help brands to provide experiences that connect the real and the digital world. The company's platform offers brands multiple approaches including helping companies explore business opportunities and define the project scope and strategy, working together to ideate and prioritize solutions, as well as build both artistic and technical aspects of the project, enabling companies with marketing strategy and community-building to get more out of the project's potential.</t>
  </si>
  <si>
    <t>Mynt Crypto Tecnologia</t>
  </si>
  <si>
    <t>220066-66T</t>
  </si>
  <si>
    <t>MCB Services and Minerals</t>
  </si>
  <si>
    <t>Developer of software applications and services catering to geology and mining engineering. The company specializes in software for geology and mining engineering.</t>
  </si>
  <si>
    <t>Sandvik (STO: SAND)</t>
  </si>
  <si>
    <t>223065-91T</t>
  </si>
  <si>
    <t>MedicTalks</t>
  </si>
  <si>
    <t>Developer of healthcare community software designed to help experts share their knowledge. The company's platform allows doctors, nursing technicians, and staff from medical universities and pharmaceutical industries to connect and share their experiences, enabling physicians to update their knowledge easily.</t>
  </si>
  <si>
    <t>232952-86T</t>
  </si>
  <si>
    <t>Snapfi</t>
  </si>
  <si>
    <t>Operator of a financial application platform intended to optimize financial management. The company's platform helps small entrepreneurs in strategic planning, organizing, directing, and controlling financial undertakings in an organization, enabling businesses to ensure long-term enterprise sustainability.</t>
  </si>
  <si>
    <t>227610-10T</t>
  </si>
  <si>
    <t>Locaweb Internet Services (BVMF: LWSA3)</t>
  </si>
  <si>
    <t>Locaweb Servicos de Internet SA is a Brazil-based software company. It offers digital marketing, cloud, and accommodation services such as website hosting, WordPress hosting, domain registration, and email services. The operations of the Company and its subsidiaries are divided into two operating segments: Be Online and SaaS and Commerce. The Be Online and SaaS segment includes hosting and cloud services, as well as those called SaaS (email, marketing intelligence software, and site builder). The Commerce segment includes e-commerce solutions, platforms, marketplace integration, and sub-acquiring business services.</t>
  </si>
  <si>
    <t>General Atlantic(Adam Carnicelli)</t>
  </si>
  <si>
    <t>298176-76T</t>
  </si>
  <si>
    <t>Quiron</t>
  </si>
  <si>
    <t>Developer of fores monitoring platform designed to remotely manage forest areas with precision. The company's platform helps to predict fires, monitor pests, and soil mapping to decrease losses and increase gains with predictive analytics, enabling clients to get all the forest information in real-time and easily combat various threats.</t>
  </si>
  <si>
    <t>MassChallenge(Aaron Zucker)</t>
  </si>
  <si>
    <t>221436-10T</t>
  </si>
  <si>
    <t>DaGrosa Capital Partners(Joseph DaGrosa)</t>
  </si>
  <si>
    <t>220581-01T</t>
  </si>
  <si>
    <t>Contraktor</t>
  </si>
  <si>
    <t>Developer of a documentation platform designed to focus on online contract management. The company's platform provides increased control over documents while reducing costs with the use of digital and electronic signatures, enabling companies to reduce the time taken to finalize contract construction, cloud document firing, and signing.</t>
  </si>
  <si>
    <t>Founder Institute</t>
  </si>
  <si>
    <t>219662-11T</t>
  </si>
  <si>
    <t>CWS Digital</t>
  </si>
  <si>
    <t>Developer of an e-commerce platform intended for B2B and B2C companies to digitize and scale their business models. The company's platform offers in-house agency, customer growth, customer success, catalog scanning, digital strategy, market intelligence, and financial planning services, enabling clients to get connected to goods through digital transformation.</t>
  </si>
  <si>
    <t>André Shinohara(André Shinohara), Helio Matsumoto(Helio Matsumoto), Romero Rodrigues(Romero Rodrigues), Super Capital</t>
  </si>
  <si>
    <t>295335-55T</t>
  </si>
  <si>
    <t>DigiGov</t>
  </si>
  <si>
    <t>Developer of a digital government platform designed to modernize municipal public administration. The company's platform offers tools for streamlining citizen-government interactions, including services for efficient debt management, digital document processing, and public service automation, enabling local governments to improve operational efficiency, enhance transparency, and deliver better services to citizens.</t>
  </si>
  <si>
    <t>223460-20T</t>
  </si>
  <si>
    <t>SRM Ventures(Andre Szapiro), Tremis Capital</t>
  </si>
  <si>
    <t>223057-27T</t>
  </si>
  <si>
    <t>EcoCreator</t>
  </si>
  <si>
    <t>Operator of an ed-tech company intended to offer in educating young people and transform communities. The company offers workshops on robotics, programming, and 3D printing among others to reduce social impacts and make learning engaging and fun, enabling students to develop problem-solving skills, critical thinking, and creativity.</t>
  </si>
  <si>
    <t>Raja Ventures(João Fialho)</t>
  </si>
  <si>
    <t>253632-52T</t>
  </si>
  <si>
    <t>Fami Capital</t>
  </si>
  <si>
    <t>Provider of financial solutions based in Sao Paulo, Brazil. The company focuses on acting with maximum transparency and diligence to build financial familiarity, thereby enabling customers with proper financial services.</t>
  </si>
  <si>
    <t>279070-75T</t>
  </si>
  <si>
    <t>297537-94T</t>
  </si>
  <si>
    <t>Kevi</t>
  </si>
  <si>
    <t>Developer of a CRM (Customer Relationship Management) platform intended for customer experience management. The company's platform integrates marketing automation, AI messaging, loyalty programs, and CRM functionalities, enabling companies to connect data, understand behavior, execute targeted campaigns, and measure the impact of their customer engagement strategies, aiming to foster lasting relationships and improve retention.</t>
  </si>
  <si>
    <t>220088-89T</t>
  </si>
  <si>
    <t>Leef.com</t>
  </si>
  <si>
    <t>Operator of a one-stop-shop intended to provide sustainable products. The company focuses on makeup and skincare products from local natural manufacturers, promoting the democratization of the use of bio cosmetics, enabling consumers to connect with local suppliers.</t>
  </si>
  <si>
    <t>Smart Growth Investments</t>
  </si>
  <si>
    <t>220647-61T</t>
  </si>
  <si>
    <t>Life Mix</t>
  </si>
  <si>
    <t>Producer of nutritional beverages intended to provide healthy beverages. The company's beverages include tea beverages, fruit juices, and beverages with no sweeteners and fillers, enabling customers to get refreshing and tasty drinks while maintaining health.</t>
  </si>
  <si>
    <t>220483-36T</t>
  </si>
  <si>
    <t>Opera Dados</t>
  </si>
  <si>
    <t>Developer of a monitoring device designed to monitor water quality. The company provides high-tech sensor devices on a subscription basis along with dashboard access to monitor and generate reports that can be used by sanitation companies, gas stations, and water table monitoring wells, enabling clients to make the process monitoring automatic and cost-effective.</t>
  </si>
  <si>
    <t>HARDS</t>
  </si>
  <si>
    <t>219883-60T</t>
  </si>
  <si>
    <t>Rede IOA</t>
  </si>
  <si>
    <t>Operator of an education institution chain in the health sector. The company offers a center for learning, scientific research and professional improvement in several dentistry areas and also provides training and postgraduate medical courses, thereby improving conditions for people's global well-being and individual professional development.</t>
  </si>
  <si>
    <t>224493-13T</t>
  </si>
  <si>
    <t>SS Telemática</t>
  </si>
  <si>
    <t>Developer of a logistics platform designed to offer a complete suite of fleet management services. The company's platform offers route control, monitors, generates accurate and real-time information, as well as provides related services and assistance, enabling businesses to efficiently manage their fleets, reduce operating costs and increase the quality of the services provided.</t>
  </si>
  <si>
    <t>Modaxo(Laurent Eskenazi)</t>
  </si>
  <si>
    <t>220001-86T</t>
  </si>
  <si>
    <t>Bel</t>
  </si>
  <si>
    <t>Developer of a real estate platform designed to simplify property search for buyers. The company's platform offers services that analyze all real estate deals available online and eliminates irrelevant, repeated, or incorrect ads, enabling buyers to save time and find properties that best suit their needs.</t>
  </si>
  <si>
    <t>220115-17T</t>
  </si>
  <si>
    <t>Blimboo</t>
  </si>
  <si>
    <t>Developer of a multicurrency sales platform designed to provide online sales services. The company's platform facilitates the automation of digital sales and automatic transfers via the bank account, as well as generating strategies based on each transaction, enabling clients to generate sales revenues and bill customers via different currencies and payment methods.</t>
  </si>
  <si>
    <t>220175-29T</t>
  </si>
  <si>
    <t>Brick Telecom</t>
  </si>
  <si>
    <t>Provider of internet broadband services based in Gaspar, Brazil. The company provides fiber-optic internet and provides access to series, movies, books and magazines.</t>
  </si>
  <si>
    <t>206470-90T</t>
  </si>
  <si>
    <t>Gelnex</t>
  </si>
  <si>
    <t>Producer of gelatin and collagen products intended to serve the global food and pharmaceutical industries. The company specializes in the production of pork, beef gelatin, and collagen peptides, a high-protein product, thereby helping increase the secretion of naturally healthy enzymes to produce and sustain.</t>
  </si>
  <si>
    <t>Darling Ingredients (NYS: DAR)(Randall Stuewe)</t>
  </si>
  <si>
    <t>220115-89T</t>
  </si>
  <si>
    <t>Magikk</t>
  </si>
  <si>
    <t>Operator of a socially responsible marketplace digital currency platform intended to endorse a social currency. The company's platform provides reward donations and volunteer work with digital currency, karma, which can be used to purchase goods and services from partnered companies, enabling companies to be engaged while attracting new customers and people to find the right cause while being rewarded.</t>
  </si>
  <si>
    <t>226692-64T</t>
  </si>
  <si>
    <t>Maple Bear Santos</t>
  </si>
  <si>
    <t>Operation of an educational institution based in Campo Grande, Brazil. The company offers education early toddler, toddler, nursery, junior nursery, senior nursery and year 1.</t>
  </si>
  <si>
    <t>Altstut &amp; Talex MB Educação</t>
  </si>
  <si>
    <t>226269-55T</t>
  </si>
  <si>
    <t>Rio Open</t>
  </si>
  <si>
    <t>Operator of tennis tournaments based in Rio de Janeiro, Brazil. The company offers eight clay courts, a central stadium, several attractions for the public, with stands, shops and a food court, enabling fans to engage in interactive activations, participate in exciting games and even win exclusive gifts.</t>
  </si>
  <si>
    <t>244709-02T</t>
  </si>
  <si>
    <t>3Elos</t>
  </si>
  <si>
    <t>Provider of application security assessment and managed security services catering to the information technology market. The company offers penetration tests, cyber security assessment, digital trace, secure software development consulting, phishing campaigns and review of security policies, thereby offering clients round-the-clock services at a cost-benefit ratio.</t>
  </si>
  <si>
    <t>e-Safer Consultoria</t>
  </si>
  <si>
    <t>227571-13T</t>
  </si>
  <si>
    <t>287936-20T</t>
  </si>
  <si>
    <t>KillB</t>
  </si>
  <si>
    <t>Developer of an application programming interface-enabled global payment platform designed to help users set up their crypto projects with no bureaucracy and paperwork. The company's platform offers a modular application programming interface (API) that gives users access to insured USD bank accounts, multi-user access and permissions and account monitoring and provides the company with tailored solutions and full infrastructure access through an API with access to all the products, enabling clients to access more inclusive financial services and improve their financial condition.</t>
  </si>
  <si>
    <t>219325-24T</t>
  </si>
  <si>
    <t>NextStream (Systems and Information Management)</t>
  </si>
  <si>
    <t>Operator of data centers intended to serve customers looking for solutions from colocation to customized hyperscale projects. The company designs, builds and operates 10 state-of-the-art, energy-efficient data centers across Latin America, thereby meeting the growing demand for space, power, security and connectivity.</t>
  </si>
  <si>
    <t>Actis(Mauricio Giusti)</t>
  </si>
  <si>
    <t>219624-13T</t>
  </si>
  <si>
    <t>4MSTech</t>
  </si>
  <si>
    <t>Provider of Microsoft cloud infrastructure and solutions focused on data, infrastructure, security, and managed services. The company's services include data center migration and modernization, transition to the cloud, cloud security, hybrid work environment, and low-code development</t>
  </si>
  <si>
    <t>Beyondsoft (SHE: 002649)(Christiano Knott)</t>
  </si>
  <si>
    <t>219951-55T</t>
  </si>
  <si>
    <t>Inspectral</t>
  </si>
  <si>
    <t>Developer of geospatial data intelligence platform designed for environmental and water bodies monitoring by integrating satellite and drone images. The company develops data analysis and geospatial intelligence systems using multispectral and hyperspectral images acquired by cameras embedded in drones and satellites, integrated with machine learning algorithms, data science, computer vision, and bio-optical modeling, enabling clients to monitor the environment, agribusiness, and aquatic systems.</t>
  </si>
  <si>
    <t>219131-92T</t>
  </si>
  <si>
    <t>Master Agroindustrial</t>
  </si>
  <si>
    <t>Producer of pork using the most advanced genetic and processing technology catering to domestic consumers reach several countries. The company specializes in protein processing units, feed factories and administrative centers to produce more than 1 million piglets, thereby enabling development guides for the production of quality food, valuing its origin, respecting and recognizing the importance of rural people.</t>
  </si>
  <si>
    <t>Vall Companys Grupo</t>
  </si>
  <si>
    <t>219308-41T</t>
  </si>
  <si>
    <t>Vitamix Nutrição Animal</t>
  </si>
  <si>
    <t>Operator of a premix and minerals company based in Nova Itaberaba, Brazil. The company provides products based on cattle, swine, aves, equines and sheep.</t>
  </si>
  <si>
    <t>Vilomix Holding(Peter Torssell Iversen)</t>
  </si>
  <si>
    <t>219696-67T</t>
  </si>
  <si>
    <t>Gabriel Guimarães(Gabriel Guimarães), geraldo ferrer(geraldo ferrer), Gustavo Caetano(Gustavo Caetano), Gustavo Debs(Gustavo Debs), Marcello Berland(Marcello Berland), Marcelo Sampaio(Marcelo Sampaio), Marco Kehdi(Marco Kehdi), Orla Ventures, Rafael Duton(Rafael Duton), Ricardo Feferbaum(Ricardo Feferbaum), Roberta Antunes(Roberta Antunes)</t>
  </si>
  <si>
    <t>219624-85T</t>
  </si>
  <si>
    <t>Ecossistema Simplifica</t>
  </si>
  <si>
    <t>Provider of technology services intended to connect universities with cutting-edge technology companies. The company offers consulting, mentoring, and continuing education for institution managers, thereby helping to optimize the performance of the higher education institution.</t>
  </si>
  <si>
    <t>Layers (Sao Paulo)(Danilo Yoneshige)</t>
  </si>
  <si>
    <t>219131-56T</t>
  </si>
  <si>
    <t>Armínio Fraga(Armínio Fraga), Daniel Gleizer(Daniel Gleizer), PeopleStrategy Group</t>
  </si>
  <si>
    <t>220284-64T</t>
  </si>
  <si>
    <t>Popsy</t>
  </si>
  <si>
    <t>Operator of a classified online marketplace intended to trade second-hand and refurbished cell phones with a fast and safe approach. The company's platform offers real-time prices and categories to list items such as smartphones, chat instantly with interested buyers, and get offers within minutes, enabling customers to get discounted products without any commissions or transaction fees.</t>
  </si>
  <si>
    <t>FJ Labs, Silence VC</t>
  </si>
  <si>
    <t>219465-91T</t>
  </si>
  <si>
    <t>Safira Holding</t>
  </si>
  <si>
    <t>Safira Holding SA comprises the marketers of electricity. The firm through its subsidiaries engages in trading and consultation with a focus on delivering energy solutions.</t>
  </si>
  <si>
    <t>219298-60T</t>
  </si>
  <si>
    <t>Sanavita</t>
  </si>
  <si>
    <t>Producer of nutritional supplements intended to provide well-being, beauty and pleasure in life for people. The company's products are based on vegetable proteins, rich in fibers, vitamins and minerals for skin, hair, nail, joints, bones and other body parts, enabling its customers to help to take care of themselves and achieve their goals.</t>
  </si>
  <si>
    <t>Farmax (Brazil)(Ronaldo Ribeiro), Vinci Compass Investments (NAS: VINP)(Gabriel Felzenszwalb)</t>
  </si>
  <si>
    <t>251049-79T</t>
  </si>
  <si>
    <t>Troon Capital</t>
  </si>
  <si>
    <t>Provider of investment management and advisory services intended to help individuals and businesses to manage their wealth. The company's services include managing family finances and succession planning, tax complexities, customized investment plans along with analyzing corporate environment, liquidity, cash flow and selecting the investment classes.</t>
  </si>
  <si>
    <t>264125-08T</t>
  </si>
  <si>
    <t>218896-21T</t>
  </si>
  <si>
    <t>Consfly Brasil Gestao De Ativos</t>
  </si>
  <si>
    <t>Operator of an asset management company intended to serve in diverse areas such as fintech, oil and gas, energy and infrastructure, specialized real estate, health care and entertainment in different countries, mainly Europe and Latin America. The company manages venture capital and private equity investments, enabling clients to access resources and critical mass to take advantage of investment opportunities on a global scale.</t>
  </si>
  <si>
    <t>218918-71T</t>
  </si>
  <si>
    <t>Elekeiroz</t>
  </si>
  <si>
    <t>Manufacturer of chemicals and petrochemical products intended to provide a portfolio of solutions for customers in the chemical market. The company offers products including plasticizers, unsaturated polyester resins, oxo-alcohols, industrial utilities and organic anhydrides used in the construction and chemical industry.</t>
  </si>
  <si>
    <t>Oswaldo Cruz Química(Francisco Fortunato)</t>
  </si>
  <si>
    <t>215466-49T</t>
  </si>
  <si>
    <t>Holder+</t>
  </si>
  <si>
    <t>Developer of asset management software intended to help investors and people consolidate all their wealth into a single portfolio. The company's platform utilizes a dataset and tracks your financial goals using the goal-driven Investing methodology, enabling investors and people to save time and automate financial tracking to focus on the decisions efficiently without wasting time with old spreadsheets.</t>
  </si>
  <si>
    <t>218908-27T</t>
  </si>
  <si>
    <t>Honey Island Capital, Terracotta Ventures(Bruno Loreto)</t>
  </si>
  <si>
    <t>234896-59T</t>
  </si>
  <si>
    <t>227610-28T</t>
  </si>
  <si>
    <t>General Atlantic(Aaron Goldman)</t>
  </si>
  <si>
    <t>199061-65T</t>
  </si>
  <si>
    <t>Mecanizou</t>
  </si>
  <si>
    <t>Operator of an online platform intended to drive the digitalization of the automotive aftermarket industry, giving local repair shops access to complementary value-added services and tools. The company's platform offers auto parts sales, financial support, and data intelligence services and centralizes information from the entire supply chain industry, enabling mechanics and car owners to find the correct items and reduce costs and waste from incorrect parts.</t>
  </si>
  <si>
    <t>Alexia Ventures, Dalus Capital, FJ Labs, Monashees, Spectra Investments</t>
  </si>
  <si>
    <t>220182-67T</t>
  </si>
  <si>
    <t>Partner Beneficios</t>
  </si>
  <si>
    <t>Provider of insurance services intended to serve individuals and business clients. The company's services include financial insurance, individual insurance, health insurance, life insurance, and business insurance.</t>
  </si>
  <si>
    <t>Rodobens (BVMF: RBNS11)(Libano Barroso)</t>
  </si>
  <si>
    <t>226398-88T</t>
  </si>
  <si>
    <t>Peca Ai</t>
  </si>
  <si>
    <t>Operator of automotive parts sales platform intended to serve the business to business automotive market. The company's platform include database of automotive parts for buying and selling, enabling retailers and automotive users to find automotive parts for their vehicles.</t>
  </si>
  <si>
    <t>Bosch (Automotive)</t>
  </si>
  <si>
    <t>223122-25T</t>
  </si>
  <si>
    <t>Cedro Capital(Bruno Brito)</t>
  </si>
  <si>
    <t>244444-69T</t>
  </si>
  <si>
    <t>Ventiur, WOW Aceleradora de Startups</t>
  </si>
  <si>
    <t>225102-88T</t>
  </si>
  <si>
    <t>215361-73T</t>
  </si>
  <si>
    <t>Thirky</t>
  </si>
  <si>
    <t>Operator of a digital platform intended to advertise digital menus for bars and restaurants. The company's platform offers existing traffic access to digital menus via QRCode to promote the establishment's menus, enabling brands to advertise more effectively.</t>
  </si>
  <si>
    <t>Gavea Angels, Urca Angels</t>
  </si>
  <si>
    <t>219180-34T</t>
  </si>
  <si>
    <t>Acrotech Sementes e Reflorestamento</t>
  </si>
  <si>
    <t>Developer of agricultural technology based in Viçosa, Brazil. The company's services include bioeconomy, agtech, cloning, genetics, plant breeding, germination, and macaúba.</t>
  </si>
  <si>
    <t>S.oleum</t>
  </si>
  <si>
    <t>211353-49T</t>
  </si>
  <si>
    <t>Agroboard</t>
  </si>
  <si>
    <t>Operator of an agricultural platform intended to manage physical and derivative operations. The company's platform helps to monitor risks and offers services related to ticketing, contracts, derivatives, risk management, natural language processing results analysis, risk audit, and reconciliation of positions, enabling businesses to hedge their risks and improve returns.</t>
  </si>
  <si>
    <t>Rural Ventures (Sao Paulo)(Fernando Rodrigues)</t>
  </si>
  <si>
    <t>219184-48T</t>
  </si>
  <si>
    <t>SMP Semented and Seeded Florestais</t>
  </si>
  <si>
    <t>Producer of agriculture products based in Joao Pinheiro, Brazil. The company specializes in the production of seedlings and other forms of plant propagation.</t>
  </si>
  <si>
    <t>219186-82T</t>
  </si>
  <si>
    <t>Soleá Brasil Óleos Vegetais</t>
  </si>
  <si>
    <t>Producer of food products based in John Pine, Brazil. The company produces oils, flours, brans, almonds and biomass.</t>
  </si>
  <si>
    <t>209327-41T</t>
  </si>
  <si>
    <t>Newave Energia</t>
  </si>
  <si>
    <t>Operator of a renewable energy platform intended to generate electricity. The company's platform accelerates the energy transition by following environmental
control and monitoring programs, enabling clients to choose renewable energy, competitively and without bureaucracy.</t>
  </si>
  <si>
    <t>Metalurgica Gerdau (BVMF: GOAU3), Northwest Capital Management, XP Investimentos (NAS: XP)</t>
  </si>
  <si>
    <t>218417-86T</t>
  </si>
  <si>
    <t>Proesc</t>
  </si>
  <si>
    <t>Operator of an online school management platform intended for financial management. The company's platform optimizes the academic, pedagogical, and financial processes of educational institutions, allowing school administrators to focus on the quality of education, reduce bad debt, and automate the enrollment of students.</t>
  </si>
  <si>
    <t>SQUARE Knowledge Ventures</t>
  </si>
  <si>
    <t>269255-89T</t>
  </si>
  <si>
    <t>244444-78T</t>
  </si>
  <si>
    <t>Movestock</t>
  </si>
  <si>
    <t>Developer of an online marketplace platform designed for connecting buyers and sellers of inventory and surplus assets in industries. The company's platform provides a secure and efficient way for buyers and sellers to connect, with features such as detailed product descriptions, bidding, and shipping integration, enabling businesses to reduce waste and generate revenue by selling their idle, surplus, or obsolete inventory.</t>
  </si>
  <si>
    <t>Anjos do Brasil, Instituto Hélice, Sicredi, Ventiur(Sandro Cortezia)</t>
  </si>
  <si>
    <t>260911-18T</t>
  </si>
  <si>
    <t>Pwit</t>
  </si>
  <si>
    <t>Provider of intended e-commerce solutions to add digital transformation as a resource in the optimization and sustainability of production processes and corporate governance, opening space for best practices, evolution and profitability. The company specializes in providing e-commerce, marketplace, platform, retail, industry, B2B, B2C, budget management, infrastructure and the Internet of Things.</t>
  </si>
  <si>
    <t>Inovage</t>
  </si>
  <si>
    <t>218453-50T</t>
  </si>
  <si>
    <t>ZVS</t>
  </si>
  <si>
    <t>Provider of technology services located in Sao Paulo, Brazil.</t>
  </si>
  <si>
    <t>Zadara(Nelson Nahum)</t>
  </si>
  <si>
    <t>247238-11T</t>
  </si>
  <si>
    <t>Centz (Other Financial Services)</t>
  </si>
  <si>
    <t>Developer of a personal finance assistant application designed to help individuals manage their money more effectively. The company's platform uses artificial intelligence to support budgeting, saving, and investing decisions based on user behavior and financial goals, enabling users to gain better control over their finances and make informed money management choices</t>
  </si>
  <si>
    <t>257934-25T</t>
  </si>
  <si>
    <t>Electy</t>
  </si>
  <si>
    <t>Operator of a renewable energy marketplace intended to connect with cleaner energy generators. The company's platform allows consumers to select preferred renewable energy from various sustainable power plants connected to regional distributors, enabling residential and commercial customers to get green energy with no installation costs and increase savings on electricity bills.</t>
  </si>
  <si>
    <t>Alfa Collab, EquityRio</t>
  </si>
  <si>
    <t>218358-10T</t>
  </si>
  <si>
    <t>Neolit Minerals</t>
  </si>
  <si>
    <t>Operator of mining projects intended to work for strategic minerals. The company uses raw mineral materials for energy and technological transitions to address climate change.</t>
  </si>
  <si>
    <t>Lithium Ionic (TSX: LTH)</t>
  </si>
  <si>
    <t>287775-10T</t>
  </si>
  <si>
    <t>Easy2Tech</t>
  </si>
  <si>
    <t>Operator of a techfin company intended to automate data management in institutions that offer structuring and monitoring of credit operations. The company utilizes artificial intelligence and big data to automate tasks in the financial capital market, including data analysis, credit analysis, report generation and contract management, enabling companies to scale their businesses without expanding their operational structure.</t>
  </si>
  <si>
    <t>287410-78T</t>
  </si>
  <si>
    <t>LoopiPay</t>
  </si>
  <si>
    <t>Developer of an online tokenizer platform intended to convert receivables into secure and accessible digital assets. The company's platform allows users to move cryptocurrency and game-based, metaverse, and DeFi tokens, enabling users to buy, sell, send, and store cryptocurrencies directly through the wallet.</t>
  </si>
  <si>
    <t>216046-54T</t>
  </si>
  <si>
    <t>Automni Logística Robotizada</t>
  </si>
  <si>
    <t>Developer of an artificial intelligence-based robotic system designed to optimize logistics solutions with robots and intelligent systems. The company specializes in developing technologies that make internal material handling operations, from manual to robotic with solutions such as autonomous mobile robots integrating with warehouse management systems and enterprise resource planning, providing clients with more efficient and secured logistical operations.</t>
  </si>
  <si>
    <t>Eduardo Castro-Wright(Eduardo Castro-Wright), Grupo Viaduto(Luis Savoy), MSW Capital(Moises Swirski), Polaris Investimentos, Rock9 Ventures</t>
  </si>
  <si>
    <t>218079-91T</t>
  </si>
  <si>
    <t>MeuChope</t>
  </si>
  <si>
    <t>Developer of sales platform designed for the promotion and growth of craft breweries in a rapidly expanding market. The company's platform offers a marketplace for funding, buying, and selling breweries and offers promoting and democratizing craft breweries to enhance their presence and increase consumer engagement within the craft beer segment, enabling artisan brewers to grow their market and a payment channel.</t>
  </si>
  <si>
    <t>Carlos Gros(Carlos Gros), Júlio Barbosa(Júlio Barbosa), Michael Nicklas(Michael Nicklas), Thiago Rodrigues(Thiago Rodrigues), WP Capital</t>
  </si>
  <si>
    <t>247234-69T</t>
  </si>
  <si>
    <t>QuanticPass</t>
  </si>
  <si>
    <t>Developer of an online identity verification platform designed to combat fraud. The company's platform employs proven effective authentication security mechanisms combined with cognitive technology, offering features such as behavioral biometrics, secure onboarding, and real-time identity verification to address synthetic identity fraud, identity theft, social engineering attacks, and robotic access, enabling digital service providers to enhance user experience and comply with regulatory standards.</t>
  </si>
  <si>
    <t>217975-87T</t>
  </si>
  <si>
    <t>Safeway Consultoria Empresarial</t>
  </si>
  <si>
    <t>Provider of information technology services intended to help its clients secure their network. The company specializes in offering services that include cyber security checks, consulting services, security solutions as a service, network security services and risk management.</t>
  </si>
  <si>
    <t>217797-22T</t>
  </si>
  <si>
    <t>WebMotors</t>
  </si>
  <si>
    <t>Operator of an online platform intended to serve the automotive industry. The company's platform allows customers to easily buy, sell, finance and insure new as well as used cars and motorcycles.</t>
  </si>
  <si>
    <t>Carsales.com (ASX: CAR)(Cameron McIntyre)</t>
  </si>
  <si>
    <t>218002-24T</t>
  </si>
  <si>
    <t>Anna Pegova</t>
  </si>
  <si>
    <t>Manufacturer and provider of cosmetic products and aesthetic treatment services across Sao Paulo, Brazil. The company operates units for treatments and offers beauty services and the sale of products including creams, serums, lipsticks, primers, makeup removers and other beauty products, thereby enabling clients to get all beauty treatments with more comfort.</t>
  </si>
  <si>
    <t>Solum Capital(Donato Ramos)</t>
  </si>
  <si>
    <t>218134-36T</t>
  </si>
  <si>
    <t>Gamers Club</t>
  </si>
  <si>
    <t>OpeOperator of an E-sports platform intended to transform competitive matches of online games into a professional sport. The company's platform provides the complete lifecycle for the eSports enthusiast, from classes/training to professional championships, the platform has everything the aspirant professional gamer needs to train, play and compete, enabling users to get gaming experience and to help them learn and improve the way they play.</t>
  </si>
  <si>
    <t>Siprocal(Mark Yackanich)</t>
  </si>
  <si>
    <t>223658-38T</t>
  </si>
  <si>
    <t>Getnet Adquirencia E Servicos Para Meios De Pagamento</t>
  </si>
  <si>
    <t>Provider of payment solutions based in Sao Paulo, Brazil. The company offers payment solutions to a range of merchants, from large businesses to small entrepreneurs. Its portfolio of products includes physical solutions, such as SuperGet, POS devices, digital solutions and services.</t>
  </si>
  <si>
    <t>218272-87T</t>
  </si>
  <si>
    <t>IMEPAC Itumbiara</t>
  </si>
  <si>
    <t>Provider of educational services focused on the medical industry based in Goiás, Brazil. The company offers on-site graduation, library and specialized educational services.</t>
  </si>
  <si>
    <t>197293-87T</t>
  </si>
  <si>
    <t>Procer (IT Consulting and Outsourcing)</t>
  </si>
  <si>
    <t>Provider of consulting solutions and developer of hardware and software intended to manage the storage of grains. The company's products include a digital thermometer, automated aeration software and a CERES system consisting of electronic equipment and computer software and also accompany the processes in a broadway seeking scientific consulting, thereby helping the clients to keep track of the storage of grains in silos or warehouses.</t>
  </si>
  <si>
    <t>Kepler Weber (BVMF: KEPL3)(Piero Abbondi)</t>
  </si>
  <si>
    <t>219055-42T</t>
  </si>
  <si>
    <t>APTK Spirits</t>
  </si>
  <si>
    <t>Operator of an online spirits marketplace intended to offer blended Italian cocktails to consumers. The company offers handcrafted drinks in small quantities which are ready to drink, enabling customers to get the experience that never ends.</t>
  </si>
  <si>
    <t>Carlos de Moura(Carlos de Moura), Marcello Goncalves(Marcello Goncalves), Ricardo Natale(Ricardo Natale)</t>
  </si>
  <si>
    <t>217232-20T</t>
  </si>
  <si>
    <t>Force Over Mass Capital, NXTP Ventures(Alexander Busse), VentureFriends(Apostolos Apostolakis)</t>
  </si>
  <si>
    <t>217936-09T</t>
  </si>
  <si>
    <t>ConexaoNF-e</t>
  </si>
  <si>
    <t>Developer of ERP and Accounting systems catering to medium, large and small businesses. The company's platform provides complete management of electronic tax documents for different company profiles, thereby enabling businesses to improve tax and accounting processes and other compliance services.</t>
  </si>
  <si>
    <t>Qive(Christian de Cico)</t>
  </si>
  <si>
    <t>254343-70T</t>
  </si>
  <si>
    <t>Scale Up by Endeavor</t>
  </si>
  <si>
    <t>208389-61T</t>
  </si>
  <si>
    <t>Flash Ventures, SRM Ventures(Andre Szapiro)</t>
  </si>
  <si>
    <t>218327-14T</t>
  </si>
  <si>
    <t>Compliasset Software e Soluções Digitais</t>
  </si>
  <si>
    <t>Developer of compliance management software catering to the capital market. The company specializes in compliance, data protection, anti-corruption, training, legal content, humanized support, lgpd and regulatory alerts.</t>
  </si>
  <si>
    <t>Sinqia(Thiago da Rocha)</t>
  </si>
  <si>
    <t>217805-50T</t>
  </si>
  <si>
    <t>Construtora São José</t>
  </si>
  <si>
    <t>Provider of real estate development services based in Sao Paulo, Brazil. The company engages in the construction of residential properties, offices, hotels, shopping centers, and other commercial properties of various kinds, enabling customers to purchase desired properties.</t>
  </si>
  <si>
    <t>Tegra Incorporadora (BVMF: TEGA3)</t>
  </si>
  <si>
    <t>244593-91T</t>
  </si>
  <si>
    <t>EDP - Energias do Brasil</t>
  </si>
  <si>
    <t>Operator of an electric utility company catering to the residential and industrial segments in Sao Paulo, Brazil. The company is engaged in managing energy generation, transmission, distribution and trading assets.</t>
  </si>
  <si>
    <t>EDP Energias de Portugal (LIS: EDP)</t>
  </si>
  <si>
    <t>217191-34T</t>
  </si>
  <si>
    <t>Vale Saúde Sempre</t>
  </si>
  <si>
    <t>Provider of prepaid cards intended to access healthcare with quality and low prices. The company offers cheap prices on consultations and exams, therapies, discounts on medicines, and telemedicine, enabling users' private and quality service networks with affordable prices and savings.</t>
  </si>
  <si>
    <t>Vivo Participaçoes</t>
  </si>
  <si>
    <t>224325-01T</t>
  </si>
  <si>
    <t>AcNext Capital</t>
  </si>
  <si>
    <t>218424-52T</t>
  </si>
  <si>
    <t>Climatempo</t>
  </si>
  <si>
    <t>Provider of premier meteorological services intended to give weather insights. The company specializes in offering media newsletters and customized analyses for various industry sectors as well as provides consultancy services for market segments such as fashion, agriculture, energy, construction, and mining, ensuring main portals and television broadcasters throughout Brazil achieve improved success.</t>
  </si>
  <si>
    <t>Alfa Laval (STO: ALFA)</t>
  </si>
  <si>
    <t>218335-96T</t>
  </si>
  <si>
    <t>Conecta Minas Telecom</t>
  </si>
  <si>
    <t>Provider of internet connection services based in Mariana, Brazil. The company offers residential plans, corporate internet, empresas, interconnection, CMT mining and events, enabling clients with high-speed internet.</t>
  </si>
  <si>
    <t>Valenet(Michele Reis)</t>
  </si>
  <si>
    <t>253904-59T</t>
  </si>
  <si>
    <t>NeoAssist</t>
  </si>
  <si>
    <t>Developer of customer engagement software focused on omnichannel solutions. The company operates through modules that offer a complete omnichannel experience for consumers and operators, fully adapting to the size and business of the company, ensuring optimization of resources and results, better performance and proximity to the customer.</t>
  </si>
  <si>
    <t>216365-41T</t>
  </si>
  <si>
    <t>BIODOC</t>
  </si>
  <si>
    <t>Developer of a facial recognition technology designed to be utilized in security systems and access control for healthcare operators. The company's software employs liveness detection technology to verify that the displayed face is real and alive, enabling healthcare providers to gain access to a platform that ensures the authenticity of the patient, avoids fraud, and improves the efficiency of medical care.</t>
  </si>
  <si>
    <t>7Stars Ventures, FespPart Participações</t>
  </si>
  <si>
    <t>219794-23T</t>
  </si>
  <si>
    <t>BovExo</t>
  </si>
  <si>
    <t>Developer of livestock management software designed for comparing scenarios, making decisions, solving problems, projecting the next steps and even analyzing opportunities. The company's software connects different technologies such as scales, stock exchange, animal supplementation, livestock management systems and SISBOV, enabling cattle man to analyze all variables, compare scenarios and make informed decisions.</t>
  </si>
  <si>
    <t>Rural Ventures (Sao Paulo)</t>
  </si>
  <si>
    <t>241618-33T</t>
  </si>
  <si>
    <t>Comfrio Inteligência em Soluções Logísticas</t>
  </si>
  <si>
    <t>Provider of controlled-temperature logistics services intended to serve the food industry. The company specializes in cold chain warehousing capabilities including frozen, refrigerated and dry storage along with logistics for seed and food service clients.</t>
  </si>
  <si>
    <t>219243-97T</t>
  </si>
  <si>
    <t>Alfa Collab</t>
  </si>
  <si>
    <t>216196-84T</t>
  </si>
  <si>
    <t>FolhaCerta</t>
  </si>
  <si>
    <t>Developer of human resources technology software designed to serve workforce management. The company's platform provides an employee management application that solves all labor routines via cell phone simply and completely, connects managers and employees, and organizes all the information, enabling HR departments to solve all the work routines with smart workflows to provide an information-ready system.</t>
  </si>
  <si>
    <t>Flash(Jan Christian)</t>
  </si>
  <si>
    <t>216482-86T</t>
  </si>
  <si>
    <t>JAI (Database Software)</t>
  </si>
  <si>
    <t>Developer of data cleaning platform intended to transform and unify company databases. The company's platform offers data analysis, product classification, missing values auto-population, and data enrichment, enabling clients to automate and scale transformations with ease and unlock valuable insights for their businesses.</t>
  </si>
  <si>
    <t>NXTP Ventures(Darly Bendo), The Ark Fund</t>
  </si>
  <si>
    <t>219571-21T</t>
  </si>
  <si>
    <t>Media Hero</t>
  </si>
  <si>
    <t>Provider of sales and brand-building services intended to guide and help organizations with their artificial intelligence technology. The company has an algorithm that prescribes where to invest the marketing budget, by media vehicle, medium, format and city along with artificial intelligence, big data and machine learning to optimize results, thereby finding the best investment mix for brand building.</t>
  </si>
  <si>
    <t>Lanx Capital</t>
  </si>
  <si>
    <t>227562-85T</t>
  </si>
  <si>
    <t>Nimbly</t>
  </si>
  <si>
    <t>Developer of a financial management platform designed to save time for finance teams. The company platform automates day-to-day financial tasks like accounts payable and receivable and reduces the time spent on operational activities, enabling financial BPOs (business process outsourcing) to have more capacity to serve clients.</t>
  </si>
  <si>
    <t>Kamino (Sao Paulo)</t>
  </si>
  <si>
    <t>216295-03T</t>
  </si>
  <si>
    <t>Prevision (Business/Productivity Software)</t>
  </si>
  <si>
    <t>Developer of a construction technology platform designed to transform the civil construction market for efficient management of works. The company's platform offers centralized information, visual schedule, EAP flexibility, measurement and analysis, and a detailed dashboard, enabling the clients to generate results and predictability.</t>
  </si>
  <si>
    <t>216457-93T</t>
  </si>
  <si>
    <t>Quick Soft Tecnologia</t>
  </si>
  <si>
    <t>Developer of electronic signature collection, management system and credit analysis platform intended to serve the receivables securitization industry. The company's platform offers services that serve the complete process of prepayment of receivables from companies such as investment funds, securitization companies and factoring, enabling clients to do business making distance and bureaucracy while reducing operating costs.</t>
  </si>
  <si>
    <t>Anacapa Partners, WSC &amp; Company</t>
  </si>
  <si>
    <t>224129-44T</t>
  </si>
  <si>
    <t>Sanii</t>
  </si>
  <si>
    <t>Provider of wellness and fitness services intended to improve health, manage weight, and reduce disease risk. The company offers services that stimulate
memory and other skills so one maintain an active and independent life at any age, enabling customers to maintain an active lifestyle and improve emotional well-being.</t>
  </si>
  <si>
    <t>Green Rock (Brazil), Norte Ventures, Seedstars International Ventures, StaminaVC, Valor Capital Group</t>
  </si>
  <si>
    <t>217747-99T</t>
  </si>
  <si>
    <t>Show Me The Money</t>
  </si>
  <si>
    <t>Developer of a career advisory platform intended for consulting market salaries and strategic career suggestions. The company's platform evaluates current salaries against market standards and insights into potential wage ranges, enabling individuals to assess their market value, explore career opportunities, and make informed decisions about their professional future.</t>
  </si>
  <si>
    <t>Grupo-imagine</t>
  </si>
  <si>
    <t>219146-68T</t>
  </si>
  <si>
    <t>223061-50T</t>
  </si>
  <si>
    <t>Wine</t>
  </si>
  <si>
    <t>Operator of an online wine store intended to offer country liquors. The company offers a wide range of selected wines with subscription plans for wine boxes, enabling consumers to get their beverages in one place.</t>
  </si>
  <si>
    <t>209524-78T</t>
  </si>
  <si>
    <t>BV DTVM</t>
  </si>
  <si>
    <t>Provider of brokerage services based in Sao Paulo, Brazil. The company act as an intermediate for the purchase and sale of shares, futures contracts, options and fixed-income products.</t>
  </si>
  <si>
    <t>Bank Bradesco (BVMF: BBDC3)(Carlos Guilherme)</t>
  </si>
  <si>
    <t>228509-47T</t>
  </si>
  <si>
    <t>Concessionaria Do VLT Carioca</t>
  </si>
  <si>
    <t>Provider of a light rail transportation system intended for efficient and sustainable mobility in urban areas. The company offers an integrated network with frequent schedules and accessible routes, enabling residents and visitors to travel seamlessly.</t>
  </si>
  <si>
    <t>Motiva Infraestrutura de Mobilidade (BVMF: MOTV3)</t>
  </si>
  <si>
    <t>Rail</t>
  </si>
  <si>
    <t>216151-21T</t>
  </si>
  <si>
    <t>J-Teck</t>
  </si>
  <si>
    <t>Developer of management software solutions intended for the sanitation sector. The company specializes in corporate, technology and web solutions for mobile devices including enterprise software development, mobile app development, solutions for the sanitation sector, development of bi solutions and integration of TOTVS and SAP solutions, thereby helping companies with more transparent, efficient and agile with the use of modern and innovative technologies.</t>
  </si>
  <si>
    <t>Veolia Environnement (PAR: VIE)</t>
  </si>
  <si>
    <t>211661-74T</t>
  </si>
  <si>
    <t>Maha Energy Brasil</t>
  </si>
  <si>
    <t>Operator of oil and gas extraction located in Pojuca, Brazil.</t>
  </si>
  <si>
    <t>216355-69T</t>
  </si>
  <si>
    <t>Ōner Travel</t>
  </si>
  <si>
    <t>Developer of tourism software intended to help entrepreneurs in opening a digital travel agency. The company's platform facilitates the selling of air tickets, accommodation, and travel packages facilitate automatic and secure billing, and helps to promote business on social networks, enabling businesses to increase their sales and agents to earn a commission.</t>
  </si>
  <si>
    <t>BeFly(Marcelo Cohen)</t>
  </si>
  <si>
    <t>216126-46T</t>
  </si>
  <si>
    <t>Pulses (Brazil)</t>
  </si>
  <si>
    <t>Developer of human resource platform a decided to revolutionize people analytics applications for HR and leaders. The company's platform offers organizational climate and engagement, employee experience, people analytics and organizational culture reports, enabling companies to receive valuable information and insights about their employees' engagement and experience in real-time.</t>
  </si>
  <si>
    <t>Endeavor Promessas, Gupy(Mariana Dias), Maya Capital (Brazil)(Lara Lemann), Oria Capital(Paulo Caputo), Riverwood Capital(Joe De Pinho), SoftBank Group (TKS: 9984)</t>
  </si>
  <si>
    <t>216171-91T</t>
  </si>
  <si>
    <t>Uniletra Investimentos</t>
  </si>
  <si>
    <t>Provider of investments and other related services based in Vitoria, Brazil.</t>
  </si>
  <si>
    <t>241756-48T</t>
  </si>
  <si>
    <t>233005-87T</t>
  </si>
  <si>
    <t>Cozani RJ Infraestrutura e Rede de Telecomunicações</t>
  </si>
  <si>
    <t>Provider of mobile telecommunications services intended for individual use. The company offers cellular mobile telephony, radiocommunication systems, cellular technology, interconnection to public telecommunications networks and data transmission of voices, data, texts, sounds and images.</t>
  </si>
  <si>
    <t>TIM (Electrical Equipment)</t>
  </si>
  <si>
    <t>216169-75T</t>
  </si>
  <si>
    <t>Sparta Labs</t>
  </si>
  <si>
    <t>Provider of IT applications and digital services intended to connect people and unlock results for companies. The company offers mobile development, web development, user interface design, web platform and interactivity services to clients.</t>
  </si>
  <si>
    <t>More (Human Capital Services)(Leonardo Xavier)</t>
  </si>
  <si>
    <t>219467-35T</t>
  </si>
  <si>
    <t>Aravita</t>
  </si>
  <si>
    <t>Developer of a food inventory management platform designed to help retail operations by optimizing purchase orders and reducing waste. The company's platform offers intelligent forecasting and order recommendations, enabling grocers to maximize profitability, boost sales, and drive performance in fresh food operations while reducing waste and unnecessary costs.</t>
  </si>
  <si>
    <t>17Sigma, Alexia Ventures, Bernardo Lustosa(Bernardo Lustosa), big_bets, Bridge Latam, Bridge One (Warsaw), DGF Investimentos, Flávio Jansen(Flávio Jansen), HiPartners Capital &amp; Work, Norte Ventures, Qualcomm Ventures(Michel Glezer)</t>
  </si>
  <si>
    <t>216413-20T</t>
  </si>
  <si>
    <t>Gaivota</t>
  </si>
  <si>
    <t>Developer of a cloud-based farm mapping software designed to connect and optimize the agribusiness ecosystem. The company's software leverages artificial intelligence technology to provide features like crop identification, analysis of socio-environmental risks, location of storage houses and ports and monitoring of compliance risk and conservation units, enabling clients to get up-to-date and accurate information and create a much more assertive sales plan by guiding their sales team to focus on the right relationships.</t>
  </si>
  <si>
    <t>Seedz Marketing e Fidelidade</t>
  </si>
  <si>
    <t>255246-31T</t>
  </si>
  <si>
    <t>Airborne Ventures(Fernando Steler), Bank Bradesco (BVMF: BBDC3)(Rafael Costa)</t>
  </si>
  <si>
    <t>216170-38T</t>
  </si>
  <si>
    <t>Sulfabras Sulfatos do Brasil</t>
  </si>
  <si>
    <t>Provider of chemical products and technical solutions catering to the environmental sanitation, plant nutrition and animal nutrition industries.</t>
  </si>
  <si>
    <t>TIMAC Agro ()</t>
  </si>
  <si>
    <t>220117-24T</t>
  </si>
  <si>
    <t>215428-87T</t>
  </si>
  <si>
    <t>Financiadora de Estudos e Projetos, Ventiur</t>
  </si>
  <si>
    <t>213129-37T</t>
  </si>
  <si>
    <t>Vicenza</t>
  </si>
  <si>
    <t>Operator of an online platform intended to offer women's footwear. The company's products include boots, sandals, clogs, flats, and party footwear.</t>
  </si>
  <si>
    <t>Azzas 2154 (BVMF: AZZA3)(Alexandre Birman)</t>
  </si>
  <si>
    <t>215661-07T</t>
  </si>
  <si>
    <t>241599-43T</t>
  </si>
  <si>
    <t>LabelPress</t>
  </si>
  <si>
    <t>Manufacturer of flexible packaging and label products located in Manaus, Brazil. The company offers a wide range of products and services, including labels, technical films, laminated films, contractile films, biodegradable bags, raffia bags, pouches and more.</t>
  </si>
  <si>
    <t>All4Labels Group(Adrian Tippenhauer), Triton Partners(Herbert Doleisch)</t>
  </si>
  <si>
    <t>205737-40T</t>
  </si>
  <si>
    <t>Endeavor Catalyst, Fegik Investimentos, Mubadala Investment Company, Spectra Investments, Valor Capital Group</t>
  </si>
  <si>
    <t>213968-44T</t>
  </si>
  <si>
    <t>Persevera Asset Management</t>
  </si>
  <si>
    <t>Provider of asset management services based in Sao Paulo, Brazil. The company offers multi-asset class investment management strategy and other related services.</t>
  </si>
  <si>
    <t>Faros (Media and Information Services (B2B))</t>
  </si>
  <si>
    <t>215531-74T</t>
  </si>
  <si>
    <t>Revalidando</t>
  </si>
  <si>
    <t>Provider of education services intended to revalidate the diploma for medical students. The company offers theoretical mentorship along with practical mentoring and focused classes that are important for exam perspective, thereby enabling the students to bridge the information gap and shape them for their examinations.</t>
  </si>
  <si>
    <t>Academica De Estudious MIR</t>
  </si>
  <si>
    <t>292584-79T</t>
  </si>
  <si>
    <t>SVG Ventures|THRIVE(John Hartnett)</t>
  </si>
  <si>
    <t>216279-55T</t>
  </si>
  <si>
    <t>Hitbel</t>
  </si>
  <si>
    <t>Operator of a music company intended to support the digital careers of music artists and creators. The company helps in the digital distribution of audio, podcast, and video content on digital platforms s well as manages music and video content for monetization and protection of artistic and copyright rights and offers strategic planning for the growth of clients' digital channels.</t>
  </si>
  <si>
    <t>One Big Media(Reinaldo Heleno)</t>
  </si>
  <si>
    <t>215973-64T</t>
  </si>
  <si>
    <t>PaySmart Services</t>
  </si>
  <si>
    <t>Operator of a fintech company intended to serve other companies to provide financial products. The company provides lightweight processing platform for issuing and processing digital cards, payment accounts and app solution, issues prepaid cards as well as managing, generating and validating tokens.</t>
  </si>
  <si>
    <t>Evertec (NYS: EVTC)(Morgan Schuessler)</t>
  </si>
  <si>
    <t>200058-31T</t>
  </si>
  <si>
    <t>Pier Seguradora</t>
  </si>
  <si>
    <t>Developer of an insurance platform designed to focus on motor and smartphone insurance space. The company's platform specializes in smartphone and auto Insurance, offering a seamless and fully digital customer experience, its robust data-driven infrastructure, ensures industry-leading services, including claim payments processed in under one second and a digital onboarding process, SUSEP fully licenses the platform and offers a variety of services and products at affordable prices, enabling clients to get automobile and cell phone-related insurance with less paperwork and enhanced transparency.</t>
  </si>
  <si>
    <t>Spectra Investments, Wayra Brazil</t>
  </si>
  <si>
    <t>292602-97T</t>
  </si>
  <si>
    <t>215812-54T</t>
  </si>
  <si>
    <t>77sol</t>
  </si>
  <si>
    <t>Provider of solar electric power generation services designed to support the adoption and management of photovoltaic energy systems. The company's services include system sizing, product quotation, commercial proposal creation, integrated financing options, and opportunity tracking, enabling solar integrators, installers, engineers, and resellers to develop projects and facilitate access to solar energy technology efficiently.</t>
  </si>
  <si>
    <t>Crescera Capital, EDP - Energias do Brasil</t>
  </si>
  <si>
    <t>215343-82T</t>
  </si>
  <si>
    <t>Mago (Business/Productivity Software)</t>
  </si>
  <si>
    <t>Operator of a materials marketplace intended to facilitate the quotation process for builders. The company's platform mediates the purchase and delivery of construction materials by managing quotation, negotiation, purchase, and delivery, enabling builders to receive competitive prices, deliveries, and differentiated services for their construction material needs.</t>
  </si>
  <si>
    <t>170862-94T</t>
  </si>
  <si>
    <t>PicPay</t>
  </si>
  <si>
    <t>Developer of a payment application designed to accelerate online payment in Brazil. The company's application utilizes a QR code to let users make payments through their mobile phones, enabling users to conduct cashless transactions effortlessly.</t>
  </si>
  <si>
    <t>215104-33T</t>
  </si>
  <si>
    <t>Ambconsult</t>
  </si>
  <si>
    <t>Provider of environmental consultancy services intended for the government and the private sector. The company operates in the preparation of studies, licensing, and environmental monitoring, implementation, optimization, and closure of landfills, diagnosis of surface and underground water, soil, and air contamination, assessment of liabilities, remediation of contaminated areas, risk analysis; implementation of an environmental management system, municipal sanitation plans, complying with the PNRS and the Sanitation Law, ranging from diagnosis to the design of solutions, including economic and financial feasibility studies and proposals for the regulatory framework.</t>
  </si>
  <si>
    <t>Quadrante</t>
  </si>
  <si>
    <t>285708-79T</t>
  </si>
  <si>
    <t>BonifiQ</t>
  </si>
  <si>
    <t>Developer of an e-commerce marketing platform designed to build customer loyalty. The company's platform specializes in creating gamified and personalized loyalty and cashback programs while rewarding customers with exclusive gifts, free shipping, and referral bonuses, enabling businesses to turn their customers into their fans and improve sales.</t>
  </si>
  <si>
    <t>223305-40T</t>
  </si>
  <si>
    <t>Ciapav</t>
  </si>
  <si>
    <t>Provider of veterinary healthcare service intended to provide veterinary analysis and pathology service to pet animals. The company's services include pet clinic analysis and pathology, canine blood bank, sample collection, enabling pet owners to get a wide range of pet healthcare services for their pets.</t>
  </si>
  <si>
    <t>Tecsa Laboratórios</t>
  </si>
  <si>
    <t>215085-25T</t>
  </si>
  <si>
    <t>Finansystech</t>
  </si>
  <si>
    <t>Operator of the open-source technology platform intended to offer secure open finance alternatives. The company's platform offers various services such as consent management, identity security gateway and governance, and precast integrations for core banking, allowing clients and users to get all financial services under one roof with security and confidentiality.</t>
  </si>
  <si>
    <t>241908-22T</t>
  </si>
  <si>
    <t>Gedanken</t>
  </si>
  <si>
    <t>Developer of a risk management platform intended to certify crucial information about customers, suppliers, employees, and partners. The company's platform classifies the risk of the suppliers with the data automatically to speed up the supplier onboarding process, enabling customers with more transparency in the supply chain and allowing them to understand and measure the risks.</t>
  </si>
  <si>
    <t>215058-52T</t>
  </si>
  <si>
    <t>Bossa Invest, Financiadora de Estudos e Projetos</t>
  </si>
  <si>
    <t>216143-74T</t>
  </si>
  <si>
    <t>CyberNet Provedor</t>
  </si>
  <si>
    <t>Provider of internet connection services based in Sao Paulo, Brazil. The company offers internet radio or fiber for residential as well as commercial use.</t>
  </si>
  <si>
    <t>224799-58T</t>
  </si>
  <si>
    <t>Gebana Brasil</t>
  </si>
  <si>
    <t>Producer of organic, non-genetically modified soy, grains and seeds intended to contribute to the sustainability of agriculture in Brazil. The company specializes in the cultivation of wheat, oats and corn in rotation with soybeans, thereby helping farmers improve their family income while transitioning from conventional to organic agriculture, without destroying natural areas.</t>
  </si>
  <si>
    <t>Anders Invest(Saskia Korink)</t>
  </si>
  <si>
    <t>216152-83T</t>
  </si>
  <si>
    <t>Melver</t>
  </si>
  <si>
    <t>Operator of an ed-tech platform based in Florianopolis, Brazil. The company offers preparatory courses for financial mathematics, LinkedIn mastering and financial market certifications.</t>
  </si>
  <si>
    <t>Nelogica Sistemas de Software</t>
  </si>
  <si>
    <t>215282-53T</t>
  </si>
  <si>
    <t>Real Investor (BVMF: RINV11)</t>
  </si>
  <si>
    <t>Real Investor Fundo De Investimento Imobiliario is an asset management company. Its funds include Investment Funds; Real Estate Funds and Pension Funds.</t>
  </si>
  <si>
    <t>215356-42T</t>
  </si>
  <si>
    <t>Sirius (Educational and Training Services)</t>
  </si>
  <si>
    <t>Operator of an educational platform designed to help students with technical development and social and emotional skills. The company offers technical training in artificial intelligence and data science and breaks with the traditional teaching model, turning students into the protagonists of learning through an active methodology, enabling students to develop their soft skills and to connect them with the innovation ecosystem.</t>
  </si>
  <si>
    <t>232992-37T</t>
  </si>
  <si>
    <t>Dinerama</t>
  </si>
  <si>
    <t>Developer a discount and cashback platform designed to offer direct reductions on the price of products or services. The company's platform allows browsing between categories and the offers available, activating them before shopping to guarantee cashback, scanning quick response (QR) codes, and getting rewards on everyday purchases, enabling users to find offers tailored to specific needs.</t>
  </si>
  <si>
    <t>Bridge Latam, Crivo, Nu Holdings (NYS: NU), ThoughtWorks Ventures</t>
  </si>
  <si>
    <t>215079-58T</t>
  </si>
  <si>
    <t>Morphus Information Security</t>
  </si>
  <si>
    <t>Provider of cyber defense and risk management based in Fortaleza, Brazil. The company aims at vulnerability and threat analysis, digital security, cyber protection and danger administration also a provider of cyber security, risk analysis and cyber threat intelligence services.</t>
  </si>
  <si>
    <t>Accenture (NYS: ACN)</t>
  </si>
  <si>
    <t>214824-16T</t>
  </si>
  <si>
    <t>Fábrica Sulfabras</t>
  </si>
  <si>
    <t>Provider of sustainable fertilization solutions for Brazilian farmers. The company specializes in providing fertilizers on diversified crops such as soybeans, cotton, sugar cane or even fruits and vegetables.</t>
  </si>
  <si>
    <t>Timac Agro</t>
  </si>
  <si>
    <t>215839-00T</t>
  </si>
  <si>
    <t>Dattos</t>
  </si>
  <si>
    <t>Developer of a financial platform designed to standardize, control, and optimize reconciliations. The company's platform compares different sources of information, quickly identifies errors in financial controls and reports, and optimizes accounting processes, enabling businesses to easily and accurately handle and cross-check multiple data sources, process large volumes, validate information, and deliver regulatory mechanisms.</t>
  </si>
  <si>
    <t>A.B.Seed Ventures, Gr8 Ventures(Fernanda Gottardi), Igah Ventures, Invest Tech(Viviane Radiuk)</t>
  </si>
  <si>
    <t>234213-76T</t>
  </si>
  <si>
    <t>Fisarmonica</t>
  </si>
  <si>
    <t>Operator of an online learning platform intended to teach music in a practical way. The company's platform offers personalized learning for a variety of courses and lessons to teach accordion, piano, singing, and music theory, enabling students of all levels to learn at their own pace.</t>
  </si>
  <si>
    <t>ACE Ventures (Commercial Services)</t>
  </si>
  <si>
    <t>216145-99T</t>
  </si>
  <si>
    <t>Focus Geracao Barbacena</t>
  </si>
  <si>
    <t>Operator of a hydroelectric power plant based in Barbacena, Brazil.</t>
  </si>
  <si>
    <t>Granha Ligas</t>
  </si>
  <si>
    <t>214795-09T</t>
  </si>
  <si>
    <t>Navita</t>
  </si>
  <si>
    <t>Developer of enterprise mobility management catering to health, retail, finance, education, agriculture, logistics and legal industries. The company's platform offers chip blocking, browser, consumption, notebook, device, information technology and telecom management services.</t>
  </si>
  <si>
    <t>Enghouse Systems (TSE: ENGH)(Stephen Sadler)</t>
  </si>
  <si>
    <t>218988-19T</t>
  </si>
  <si>
    <t>Negra Rosa</t>
  </si>
  <si>
    <t>Retailer of beauty and cosmetics products based across various locations in Brazil. The company sells various beauty products, including face care, skin care, lipsticks, and other related products.</t>
  </si>
  <si>
    <t>214626-34T</t>
  </si>
  <si>
    <t>BX Negócios Inteligentes</t>
  </si>
  <si>
    <t>Developer of a digital platform that acts as a banking correspondent intended to facilitate the process of contracting loans. The company's platform simplifies the process of payroll credit by offering multiple bank information with proposals, alerts on interest rates falling for refinancing, and information about account updates such as the due date and debit balance, enabling borrowers to choose the bank they want to work with.</t>
  </si>
  <si>
    <t>293970-52T</t>
  </si>
  <si>
    <t>Fluminense Football Club</t>
  </si>
  <si>
    <t>Operator of a football club in Rio de Janeiro, Brazil. The company manages the soccer team and all affiliated club activities of the Manchester United Football Club, which includes the media network, foundation, fan zone, news, sports features, and team merchandise.</t>
  </si>
  <si>
    <t>LCP(Carlos Gamboa), Serengeti Asset Management(Joseph LaNasa)</t>
  </si>
  <si>
    <t>216169-12T</t>
  </si>
  <si>
    <t>Lughy</t>
  </si>
  <si>
    <t>Operator of a software development company intended to serve small and medium-sized companies. The company specializes in software development, applications for web and mobile devices, and training, thereby helping users to transform digitally.</t>
  </si>
  <si>
    <t>DB1 Global Software(Ilson Rezende)</t>
  </si>
  <si>
    <t>232949-35T</t>
  </si>
  <si>
    <t>Munchies (Financial Software)</t>
  </si>
  <si>
    <t>Developer of decentralized finance designed to automate financial operations by using digital currency. The company specializes in using the Ethereum blockchain and a set of smart contracts, allowing users to use their crypto tokens as collateral for fiat money through the Brazilian fast payment system, enabling users to collateralize and stabilize debt positions.</t>
  </si>
  <si>
    <t>214473-07T</t>
  </si>
  <si>
    <t>Capitual</t>
  </si>
  <si>
    <t>Developer of a hybrid digital banking platform designed for integrating traditional and digital currencies. The company's platform facilitates multi-currency wallets, instant currency conversion, blockchain integration, and compliance with financial regulations, enabling individuals, businesses, and financial institutions to store, manage, and transfer assets across local and global markets with interoperability between fiat and cryptocurrencies.</t>
  </si>
  <si>
    <t>Azimut Holding (MIL: AZM)(Giorgio Medda)</t>
  </si>
  <si>
    <t>241956-10T</t>
  </si>
  <si>
    <t>Castro Material Escolar e Uniformes</t>
  </si>
  <si>
    <t>Manufacturer of school uniforms based in São Luís, Brazil.</t>
  </si>
  <si>
    <t>Inspira Mudança</t>
  </si>
  <si>
    <t>214747-93T</t>
  </si>
  <si>
    <t>Flowa Technologies</t>
  </si>
  <si>
    <t>Operator of a financial platform intended to offer a multi-broker system of products and services for order execution. The company's platform aims to offer electronic trading which includes a combination of high-speed computing, trade strategy tools, reliability, and accuracy to implement the algorithm strategies and pursue higher returns, providing institutional clients with round-the-clock monitoring services performed by electronic trading specialists.</t>
  </si>
  <si>
    <t>292603-06T</t>
  </si>
  <si>
    <t>286327-09T</t>
  </si>
  <si>
    <t>206246-53T</t>
  </si>
  <si>
    <t>Datastock</t>
  </si>
  <si>
    <t>Developer of vehicle transaction information cloud processing system intended for the automotive, financial and technology markets. The company offers a platform that records the entry and exit of vehicles in stock at stores and dealerships, thereby helping dealers with cost reduction, convenient process and customers registration and transfer of ownership of vehicles across the country.</t>
  </si>
  <si>
    <t>B3(Brazil) (BVMF: B3SA3)</t>
  </si>
  <si>
    <t>216164-08T</t>
  </si>
  <si>
    <t>Qexpert</t>
  </si>
  <si>
    <t>Provider of information technology consulting services specializing in business intelligence and big data. The company offers data analytics, data science and data engineering services, thereby helping clients understand customers and improve internal processes.</t>
  </si>
  <si>
    <t>187717-69T</t>
  </si>
  <si>
    <t>AgroForte</t>
  </si>
  <si>
    <t>Developer of an online personal credit line platform designed to facilitate financial life by promoting financial inclusion in the countryside. The company's platform offers digital credit services without collateral to small farmers through credit analysis based on the data provided by the integrator such as production volume, quality of the batches and debt history which allows assertiveness in offering credit, enabling rural producers to receive a loan at lower interest rates which is deposited directly into their account that they can repay within few months.</t>
  </si>
  <si>
    <t>Arthur O'Keefe(Arthur O'Keefe), Catálise Investimentos, Felipe Moraes(Felipe Moraes), Futurum Capital, Guillermo Arauz(Guillermo Arauz), Kalei Ventures, Muralha Capital, The Yield Lab Latam</t>
  </si>
  <si>
    <t>233030-71T</t>
  </si>
  <si>
    <t>214643-89T</t>
  </si>
  <si>
    <t>Workalove</t>
  </si>
  <si>
    <t>Provider of career development solutions intended to serve educational institutions and students. The company specializes in a streamlined recruitment process with job listings, candidate matching and employer branding solutions, facilitating hiring and career growth opportunities.</t>
  </si>
  <si>
    <t>International Finance (Washington D.C.), Pravaler, Principia Capital Partners, Ribbit Capital, Victoria Capital Partners</t>
  </si>
  <si>
    <t>215235-46T</t>
  </si>
  <si>
    <t>+A Educação</t>
  </si>
  <si>
    <t>Developer of educational software suite committed to transforming learning experiences through technology and content for higher educational institutions. The company specializes in areas of technical, scientific, and professional knowledge focusing on referenced and updated content such as printed books, ebooks, and audiobooks in medicine, psychology, administration, engineering, and architecture for students and professionals, thereby enabling students to learn and grow.</t>
  </si>
  <si>
    <t>295939-90T</t>
  </si>
  <si>
    <t>215943-31T</t>
  </si>
  <si>
    <t>All Integra</t>
  </si>
  <si>
    <t>Developer of a marketplace integration system designed to provide customer analysis to organizations. The company's system offers a user management panel to manage the customers who are using the service with specific contracts for each one, as well as shows performance and usage data, enabling sales, support, and customer success teams to facilitate conversion and prevent cancellations.</t>
  </si>
  <si>
    <t>Sai do Papel(Carlos Junior)</t>
  </si>
  <si>
    <t>295512-31T</t>
  </si>
  <si>
    <t>Ars (Consumer Durables)</t>
  </si>
  <si>
    <t>Operator of an online art marketplace intended to provide artists with the opportunity to showcase their creativity. The company provides a space for artists to demonstrate their skills and creativity in paintings, designs, sculptures, digital art and photography, enabling buyers to purchase art online.</t>
  </si>
  <si>
    <t>216003-88T</t>
  </si>
  <si>
    <t>Arturos</t>
  </si>
  <si>
    <t>Operator of a business management intended to manage financial and accounting indicators, integrated with people management. The company specializes in resolving essential issues such as monitoring goals and results, forecasting and realizing budget by business unit, and crossing data with investments in people by cost center, enabling clients to facilitate their strategic planning on a single platform.</t>
  </si>
  <si>
    <t>Kadmotek</t>
  </si>
  <si>
    <t>215651-80T</t>
  </si>
  <si>
    <t>BAYA Creative Learning</t>
  </si>
  <si>
    <t>Operator of an online educational platform intended to provide transformative learning experiences. The company offers courses that can be integrated into any school's curriculum and offers training and operational support for teachers through hotlines and discussion groups, enabling students with critical thinking, problem-solving, adaptability, creativity, innovation, and collaborative intelligence development courses.</t>
  </si>
  <si>
    <t>215250-22T</t>
  </si>
  <si>
    <t>Beaver</t>
  </si>
  <si>
    <t>Developer of an intelligent document processing software designed to monetize information that is currently lost in unstructured data. The company's software uses artificial intelligence to extract and structure information from documents in a fast and automatic way, giving more speed and efficiency to processes and freeing collaborators to work on tasks that will bring more value to the business, enabling businesses to reduce their response time, increase revenue efficiently and gain market share.</t>
  </si>
  <si>
    <t>Torq (Brazil)</t>
  </si>
  <si>
    <t>295765-39T</t>
  </si>
  <si>
    <t>Biohop</t>
  </si>
  <si>
    <t>Provider of agricultural biotechnology applications intended for enhancing crop productivity. The company's platform offers in vitro plantlets, genetic editing via CRISPR-Cas9, and pathogen elimination services, enabling farmers and agricultural researchers to cultivate quality, disease-free crops tailored to local climates.</t>
  </si>
  <si>
    <t>295985-89T</t>
  </si>
  <si>
    <t>Blocklize</t>
  </si>
  <si>
    <t>Provider of blockchain services intended for the decentralization of the process for the project. The company's platform offers blockchain development, cryptoasset management, NFT collections, decentralized finance tools, metaverse integration, and consultancy services, enabling clients to navigate and implement emerging technologies with expert guidance, comprehensive support, and tailored strategies to facilitate full decentralization and innovation within the evolving digital ecosystem.</t>
  </si>
  <si>
    <t>215669-89T</t>
  </si>
  <si>
    <t>Boletao</t>
  </si>
  <si>
    <t>Operator of a digital platform intended for tracking expenses. The company's platform provides an automatic search of payment tickets, tracks bills, and offers a credit solution for the payment of bank tickets, enabling users to unite all slips into one and on a single monthly date.</t>
  </si>
  <si>
    <t>BMG Uptech</t>
  </si>
  <si>
    <t>215779-96T</t>
  </si>
  <si>
    <t>GVAngels</t>
  </si>
  <si>
    <t>215627-23T</t>
  </si>
  <si>
    <t>Brelo</t>
  </si>
  <si>
    <t>Developer of a digital lending platform designed to provide loans by linking payments with smartphone usage. The company's platform initiates the loan process by making a credit simulation and analysis and approving the loan amount that is disbursed into the customer's linked bank account, enabling users to avail of instant loans from the comfort of their homes.</t>
  </si>
  <si>
    <t>Devas Invest, GVAngels</t>
  </si>
  <si>
    <t>221478-49T</t>
  </si>
  <si>
    <t>Builders Bank</t>
  </si>
  <si>
    <t>Developer of a fintech platform intended for financial services for customers and partners. The company offers digital accounts, Gringotts - multi balance manager, finway and backoffice portal.</t>
  </si>
  <si>
    <t>QI Tech(Marcelo Bentivoglio)</t>
  </si>
  <si>
    <t>215929-27T</t>
  </si>
  <si>
    <t>Bynd</t>
  </si>
  <si>
    <t>Operator of a corporate mobility platform intended to connect passengers with local drivers. The company's on-demand ride-hailing platform connects people from the same trusted network as companies, universities, and other institutions, enabling corporations to improve their business efficiency and employee quality of life.</t>
  </si>
  <si>
    <t>215999-56T</t>
  </si>
  <si>
    <t>Cadê Guincho</t>
  </si>
  <si>
    <t>Operator of an online platform intended to provide on-site car services. The company's platform helps to provide services which include towing service, tire change, battery recharge, dry breakdown assistance, and key fob for opening vehicles, enabling car owners to receive services around the clock.</t>
  </si>
  <si>
    <t>Kadmotek(Gilberto Albuquerque)</t>
  </si>
  <si>
    <t>214845-85T</t>
  </si>
  <si>
    <t>Candura</t>
  </si>
  <si>
    <t>Manufacturer of cleaning products based in Piracicaba, Brazil. The company offers production, development and sale of products in the hygiene and cleaning segment such as bathroom cleaners, kitchen cleaners, pre-wash products, chlorinated product and disinfectants.</t>
  </si>
  <si>
    <t>Raymundo da Fonte</t>
  </si>
  <si>
    <t>295514-11T</t>
  </si>
  <si>
    <t>Central 12</t>
  </si>
  <si>
    <t>Operator of a consumer goods company intended to help consumers choose more sustainable products. The company transforms sustainability initiatives in the production chain and their products into value for their stakeholders, through standardized, accessible, and reliable information, enabling people to get information about the sustainability of products, which needs to be available in a transparent and accessible way to everyone.</t>
  </si>
  <si>
    <t>264109-24T</t>
  </si>
  <si>
    <t>215594-65T</t>
  </si>
  <si>
    <t>Construct</t>
  </si>
  <si>
    <t>Developer of construction software designed to communicate within teams about construction projects. The company's software offers a building-oriented platform that helps centralize and integrate all construction site information under one roof, enabling users to report and resolve day-to-day coordination issues.</t>
  </si>
  <si>
    <t>215638-75T</t>
  </si>
  <si>
    <t>CRDC</t>
  </si>
  <si>
    <t>Operator of a financial market infrastructure platform intended to manage company finance records. The company aims to develop relationships between financial agents such as banks, FIDCs, factoring, fintech, securitizers, ESC, and entrepreneurs who seek credit based on their receivables, providing clients with a formalization of electronic documents, locks the assets, and even monitors their entire life cycle.</t>
  </si>
  <si>
    <t>Alpha Valorem</t>
  </si>
  <si>
    <t>215579-98T</t>
  </si>
  <si>
    <t>Darwin Startups, Ernesto Borges Advogados, Ventiur</t>
  </si>
  <si>
    <t>215745-22T</t>
  </si>
  <si>
    <t>Dataland (Business/Productivity Software)</t>
  </si>
  <si>
    <t>Operator of a data analysis platform intended to improve urban occupations through Data Science. The company's platform transforms the master plan and urban operations into algorithms, by crossing a series of data, generating specific information such as construction restrictions, zoning and listing rules, accessibility through public transport, trade and service activities, vegetation cover, public safety, current and future occupation, enabling investors and developers in the use of urban spaces, favoring sustainable growth.</t>
  </si>
  <si>
    <t>GHT4 Group, Potato Valley Ventures</t>
  </si>
  <si>
    <t>216028-27T</t>
  </si>
  <si>
    <t>RD2 Ventures</t>
  </si>
  <si>
    <t>295925-32T</t>
  </si>
  <si>
    <t>Diarista Fácil</t>
  </si>
  <si>
    <t>Developer of a mobile application designed to connect property managers to a wide network of cleaning professionals. The company's application redefines the experience, offering security, agility, and savings to everyone, and they connect customers to qualified professionals efficiently, simplifying the process and providing peace of mind, enabling people to schedule cleaning in less than a minute.</t>
  </si>
  <si>
    <t>233521-57T</t>
  </si>
  <si>
    <t>DLoja Virtual</t>
  </si>
  <si>
    <t>Operator of a virtual store platform intended to serve small and medium businesses. The company offers tools and resources for developing virtual stores as well as an easy-to-use online store builder integrated with the payment gateways and shipment systems, thereby helping clients with tools and support for them to develop their websites safely.</t>
  </si>
  <si>
    <t>HostGator</t>
  </si>
  <si>
    <t>215825-68T</t>
  </si>
  <si>
    <t>Docato</t>
  </si>
  <si>
    <t>Developer of an automation platform designed to ease the litigation process in companies. The company's platform collects, organizes, and analyzes department data, generates financial results, and organizes dashboards, enabling clients to automate repetitive tasks and target better financial results.</t>
  </si>
  <si>
    <t>295934-86T</t>
  </si>
  <si>
    <t>Dox Market Delivery</t>
  </si>
  <si>
    <t>Provider of grocery delivery services intended to streamline the delivery process. The company offers grocery shopping with convenient home delivery and affordable shipping, enabling clients to access essential items efficiently.</t>
  </si>
  <si>
    <t>215945-83T</t>
  </si>
  <si>
    <t>Drivops</t>
  </si>
  <si>
    <t>Developer of a sales intelligence platform designed to increase the performance of companies through data. The company's platform aims to offer real-time reports and analysis based on any CRM dimension and use historical analysis to understand patterns, enabling businesses to discover patterns and compare sales that are to convert and understand the current sales cycle and increase the forecast.</t>
  </si>
  <si>
    <t>Lighthouse Invest, Ricardo Okino(Ricardo Okino)</t>
  </si>
  <si>
    <t>270190-09T</t>
  </si>
  <si>
    <t>Eating Dots</t>
  </si>
  <si>
    <t>Developer of digital menu platform designed to order and pay built for the hospitality industry. The company's platform features visualization of the personalized menu via QR code, product modifiers and customizations, customizable store URLs, online ordering, sales and performance reports, enabling business to offer an interactive digital menu with direct payment.</t>
  </si>
  <si>
    <t>RME Acelera</t>
  </si>
  <si>
    <t>215615-35T</t>
  </si>
  <si>
    <t>Devas Invest</t>
  </si>
  <si>
    <t>295704-46T</t>
  </si>
  <si>
    <t>Escrita com Ciência</t>
  </si>
  <si>
    <t>Provider of educational solutions intended to enhance the production of scientific texts. The company's goal is to make science easier and more accessible, especially when writing formal texts, and they offer self-instructional courses, mentoring, and business consulting, enabling students to make learning easier and faster.</t>
  </si>
  <si>
    <t>295522-39T</t>
  </si>
  <si>
    <t>Estação Circular</t>
  </si>
  <si>
    <t>Operator a store intended to transform plastic waste into incredible experiences. The company functions as waste reception and processing stations, as well as being spaces for participants to experience the products and services they offer, and they have several station layouts that can involve everything from environmental education actions to on-site waste collection and transformation services, enabling people to raise environmental awareness and encourage the circular economy.</t>
  </si>
  <si>
    <t>215811-01T</t>
  </si>
  <si>
    <t>Valid Ventures</t>
  </si>
  <si>
    <t>215644-96T</t>
  </si>
  <si>
    <t>Evlos</t>
  </si>
  <si>
    <t>Operator of a network-slicing marketplace designed to identify customized systems for market gaps and problems. The company's marketplace provides financial tools for digital banking, bill funds, private banking, and multicurrency banking. Tokenization of liquid and illiquid assets, issuance and crypto wallet, and structuring of operations, enabling businesses to bring scalability to business processes.</t>
  </si>
  <si>
    <t>216028-90T</t>
  </si>
  <si>
    <t>Expgrade</t>
  </si>
  <si>
    <t>Operator of a no-code platform intended to provide cohort-based courses. The company's platform provides a dashboard, tracking facility and access to export data, enabling creators and educators to teach technical courses.</t>
  </si>
  <si>
    <t>295933-69T</t>
  </si>
  <si>
    <t>Faz Agilizar</t>
  </si>
  <si>
    <t>Developer of ERP system for retail and fashion industries designed to offer reliability and humanization. The company offers an integrated suite of services to operational efficiency for clothing wholesalers, digital catlog the allows merchants to streamline sales, connect directly with customers via whatsapp and instagram and eliminates intermediary costs and also helps to simplifies complex business operations, enabling industries to get personalized and humanized technical suppot as per their need.</t>
  </si>
  <si>
    <t>215650-72T</t>
  </si>
  <si>
    <t>FinEdu.Tech</t>
  </si>
  <si>
    <t>Provider of a structured credit platform for the educational segment intended to offer easy access to credit for schools. The company offers credit access with digital contracts, financial management and flexible payment options, enabling educational institutions to forecast their future credit requirements and access credit at reduced costs.</t>
  </si>
  <si>
    <t>Alpha Valorem(Fernando Kalleder)</t>
  </si>
  <si>
    <t>215840-53T</t>
  </si>
  <si>
    <t>Fiscal Cripto</t>
  </si>
  <si>
    <t>Developer of an asset declaration platform designed to avoid fines and blocks. The company's platform helps to calculate the tax amount, upload the DARF files, download the capital gains reports, and prevents the penalties from tax delay, enabling users to manage their crypto assets and track all the profits and losses efficiently.</t>
  </si>
  <si>
    <t>Bossa Invest, Brazil Venture Capital</t>
  </si>
  <si>
    <t>215845-57T</t>
  </si>
  <si>
    <t>Fiscontech</t>
  </si>
  <si>
    <t>Developer of a fintech software intended to make accounting and financials productive and efficient by automating fiscal and tax processes. The company's technology provides automated tasks such as delivery guide and receipt, advanced filter for issues common to several customers, storage, and management of purchase and sales markup language, and analysis of debts, enabling clients to make financial and accounting information search processes productive.</t>
  </si>
  <si>
    <t>215724-34T</t>
  </si>
  <si>
    <t>GoEduca</t>
  </si>
  <si>
    <t>Developer of a digital educational gaming platform designed to increase and measure student performance. The company's platform offers techniques in adaptive learning, machine learning, and theories of learning and behavior, enabling users to learn while having fun and the school receives reports for decision-making.</t>
  </si>
  <si>
    <t>295759-00T</t>
  </si>
  <si>
    <t>Guia Anônima</t>
  </si>
  <si>
    <t>Developer computer and network security platform designed to offer content about information security. The company is currently operating in Stealth mode.</t>
  </si>
  <si>
    <t>215905-06T</t>
  </si>
  <si>
    <t>hiBike</t>
  </si>
  <si>
    <t>Operator of a bicycle hire platform intended to provide different cycles and information regarding global cycling community. The company's platform acts as a payment interface and allows the networking of cyclists globally with credits earned via mileage, bonds, and check-ins whenever the bike is used, enabling cyclists to avail discounts on in-app purchases while remaining fit.</t>
  </si>
  <si>
    <t>Other Transportation</t>
  </si>
  <si>
    <t>215246-53T</t>
  </si>
  <si>
    <t>Hortify</t>
  </si>
  <si>
    <t>Developer of ural property and crop management platform designed to improve agricultural productivity and traceability through centralized monitoring and data organization. The company provides mobile and web-based tools for recording planting, tracking harvests, managing workforce, registering georeferenced areas, and maintaining food traceability in compliance with national regulations, enabling clients to organize operations, monitor performance, and control financial outcomes.</t>
  </si>
  <si>
    <t>216121-69T</t>
  </si>
  <si>
    <t>Caravela Capital, Darwin Startups, Prana Capital, Verve Capital</t>
  </si>
  <si>
    <t>215270-83T</t>
  </si>
  <si>
    <t>Hyperbox</t>
  </si>
  <si>
    <t>Operator of a games arcade network intended to deliver virtual reality experiences for audiences of all ages. The company's immersive hardware, modular and compact boxes and mix of various games attract various gaming fans, enabling clients to access virtual reality games and gaming experiences at affordable prices.</t>
  </si>
  <si>
    <t>Tapps Ventures</t>
  </si>
  <si>
    <t>244071-10T</t>
  </si>
  <si>
    <t>215548-03T</t>
  </si>
  <si>
    <t>iBotz</t>
  </si>
  <si>
    <t>Developer of customized automation software designed to automate processes and reduce manual errors in financial processes. The company's software helps in managing the flow of trades, automatically reconciling the custody of financial assets, assisting in the management of guarantee margin and standardizing financial statements, enabling businesses to automate their processes and reducing costs, time, and errors in the manual process to improve efficiency.</t>
  </si>
  <si>
    <t>215827-66T</t>
  </si>
  <si>
    <t>ICA Bank</t>
  </si>
  <si>
    <t>Operator of a digital bank intended to offer discounts, cash back, and telemedicine services to customers. The company provides payroll payment and cash back for corporate accounts, enabling customers to have benefits designed for fair rates, investments, and practicality while improving local economic development and generating tax revenue for municipalities.</t>
  </si>
  <si>
    <t>268646-23T</t>
  </si>
  <si>
    <t>Ideagri</t>
  </si>
  <si>
    <t>Developer of financial and zootechnical management software for agricultural dairy and beef farms. The company's software helps in cash flow management, budget planning, inventory control and animal production management, enabling clients to receive benchmarking and analysis of performance about the market.</t>
  </si>
  <si>
    <t>Rúmina</t>
  </si>
  <si>
    <t>215510-95T</t>
  </si>
  <si>
    <t>Incentiv</t>
  </si>
  <si>
    <t>Operator of a tax innovation system intended to promote social development by making incentive projects feasible. The company's platform connects the ecosystem of tax incentive laws, offering a complete connection, transparency, and engagement alternative for sponsors and proponents, enabling clients to complete incentive projects, which can be accessed by all.</t>
  </si>
  <si>
    <t>Alex Costa e Silva(Alex Costa e Silva), Alfa Collab, BR Angels, Cacao.Farm, Fifty 5, Marcello Hazan(Marcello Hazan), Polaris Investimentos, Rock9 Ventures</t>
  </si>
  <si>
    <t>295737-13T</t>
  </si>
  <si>
    <t>InSpace (Software Development Applications)</t>
  </si>
  <si>
    <t>Developer of AI tools designed to streamline operations and prevent quality failures that pose risks to people, operations and production. The company's tools monitor the proactive protection of employees in industries, ensures the protection of workers, control access and monitor the presence of people in risk areas, highly integrable with different infrastructures, enabling businesses to get quality tools for intelligent monitoring and proactive risk management in industries.</t>
  </si>
  <si>
    <t>215535-25T</t>
  </si>
  <si>
    <t>Jovens Genios</t>
  </si>
  <si>
    <t>Developer of an educational platform designed to provide digital learning resources for schools. The company's platform offers machine learning algorithms, to identify the main needs of the student and personalize the learning, recommending important activities, enabling parents to facilitate the monitoring of their child's educational development and provide adequate guidance.</t>
  </si>
  <si>
    <t>Criabiz Ventures, Rock9 Ventures</t>
  </si>
  <si>
    <t>291990-88T</t>
  </si>
  <si>
    <t>Kolek</t>
  </si>
  <si>
    <t>Developer of a financial automation platform designed to streamline accounts receivable, accounts payable, and cash flow management for businesses.
The company's platform offers automated collections via WhatsApp and email, real-time integrations with banks, and multi-method payment support, enabling finance teams in small to medium-sized businesses to reduce manual work, improve payment timeliness, and focus on strategic growth.</t>
  </si>
  <si>
    <t>215340-76T</t>
  </si>
  <si>
    <t>Kriativar</t>
  </si>
  <si>
    <t>Operator of an online learning platform intended to promote creative learning through the use of immersive technologies. The company's platform facilitates the creation and sharing of content by students, exercising the skills of writing, reading, and drawing through playful and innovative activities, enabling customers to learn in an engaging, immersive, and ingenious way.</t>
  </si>
  <si>
    <t>215959-69T</t>
  </si>
  <si>
    <t>Lamego</t>
  </si>
  <si>
    <t>Developer of a digital marketing platform intended to transform people and ideas into good opportunities. The company's platform utilizes strategy, monitoring, and affordable pricing to offer inbound marketing, traffic management, web, marketing, and design solutions, enabling companies, agencies, and professionals with results, scalability, and financial and geographic freedom.</t>
  </si>
  <si>
    <t>298509-40T</t>
  </si>
  <si>
    <t>LogBank</t>
  </si>
  <si>
    <t>Provider of electronic payment service in Sao Paulo, Brazil. The company offers payment arrangements, digital accounts, payment machines, credit, debit cards and develops the White Label model for services in partnership with companies that already have an established financial ecosystem, enabling firms to increase their profitability through a fully digital interface at every stage.</t>
  </si>
  <si>
    <t>CPV Investments</t>
  </si>
  <si>
    <t>215857-36T</t>
  </si>
  <si>
    <t>Mais Controle</t>
  </si>
  <si>
    <t>Developer of a civil construction software platform designed to optimize construction management. The company's platform keeps track of financials such as cash flows, receipts, and payments and does the integration and readjustment of purchase and sales orders, enabling clients to ease the decision-making process and take control of their results and challenges.</t>
  </si>
  <si>
    <t>Airtable, Bossa Invest</t>
  </si>
  <si>
    <t>295797-43T</t>
  </si>
  <si>
    <t>Malu Market</t>
  </si>
  <si>
    <t>Operator of a convenience store intended to provide comfort to customers by offering a self-service facility. The company develops an application with which customers can choose the products they want to purchase and make payments, offers all-day operations, fast and weekly replacement, has a sanitized environment and promotes sustainability and economy, enabling customers to purchase products as per their convenience.</t>
  </si>
  <si>
    <t>General Merchandise Stores</t>
  </si>
  <si>
    <t>215497-63T</t>
  </si>
  <si>
    <t>ManejeBem</t>
  </si>
  <si>
    <t>Operator of an agricultural technical assistance platform intended to structure rural production systems with a focus on industry, governments, and organizations. The company's platform captures data from the field for the planning of actions and monitoring of impacts related to sustainability to democratize access to agribusiness services, enabling family farmers to connect with technicians and increase production.</t>
  </si>
  <si>
    <t>Agro Ven</t>
  </si>
  <si>
    <t>215847-64T</t>
  </si>
  <si>
    <t>Mediar360</t>
  </si>
  <si>
    <t>Operator of a conflict management platform intended to provide sustainable services to corporates and companies. The company offers a creative and sustainable way out through training programs and services focused on improving the relationship chain established among employees, clients, suppliers, and many other groups that relate to the company in their everyday activities, helping companies and businesses improve their overall performance and to preserve the company's network of relationships and avoid costly lawsuits.</t>
  </si>
  <si>
    <t>215610-04T</t>
  </si>
  <si>
    <t>MeEntrega</t>
  </si>
  <si>
    <t>Developer of a delivery application designed to provide essentials at the doorstep. The company's platform offers technology that helps consumers with daily-use items like snacks, groceries, pharmacies, agro-pet, and other essentials, enabling consumers to order necessities in less time with minimal effort.</t>
  </si>
  <si>
    <t>215839-81T</t>
  </si>
  <si>
    <t>MinTech (Business/Productivity Software)</t>
  </si>
  <si>
    <t>Provider of big data and credit scoring services intended to facilitate data collection through a disruptive algorithm structure. The company collects mobile data and obtains a complete picture of a person's behavioral performance and generates insights by increasing the scope and assertiveness of user operations, enabling clients to make assertive and informed business decisions.</t>
  </si>
  <si>
    <t>265637-17T</t>
  </si>
  <si>
    <t>Mobiler</t>
  </si>
  <si>
    <t>Operator of IT consultancy agency intended to bring technology to cities where large applications have not reached yet. The company platform includes application development, technical support, business marketing consulting services, and ready mobility, and delivery systems, enabling small, medium, and large businesses to change, transform, personalize ideas, and make them a reality.</t>
  </si>
  <si>
    <t>215634-61T</t>
  </si>
  <si>
    <t>Mutual (Financial services)</t>
  </si>
  <si>
    <t>Developer of a peer-to-peer lending platform designed to reduce the need to treat banks as an intermediary. The company's platform connects those who need a loan with those who want to profit from diversified investments, enabling the borrower to get a loan in an uncomplicated way and without abusive fees, whereas the investor gets a profit above market return.</t>
  </si>
  <si>
    <t>208936-09T</t>
  </si>
  <si>
    <t>NEOgas</t>
  </si>
  <si>
    <t>Distributor of compressed natural gas intended for industries, gas stations, or other distribution facilities. The company specializes in transportation, advice, monitoring, and control in the delivery of natural gas, enabling clients with high productivity and low operating costs through machine maintenance and process efficiency.</t>
  </si>
  <si>
    <t>Ultrapar Participacoes (BVMF: UGPA3)(Rodrigo Pizzinatto)</t>
  </si>
  <si>
    <t>215555-05T</t>
  </si>
  <si>
    <t>Netspaces</t>
  </si>
  <si>
    <t>Operator of real estate technology intended to digitize property ownership and enable instant purchase and sale between platform users, in full or in fractions. The company helps in the creation, transaction, and management of digital properties by combining the efficiency of digital and the security of blockchain technology, enabling users to democratize access to private property.</t>
  </si>
  <si>
    <t>215722-99T</t>
  </si>
  <si>
    <t>NetWord Agro</t>
  </si>
  <si>
    <t>Developer of a soil and crop monitoring system designed to help farmers identify the damage to their plantation before it happens. The company's system helps to prevent infestations of pests, diseases, and weeds and also reduces costs by spraying pesticides only in a specified area, enabling farmers to easily record all the information concerning their farms, which will help in making the right decisions to maximize yield.</t>
  </si>
  <si>
    <t>Sai do Papel</t>
  </si>
  <si>
    <t>295500-79T</t>
  </si>
  <si>
    <t>OpenDigital</t>
  </si>
  <si>
    <t>Operator of an IT consultancy company intended to offer technological services to its clients. The company offers tailored and customized solutions by prioritizing data security, cybersecurity compliance to protect customer information, enabling its clients to digitalize their operations while providing a smooth business transition.</t>
  </si>
  <si>
    <t>295926-04T</t>
  </si>
  <si>
    <t>Orca App (Business/Productivity Software)</t>
  </si>
  <si>
    <t>Developer of an online budgeting system designed to create professional-quality quotes quickly and easily. The company system helps to create quotes and customize them to the company's style, add items and details about the product and service, register or import the products or services and create future quotes, enabling businesses to send quotes by email and budget PDF, thus increasing productivity and efficiency.</t>
  </si>
  <si>
    <t>215644-87T</t>
  </si>
  <si>
    <t>Ponto Fácil</t>
  </si>
  <si>
    <t>Operator of fintech franchise of public and private sector intended to offer digital services in one place. The company platform provides services like scheduling tasks, document emissions, a copy of accounts, and debt management through transformative business models, enabling companies to promote financial and digital inclusion.</t>
  </si>
  <si>
    <t>219785-23T</t>
  </si>
  <si>
    <t>Profiz</t>
  </si>
  <si>
    <t>Operator of a service provider platform intended to connect businesses with opportunities and professional development. The company focuses on service providers in the area of air conditioning, refrigeration and solar energy, thereby helping with budgets, generating service orders, consulting manuals and error codes and making appointments with customers.</t>
  </si>
  <si>
    <t>Refrigello Climatização de Ambientes, Wstore Tecnologia</t>
  </si>
  <si>
    <t>216007-84T</t>
  </si>
  <si>
    <t>Rispar</t>
  </si>
  <si>
    <t>Developer of the digital platform intends to offer credit in reais using cryptocurrencies as collateral. The company provides personal credit with low rates, speed in credit analysis, high-security custody, and transparency, and aims to reshape the credit market through blockchain technology.</t>
  </si>
  <si>
    <t>QR Capital</t>
  </si>
  <si>
    <t>215631-37T</t>
  </si>
  <si>
    <t>RWS Retail</t>
  </si>
  <si>
    <t>Developer of retail merchandising products intended to enhance customer experiences through effective design and packaging. The company's platform offers comprehensive services, including product development, packaging design, and logistics management, enabling businesses in the retail sector to improve operational efficiency and achieve cost-effective production while maintaining high standards of quality and sustainability.</t>
  </si>
  <si>
    <t>215639-38T</t>
  </si>
  <si>
    <t>SDR Virtual</t>
  </si>
  <si>
    <t>Developer of conversational AI platform designed for sales and customer engagement purposes. The company's platform uses natural language processing to interact with potential clients and understand their needs through automated personalized, communication, enabling businesses to qualify leads, reduce operational costs, and enhance customer interactions.</t>
  </si>
  <si>
    <t>215728-84T</t>
  </si>
  <si>
    <t>Seabra</t>
  </si>
  <si>
    <t>Provider of innovative technological system intended to optimize tasks in engineering projects. The company's platform specializes in plugins for Autocad and Civil and road signage projects to automate several repetitive tasks when it comes to designing the project, in addition to taking the entire quantity automatically, enabling businesses to develop plug-in compatible systems that make their signage projects faster, without having to abandon the CAD or BIM platform they already use.</t>
  </si>
  <si>
    <t>216022-87T</t>
  </si>
  <si>
    <t>Shipay</t>
  </si>
  <si>
    <t>Developer of a payment platform intended to facilitate digital payments. The company's platform develops the relationship of consumers and merchants with QR code payments its system integrates pix and the main digital wallets available on the market through connection to the store's cashier system e-commerce and in a simple way, enabling clients to integrate a hub of the main digital payment wallets into the cash register system.</t>
  </si>
  <si>
    <t>215836-48T</t>
  </si>
  <si>
    <t>Slice (Financial Software)</t>
  </si>
  <si>
    <t>Developer of financial software designed for cash movement and payment process. The company's software is for the movement of money, controlling the settlement schedule and creating new revenue from financial products, applying a flexible business model, conciliation, and post-transactional split, enabling clients to have accessible alternatives for the payment process and grow the business.</t>
  </si>
  <si>
    <t>216038-98T</t>
  </si>
  <si>
    <t>Tasty Salad Shop</t>
  </si>
  <si>
    <t>Operator of a chain of restaurants intended to simplify healthy eating. The company offers multiple soups under the budget cooked using various kinds of wholesome ingredients and serving salads as a main course with tasty and quick recipes, providing customers with a wide variety of food and salads, along with catering and franchising options.</t>
  </si>
  <si>
    <t>215842-51T</t>
  </si>
  <si>
    <t>Teddy Open Finance</t>
  </si>
  <si>
    <t>Operator of a financial technology company intended to provide open finance systems for autonomous bankers, correspondents, and investment firms. The company's platform connects large financial institutions with customers in the corporate, middle, and companies segments, to self-employed bankers, enabling clients to distribute products and services from various financial institutions and have greater earning power and allowing the communication and contracting of financial products and solutions in an agile, reliable and confidential manner.</t>
  </si>
  <si>
    <t>215808-04T</t>
  </si>
  <si>
    <t>Teva Indices</t>
  </si>
  <si>
    <t>Developer of a financial platform designed to offer a reliable digital platform for indexed investments. The company's platform is based on mathematical and statistical models combined with an accurate analysis of investments that leads to creating the basis of taking advantage of passive management in the construction of portfolios, enabling clients to align values and purposes with investment decisions for accurate, replicable, and market-appropriate indices.</t>
  </si>
  <si>
    <t>Honey Island Capital, Investe Favela, Lupa Capital, Quartz (Brazil)</t>
  </si>
  <si>
    <t>215836-57T</t>
  </si>
  <si>
    <t>TGarante</t>
  </si>
  <si>
    <t>Operator of a digital real estate agency intended to sell and rent real estate properties. The company helps owners sell their properties at a minimal commission fee and also guarantees the homeowners on behalf of the tenants, allowing users to deal in real estate easily on the online platform and book their visits.</t>
  </si>
  <si>
    <t>215637-76T</t>
  </si>
  <si>
    <t>The Question Mark</t>
  </si>
  <si>
    <t>Operator of a plant-based food company intended to revolutionize personalized nutrition. The company offers curated organic food boxes through a subscription model using proprietary formulas and technologies to make healthy food a part of the regular diet, enabling customers to avail themselves of organic and nutritious food products and beverages.</t>
  </si>
  <si>
    <t>295768-63T</t>
  </si>
  <si>
    <t>tiadoidioma</t>
  </si>
  <si>
    <t>Operator of a digital learning platform intended for language acquisition. The company's platform offers structured lessons, interactive exercises, and personalized feedback systems, enabling learners to improve communication skills through progression-based modules that include multimedia content, self-paced tasks, and adaptive learning paths tailored to individual learning styles and goals.</t>
  </si>
  <si>
    <t>262836-19T</t>
  </si>
  <si>
    <t>Tripee</t>
  </si>
  <si>
    <t>Developer of a business-to-business (B2B) platform intended to improve taxi and private transport expenses. The company's platform provides multimodal mobility management services for employee transportation and offers features like custom reports, and expense reconciliation management, enabling businesses to manage the transport of their employees.</t>
  </si>
  <si>
    <t>295710-76T</t>
  </si>
  <si>
    <t>Tunero</t>
  </si>
  <si>
    <t>Operator of an exclusive club intended for car lovers. The company's mission is to transform automotive passion into innovative and fun experiences, in an environment where businesses grow, partnerships are formed, and innovation accelerates the future of the automotive sector, enabling people to be part of automotive innovation and entertainment.</t>
  </si>
  <si>
    <t>215623-27T</t>
  </si>
  <si>
    <t>ARC Capital (Brazil), Devas Invest</t>
  </si>
  <si>
    <t>216126-82T</t>
  </si>
  <si>
    <t>Ublink</t>
  </si>
  <si>
    <t>Operator of a real estate platform intended to buy, sell, or rent a property at ease. The company's platform offers to rent a property without a guarantor, gives the guarantee of receiving rent on time, and even sells and buys options without any hassle, enabling clients to simplify bureaucratic processes, with transparency, without false promises, security, and innovation in the real estate industry.</t>
  </si>
  <si>
    <t>Potato Valley Ventures</t>
  </si>
  <si>
    <t>295721-02T</t>
  </si>
  <si>
    <t>Venx Tecnologia</t>
  </si>
  <si>
    <t>Developer of a management platform designed to control clinic's management system that simplifies processes and reduces costs. The company's platform offers customized systems and entrepreneurial education, helps companies of all sizes and segments to achieve assertive sales, service and financial performance, personalized service and commitment to the success of the business, enabling clinics to get an effective solution to manage their administration system.</t>
  </si>
  <si>
    <t>215322-67T</t>
  </si>
  <si>
    <t>Virtual Town</t>
  </si>
  <si>
    <t>Developer of a digital metaverse platform designed for immersive and social content management for brands. The company's platform specializes in designing, developing, and producing virtual reality and augmented reality applications and mixed reality glasses for enterprise and retail brands, brands to host events, shopping or training spaces, enabling clients to create social 3D worlds for their businesses.</t>
  </si>
  <si>
    <t>215945-74T</t>
  </si>
  <si>
    <t>Vivadí</t>
  </si>
  <si>
    <t>Developer of education platform designed to enhance the soft skills of learners. The company's platform offers video experiences, continuous assessments, and hybrid learning methodologies to enhance socio-emotional competencies, communication skills, and study habits, enabling students to thrive in a rapidly evolving educational landscape.</t>
  </si>
  <si>
    <t>295736-32T</t>
  </si>
  <si>
    <t>Vou Pra Lá</t>
  </si>
  <si>
    <t>Operator of a travel tech company intended to make group travel easier for people. The company provides a highly technological and at the same time humanized environment, and they offer fully personalized travel packages according to each profile, enabling people to enjoy their life and get to know different places and meet new people.</t>
  </si>
  <si>
    <t>215623-63T</t>
  </si>
  <si>
    <t>Wellon</t>
  </si>
  <si>
    <t>Developer of a customer relationship platform designed to automate communication and streamline processes for businesses, while delivering market intelligence. The company's platform provides features such as satisfaction surveys, appointment confirmations, loyalty campaigns, and customized messaging triggers, enabling hospitals, clinics, vehicle dealers, exam laboratories, optics, aesthetic centers, vaccine institutes, pet clinics, and gyms to save time and resources while improving customer satisfaction and engagement.</t>
  </si>
  <si>
    <t>Brazil Venture Capital, StaminaVC</t>
  </si>
  <si>
    <t>215680-96T</t>
  </si>
  <si>
    <t>YouPay</t>
  </si>
  <si>
    <t>Developer of financial software designed to automate, accelerate, and plan the school's growth strategy. The company's platform offers an easy and automatic way to relate with customers through messaging, and flexibility to pay anywhere by using the application, enabling schools and clients to automate management, and payment safely, and improve their strategy.</t>
  </si>
  <si>
    <t>DOMO.VC, Silver Angels (Angel Group)</t>
  </si>
  <si>
    <t>224642-80T</t>
  </si>
  <si>
    <t>Basemaker</t>
  </si>
  <si>
    <t>Developer of a digital marketing platform intended to help businesses reach their target audiences through hyper-targeted influencer marketing campaigns. The company's platform offers a variety of features, including audience segmentation, campaign management, and reporting, enabling businesses to measure the ROI of their influencer marketing campaigns.</t>
  </si>
  <si>
    <t>224642-44T</t>
  </si>
  <si>
    <t>Guardadoria</t>
  </si>
  <si>
    <t>Developer of a succession planning platform designed to avoid family conflicts and unnecessary costs in the progression of assets. The company's platform is focused on organizing their inheritance, asset and legacy planning, and more, helping customers to minimize suffering, avoid bureaucracy, and reduce expenses.</t>
  </si>
  <si>
    <t>241374-52T</t>
  </si>
  <si>
    <t>Investtools</t>
  </si>
  <si>
    <t>Operator of a fintech company intended to develop technological tools for the financial industry. The company offers a cloud-based platform for investment fund management, payment and income tax return calculation for the stock exchange along with relationship management, enabling customers to increase investment transparency.</t>
  </si>
  <si>
    <t>UNICEF Venture Fund</t>
  </si>
  <si>
    <t>191280-52T</t>
  </si>
  <si>
    <t>Abhijeeth Ramesh(Abhijeeth Ramesh), Caravela Capital, Collaborative Fund, Firstminute Capital, Gfc, Hamish Shephard(Hamish Shephard), Latitud, Matias Muchnick(Matias Muchnick), Maya Capital (Brazil), Pareto Holdings(Edward Lando), South Ventures, Tiago Dalvi(Tiago Dalvi), Valor Equity Partners</t>
  </si>
  <si>
    <t>218343-07T</t>
  </si>
  <si>
    <t>MyPharma Tecnologia</t>
  </si>
  <si>
    <t>Developer of applications and an automated website based in Sao Paulo, Brazil. The company specializes in providing a virtual store platform for drugstores, pharmacies, pet shops, perfumery, and supplementation stores.</t>
  </si>
  <si>
    <t>Grupo SC(Rodrigo Souza)</t>
  </si>
  <si>
    <t>215520-04T</t>
  </si>
  <si>
    <t>Rhevolut</t>
  </si>
  <si>
    <t>Operator of a recruitment platform intended to provide sophisticated job-seeking, career, and talent management alternatives. The company's platform specializes in providing human resources services that can match talents with suitable vacancies, it does not select candidates using keywords and bias-laden processes, enabling job seekers to find relevant jobs and employers to find relevant profiles of candidates.</t>
  </si>
  <si>
    <t>224644-42T</t>
  </si>
  <si>
    <t>Snout</t>
  </si>
  <si>
    <t>Operator of a veterinary care platform intended to provide personalized care for pets. The company's platform manages pet information, including digitized veterinary records, medication management, nutrition, curated products, and services, and conducts health, nutrition, and behavior programs, allowing pet owners to focus on their pet's health simply and affordably.</t>
  </si>
  <si>
    <t>224644-69T</t>
  </si>
  <si>
    <t>Straloo</t>
  </si>
  <si>
    <t>Developer of a digital orthopedic-focused application intended to provide patients with rehabilitation plans to be done from their homes. The company's application facilitates clients with initial health checkups, educating the patients and providing them with a custom rehabilitation plan to be followed from home, allowing patients to take care, recover, and rehabilitate at their homes.</t>
  </si>
  <si>
    <t>216409-06T</t>
  </si>
  <si>
    <t>Verum Store</t>
  </si>
  <si>
    <t>Developer of a productivity consulting platform intended for digital commerce enterprises. The company, through its platform, provides strategic consulting, financial reconciliation, catalog management, marketplace out and in and logistics management, providing enterprises with centralization in digital operations and agility in decision-making.</t>
  </si>
  <si>
    <t>Cantu(Julierme Arrais), L Catterton(Julio Babecki)</t>
  </si>
  <si>
    <t>214107-31T</t>
  </si>
  <si>
    <t>Atvos</t>
  </si>
  <si>
    <t>Producer and seller of ethanol, very high polarity (VHP) sugar and electricity based in Sao Paulo, Brazil. The company uses sugarcane and biomass to make products including anhydrous ethanol, hydrous ethanol and electricity, providing clients with sustainable, renewable and responsible energy.</t>
  </si>
  <si>
    <t>Novonor, RK Partners</t>
  </si>
  <si>
    <t>213967-99T</t>
  </si>
  <si>
    <t>Cromo Química</t>
  </si>
  <si>
    <t>Manufacturer of adjuvants and agricultural enhancers intending to develop innovative technologies for the benefit of agribusiness. The company offers oil spray, drift reducers, crop enhancers, surface descalers and other related products.</t>
  </si>
  <si>
    <t>Lavoro (NAS: LVRO)(Ruy Cunha), Patria Investments (NAS: PAX)</t>
  </si>
  <si>
    <t>214194-88T</t>
  </si>
  <si>
    <t>Giver (Database Software)</t>
  </si>
  <si>
    <t>Developer of CRM platform based in Joinville, Brazil. The company provides a CRM platform with a loyalty program for retailers located in Brazil thus helping in increasing the registration base and encouraging customers to buy more.</t>
  </si>
  <si>
    <t>214069-87T</t>
  </si>
  <si>
    <t>Magic Write</t>
  </si>
  <si>
    <t>Operator of AI software based in Criciúma, Brazil. The company engages in creating text content for websites, blogs, social networks and advertisements, using technology based on language models such as GPT3.</t>
  </si>
  <si>
    <t>Exact Sales(Felipe Roman)</t>
  </si>
  <si>
    <t>227555-11T</t>
  </si>
  <si>
    <t>Medei</t>
  </si>
  <si>
    <t>Developer of a post-shutdown management platform designed to provide an employee termination process. The company's platform specializes in taking care of the removal of equipment, vehicles, and samples, as well as the management of the approval process anywhere in the national territory, and also offers an exit interview and external portal which facilitates communication and management with former employees, enabling companies to process management dismissal by acting in a preventive manner and avoiding an increase in labor liabilities.</t>
  </si>
  <si>
    <t>LG INFORMÁTICA</t>
  </si>
  <si>
    <t>214645-33T</t>
  </si>
  <si>
    <t>One7</t>
  </si>
  <si>
    <t>Developer of a financial services platform specialized in the credit market intended for micro, small and medium-sized companies. The company's platform provides prepayment of receivables through Credit Rights Investment Funds (FIDCs) and securitization companies, guaranteed working capital, financial management software and private payroll loans, enabling businesses to anticipate receivables and increase market competitiveness.</t>
  </si>
  <si>
    <t>XP Vista Asset Management(Filipe Mattos)</t>
  </si>
  <si>
    <t>179936-38T</t>
  </si>
  <si>
    <t>Paketá</t>
  </si>
  <si>
    <t>Operator of an online payroll loan platform intended to offer credit payroll for employees of companies. The company's platform facilitates the work by providing a simple and functional tool that accelerates employees' dreams through payroll loans and financial education content through a digital environment, enabling clients to manage the payroll loan benefit easily.</t>
  </si>
  <si>
    <t>Iob, Itaú Unibanco, Kinea Investimentos (BVMF: KNHY11)(Philippe Schlumpf), MG Tech., Milenio Capital, Shift Capital (São Paulo)</t>
  </si>
  <si>
    <t>214085-17T</t>
  </si>
  <si>
    <t>Luna Fibra</t>
  </si>
  <si>
    <t>215990-56T</t>
  </si>
  <si>
    <t>Arandu Sistemas</t>
  </si>
  <si>
    <t>Developer of business management software intended to serve the footwear and apparel retail segment in Brazil. The company offers software and services in information technology and business management for the retail segment, thereby helping clients increase profitability and yield.</t>
  </si>
  <si>
    <t>Grands Sistemas</t>
  </si>
  <si>
    <t>258380-47T</t>
  </si>
  <si>
    <t>Beenx</t>
  </si>
  <si>
    <t>Operator of a blockchain energy market infrastructure intended to provide a one-stop shop for energy products and services. The company's infrastructure integrates end-to-end, back-office management, risk management, and other unprecedented services to the trading operation and offers to buy or sell electricity, clean energy certificates, and financial products in a digital environment, enabling businesses to reduce operational costs and improve data security.</t>
  </si>
  <si>
    <t>AES Brasil, Açolab Ventures(Rodrigo Carazolli), Eneva (BVMF: ENEV3), Fohat, Goodz Capital</t>
  </si>
  <si>
    <t>213978-52T</t>
  </si>
  <si>
    <t>Baraúna Investimentos, Ecoa Capital, MOV Investimentos, Vesper (Biotechnology)</t>
  </si>
  <si>
    <t>252558-91T</t>
  </si>
  <si>
    <t>Atentual</t>
  </si>
  <si>
    <t>Operator of a sustainable clothing label intended to promote environmental responsibility by creating unique garments from surplus fabrics. The company offers apparel crafted using repurposed materials with a focus on ethical production, enabling customers to support conscious consumption, reduce textile waste, and value the connection between people and the planet.</t>
  </si>
  <si>
    <t>213891-49T</t>
  </si>
  <si>
    <t>Cypress Associates (Brazil)</t>
  </si>
  <si>
    <t>Provider of merger and acquisition advisory services based in Sao Paulo, Brazil. The company offers M&amp;A -Partial or Total Sale of Companies, company acquisitions, mergers and joint-ventures, divestments fundraising and other board advisory services.</t>
  </si>
  <si>
    <t>Investment Banks</t>
  </si>
  <si>
    <t>252597-16T</t>
  </si>
  <si>
    <t>Melô</t>
  </si>
  <si>
    <t>Operator of bee products brand intended to offer pure and authentic honey. The company offers variety of honeys, including orange blossom honey, bracatinga honey and propolis extract, enabling customers to get flavorful honeys.</t>
  </si>
  <si>
    <t>213994-00T</t>
  </si>
  <si>
    <t>Pantanal Agrícola</t>
  </si>
  <si>
    <t>Retailer of agricultural chemicals intended to promote economic, social, and environmental sustainability in Brazilian agribusiness. The company offers defensives, seeds, pesticides, and fertilizers, thereby helping rural producers pay for inputs with grains.</t>
  </si>
  <si>
    <t>Bunge Global (NYS: BG)</t>
  </si>
  <si>
    <t>213805-36T</t>
  </si>
  <si>
    <t>Super Vegan</t>
  </si>
  <si>
    <t>Producer of vegan chocolates intended to offer alternative chocolate options to vegans. The company offers super cream, kits, combos, and chocolate bars that are made from vegetable milk, cocoa, oilseeds, and also from different flavors such as cookies, cream, vanilla, and white strawberry, providing vegan customers with bars of chocolate that are made from plant-based substitutes and are dairy free.</t>
  </si>
  <si>
    <t>Veg Capital(Clifford Johnson)</t>
  </si>
  <si>
    <t>220066-12T</t>
  </si>
  <si>
    <t>Banco Daycoval</t>
  </si>
  <si>
    <t>Orama High Yield Fundo De Investimento Imobiliario is in fund management. It manages Banco Daycoval, a financial institution specializing in credit for companies, individuals (payroll and vehicle financing), foreign exchange products (foreign trade and remittance), asset management, and investments. The bank includes securities brokerage and distribution; foreign exchange (both for foreign trade and tourism); fund management and investment advice; and payroll loans and various types of credit financing backed by vehicles or real estate.</t>
  </si>
  <si>
    <t>241491-97T</t>
  </si>
  <si>
    <t>Kuba (Electronics B2C)</t>
  </si>
  <si>
    <t>Operator of a Brazilian audio company intended to provide quality, sustainable headphones. The company offers customizable headphone products and accessories, enabling users to listen to their favorite music in good sound quality, comfort and style.</t>
  </si>
  <si>
    <t>E3 Negócios</t>
  </si>
  <si>
    <t>213715-72T</t>
  </si>
  <si>
    <t>Smart NX</t>
  </si>
  <si>
    <t>Provider of technology and management solutions intended to transform customer communication with omnichannel solutions. The company offers specialized consulting and customized development with a range of scalable technologies on the market to optimize the results of SAC, relationship, sales and collection operations, through solutions such as contact center software, chatbot, voicebot, analytics and multi-channel intelligence, thereby helping company stand out in the market and build lasting relationships with customers.</t>
  </si>
  <si>
    <t>Nvni Group (NAS: NVNI)(Pierre Schurmann)</t>
  </si>
  <si>
    <t>213818-23T</t>
  </si>
  <si>
    <t>Kenzie</t>
  </si>
  <si>
    <t>Operator of an online learning platform intended to teach programming languages to Brazilians. The company's platform helps to train information technology professionals and adopts a model in which the student can study for free and pay after getting a job, enabling students and professionals with the resources and support needed to achieve professional goals.</t>
  </si>
  <si>
    <t>246224-71T</t>
  </si>
  <si>
    <t>Klavi</t>
  </si>
  <si>
    <t>Developer of an open finance platform designed to contribute to the democratization of big data access. The company's platform offers bank account management, finance and credit card management, payment management, data aggregation, analytics, API services, and other related features, enabling customers to automate tracking and checking accounts, credit cards, and account payables.</t>
  </si>
  <si>
    <t>Parallax Ventures(Fabio Dutra), RX Ventures, Vivo Ventures</t>
  </si>
  <si>
    <t>213605-47T</t>
  </si>
  <si>
    <t>Citrino Ventures, DOMO.VC, Experian Ventures, GVAngels, Silver Angels (Angel Group)</t>
  </si>
  <si>
    <t>213605-56T</t>
  </si>
  <si>
    <t>279099-46T</t>
  </si>
  <si>
    <t>Beta 2 Games</t>
  </si>
  <si>
    <t>Developer of an independent gaming studio designed to create games while having as much fun as possible in the process. The company develops games, illustrations and animations by their expert teams, enabling users to have fun while playing the games.</t>
  </si>
  <si>
    <t>Digital Dragons</t>
  </si>
  <si>
    <t>213316-66T</t>
  </si>
  <si>
    <t>FazendaCheia</t>
  </si>
  <si>
    <t>Developer of a crowdfunding platform designed to make investments in cattle. The company provides a platform for project planning and investments in cattle, livestock, and physical livestock assets, enabling clients to make the livestock market accessible for investment.</t>
  </si>
  <si>
    <t>ilegra(Anderson Lattuada)</t>
  </si>
  <si>
    <t>213360-40T</t>
  </si>
  <si>
    <t>Scanntech</t>
  </si>
  <si>
    <t>Developer of a retail analytics platform intended to provide management analysis of sales results in regional supermarkets and wholesalers. The company's platform facilitates the management of top-ups, ticket waiting function, reports, and all means of payment, and includes data collection, analysis, and visualization tools, enabling businesses to gain insights from their data and improve their operations.</t>
  </si>
  <si>
    <t>213381-19T</t>
  </si>
  <si>
    <t>Ustore</t>
  </si>
  <si>
    <t>Developer of information technology solutions that make it possible to implement a cloud computing architecture in a scalable intended to improve people's lives and the competitiveness of organizations. The company specializes in cloud computing, information technology, cloud storage, cloud storage, big data, the internet of things and technological infrastructure, thereby enabling the creation of economic ecosystems that support the journey toward a multi-cloud strategy.</t>
  </si>
  <si>
    <t>Embratel Participacoes</t>
  </si>
  <si>
    <t>225006-13T</t>
  </si>
  <si>
    <t>BioAmazon</t>
  </si>
  <si>
    <t>Operator of a technology-based company intended to focus on developing new bio inputs for agribusiness. The company aims to produce biochemicals and other fertilizers for farmers' use, to increase their productivity, and to sell them online, providing clients with a line of products focused on sustainability, saving, and results for the plantation.</t>
  </si>
  <si>
    <t>249714-28T</t>
  </si>
  <si>
    <t>SLC Agricola (BVMF: SLCE3)</t>
  </si>
  <si>
    <t>SLC Agricola SA is an agricultural company. Its core business activities include the production and sale of seeds and saplings; the processing and trading of its products, the supply of primary agricultural goods and products; the rendering of inbound logistics, cleaning, drying and storage services as well as rendering services of agricultural machinery and equipment to third parties; the trading, import and export of agricultural products; and processing of sugarcane, ethanol and its byproducts. It operates through two business segments viz. The agricultural production segment comprises the cultivation of primarily cotton, soybean and corn and the Land portfolio segment includes the acquisition and development of land for agriculture. Its products are cotton, corn, soybean, and other.</t>
  </si>
  <si>
    <t>Scheffer Participações</t>
  </si>
  <si>
    <t>282786-76T</t>
  </si>
  <si>
    <t>AgTrace</t>
  </si>
  <si>
    <t>Developer of traceability software designed to specialize in supply chain traceability and compliance solutions for the agricultural sector. The company's end-to-end platform enables businesses to track, verify and optimize their supply chains, ensuring transparency, sustainability and regulatory compliance and leverages blockchain, tokenization and automated compliance checks, enabling users to deliver scalable and efficient traceability solutions across multiple agricultural chains.</t>
  </si>
  <si>
    <t>SVG Ventures|THRIVE</t>
  </si>
  <si>
    <t>218135-08T</t>
  </si>
  <si>
    <t>Capa Royale</t>
  </si>
  <si>
    <t>Developer of a web3 gaming platform intended to develop and publish hybrid games. The company's platform sources and acquires underutilized intellectual properties from established game companies, and then launches the title with a focus on web3 distribution, growth, and monetization, enabling players to get a quality gaming experience.</t>
  </si>
  <si>
    <t>32-Bit Ventures, Adrian Pang(Adrian Pang), BITKRAFT Ventures(Carlos Pereira), Bodhi Ventures, Chris Goncalves(Chris Goncalves), Cristian Manea(Cristian Manea), Delphi Digital Consulting, Delphi Ventures, Fourth Revolution Capital, Framework Ventures, Joe Mahon(Joe Mahon), Karatage, Kieran Warwick(Kieran Warwick), Mario Augusto Sa, Monoceros Ventures, Norte Ventures, Ray Jang(Ray Jang), Snackclub, Stateless Ventures</t>
  </si>
  <si>
    <t>213525-91T</t>
  </si>
  <si>
    <t>Vinci Credit Securities (BVMF: VCRI11)</t>
  </si>
  <si>
    <t>Vinci Credit Securities Fundo De Investimento Imobiliario is a real estate investment fund company. The company is engaged in the office sector mainly in Sao Paulo.</t>
  </si>
  <si>
    <t>213897-52T</t>
  </si>
  <si>
    <t>Grupo MedCof</t>
  </si>
  <si>
    <t>Provider of medical education training intended to serve medical students. The company offers educational content, courses as well as podcasts, thereby helping students crack exams and get admitted into their respective colleges.</t>
  </si>
  <si>
    <t>Wise Up chain(Flávio Silva)</t>
  </si>
  <si>
    <t>218518-21T</t>
  </si>
  <si>
    <t>Kapstar International Trade</t>
  </si>
  <si>
    <t>Developer of a digital exchange platform intended to provide the easiest way to send and receive money from the US. The company's platform utilizes first-rate banking structures to offer cross-border payment services and operate in a safe regulatory environment, enabling individuals and companies to transfer money abroad and process international payments at a lower fee.</t>
  </si>
  <si>
    <t>DOMO.VC, Sprint VC</t>
  </si>
  <si>
    <t>247247-20T</t>
  </si>
  <si>
    <t>Sup#Pay</t>
  </si>
  <si>
    <t>Developer of a payment guarantee platform intended for businesses to sell to clients regardless of credit risk. The company's platform analyzes a merchant's aggregated receivables from all point-of-sale machines, validates purchase orders in real-time, generates instant payment authorization links, and reconciles transactions with enterprise resource planning systems, enabling wholesalers, distributors, and small retailers to extend credit, boost sales, eliminate risk from non-paying customers, streamline order-to-payment workflows, and improve cash flow without needing credit analysis.</t>
  </si>
  <si>
    <t>Darwin Startups(Murilo Domingos)</t>
  </si>
  <si>
    <t>213944-86T</t>
  </si>
  <si>
    <t>Carflip Locadora de Veículos</t>
  </si>
  <si>
    <t>Provider of vehicle resale and leasing services catering to vehicle owners. The company offers car rental services followed by lease proposals, analysis and release of the purchase and purchase of the leased vehicle.</t>
  </si>
  <si>
    <t>Stellantis (MIL: STLAM)</t>
  </si>
  <si>
    <t>213959-26T</t>
  </si>
  <si>
    <t>Sete de Setembro Colégios do Nordeste</t>
  </si>
  <si>
    <t>Operator of primary and secondary schools based in Fortaleza, Brazil. The company combines academic knowledge and human development and preaches knowledge and moral, ethical, and Christian principles.</t>
  </si>
  <si>
    <t>212861-89T</t>
  </si>
  <si>
    <t>Descomplica</t>
  </si>
  <si>
    <t>Operator of an e-learning platform intended to prepare for college entrance exams. The company's platform offers free access to pre-recorded classes, live classes, online monitoring as well as online lessons for subjects like mathematics, physics, and chemistry to help people achieve their goals through affordable and quality education, enabling students to learn at their own pace as well as prepare and clear other entrance exams at low cost.</t>
  </si>
  <si>
    <t>Altitude (Sao Paulo), Long Journey Ventures, Teman Capital</t>
  </si>
  <si>
    <t>300284-11T</t>
  </si>
  <si>
    <t>Gama Investimentos</t>
  </si>
  <si>
    <t>Provider of asset management services intended to make global investments accessible to different investor profiles, while promoting the diversification and expansion of the capital base of international managers. The company specializes in on structuring and managing feeder funds, which are funds domiciled and regulated in Brazil, designed to feed investment strategies abroad.</t>
  </si>
  <si>
    <t>HMC Capital(Felipe Held)</t>
  </si>
  <si>
    <t>254635-30T</t>
  </si>
  <si>
    <t>Hardman Innovation</t>
  </si>
  <si>
    <t>Developer of a logistics control tower intended to optimize, automate, and digitize communications between agents involved in load/unload operations. The company's platform offers real-time data visibility, slot management, automated communication tools, and risk prediction functionalities, allowing businesses to streamline operations, reduce waiting times, and improve overall productivity.</t>
  </si>
  <si>
    <t>Lanzadera Accelerator</t>
  </si>
  <si>
    <t>220671-64T</t>
  </si>
  <si>
    <t>123 Milhas</t>
  </si>
  <si>
    <t>Operator of an online platform intended to book flight tickets. The company's platform allows users to book flights, hotels, tours and travel packages.</t>
  </si>
  <si>
    <t>MM Turismo &amp; Viagens</t>
  </si>
  <si>
    <t>213493-42T</t>
  </si>
  <si>
    <t>Btsp II Fundo DE (BVMF: BTSI11)</t>
  </si>
  <si>
    <t>Btsp II Fundo DE Investimento Imobiliario FII is a Real Estate Investment Fund, set up as a closed condominium and dedicated to investors in general. The objective of the Fund is to explore real estate projects aimed primarily at logistical and industrial operations, located in the Southeast and Midwest regions, through the acquisition of land for its construction or acquisition of properties under construction or ready-made, for subsequent leasing, leasing, or disposal, including assets and rights related thereto, as well as other properties.</t>
  </si>
  <si>
    <t>213632-83T</t>
  </si>
  <si>
    <t>BTG Pactual (BVMF: BPAC3)(Roberto Sallouti)</t>
  </si>
  <si>
    <t>213252-22T</t>
  </si>
  <si>
    <t>Grupo Casa da Lavoura</t>
  </si>
  <si>
    <t>Operator of a retail chain of stores intended to provide agricultural products, machinery and agricultural implements. The company operates a chain of stores selling rural, veterinary and livestock products, located in the states of Rondônia, Acre and Amazonas, through the brand Casa da Lavoura, as well as two animal nutrition industries, located in Ariquemes, Rondônia and Tangará da Serra, Mato Grosso, which manufacture animal nutrition products, through the brand Supremax.</t>
  </si>
  <si>
    <t>Agroline (Brazil)</t>
  </si>
  <si>
    <t>212897-26T</t>
  </si>
  <si>
    <t>Mineracao Serra Verde</t>
  </si>
  <si>
    <t>Operator of a mineral exploration company intended to build and operate a low-cost source of critical rare earth. The company is engaged in the identification and exploration of prospective mining areas for gold, copper, iron ore and rare earth elements, enabling it to focus on the development of its heavy rare earth projects.</t>
  </si>
  <si>
    <t>The Energy &amp; Minerals Group(John Raymond), Vision Blue Resources(Mick Davis)</t>
  </si>
  <si>
    <t>214680-52T</t>
  </si>
  <si>
    <t>209185-93T</t>
  </si>
  <si>
    <t>Truss Professional</t>
  </si>
  <si>
    <t>Manufacturer of hair care products catering to hairdressers around the globe. The company specializes in producing shampoos, conditioners, night serums and curl-fix hair home care and styling items.</t>
  </si>
  <si>
    <t>Grupo Boticario(Fernando Mode)</t>
  </si>
  <si>
    <t>213052-42T</t>
  </si>
  <si>
    <t>BL Ovos</t>
  </si>
  <si>
    <t>Operator of an egg farming company based in Espírito Santo, Brazil.</t>
  </si>
  <si>
    <t>185766-31T</t>
  </si>
  <si>
    <t>BR Malls Participacoes</t>
  </si>
  <si>
    <t>BR Malls Participacoes SA is a shopping mall service provider in Brazil. The company primarily invests in and develops shopping malls and car parking operations. It specializes in administrating shopping malls, leasing their spaces, managing commercial developments and facilitating leasing processes of real estate properties. The company generates the majority of its revenue from leasing out mall space to retailers. The company operates exclusively in Brazil and has large exposure to the middle-class retail segment.</t>
  </si>
  <si>
    <t>Aliansce Sonae</t>
  </si>
  <si>
    <t>192506-14T</t>
  </si>
  <si>
    <t>Dommo Energia</t>
  </si>
  <si>
    <t>Dommo Energia SA is engaged in the exploration, production, refining, processing, sale and transportation of oil, natural gas and other hydrocarbons, as well as other correlated activities.</t>
  </si>
  <si>
    <t>Prio (BVMF: PRIO3)</t>
  </si>
  <si>
    <t>297609-76T</t>
  </si>
  <si>
    <t>Fazendas Bioma</t>
  </si>
  <si>
    <t>Developer of automated vertical farming systems intended to help grow leafy greens, animal feed, and protein meals in any climate. The company provides fully automated growing systems with reusable medium and energy-efficient climate cells, warehouse and fodder systems, enabling customers to give plants optimal growing conditions, minimizing overheads, reducing post-harvest processing, optimizing energy usage, reducing labor costs and providing reliable harvests.</t>
  </si>
  <si>
    <t>215893-36T</t>
  </si>
  <si>
    <t>Oinc</t>
  </si>
  <si>
    <t>Developer of a digital finance platform designed to help in building wealth and achieving financial goals. The company's platform offers an automatic digital piggy bank to break down the barriers that prevent people from starting to plan their future financially, enabling customers to start investing and saving easily, by setting up rules that run on autopilot.</t>
  </si>
  <si>
    <t>Techstars(Tricia Martinez)</t>
  </si>
  <si>
    <t>185983-39T</t>
  </si>
  <si>
    <t>4UM Investimentos, Bossa Invest, Godz Capital fund, Honey Island Capital, Muralha Capital</t>
  </si>
  <si>
    <t>213782-95T</t>
  </si>
  <si>
    <t>Navi Credito Imobiliario (BVMF: NCRI11)</t>
  </si>
  <si>
    <t>Navi Credito Imobiliario - Fundo De Investimento Imobiliario is a real estate investment fund company. The purpose of the fund is to provide Shareholders with the appreciation and profitability of their shares.</t>
  </si>
  <si>
    <t>212031-73T</t>
  </si>
  <si>
    <t>Matchem Sp Produtos Quimicos</t>
  </si>
  <si>
    <t>Manufacturer of chemicals intended for decarbonization of the construction industry. The company specializes in healing agents, anti-segregant viscosity modifiers, air entrainment, setting accelerators for sprayed concrete, stabilized mortar, water reducing and hydration control additives.</t>
  </si>
  <si>
    <t>Chryso Group</t>
  </si>
  <si>
    <t>232952-14T</t>
  </si>
  <si>
    <t>248851-18T</t>
  </si>
  <si>
    <t>Wayv</t>
  </si>
  <si>
    <t>Provider of software management solutions intended for logistics, workplace safety and transportation sectors. The company offers features such as business checklists, custom forms, audits with automatic report generation and action plans for monitoring and control methodologies, enabling clients to automate corporate process flows.</t>
  </si>
  <si>
    <t>Limber Software(Anderson Ruffatto)</t>
  </si>
  <si>
    <t>220121-29T</t>
  </si>
  <si>
    <t>Evnts</t>
  </si>
  <si>
    <t>Developer of an event management platform intended to facilitate the management of corporate events. The company's platform facilitates accessing suppliers in real time and receiving quotes to manage events from start to finish, enabling clients to manage corporate events effectively.</t>
  </si>
  <si>
    <t>211922-56T</t>
  </si>
  <si>
    <t>Feltrin Sementes</t>
  </si>
  <si>
    <t>Producer of various vegetables, spices, and flowers in Farroupilha, Brazil. The company specializes in cultivators of wide adaption to the field and delivers good quality products to consumers.</t>
  </si>
  <si>
    <t>Syngenta</t>
  </si>
  <si>
    <t>211673-80T</t>
  </si>
  <si>
    <t>Viawebrs Telecomunicacoes</t>
  </si>
  <si>
    <t>Provider of internet connection based in Sapucaia do Sul, Brazil. The company provides fiber optic internet and landline services to its customers with its state-of-the-art technology, they also provide various plans according to its customer's needs thereby ensuring quality, safety and high performance.</t>
  </si>
  <si>
    <t>211996-27T</t>
  </si>
  <si>
    <t>AMERRA Capital Management</t>
  </si>
  <si>
    <t>209395-18T</t>
  </si>
  <si>
    <t>Sociedade Educacional e Cultural Sergipe DelRey</t>
  </si>
  <si>
    <t>Provider of medical education services based in Aracaju, Brazil.</t>
  </si>
  <si>
    <t>Afya (NAS: AFYA)(Virgílio Gibbon)</t>
  </si>
  <si>
    <t>212560-84T</t>
  </si>
  <si>
    <t>SRNET Serviços de Telecomunicações</t>
  </si>
  <si>
    <t>Provider of internet and telecommunications services based in Rio Grande do Sul, Brazil.</t>
  </si>
  <si>
    <t>292863-70T</t>
  </si>
  <si>
    <t>2Solve</t>
  </si>
  <si>
    <t>Developer of industrial automation systems and internet of things (IoT) technologies designed for enhancing operational efficiency. The company offers wireless multivariable transmitters, industrial gateways, embedded software, calibration systems, and instrumentation technology, enabling clients to optimize processes and reduce costs.</t>
  </si>
  <si>
    <t>261617-23T</t>
  </si>
  <si>
    <t>258989-77T</t>
  </si>
  <si>
    <t>4mti</t>
  </si>
  <si>
    <t>Developer of a data intelligence platform designed to support strategic decision-making through advanced collection and analysis. The company offers automated data retrieval, customizable reporting tools, and cross-sector integration systems, enabling businesses to enhance operational efficiency, ensure informed decisions, and increase transparency.</t>
  </si>
  <si>
    <t>295942-15T</t>
  </si>
  <si>
    <t>295395-22T</t>
  </si>
  <si>
    <t>Acmella Beauty</t>
  </si>
  <si>
    <t>Manufacturer of natural personal care products intended for promoting a simple and healthy lifestyle. The company offers features such as formulations using natural ingredients like oils, butters, and plant extracts from regional sources; product categories including items for facial, body, and hair care; and practices aligned with sustainability, enabling the personal care market to adopt environmentally conscious routines with locally inspired components.</t>
  </si>
  <si>
    <t>216445-24T</t>
  </si>
  <si>
    <t>Agasus</t>
  </si>
  <si>
    <t>Provider of information technology equipment leasing services intended for small and medium enterprises. The company offers rental services for critical hardware infrastructure including desktop computers, notebooks, tablets and smartphones, thereby enabling clients to reduce mobility costs by making equipment management easy.</t>
  </si>
  <si>
    <t>234891-73T</t>
  </si>
  <si>
    <t>232987-24T</t>
  </si>
  <si>
    <t>Crivo</t>
  </si>
  <si>
    <t>300907-72T</t>
  </si>
  <si>
    <t>Alephee</t>
  </si>
  <si>
    <t>Developer of a cloud-based platform designed to automate and integrate the supply and online sales processes. The company's platform offers catalogue standardization and gathers together sellers and official stores inside the internet platform, enabling companies with a variety of products to increase revenue by listing inventory on e-commerce sites and get an automatic update of stock and prices, connecting the whole commercial chain.</t>
  </si>
  <si>
    <t>Basecamp Fund, FJ Labs, Proximity Angels, Y Combinator</t>
  </si>
  <si>
    <t>295748-92T</t>
  </si>
  <si>
    <t>234893-89T</t>
  </si>
  <si>
    <t>244122-49T</t>
  </si>
  <si>
    <t>Amaro</t>
  </si>
  <si>
    <t>Operator of a lifestyle brand intended to offer fashion apparel for women. The company's brand offers a wide range of fashionable clothing and accessories for women with seasonal offers, enabling women to buy clothing at discounted rates.</t>
  </si>
  <si>
    <t>TLF Ventures</t>
  </si>
  <si>
    <t>292041-37T</t>
  </si>
  <si>
    <t>AppJusto</t>
  </si>
  <si>
    <t>Developer of a delivery platform designed to offer an alternative delivery ecosystem. The company's platform provides software that helps restaurants with order management, online sales, and delivery services management, and focuses on social justice, autonomy, and respect, generating prosperity for suppliers, consumers, and delivery people, enabling restaurant owners to manage the business effectively and also support a social cause.</t>
  </si>
  <si>
    <t>295738-21T</t>
  </si>
  <si>
    <t>Artisan (Multimedia and Design Software)</t>
  </si>
  <si>
    <t>Developer of an automated ad production software designed to eliminate technical and repetitive bottlenecks in digital campaign creation while preserving creative freedom. The company's platform offers infrastructure for scalable advertising output across formats, including website ads, digital banners, social media, and video, enabling businesses to launch campaigns faster and focus on creative impact without delays or inefficiencies.</t>
  </si>
  <si>
    <t>292167-01T</t>
  </si>
  <si>
    <t>ASA Açai</t>
  </si>
  <si>
    <t>Operator of a restaurant intends to serve food. The company offers franchises, restaurants, and a variety of foods, and also offers online bookings for customers.</t>
  </si>
  <si>
    <t>Grupo Trigo Empreendimentos e Participacoes</t>
  </si>
  <si>
    <t>292805-65T</t>
  </si>
  <si>
    <t>askLisa</t>
  </si>
  <si>
    <t>Developer of a legal management platform designed for streamlining tasks and improving team productivity. The company's platform integrates tools for workflow management, data tracking, and team collaboration, enabling legal departments to enhance operational efficiency.</t>
  </si>
  <si>
    <t>278921-53T</t>
  </si>
  <si>
    <t>Atendare</t>
  </si>
  <si>
    <t>Developer of business-to-business consultative sales management platform designed to simplify the sales process. The company's platform centralizes and optimizes sales processes, connecting marketing, pre-sales, sales, and teams to organized workflows through customer relationship management, automation and analytics technology on a single platform, enabling companies to increase prospects and sales closing.</t>
  </si>
  <si>
    <t>295761-43T</t>
  </si>
  <si>
    <t>Atendo</t>
  </si>
  <si>
    <t>Developer of a digital customer support system designed for efficient and streamlined communication. The company's platform integrates omnichannel ticket management, customizable workflows, automation of repetitive tasks, service level agreement tracking, and a native customer relationship management, enabling businesses to centralize client interactions, reduce operational costs, and enhance customer satisfaction through a unified and responsive support experience.</t>
  </si>
  <si>
    <t>295420-69T</t>
  </si>
  <si>
    <t>Aurora Borealis</t>
  </si>
  <si>
    <t>Developer of digital entertainment products intended for game creation and virtual content purposes. The company's platform includes anime-style game development and VTuber content production, enabling the digital media and entertainment market to engage with original character-driven experiences through team-based creative processes, interactive storytelling, and consistent participation in collaborative development events.</t>
  </si>
  <si>
    <t>295314-04T</t>
  </si>
  <si>
    <t>B2Garden</t>
  </si>
  <si>
    <t>Developer of a commercial transaction platform designed to simplify trade and communication between producers and buyers. The company's platform offers tools for product registration, inventory tracking, customer portfolio organization, market behavior reporting, and direct connection, enabling clients to manage their product offerings, access up-to-date information, and streamline budgeting and purchasing activities.</t>
  </si>
  <si>
    <t>256804-39T</t>
  </si>
  <si>
    <t>217893-79T</t>
  </si>
  <si>
    <t>Bankers Academy Brazil</t>
  </si>
  <si>
    <t>The company is currently operating in stealth mode.</t>
  </si>
  <si>
    <t>211810-60T</t>
  </si>
  <si>
    <t>Base de Clientes</t>
  </si>
  <si>
    <t>Developer of revenue management software designed to control your customers and receipts in the same place. The company's product issues single and recurring invoices via prepaid cards, and credit cards and controls all receipts with email, SMS notifications, and automatic collection of late payments, also count on a relationship portal just for your customers, providing payment history and proof of payment, enabling businesses to efficiently run their operations.</t>
  </si>
  <si>
    <t>Colectivo Jaguara, Niu Ventures</t>
  </si>
  <si>
    <t>295521-85T</t>
  </si>
  <si>
    <t>Beeto</t>
  </si>
  <si>
    <t>Developer of customized digital systems designed for process automation and operational efficiency purposes. The company's platform offers modular and scalable software, including personalized dashboards, system integration services, and warehouse management tools, enabling small and medium-sized enterprises to streamline workflows, enhance productivity, and make data-driven decisions across logistics, finance, and other business operations.</t>
  </si>
  <si>
    <t>215844-94T</t>
  </si>
  <si>
    <t>Beonly</t>
  </si>
  <si>
    <t>Developer of a software-as-a-service-based platform designed to improve shopping experiences. The company's platform helps launch campaigns and provide geolocations, customer interests, shopping cart ticket value, personalized recommendations, notifications, banners, and popups, enabling businesses to boost sales and increase conversion rates.</t>
  </si>
  <si>
    <t>295503-94T</t>
  </si>
  <si>
    <t>Bilíngua</t>
  </si>
  <si>
    <t>Developer of a learning application intended to create products for the deaf community. The company's application promotes the teaching of Libras with a simple, engaging, and fun approach, facilitating communication between deaf and hearing individuals and focuses on deaf culture, incorporating gamification strategies and Libras teaching metrics, enabling users to learn effectively and interact inclusively.</t>
  </si>
  <si>
    <t>295495-84T</t>
  </si>
  <si>
    <t>Bitavel SC</t>
  </si>
  <si>
    <t>Developer of 4D construction planning software designed for project visualization and schedule optimization purposes. The company is currently operating in Stealth mode.</t>
  </si>
  <si>
    <t>226703-89T</t>
  </si>
  <si>
    <t>Rice Alliance for Technology and Entrepreneurship</t>
  </si>
  <si>
    <t>295530-85T</t>
  </si>
  <si>
    <t>Brada!</t>
  </si>
  <si>
    <t>Provider of a digital platform intended to connect social entrepreneurs with tax incentive investors. The company's platform offers tools for project registration, impact tracking, and transparent reporting, enabling organizations to secure funding and manage social projects effectively within Brazil's incentive frameworks.</t>
  </si>
  <si>
    <t>295709-50T</t>
  </si>
  <si>
    <t>Brainnx</t>
  </si>
  <si>
    <t>Developer of enterprise collaboration software designed for innovation management purposes. The company supports the creation and classification of external ecosystems including startups and academic institutions, strategy guidance, captures and scores internal ideas based on impact and feasibility, facilitates structured communication between internal and external stakeholders, automates the orchestration of open innovation challenges, provides real-time performance dashboards, and includes tools for managing intrapreneurship programs and partnership efficiency, enabling bussiness clients to scale ideation, collaboration, and implementation processes more effectively.</t>
  </si>
  <si>
    <t>234556-66T</t>
  </si>
  <si>
    <t>Briefer (Business/Productivity Software)</t>
  </si>
  <si>
    <t>Developer of test modification platform based in Sao Paulo, Brazil. The company's platform deploys a staging environment for every pull request and leverages open standards and widely used open-source alternatives, enabling data scientists, and analysts to build interactive visualizations and data apps.</t>
  </si>
  <si>
    <t>265672-72T</t>
  </si>
  <si>
    <t>Calenda</t>
  </si>
  <si>
    <t>Developer of a workplace management platform intended to help companies manage back-to-the-office processes. The company's platform displays the schedule of each room in real time, customizes the layout to reinforce the institution's visual identity in social spaces and takes advantage of the monitors as a channel for disseminating internal information, enabling businesses to streamline schedules and make assertive strategic decisions.</t>
  </si>
  <si>
    <t>219786-94T</t>
  </si>
  <si>
    <t>Campo Capital P2P</t>
  </si>
  <si>
    <t>Operator of a financial platform intended to invest in real agribusiness assets. The company's platform directly originates, structures, and distributes real assets with a fixed-income model and individualized credit analysis, enabling investors to know the rural producers in which they are going to invest and follow their journey and provide rural producers competitive rates and simplicity for credit approval.</t>
  </si>
  <si>
    <t>292140-55T</t>
  </si>
  <si>
    <t>Cerensa</t>
  </si>
  <si>
    <t>Developer of a sustainability management and analysis platform designed to unify all sustainability modules. The company's tools allow the detection &amp; recording of data related to climate change, sustainable indicators, solid waste, energy, and wastewater management, enabling businesses to improve their sustainability management practices.</t>
  </si>
  <si>
    <t>295568-47T</t>
  </si>
  <si>
    <t>295935-22T</t>
  </si>
  <si>
    <t>Chappa</t>
  </si>
  <si>
    <t>Operator of a workforce logistics platform designed for short-term labor management in physical operations. The company's platform supports real-time worker matching, shift scheduling, attendance monitoring, and task performance tracking for logistics activities such as loading, unloading, palletizing, and inventory handling, enabling warehouses, distributors, and retailers to respond to fluctuating operational demands through flexible, on-demand staffing.</t>
  </si>
  <si>
    <t>295299-01T</t>
  </si>
  <si>
    <t>Cittadino Games</t>
  </si>
  <si>
    <t>Developer of interactive learning experiences designed for civic education purposes. The company's platform integrates collaborative gameplay, visual storytelling, and real-world scenario simulation co-developed with professional game designers and illustrators, enabling families, educators, and organizations to deliver participatory citizenship learning through adaptable, engaging, and context-sensitive educational environments that promote reflection, dialogue, and social understanding.</t>
  </si>
  <si>
    <t>295279-57T</t>
  </si>
  <si>
    <t>Clica Reserva</t>
  </si>
  <si>
    <t>Operator of a digital booking platform designed to facilitate the reservation of sports activities and venues. The company's platform offers location-based search, real-time scheduling, in-app payment of reservation fees, confirmation notifications, partner establishment management, and mobile accessibility, enabling sports facility owners and individuals across Brazil to manage, book, and access sports activities efficiently while increasing visibility and streamlining the reservation process.</t>
  </si>
  <si>
    <t>295765-66T</t>
  </si>
  <si>
    <t>ClickPosts</t>
  </si>
  <si>
    <t>Developer of digital content templates designed for dental professionals to enhance their social media presence. The company offers customizable posts with pre-written captions, automatic logo insertion, and various formatting options, enabling users to maintain consistent and engaging online communication with minimal effort.</t>
  </si>
  <si>
    <t>264203-11T</t>
  </si>
  <si>
    <t>295929-01T</t>
  </si>
  <si>
    <t>Cohaus</t>
  </si>
  <si>
    <t>Developer of lifestyle-oriented real estate formats designed for urban living enhancement. The company integrates smart architectural planning, AI-driven resident feedback, and co-creation methodologies, enabling property developers to reduce project risk, boost market alignment, and enhance long-term asset value.</t>
  </si>
  <si>
    <t>295336-54T</t>
  </si>
  <si>
    <t>Conciflex</t>
  </si>
  <si>
    <t>Provider of a cloud-based financial management platform intended for automating and reconciling payment transactions. The company's platform integrates with over 80 payment processors, 50 ERPs, and 25 banks, enabling businesses to streamline financial operations and enhance decision-making through real-time, consolidated data.</t>
  </si>
  <si>
    <t>295328-62T</t>
  </si>
  <si>
    <t>ConfereCard</t>
  </si>
  <si>
    <t>Developer of financial reconciliation software designed for transaction verification and payout accuracy purposes. The company's platform aggregates and audits card-based sales data, cross-verifies deposits with acquirer statements, identifies discrepancies such as incorrect fees or uncredited payments, organizes receivables, and provides detailed reporting for accounting workflows, enabling merchants and businesses to maintain financial transparency and operational control.</t>
  </si>
  <si>
    <t>242156-44T</t>
  </si>
  <si>
    <t>Construcode</t>
  </si>
  <si>
    <t>Developer of construction project management software designed to convert their plants into labels, accessible by mobile phones and tablets. The company provides QR-code-based project management applications for worksites, enabling designers and field teams, to automate all repetitive work and identify in advance possible information conflicts when they are constructed.</t>
  </si>
  <si>
    <t>Vedacit Labs</t>
  </si>
  <si>
    <t>295753-24T</t>
  </si>
  <si>
    <t>Corban App</t>
  </si>
  <si>
    <t>Developer of cloud-based business management systems designed to streamline operations and increase sales productivity. The company offers promoter process control, daily team monitoring, secure data backups, and integrated customer management tools, enabling companies in the payroll loan industry to optimize workflows and maximize profits efficiently.</t>
  </si>
  <si>
    <t>295285-24T</t>
  </si>
  <si>
    <t>cotafarmaa</t>
  </si>
  <si>
    <t>Developer of an online platform designed to provide quotes for pharmaceutical products. The company's platform saves time with the quotation process that encourages quick responses from suppliers and makes closing deals simple, enabling pharmacies to facilitate the purchasing process with distributors conveniently.</t>
  </si>
  <si>
    <t>265647-25T</t>
  </si>
  <si>
    <t>Crepe do Rão</t>
  </si>
  <si>
    <t>Operator of a restaurant chain based in Brazil.</t>
  </si>
  <si>
    <t>Grupo Rao</t>
  </si>
  <si>
    <t>295271-11T</t>
  </si>
  <si>
    <t>Cripto Galeria</t>
  </si>
  <si>
    <t>234896-95T</t>
  </si>
  <si>
    <t>CS Academy</t>
  </si>
  <si>
    <t>Developer of a learning platform designed to offer customer-centric education. The company's platform provides new content every week, access to a community of customer-centric professionals active in the market, on-demand courses, and study materials, enabling students and professionals to accelerate their careers and become experts in their respective fields.</t>
  </si>
  <si>
    <t>295759-45T</t>
  </si>
  <si>
    <t>Datax</t>
  </si>
  <si>
    <t>Provider of subscription-based startup teams designed to assist in the creation and validation of technological ventures. The company offers team assembly using artificial intelligence to match professionals with business needs, provides stages for discovery, ideation, MVP development, market validation, and performance tracking, enabling early-stage startups and entrepreneurs to efficiently build and test their products while minimizing time and resource expenditure</t>
  </si>
  <si>
    <t>266463-55T</t>
  </si>
  <si>
    <t>273392-92T</t>
  </si>
  <si>
    <t>DiamondBigger</t>
  </si>
  <si>
    <t>Developer of a supply chain platform intended for optimizing logistics operations. The company's platform uses sensors, IoT technology, artificial intelligence and computer vision to provide businesses with strategic data about their operations and demand prediction, enabling businesses to optimize their supply chain, reduce costs, and improve efficiency.</t>
  </si>
  <si>
    <t>Bbutton Ventures</t>
  </si>
  <si>
    <t>295267-33T</t>
  </si>
  <si>
    <t>Digicom</t>
  </si>
  <si>
    <t>Operator of a gaming studio intended to provide an e-sports league. The company offers management, game scheduling, ticket booking, e-sports sponsors, team organization, and publishes events online, enabling clients to get their team organized and get updates about upcoming events.</t>
  </si>
  <si>
    <t>295765-48T</t>
  </si>
  <si>
    <t>DiHub</t>
  </si>
  <si>
    <t>Developer of an online certification platform designed to simplify and streamline the process of buying and selling real estate. The company offers instant certificates to accelerate property sales securely and significantly optimizes the time spent on due diligence in real estate transactions and reduces the operational cost of issuing certificates for involved parties. Offerings include the union's active debt, certificate of state tax debts, certificate of municipal tax debts, and more, enabling clients to conduct transactions efficiently and with confidence.</t>
  </si>
  <si>
    <t>295274-08T</t>
  </si>
  <si>
    <t>Dispositivo Luminária Minuto</t>
  </si>
  <si>
    <t>Manufacturer of light lamps intended to provide household products. The company offers ceiling pendant lights and easy installation, enabling customers to get custom-designed lighting and save time and money.</t>
  </si>
  <si>
    <t>257616-28T</t>
  </si>
  <si>
    <t>267494-59T</t>
  </si>
  <si>
    <t>293660-11T</t>
  </si>
  <si>
    <t>DSHBIRD</t>
  </si>
  <si>
    <t>Developer of a safety monitoring software designed to enhance operational safety in industrial environments. The company's platform leverages machine learning to analyze occupational health and safety data, providing predictive alerts and risk assessments tailored to specific industrial activities, enabling industries to maintain a safer and more efficient workforce.</t>
  </si>
  <si>
    <t>277167-97T</t>
  </si>
  <si>
    <t>286834-24T</t>
  </si>
  <si>
    <t>Edmond Tech</t>
  </si>
  <si>
    <t>Developer of a white-label platform intended to accelerate decarbonization through solar energy. The company offers digital tools to facilitate the transition towards a digitalized and decentralized electricity sector through solar energy solutions, enabling customers to benefit from clean and renewable energy sources thereby reducing reliance on fossil fuels.</t>
  </si>
  <si>
    <t>295317-64T</t>
  </si>
  <si>
    <t>295313-50T</t>
  </si>
  <si>
    <t>Eleve (Commercial Services)</t>
  </si>
  <si>
    <t>Provider of mental health management services intended to identify the psychosocial factors that impact a team's mental health. The company helps prevent mental illness and promotes health through management strategies such as management system for risk factors and psychosocial protection related to work that measures needs for improvement and points out solutions to be adopted by the organization, analysis, systematization and data management, enabling businesses to understand the mental condition of their team members and improve their outcomes.</t>
  </si>
  <si>
    <t>263990-89T</t>
  </si>
  <si>
    <t>ElloX</t>
  </si>
  <si>
    <t>Developer of a management platform intended to streamline and optimize the logistics and supply chain processes. The company's platform utilizes artificial intelligence to offer real-time gate management, automated tracking of shipping updates, and integrated document handling, enabling businesses to enhance operational efficiency, reduce costs associated with delays, and improve communication between exporters and shipping lines.</t>
  </si>
  <si>
    <t>299380-78T</t>
  </si>
  <si>
    <t>295563-70T</t>
  </si>
  <si>
    <t>EnergyC</t>
  </si>
  <si>
    <t>Developer of professional development programs designed to empower young professionals in the energy sector. The company's platform offers mentorship, workshops, and networking opportunities, enabling individuals to enhance their skills and connect with industry leaders, fostering a diverse and inclusive energy workforce.</t>
  </si>
  <si>
    <t>295557-58T</t>
  </si>
  <si>
    <t>Estupin</t>
  </si>
  <si>
    <t>Operator of an early childhood development firm intended to stimulate motor, cognitive and socioemotional skills in a playful and gentle way. The company offers support to both parents and caregivers as well as professionals who dedicate their attention to children at early stage, offers courses, training and connect families to qualified child development services, including accreditation in their Estupin Desenvolve method that helps parents to get connected to accredited professionals, so that children receive care and professionals receive support in their work, enabling professional parents to get support to handle their children at their initial stage of life.</t>
  </si>
  <si>
    <t>295931-08T</t>
  </si>
  <si>
    <t>EVA (Multimedia and Design Software)</t>
  </si>
  <si>
    <t>Developer of a visual project coordination tool designed for cross-functional team alignment. The company's platform offers visual backlog mapping, interactive user journey creation, delivery planning through roadmaps, agile sprint boards, and real-time task tracking across modules and epics, enabling product teams, project managers, and UX designers to streamline collaboration, improve visibility into development pipelines, and accelerate decision-making based on shared understanding and progress visualization.</t>
  </si>
  <si>
    <t>298756-09T</t>
  </si>
  <si>
    <t>Evolv (IT Consulting and Outsourcing)</t>
  </si>
  <si>
    <t>Provider of intelligent operational monitoring systems intended to provide enhanced efficiency through advanced IoT and AI integration. The company's platform utilizes real-time data, predictive analytics, and scalable sensor networks, enabling organizations to optimize performance, prevent failures, and unlock actionable operational insights.</t>
  </si>
  <si>
    <t>234014-05T</t>
  </si>
  <si>
    <t>Falco (Publishing)</t>
  </si>
  <si>
    <t>Developer of Web-three gaming launchpad designed to bridge the gap between players and game developers. The company's other services include partnering up with games and providing all the services a game studio needs to launch its game, and helping with marketing &amp; community outreach project management, enabling gamers and developers to connect creative studios with outsourcers around the globe.</t>
  </si>
  <si>
    <t>Compa Capital, Crivo, Goat Capital, Verve Capital</t>
  </si>
  <si>
    <t>295391-35T</t>
  </si>
  <si>
    <t>Farmácias Ninja</t>
  </si>
  <si>
    <t>Operator of an online medical information platform intended to help users to find pharmacies close to their location. The company delights customers by promoting convenience, ease, speed and punctuality in the delivery of pharmaceutical products, with fair and accessible prices, enabling users to receive their medication at home, avoiding queues, travel and inconvenience.</t>
  </si>
  <si>
    <t>295493-32T</t>
  </si>
  <si>
    <t>Farol Universitario</t>
  </si>
  <si>
    <t>Developer of a digital platform designed to connect and empower academic institutions through simple, digital, and accessible tools. The company offers services to reduce defaults, increase membership sales, and offer full control over registrations, helps institutions to promote events, activities, and trigger notifications while managing online sales, financial inflows and outflows, also supports athletics management, academic directories, university teams, student republics, and more, enabling clients to streamline operations efficiently.</t>
  </si>
  <si>
    <t>210122-83T</t>
  </si>
  <si>
    <t>Fasternet</t>
  </si>
  <si>
    <t>Operator of a telecommunication company intended to offer internet services and network solutions. The company's services include multimedia communication, switched fixed telephony, communications network access providers, and voice-over-internet protocol.</t>
  </si>
  <si>
    <t>Starnet Telecommunication</t>
  </si>
  <si>
    <t>295484-86T</t>
  </si>
  <si>
    <t>Flixpet</t>
  </si>
  <si>
    <t>Developer of a digital platform intended to connect all players in the pet industry through a single integrated space. The company's platform facilitates interaction between manufacturers, distributors, retailers, and media outlets such as magazines and fairs, helping users discover top brands, products, promotions, and expert groomers offering tips and courses, enabling customers to access suppliers efficiently and cost-effectively</t>
  </si>
  <si>
    <t>263286-91T</t>
  </si>
  <si>
    <t>Fluid API</t>
  </si>
  <si>
    <t>Developer of a cloud integration platform designed to simplify the process automation, integration routines, and orchestration of data and systems. The company's platform synchronizes and creates custom flows that can connect different systems to unify and automate the sales processes, customer records, product prices, and commercial proposals, enabling businesses to integrate their systems and simplify their operations, converging communication channels and accelerating the data-driven journey.</t>
  </si>
  <si>
    <t>295747-84T</t>
  </si>
  <si>
    <t>FoodRec</t>
  </si>
  <si>
    <t>Operator of a food delivery comparison platform designed for service evaluation and business intelligence. The company's platform compiles offerings from multiple delivery providers, enables digital menu management for restaurants, provides analytical insights on pricing and consumer trends, and supports alternative delivery channel visibility, enabling food establishments and users to navigate the digital food service landscape with improved accuracy, efficiency, and competitive awareness.</t>
  </si>
  <si>
    <t>295752-97T</t>
  </si>
  <si>
    <t>Brazilian Service of Support for Micro and Small Enterprises</t>
  </si>
  <si>
    <t>270462-07T</t>
  </si>
  <si>
    <t>295708-06T</t>
  </si>
  <si>
    <t>Freecash</t>
  </si>
  <si>
    <t>Operator of an online platform designed for incentivized task completion. The company's platform includes features such as task-based earning modules, user progress tracking, multi-option reward withdrawals, referral systems, and real-time activity validation, enabling digital users to access structured micro-earning opportunities and convert time spent on simple actions into redeemable financial or digital assets through a standardized interface.</t>
  </si>
  <si>
    <t>234297-10T</t>
  </si>
  <si>
    <t>Full Commerce do Brasil</t>
  </si>
  <si>
    <t>Provider of management and operational tools catering to B2B and B2C markets. The company offers e-commerce, direct sales, B2B store marketing co-management and trading model products and provides management and operational tools to expand sales to multichannel consumers, building strong brands.</t>
  </si>
  <si>
    <t>Supporte Logistica</t>
  </si>
  <si>
    <t>295564-15T</t>
  </si>
  <si>
    <t>Furnit Store</t>
  </si>
  <si>
    <t>Operator of a furniture marketplace intended for 3D modeled furniture and coverings. The company offers variety of sofa sets, dining tables, chairs, beside tables, lamps, washroom supplies and various home decor items, enabling people to furnish their homes with good quality products.</t>
  </si>
  <si>
    <t>301061-08T</t>
  </si>
  <si>
    <t>fuse IoT</t>
  </si>
  <si>
    <t>Developer of AI and IoT integration platforms designed to optimize operational efficiency and decision-making for businesses. The company's platform offers operational data monitoring, production control, and real-time insights through AI-powered analytics and secure IoT connectivity, enabling businesses across industrial, commercial, and smart building sectors to achieve cost savings, improve quality, and contribute to environmental goals.</t>
  </si>
  <si>
    <t>295941-61T</t>
  </si>
  <si>
    <t>FYDU Blockchain</t>
  </si>
  <si>
    <t>Provider of a blockchain infrastructure platform intended for enterprises with public and private network requirements. The company's platform includes EVM compatibility, Need-to-Know and Proof-of-Authority consensus, smart contract management, electronic signatures backed by blockchain, PBAC access control, NFT issuance, tokenization, customizable dashboards, and compliance with LGPD, enabling sectors such as logistics, health, education, and digital identity to ensure secure, efficient, and interoperable operations.</t>
  </si>
  <si>
    <t>292853-89T</t>
  </si>
  <si>
    <t>GainTech</t>
  </si>
  <si>
    <t>Developer of customized industrial automation platforms designed for process optimization and predictive analytics. The company's platform integrates machine learning, computer vision, and signal processing, enabling manufacturing clients to enhance operational efficiency and reduce downtime.</t>
  </si>
  <si>
    <t>285696-46T</t>
  </si>
  <si>
    <t>Gama Ensino</t>
  </si>
  <si>
    <t>Developer of an educational technology platform designed to address knowledge gaps for students. The company's platform leverages adaptive learning technology to create a learning path for students with proficiency tests and personalized teaching courses, enabling students to prepare for entrance exams and improve their potential.</t>
  </si>
  <si>
    <t>Antera Gestão de Recursos</t>
  </si>
  <si>
    <t>292724-83T</t>
  </si>
  <si>
    <t>Geeco Materials &amp; Engineering</t>
  </si>
  <si>
    <t>Developer of sustainable construction materials and services derived from industrial waste, designed to reduce carbon emissions. The company offers geopolymers, ceramics, and cementitious materials, enabling industries to lower their environmental impact.</t>
  </si>
  <si>
    <t>261529-84T</t>
  </si>
  <si>
    <t>219016-72T</t>
  </si>
  <si>
    <t>Getmore</t>
  </si>
  <si>
    <t>Provider of strategic loyalty and incentives services intended to serve varied industries. The company provides services such as community engagement, loyalty, cash-back programs, discount coupons and price comparison, thereby enabling its clients to generate more business.</t>
  </si>
  <si>
    <t>Atmos Capital Gestao de Recursos(Erik Lassner), Will Bank, XP Investimentos (NAS: XP)</t>
  </si>
  <si>
    <t>215615-44T</t>
  </si>
  <si>
    <t>GoMining</t>
  </si>
  <si>
    <t>Developer of a text analysis and correction platform designed to facilitate the automatic correction of texts. The company's software uses artificial intelligence, deep learning, data enrichment, text mining, and content recommendation to correct textual consistency and automatic mind mapping, enabling users to have their text quality checked quickly.</t>
  </si>
  <si>
    <t>Polaris Investimentos, Silver Angels (Angel Group)</t>
  </si>
  <si>
    <t>295939-81T</t>
  </si>
  <si>
    <t>GONexter</t>
  </si>
  <si>
    <t>Operator of data processing infrastructure and application service environments intended for scalable digital operations. The company is currently operating in stealth mode.</t>
  </si>
  <si>
    <t>295291-36T</t>
  </si>
  <si>
    <t>Googado</t>
  </si>
  <si>
    <t>Operator of a livestock trading services platform intended to digitally facilitate dairy cattle transactions. The company's platform provides a fully online interface for buying and selling animals with integrated security and transaction support, enabling agricultural producers to conduct livestock trade efficiently and reliably.</t>
  </si>
  <si>
    <t>250995-43T</t>
  </si>
  <si>
    <t>Goomer Tecnologias</t>
  </si>
  <si>
    <t>Developer of digital menu systems intended to streamline the ordering process for restaurants. The company's platform offers customizable digital menus accessible via QR codes and tablets, enabling restaurants to manage orders and reduce operational costs while catering to various dining establishments and enhancing customer experience through automation and intuitive interfaces.</t>
  </si>
  <si>
    <t>Bossa Invest, Feba Capital</t>
  </si>
  <si>
    <t>234283-96T</t>
  </si>
  <si>
    <t>GranInvestimentos</t>
  </si>
  <si>
    <t>295337-80T</t>
  </si>
  <si>
    <t>Green-C</t>
  </si>
  <si>
    <t>Manufacturer of biodegradable lifestyle products designed for sustainable consumption and cultural inclusion purposes. The company develops eco-friendly offerings such as vegan beauty items made from native Amazonian oils, biodegradable dinnerware sets, and handcrafted organic snacks sourced from smallholding farms, enabling environmentally conscious consumers to support forest regeneration and local communities through ethical commerce and participation in the bioeconomy.</t>
  </si>
  <si>
    <t>224706-61T</t>
  </si>
  <si>
    <t>gringa</t>
  </si>
  <si>
    <t>Operator of an online resale platform designed to facilitate the buying and selling of pre-owned luxury fashion accessories. The company's platform features curated listings of authenticated second-hand items, secure payment options, and access to a digital marketplace focused on extending product lifecycles and promoting circular fashion, enabling consumers interested in luxury goods to participate in sustainable consumption and access a selection of premium accessories with verified authenticity</t>
  </si>
  <si>
    <t>4M Holding</t>
  </si>
  <si>
    <t>295294-96T</t>
  </si>
  <si>
    <t>HAMORA</t>
  </si>
  <si>
    <t>Developer of a maintenance management platform intended to facilitate the hospitality sector. The company's platform offers real-time monitoring, detailed maintenance history, task scheduling, and maintains facilities to provide a quality experience to guests, enabling clients to monitor the status of their facilities and improve tasks accordingly.</t>
  </si>
  <si>
    <t>269781-13T</t>
  </si>
  <si>
    <t>279070-03T</t>
  </si>
  <si>
    <t>Julio Nascimento</t>
  </si>
  <si>
    <t>295749-91T</t>
  </si>
  <si>
    <t>Hitbiz Musictech</t>
  </si>
  <si>
    <t>Operator of a digital marketplace intended for licensing and management of musical compositions. The company offers tools for uploading, registering, and licensing songs, including features like playlist creation and digital contract signing, enabling the music industry to streamline the commercialization and protection of original works.</t>
  </si>
  <si>
    <t>265663-90T</t>
  </si>
  <si>
    <t>Hoff Analytics</t>
  </si>
  <si>
    <t>Developer of a data analytics platform designed to convert information into experience to guide clients' market strategies. The company's platform uses artificial intelligence and big data to prospect, analyze, and understand customers with technology, enabling civil construction industries to extract and handle data.</t>
  </si>
  <si>
    <t>278100-46T</t>
  </si>
  <si>
    <t>Housie (Application Software)</t>
  </si>
  <si>
    <t>Operator of a digital platform intended to provide online home services. The company offers services such as plumbing, air conditioning repair, and pest control through competent and trained professionals, enabling customers to get easy, convenient, and enjoyable services at home.</t>
  </si>
  <si>
    <t>Debut Labs</t>
  </si>
  <si>
    <t>270536-59T</t>
  </si>
  <si>
    <t>295339-51T</t>
  </si>
  <si>
    <t>HuNIm</t>
  </si>
  <si>
    <t>Developer of digital platforms designed to foster inclusive business growth and social impact. The company offers a platform that integrates local cultural, environmental, and social particularities with collaborative networks, strategic consulting, technology scaling, and healthcare access initiatives, enabling communities, entrepreneurs, and organizations in the Amazon to develop sustainable ventures and address regional challenges effectively.</t>
  </si>
  <si>
    <t>265539-07T</t>
  </si>
  <si>
    <t>ImoAds</t>
  </si>
  <si>
    <t>Operator of a digital marketing platform intended for real estate lead generation and sales optimization. The company's platform automates complex marketing tasks including campaign management, creative preparation, and landing page creation, enabling real estate professionals to attract more qualified leads and improve their marketing investment returns through advanced audience segmentation, remarketing strategies, and performance tracking.</t>
  </si>
  <si>
    <t>295317-28T</t>
  </si>
  <si>
    <t>Imovago</t>
  </si>
  <si>
    <t>Oprerator of a real estate listing platform intended to locate properties based on needs. The company's platform offers a digital environment for real estate agencies and independent agents to register properties, upload detailed listings, and make them accessible to potential buyers and renters, enabling users to explore a wide range of property options, connect directly with property representatives, and access information without intermediaries for more autonomous decision making.</t>
  </si>
  <si>
    <t>264211-93T</t>
  </si>
  <si>
    <t>278217-10T</t>
  </si>
  <si>
    <t>IndustriALL</t>
  </si>
  <si>
    <t>Developer of artificial intelligence software intended to optimize industrial processes, enhance decision-making, and drive technological advancement. The company specializes in AI-driven tools for process optimization and predictive analysis, enabling clients to reduce costs, improve efficiency, and foster innovation across various sectors.</t>
  </si>
  <si>
    <t>247031-92T</t>
  </si>
  <si>
    <t>Info TV</t>
  </si>
  <si>
    <t>Operator of media broadcasting company based in Florianópolis, Brazil.</t>
  </si>
  <si>
    <t>NEOOH</t>
  </si>
  <si>
    <t>Broadcasting, Radio and Television</t>
  </si>
  <si>
    <t>295335-46T</t>
  </si>
  <si>
    <t>Insight Academy (Educational Software)</t>
  </si>
  <si>
    <t>Developer of a digital learning platform designed to support the development of personalized learning experiences through data-driven insights. The company's platform provides features such as content hosting, customizable learning paths, real-time analytics, community engagement tools, gamified assessments, and integration with various multimedia formats, enabling teachers and course creators to monitor learner engagement, identify learning gaps, enhance content delivery, and foster interactive educational environments.</t>
  </si>
  <si>
    <t>266487-04T</t>
  </si>
  <si>
    <t>260424-91T</t>
  </si>
  <si>
    <t>264117-88T</t>
  </si>
  <si>
    <t>295534-54T</t>
  </si>
  <si>
    <t>InTienda</t>
  </si>
  <si>
    <t>Developer of digital catalog tools designed for managing and streamlining sales processes. The company's platform offers catalog creation, WhatsApp-based customer redirection, and data generation features such as consumption trend tracking and performance insights, enabling small and medium-sized businesses to organize product offerings, guide sales through messaging apps, and collect data to better understand purchasing behavior and optimize sales activities.</t>
  </si>
  <si>
    <t>266738-23T</t>
  </si>
  <si>
    <t>273712-96T</t>
  </si>
  <si>
    <t>Kapitale</t>
  </si>
  <si>
    <t>Developer of a receivables anticipation service platform designed to streamline cash flow management for credit card transactions. The company offers a platform that provides receivables anticipation, multi-company receivables management, and the ability to use receivables as payment to suppliers, enabling clients to improve cash flow, unify receivables management across multiple companies, and use receivables as payment for business materials.</t>
  </si>
  <si>
    <t>262857-88T</t>
  </si>
  <si>
    <t>Katalisar</t>
  </si>
  <si>
    <t>Developer of an inclusive and circular economy designed for a regenerative and sustainable future. The company offers to transform challenges into opportunities, empowering vulnerable groups, enabling companies to get help in achieving their ESG goals, and transforming territories into models of circular and sustainable development.</t>
  </si>
  <si>
    <t>295766-65T</t>
  </si>
  <si>
    <t>Kentro</t>
  </si>
  <si>
    <t>Developer of integrated communication management tools designed for centralized customer interaction handling. The company's platform combines social media messaging, live chat, chatbot automation, Customer Relationship Management. functionalities, task assignments, and real-time performance tracking into a single interface, enabling small and medium-sized businesses to efficiently manage service operations, reduce response times, and coordinate support efforts across multiple channels without relying on separate systems.</t>
  </si>
  <si>
    <t>215045-92T</t>
  </si>
  <si>
    <t>Kiddle Pass</t>
  </si>
  <si>
    <t>Developer of an education platform designed to offer interactive, engaging, and personalized learning opportunities for children. The company's platform offers a diverse selection of interactive group activities tailored to different age groups and areas of interest, such as creativity, emotions workshop, curiosity club, programming, circus, and theater, enabling children to make screen time more productive and beneficial.</t>
  </si>
  <si>
    <t>Bossa Invest, COREangels, DOMO.VC</t>
  </si>
  <si>
    <t>295767-19T</t>
  </si>
  <si>
    <t>Kreska</t>
  </si>
  <si>
    <t>Provider of a digital education platform intended to support personalized and collaborative learning. The company's platform integrates portfolio-based instruction, social networking, and full online access, enabling students and educators to engage in immersive, flexible, and budget-aligned learning experiences.</t>
  </si>
  <si>
    <t>201317-23T</t>
  </si>
  <si>
    <t>Kuppi</t>
  </si>
  <si>
    <t>Developer of a digital sales managing platform designed to take food orders online. The company's platform provides a digital menu and chatbot facility to fulfill orders on WhatsApp and a digital marketing automation tool to help create new campaigns on social media, enabling firms to attract new customers and generate revenue.</t>
  </si>
  <si>
    <t>263985-13T</t>
  </si>
  <si>
    <t>295760-89T</t>
  </si>
  <si>
    <t>LeapStyle</t>
  </si>
  <si>
    <t>Developer of an e-commerce platform designed for small entrepreneurs to establish online fashion stores. The company's platform offers customizable storefronts, integrated payment and logistics systems, real-time inventory management, and marketing tools, trading, enabling entrepreneurs to launch and manage their fashion businesses efficiently.</t>
  </si>
  <si>
    <t>245322-46T</t>
  </si>
  <si>
    <t>Development Innovation Ventures</t>
  </si>
  <si>
    <t>295323-76T</t>
  </si>
  <si>
    <t>Lindu</t>
  </si>
  <si>
    <t>Developer of digital business management tools designed to optimize operations in the beauty service industry. The company offers smart scheduling, financial tracking, inventory oversight, and client management, enabling beauty professionals to streamline workflows and grow customer loyalty.</t>
  </si>
  <si>
    <t>265603-78T</t>
  </si>
  <si>
    <t>LingeBox</t>
  </si>
  <si>
    <t>Producer of lingerie products intended to highlight features of female bodies. The company offers lingerie for all body types, styles, and sizes and delivers lingerie according to the subscriber's profile through their subscription club, enabling women to wear sensual lingerie.</t>
  </si>
  <si>
    <t>292811-23T</t>
  </si>
  <si>
    <t>LinkToU</t>
  </si>
  <si>
    <t>Developer of an integration platform designed to automate complex business processes and enhance operational scalability. The company provides pre-built connectors, monitoring, and workflow tools that integrate enterprise systems like CRM (Customer Relationship Management) and e-commerce platforms, enabling businesses across sectors to reduce manual tasks, unify data streams, and improve performance with minimal infrastructure investment.</t>
  </si>
  <si>
    <t>292138-57T</t>
  </si>
  <si>
    <t>Local Alimentos</t>
  </si>
  <si>
    <t>Manufacturer of sustainable food products designed to reduce waste and single-use plastics through circular practices. The company connects small-scale producers directly with consumers using returnable or biodegradable packaging, enabling the retail food market to access environmentally responsible products while supporting local economies and minimizing environmental impact.</t>
  </si>
  <si>
    <t>264117-25T</t>
  </si>
  <si>
    <t>Locates</t>
  </si>
  <si>
    <t>Developer of an AI technology designed to give real estate market location by using data-driven intelligence. The company's platform offers geospatial data to connect developers, brokers, and investors to develop opportunities and uses georeferenced data and spatial analysis, enabling clients to get the target audience and generate a high return on investment.</t>
  </si>
  <si>
    <t>295282-90T</t>
  </si>
  <si>
    <t>Mapfry</t>
  </si>
  <si>
    <t>Developer of a geomarketing platform designed to support business location analysis and market strategy planning. The company offers a platform featuring a comprehensive data library, customizable study areas by radius, travel time, or freehand drawing, tools for adding multimedia comments directly on maps, interactive and mobile-ready presentations, controlled sharing with access management, and automatic updates to analyses, enabling businesses, market researchers, and urban planners to make informed decisions about territory profiling, site selection, and strategic expansion with detailed demographic, consumer potential, and traffic flow insights.</t>
  </si>
  <si>
    <t>260681-32T</t>
  </si>
  <si>
    <t>MatchIT</t>
  </si>
  <si>
    <t>Developer of AI-driven innovation management platform designed to optimize digital transformation processes for companies. The company's platform specializes in creating autonomous, AI-powered tools that streamline conversations, gather insights, and generate project requirements, enabling businesses to efficiency in innovation processes for businesses.</t>
  </si>
  <si>
    <t>264117-79T</t>
  </si>
  <si>
    <t>267332-14T</t>
  </si>
  <si>
    <t>Mediasoft</t>
  </si>
  <si>
    <t>Provider of technology services intended to improve process management for the Industry. The company offers modern interactive tools development for business, such as applications for mobile devices, desktops, business games, simulators, augmented reality, and virtual reality, enabling businesses to improve training and operational efficiency.</t>
  </si>
  <si>
    <t>Synergy Ventures (Brazil)</t>
  </si>
  <si>
    <t>263304-10T</t>
  </si>
  <si>
    <t>295414-48T</t>
  </si>
  <si>
    <t>Menuzão</t>
  </si>
  <si>
    <t>Developer of a mobile application intended to provide order delivery. The company's platform improves interaction between the consumer and the establishment, processes step-by-step orders, and gives an application download option, enabling users to place orders digitally.</t>
  </si>
  <si>
    <t>265451-68T</t>
  </si>
  <si>
    <t>Meros Auto Parts</t>
  </si>
  <si>
    <t>Operator of a mechanic repair shop and parts supplier intended to integrate the automotive environment system. The company offers a platform where customers can insert the vehicle license plate and receive detailed parts information and suggested maintenance, search and select diagnosed parts according to vehicle specifications, enabling users to save time, reduce costs, and improve the overall experience.</t>
  </si>
  <si>
    <t>295416-73T</t>
  </si>
  <si>
    <t>Mindika</t>
  </si>
  <si>
    <t>Developer of fintech engagement platforms intended to foster collaborative commerce through cashback incentives. The company's platform connects consumers and partner merchants via a digital ecosystem offering cashback, affiliate rewards, and business development tools, enabling local communities in world to increase sales, earn money, and build long-term customer loyalty.</t>
  </si>
  <si>
    <t>266482-00T</t>
  </si>
  <si>
    <t>Mindsim</t>
  </si>
  <si>
    <t>Operator of a technology company intended for the energy and oil and gas sectors to make operations safer, less costly, and less polluting. The company offers artificial intelligence tools that enhance asset management by monitoring and preventing operational issues, providing asset managers with more accurate and reliable decision-making.</t>
  </si>
  <si>
    <t>293634-10T</t>
  </si>
  <si>
    <t>Minerva Controls</t>
  </si>
  <si>
    <t>Developer of industrial software designed to enhance operational efficiency and process performance. The company offers a range of advanced tools featuring dynamic behavior modeling, real-time analytics, and process customization, enabling clients in sectors like oil and gas, manufacturing, and pharmaceuticals to reduce operational costs, boost productivity, and improve system stability.</t>
  </si>
  <si>
    <t>295726-24T</t>
  </si>
  <si>
    <t>Minha Idade Não Me Define</t>
  </si>
  <si>
    <t>Operator of an online company intended for addressing ageism and challenges related to aging in women, promoting ways to experience this stage of life with dignity and fulfillment. The company engages in community building, education for longevity, and advocacy for pro-aging values, enabling women to reject limiting stereotypes, embrace continued learning, and participate actively in shaping a more inclusive and age-positive society.</t>
  </si>
  <si>
    <t>264125-62T</t>
  </si>
  <si>
    <t>295566-76T</t>
  </si>
  <si>
    <t>MoneyLaw</t>
  </si>
  <si>
    <t>Operator of a financial asset recovery platform designed for managing and recovering financial assets tied up in legal cases. The company's platform automates data integration and process workflows, offering real-time dashboards, centralization of financial information, and legal insights, enabling law firms, legal teams, and businesses to efficiently retrieve funds, reduce administrative costs, and enhance financial outcomes through streamlined operations.</t>
  </si>
  <si>
    <t>295569-55T</t>
  </si>
  <si>
    <t>Motho Express</t>
  </si>
  <si>
    <t>Provides a digital platform intended to offer on-demand delivery services. The company's platform features intelligent route optimization, real-time tracking, and automated delivery reporting, enabling local businesses to streamline their logistics operations and enhance customer satisfaction.</t>
  </si>
  <si>
    <t>265154-86T</t>
  </si>
  <si>
    <t>Mr.Turing</t>
  </si>
  <si>
    <t>Developer of a corporate assistant web platform designed to collect company information using artificial intelligence algorithms. The company's platform includes extracting and interpreting the right information and smart decision-making, enabling businesses to be assured of receiving information on accurate calculations and operations, resulting in enhanced efficiency.</t>
  </si>
  <si>
    <t>266464-72T</t>
  </si>
  <si>
    <t>288589-24T</t>
  </si>
  <si>
    <t>Mushspresso</t>
  </si>
  <si>
    <t>Producer of mushroom-infused coffee intended to promote mental well-being and environmental sustainability. The company offers coffee in powder and capsule forms, featuring mushrooms like Lion's Mane, Shiitake, and Pleurotus, enabling coffee lovers and environmentally conscious consumers to enjoy health benefits and support carbon sequestration.</t>
  </si>
  <si>
    <t>From Start-to-Table</t>
  </si>
  <si>
    <t>292813-21T</t>
  </si>
  <si>
    <t>Mytracking</t>
  </si>
  <si>
    <t>Provider of real-time delivery management technology intended to optimize logistics operations. The company's platform features vehicle tracking, route planning, temperature monitoring, and customer communication tools, enabling logistics teams and businesses to reduce costs, improve delivery accuracy, and enhance operational visibility.</t>
  </si>
  <si>
    <t>281306-62T</t>
  </si>
  <si>
    <t>CELTA.</t>
  </si>
  <si>
    <t>295716-34T</t>
  </si>
  <si>
    <t>Nave</t>
  </si>
  <si>
    <t>Developer of digital education programs designed to promote digital literacy and responsible technology use among children and families. The company offers interactive online courses, live sessions, and parental support tools, enabling families to foster healthy digital habits and enhance online safety awareness.</t>
  </si>
  <si>
    <t>215155-81T</t>
  </si>
  <si>
    <t>Newe Seguros</t>
  </si>
  <si>
    <t>Operator of an insurance company based in Rio de Janeiro, Brazil. The company offers renters insurance, agricultural insurance, and surety bonds and also offers insurance protection and expert solutions, enabling users to protect their properties and belongings from future damage.</t>
  </si>
  <si>
    <t>BlueOrchard Finance</t>
  </si>
  <si>
    <t>295319-26T</t>
  </si>
  <si>
    <t>Nichoos</t>
  </si>
  <si>
    <t>Developer of a community engagement platform intended to provide the administration of content. The company's platform offers courses, attendee lists, reminders, subscriptions, sale of content, flexible catalog, discounts and coupons, evaluation, and chat options, enabling users to manage access and communicate efficiently within and outside their community.</t>
  </si>
  <si>
    <t>272758-87T</t>
  </si>
  <si>
    <t>NovaData (IT Consulting and Outsourcing)</t>
  </si>
  <si>
    <t>Operator of a technology development company intended to provide customized services. The company provides a thorough understanding of its goals and challenges, which include accessibility to technology benefits, enabling clients to develop effective and innovative digital strategies by gaining a deep understanding of their goals and challenges.</t>
  </si>
  <si>
    <t>Edouard Nattée(Edouard Nattée)</t>
  </si>
  <si>
    <t>268182-46T</t>
  </si>
  <si>
    <t>NUAÁ</t>
  </si>
  <si>
    <t>Operator of an e-commerce platform intended for intimate hygiene products. The company specializes in women's intimate and reproductive health products and offers natural formulations enriched with vitamins, prebiotics, proteins, minerals, essential oils, natural antioxidants, plant-derived moisturizers and natural collagen stimulants that provide gentle hygiene for the intimate area, enabling women of all ages, from puberty to menopause, to experience a sense of comfort and well-being in their daily routines.</t>
  </si>
  <si>
    <t>Semina Industry and Commerce</t>
  </si>
  <si>
    <t>241728-31T</t>
  </si>
  <si>
    <t>Nun</t>
  </si>
  <si>
    <t>Developer of natural raw materials designed to reduce environmental impact and support sustainable practice. The company offers materials for cosmetic use, customized upcycled ingredient development, laboratory testing using in vitro models, and support in product development, enabling clients to access environmentally conscious ingredients, evaluate product efficacy through scientific testing, and develop new cosmetic formulations based on sustainable practices.</t>
  </si>
  <si>
    <t>Other Materials</t>
  </si>
  <si>
    <t>242208-10T</t>
  </si>
  <si>
    <t>Nuvlio</t>
  </si>
  <si>
    <t>Operator of a data analytics platform intended to support financial and environmental business contracts. The company's platform specializes in using blockchain technology to evaluate risk through real-time data, predictive analysis, and operational agility, enabling businesses to improve efficiency and make decisions based on accurate analytics.</t>
  </si>
  <si>
    <t>Blockchain Founders Fund, Crypto Valley Venture Capital, Holt Xchange</t>
  </si>
  <si>
    <t>264120-40T</t>
  </si>
  <si>
    <t>261287-56T</t>
  </si>
  <si>
    <t>O2OBOTS</t>
  </si>
  <si>
    <t>Developer of an artificial intelligence-based sales finance platform intended to help banks and fintech to achieve higher conversion rates in the credit and consortium market. The company's platform integrates with the transactional systems of each financial institution to offer robot-based support which captures the users online and communicates with them, enabling clients to increase productivity, reduce costs, and gain scale.</t>
  </si>
  <si>
    <t>261295-48T</t>
  </si>
  <si>
    <t>AWS Clean Energy Accelerator 4.0</t>
  </si>
  <si>
    <t>264121-21T</t>
  </si>
  <si>
    <t>Pague Bem Brasil</t>
  </si>
  <si>
    <t>Developer of a digital credit recovery platform intended to fight corporate defaults through research, credit analysis, and collection automation. The company offers low-cost, credit protection and collection in an agile and practical way with the help of human conversion service channels, enabling companies to maintain or recover their financial health with reduced defaults.</t>
  </si>
  <si>
    <t>292139-47T</t>
  </si>
  <si>
    <t>264121-39T</t>
  </si>
  <si>
    <t>295931-62T</t>
  </si>
  <si>
    <t>PetLog</t>
  </si>
  <si>
    <t>Operator of a digital platform for pet identification, health tracking, and community engagement intended to enhance pet safety and simplify pet care. The company offers QR-code-enabled tags linked to pet profiles, digital vaccination records, a directory of pet-friendly locations, and access to pet professionals, enabling pet owners to manage health records, find services, and connect with other pet owners.</t>
  </si>
  <si>
    <t>293572-72T</t>
  </si>
  <si>
    <t>Pipe Ventures</t>
  </si>
  <si>
    <t>Operator of an alternative investment fund intended to support thematic sectors. The company co-manages specialized funds in partnership with sector experts, focusing on areas like neurotechnology, enabling investors to access targeted investment opportunities that aim for returns and sector-specific expertise.</t>
  </si>
  <si>
    <t>295768-72T</t>
  </si>
  <si>
    <t>Pipedone</t>
  </si>
  <si>
    <t>Operator of a business process management platform designed for organizing customer interactions and internal workflows. The company's platform includes features for task tracking, contact management, team collaboration, workflow automation, and customer relationship management (CRM), enabling small to mid-sized businesses to consolidate operational functions, reduce manual effort, and maintain oversight of customer relations through a centralized digital system.</t>
  </si>
  <si>
    <t>295294-15T</t>
  </si>
  <si>
    <t>PJMEI</t>
  </si>
  <si>
    <t>Developer of a digital platform designed for managing micro-entrepreneurial activities. The company's platform offers features such as issuing service invoices, managing sales, tracking financial activities, creating online stores, receiving online payments, accessing financial management tools, and providing reminders for tax obligations, enabling micro-entrepreneurs to streamline their business operations.</t>
  </si>
  <si>
    <t>295733-35T</t>
  </si>
  <si>
    <t>Plataforma Amplitude</t>
  </si>
  <si>
    <t>Developer of an educational platform intended to foster skill and ability development. The company is currently operating in Stealth Mode.</t>
  </si>
  <si>
    <t>218488-42T</t>
  </si>
  <si>
    <t>Latitud, Magma Partners, Urca Angels</t>
  </si>
  <si>
    <t>264045-16T</t>
  </si>
  <si>
    <t>Plenapausa</t>
  </si>
  <si>
    <t>Manufacturer of menopause relief products and supplements intended to alleviate symptoms of menopause. The company's platform addresses common issues like hot flashes, insomnia, and vaginal dryness, enabling women to experience a healthier and balanced life during this transitional phase.</t>
  </si>
  <si>
    <t>261601-30T</t>
  </si>
  <si>
    <t>Principia</t>
  </si>
  <si>
    <t>Developer of a financial platform designed to manage the economic processes of universities. The company's platform specializes in financial management by taking over the entire billing and collection process while ensuring timely payment with zero defaults, providing students with flexibility in payment methods.</t>
  </si>
  <si>
    <t>295303-51T</t>
  </si>
  <si>
    <t>Pro Educacional</t>
  </si>
  <si>
    <t>Developer of an online training platform intended for financial education and certification preparation. The company's platform provides lifetime access to regularly updated video courses, expert mentoring, and exam simulations, enabling professionals to gain certifications and improve their qualifications in the financial industry.</t>
  </si>
  <si>
    <t>295525-09T</t>
  </si>
  <si>
    <t>Projeto Mobiliando</t>
  </si>
  <si>
    <t>Developer of a decoration guide platform intended to make home decorating beautiful and affordable. The company's platform connects manufacturers, distributors, and construction companies with individuals seeking well-planned and budget-friendly furnishing solutions and offers tailor-made inspiration and original content featuring decorations for common property layouts, along with store product recommendations, enabling users to efficiently furnish their spaces.</t>
  </si>
  <si>
    <t>295273-45T</t>
  </si>
  <si>
    <t>Qualifiquei Leads</t>
  </si>
  <si>
    <t>Developer of data aggregation and lead identification platform intended for business prospecting purposes. The company's platform collects and consolidates information from multiple online sources, applies filtering and segmentation tools, integrates with customer relationship management systems, and automates contact management processes, enabling sales and marketing teams to efficiently identify, organize, and engage potential clients across diverse industries.</t>
  </si>
  <si>
    <t>295280-02T</t>
  </si>
  <si>
    <t>Quallify</t>
  </si>
  <si>
    <t>Developer of an integrated student recruitment platform designed to streamline higher education enrollment processes. The company's platform offers customer relationship management (CRM), testing functionality, landing page management, scholarship listing tools, business intelligence for data analysis, and training resources, enabling educational institutions to centralize operations, improve candidate tracking, enhance decision-making through data insights, and increase overall admission efficiency.</t>
  </si>
  <si>
    <t>265663-00T</t>
  </si>
  <si>
    <t>Quanto Custa Reformar</t>
  </si>
  <si>
    <t>Operator of the cost calculator platform intended for planning a renovation. The company's platform allows users to input details about their renovation project and receive a free estimate including material quantities and labor costs, enabling homeowners to plan their renovations with more transparency and confidence.</t>
  </si>
  <si>
    <t>264169-45T</t>
  </si>
  <si>
    <t>Rentbrella</t>
  </si>
  <si>
    <t>Operator of an umbrella-sharing platform intended to help people rent one. The company's platform works with rental stations throughout the city, where the customer goes to the machine, scans a quick response code, and pays for each hour of use the return can be made at any of the stations and the application shows where they are, enabling users to improve urban mobility and delivers quality impact brand activations.</t>
  </si>
  <si>
    <t>Leading Cities</t>
  </si>
  <si>
    <t>295566-31T</t>
  </si>
  <si>
    <t>ResiGo</t>
  </si>
  <si>
    <t>Developer of a healthcare teaching platform designed to achieve efficiency, innovation and quality for the future of health education. The company's application brings together students, tutors, preceptors and coordinators, register residents, preceptors and programs in the system, access calendars, schedules and centralized documents for efficient management, records activities, monitor resident progress and conduct assessments in a convenient, digital way and helps to generate automatic reports and insights to improve process, enabling institutions to transform the management of their medical residency in a simple and efficient way.</t>
  </si>
  <si>
    <t>275904-46T</t>
  </si>
  <si>
    <t>Vitaly Bedarev(Vitaly Bedarev)</t>
  </si>
  <si>
    <t>284555-62T</t>
  </si>
  <si>
    <t>ROIT</t>
  </si>
  <si>
    <t>Operator of a tax consulting and accounting firm intended to help medium and large fintech companies opting for real profit. The company applies cutting-edge hyper-automation and artificial intelligence technologies to transform accounting, tax, and financial operations, enabling clients to focus on driving transformative innovation that enhances productivity and efficiency across value chains.</t>
  </si>
  <si>
    <t>Airborne Ventures</t>
  </si>
  <si>
    <t>295270-66T</t>
  </si>
  <si>
    <t>Sales Express</t>
  </si>
  <si>
    <t>Developer of customer relationship management (CRM) tools designed to automate client interactions via messaging platforms. The company's platform offers features such as automated workflows, multi-user support, and integration capabilities, enabling businesses to streamline their communication processes and enhance customer engagement.</t>
  </si>
  <si>
    <t>295708-33T</t>
  </si>
  <si>
    <t>265542-04T</t>
  </si>
  <si>
    <t>SaQ.Digital</t>
  </si>
  <si>
    <t>Developer of finance technology designed to solve systemic limitations, streamline processes, and automate complex tasks. The company's platform features a system to transition from cash payments to alternative payment options, integrate partners with platform users, manage and control the sales of energy credits, automated payroll system, connect systems with interbank networks, monitor multiple platforms, and more, helping businesses to connect, customize, integrate complex applications and scale their business.</t>
  </si>
  <si>
    <t>264461-32T</t>
  </si>
  <si>
    <t>SBS-NET</t>
  </si>
  <si>
    <t>Provider of telecommunication and internet services intended for residential and business use. The company's platform offers high-speed internet with specialized support serving customers in the Minas Region and Brazil.</t>
  </si>
  <si>
    <t>G6 Internet</t>
  </si>
  <si>
    <t>219448-81T</t>
  </si>
  <si>
    <t>Score (Social/Platform Software)</t>
  </si>
  <si>
    <t>Operator of an online sports platform intended for connecting athletes to services, products, and content. The company's platform offers various services such as connecting material suppliers to content producers, and players with courts, enabling athletes to rent courts and enhancing engagement between them and sports clubs.</t>
  </si>
  <si>
    <t>Webrock Ventures (STO: WRV)</t>
  </si>
  <si>
    <t>297193-24T</t>
  </si>
  <si>
    <t>DMZ Ventures</t>
  </si>
  <si>
    <t>264265-75T</t>
  </si>
  <si>
    <t>Sirros IoT</t>
  </si>
  <si>
    <t>Developer of IOT systems designed for data collection and analysis for industrial use. The company's system Captures advanced data from sensors, cameras, and OEE integrations and centralizes all operations data on a unified platform, enabling customers to reach the maximum potential in their operations.</t>
  </si>
  <si>
    <t>265539-52T</t>
  </si>
  <si>
    <t>Smarthis</t>
  </si>
  <si>
    <t>Developer of digital transformation platform designed for business automation and optimization. The company's platform provides tools for automating repetitive tasks, analyzing data for insightful decision-making, and creating AI-driven solutions, enabling various industries to enhance efficiency, reduce costs, and achieve consistent, reliable results through tailored technological integration</t>
  </si>
  <si>
    <t>295303-42T</t>
  </si>
  <si>
    <t>SomDeBar</t>
  </si>
  <si>
    <t>Developer of audio content systems designed for atmospheric enhancement purposes. The company is currently operating in Stealth mode.</t>
  </si>
  <si>
    <t>295292-44T</t>
  </si>
  <si>
    <t>Souper</t>
  </si>
  <si>
    <t>Provider of a logistics and cargo transport service intended for freight delivery and supply chain coordination purposes. The company offers insured transportation, vetted drivers, continuous load monitoring, responsive customer support, and flexible vehicle assignment based on cargo needs, enabling businesses and individuals to reduce transit risks, ensure delivery accuracy, resolve in-transit issues, and improve overall transportation efficiency through tailored logistics operations.</t>
  </si>
  <si>
    <t>295560-01T</t>
  </si>
  <si>
    <t>Sowagro</t>
  </si>
  <si>
    <t>Developer of an agribusiness software designed to improve process management and productivity. The company provides software to improve traceability and quality enhancement in cotton production, ensuring accountability and data accuracy from farm to market following sustainable practices, enabling customers to improve efficiency, productivity and cut costs.</t>
  </si>
  <si>
    <t>260931-16T</t>
  </si>
  <si>
    <t>Splash Bebidas Urbanas</t>
  </si>
  <si>
    <t>Operator of a food and beverage shop based in Sao Paulo, Brazil. The company offers semi-prepared snacks, coffee, frappes, juices and chocolates.</t>
  </si>
  <si>
    <t>274311-19T</t>
  </si>
  <si>
    <t>FIEMG Lab(Fábio Veras)</t>
  </si>
  <si>
    <t>263987-92T</t>
  </si>
  <si>
    <t>StreamShop</t>
  </si>
  <si>
    <t>Developer of an interactive commerce platform designed to offer a more relevant, personalized, and fun shopping experience. The company's interface introduces products, helps interact with customers and sales converts all in one place, and brings the brand closer to consumers along with offering transparent checkout for various payment methods, enabling clients to promote their products and services and customers to easily buy them.</t>
  </si>
  <si>
    <t>295764-13T</t>
  </si>
  <si>
    <t>Suite Place</t>
  </si>
  <si>
    <t>Operator of a digital real estate platform designed for fully online property discovery, negotiation, and reservation. The company's platform enables users to search for available properties, choose specific units, submit offers, simulate financing options, and make payments to reserve units with exclusivity, allowing property buyers to complete the entire acquisition process independently, without the need for intermediaries or face-to-face interactions.</t>
  </si>
  <si>
    <t>295562-17T</t>
  </si>
  <si>
    <t>295562-26T</t>
  </si>
  <si>
    <t>295290-28T</t>
  </si>
  <si>
    <t>Suplos</t>
  </si>
  <si>
    <t>Developer of an inventory management platform intended to transform the supply chain. The company offers a mobile application for construction, easy and quick recording, stock entries, dashboards, tailored reports, metrics, and graphs, enabling clients to automate their workflow while reducing time and risk of failures.</t>
  </si>
  <si>
    <t>257982-04T</t>
  </si>
  <si>
    <t>SupplyLabs</t>
  </si>
  <si>
    <t>Developer of software platform designed to simplify supply chain management for businesses. The company offers a cloud-based platform called Comply which streamlines workflows and reduces manual tasks associated with traditional supplier management, enabling clients to automate and manage their supplier onboarding, risk assessment, and compliance processes.</t>
  </si>
  <si>
    <t>208629-82T</t>
  </si>
  <si>
    <t>Tabas</t>
  </si>
  <si>
    <t>Operator of a prop-tech platform intended to design and rent sophisticated ready-to-live apartments. The company's services include fully furnished apartments with exclusive design and professional cleaning service equipped with Wi-Fi, Smart-TV, air conditioning, and all necessary amenities, enabling people to rent these apartments and stay there for as long as they want.</t>
  </si>
  <si>
    <t>Blueground(Alexandros Chatzieleftheriou)</t>
  </si>
  <si>
    <t>295928-29T</t>
  </si>
  <si>
    <t>Table Talks</t>
  </si>
  <si>
    <t>Developer of an online teaching platform that connects students to qualified English teachers for personalized 1:1 lessons, enhanced by artificial intelligence-driven tools. The company's platform blends human instruction with real-world content, such as videos, documentaries, interviews, and podcasts to create an immersive learning experience.</t>
  </si>
  <si>
    <t>295493-77T</t>
  </si>
  <si>
    <t>Tanque Saudável</t>
  </si>
  <si>
    <t>Developer of water quality monitoring systems designed for aquaculture management. The company uses sensor-equipped floating units to collect real-time data on parameters such as temperature, potential of hydrogen (pH), dissolved oxygen sensor, and turbidity, transmits this information through (IoT) internet of things connectivity to a centralized interface, and provides automated alerts and historical analysis tools, enabling fish farming operations to reduce mortality, detect environmental risks early, and optimize feeding and harvesting decisions through continuous environmental oversight.</t>
  </si>
  <si>
    <t>295305-22T</t>
  </si>
  <si>
    <t>Te Atende</t>
  </si>
  <si>
    <t>Developer of employee training and assessment tools designed for customer service improvement purposes. The company's platform offers digital diagnostics, interactive learning modules, mystery shopper evaluations, attitude and skill measurement tools, and specialized programs for patient experience, enabling service-focused organizations to identify performance gaps, deliver tailored training, support diversity initiatives, and systematically enhance customer interaction quality across physical and digital environments.</t>
  </si>
  <si>
    <t>295558-93T</t>
  </si>
  <si>
    <t>TeuMercado</t>
  </si>
  <si>
    <t>Developer of a self-service market platform designed for residential condominiums. The company's platform offers 24/7 access to a wide range of everyday products, enabling residents to shop independently through barcode scanning and mobile payment, enhancing convenience and reducing the need for traditional staffing.</t>
  </si>
  <si>
    <t>158404-78T</t>
  </si>
  <si>
    <t>Lever VC, Mudcake, Muralha Capital, West Quad Ventures</t>
  </si>
  <si>
    <t>266705-38T</t>
  </si>
  <si>
    <t>262862-02T</t>
  </si>
  <si>
    <t>Treevia Forest Technologies</t>
  </si>
  <si>
    <t>Developer of a forest monitoring technology intended to make productivity rapid, reliable, and secure. The company's technology offers tools to track and enhance checking through data, information, and intelligence, enabling rangers to gain agility in their management and forest inventory operations.</t>
  </si>
  <si>
    <t>292809-88T</t>
  </si>
  <si>
    <t>Umanni</t>
  </si>
  <si>
    <t>Developer of a SaaS software designed for corporate performance management. The company helps organizations to facilitate and digitalize the performance management process, and its technology offers flexibility and a wide range of configurations for managing goals, evaluations, feedback, and development plans, enabling organizations to get flexible hr solutions.</t>
  </si>
  <si>
    <t>295326-73T</t>
  </si>
  <si>
    <t>UnivFilms</t>
  </si>
  <si>
    <t>Operator of a digital streaming platform intended for the on-demand viewing of films and television content. The company's platform offers access to a catalog of cinematographic works and TV shows produced by independent and recognized producers, students, and emerging talents, enabling audiences to stream a diverse range of content through an online interface.</t>
  </si>
  <si>
    <t>265197-16T</t>
  </si>
  <si>
    <t>247701-79T</t>
  </si>
  <si>
    <t>Niu Ventures</t>
  </si>
  <si>
    <t>264449-80T</t>
  </si>
  <si>
    <t>244090-36T</t>
  </si>
  <si>
    <t>Uze</t>
  </si>
  <si>
    <t>Provider of payment and credit cards and application services designed for supermarkets and other stores. The company specializes in private label cards, and credit card management focusing on providing exclusive services for the retail segment, virtual card apps, and white-labeled benefit solutions, thereby helping users with loss and theft insurance by guaranteeing coverage for transactions made on their invoice in cases of theft, theft, or loss of their card.</t>
  </si>
  <si>
    <t>DmCard Cartoes de Credito, Vinci Compass Investments (NAS: VINP)(José Pano)</t>
  </si>
  <si>
    <t>295748-65T</t>
  </si>
  <si>
    <t>VaiPraConta</t>
  </si>
  <si>
    <t>Developer of digital financial engagement tools designed for loyalty and recurring payment incentives. The company's platform includes cashback accumulation, automated financial allocation, user tracking dashboards, partner integrations, and consumer behavior analytics, enabling retailers and service providers to increase customer retention, monitor engagement metrics, and offer structured monetary incentives tied to regular transactions.</t>
  </si>
  <si>
    <t>247357-63T</t>
  </si>
  <si>
    <t>2150, Avila Ventures, Construct Capital(Rachel Holt), Maniv Mobility, Monashees</t>
  </si>
  <si>
    <t>295769-08T</t>
  </si>
  <si>
    <t>Vamos Vistorias</t>
  </si>
  <si>
    <t>Provider of digital and outsourced services intended to support the real estate inspection sector. The company's platform delivers inspection reports, nationwide surveyor access, and streamlined client support, enabling real estate agencies and professionals to ensure property integrity and enhance customer satisfaction.</t>
  </si>
  <si>
    <t>BPO/Outsource Services</t>
  </si>
  <si>
    <t>295515-82T</t>
  </si>
  <si>
    <t>Veg Oxi MP</t>
  </si>
  <si>
    <t>Manufacturer of plant-based coating technology intended for the preservation of fresh produce. The company uses a vegan-certified, edible formulation applied post-harvest to fruits and vegetables to extend shelf life without altering taste or appearance, enabling the agricultural and food retail market to reduce spoilage and minimize waste.</t>
  </si>
  <si>
    <t>293651-02T</t>
  </si>
  <si>
    <t>Vent Digital</t>
  </si>
  <si>
    <t>Provider of data solutions intended for companies and organizations. The company's aim is to bring data culture to businesses, bringing together business and market data in one place, with the goal of making management more assertive and efficient, and they work on the journey of making businesses data-driven, from the architecture and integration of data, processes and analytics, to the culture and application of AI, enabling clients to facilitate business decision-making.</t>
  </si>
  <si>
    <t>292610-71T</t>
  </si>
  <si>
    <t>Voca (Communication Software)</t>
  </si>
  <si>
    <t>Developer of an artificial intelligence-enabled internal communication platform intended to support organizational alignment and engagement. The company's system integrates emotion analysis, real-time climate tracking, and interaction channels through modules for opinion sharing, pulse surveys, and a private corporate network, enabling organizations to understand team sentiment, support leadership communication, and facilitate collaborative feedback.</t>
  </si>
  <si>
    <t>295338-43T</t>
  </si>
  <si>
    <t>Wifi Wiz</t>
  </si>
  <si>
    <t>Developer of a wi-fi technology intended to provide an opportunity to generate extra income. The company offers registration, connection, security, and simplicity in wi-fi networks, enabling clients to promote their brand directly on connected devices.</t>
  </si>
  <si>
    <t>267669-64T</t>
  </si>
  <si>
    <t>Zak</t>
  </si>
  <si>
    <t>Developer of an integrated management platform designed to digitize and empower restaurants. The company's platform offers help in channel development, integrated management for deliver and control of customer relationships, enabling restaurants to sell directly to their customers without adding complexity to their operations and helping them to reduce fixed costs.</t>
  </si>
  <si>
    <t>295757-56T</t>
  </si>
  <si>
    <t>Zeca (Business/Productivity Software)</t>
  </si>
  <si>
    <t>Developer of artificial intelligence-powered sales enablement tools designed for communication-based customer engagement. The company integrates with messaging applications to automate responses, generate intelligent product recommendations, facilitate digital order completion, and analyze sales team performance, enabling business-to-business sales organizations to reduce operational inefficiencies, increase responsiveness, optimize product mix promotion, and enhance digital channel utilization.</t>
  </si>
  <si>
    <t>212559-40T</t>
  </si>
  <si>
    <t>MB Telecomunicações</t>
  </si>
  <si>
    <t>Provider of internet services catering to individual and corporate clients.</t>
  </si>
  <si>
    <t>214754-32T</t>
  </si>
  <si>
    <t>PackID</t>
  </si>
  <si>
    <t>Developer of a logistics monitoring platform intended to check temperature and humidity in real-time. The company's platform offers simplified reporting, IoT sensors to guarantee all information with precision, coverage of vehicles, and data innovation to understand how environments work, enabling firms to facilitate processes and help them to make decisions to avoid losing products.</t>
  </si>
  <si>
    <t>212558-14T</t>
  </si>
  <si>
    <t>Rasche &amp; Stefenon</t>
  </si>
  <si>
    <t>Provider of internet services including fiber optic internet to users based in Rua Joao Lucca, Brazil. The company provides internet services such as web hosting, firewall, cloud backup, professional email, video monitoring and custom fiber optic projects, allowing users to keep the entire home connected without the need for a manual connection.</t>
  </si>
  <si>
    <t>211837-42T</t>
  </si>
  <si>
    <t>CapSur Capital(Marcel Arins), Monashees, Spectra Investments</t>
  </si>
  <si>
    <t>211750-84T</t>
  </si>
  <si>
    <t>GoGood</t>
  </si>
  <si>
    <t>Developer of a corporate wellness management platform designed to help employees adopt healthy habits and improve their overall well-being. The company's platform offers a variety of features that promote healthy habits, such as access to gyms and fitness classes, discounts on healthy foods, and personalized coaching, enabling customers and employees to improve their health and well-being, which can lead to increased productivity and reduced costs.</t>
  </si>
  <si>
    <t>Diagnosticos da America (BVMF: DASA3)</t>
  </si>
  <si>
    <t>211860-64T</t>
  </si>
  <si>
    <t>B2W Companhia Global do Varejo</t>
  </si>
  <si>
    <t>233164-00T</t>
  </si>
  <si>
    <t>Agora (Brazil)</t>
  </si>
  <si>
    <t>Developer of a B2B e-commerce platform designed to help businesses create online marketplaces, customer portals and e-procurement systems. The company's platform offers ready-made modules and customization options to fit the specific needs of each business, enabling businesses to streamline their operations and improve their bottom line.</t>
  </si>
  <si>
    <t>215700-49T</t>
  </si>
  <si>
    <t>Clicksign</t>
  </si>
  <si>
    <t>Developer of an electronic signature platform designed to facilitate the electronic signing of documents. The company's platform offers an easier way of signing business contracts, loans, insurance proposals, school enrollment, and general documents without any digital certificate requirement, enabling users to sign documents and close deals efficiently and reducing bureaucracy.</t>
  </si>
  <si>
    <t>HBS Alumni Angels of Brazil, Redpoint eventures, SaaSholic</t>
  </si>
  <si>
    <t>249307-12T</t>
  </si>
  <si>
    <t>211703-68T</t>
  </si>
  <si>
    <t>Me Senti Seguro</t>
  </si>
  <si>
    <t>Operator of a technology company focused on the digitization of agro insurance for the insurance market. The company provides solutions to simplify the contracting, risk management and enhancing the distribution of agro-insurance and rural insurance policies, connecting reinsurers, insurers, brokers and channels of resellers and cooperatives.</t>
  </si>
  <si>
    <t>211496-86T</t>
  </si>
  <si>
    <t>Brokers Seguros</t>
  </si>
  <si>
    <t>Operator of an insurance brokerage agency intended to serve the medium-sized companies market. The company offers health insurance, life insurance and dental insurance.</t>
  </si>
  <si>
    <t>211933-00T</t>
  </si>
  <si>
    <t>Cosan (BVMF: CSAN3)</t>
  </si>
  <si>
    <t>Cosan SA engages in several services throughout the energy and logistics sectors. Its reportable segments are Raizen, Compass, Moove, Rumo, and Radar. It generates the majority of its revenue from Raizen which operates in the production, commercialization, origination, and trading of ethanol, bioenergy, resale, and trading of electricity, renewable sources, marketing, origination, and trading of sugar and fuels, and lubricant.</t>
  </si>
  <si>
    <t>243426-52T</t>
  </si>
  <si>
    <t>JustForYou</t>
  </si>
  <si>
    <t>Manufacturer of personalized hair care products intended for hair, nails, and skin. The company engages in offering customized formulas for shampoos and conditioners, and uses Artificial Intelligence to create a more conscious way to consume hair care products, helping customers by providing products for their hair with the use of science and technology.</t>
  </si>
  <si>
    <t>Neuron Ventures</t>
  </si>
  <si>
    <t>211288-51T</t>
  </si>
  <si>
    <t>Odonto Empresa Convênios Dentários</t>
  </si>
  <si>
    <t>Operator of a dental insurance agency in Brazil. The company offers dental insurance plans and services.</t>
  </si>
  <si>
    <t>CNP Assurances (Issy-les-Moulineaux)(Hervé Thoumyre)</t>
  </si>
  <si>
    <t>212255-38T</t>
  </si>
  <si>
    <t>Seiwa</t>
  </si>
  <si>
    <t>Developer of a medical fees management platform designed to simplify the financial operations of doctors for hospitals. The company's platform offers transparency and control of medical receipts and tracks disallowances, receipts, and transfer delays, enabling doctors to have an application to search, organize, and consolidate receipts, saving them time by organizing their finances and hospitals to keep their fee transfers transparent.</t>
  </si>
  <si>
    <t>WOW Aceleradora de Startups</t>
  </si>
  <si>
    <t>244709-56T</t>
  </si>
  <si>
    <t>Cienci</t>
  </si>
  <si>
    <t>Provider of IT consulting services based in Brazil. The company specializes in SAP corporate systems and operates in the implementation, development, maintenance and post-implementation Service-Desk support of SAP solutions and ecc (erp), grc nf-e (inbound and outbound), nfse sap (inbound and outbound), integration with netweaver pi, mobility (fiori, afaria and smp) and areas of functional and technical support in grc nfe/nfse and abap factory/solutions.</t>
  </si>
  <si>
    <t>Epi-Use</t>
  </si>
  <si>
    <t>234437-05T</t>
  </si>
  <si>
    <t>Artemisia, Stars Acceleradora</t>
  </si>
  <si>
    <t>220122-55T</t>
  </si>
  <si>
    <t>Parcelamos Tudo</t>
  </si>
  <si>
    <t>Developer of a fintech platform designed to simplify payment methods and account installments. The company's platform offers a complete service for installment via credit card, correspondent banking, and payment options, enabling individuals and companies to pay their bills in installments.</t>
  </si>
  <si>
    <t>Bossa Invest, Nera Investimentos fund</t>
  </si>
  <si>
    <t>211200-13T</t>
  </si>
  <si>
    <t>Terracotta Ventures(Bruno Loreto), TM3 Capital</t>
  </si>
  <si>
    <t>250964-83T</t>
  </si>
  <si>
    <t>250963-84T</t>
  </si>
  <si>
    <t>227161-72T</t>
  </si>
  <si>
    <t>ACE- Engenharia e Construcoes</t>
  </si>
  <si>
    <t>Provider of office fit-out and refurbishment services based in Sao Paulo, Brazil. The company provides office refurbishment, redesign, commercial fit out and construction services for various types of offices.</t>
  </si>
  <si>
    <t>177182-74T</t>
  </si>
  <si>
    <t>BRK Ambiental</t>
  </si>
  <si>
    <t>Provider of water and sewerage services based in São Paulo, Brazil. The company offers diagnosis and remediation of contaminated sites, monitoring of surface and groundwater, energy recovery from municipal solid waste and management of sewage collection, removal, treatment and final disposal, enabling easy access to basic sanitization services to its customers.</t>
  </si>
  <si>
    <t>211108-87T</t>
  </si>
  <si>
    <t>Interbrok Group</t>
  </si>
  <si>
    <t>Operator of an insurance broking agency based in São Paulo, Brazil. The company offers property, vehicle, cargo transport and storage insurance and reinsurance services as well as specializes in the management of insurance programs and analysis of accidents and claims, thereby helping clients by safeguarding their assets in the case of an unforeseen accident.</t>
  </si>
  <si>
    <t>Arthur J. Gallagher &amp; Company (NYS: AJG)(Patrick Gallagher)</t>
  </si>
  <si>
    <t>207074-71T</t>
  </si>
  <si>
    <t>Kultua</t>
  </si>
  <si>
    <t>Operator of a people management platform intended to provide a focused corporate environment. The company's platform provides diagnostics, automation of customizable rituals, and people analytics, enabling clients to exercise employee engagement and reinforcement of the culture goal practices in the company, in a playful and humanized way.</t>
  </si>
  <si>
    <t>Andrea Bisker(Andrea Bisker), FEA Angels, JCS Venture, Sororité, WIM Angels(Ana Camargo)</t>
  </si>
  <si>
    <t>215654-86T</t>
  </si>
  <si>
    <t>Linkapital</t>
  </si>
  <si>
    <t>Provider of financial credit services intended to mitigate investment risk. The company specializes in contributing financial liquidity by subsiding capital pressure to contribute in a subordinated quota through a credit analysis process, enabling small and medium-sized companies to improve their operational capacity with minimal risk.</t>
  </si>
  <si>
    <t>Augme Capital, SRM Ventures(Andre Szapiro), Torq (Brazil)</t>
  </si>
  <si>
    <t>213218-38T</t>
  </si>
  <si>
    <t>Project Sobral</t>
  </si>
  <si>
    <t>1 GW solar project under development in Santana do Acaraú, Brazil. The asset is expected to generate more than 2,000 GWh per year</t>
  </si>
  <si>
    <t>Cubico Sustainable Investments(Javier Areitio), Ontario Teachers' Pension Plan, Public Sector Pension Investment Board(Guthrie Stewart)</t>
  </si>
  <si>
    <t>211348-45T</t>
  </si>
  <si>
    <t>U4Hero</t>
  </si>
  <si>
    <t>Operator of an edtech platform intended for online monitoring of students. The company helps educators understand how different emotions influence school performance and socio-emotional development, enabling tutors to collaborate for their own development and help them to understand in a practical and intuitive way which socio-emotional skills are well developed and which need to be strengthened among students.</t>
  </si>
  <si>
    <t>FDC Angels</t>
  </si>
  <si>
    <t>216017-20T</t>
  </si>
  <si>
    <t>Meta Ventures, The Next Gen</t>
  </si>
  <si>
    <t>218599-84T</t>
  </si>
  <si>
    <t>Apoio Logística e Serviços</t>
  </si>
  <si>
    <t>Provider of trucking transportation services based in Sao Paulo, Brazil. The company offers cargo storage, cargo road transport, integrated logistics, real estate assets as well as consultation through software and applications, thereby providing security and control to clients' businesses.</t>
  </si>
  <si>
    <t>Multilog</t>
  </si>
  <si>
    <t>211025-53T</t>
  </si>
  <si>
    <t>Blocktane</t>
  </si>
  <si>
    <t>Developer of a digital assets trading platform based in Brazil. The company provides digital asset exchange services through cryptocurrency.</t>
  </si>
  <si>
    <t>Gleec BTC Exchange</t>
  </si>
  <si>
    <t>244158-85T</t>
  </si>
  <si>
    <t>Jusfy</t>
  </si>
  <si>
    <t>Developer of a law platform designed to offer all legal tools on the market in a single platform. The company's platform offers lawyers and accountants consulting and simplifies the execution of several legal calculations for individuals and business organizations, enabling clients to have software that includes all the tools that are necessary for legal activities.</t>
  </si>
  <si>
    <t>Alexandre Dubugras(Alexandre Dubugras), Citrino Ventures, Daniel Arbix(Daniel Arbix), HBS Alumni Angels of Brazil, Joao Costa(Joao Costa), Mergus Ventures, Norte Ventures, Ricardo Goldfarb(Ricardo Goldfarb), SaaSholic, Victor Lazarte(Victor Lazarte)</t>
  </si>
  <si>
    <t>212024-71T</t>
  </si>
  <si>
    <t>Mundo Pet</t>
  </si>
  <si>
    <t>Operator of a pet store chain across North East Brazil. The company's facilities offer a range of products including pet food, accessories, toys and mini-houses for dogs, cats, rodents, birds and fish, enabling owners to provide optimum care to their pets along with veterinary care and aesthetic services.</t>
  </si>
  <si>
    <t>Cobasi(Paulo Nassar), Kinea Investimentos (BVMF: KNHY11)(Cristiano Lauretti)</t>
  </si>
  <si>
    <t>211035-25T</t>
  </si>
  <si>
    <t>Rufy</t>
  </si>
  <si>
    <t>Operator of a financial platform intended for employee's health. The company offers financial health services and financial empowerment through individualized financial planning, enabling employees of firms and people in general to promote financial balance and personal well-being.</t>
  </si>
  <si>
    <t>Átila Buhring(Átila Buhring)</t>
  </si>
  <si>
    <t>210925-09T</t>
  </si>
  <si>
    <t>Eqwow Ventures, G2A Investment Partners, Solum Capital, South Capital, Vox Capital(Livia Brando)</t>
  </si>
  <si>
    <t>191844-64T</t>
  </si>
  <si>
    <t>Deframe</t>
  </si>
  <si>
    <t>Developer of the decentralized protocol platform intended to hedge crypto using decentralized finance. The company's platform offers tailor-made Defi, put options, and call options, enabling users to manage their assets, protect portfolios, and earn profits.</t>
  </si>
  <si>
    <t>6th Man Ventures, Alexia Ventures, Arche Fund, Cyber.Fund, Daedalus Angels, Fourth Revolution Capital, Framework Ventures, Hash#CIB, IOSG Ventures, Platinum Capital vc, Republic, Republic Capital, Roble Venture Capital, Tomahawk.VC, Vendetta Capital</t>
  </si>
  <si>
    <t>259554-16T</t>
  </si>
  <si>
    <t>Kalliandra</t>
  </si>
  <si>
    <t>Developer of monitoring systems designed for irrigation. The company specializes in agricultural IoT and creating sensor technology for rural producers in the region, enabling farmers with real-time information on crops and equipment to make actionable decisions for irrigation management.</t>
  </si>
  <si>
    <t>uShark(Geraldo Marques)</t>
  </si>
  <si>
    <t>211199-77T</t>
  </si>
  <si>
    <t>Cyrela (BVMF: CYRE3), Guilherme Bonifácio(Guilherme Bonifácio), Igah Ventures, Paulo Veras, Vivo Ventures, Wayra Brazil(Gabriela Toribio)</t>
  </si>
  <si>
    <t>210978-01T</t>
  </si>
  <si>
    <t>NavegAM</t>
  </si>
  <si>
    <t>Developer of an e-commerce platform designed to commercialize the passageways of Amazonian river vessels. The company's platform consists of a built-in vessel module for managing ticket sales and an app for selling these tickets both on the boat itself and at the agencies offering those tickets, enabling commuters to purchase tickets from the web and vendors to reach a wider audience.</t>
  </si>
  <si>
    <t>Bertha Capital, FIP FIEAM</t>
  </si>
  <si>
    <t>210912-04T</t>
  </si>
  <si>
    <t>200551-69T</t>
  </si>
  <si>
    <t>223265-26T</t>
  </si>
  <si>
    <t>DBServer</t>
  </si>
  <si>
    <t>Provider of digital services intended to maximize business impact with technology and innovation. The company offers consulting, software development, sourcing, design solutions and IoT solutions to finance, retail, services, industry and technology sectors, enabling businesses to develop a computerized solution to increase productivity and performance.</t>
  </si>
  <si>
    <t>Randoncorp (BVMF: RAPT3)(Daniel Ely)</t>
  </si>
  <si>
    <t>222952-15T</t>
  </si>
  <si>
    <t>ACT Investimentos</t>
  </si>
  <si>
    <t>224643-52T</t>
  </si>
  <si>
    <t>215422-66T</t>
  </si>
  <si>
    <t>215358-04T</t>
  </si>
  <si>
    <t>NovoAgro Ventures</t>
  </si>
  <si>
    <t>Operator of a corporate venture builder intended to focus on technological aspects of agribusiness. The company specializes in mapping the challenges of agroindustries and rural producers and invests in technology companies that are developing systems for these problems, enabling ag-tech businesses to generate value in the agribusiness production chain.</t>
  </si>
  <si>
    <t>Rafael Santos</t>
  </si>
  <si>
    <t>259530-85T</t>
  </si>
  <si>
    <t>Agrimapp</t>
  </si>
  <si>
    <t>Developer of a logistical application designed to travel through the rural sectors. The company's application assists in the mobility of workers and provides detailed descriptions of the roads with notes on the conditions and specifics, enabling the agricultural sector with route data for farms and rural properties by saving time and money, avoiding setbacks and delays in searching for or delivering services or products.</t>
  </si>
  <si>
    <t>210686-68T</t>
  </si>
  <si>
    <t>BoletoFlex</t>
  </si>
  <si>
    <t>Developer of a financial platform designed to provide easy installments in online payments. The company's platform offers option to purchase any product and pay the amount in easy installments without any subscription fee or card, enabling users to purchase products they wish to buy without financial restraints.</t>
  </si>
  <si>
    <t>259539-31T</t>
  </si>
  <si>
    <t>Cyklope</t>
  </si>
  <si>
    <t>Operator of a resistance management firm intended to avoid losses in the field. The company focuses on the identification of weeds and insects, precision agriculture, dashboard, and monitoring tools, enabling farmers to use pesticides in the exact measure to reduce pests.</t>
  </si>
  <si>
    <t>uShark</t>
  </si>
  <si>
    <t>210793-15T</t>
  </si>
  <si>
    <t>212738-86T</t>
  </si>
  <si>
    <t>Bain Capital, Byers Capital, Conservation International Ventures, Kaszek(Nicolas Szekasy), Spectra Investments, Union Square Ventures</t>
  </si>
  <si>
    <t>183158-11T</t>
  </si>
  <si>
    <t>Olipay</t>
  </si>
  <si>
    <t>Developer of a fintech application designed to provide reliable consumer insights on underserved borrowers in Latam and protect them, from fraud credit risk, and collections. The company's application programming interface integrates various disparate data sources and leverages artificial intelligence-powered insights acquired via embedded lending channel partners, thus allowing any financial institution, fintech, wallet, or marketplace to truly unlock credit to their existing customers.</t>
  </si>
  <si>
    <t>Canary (Brazil), Dragon Capital (California), Hangar8 Capital, Soma Capital, Think +</t>
  </si>
  <si>
    <t>212532-94T</t>
  </si>
  <si>
    <t>Adubos Vera Cruz</t>
  </si>
  <si>
    <t>Manufacturer of mixed mineral fertilizers intended to contribute to the development of agribusiness by producing more food with less impact on the environment. The company specializes in the formulation of specific and differentiated fertilizers as per the nutritional needs of each phenological stage of the crops with differentiated logistics, thereby enabling farmers to minimize their production costs.</t>
  </si>
  <si>
    <t>Uralkali (MISX: URKA)</t>
  </si>
  <si>
    <t>213032-26T</t>
  </si>
  <si>
    <t>Hedge Desenvolvimento (BVMF: HDEL11)</t>
  </si>
  <si>
    <t>Hedge Desenvolvimento Logistico Fundo DE Investimento Imobilirio is a real estate fund for the development of logistics ventures. The purpose of the Fund is to provide its shareholders with the appreciation and profitability of their shares in the long term, aiming at obtaining capital gains by investing their equity, directly or indirectly, in real estate projects, in whole or in part, predominantly for the development of undertakings intended for logistical and industrial exploitation, as well as goods and rights related thereto.</t>
  </si>
  <si>
    <t>210633-40T</t>
  </si>
  <si>
    <t>Network Brasil</t>
  </si>
  <si>
    <t>Operator of a digital entertainment and sports platform intended to provide various program to their spectators. The company uses technology, data and information to transform content production into engaging, memorable and innovative digital experiences.</t>
  </si>
  <si>
    <t>Grupo SBF (BVMF: SBFG3)(Pedro Zemel)</t>
  </si>
  <si>
    <t>202676-77T</t>
  </si>
  <si>
    <t>Pagaleve</t>
  </si>
  <si>
    <t>Developer of installment payment software designed to buy now and pay later. The company's platform offers payment in installments without interest and without the need to use a credit card, enabling merchants a new payment method, to increase their sales in a simple, uncomplicated, and agile way, and offering people the opportunity to buy what they want, without committing to high credit card interest rates.</t>
  </si>
  <si>
    <t>Banco do Brasil (BVMF: BBAS3)(Fausto de Andrade Ribeiro), Endeavor Promessas, Entrée Capital, Founder Collective, Janeiro Energy, MSW Capital, OIF Ventures, Salesforce Ventures(Robert Keith)</t>
  </si>
  <si>
    <t>215948-89T</t>
  </si>
  <si>
    <t>FireFly (Business/Productivity Software)</t>
  </si>
  <si>
    <t>Developer of intelligent service bots designed for the automation of services for the real estate market. The company specializes in designing chatbots to speed up communication with customers, anticipate relevant information, and answer the most frequently asked questions in the first contact through bots and artificial intelligence, unifying the platform and integrating market systems with digital channels, enabling brokers or attendants to offer a more suitable product to the customer.</t>
  </si>
  <si>
    <t>210647-44T</t>
  </si>
  <si>
    <t>Ponto Predict</t>
  </si>
  <si>
    <t>Operator of technology company intended to optimize people management processes in large and complex organizations. The company specializes in human resources, information technology, people analytics, data science, sap, data intelligence, machine learning, chatbots, artificial intelligence, and digital transformation, enabling organizations to improve decision-making, enhance productivity, and streamline human resource operations.</t>
  </si>
  <si>
    <t>WORC Plataforma de Empregabilidade(Alex Apter)</t>
  </si>
  <si>
    <t>210462-04T</t>
  </si>
  <si>
    <t>Gdoor</t>
  </si>
  <si>
    <t>Developer of business management software intended for the management of micro and small companies. The company platform provides solutions for making sales, issuing coupons and invoices, financial management, inventory control and generation of tax files, thereby helping its client by offering tailored solutions with excellence in the field of automation.</t>
  </si>
  <si>
    <t>Zucchetti(Alessandro Zucchetti)</t>
  </si>
  <si>
    <t>239431-69T</t>
  </si>
  <si>
    <t>ManyConvert</t>
  </si>
  <si>
    <t>Developer of a sales recovery and email marketing platform designed to build customer loyalty, increase engagement, and convert more potential customers. The company's platform automates and improves communication efficiency with potential customers and approaches leads at the right time by resolving all objections and completing the purchase, enabling businesses to earn more profit by increasing sales without increasing marketing investments.</t>
  </si>
  <si>
    <t>293642-83T</t>
  </si>
  <si>
    <t>PoolPay</t>
  </si>
  <si>
    <t>Provider of payments as a service infrastructure intended to connect online channels to reduce costs with fees, charges, and payment projects. The company offers routing, payment splitting, custom checkouts, anti-fraud systems, and a dashboard, enabling businesses to generate efficiency and tangible results.</t>
  </si>
  <si>
    <t>210463-39T</t>
  </si>
  <si>
    <t>Smallsoft</t>
  </si>
  <si>
    <t>Developer of automation software designed to provide a complete online system to simplify business management for small retail companies. The company develops easy-to-install and simple-to-use technology for issuing electronic tax documents, inventory control, records, and finance thus helping businesses to run their fast operations.</t>
  </si>
  <si>
    <t>264704-68T</t>
  </si>
  <si>
    <t>Ta Pago</t>
  </si>
  <si>
    <t>Developer of a mobile based payment platform intended for the food and meal voucher industry. The company's platform provides Private Label Mobile service for retail chains, promote innovation, enhance the offer of diversified financial products and services to the consumer, safeguarding risk management, enabling its clients to put an end to scams made through false receipts, offering authentication service for bank transfers and USSD technology.</t>
  </si>
  <si>
    <t>LISPA Incubator</t>
  </si>
  <si>
    <t>210300-76T</t>
  </si>
  <si>
    <t>Enferminas</t>
  </si>
  <si>
    <t>Proz (Brazil)</t>
  </si>
  <si>
    <t>207545-23T</t>
  </si>
  <si>
    <t>Portão 3</t>
  </si>
  <si>
    <t>Developer of financial software designed to manage expenses, rules, approvals, reimbursements, and budgets. The company's software offers reservation management, expense management, and multiple payment methods, enabling businesses to make payments without much trouble.</t>
  </si>
  <si>
    <t>Better Tomorrow Ventures, Edward Lando(Edward Lando), Endeavor Global, Fin Capital, Findell Capital, Flexport, Jon Oringer(Jon Oringer), Nadav Chanoch(Nadav Chanoch), Pareto Holdings, Reverb Capital</t>
  </si>
  <si>
    <t>214442-56T</t>
  </si>
  <si>
    <t>Behold Studios</t>
  </si>
  <si>
    <t>Operator of a gaming studio intended to develop small indie games. The company developed multiple games for an arcade-style RPG for PC devices and a role-playing video game for PC, web, and mobile devices their games are also available on Steam, PlayStation Store, and Google Play store, enabling gamers to get various types of strategy-based games</t>
  </si>
  <si>
    <t>Product Crowdfunding</t>
  </si>
  <si>
    <t>210280-78T</t>
  </si>
  <si>
    <t>Dr.Cash</t>
  </si>
  <si>
    <t>Developer of financing services platform designed to facilitate credit for payment of medical, aesthetic, or dental treatments. The company's platform helps users to apply for financing from the clinic and they need to choose an installment option and provide the required documents upon approval to receive a subscription agreement by email, enabling both clinics and hospitals as well as patients to get financial medical assistance.</t>
  </si>
  <si>
    <t>Corporate Venture Capital Japan</t>
  </si>
  <si>
    <t>300285-64T</t>
  </si>
  <si>
    <t>MedPós</t>
  </si>
  <si>
    <t>Operator of postgraduate medical education programs designed for professional specialization and clinical skill development. The company offers high-volume outpatient training, theoretical modules, certified faculty, proprietary facilities, and regionally distributed campuses in Brazil, thereby enabling licensed physicians to gain hands-on experience, prepare for board certification, and access structured learning environments that integrate academic rigor with practical application across dermatology, aesthetic medicine, and surgical disciplines.</t>
  </si>
  <si>
    <t>IBCMED(Fabiano Karolyi)</t>
  </si>
  <si>
    <t>210142-36T</t>
  </si>
  <si>
    <t>Performay</t>
  </si>
  <si>
    <t>Provider of an online tool developed with a focus on e-commerce for dealerships. The company's tool is used for creating websites, portals and landing pages.</t>
  </si>
  <si>
    <t>DealerSites(Marcio Pacheco)</t>
  </si>
  <si>
    <t>210014-38T</t>
  </si>
  <si>
    <t>Raviera Motors(Operations in Pedro Álvares Cabral)</t>
  </si>
  <si>
    <t>Operator of car dealership firm based out of Pedro Álvares Cabral, Brazil.</t>
  </si>
  <si>
    <t>Luxsport Motor Group</t>
  </si>
  <si>
    <t>210159-19T</t>
  </si>
  <si>
    <t>Saurus Software</t>
  </si>
  <si>
    <t>Developer of advanced cloud management systems intended to provide commercial automation in retail, distribution and small industries. The company offers software based on the research and evaluation of the real needs for the automation of processes that involve the entire control of sales data.</t>
  </si>
  <si>
    <t>207562-96T</t>
  </si>
  <si>
    <t>Developer of an agri-business platform designed to connect farmers with agricultural industries, dealers, coops, businesses, and farmers. The company offers coalition and redemption currencies of incentive programs, software systems, crop mapping, loyalty, cashback, financial service systems, ERP software, and other software for users, enabling clients to recognize the value of agricultural entrepreneurs and rural producers &amp; boost their agricultural business.</t>
  </si>
  <si>
    <t>10b - Gestora de Recursos(Thomas Carolla), Alexia Ventures, Beberibe Ventures, BeeCap, Bela Juju Ventures, Mandi Ventures, Partner Ventures, ScaleUp Endeavor, The Yield Lab Latam, Tridon Participações, Volpe Capital(Gabriel Marcassa), Vox Capital</t>
  </si>
  <si>
    <t>210087-91T</t>
  </si>
  <si>
    <t>A Fábrica</t>
  </si>
  <si>
    <t>Producer of audio and video content for television and multimedia platforms. The company creates and develops film, advertising, television programs and new media content and produces both original contents and briefed projects, fiction or non-fiction, in any genre or format, enabling individuals to enjoy watching such shows in order to relax their minds.</t>
  </si>
  <si>
    <t>Banijay Group (AMS: BNJ)(Ben Samek), De Agostini, Groupe Arnault</t>
  </si>
  <si>
    <t>210049-12T</t>
  </si>
  <si>
    <t>Fazenda da Toca</t>
  </si>
  <si>
    <t>Producer of organic eggs intended to offer a healthy, animal-friendly and nutritional food alternative. The company specializes in producing and packaging big and small organic eggs, helping its clients by offering eggs enriched with Omega 3, Selenium and Vitamin E.</t>
  </si>
  <si>
    <t>Mantiqueira(Leandro Pinto)</t>
  </si>
  <si>
    <t>210012-04T</t>
  </si>
  <si>
    <t>Iveloz Telecom</t>
  </si>
  <si>
    <t>Operator of a network of fiber optic and radio circuits intended to guarantee the connectivity of our customers and the security of information. The company engages in telephony based on a fiber optic network.</t>
  </si>
  <si>
    <t>TecPar (Brazil)(Onir Figueredo)</t>
  </si>
  <si>
    <t>205065-10T</t>
  </si>
  <si>
    <t>Segura (Network Management Software)</t>
  </si>
  <si>
    <t>Developer of an access management tool designed to help organizations build sovereignty and security over access and privileged information. The company's platform protects the entire development and operations pipeline, isolates, monitors, and logs all privileged cloud access, manages all devices connected to the environment, and provides an intuitive interface, enabling clients to secure storage, access segregation, and full traceability of use.</t>
  </si>
  <si>
    <t>Graphene Ventures(Nabil Borhanu)</t>
  </si>
  <si>
    <t>209961-46T</t>
  </si>
  <si>
    <t>Docket (Business/Productivity Software)</t>
  </si>
  <si>
    <t>Developer of a documentation platform designed to automate the procurement of documents and analyzing documents to reduce costs in all document-based operations in Brazil. The company's platform uses artificial intelligence to search, manage, and analyze documents, optimize operations in an agile and intelligent way, enabling companies to focus on people, processes and products and generating value for the client's business models.</t>
  </si>
  <si>
    <t>Gerdau Next Ventures, Inovabra Ventures, Marcel Malczewski(Marcel Malczewski), ONEVC, TM3 Capital, Valor Capital Group, Valutia, Wayra Brazil</t>
  </si>
  <si>
    <t>224126-02T</t>
  </si>
  <si>
    <t>1616 Ventures, BFF VC, Far Out Ventures, Norte Ventures, Quona Capital, Upload Ventures (Sao Paulo)</t>
  </si>
  <si>
    <t>264045-97T</t>
  </si>
  <si>
    <t>Matter (Consulting Services (B2B))</t>
  </si>
  <si>
    <t>242875-90T</t>
  </si>
  <si>
    <t>Vitru Brasil Empreendimentos, Participações e Comércio</t>
  </si>
  <si>
    <t>Operator of educational institutes intended to provide private higher education facilities. The company is a digital education provider and provides post-secondary distance learning programs and a complete pedagogical ecosystem focused on a hybrid digital education experience for undergraduates and continuing education, the programs are provided in multiple formats namely, videos, eBooks, podcasts, and HTML text, among others.</t>
  </si>
  <si>
    <t>192571-75T</t>
  </si>
  <si>
    <t>aMORA</t>
  </si>
  <si>
    <t>Operator of a real estate platform intended to help Brazilians in the process of buying their properties. The company's platform helps to find the property, evaluate it and buy the property that has been chosen, enabling customers to buy the house of their choice and save by keeping part of the amount they pay in a deposit.</t>
  </si>
  <si>
    <t>Airborne Ventures, Brian Requarth(Brian Requarth), Caravela Capital, Diego Libanio(Diego Libanio), Douglas Oliveira(Douglas Oliveira), Global Founders Capital, Goodwater Capital, Guilherme Bonifácio(Guilherme Bonifácio), Latitud, Moore Strategic Ventures, Pareto Holdings, Plug and Play Tech Center, RBR Asset Management (BVMF: RBRL11), Rivercrest Global</t>
  </si>
  <si>
    <t>209725-66T</t>
  </si>
  <si>
    <t>Cashin</t>
  </si>
  <si>
    <t>Developer of a payment platform designed to simplify incentive payments. The company's platform facilitates an efficient way to distribute incentive premiums, pay outsourced employees, and other intra-company payments such as refunds, food, fuel, and others, enabling clients save time in managing payments and increase productivity.</t>
  </si>
  <si>
    <t>Bertha Capital, FIP FIEAM, Thales (Aerospace and Defence) (PAR: HO), WE Impact</t>
  </si>
  <si>
    <t>213541-48T</t>
  </si>
  <si>
    <t>Fii Central Leblon</t>
  </si>
  <si>
    <t>Fii Central Leblon - Fundo De Investimento Imobiliario is a real estate investment fund. The objective of the Fund is the investment in the Property, primarily through the acquisition direct from the property. The purpose of the Fund is to realize a capital gain through the direct investment in the Property, for subsequent sale, provided that the Property may be explored, additionally, aiming at obtaining income whose primary objective is to an appreciation of its potential selling price.</t>
  </si>
  <si>
    <t>209947-78T</t>
  </si>
  <si>
    <t>Leve</t>
  </si>
  <si>
    <t>Developer of a financial well-being platform designed to offer financial support to employees. The company provides a combination of a personal assistant with a network of financial solutions, financial advice to help employees overcome challenges, monitoring the financial health of employees, reporting the data to the human resources of the companies, enabling employees and companies to diagnose the root of financial problems and deliver the best solution for each case.</t>
  </si>
  <si>
    <t>Neon</t>
  </si>
  <si>
    <t>225534-70T</t>
  </si>
  <si>
    <t>Cel.Lep Idiomas</t>
  </si>
  <si>
    <t>Operator of an English language teaching (ELT) network intended for kids, teens and adults across Brazil. The company offers training services through its network of schools and institutions as well as language labs and a proprietary methodology, enabling clients with practical foreign language education.</t>
  </si>
  <si>
    <t>209957-23T</t>
  </si>
  <si>
    <t>Good Winds</t>
  </si>
  <si>
    <t>Provider of aviation insurance brokerage and consultancy services intending to support pilot training. The company provides power and energy insurance, agriculture insurance, aeronautical insurance, business insurance and fleet insurance.</t>
  </si>
  <si>
    <t>Alper Consultoria e Corretora de Seguros(Eduardo Toledo)</t>
  </si>
  <si>
    <t>284396-68T</t>
  </si>
  <si>
    <t>GTI Plug</t>
  </si>
  <si>
    <t>Developer of a warehouse management platform designed to manage inventory and automate warehouse movements. The company's platform utilizes artificial intelligence for product identification and receipt, tracking all movement and storage, until the moment product leaves stock to be delivered to the distributor or end customer, enabling logistic companies to simplify and modernize their logistics operations.</t>
  </si>
  <si>
    <t>Baita</t>
  </si>
  <si>
    <t>209676-43T</t>
  </si>
  <si>
    <t>Provider of venture capital investment services intended to support early-stage technology companies. The company focuses on scalable and sustainable business models through detailed analysis and strategic investments thereby fostering innovation and entrepreneurship.</t>
  </si>
  <si>
    <t>Patria Investments (NAS: PAX)(Ricardo Scavazza)</t>
  </si>
  <si>
    <t>210441-79T</t>
  </si>
  <si>
    <t>Lunix</t>
  </si>
  <si>
    <t>Provider of prepaid credit cards intended for online transactions. The company's product offers cashback, and rewards on purchases and also provides a gamified platform to win vouchers, enabling users to transact smoothly.</t>
  </si>
  <si>
    <t>Flash Ventures</t>
  </si>
  <si>
    <t>211133-80T</t>
  </si>
  <si>
    <t>MeuSimples</t>
  </si>
  <si>
    <t>Developer of a financial management system designed for business process outsourcing firms and finance professionals. The company's platform includes automated bank reconciliation, configurable reporting tools, integration with municipal systems for issuing invoices, and intuitive data import from emails or uploaded files, enabling the financial sector to simplify workflows, minimize manual input, and access up-to-date insights into client accounts.</t>
  </si>
  <si>
    <t>216048-61T</t>
  </si>
  <si>
    <t>Mister Car Frotas</t>
  </si>
  <si>
    <t>Provider of vehicle rental and fleet services catering to companies of various sizes or individuals through subscription. The company offers the sale and purchase of used and new cars, fleet outsourcing and rent subscriptions.</t>
  </si>
  <si>
    <t>276587-56T</t>
  </si>
  <si>
    <t>NLT Telecom</t>
  </si>
  <si>
    <t>Provider of telecommunications services intended for connectivity services. The company offers a hybrid global system for mobile communications,cellular connectivity and long-range wide-area network connectivity, enabling businesses and individuals in Brazil to access flexible communication networks tailored to diverse market needs through customizable telecom infrastructure.</t>
  </si>
  <si>
    <t>215138-53T</t>
  </si>
  <si>
    <t>Orbita Technologia</t>
  </si>
  <si>
    <t>Developer of video analytics platform designed to eliminate losses in production processes. The company's platform uses artificial intelligence and computer vision to recognize patterns of non-conformity, enabling businesses to increase operational efficiency and quality while reducing costs.</t>
  </si>
  <si>
    <t>Niche Supply Technologies</t>
  </si>
  <si>
    <t>211883-05T</t>
  </si>
  <si>
    <t>Pilar</t>
  </si>
  <si>
    <t>Provider of brand-building services intended to help increase the network and growth of businesses. The company's services aim to reinvent retail boutiques by providing the necessary people, tools and technology to provide boutique realtors and brokers with real estate advisory services, enabling clients to easily connect their brands to various networks of brokers and teams.</t>
  </si>
  <si>
    <t>Atlantico Partners, Gilgamesh Ventures, Goodwater Capital, Lupa Capital, StaminaVC</t>
  </si>
  <si>
    <t>216165-16T</t>
  </si>
  <si>
    <t>Quadrante Investimentos</t>
  </si>
  <si>
    <t>Operator of an investment management company based in Sao Paulo, Brazil. The company's investment decisions are made by a management committee and are based on a global macroeconomic analysis, thereby providing clients with the best risk-return ratio.</t>
  </si>
  <si>
    <t>209681-02T</t>
  </si>
  <si>
    <t>Smart Break (Department Stores)</t>
  </si>
  <si>
    <t>Operator of autonomous mini-market stores intended to provide convenient access to consumer goods within residential and corporate environments. The company manages own-operated markets that function continuously, stocked with a wide variety of products, enabling residents and corporate employees to access merchandise at any hour while generating additional revenue streams and convenience within these communities.</t>
  </si>
  <si>
    <t>Columbia Angels, Columbia Ventures Brazil, Headline(Romero Rodrigues), Ultrapar's venture capital, UVC Investimentos</t>
  </si>
  <si>
    <t>208572-58T</t>
  </si>
  <si>
    <t>Bossa Invest, Fernando Vasconcelos(Fernando Vasconcelos), Joao Kepler Braga(Joao Kepler Braga), Sai do Papel, Thiago Nigro(Thiago Nigro)</t>
  </si>
  <si>
    <t>209495-17T</t>
  </si>
  <si>
    <t>Petland (Florida)</t>
  </si>
  <si>
    <t>Operator of a pet shop serving in Pembroke Pines, Florida. The company offers different breeds of puppies including veterinarian care and vaccination of the pet, enabling the customers to find the right pet for themselves.</t>
  </si>
  <si>
    <t>209592-55T</t>
  </si>
  <si>
    <t>Scaleup</t>
  </si>
  <si>
    <t>Operator of an online learning experience platform intended to help schools deliver effective learning experiences for their students. The company's platform uses speech synthesis, image recognition, and machine learning to transform all the written material into video documentaries, enabling schools and educational creators to access a mobile-only learning approach to address high dropout or low engagement of their online courses.</t>
  </si>
  <si>
    <t>BR Angels(Orlando Cintra), Diego Barreto(Diego Barreto), Heliomar Quaresma(Heliomar Quaresma), Helisson Lemos(Helisson Lemos), Igor Mascarenhas(Igor Mascarenhas), Jonathan Martins(Jonathan Martins), Rafael Bagolin(Rafael Bagolin)</t>
  </si>
  <si>
    <t>220116-34T</t>
  </si>
  <si>
    <t>Sollo Sul Insumos Agrícolas</t>
  </si>
  <si>
    <t>Retailer of agricultural products based in Pato Branco, Brazil. The company offers a technical assistance service that assesses the conditions of the crop and recommends the correct dosage and time of use of agricultural inputs in order to obtain their benefits, enabling the farmers to prevent and combat the evils that could harm crops.</t>
  </si>
  <si>
    <t>Lavoro (NAS: LVRO)(Ruy Cunha), Patria Investments (NAS: PAX)(Ricardo Scavazza)</t>
  </si>
  <si>
    <t>196156-72T</t>
  </si>
  <si>
    <t>Bernardo Rezende, Bossa Invest, FEA Angels, Futurum Capital</t>
  </si>
  <si>
    <t>195891-76T</t>
  </si>
  <si>
    <t>Feel Cosmeticos</t>
  </si>
  <si>
    <t>Operator of an intimate care products brand designed to offer self-care and well-being for women. The company's products include dermatologically and gynecologically tested raw materials to provide natural, vegan, and healthy lubrication products that offer quality health and pleasure, enabling customers to embrace intimacy without guilt or shame and access products that contribute to their health and pleasure.</t>
  </si>
  <si>
    <t>Sororité</t>
  </si>
  <si>
    <t>215694-10T</t>
  </si>
  <si>
    <t>209620-00T</t>
  </si>
  <si>
    <t>Nutrifica Comércio de Nutrição Parenteral</t>
  </si>
  <si>
    <t>Producer of parenteral nutrition products based in Guará, Brazil. The company specializes in enteral and parenteral nutrition, handling formulas for human use, thereby catering to pharmacies, nursing and hospitals.</t>
  </si>
  <si>
    <t>Mafra Hospitalar (BVMF: VVEO3)</t>
  </si>
  <si>
    <t>223453-81T</t>
  </si>
  <si>
    <t>Pink Farms</t>
  </si>
  <si>
    <t>Operator of vertical urban farms designed to produce pesticide-free food in a controlled environment. The company is engaged in the production and supply of lettuces and microgreens through a hydroponic growing system, enabling customers to benefit from the consumption of organic and nutritious food alternatives.</t>
  </si>
  <si>
    <t>SLC Ventures (Porto Alegre), SMU Investimentos, SP Ventures</t>
  </si>
  <si>
    <t>232348-15T</t>
  </si>
  <si>
    <t>Takeat</t>
  </si>
  <si>
    <t>Developer of a restaurant management software designed to provide digital waiter services. The company's platform offers an order management system with a digital waiter and digital menu, customer loyalty management and cashback management, takeaway management and POS management, enabling restaurant owners to reduce their operational costs and increase their sales by focusing on their business.</t>
  </si>
  <si>
    <t>ACE Ventures (Commercial Services), TM3 Capital</t>
  </si>
  <si>
    <t>209394-73T</t>
  </si>
  <si>
    <t>Abastecimento Especial De Produtos De Beleza</t>
  </si>
  <si>
    <t>Manufacturer of beauty products based out of Brazil. The company's products offerings include various kinds of beauty products to the customers.</t>
  </si>
  <si>
    <t>O Boticário(Artur Grynbaum)</t>
  </si>
  <si>
    <t>209231-38T</t>
  </si>
  <si>
    <t>Agrocerrado</t>
  </si>
  <si>
    <t>Provider of integrated solutions intended to serve the agriculture sector in Brazil. The company's products include seeds, crop protection, nutrition, physiology, biologicals and application technology services, thereby ensuring sustainable and high-yield farming for its clients.</t>
  </si>
  <si>
    <t>209178-28T</t>
  </si>
  <si>
    <t>BWS</t>
  </si>
  <si>
    <t>Developer of a digital wallet intended to provide a secure way to store and transfer the main cryptocurrencies on the market. The company offers a multifunctional digital wallet that ensures only users can have access to private keys, enabling users with a series of keys that facilitate the purchase, sale, and use of cryptocurrencies in their daily lives.</t>
  </si>
  <si>
    <t>Banco do Brasil (BVMF: BBAS3), BRL Trust, Fausto Ribeiro, Fintactics, Vox Capital</t>
  </si>
  <si>
    <t>210753-10T</t>
  </si>
  <si>
    <t>214772-77T</t>
  </si>
  <si>
    <t>Maxi Participações e Negócios Imobiliários</t>
  </si>
  <si>
    <t>Operator of a real estate management company based in Marilia, Brazil. The company engages in renting real estate properties to clients.</t>
  </si>
  <si>
    <t>Bresco</t>
  </si>
  <si>
    <t>209393-29T</t>
  </si>
  <si>
    <t>MC Malharia</t>
  </si>
  <si>
    <t>Manufacturer of clothes and uniforms intended to serve school and sports industries. The company offers uniforms for school, professionals, sports, and polo collar shirts.</t>
  </si>
  <si>
    <t>Lupo (Textile Manufacturing)</t>
  </si>
  <si>
    <t>204167-89T</t>
  </si>
  <si>
    <t>Banco Alfa De Investimentos</t>
  </si>
  <si>
    <t>Banco Alfa de Investimento SA and its subsidiaries offer financial services regarding credit facilities, treasury, and management of third-party resources. It also holds investments in non-financial areas.</t>
  </si>
  <si>
    <t>Banco Safra(Joseph Safra)</t>
  </si>
  <si>
    <t>209233-27T</t>
  </si>
  <si>
    <t>Vero Limeira</t>
  </si>
  <si>
    <t>Provider of internet service intended to serve in cities of São Paulo, Brazil. The company specialise in network services via fiber net, thereby serving quality internet with different broadband plans.</t>
  </si>
  <si>
    <t>America Net, Invest Tech, Warburg Pincus</t>
  </si>
  <si>
    <t>209173-15T</t>
  </si>
  <si>
    <t>Vörr</t>
  </si>
  <si>
    <t>Designer of clothing products intended to sell a variety of quality and fashionable garments online. The company's products include T-shirts, accessories, underwear, shoes, and pet accessories, enabling customers to choose from various apparel.</t>
  </si>
  <si>
    <t>Alexandre Nunes(Alexandre Nunes), Hugo Daibert(Hugo Daibert), Mad Fish Digital(Ben Herman), Maisa Feital(Maisa Feital)</t>
  </si>
  <si>
    <t>209969-38T</t>
  </si>
  <si>
    <t>Yoshida &amp; Hirata Agronegócios</t>
  </si>
  <si>
    <t>Provider of agricultural inputs and products intended to promote the sustainable development of agribusiness. The company's products include pesticides, manures, fertilizers and soil amendments.</t>
  </si>
  <si>
    <t>Marubeni (TKS: 8002)</t>
  </si>
  <si>
    <t>209073-97T</t>
  </si>
  <si>
    <t>Ziva Tecnologia e Solucoes</t>
  </si>
  <si>
    <t>Developer of IT services designed for IT infrastructure. The company offers collaboration and outsourcing, IT infrastructure solutions, and consulting services as well as building a collaborative digital workplace to help the company create networking, voice, and video solutions, thereby ensuring the growing diversity of communication, data and assets.</t>
  </si>
  <si>
    <t>Grupo NTSec(Bruno Nóbrega)</t>
  </si>
  <si>
    <t>208988-11T</t>
  </si>
  <si>
    <t>AgTech Garage</t>
  </si>
  <si>
    <t>Provider of startup assistance services intended to positively impact the sustainability and competitiveness of agribusiness. The company's initiatives stimulate the connection between, startups, producers, investors, academics and other stakeholders of the agricultural innovation and entrepreneurial ecosystem to develop technical solutions that increase the sustainability and competitiveness of Brazilian agribusiness.</t>
  </si>
  <si>
    <t>PricewaterhouseCoopers Brazil(Marco Castro)</t>
  </si>
  <si>
    <t>208997-65T</t>
  </si>
  <si>
    <t>Mobi2buy</t>
  </si>
  <si>
    <t>Developer of big data and artificial intelligence solutions to bring brands and consumers closer together. The company integrates technology, artificial intelligence and marketing to create connections between companies and their customers through digital channels by providing conversational commerce, custom chatbots and inbound and outbound marketing, thereby leveraging sales, promoting loyalty and reducing the churn of operations.</t>
  </si>
  <si>
    <t>Fligoo(Lucas Olmedo)</t>
  </si>
  <si>
    <t>210499-48T</t>
  </si>
  <si>
    <t>Cotece</t>
  </si>
  <si>
    <t>Manufacturer of knitwear based in Brazil. The company uses technology and creativity, developing collections with options in basic and differentiated knits, through different combinations of constructions, mixtures of fibers, prints and colors.</t>
  </si>
  <si>
    <t>Other Textiles</t>
  </si>
  <si>
    <t>205936-75T</t>
  </si>
  <si>
    <t>Broadhaven Capital Partners, Caravela Capital, FJ Labs, Globo Ventures, Quona Capital(Jonathan Whittle), Spectra Investments, Valor Capital Group(Carlos Costa)</t>
  </si>
  <si>
    <t>215639-47T</t>
  </si>
  <si>
    <t>Qgx digital</t>
  </si>
  <si>
    <t>Developer of a digital bank platform designed for financial consulting. The company's platform provides automated know your customer, and application programming interface documentation services such as insurance, top-ups, and loans, enabling clients to distribute financial products to their customers.</t>
  </si>
  <si>
    <t>CBFacil Corretora de Seguros e Negócios Ltda., Raro Recrutamento em TI Ltda., Torq (Brazil)</t>
  </si>
  <si>
    <t>269335-81T</t>
  </si>
  <si>
    <t>Barkus</t>
  </si>
  <si>
    <t>Provider of financial education services intended to democratize access to financial education for young people and adults through technology. The company's platform offers a range of content and tools, including a financial education chatbot called Iara, that are designed to help people learn about personal finance and make better financial decisions, enabling individuals and families to improve their financial literacy and achieve financial security.</t>
  </si>
  <si>
    <t>Quintessa Impact Accelerator</t>
  </si>
  <si>
    <t>256433-14T</t>
  </si>
  <si>
    <t>Campos Novos Energia</t>
  </si>
  <si>
    <t>Producer and distributor of electricity based in Florianópolis, Brazil. The company engages in the generation and sale of electricity by developing, constructing, operating, and maintaining a hydroelectric plant and its transmission system in the state of Santa Catarina.</t>
  </si>
  <si>
    <t>CPFL Geração</t>
  </si>
  <si>
    <t>209000-53T</t>
  </si>
  <si>
    <t>CNP Consorcios</t>
  </si>
  <si>
    <t>Operator of an insurance consortium intended to offer coverage during emergencies.</t>
  </si>
  <si>
    <t>CNP Assurances (Issy-les-Moulineaux)(Stéphane Dedeyan)</t>
  </si>
  <si>
    <t>209080-63T</t>
  </si>
  <si>
    <t>eCustos</t>
  </si>
  <si>
    <t>Developer of finance management software created for cost engineers. The company's application specializes in the construction of budgets with the help of integrated Sinapi and provides a complete cost management solution to the customers.</t>
  </si>
  <si>
    <t>179682-31T</t>
  </si>
  <si>
    <t>Flapper</t>
  </si>
  <si>
    <t>Operator of an on-demand private jet and helicopter charter platform intended to simplify air travel through real-time booking and access to certified aircraft.
The company offers proprietary booking technology, ownership of an air carrier certificate, and partnerships with eVTOL manufacturers, enabling high-net-worth individuals and corporate travelers greater flexibility, safety, and a pathway toward sustainable urban air mobility.</t>
  </si>
  <si>
    <t>Arien Invest Resource Management(Mario Candido Neto), Brazilian Development Bank, DXA Invest(Flavio Ramos), Investidores.vc(Amure Pinho), SMU Investimentos(Rodrigo Carneiro)</t>
  </si>
  <si>
    <t>209699-56T</t>
  </si>
  <si>
    <t>GRPQA</t>
  </si>
  <si>
    <t>Operator of a digital real estate marketplace intended to offer long-term residential rentals in Brazil. The company offers a marketplace that features rental listings in addition to providing users to book visits and close deals, eliminating the need for paperwork, offering rental insurance and processing recurring payments without any guarantors, enabling landlords and tenants to have a practical, transparent and efficient experience.</t>
  </si>
  <si>
    <t>Devas Invest, Globo Ventures(Luis Lora)</t>
  </si>
  <si>
    <t>208918-72T</t>
  </si>
  <si>
    <t>Monetus</t>
  </si>
  <si>
    <t>Provider of an investment management services designed for people's financial well-being The company analyzes investor profiles and clients' objectives to recommend a personalized investment portfolio with the help of finance specialists, enabling people to better manage, protect, and grow their wealth.</t>
  </si>
  <si>
    <t>Toro Investimentos</t>
  </si>
  <si>
    <t>215980-93T</t>
  </si>
  <si>
    <t>Snowbank (Private Equity)(Carter Friesen)</t>
  </si>
  <si>
    <t>219009-16T</t>
  </si>
  <si>
    <t>Arklok</t>
  </si>
  <si>
    <t>Provider of outsourcing solutions intended for IT equipment, support and services to corporate clients nationwide. The company offers hardware, software solutions and cloud services for the security and protection of the company data.</t>
  </si>
  <si>
    <t>207536-41T</t>
  </si>
  <si>
    <t>Graphcoa</t>
  </si>
  <si>
    <t>Operator of flake graphite deposits across Brazil. The company specializes in mining flake graphite that is used in the production of lithium-ion batteries, graphene, refractories and several other industrial products and applications.</t>
  </si>
  <si>
    <t>Appian Capital Advisory</t>
  </si>
  <si>
    <t>300006-28T</t>
  </si>
  <si>
    <t>OneRF Networks</t>
  </si>
  <si>
    <t>Developer of IoT connectivity devices and platforms designed to enable intelligent infrastructure across utilities, cities, and buildings. The company offers scalable and wireless communication modules with integrated remote monitoring and automation, allowing clients to enhance efficiency, ensure real-time control, and support large-scale digital transformation.</t>
  </si>
  <si>
    <t>214769-17T</t>
  </si>
  <si>
    <t>Pris Software</t>
  </si>
  <si>
    <t>Provider of SaaS-based compensation management platform and associated consulting services focused on managing, communicating and accounting for variable compensation plans. The company offers software and services for publicly and privately held companies to manage long-term incentive plans including stock options, restricted shares, phantom shares and sales force, enabling the management board and others to have access to the necessary information while balancing transparency and security.</t>
  </si>
  <si>
    <t>BTG Pactual (BVMF: BPAC3)(Bernardo Carsalade)</t>
  </si>
  <si>
    <t>208826-74T</t>
  </si>
  <si>
    <t>myProfit</t>
  </si>
  <si>
    <t>Developer of an automated income tax platform created to make life easier for stock market investors, emphasizing income tax solutions. The company platform offers income tax, personalized IR reports, and cryptocurrency services to stock market investors, making monitoring your portfolio and income tax even easier.</t>
  </si>
  <si>
    <t>Avenue (Financial Software)(Emmanuil Inglesis)</t>
  </si>
  <si>
    <t>210980-80T</t>
  </si>
  <si>
    <t>Bertha Capital, Financiadora de Estudos e Projetos</t>
  </si>
  <si>
    <t>252600-40T</t>
  </si>
  <si>
    <t>Salty Agricultura Salina</t>
  </si>
  <si>
    <t>Producer of halophyte plants intended to cultivate plants that need seawater to grow and develop. The company focuses on planting little plants that are very salty and crunchy and can be eaten raw, sautéed, braised, or cooked, enabling clients and consumers with saline-resilient and edible plant species using local resources and renewable energy.</t>
  </si>
  <si>
    <t>Aquaculture</t>
  </si>
  <si>
    <t>209357-92T</t>
  </si>
  <si>
    <t>123Projetei</t>
  </si>
  <si>
    <t>Developer of an online architecture and engineering platform designed to execute residential, commercial and building projects. The company's platform offers complete planning and project strategies to make customers' dreams come true with assertive and economic choices, enabling clients to reduce costs and ensuring comfort and safety in construction.</t>
  </si>
  <si>
    <t>BR Angels, GVAngels, Hangar8 Capital, Investidores.vc(Amure Pinho)</t>
  </si>
  <si>
    <t>208374-67T</t>
  </si>
  <si>
    <t>Approva</t>
  </si>
  <si>
    <t>Operator of a real estate marketplace intended for selling low-income properties. The company's platform connects customers, brokers, developers, and banks in a simple, fast, and secure way, enabling customers to streamline the buying of properties.</t>
  </si>
  <si>
    <t>Airborne Ventures, Terracotta Ventures(Bruno Loreto)</t>
  </si>
  <si>
    <t>244855-72T</t>
  </si>
  <si>
    <t>Bring Solutions</t>
  </si>
  <si>
    <t>Manufacturer of nutritional premixes intended for the food, beverage, supplement, and pharmaceutical industries. The company offers vitamin premix, dairy proteins, redulce sweeteners, vegetable proteins and flavoring, thereby enabling food manufacturers to provide healthier food options to consumers.</t>
  </si>
  <si>
    <t>Advent International(Ronald Ayles), Caldic(Aldrik Vervat), Wilbur-Ellis(John Buckley)</t>
  </si>
  <si>
    <t>223461-19T</t>
  </si>
  <si>
    <t>Ligga Telecom Telecomunicações</t>
  </si>
  <si>
    <t>Provider of telecommunication services based in Curitiba, Brazil. The company provides optical fiber telecommunications services and offers internet and broadband solutions to residential, small and medium businesses and companies.</t>
  </si>
  <si>
    <t>Bordeaux Investment</t>
  </si>
  <si>
    <t>209166-76T</t>
  </si>
  <si>
    <t>Promotiva</t>
  </si>
  <si>
    <t>Provider of financial products and services based in Barueri, Brazil. The company offers payroll credit, automatic credit, salary credit, bb benefit credit, loan renewal, cars, motorcycles and real estate.</t>
  </si>
  <si>
    <t>Wiz Solucoes e Corretagem de Seguros (BVMF: WIZC3)(Heverton Peixoto)</t>
  </si>
  <si>
    <t>209178-01T</t>
  </si>
  <si>
    <t>Seuvale</t>
  </si>
  <si>
    <t>Develop of a fintech platform intended to provide finance cards. The company's platform provides financial services in the form of transaction cards, which offer discounts, health promotions and other benefits for employees, enabling them to avail quality SaaS platform.</t>
  </si>
  <si>
    <t>Betterfly(Eduardo Della Maggiora)</t>
  </si>
  <si>
    <t>219011-50T</t>
  </si>
  <si>
    <t>Tecnotri</t>
  </si>
  <si>
    <t>Manufacturer of plastic containers intended to serve clients in industrial, automotive, chemical, agricultural, pharmaceutical, food, packaging and environmental sectors. The company offers customized products such as pallets, cargo safes, container bins and others using roto molding technology intended for industrial applications, including internal, external and reverse logistics, among others, thus ensuring clients with increased safety, productivity and efficiency in their operations.</t>
  </si>
  <si>
    <t>Quadrivio Group(Roberto Crapelli), Rototech Group(Leonardo Salazzari)</t>
  </si>
  <si>
    <t>208082-53T</t>
  </si>
  <si>
    <t>Neurotech Artificial Intelligence</t>
  </si>
  <si>
    <t>Developer of a data management platform designed to support decision-making and business development. The company's platform utilizes artificial intelligence for high analytical capacity, develops data processing speed, provides proper data security, locates and finds proper data and also assists in data processing, enabling clients to make proper decisions to develop their businesses.</t>
  </si>
  <si>
    <t>B3(Brazil) (BVMF: B3SA3)(Gilson Finkelsztain)</t>
  </si>
  <si>
    <t>208031-05T</t>
  </si>
  <si>
    <t>Transferbank</t>
  </si>
  <si>
    <t>Operator of an online transfer platform intended to provide international transfer services. The company's platform offers more transparency, agility, economy, and autonomy in foreign exchange transactions for SMEs, startups, and professionals who provide services abroad, enabling businesses to receive values from abroad at the lowest market rate.</t>
  </si>
  <si>
    <t>EBANX</t>
  </si>
  <si>
    <t>195729-04T</t>
  </si>
  <si>
    <t>Zippi</t>
  </si>
  <si>
    <t>Developer of a personal loans provider platform intended to transform the reality of micro and small entrepreneurs. The company's platform offers weekly invoices and payment through an application and does not charge an annual fee, providing agile and accessible financial solutions, enabling clients to focus on their business growth.</t>
  </si>
  <si>
    <t>Actyus, Catalyst Fund, Globo Ventures, Hummingbird Ventures, K5 Global, Mantis VC, MSA Capital, Rainfall Ventures(Ron Rofé), Soma Capital, Tiger Global Management, VentureSouq, Volpe Capital(Gregory Reider), Y Combinator</t>
  </si>
  <si>
    <t>202665-97T</t>
  </si>
  <si>
    <t>Geopost Energy</t>
  </si>
  <si>
    <t>Provider of exploration and production market data based in Rio de Janeiro, Brazil. The company's platform provides instant online access to integrated data, including seismic, interpretations, production charts, bidding round history, E&amp;P assets and well logs production data to clients.</t>
  </si>
  <si>
    <t>Katalyst Data Management(Steve Darnell)</t>
  </si>
  <si>
    <t>217164-70T</t>
  </si>
  <si>
    <t>100+ Accelerator</t>
  </si>
  <si>
    <t>207791-11T</t>
  </si>
  <si>
    <t>Equiplano</t>
  </si>
  <si>
    <t>Provider of IT service intended to help with the optimization of public management. The company offers public accounting, tax management, human resources, tender and purchases, fleet control, transparency portal and business intelligence.</t>
  </si>
  <si>
    <t>207979-21T</t>
  </si>
  <si>
    <t>Flora Energia</t>
  </si>
  <si>
    <t>Provider of renewable energy services based in Sao Paulo, Brazil. The company operates in the distributed generation segment shared through a marketplace platform that connects micro-generation plants to end customers, thereby helping customers to save money on electric supplies.</t>
  </si>
  <si>
    <t>257851-72T</t>
  </si>
  <si>
    <t>248233-69T</t>
  </si>
  <si>
    <t>Ikê Assistência</t>
  </si>
  <si>
    <t>Provider of car, life and home insurance services based in Sao Paulo, Brazil. The company offers insurance for auto, motorcycle and truck, health, residential, concierge business, condominiums travel, pet and funeral assistance services.</t>
  </si>
  <si>
    <t>Maxpar</t>
  </si>
  <si>
    <t>207731-17T</t>
  </si>
  <si>
    <t>Husky</t>
  </si>
  <si>
    <t>Developer of a mobile payment platform designed to facilitate international transactions. The company's platform uses data encryption and verification technology to automate payments, letting users get paid directly into their bank accounts from regional or foreign senders and make foreign fund transfers securely, enabling clients to send and receive payments safely across Latin America.</t>
  </si>
  <si>
    <t>Nomad (Financial Software)</t>
  </si>
  <si>
    <t>246608-29T</t>
  </si>
  <si>
    <t>Parana Xisto</t>
  </si>
  <si>
    <t>Operator of a shale processing company based in Sao Mateus do Sul, Brazil. The company offers fuel oil, naphtha, fuel gas, liquefied petroleum gas and sulfur.</t>
  </si>
  <si>
    <t>Forbes Resources Brazil Holding</t>
  </si>
  <si>
    <t>Energy Refining</t>
  </si>
  <si>
    <t>207617-95T</t>
  </si>
  <si>
    <t>Airborne Ventures, Bank Bradesco (BVMF: BBDC3), Chan Zuckerberg Initiative(Priscilla Chan), Clifford Sobel(Clifford Sobel), David Vélez(David Vélez), DNA Capital (Investor)(Luiz Noronha), Endeavor Catalyst, Pedro Bueno(Pedro Bueno)</t>
  </si>
  <si>
    <t>209046-07T</t>
  </si>
  <si>
    <t>CromiWAF</t>
  </si>
  <si>
    <t>Developer of cyber security solutions intended to mitigate and block attacks. The company specializes in web application firewall protection, CDN, DDoS, HTTP and HTTPS traffic monitoring, thereby helping customers to prevent threats related to network devices.</t>
  </si>
  <si>
    <t>Conversys IT Solutions(Carlos Sega)</t>
  </si>
  <si>
    <t>210541-87T</t>
  </si>
  <si>
    <t>207649-00T</t>
  </si>
  <si>
    <t>N2 (Financial Software)</t>
  </si>
  <si>
    <t>Operator of a financial consultation company intended to offer financial advice from certified financial advisors. The company allows people to share their difficulties and financial conditions with advisors anonymously and get valuable advice to organize their personal finances, enabling employees to access economic knowledge that will help them to make informed financial decisions.</t>
  </si>
  <si>
    <t>208972-72T</t>
  </si>
  <si>
    <t>Adfert Aditivos Industria e Comercio</t>
  </si>
  <si>
    <t>Manufacturer of fertilizer products intended for agricultural product markets. The company's line of products includes micronutrient sprays, anti-dust additives for the granulation and mixing process, biodegradable additives and micronutrient binding agents, intended to provide products capable of adding value to the fertilizer mixing and granulating industries and crop nutrition solutions to offer greater productivity and profitability to the farmers.</t>
  </si>
  <si>
    <t>Indo-Rama Synthetics (IDX: INDR)(Amit Lohia)</t>
  </si>
  <si>
    <t>209955-25T</t>
  </si>
  <si>
    <t>Bexs Bank</t>
  </si>
  <si>
    <t>Provider of exchange and cross-border payment solutions intended to connect people and companies in Brazil to businesses worldwide. The company utilizes Application programming interface, thereby offering customized exchange solutions serving companies with international operations, foreign trade, financial technology and agricultural technology.</t>
  </si>
  <si>
    <t>Ebury(Sergio Rial)</t>
  </si>
  <si>
    <t>International Banks</t>
  </si>
  <si>
    <t>208421-65T</t>
  </si>
  <si>
    <t>Newlin, Verve Capital, WOW Participações</t>
  </si>
  <si>
    <t>208915-84T</t>
  </si>
  <si>
    <t>Cloud Humans</t>
  </si>
  <si>
    <t>Developer of a productivity platform designed to connect companies with automation and professionals for convenient and assertive service. The company's services offer businesses a talent network that works virtually and is compensated for performance over a cloud-based platform, enabling businesses to find virtual teams for their operational transformation.</t>
  </si>
  <si>
    <t>Colectivo Jaguara, Grão (São Paulo)</t>
  </si>
  <si>
    <t>251886-79T</t>
  </si>
  <si>
    <t>265212-55T</t>
  </si>
  <si>
    <t>Dootax</t>
  </si>
  <si>
    <t>Developer of a tax automation platform designed to simplify tax routines with technology. The company develops new tax automation products, depending on the needs to facilitate the day-to-day lives of companies through process automation, enabling companies to dedicate themselves to what they do best and reduce bureaucracy.</t>
  </si>
  <si>
    <t>209623-87T</t>
  </si>
  <si>
    <t>DP Consórcios</t>
  </si>
  <si>
    <t>Provider of consortium brokerage services intended to achieve financial goals. The company provides annual capitalization, agility in the sale of credit, and the option to pay half installment until contemplation without membership fees and interest on installments, enabling clients to generate a quality return on investment.</t>
  </si>
  <si>
    <t>Feba Capital(Renato Santana)</t>
  </si>
  <si>
    <t>207759-97T</t>
  </si>
  <si>
    <t>Ekäut Cervejaria Artesanal</t>
  </si>
  <si>
    <t>Producer of hand-crafted beer intending to develop the craft beer market in northeast Brazil. The company offers no-frills beers in bottles and cans of different flavors, enabling customers to choose a beer of their choice.</t>
  </si>
  <si>
    <t>Squared Ventures</t>
  </si>
  <si>
    <t>202275-37T</t>
  </si>
  <si>
    <t>Grupo Mabel</t>
  </si>
  <si>
    <t>Producer and seller of cookies and snacks based in Goias, Brazil. The company is engaged in selling donuts, cookies, crackers and snacks.</t>
  </si>
  <si>
    <t>Camil Alimentos (BVMF: CAML3)</t>
  </si>
  <si>
    <t>210799-27T</t>
  </si>
  <si>
    <t>I.Systems</t>
  </si>
  <si>
    <t>Developer of industrial automation software designed to optimize production lines using machine learning techniques. The company's software controls and stabilizes industrial processes and anticipates disturbances in its functioning using artificial intelligence technologies while also optimizing equipment speeds to avoid stoppages due to product accumulation, enabling industries to increase productivity gains and cost savings.</t>
  </si>
  <si>
    <t>Provence Partners</t>
  </si>
  <si>
    <t>207423-91T</t>
  </si>
  <si>
    <t>InoBram</t>
  </si>
  <si>
    <t>The company offers advanced climate controllers, sensors, smart monitoring, control platforms and connected IoT systems that enable farmers to monitor and optimize animal health, animal welfare and farm productivity with comfort and safety, boosting efficiency and sustainability in livestock farming.</t>
  </si>
  <si>
    <t>Munters (STO: MTRS)(Klas Forsström)</t>
  </si>
  <si>
    <t>209624-41T</t>
  </si>
  <si>
    <t>Inovar</t>
  </si>
  <si>
    <t>Developer of productivity software designed to offer a system to facilitate business. The company's platform provides a system for each specific branch of the market to add value by boosting sales using technology to trace a path more efficiently and integrate financial and tax management for more security, helping businesses to access performance anytime and increase their profits.</t>
  </si>
  <si>
    <t>Feba Capital</t>
  </si>
  <si>
    <t>208955-89T</t>
  </si>
  <si>
    <t>LiqNFT</t>
  </si>
  <si>
    <t>Operator of an NFT marketplace intended to support decentralized autonomous organizations for crypto trading. The company's platform extends support to web3 projects and provides the tools and support for the management of NFTs, enabling artists and visitors to create their own full-featured NFT space.</t>
  </si>
  <si>
    <t>Lattice Capital</t>
  </si>
  <si>
    <t>205938-19T</t>
  </si>
  <si>
    <t>DGF Investimentos, HiPartners Capital &amp; Work, Locaweb Internet Services (BVMF: LWSA3)</t>
  </si>
  <si>
    <t>252590-86T</t>
  </si>
  <si>
    <t>Multiplicando Líderes</t>
  </si>
  <si>
    <t>Provider of educational workshops and training programs intended to transform education into a tool for personal and societal development. The company is currently operating in Stealth mode.</t>
  </si>
  <si>
    <t>207653-05T</t>
  </si>
  <si>
    <t>Muma</t>
  </si>
  <si>
    <t>Operator of an online marketplace designed to sell functional and sustainable furniture and houseware. The company's marketplace offers furniture and decoration with authorial designs through product curation, customization, and connection with artists, enabling customers to get rare designs at an affordable price.</t>
  </si>
  <si>
    <t>209100-79T</t>
  </si>
  <si>
    <t>Oddie</t>
  </si>
  <si>
    <t>Provider of a digital showcase for service providers intended to facilitate the connection between clients and independent workers. The company's platform simplifies the relationship between clients and professionals through functions that streamline the execution of tasks for both parties, enabling independent professionals to reach potential clients and earn enhanced income, independence, and autonomy.</t>
  </si>
  <si>
    <t>SaxeCap</t>
  </si>
  <si>
    <t>208616-86T</t>
  </si>
  <si>
    <t>OrçaFascio</t>
  </si>
  <si>
    <t>Developer of budgeting software designed to assist professionals in construction budgets. The company's software permits clients to mount budgets faster and simpler, measure the works based on their budgets and timelines, compare what was budgeted with what was done, and get all the necessary information about their budget easily via exporting in one click, enabling construction industry clients to frame budgets conveniently and efficiently.</t>
  </si>
  <si>
    <t>Terracotta Ventures</t>
  </si>
  <si>
    <t>207563-50T</t>
  </si>
  <si>
    <t>Paytrack</t>
  </si>
  <si>
    <t>Developer of an online expense management and reimbursement platform designed to help enterprises. The company's platform provides travel and self-booking, urban mobility, advanced card, KM refund, automated tax filing, optical character recognition identification, linking expense reports, location-based registration process, making advance requests, invoice integration, mobility facility, and mileage reimbursements, enabling organizations to get a complete toolkit that facilitates decision making by integrating customers, managers, and company policies.</t>
  </si>
  <si>
    <t>Bela Juju Ventures</t>
  </si>
  <si>
    <t>292916-44T</t>
  </si>
  <si>
    <t>PX Energy</t>
  </si>
  <si>
    <t>Provider of refinery and mining operations intended to serve the energy sector. The company specializes in the production of fuel oil, naphtha, LPG, fuel gas, sulfur, and fertilizer inputs, utilizing advanced pyrolysis processes for efficient resource extraction and processing, while also focusing on sustainability through waste oil and plastics reprocessing</t>
  </si>
  <si>
    <t>Forbes &amp; Manhattan(Stan Bharti)</t>
  </si>
  <si>
    <t>209715-49T</t>
  </si>
  <si>
    <t>Sonica Web3 Hub</t>
  </si>
  <si>
    <t>Operator of a no-code platform intended to create complete Web3 projects. The company's platform allows the creation of a web3 page with web2 UX integrated that can be used for crypto and blockchain trading on a private wallet, enabling businesses to create a platform to function with the asset, token and NFT generation and distribution, including marketplace configuration and metadata.</t>
  </si>
  <si>
    <t>Invisto(Marcelo Wolowski)</t>
  </si>
  <si>
    <t>278063-11T</t>
  </si>
  <si>
    <t>Techtools Health Tecnologia</t>
  </si>
  <si>
    <t>Operator of an investment company focused on science, technology and innovation in the healthcare sector. The company offers venture capital fund services to startups and healthcare sector companies, helping investors the opportunity to mitigate risks and improve the remuneration of their capital.</t>
  </si>
  <si>
    <t>Bromelia Capital</t>
  </si>
  <si>
    <t>224981-65T</t>
  </si>
  <si>
    <t>Too Seguros</t>
  </si>
  <si>
    <t>Provider of multi-line insurance services based in Sao Paulo, Brazil. The company offers brokerage services, personal, auto, travel insurance, company and employee insurance as well as lender insurance, security deposits and insurance against personal accidents.</t>
  </si>
  <si>
    <t>215372-89T</t>
  </si>
  <si>
    <t>Weego (Educational Software)</t>
  </si>
  <si>
    <t>Developer of an AI-based training platform designed to improve managerial efficiency. The company's platform provides development themes for each manager driven by their algorithm, analyzes the gaps between different points of view, and invites the manager to reflect on the difference in perception between the assessments to choose which leadership skills to prioritize, enabling managers to become better employees and bosses.</t>
  </si>
  <si>
    <t>213742-00T</t>
  </si>
  <si>
    <t>Brio Real Estate Iv (BVMF: BIPD11)</t>
  </si>
  <si>
    <t>Brio Real Estate Iv - Fundo De Investimento Imobiliario is an asset management company. The company's business areas include Administration, Management, Custody (and Representation for foreign investors), Controlling, and Registrar of Investment Funds.</t>
  </si>
  <si>
    <t>207257-59T</t>
  </si>
  <si>
    <t>Nutrien Soluções Agrícolas</t>
  </si>
  <si>
    <t>Producer and distributor of fertilizer products intended to integrate solutions that generate value for agribusiness through innovation and sustainability. The company produces fertilizer for soy, sugarcane, corn, citrus, rubber tree and hortifruti.</t>
  </si>
  <si>
    <t>Nutrien (TSE: NTR)(Charles Magro)</t>
  </si>
  <si>
    <t>245275-39T</t>
  </si>
  <si>
    <t>Quero Educação</t>
  </si>
  <si>
    <t>Developer of an education-based connection platform designed to connect students with educational institutions. The company's platform offers a marketplace for finding scholarships and courses, a digital enrollment platform, a payment processing system, marketing and recruitment tools, data analytics, and financial services, enabling students to find and enroll in higher education.</t>
  </si>
  <si>
    <t>Endeavor Catalyst, Light Capital Group, Lumia Capital, Y Combinator</t>
  </si>
  <si>
    <t>210251-89T</t>
  </si>
  <si>
    <t>Carta Fabril</t>
  </si>
  <si>
    <t>Manufacturer of tissue and personal care products located in Rio de Janeiro, Brazil.</t>
  </si>
  <si>
    <t>301562-38T</t>
  </si>
  <si>
    <t>Grupo FCamara</t>
  </si>
  <si>
    <t>Provider of technology and innovation services intended to support the adoption of digital processes for business improvement. The company offers a proprietary framework, integrated digital capabilities, and an AI center, enabling organizations in retail, healthcare, and finance to improve operations, streamline processes, and develop new revenue channels.</t>
  </si>
  <si>
    <t>Startup Leiria</t>
  </si>
  <si>
    <t>207586-00T</t>
  </si>
  <si>
    <t>Zerezes</t>
  </si>
  <si>
    <t>Manufacturer and Designer of eyewear intended to offer prescription glasses at an affordable rate. The company's products are based on sustainable fashion which is available in both physical and online channels for a customized buying experience, enabling users to offer an eyewear collection completely made of recycled wood.</t>
  </si>
  <si>
    <t>Order VC, Shift Capital (São Paulo)</t>
  </si>
  <si>
    <t>214031-98T</t>
  </si>
  <si>
    <t>Canuma Capital (BVMF: CCME11)</t>
  </si>
  <si>
    <t>Canuma Capital Multiestrategia Fundo De Investimento Imobiliario is a Real Estate Investment Fund with active portfolio management focused on seeking monthly income and capital gains through real assets, credit, shares, and FII shares.</t>
  </si>
  <si>
    <t>207861-49T</t>
  </si>
  <si>
    <t>Agrolend</t>
  </si>
  <si>
    <t>Provider of sustainable credit services intended to change the agribusiness market for small and medium rural producers in Brazil. The company uses credit analysis technology to provide loans without any physical guarantees such as farms or grains to incentivize investment in equipment and technology which in turn increases productivity and profitability, enabling small and medium-sized farmers to get access to sustainable credit that is needed to finance the development of their production.</t>
  </si>
  <si>
    <t>Barn Investimentos, Lightrock(Gustavo Verdelli), Mago Capital, Maromar Investimentos, Provence Partners, SP Ventures, Valor Capital Group, Yara Growth Ventures</t>
  </si>
  <si>
    <t>207051-04T</t>
  </si>
  <si>
    <t>223454-44T</t>
  </si>
  <si>
    <t>Clube Orgânico</t>
  </si>
  <si>
    <t>Operator of an e-commerce food platform intended to help in the buying of groceries. The company offers a range of organic food items including basket subscriptions, sanitized organics, and grocery items, with home delivery, enabling health-conscious consumers to access quality organic food and improve their overall well-being.</t>
  </si>
  <si>
    <t>224615-17T</t>
  </si>
  <si>
    <t>204675-67T</t>
  </si>
  <si>
    <t>Actyus, Broom Ventures, Canary (Brazil), Latitud, Lightspeed Venture Partners, Ripio Ventures, Room40 Ventures</t>
  </si>
  <si>
    <t>223290-10T</t>
  </si>
  <si>
    <t>Gualter Carvalho, Mário Cruz</t>
  </si>
  <si>
    <t>234047-26T</t>
  </si>
  <si>
    <t>Alianza Credito Imobiliario Fundo De Investimento (BVMF: ALZC11)</t>
  </si>
  <si>
    <t>Alianza Credito Imobiliario Fundo De Investimento Imobiliario formerly Sig Capital Recebiveis Pulverizados Fundo De Investimento Imobiliario is a Real Estate Investment Fund (FII) that operates in the Bonds and Securities area.</t>
  </si>
  <si>
    <t>206946-91T</t>
  </si>
  <si>
    <t>Finplace</t>
  </si>
  <si>
    <t>Operator of a credit marketplace intended to connect micro, small, and medium-sized companies needing credit to financial institutions. The company's platform matches borrowers to lenders based on credit terms and requirements and also provides receivables forecasting, unsecured loans and supply chain financing, enabling businesses to access credit for working capital requirements and business requirements.</t>
  </si>
  <si>
    <t>DSK Capital</t>
  </si>
  <si>
    <t>207006-49T</t>
  </si>
  <si>
    <t>Geofusion</t>
  </si>
  <si>
    <t>Developer of cloud-based geolocation platform intended to offer a market intelligence segment focused on geography. The company's platform permits the creation of differentiated geographical market analysis, cross-referencing, mapping the public and features to manage the specific needs of customers, enabling companies to gain valuable market insights and make high-impact decisions.</t>
  </si>
  <si>
    <t>Cortex Intelligence Tecnologia(Leonardo Rangel)</t>
  </si>
  <si>
    <t>206947-36T</t>
  </si>
  <si>
    <t>QED Investors, Valor Capital Group</t>
  </si>
  <si>
    <t>206870-14T</t>
  </si>
  <si>
    <t>Liv Up</t>
  </si>
  <si>
    <t>Operator of a food tech company intended to provide natural flash-frozen meals to customers. The company takes fresh ingredients straight from family farmers to the kitchen and offers frozen ready meals, enabling consumers to consume organic and delicious food conveniently at affordable rates.</t>
  </si>
  <si>
    <t>206905-78T</t>
  </si>
  <si>
    <t>207041-32T</t>
  </si>
  <si>
    <t>Life Capital Partners Fundo De Investimentos Imobiliarios (BVMF: LIFE11)</t>
  </si>
  <si>
    <t>Life Capital Partners Fundo De Investimentos Imobiliarios operates as a real estate investment trust in Brazil.</t>
  </si>
  <si>
    <t>211769-83T</t>
  </si>
  <si>
    <t>Click SBS</t>
  </si>
  <si>
    <t>Provider of internet connectivity services based in Itapoa, Brazil.</t>
  </si>
  <si>
    <t>284587-93T</t>
  </si>
  <si>
    <t>Construct IN</t>
  </si>
  <si>
    <t>Developer of a capture application designed to monitor projects through three-dimensional images. The company offers construction monitoring tools and visual building information models (BIM) with cameras for capturing the construction site, allowing users to document and monitor works using an all-around camera at the construction site.</t>
  </si>
  <si>
    <t>Tecnosinos</t>
  </si>
  <si>
    <t>200693-26T</t>
  </si>
  <si>
    <t>292868-11T</t>
  </si>
  <si>
    <t>IndustryCare</t>
  </si>
  <si>
    <t>Developer of an industrial monitoring platform designed for real-time performance tracking and decarbonization of manufacturing operations. The company's platform combines IoT hardware, data analytics software, and expert data science services, enabling industrial clients to digitize processes, integrate operational data, and identify efficiency improvements to reduce greenhouse gas emissions.</t>
  </si>
  <si>
    <t>207100-54T</t>
  </si>
  <si>
    <t>Zavit Real Estate Fund Fdo Inv Imob (BVMF: ZAVI11)</t>
  </si>
  <si>
    <t>Real Estate Fund -Fundo De Investimento Imobiliario is a real estate investment trust.</t>
  </si>
  <si>
    <t>270891-37T</t>
  </si>
  <si>
    <t>Apoema Hub(Tatiana Fioratti)</t>
  </si>
  <si>
    <t>270889-48T</t>
  </si>
  <si>
    <t>206656-93T</t>
  </si>
  <si>
    <t>Airborne Ventures(Eduardo Kupper), GVAngels(Wlado Teixeira), OutField Capital(Pedro Oliveira), Rock9 Ventures</t>
  </si>
  <si>
    <t>201611-53T</t>
  </si>
  <si>
    <t>TC Pandhora</t>
  </si>
  <si>
    <t>Operator of an investment company intended to focus on delivering efficient products. The company builds quantitative strategies that generate diversification, capital preservation that can make money in different scenarios, including crises and generate a positive impact through investment, enabling clients to avail the solution for growing and expanding business.</t>
  </si>
  <si>
    <t>TC (BVMF: TRAD3)</t>
  </si>
  <si>
    <t>209218-78T</t>
  </si>
  <si>
    <t>Ecom Energia</t>
  </si>
  <si>
    <t>Provider of electric energy distribution and management service based in Sao Paulo, Brazil. The company specializes in energy commercialization, energy and gas portfolio management, distributed generation, and gas commercialization.</t>
  </si>
  <si>
    <t>Empresas Lipigas (SGO: LIPIGAS)</t>
  </si>
  <si>
    <t>253928-62T</t>
  </si>
  <si>
    <t>Hashdata (Business/Productivity Software)</t>
  </si>
  <si>
    <t>Developer of digital data collection platform designed for efficient information management purposes. The company's platform offers customizable form creation, offline data collection, and real-time analysis with interactive visualizations through accessible and user-friendly tools, enabling businesses to streamline data-gathering processes, improve decision-making, and enhance operational efficiency.</t>
  </si>
  <si>
    <t>K5 Global</t>
  </si>
  <si>
    <t>219016-09T</t>
  </si>
  <si>
    <t>LLZ Garantidora</t>
  </si>
  <si>
    <t>Operator of a marketplace intended for condominiums. The company establishes a partnership with trustees and tenants of residential and commercial condominiums thereby aiming to enhance the value of the property and its autonomous units as well as improve the quality of life within the condominiums through simplified management.</t>
  </si>
  <si>
    <t>222879-97T</t>
  </si>
  <si>
    <t>209159-38T</t>
  </si>
  <si>
    <t>Payly</t>
  </si>
  <si>
    <t>Developer of a digital wallet designed to enable payments through QR codes as well as mobile transfers. The company's digital wallet allows the user to pay, send, receive, and add money along with a QR code reader to scan and pay.</t>
  </si>
  <si>
    <t>Raízen Energia (BVMF: RAIZ4)</t>
  </si>
  <si>
    <t>206595-01T</t>
  </si>
  <si>
    <t>Prol Educa</t>
  </si>
  <si>
    <t>Developer of an educational platform designed to generate opportunities for students by providing quality training. The company's platform operates in the sector of basic education, technical courses, preparatory courses, free courses, graduation, languages and post-graduation, enabling students to obtain scholarships.</t>
  </si>
  <si>
    <t>GVAngels, Investe Favela</t>
  </si>
  <si>
    <t>208904-95T</t>
  </si>
  <si>
    <t>SolarView</t>
  </si>
  <si>
    <t>Developer of a monitoring software designed to track the production and consumption of electrical energy from photovoltaic systems. The company's software communicates with inverter models and monitors the entire portfolio of photovoltaic systems power plants from a single interface related to the consumption and production of electrical energy, enabling users to track data and information to create new business opportunities and differentiate themselves in the solar market.</t>
  </si>
  <si>
    <t>Cedro Capital(Alessandro Machado)</t>
  </si>
  <si>
    <t>203271-40T</t>
  </si>
  <si>
    <t>Bamboo Technology Platform</t>
  </si>
  <si>
    <t>Operator of a debt capital markets platform intended to broad access to private credit markets through data technology with ease, trust, and transparency. The company's platform brings transparency and trust to the alternative fixed-income market, facilitating investment opportunities through data, structuring, governance, and due diligence, enabling originators to find funding opportunities to generate business through strong data capture and real-time updates.</t>
  </si>
  <si>
    <t>Alessandro Faccio(Alessandro Faccio), Andre Beisert(Andre Beisert), Atman Capital Partners, Benjamin Gleason(Benjamin Gleason), brooder innovation, Bruno Soter(Bruno Soter), Colorado Energy Investments, Dan Faccio(Dan Faccio), Felipe Zullino(Felipe Zullino), Global Founders Capital, Guilherme Rodrigues(Guilherme Rodrigues), Jonathan Green(Jonathan Green), Latitud, Marcelo Martins(Marcelo Martins), Mario Braz(Mario Braz), Nebraska Capital</t>
  </si>
  <si>
    <t>206199-01T</t>
  </si>
  <si>
    <t>5Hub</t>
  </si>
  <si>
    <t>Developer of a service management platform designed to centralize all the company's communication channels in one place. The company's platform identifies the customer and provides the history of other services, accompanied by a powerful bot that automates services, issuing duplicate tickets, opening tickets and also capturing leads interested in the product or service.</t>
  </si>
  <si>
    <t>PipeRun(Cezar Augustuo)</t>
  </si>
  <si>
    <t>209396-80T</t>
  </si>
  <si>
    <t>Centro Universitário Tiradentes</t>
  </si>
  <si>
    <t>Provider of educational services catering to students. The company offers higher education courses including management, architecture and urbanism, accounting sciences, computer science, engineering, biomedicine, dentistry and doctorates as well as refresher courses for businesses as well as, thereby offering education through study, research, teaching and dissemination of science and culture.</t>
  </si>
  <si>
    <t>215002-27T</t>
  </si>
  <si>
    <t>levetta</t>
  </si>
  <si>
    <t>Developer of a technology platform designed to accelerate and optimize sales processes. The company's artificial intelligence-based platform integrates with the database and automatically finds patterns by connecting voices and images, enabling clients to generate insights and predictions that increase the potential for closing sales.</t>
  </si>
  <si>
    <t>234904-33T</t>
  </si>
  <si>
    <t>Nogord.io</t>
  </si>
  <si>
    <t>Developer of business rule management platform intended for the fintech market. The company's platform offers features such as the creation of flowcharts, library functions such as trigonometric and statistical tools and personalized integrations thereby enabling everyone to automate decision rules by drag and dropping components eliminating the need of coding.</t>
  </si>
  <si>
    <t>Serasa Experian(Silvio Frison)</t>
  </si>
  <si>
    <t>206169-94T</t>
  </si>
  <si>
    <t>Obvious Fibra</t>
  </si>
  <si>
    <t>Provider fiber optic infrastructure intended to transform the telecommunications market with a model based on digital technologies. The company has coverage across multiple cities and delivers high-speed and affordable internet, enabling clients to democratize access to the digital world in a simple, intuitive, and transparent way.</t>
  </si>
  <si>
    <t>233492-77T</t>
  </si>
  <si>
    <t>Tutu Digital</t>
  </si>
  <si>
    <t>Provider of financial services intended to implement technologies that make the financial market and its systems efficient. The company specializes in the Peer-to-Peer Lending modality by offering business loans to people who wish to invest, enabling micro and small businesses to help offer financial support.</t>
  </si>
  <si>
    <t>206588-98T</t>
  </si>
  <si>
    <t>Warren Securities Fundo De Investimento Imobiliario Fii (BVMF: WSEC11)</t>
  </si>
  <si>
    <t>Warren Securities Fundo De Investimento Imobiliario Fii is a real estate investment trust. The objective of the fund is to obtain income and capital gain, through the realization of long-term real estate investments, aiming at the appreciation and profitability of its Shares, through investments of at least 2/3 (two-thirds) of the fund's net equity in Target Assets.</t>
  </si>
  <si>
    <t>210206-80T</t>
  </si>
  <si>
    <t>ConectCor</t>
  </si>
  <si>
    <t>Provider of network services intended to connect people virtually. The company specializes in offering multiple services including high-speed broadband internet, high-definition TV and digital telephony including plans with unlimited landline and mobile calls using a fiber optic network, thereby serving society with internet, voice, data and multimedia communications solutions, connecting people and institutions.</t>
  </si>
  <si>
    <t>232948-72T</t>
  </si>
  <si>
    <t>Loppo</t>
  </si>
  <si>
    <t>Developer of a real estate rental platform designed to increase revenue. The company's platform utilizes artificial intelligence to help in property management, content creation, channel management and lead conversion, enabling landowners to rent and manage their properties conveniently.</t>
  </si>
  <si>
    <t>288558-73T</t>
  </si>
  <si>
    <t>Ubivis</t>
  </si>
  <si>
    <t>Developer of a multimodal platform designed to allow industries to collect data from industrial equipment and machines from different manufacturers and generations, and integrate them into a cloud dashboard. The company's platform collects data from various programmable logic controller (PLC) systems and offers a proprietary device that can extract data from legacy systems, the data is securely stored in the cloud and processed using machine learning algorithms, enabling industries to monitor the machines and production process.</t>
  </si>
  <si>
    <t>UP2B Accelerator</t>
  </si>
  <si>
    <t>208981-72T</t>
  </si>
  <si>
    <t>Amapari Energia</t>
  </si>
  <si>
    <t>Provider of electricity distribution services catering to the electric power generation industry.</t>
  </si>
  <si>
    <t>235950-40T</t>
  </si>
  <si>
    <t>Devires Technology</t>
  </si>
  <si>
    <t>Developer of multichannel applications for multi-cloud services.</t>
  </si>
  <si>
    <t>V8 Tech</t>
  </si>
  <si>
    <t>235955-08T</t>
  </si>
  <si>
    <t>Experior Tecnologia</t>
  </si>
  <si>
    <t>Provider of information technology solutions based in Sao Paulo, Brazil. The company specializes in the supply and integration of different technologies intended to provide solutions to maximize investment in data and accelerate client's decision-making.</t>
  </si>
  <si>
    <t>262495-18T</t>
  </si>
  <si>
    <t>Reckitt Wash Accelerator</t>
  </si>
  <si>
    <t>292572-19T</t>
  </si>
  <si>
    <t>Sintropica Capital Natural</t>
  </si>
  <si>
    <t>Developer of a spatial intelligence platform designed for monitoring and improving agricultural practices in the Cerrado biome. The company offers a tool, enables agricultural producers to reduce costs, issue green bonds, and prioritize restoration areas with accurate environmental data.</t>
  </si>
  <si>
    <t>224917-03T</t>
  </si>
  <si>
    <t>Destilaria Batista</t>
  </si>
  <si>
    <t>Operator of a traditional distillery based in Sacramento, Brazil. The company operates a distillery and produces cachaça, gin, vodka, rum, mxed drinks and liquors.</t>
  </si>
  <si>
    <t>APTK Spirits(Luiz Foggetti)</t>
  </si>
  <si>
    <t>206484-04T</t>
  </si>
  <si>
    <t>Laboratório Lustosa</t>
  </si>
  <si>
    <t>Developer of laboratory medicines intended to ensure the reliability of results and contribute to safe medical practice. The company specializes in pathologic anatomy, bacteriology, biochemistry, hematology, immunology and urinalysis.</t>
  </si>
  <si>
    <t>Laboratory Services (Healthcare)</t>
  </si>
  <si>
    <t>205741-00T</t>
  </si>
  <si>
    <t>Norflor</t>
  </si>
  <si>
    <t>Producer of wood and charcoal products intended to serve the coal biomass and cellulose biomass sectors. The company specializes in the planting and harvesting of eucalyptus forests, enabling clients to have forest products in a sustainable way.</t>
  </si>
  <si>
    <t>Forestry Development/Harvesting</t>
  </si>
  <si>
    <t>205768-81T</t>
  </si>
  <si>
    <t>Tilabras Aquacultura</t>
  </si>
  <si>
    <t>Operator of a white fish company intended to serve customers with sustainable sources of animal protein. The company offers plant-based feed for animal proteins rather than cattle farming, hatchery, and breeding and farming tilapia, thereby helping customers to get fish with no contaminants, antibiotics, growth hormones, or added chemicals.</t>
  </si>
  <si>
    <t>Ocean 14 Capital(Francisco Gomes)</t>
  </si>
  <si>
    <t>217169-11T</t>
  </si>
  <si>
    <t>Hatcher+, Outlier Ventures</t>
  </si>
  <si>
    <t>212090-23T</t>
  </si>
  <si>
    <t>China Three Gorges Brazil</t>
  </si>
  <si>
    <t>Operator of a clean energy group intended to focus on large-scale hydropower development and operation. The company engages in renewable energy businesses including wind and solar power, and drives the progress of society and the planet in a sustainable way, thereby offering clients hydroelectric as a priority power source for their growth strategy.</t>
  </si>
  <si>
    <t>265265-83T</t>
  </si>
  <si>
    <t>211776-40T</t>
  </si>
  <si>
    <t>Primatec Telecom</t>
  </si>
  <si>
    <t>Provider of telecom service based in Primavera do Leste, Brazil. The company offers fiber optic connections and local storage, thereby enabling better performance to access digital content, data, video and voice.</t>
  </si>
  <si>
    <t>215912-98T</t>
  </si>
  <si>
    <t>Alvorada Produtos Agropecuários</t>
  </si>
  <si>
    <t>Operator of a retail agricultural product company intended to serve Central-West and North regions of Brazil. The company offers veterinary drugs, pasture items, animal nutrition, machinery and equipment, thereby providing a unique one-stop-shop solution for customers at lower prices.</t>
  </si>
  <si>
    <t>Kinea Investimentos (BVMF: KNHY11)(Cristiano Lauretti)</t>
  </si>
  <si>
    <t>209209-87T</t>
  </si>
  <si>
    <t>Companhia Energética Chapecó</t>
  </si>
  <si>
    <t>Provider of hydroelectric energy based in Santa Catarina, Brazil.</t>
  </si>
  <si>
    <t>205704-64T</t>
  </si>
  <si>
    <t>Dr. JONES</t>
  </si>
  <si>
    <t>Manufacturer of men's products intended to transform the male hygiene and beauty market in Brazil. The company offers face washes, body soap and beard care products along with monthly razor subscriptions and dietary supplements.</t>
  </si>
  <si>
    <t>205706-71T</t>
  </si>
  <si>
    <t>Genius Returns</t>
  </si>
  <si>
    <t>Developer of a returns management platform intended to enhance the online trading experience. The company's platform advises businesses to integrate their application program interface into the company's page and businesses can combine functions and experience, generation of monitoring reports, with detailed data on performance, activities, and volumes, to facilitate analysis and automatic tracking of delivery traffic, enabling businesses to reduce costs, boosts customer retention and minimize the environmental impact of returns.</t>
  </si>
  <si>
    <t>Bossa Invest, GVAngels, K&amp;K Partners(Tiago Nakasato)</t>
  </si>
  <si>
    <t>209089-36T</t>
  </si>
  <si>
    <t>Guigo Television</t>
  </si>
  <si>
    <t>Operator of a subscription-based live television company based in Sao Paulo, Brazil. The company provides internet pay television with the objective to bring the best content to the public with affordable prices, image quality and freedom to users.</t>
  </si>
  <si>
    <t>Zapping</t>
  </si>
  <si>
    <t>206219-35T</t>
  </si>
  <si>
    <t>Mapi (Business/Productivity Software)</t>
  </si>
  <si>
    <t>Developer of a manufacturing execution system intended to enhance operational efficiency in industrial settings. The company offers a system for daily monitoring of machines, while also providing a comprehensive educational platform for training and documentation, enabling manufacturing organizations to improve performance with adaptable technology that aligns with their technological maturity.</t>
  </si>
  <si>
    <t>206782-39T</t>
  </si>
  <si>
    <t>205669-27T</t>
  </si>
  <si>
    <t>Cowmed</t>
  </si>
  <si>
    <t>Developer of animal husbandry and livestock management technology designed to offer real-time information on the condition of each animal on users' property. The company's technology monitors rumination, and health and performs the detection of heat in dairy cattle, and provides information to the producer which prevents diseases in the herd, and lets the detection of the levels of rumination, activity, and idleness of the animal, enabling dairy farmers to increase milk production, ensuring the sustainability of the business.</t>
  </si>
  <si>
    <t>252103-15T</t>
  </si>
  <si>
    <t>SAP.iO</t>
  </si>
  <si>
    <t>205666-84T</t>
  </si>
  <si>
    <t>Isaac</t>
  </si>
  <si>
    <t>Developer of a school financial management platform designed to transform the school management process in a simple, digital, and safe way. The company transfers monthly tuition revenue and all other items that make up students' contracts in a single transfer to the school's account, enabling schools to focus on education by making the administrative and financial processes more transparent.</t>
  </si>
  <si>
    <t>Arco Educação(Ari de Sa Neto)</t>
  </si>
  <si>
    <t>209315-98T</t>
  </si>
  <si>
    <t>Platta</t>
  </si>
  <si>
    <t>Operator of an equity crowdfunding platform intended to democratize access to the investment world. The company's platform allows access to pre-analyzed innovative businesses and startups with great potential, helping investors diversify their portfolios by connecting them to startups and investors.</t>
  </si>
  <si>
    <t>209397-70T</t>
  </si>
  <si>
    <t>Sistema Hapvida</t>
  </si>
  <si>
    <t>Operator of a healthcare insurance company based in Brazil.</t>
  </si>
  <si>
    <t>Hapvida Participacoes (BVMF: HAPV3)</t>
  </si>
  <si>
    <t>Life and Health Insurance</t>
  </si>
  <si>
    <t>209396-17T</t>
  </si>
  <si>
    <t>Sistemas e Planos de Saude</t>
  </si>
  <si>
    <t>Provider of health care services based in São Paulo, Brazil. The company provides a range of care and medical services at low-cost, enabling patients and their families to avail quality healthcare services.</t>
  </si>
  <si>
    <t>Grupo NotreDame Intermédica</t>
  </si>
  <si>
    <t>214781-05T</t>
  </si>
  <si>
    <t>Exa Servicos De Tecnologia</t>
  </si>
  <si>
    <t>Provider of digital security services intended for anti-data theft solutions. The company engages in innovative technology and digital services focusing on anti-phishing, anti-smishing, and protection against rogue apps, offering customers network safety during money and private data transfer.</t>
  </si>
  <si>
    <t>209072-26T</t>
  </si>
  <si>
    <t>10X Capital, Bossa Invest, Pioneer Fund</t>
  </si>
  <si>
    <t>205429-42T</t>
  </si>
  <si>
    <t>Team oNe eSports</t>
  </si>
  <si>
    <t>Operator of an electronic sports company intended for gamers. The company's platform has teams of the league of legends, male CS: GO, female CS: GO and rainbow 6 Siege, providing gamers with an opportunity to connect and play online.</t>
  </si>
  <si>
    <t>Los Grandes</t>
  </si>
  <si>
    <t>205399-81T</t>
  </si>
  <si>
    <t>Tipspace</t>
  </si>
  <si>
    <t>Developer of an online betting platform designed for gamers who want to earn money with gaming skills. The company's platform facilitates gamers to play their favorite games with a matchmaking feature and receive tips easily and securely, enabling players to choose games and make tips while having fun playing for something.</t>
  </si>
  <si>
    <t>4M Holding, Rhombuz Ventures, Upload Ventures (Sao Paulo)(Rodrigo Baer), Verve Capital</t>
  </si>
  <si>
    <t>211777-66T</t>
  </si>
  <si>
    <t>Tower Brasil Petróleo</t>
  </si>
  <si>
    <t>Distrubutor of fuel including diesel, gasoline, ethanol and arla based in Sao Paulo, Brazil. The company distributes common and additive fuels as well as provides equipment maintenance support and real-time information on the fuel market and cost optimization.</t>
  </si>
  <si>
    <t>Rodoil Distribuidora de Combustiveis(Roberto Tonietto)</t>
  </si>
  <si>
    <t>Multi-Utilities</t>
  </si>
  <si>
    <t>202853-17T</t>
  </si>
  <si>
    <t>Vita IT</t>
  </si>
  <si>
    <t>Provider of technological services and solutions intended to accelerate digital globalization. The company offers connectivity, mobility, collaboration, video, information security, automation, data center and virtualization solutions, enabling companies to be productive anywhere on the earth.</t>
  </si>
  <si>
    <t>Telefónica (MAD: TEF)</t>
  </si>
  <si>
    <t>206977-33T</t>
  </si>
  <si>
    <t>Asantee Games</t>
  </si>
  <si>
    <t>Operator of a game development studio intended to develop engaging games for enthusiasts. The company develops games for the Android and iOS platforms, enabling gamers to gain experiences and prioritizing quality over quantity.</t>
  </si>
  <si>
    <t>226524-61T</t>
  </si>
  <si>
    <t>209550-16T</t>
  </si>
  <si>
    <t>BTR Benefícios e Seguros</t>
  </si>
  <si>
    <t>Provider of insurance and health management services intended to simplify the business benefits. The company focuses on options of insurers and operators in the market with products and conditions, enabling prevention, better customer experience, cost control and quality of life for beneficiaries.</t>
  </si>
  <si>
    <t>194981-05T</t>
  </si>
  <si>
    <t>Centrais Elétricas de Sergipe</t>
  </si>
  <si>
    <t>Producer of electricity based in Barra Dos Coqueiros, Brazil. The company operates the thermoelectric plant which is responsible for converting liquefied natural gas into electricity and also has marine facilities the floating natural gas storage and regasification unit (FSRU), the anchoring system and the gas pipeline, responsible for transporting natural gas from the FSRU to the plant, enabling generation of energy in an efficient and responsible way for the society and customers, respecting the environment and contributing to energy security.</t>
  </si>
  <si>
    <t>205327-18T</t>
  </si>
  <si>
    <t>Leavening, LW Ventures</t>
  </si>
  <si>
    <t>206969-77T</t>
  </si>
  <si>
    <t>MegaJogos</t>
  </si>
  <si>
    <t>Developer of an online card and board game platform designed to play with family and friends. The company offers online casual games, card games, luck factor games, logical thinking games and miscellaneous games for both Android and iOS platforms, enabling game enthusiasts to enjoy the games.</t>
  </si>
  <si>
    <t>197373-52T</t>
  </si>
  <si>
    <t>Santa Vitoria Acucar e Alcool</t>
  </si>
  <si>
    <t>Manufacturer of plant-based fuels and chemicals based in Santa Vitoria, Brazil. The company is engaged in the production and distribution of bioethanol, bio-ethylene and bio-polyethylene from sugarcane, thereby enabling farmers to enhance the crop health.</t>
  </si>
  <si>
    <t>Jalles Machado (BVMF: JALL3)</t>
  </si>
  <si>
    <t>257167-63T</t>
  </si>
  <si>
    <t>Capitalization</t>
  </si>
  <si>
    <t>301212-91T</t>
  </si>
  <si>
    <t>Finenge</t>
  </si>
  <si>
    <t>Provider of financial engineering and consulting services intended to serve infrastructure and sustainable development projects. The company delivers customized financial structuring, investment advisory, and risk assessment for public and private sector clients, thereby enabling efficient capital allocation and long-term value creation.</t>
  </si>
  <si>
    <t>CIFI</t>
  </si>
  <si>
    <t>205505-65T</t>
  </si>
  <si>
    <t>Fluke</t>
  </si>
  <si>
    <t>Operator of a telecommunication platform designed to deliver enhanced connection experience to individuals. The company's service has customized plans and packages depending on an individual's need, and also comes up with a chip having nationwide connectivity coverage for calls and data usage, enabling users to experience enhanced network connectivity technology.</t>
  </si>
  <si>
    <t>EquityRio, MG Tech.</t>
  </si>
  <si>
    <t>209256-04T</t>
  </si>
  <si>
    <t>Globaltec ()</t>
  </si>
  <si>
    <t>Provider of ERP solutions intended for the construction and real estate industries in Brazil. The company offers integrated management systems that enhance operational efficiency and provide real-time information for decision-making, thereby improving productivity and competitiveness.</t>
  </si>
  <si>
    <t>206565-49T</t>
  </si>
  <si>
    <t>Grupo TorreSur</t>
  </si>
  <si>
    <t>Provider of infrastructure-sharing services catering to the telecommunications industry. The company offers a full array of turn-key tower leasing services, build-to-suit options, collocation platforms and tower space on a shared basis, under long-term leases, to wireless communications service providers, thereby enabling network operators to drive cost, productivity and efficiency.</t>
  </si>
  <si>
    <t>207057-79T</t>
  </si>
  <si>
    <t>Kosmos (Multimedia and Design Software)</t>
  </si>
  <si>
    <t>Developer of a metaverse platform intended to enhance digital events. The company's platform offers an interactive tool for creating virtual events, as well as three-dimensional (3D) scenarios and higher engagement gamification, enabling companies to manage, immerse and interact all in one place and create virtual events in a matter of minutes.</t>
  </si>
  <si>
    <t>YNN Ventures</t>
  </si>
  <si>
    <t>205505-20T</t>
  </si>
  <si>
    <t>Liquidase</t>
  </si>
  <si>
    <t>Operator of a business-to-business marketplace intended to solve the issue of surplus stocks. The company offers a platform where businesses can connect to the retail and wholesale sectors directly with the industry to generate income, enabling clients to deal with surplus stocks from industries effectively.</t>
  </si>
  <si>
    <t>207577-99T</t>
  </si>
  <si>
    <t>Rebox (Automotive)</t>
  </si>
  <si>
    <t>Operator of an online roadside assistance platform designed to take care of cars in cases of emergencies. The company's platform operates a large assistance network consisting of trained and qualified technicians, enabling customers to avail of round-the-clock road assistance at the time of accidents for a nominal fee.</t>
  </si>
  <si>
    <t>215059-51T</t>
  </si>
  <si>
    <t>204788-17T</t>
  </si>
  <si>
    <t>Ultragaz Energia Inteligente</t>
  </si>
  <si>
    <t>Provider of renewable energy specializing in electricity supply catering to homes and companies. The company connects people to renewable power plants and provides electricity supplies directly at cheaper prices, thereby helping clients and customers to spread sustainable and cheaper sources of energy.</t>
  </si>
  <si>
    <t>Ultrapar Participacoes (BVMF: UGPA3)(Marcos Lutz)</t>
  </si>
  <si>
    <t>207580-69T</t>
  </si>
  <si>
    <t>Vesti (Business/Productivity Software)</t>
  </si>
  <si>
    <t>Developer of wholesale sales tool intended to increase sales via WhatsApp and Instagram. The company offers an application to track and measure orders and streamline the catalog allowing an easy payment system, enabling businesses to increase their footfall in the apparel market.</t>
  </si>
  <si>
    <t>EquityRio, Smart Money Ventures, StaminaVC</t>
  </si>
  <si>
    <t>215065-36T</t>
  </si>
  <si>
    <t>WebroPay</t>
  </si>
  <si>
    <t>Developer of fintech platform designed to serve retailers to manage their receivables, and sales commissions. The company's platform has the unique ability to offer a set of financial systems like payment of commissions between realtors and commissioners, balance visibility, statements, future commissions, contracts, customers, slips, and collections, enabling users with more control over transactions and management of realtor's accounts.</t>
  </si>
  <si>
    <t>Bossa Invest, Guilherme Lorca(Guilherme Lorca)</t>
  </si>
  <si>
    <t>205514-74T</t>
  </si>
  <si>
    <t>Colortech da Amazônia</t>
  </si>
  <si>
    <t>Manufacturer of chemical compounds focused on promoting pollution prevention awareness. The company specializes in the development of colors, masterbatches, mineral-filled powders and engineered polymer products.</t>
  </si>
  <si>
    <t>LyondellBasell Industries Holdings (NYS: LYB)</t>
  </si>
  <si>
    <t>195379-30T</t>
  </si>
  <si>
    <t>Super Opa</t>
  </si>
  <si>
    <t>Developer of an e-commerce site designed to transform waste into savings for everyone. The company's website offers a variety of food, drinks, beauty and hygiene products delivered directly from the distributor and wants to collaborate with zero waste, enabling e-consumers to order products from the comforts of their homes with zero wastage.</t>
  </si>
  <si>
    <t>Bossa Invest, HBS Alumni Angels of Brazil, RG Nutri</t>
  </si>
  <si>
    <t>218396-08T</t>
  </si>
  <si>
    <t>SuperRico Tecnologia em Plano Financeiro</t>
  </si>
  <si>
    <t>Operator of a financial platform intended to connect financial planners and people. The company offers programs for franchise financial planners, intelligence plans, monetary balance plans and economic health plans, helping individuals, families and businesses empower their economic vitality.</t>
  </si>
  <si>
    <t>205234-57T</t>
  </si>
  <si>
    <t>Xepa.World</t>
  </si>
  <si>
    <t>Developer of metaverse platform designed to create a cultural city based on blockchain. The company's platform presents and supports art and entertainment through the metaverse that can be accessed via mobile, tablet, computer, or virtual reality glasses, enabling users to get a channel of connection between artists and their audience.</t>
  </si>
  <si>
    <t>205291-09T</t>
  </si>
  <si>
    <t>Gestar</t>
  </si>
  <si>
    <t>Operator of an online marketplace intended to help people find health and wellness professionals. The company's marketplace helps bring together professionals from different specialties such as doulas, breastfeeding consultants, physiotherapists, and lawyers specializing in obstetric violence and helps to book appointments digitally with access to the professionals' agendas, enabling pregnant women, mothers, and fathers to get humanized care.</t>
  </si>
  <si>
    <t>BlackWin(Jessica Rios), Lighthouse Invest</t>
  </si>
  <si>
    <t>205076-44T</t>
  </si>
  <si>
    <t>Cortex Intelligence Tecnologia</t>
  </si>
  <si>
    <t>Developer of a data insights platform designed to optimize sales decisions and grow business by leveraging data intelligence. The company's platform helps capture structured and unstructured external materials, linking them to internal data, analyzing and triggering the actions at the time, enabling clients to reach their marketing goals and sales targets by making smart and data-driven decisions.</t>
  </si>
  <si>
    <t>Gaw Capital Partners, Lightrock(Marcos Pereira), Metasense DAO, Riverwood Capital, SoftBank Group (TKS: 9984), Spectra Investments</t>
  </si>
  <si>
    <t>210226-96T</t>
  </si>
  <si>
    <t>Opyt</t>
  </si>
  <si>
    <t>Provider of fiber optic internet services based in Inhumas, Brazil. The company offers internet plans for high schools, families, businesses and e-sports, thereby enabling customers to connect with people, education and work.</t>
  </si>
  <si>
    <t>204867-28T</t>
  </si>
  <si>
    <t>Ali Credito</t>
  </si>
  <si>
    <t>Developer of an online credit platform designed to digitize the financing of loans. The company's platform offers loans for car maintenance or exchange, investing or opening a new business, investing in home improvements, unforeseen events, and various other needs as well as provides tools to solve problems related to overdraft and revolving credit card debt, enabling users to reduce their debts and operating costs, get fair rates and prevent abusive contracts.</t>
  </si>
  <si>
    <t>BoostLAB, BTG Pactual (BVMF: BPAC3), Devas Invest</t>
  </si>
  <si>
    <t>218954-17T</t>
  </si>
  <si>
    <t>Monis (Financial Software)</t>
  </si>
  <si>
    <t>Developer of subscription-based savings platform intended to help users gain money-saving goals. The company's platform allows defining the amount that needs to be saved per week to fulfill the target and debits a set amount from the credit card periodically that can be withdrawn later, enabling users to save money without making any conscious efforts.</t>
  </si>
  <si>
    <t>Goodwater Capital</t>
  </si>
  <si>
    <t>215949-70T</t>
  </si>
  <si>
    <t>Setimo Ano</t>
  </si>
  <si>
    <t>Operator of an education platform intended to provide medical-related courses. The company helps to provide unpublished questions and medical interview courses along with an online community, enabling students to prepare for exams and interviews.</t>
  </si>
  <si>
    <t>206521-48T</t>
  </si>
  <si>
    <t>221259-88T</t>
  </si>
  <si>
    <t>Barra Malls Fundo De Investimento Imobiliario (BVMF: BTML11)</t>
  </si>
  <si>
    <t>Barra Malls Fundo De Investimento Imobiliario formerly Genial Renda Urbana Fundo De Investimento Imobiliario is a fund whose objective is to provide shareholders with the opportunity to obtain income through investment in Real Estate Assets, as well as real estate exploration, through rental or leasing, with the possibility of selling real estate.</t>
  </si>
  <si>
    <t>192899-35T</t>
  </si>
  <si>
    <t>CELG Distribution</t>
  </si>
  <si>
    <t>Provider of electricity services based in Goiânia, Brazil. The company is engaged in the production, transmission and distribution of electricity and also offers energy diagnosis and equipment leasing services.</t>
  </si>
  <si>
    <t>CPFL Energia (BVMF: CPFE3), EDP - Energias do Brasil, Equatorial Energia (BVMF: EQTL3), Neoenergia (BVMF: NEOE3)</t>
  </si>
  <si>
    <t>209473-84T</t>
  </si>
  <si>
    <t>LawFinder</t>
  </si>
  <si>
    <t>Operator of a legal platform, intended to provide legal services. The company's platform connects the demands of the legal environment to lawyers in a simple, easy and flexible way, enabling clients to avail quality legal projects to work on.</t>
  </si>
  <si>
    <t>Future Law</t>
  </si>
  <si>
    <t>Legal Services (B2C)</t>
  </si>
  <si>
    <t>205506-64T</t>
  </si>
  <si>
    <t>Leonora Ventures, Ventiur</t>
  </si>
  <si>
    <t>204652-54T</t>
  </si>
  <si>
    <t>Marvee</t>
  </si>
  <si>
    <t>Provider of integrated financial and accounting services designed for business management simplification. The company's platform offers modular subscriptions that include real-time dashboards, outsourced financial operations, and digital accounting tools, enabling small and medium-sized enterprises to gain financial clarity, automate back-office tasks, and make data-driven decisions without compromising compliance or operational efficiency.</t>
  </si>
  <si>
    <t>Alberto Stein(Alberto Stein), Anderson Felício(Anderson Felício), Bruno Hertwig(Bruno Hertwig)</t>
  </si>
  <si>
    <t>211061-44T</t>
  </si>
  <si>
    <t>Nobli</t>
  </si>
  <si>
    <t>Developer of an online personal credit platform designed to provide access to cheap credit using investments as collateral. The company's platform uses technologies such as blockchain and artificial intelligence to get credit offers for each user, turn credit into a personal financial planning tool, and build long-term wealth by providing liquidity and leverage efficiently, enabling clients to receive investment-backed personal credit through partner financial institutions.</t>
  </si>
  <si>
    <t>DOMO.VC, Redpoint eventures</t>
  </si>
  <si>
    <t>209308-24T</t>
  </si>
  <si>
    <t>Phytus Group</t>
  </si>
  <si>
    <t>Operator of an agricultural company intended to provide food products. The company provides a wide range of cultivation technology, knowledge and agricultural solutions, enabling clients to avail quality food products and cultivation solutions.</t>
  </si>
  <si>
    <t>Staphyt</t>
  </si>
  <si>
    <t>191989-45T</t>
  </si>
  <si>
    <t>Bossa Invest, Fifth Wall, QED Investors(Mike Packer), SoftBank Group (TKS: 9984), Spectra Investments, Valor Capital Group, VEF (STO: VEFAB)</t>
  </si>
  <si>
    <t>204553-72T</t>
  </si>
  <si>
    <t>St. James' International School</t>
  </si>
  <si>
    <t>Operator of schools and universities located in Londrina, Brazil. The company provides educational services for different age groups and offers full scholarships, thereby enabling students to enhance their reasoning, problem-solving and constructive action.</t>
  </si>
  <si>
    <t>180477-46T</t>
  </si>
  <si>
    <t>Addition, Clocktower Ventures, Drýs Capital, DST Partners, Monashees(Marcelo Lima), Moore Capital Management, Picus Capital, QED Investors, Valor Capital Group(Michael Nicklas)</t>
  </si>
  <si>
    <t>204456-79T</t>
  </si>
  <si>
    <t>DP Ajudarte</t>
  </si>
  <si>
    <t>Provider of wholesale food items intended to offer food to the people of Brazil .The company does wholesale ice cream trade.</t>
  </si>
  <si>
    <t>Perfetto Alimentos</t>
  </si>
  <si>
    <t>204519-52T</t>
  </si>
  <si>
    <t>Operator of a fintech company intended to develop and invest in companies with cryptocurrency and blockchain ecosystems. The company actively manages and aims to provide an appreciation of quotas in the long term through an investment of up to a quantum of its net assets, enabling qualified investors, individuals and companies.to diversify their business in the blockchain industry.</t>
  </si>
  <si>
    <t>DOMO.VC(Felipe Andrade), Tessera Ventures(Guilherme Pacheco)</t>
  </si>
  <si>
    <t>204652-36T</t>
  </si>
  <si>
    <t>Sellentt</t>
  </si>
  <si>
    <t>Operator of a SAAS-based business intelligence platform intended to offer sales force solutions focused on commercial performance and decision-making. The company's platform uses artificial intelligence to perform analysis to find opportunities, calculate losses and generate alerts for commercial teams, focusing on external teams and retail and industry managers, enabling organizations to access a solution for commercial decision-making and boost their business results.</t>
  </si>
  <si>
    <t>257930-29T</t>
  </si>
  <si>
    <t>Sequoia Logistica e Transportes (BVMF: SEQL3)</t>
  </si>
  <si>
    <t>Sequoia Logistica E Transportes SA provides specialized logistics and transport services for the e-commerce industry. Also, the company provides packaging, storage, inventory management, and other related services.</t>
  </si>
  <si>
    <t>Volpe Capital</t>
  </si>
  <si>
    <t>205048-45T</t>
  </si>
  <si>
    <t>Wine Locals</t>
  </si>
  <si>
    <t>Developer of wine selling and tourism platform serving across Brazil. The company offers delivery of wines and urban experiences in large cities, such as Sao Paulo and Porto Alegre and provides a one-stop platform for its clients as well as arranges visits to wineries in Serra Gaúcha and Uruguay.</t>
  </si>
  <si>
    <t>Evino</t>
  </si>
  <si>
    <t>209402-38T</t>
  </si>
  <si>
    <t>Atlasagro</t>
  </si>
  <si>
    <t>Producer of sesame seeds based in Canarana, Brazil. The company specializes in planting to marketing, by monitoring all stages of production with quality control, seriousness, and respect for standards, helping farmers with grain production in the region, increasing the availability of the product on Brazilian market.</t>
  </si>
  <si>
    <t>204747-58T</t>
  </si>
  <si>
    <t>Mirá Biotech</t>
  </si>
  <si>
    <t>Manufacturer of wood board products intended to develop a sustainable, formaldehyde-free, resin-free engineered wood, promoting sustainable industrialization. The company specializes in the production of natural, formaldehyde-free products from waste products such as sugar cane bagasse, creating a circular economy and eliminating the need to cut down trees, enabling users to get a wood-based natural product.</t>
  </si>
  <si>
    <t>IndieBio(Alex Kopelyan), SOSV(Po Bronson)</t>
  </si>
  <si>
    <t>204236-20T</t>
  </si>
  <si>
    <t>Easycarro Servicos De Tecnologia</t>
  </si>
  <si>
    <t>Developer of fleet management designed to help rental companies increase their vehicles' efficiency. The company has a system for fines and drivers, automotive maintenance, and the sale of used cars and helps in financing, buying, operating, and selling the vehicles, enabling small and medium-sized rental companies to create a hub that centralizes essential services for their car rental business.</t>
  </si>
  <si>
    <t>BRQ Solucoes em Informatica (BVMF: BRQB3)(Antônio Rodrigues)</t>
  </si>
  <si>
    <t>209495-98T</t>
  </si>
  <si>
    <t>Minehr</t>
  </si>
  <si>
    <t>Developer of web-based people analytical platform designed to reduce turnover, absenteeism, and people development. The company's platform offers technology that organizes, stores, and builds custom data, performing correlation analysis between variables, probability, and risk calculations along with predictive modeling. enabling clients to get actionable insights.</t>
  </si>
  <si>
    <t>Falconi(Fernando Fernandes)</t>
  </si>
  <si>
    <t>204253-75T</t>
  </si>
  <si>
    <t>190612-72T</t>
  </si>
  <si>
    <t>Bait (Brazil)</t>
  </si>
  <si>
    <t>Developer of property committed to meeting the demands of the public needs of sustainable living. The company develops contemporary real estate projects to meet the new demands with efficient design, technology, and a vision of urban reality, thereby offering customers housing solutions catering to the constant changes in habits and consumption.</t>
  </si>
  <si>
    <t>Gafisa (BVMF: GFSA3)(Guilherme Benevides)</t>
  </si>
  <si>
    <t>205199-02T</t>
  </si>
  <si>
    <t>Bestway Seeds</t>
  </si>
  <si>
    <t>Producer of corn seeds based in Uberlândia, Brazil. The company is engaged in receipt, spread, selection, drying, threshing, classification and bagging of corn and sorghum seeds and specializes in seed processing tolling, industrial seed treatment and storage services, thereby contributing to the high productivity and satisfaction of the rural producer.</t>
  </si>
  <si>
    <t>Boa Safra Sementes (BVMF: SOJA3)(Felipe Marques)</t>
  </si>
  <si>
    <t>208401-40T</t>
  </si>
  <si>
    <t>Bússola</t>
  </si>
  <si>
    <t>Developer of data-driven management tools designed for public social assistance programs. The company's platform centralizes information from various municipal departments and integrates monitoring, case tracking, reporting, and analytics features, enabling local governments to coordinate social services more effectively, allocate resources based on real-time needs, improve transparency, and support informed decision-making across complex care and welfare networks.</t>
  </si>
  <si>
    <t>205386-49T</t>
  </si>
  <si>
    <t>Goodwater Capital, Rebel Fund</t>
  </si>
  <si>
    <t>209204-74T</t>
  </si>
  <si>
    <t>ZEG Biogás</t>
  </si>
  <si>
    <t>Manufacturer of biogas intended to keep the world greener, with fertile soil and clean water. The company captures and purifies the biogas generated by the decomposition of waste, enabling companies, industries and municipalities to generate electricity from biogas using motor generators.</t>
  </si>
  <si>
    <t>Vibra Energia (BVMF: VBBR3)</t>
  </si>
  <si>
    <t>241410-97T</t>
  </si>
  <si>
    <t>Jobzi</t>
  </si>
  <si>
    <t>Developer of a job search data intelligence platform designed to facilitate a simplified connection between candidates and employers. The company's platform uses artificial intelligence to interpret candidates' resumes and job requirements, enabling employers to access data from the job market to find candidates suitable for a job profile and make informed decisions.</t>
  </si>
  <si>
    <t>215254-27T</t>
  </si>
  <si>
    <t>Next Coast ETA(Anthony Walker), Pacific Lake, Relay Investments, Tractus Capital</t>
  </si>
  <si>
    <t>209512-27T</t>
  </si>
  <si>
    <t>Soma+</t>
  </si>
  <si>
    <t>Provider of energy solutions management and consulting services based in Fortaleza, Brazil. The company's services include energy efficiency, contract management, feasibility analysis, regulatory advisory, and energy management assessment.</t>
  </si>
  <si>
    <t>Comerc Energia</t>
  </si>
  <si>
    <t>211597-39T</t>
  </si>
  <si>
    <t>Swipe Digital Services</t>
  </si>
  <si>
    <t>Developer of banking technology designed to simplify access to financial services. The company's platform offers banking as a service and specializes in customized digital wallet solutions, thereby enabling businesses to create new sources of income and create their own digital accounts.</t>
  </si>
  <si>
    <t>Conta Azul(Vinicius Roveda)</t>
  </si>
  <si>
    <t>211027-15T</t>
  </si>
  <si>
    <t>Saúde Excelsior</t>
  </si>
  <si>
    <t>Provider of health care services based in Recife, Brazil. The company provides dental assistance, pre-hospital care and national emergency system</t>
  </si>
  <si>
    <t>Amil Participacoes</t>
  </si>
  <si>
    <t>203737-06T</t>
  </si>
  <si>
    <t>Up Estate</t>
  </si>
  <si>
    <t>Provider of rental services for innovative real estate companies intended to transfigure property rental. The company facilitates immediate cadastral analysis, electronic signature, and systems that allow work guaranteeing receipt for owners and making the process less bureaucratic for the tenant, enabling real estate companies to eliminate the need for a guarantor and significantly reducing the lease term of a property.</t>
  </si>
  <si>
    <t>BR Angels, Gr8 Ventures</t>
  </si>
  <si>
    <t>209531-26T</t>
  </si>
  <si>
    <t>Zahl Investimentos</t>
  </si>
  <si>
    <t>Provider of wealth management services based in Porto Alegre, Brazil. The company specializes in the management of financial assets, real estate and fixed-income funds, enabling its clients to invest better and achieve financial goals.</t>
  </si>
  <si>
    <t>Monte Bravo Corretora De Titulos e Valores Mobiliarios</t>
  </si>
  <si>
    <t>209571-22T</t>
  </si>
  <si>
    <t>Bravium</t>
  </si>
  <si>
    <t>Operator of a digital platform intended to provide consulting for loyalty programs and full commerce. The company's platform focused on creating relationships between different industries, distribution channels, and consumers in the area of digital transformation, enabling entrepreneurs with multiple loyalty and marketplace strategies and accelerating customer engagement.</t>
  </si>
  <si>
    <t>Bridge One (Warsaw), Fegik Investimentos</t>
  </si>
  <si>
    <t>203592-97T</t>
  </si>
  <si>
    <t>Atman Capital Partners, Auteco Mobility, Climate Capital, Construct Capital, K50 Ventures, Latitud, Marcelo Claure(Marcelo Claure), Monashees</t>
  </si>
  <si>
    <t>204179-14T</t>
  </si>
  <si>
    <t>Bossa Invest, E3 Negócios</t>
  </si>
  <si>
    <t>204181-39T</t>
  </si>
  <si>
    <t>203617-45T</t>
  </si>
  <si>
    <t>Mun Alimentos</t>
  </si>
  <si>
    <t>Producer and distributor of vegan fermented food intended to offer high-protein meat substitutes. The company's food products are made by soaking, peeling, cooking, and inoculating beans and introducing them with micro-perforated packings to ferment in a professional incubator controlled temperature, providing people with healthy and sustainable proteins.</t>
  </si>
  <si>
    <t>203514-22T</t>
  </si>
  <si>
    <t>Te Enviei</t>
  </si>
  <si>
    <t>Developer of digital wallet intended to provide integrated digital banking and money transfer solutions. The company offers a digital wallet that allows money transfer through a physical POS network and provides easy identification of payments with a user-friendly interface app, enabling customers to store funds, send money overseas and domestically, and pay their bills, all from the convenience of their phones.</t>
  </si>
  <si>
    <t>Western Union (NYS: WU)(Thomas Mazzaferro)</t>
  </si>
  <si>
    <t>244445-32T</t>
  </si>
  <si>
    <t>Elysios</t>
  </si>
  <si>
    <t>Operator of an agricultural technology platform designed for optimizing, digitising and connecting the agricultural production chain. The company's platform integrates control, sensing, and automation features between the entities in the chain, from the rural producer to the consumer, contributing to instant access to information, transparency of processes, decision-making, and rapid communication, enabling the agricultural market to enhance productivity using fewer resources, improve decision-making with real-time data, and ensure sustainable farming practices.</t>
  </si>
  <si>
    <t>266561-74T</t>
  </si>
  <si>
    <t>217958-23T</t>
  </si>
  <si>
    <t>ECSA</t>
  </si>
  <si>
    <t>Developer of a financial infrastructure platform designed to facilitate global transactions. The company's platform offers integrated tools including real-time international payments, foreign exchange services, credit facilities, blockchain-based transaction tracking, and secure custodial services, enabling businesses to streamline cross-border operations, improve liquidity management, and reduce operational complexities through API integrations and transparent pricing models.</t>
  </si>
  <si>
    <t>Arca, Pioneer Fund, Y Combinator</t>
  </si>
  <si>
    <t>215379-82T</t>
  </si>
  <si>
    <t>Hunterhero</t>
  </si>
  <si>
    <t>Developer of a recruitment platform designed to connect professionals to fast-growing companies. The company's service includes recruitment and selection, talent outsourcing, and freelancer outsourcing, enabling professionals and companies to hire globally outside the norm.</t>
  </si>
  <si>
    <t>206309-35T</t>
  </si>
  <si>
    <t>Khaya Woods</t>
  </si>
  <si>
    <t>Manufacturer sustainable eco-friendly mahogany wood intended to offer quality, reforested wood products in an environmentally and socially responsible way. The company offers sustainably sourced, kiln-dried African mahogany lumber with excellent physical and mechanical properties, enabling customers to create beautiful and durable furniture, flooring, and other wood products while supporting responsible forestry practices.</t>
  </si>
  <si>
    <t>José Silva(José Silva)</t>
  </si>
  <si>
    <t>274533-67T</t>
  </si>
  <si>
    <t>CEABS Serviços</t>
  </si>
  <si>
    <t>Developer of a logistic software intended to offer solutions focused on tracking, telemetry, and asset recovery for individuals and companies. The company service includes fleet management, risk management, video monitoring, tracking and monitoring of goods, people market, and also insurance companies, carriers, and vehicle assemblers.</t>
  </si>
  <si>
    <t>Omnilink(Eduardo Lacet)</t>
  </si>
  <si>
    <t>206983-27T</t>
  </si>
  <si>
    <t>210817-27T</t>
  </si>
  <si>
    <t>Kyte (Business/Productivity Software)</t>
  </si>
  <si>
    <t>Developer of a sales and inventory control system designed to transform the way small businesses sell, manage, and interact with customers. The company's platform provides a barcode scanner and shows transaction history, custom receipts, sales reports, and customer accounts, and sends electronic receipts by email or messaging application, enabling business owners to sync with inventory and customer data and manage all aspects of business efficiently.</t>
  </si>
  <si>
    <t>225087-85T</t>
  </si>
  <si>
    <t>LDSOFT</t>
  </si>
  <si>
    <t>Developer of legal intellectual property management software intended to protect and enhance intellectual properties. The company's software enables trademark portfolio management, patent monitoring, prior art searches, blockchain-based document timestamping, financial control, automated conflict analysis, legal deadline tracking, system integration via APIs, mobile access, and cloud-based hosting, helping legal departments and IP professionals increase productivity, reduce operational costs, and ensure regulatory compliance.</t>
  </si>
  <si>
    <t>206990-92T</t>
  </si>
  <si>
    <t>Lemon Energia</t>
  </si>
  <si>
    <t>Operator of a renewable energy marketplace intended to make green energy an easy choice. The company's marketplace gives electric bill savings and sustainable energy methods by facilitating the connection between these enterprises and electricity generators from essentially clean sources, such as solar, wind, biogas and small hydroelectric plants, enabling businesses to save energy and money by using environment-friendly sources of energy.</t>
  </si>
  <si>
    <t>206997-76T</t>
  </si>
  <si>
    <t>219377-71T</t>
  </si>
  <si>
    <t>Qista</t>
  </si>
  <si>
    <t>Developer of credit solutions and credit-applying applications intended for individuals and legal entities. The company offers a wide range of solutions including investments, FGTS loans, personal loans, working capital, and more, and its product features include applying for personal credit easily.</t>
  </si>
  <si>
    <t>Bom Pra Crédito</t>
  </si>
  <si>
    <t>206155-00T</t>
  </si>
  <si>
    <t>Founders Factory, G-Force, Google for Startups</t>
  </si>
  <si>
    <t>206984-71T</t>
  </si>
  <si>
    <t>206965-81T</t>
  </si>
  <si>
    <t>206988-85T</t>
  </si>
  <si>
    <t>203163-67T</t>
  </si>
  <si>
    <t>Alloyal</t>
  </si>
  <si>
    <t>Operator of a benefits management company intended to help companies create their own loyalty program. The company's platform offers benefits, discounts and cashback through which companies can build a community around their brand and provides geolocation, customization, and customer consumption habits reports, enabling companies to connect with customers and increase their revenue.</t>
  </si>
  <si>
    <t>300003-67T</t>
  </si>
  <si>
    <t>285505-12T</t>
  </si>
  <si>
    <t>203156-29T</t>
  </si>
  <si>
    <t>Anjos do Brasil(Leandro Fariello), Gavea Angels, GVAngels, Marco Canongia(Marco Canongia), Urca Angels</t>
  </si>
  <si>
    <t>202992-67T</t>
  </si>
  <si>
    <t>Bossa Invest, Incubate Fund, StaminaVC</t>
  </si>
  <si>
    <t>258808-15T</t>
  </si>
  <si>
    <t>Comprovei</t>
  </si>
  <si>
    <t>Developer of delivery logistics platform designed to optimize efficiency and boost customer confidence. The company leverages its experience by offering photo scanning and artificial intelligence, thereby ensuring the correction of delivery location.</t>
  </si>
  <si>
    <t>Greenbridge Partners, Niche Partners(Vasco Neto), Niche Supply Technologies, Tarpon Capital</t>
  </si>
  <si>
    <t>287390-98T</t>
  </si>
  <si>
    <t>IRB-Brasil Resseguros (BVMF: IRBR3)</t>
  </si>
  <si>
    <t>IRB Brasil Resseguros SA is a Brazil-based company that provides reinsurance solutions. It offers reinsurance solutions for aviation, engineering, surety, financial, oil and gas, property, casualty, agricultural, cargo and marine, life and pension, and miscellaneous. Its business segments are Brazil, Abroad, and Other.</t>
  </si>
  <si>
    <t>Re-Insurance</t>
  </si>
  <si>
    <t>211182-04T</t>
  </si>
  <si>
    <t>Parciom</t>
  </si>
  <si>
    <t>Developer of receivables management software catering to small, medium and large entrepreneurs. The company engages in offering various payment methods through its platform thereby, helping businesses to carry out the entire billing process.</t>
  </si>
  <si>
    <t>203241-97T</t>
  </si>
  <si>
    <t>Qdois</t>
  </si>
  <si>
    <t>Provider of business intelligence consulting, data analytics and digital transformation intended for customers to solve business problems. The company offers data engineering, data science and digital workplace solutions, thereby helping clients with data and cloud migration, analyzing data and combining power platforms.</t>
  </si>
  <si>
    <t>BRQ Solucoes em Informatica (BVMF: BRQB3)(Rodrigo Frizzi)</t>
  </si>
  <si>
    <t>209506-78T</t>
  </si>
  <si>
    <t>Rede Enem</t>
  </si>
  <si>
    <t>Provider of educational content intended to work to promote knowledge for young people in search of social ascension through Education. The company services include free content for an ecosystem that includes blogs, preparatory courses, and social media profiles. along with It offers content channels and learning activities to improve the performance of secondary education students.</t>
  </si>
  <si>
    <t>Vitru Brasil Empreendimentos, Participações e Comércio(Pedro Graça)</t>
  </si>
  <si>
    <t>189006-49T</t>
  </si>
  <si>
    <t>Vasco da Gama</t>
  </si>
  <si>
    <t>Operator of a soccer club based in Rio de Janeiro, Brazil. The company owns and operates various sports teams primarily the soccer team and participates in various sporting leagues and tournaments, thereby promoting the sport and creating opportunities for players.</t>
  </si>
  <si>
    <t>777 Partners(Don Dransfield)</t>
  </si>
  <si>
    <t>199275-58T</t>
  </si>
  <si>
    <t>8Quali</t>
  </si>
  <si>
    <t>Developer of quality management software designed to automate daily processes in a company. The company's software offers to manage costs and rework, meetings, audit reports, delegate activities to employees, and centralize information on a cloud platform, enabling clients to control the requirements of the main quality certifications, providing increased efficiency in their processes, and generating results and competitive advantage in their businesses.</t>
  </si>
  <si>
    <t>259515-01T</t>
  </si>
  <si>
    <t>AES (NYS: AES)(Juan Rubiolo)</t>
  </si>
  <si>
    <t>194432-41T</t>
  </si>
  <si>
    <t>Bossa Invest, T-Valley</t>
  </si>
  <si>
    <t>204501-79T</t>
  </si>
  <si>
    <t>Agrivalle Brasil</t>
  </si>
  <si>
    <t>Manufacturer of biological inputs intended to make agriculture sustainable. The company has a large genetic bank of microorganisms which allows it to offer a range of biological products, special fertilizers, adjuvants, inoculants, and additives, enabling customers to drive productivity, sustainability, and regeneration for a more profitable, safe, and permanent agriculture.</t>
  </si>
  <si>
    <t>Ecoa Capital, Good Karma Partners</t>
  </si>
  <si>
    <t>259536-79T</t>
  </si>
  <si>
    <t>Agroper</t>
  </si>
  <si>
    <t>Provider of organic fertilizers intended for farmers for plant growth with good yields. The company specializes in organic liquid fertilizers and solid organic compost also produces and sells natural and sustainable products, enabling farmers to increase the productivity of plants.</t>
  </si>
  <si>
    <t>Land Innovation Fund</t>
  </si>
  <si>
    <t>199280-26T</t>
  </si>
  <si>
    <t>194348-89T</t>
  </si>
  <si>
    <t>Global Founders Capital, VentureFriends(Apostolos Apostolakis)</t>
  </si>
  <si>
    <t>204607-63T</t>
  </si>
  <si>
    <t>Bertoni Rede</t>
  </si>
  <si>
    <t>Operator of a group of schools intended to serve students across the Southwest region of Brazil. The company educates kindergarten, high school, elementary early, and final year students, contributing to the transformation and development of students through education.</t>
  </si>
  <si>
    <t>234032-95T</t>
  </si>
  <si>
    <t>Comunica.In</t>
  </si>
  <si>
    <t>Developer of a communication management platform intended to make easy decisions related to people management. The company's platform combines its own methodology with software to trigger announcements, surveys, active listening and manage all types of interactions and announcements a company usually makes, enabling clients to explore the potential of communication to create real connections with their employees.</t>
  </si>
  <si>
    <t>Alessio Alionço(Alessio Alionço), Alexander Yokoyama(Alexander Yokoyama), Alphonse Voigt(Alphonse Voigt), Bruno Nardon(Bruno Nardon), Gustavo Raposo(Gustavo Raposo), Norte Ventures(Jose Cacheado)</t>
  </si>
  <si>
    <t>199281-88T</t>
  </si>
  <si>
    <t>ContDigital</t>
  </si>
  <si>
    <t>Developer of an accounting platform designed to automate accounting routines. The company's platform offers accounting services to companies opting for the simple tax regime, from the process of opening a CNPJ to the monthly monitoring of routines within the accounting, tax, and personnel departments, all through fully online, intuitive, and secure tools, enabling clients to optimize and organize time through a fully online platform that can be accessed from anywhere and anytime.</t>
  </si>
  <si>
    <t>199282-78T</t>
  </si>
  <si>
    <t>203843-35T</t>
  </si>
  <si>
    <t>Escola Nova</t>
  </si>
  <si>
    <t>Provider of education with individual attention intended to offer academic learning and training. The company aims to develop inquisitive, informed, and supportive young people who contribute to a better world through understanding and respect and seek to form global citizens who are prepared to positively impact the world around them, enabling its students to avail the service for enhanced knowledge and career development.</t>
  </si>
  <si>
    <t>Swiss International do Brasil(Carolina Vieira)</t>
  </si>
  <si>
    <t>202942-27T</t>
  </si>
  <si>
    <t>Feedz</t>
  </si>
  <si>
    <t>Operator of a employee engagement platform designed to increase employee engagement and professional development. The company's platform helps to empower human resource managers, build high-performance teams and retain talent, thereby enabling companies to increase employee engagement and performance.</t>
  </si>
  <si>
    <t>205127-47T</t>
  </si>
  <si>
    <t>Fitbank</t>
  </si>
  <si>
    <t>Developer of a banking service platform intended to provide infrastructure service to fintechs, digital banks, start-ups and mid and large-size companies. The company provides services without middlemen, freeing companies from an expensive, slow and restrictive legacy by putting in place a modern platform that is infinitely fast and flexible, enabling clients to become their bank followed by embed banking and financial services on top of the applications.</t>
  </si>
  <si>
    <t>NVA Capital(Pedro Englert)</t>
  </si>
  <si>
    <t>205515-64T</t>
  </si>
  <si>
    <t>Hauseful</t>
  </si>
  <si>
    <t>Developer of property inspection management application designed to give on-demand real estate services. The company's application creates surveys and provides professional photographs and guided visits for leasing and sale quickly and delivers field services to improve operational efficiency in the real estate and construction markets, enabling real estate companies to deliver an optimal client experience.</t>
  </si>
  <si>
    <t>Bossa Invest, EquityRio, Rio Venture Capital, Sai do Papel(Carlos Junior)</t>
  </si>
  <si>
    <t>194457-88T</t>
  </si>
  <si>
    <t>241753-96T</t>
  </si>
  <si>
    <t>Melvin</t>
  </si>
  <si>
    <t>Developer of maintenance management software designed to make industrial equipment maintenance management easy and intuitive. The company's software works as a great mentor, guiding those involved in the correct direction including helping all types of companies, from manufacturing industries to franchises, enabling engineers to manage their assets correctly.</t>
  </si>
  <si>
    <t>204959-44T</t>
  </si>
  <si>
    <t>MK Solutions</t>
  </si>
  <si>
    <t>Developer of management software intended to drive digital transformation by democratizing access to information. The company's software offers tools for internet providers to streamline operations, manage networks and databases, and enhance sales productivity, enabling scalable growth, governance assurance, and data-driven decision-making.</t>
  </si>
  <si>
    <t>Applied Equity Partners, Spectra Investments</t>
  </si>
  <si>
    <t>220181-41T</t>
  </si>
  <si>
    <t>NFTrend</t>
  </si>
  <si>
    <t>Operator of a digital platform intended to offer an easy and hassle-free way for users to create and market NFTs. The company's platform offers a wide range of collections and featured NFTs, enabling art collectors and enthusiasts to buy and sell unique digital media and access corporate projects.</t>
  </si>
  <si>
    <t>194459-95T</t>
  </si>
  <si>
    <t>Nia (Business/Productivity Software)</t>
  </si>
  <si>
    <t>Developer of a technology service platform designed to simplify and reduce bureaucracy in the real estate sector. The company's platform uses artificial intelligence to offer centralized customer information, creating process flow automation with notices, automatic communication, and integration with other systems, enabling businesses to make the process more fluid and frictionless for internal and external customers.</t>
  </si>
  <si>
    <t>215844-04T</t>
  </si>
  <si>
    <t>OnMovie</t>
  </si>
  <si>
    <t>Operator of a video editing platform intended to connect to the video editors in the market. The company's platform allows users to upload their videos and get them edited by an editor and receive them via email and approve the editing or request for changes, allowing users to have videos edited at a nominal price.</t>
  </si>
  <si>
    <t>204673-87T</t>
  </si>
  <si>
    <t>Orium Network</t>
  </si>
  <si>
    <t>Developer of decentralized guild network platform intended to provide a wide range of governance and financial tools powered by blockchain. The company's platform offers various services like scholarships, tokens, and many others, enabling guilds to set up scholarships, monitor performance, and automatically distribute rewards through multiple play-to-earn platforms.</t>
  </si>
  <si>
    <t>DAO Jones, Delta Blockchain Fund</t>
  </si>
  <si>
    <t>219021-76T</t>
  </si>
  <si>
    <t>Pan Brasil Seguros</t>
  </si>
  <si>
    <t>Operator of an insurance brokerage firm based in Sao Paulo, Brazil. The company offers personal, auto, travel and accident, company and employee insurance products, enabling clients to get customized products.</t>
  </si>
  <si>
    <t>234044-38T</t>
  </si>
  <si>
    <t>Supremo Fundo De (BVMF: SPMO11)</t>
  </si>
  <si>
    <t>Supremo Fundo De Investimento Imobiliario is a real estate investment fund. The purpose of the fund is to provide Quotaholders with appreciation and profitability of their Quotas mainly through investments in the acquisition of Target Properties in the development of real estate projects in general; and investment in Other Assets.</t>
  </si>
  <si>
    <t>211950-91T</t>
  </si>
  <si>
    <t>ACE Ventures (Commercial Services), Bossa Invest, Fundepar</t>
  </si>
  <si>
    <t>194471-47T</t>
  </si>
  <si>
    <t>217203-94T</t>
  </si>
  <si>
    <t>Tecnogera Geradores</t>
  </si>
  <si>
    <t>Provider of temporary energy services intended for multi-megawatt plants. The company's offerings include generator rental, cargo banks, cooling equipment, transformers and substations and diesel-powered generating sets, enabling clients in sectors of oil and gas, mining, retail and construction to get access to a secure and reliable temporary solution for their power needs.</t>
  </si>
  <si>
    <t>215860-42T</t>
  </si>
  <si>
    <t>Voa Delivery</t>
  </si>
  <si>
    <t>Opertaor of an online delivery platform intended to offer logistics to local merchants. The company's platform simplifies the relationship between the merchant and the delivery person through humanized technology that connects establishments with self-employed delivery professionals, enabling clients to take care of their business by simplifying their deliveries.</t>
  </si>
  <si>
    <t>Airtable, Bossa Invest, KLab (Japan) (TKS: 3656)</t>
  </si>
  <si>
    <t>287923-87T</t>
  </si>
  <si>
    <t>Wevy</t>
  </si>
  <si>
    <t>Provider of integrated cloud solutions intended to humanize companies to empower people. The company's platform offers a suite of cloud-based tools that help improve productivity, efficiency, and customer service, enabling businesses to operate more effectively and serve their customers better.</t>
  </si>
  <si>
    <t>Antecipa Fácil</t>
  </si>
  <si>
    <t>202841-83T</t>
  </si>
  <si>
    <t>Clariant (Global Quats and Esterquats Business)</t>
  </si>
  <si>
    <t>Operator of quats and esterquats business intended to keep presence in the home and personal care market. The business maintains an excellent reputation as a leading supplier of quats with proprietary technology and the products are used in a broad range of products including fabric softeners and hair conditioners.</t>
  </si>
  <si>
    <t>Global Amines(Ernesto Horikoshi)</t>
  </si>
  <si>
    <t>223473-70T</t>
  </si>
  <si>
    <t>DreamShaper</t>
  </si>
  <si>
    <t>Developer of an online learning platform designed to help teachers implement and improve project-based teaching practices in their classes. The company's platform facilitates the teacher to define and monitor the work of their students and even share teaching materials of support, and written feedback, or fundamental videos to support students in asynchronous project activities, enabling students to reduce dropping out and focus on their personal interests and life goals.</t>
  </si>
  <si>
    <t>Alpac Capital</t>
  </si>
  <si>
    <t>295227-10T</t>
  </si>
  <si>
    <t>GTC Internet</t>
  </si>
  <si>
    <t>Provider of fiber optic internet and connectivity services intended for customers seeking reliable connectivity with added benefits like streaming apps, cloud storage, and premium assistance. The company offers plans to ensure excellent online experiences, thereby enabling customers to enjoy high-speed internet with added security and convenience, expanding their possibilities for both personal and professional use.</t>
  </si>
  <si>
    <t>Vero (Telecommunication Company), Vinci Compass Investments (NAS: VINP)</t>
  </si>
  <si>
    <t>209089-45T</t>
  </si>
  <si>
    <t>Hubcount</t>
  </si>
  <si>
    <t>Developer of accounting innovation and technology intended to serve accounting offices and corporations throughout Brazil. The company aims to transform accounting innovation into efficient solutions to existing challenges and free its clients from bureaucracy, automating tasks and giving a new meaning to the word productivity, enabling its clients to avail the technology for completing tasks in a shorter time span and enhancing productivity.</t>
  </si>
  <si>
    <t>Questor</t>
  </si>
  <si>
    <t>215528-68T</t>
  </si>
  <si>
    <t>215178-94T</t>
  </si>
  <si>
    <t>245467-72T</t>
  </si>
  <si>
    <t>Nordeste Tubetes and NE Tubetes</t>
  </si>
  <si>
    <t>Operator of small tube businesses based in Brazil.</t>
  </si>
  <si>
    <t>Sonoco (NYS: SON)</t>
  </si>
  <si>
    <t>209509-03T</t>
  </si>
  <si>
    <t>Oil and Gas Exploration and Production</t>
  </si>
  <si>
    <t>Operator of oil exploration concession sites based in Basin, Brazil. The business division is engaged in the production of and exploration of oil.</t>
  </si>
  <si>
    <t>Ubuntu Engenharia e Serviços</t>
  </si>
  <si>
    <t>209314-81T</t>
  </si>
  <si>
    <t>Prodap</t>
  </si>
  <si>
    <t>Developer of agriculture technology services intended to boost the productivity of dairy farms, cutting, and factories through a unique livestock solution. The company offers nutrition, consulting and technology thereby, enabling customers to increase production with the same resources and reduce input waste.</t>
  </si>
  <si>
    <t>DSM-Firmenich (AMS: DSFIR)(Ivo Lansbergen)</t>
  </si>
  <si>
    <t>225809-20T</t>
  </si>
  <si>
    <t>AcNext Capital, Anima Ventures, Eduardo Alvarenga(Eduardo Alvarenga), Marcelo Lacerda(Marcelo Lacerda)</t>
  </si>
  <si>
    <t>209459-89T</t>
  </si>
  <si>
    <t>Zetta Health Analytics</t>
  </si>
  <si>
    <t>Operator of a health tech company intended to provide data analytics and proprietary SaaS data solutions. The company offers a robust variety of SaaS data solutions to enhance data-driven decision-making, leveraging client insights to improve care and costs and deepen value-based healthcare (VBHC) approach enriched by market analysis.</t>
  </si>
  <si>
    <t>Semantix (PINX: STIXF)(Leonardo Santos)</t>
  </si>
  <si>
    <t>201688-03T</t>
  </si>
  <si>
    <t>Aracar group</t>
  </si>
  <si>
    <t>Provider of financial services intended for auto dealerships, consumers, and asset managers. The company's platform offers auto-dealership services, consumer-secured credit scores, secured lending, loan administration, and vehicle services, automobile loans and leasing, refinancing loans, and vehicle ownership products for the under-banked, enabling consumers and auto dealers to optimize access to financing and increase sales.</t>
  </si>
  <si>
    <t>218519-20T</t>
  </si>
  <si>
    <t>Bossa Invest, DOMO.VC, Marco Crespo, Rodrigo Tognini(Rodrigo Tognini), Urca Angels</t>
  </si>
  <si>
    <t>178129-45T</t>
  </si>
  <si>
    <t>Magis5</t>
  </si>
  <si>
    <t>Developer of a marketplace integration platform designed to manage marketplaces. The company's platform aids in meeting the online business model from end to end, doing the costly process automatically and also includes features such as managing simplified invoices, separation lists, automated shipping, taking care of real stock and monitoring the trajectory of orders, enabling businesses to scale up their sales in an organized manner.</t>
  </si>
  <si>
    <t>Bossa Invest, Hangar8 Capital, Parceiro Ventures, Urca Angels</t>
  </si>
  <si>
    <t>203055-31T</t>
  </si>
  <si>
    <t>Manati Capital Hedge Fund (BVMF: MANA11)</t>
  </si>
  <si>
    <t>Manati Capital Hedge Fund Fundo De Investimento Imobiliario is a real estate investment fund. It aims to earn income by investing resources in real estate assets, as described in the Investment Policy detailed in the Regulation.</t>
  </si>
  <si>
    <t>202661-20T</t>
  </si>
  <si>
    <t>Solubio Tecnologias Agrícolas</t>
  </si>
  <si>
    <t>Provider of agricultural consultation services intended to help eliminate the use of chemical products in agriculture. The company specializes in offering advisory and supplies along with technical assistance that enables farmers to produce their bio-fungicides, biopesticides and other products needed in agriculture, thereby providing farmers with a complete alternative biological management system.</t>
  </si>
  <si>
    <t>Aqua Capital(Tomas Romero)</t>
  </si>
  <si>
    <t>202547-44T</t>
  </si>
  <si>
    <t>CondoLivre</t>
  </si>
  <si>
    <t>Provider of financial administration services intended to offer fintech credit for employees, suppliers, and condominiums of partner administrators. The company's platform innovates residential and commercial condominiums, which helps with financial health, education, reforms, treatments, and trips, allowing administrators to optimize their daily lives, positively impacting the lives of people and companies with personalized service and without any additional work for teams.</t>
  </si>
  <si>
    <t>256974-40T</t>
  </si>
  <si>
    <t>Madmonkey</t>
  </si>
  <si>
    <t>Provider of design, video and production studio serving the gaming industry. The company offers audiovisual and production services.</t>
  </si>
  <si>
    <t>Final Level</t>
  </si>
  <si>
    <t>210362-23T</t>
  </si>
  <si>
    <t>Olga Ri Alimentos</t>
  </si>
  <si>
    <t>Operator of a cloud kitchen-based restaurant created to deliver healthy salads and grain bowls. The company's cloud kitchens offer veg and nonveg salads with various flavors, enabling customers to have their dishes from the comfort of their homes.</t>
  </si>
  <si>
    <t>Gaingels, Kaszek</t>
  </si>
  <si>
    <t>202505-50T</t>
  </si>
  <si>
    <t>AirAngels, Alan Jaime(Alan Jaime), CRV(James Green), Daniel Arbelaez(Daniel Arbelaez), Enrique Villamarin(Enrique Villamarin), Felipe Villamarin(Felipe Villamarin), Igor Mascarenhas(Igor Mascarenhas), Latitud, Matthew Vega-Sanz(Matthew Vega-Sanz), Miguel Vega-Sanz(Miguel Vega-Sanz), Monashees(Fabiola Quinzanos), ONEVC, Opera Ventures, Sachin Patel(Sachin Patel), Santiago Suárez(Santiago Suárez), Sebastian Mejia(Sebastian Mejia), Simon Borrero, Spectra Investments, SV Angel</t>
  </si>
  <si>
    <t>210223-54T</t>
  </si>
  <si>
    <t>Mega Fibra Telecom</t>
  </si>
  <si>
    <t>Provider of telecommunication services intended for internet connectivity. The company offers subscription-based fiber-optic Internet connectivity and streaming services, thereby helping clients with high-speed internet to interact across the world at cost-effective rates.</t>
  </si>
  <si>
    <t>266541-40T</t>
  </si>
  <si>
    <t>NewLentes</t>
  </si>
  <si>
    <t>Operator of an eyewear lens company intended to transform the way people see and experience the world. The company specializes in contact lenses, eyeglasses, and other products in the optical category like sunglasses, colored lenses, and other accessories, enabling customers to buy eyewear at fair price.</t>
  </si>
  <si>
    <t>258293-80T</t>
  </si>
  <si>
    <t>203219-92T</t>
  </si>
  <si>
    <t>Sentilena</t>
  </si>
  <si>
    <t>Provider of cultivation services based in Brazil.</t>
  </si>
  <si>
    <t>Grupo Ferroeste</t>
  </si>
  <si>
    <t>199553-95T</t>
  </si>
  <si>
    <t>Sonoma Market</t>
  </si>
  <si>
    <t>Operator of a food and beverage marketplace intended to sell your spirits or gourmet products. The company's marketplace connects artisanal producers, importers, and distributors with customers looking for product curation, enabling customers to have quality, healthy, and conscientious food and beverage options.</t>
  </si>
  <si>
    <t>First Check Ventures, Goodwater Capital</t>
  </si>
  <si>
    <t>195999-49T</t>
  </si>
  <si>
    <t>Central Geradora Termelétrica Fortaleza</t>
  </si>
  <si>
    <t>Operator of a gas-fired thermoelectric plant located in Caucaia, Brazil. The plant has an installed capacity of 327 megawatts.</t>
  </si>
  <si>
    <t>215743-60T</t>
  </si>
  <si>
    <t>Jeitto</t>
  </si>
  <si>
    <t>Developer of a credit platform intended to provide interest-free loans and services for the unbanked. The company's platform provides a digital wallet that offers purchases and payments through a credit limit made available through the app, enabling users to access a credit line for small transactions.</t>
  </si>
  <si>
    <t>300982-51T</t>
  </si>
  <si>
    <t>Shapp</t>
  </si>
  <si>
    <t>Developer of a digital platform intended for knowledge exchange among adults across diverse subject areas. The company's platform connects individuals who teach with those seeking to learn, facilitating structured or informal learning in a broad range of disciplines.</t>
  </si>
  <si>
    <t>218565-19T</t>
  </si>
  <si>
    <t>Broadfactor</t>
  </si>
  <si>
    <t>Operator of an e-commerce platform designed to facilitate collaborative factoring for credit providers and borrowers. The company's platform specializes in solving problems of working capital and cash flow in small and medium-sized companies by offering a secure platform for the anticipation of receivables and an effective tool for obtaining working capital, they increased access to credit for companies, enabling small and medium enterprise to enjoy credit and increase the visibility on purchase and sale transactions.</t>
  </si>
  <si>
    <t>203653-36T</t>
  </si>
  <si>
    <t>eLoopz</t>
  </si>
  <si>
    <t>Developer of media solutions for retailers through the implementation and maintenance of hardware. The company specializes in retail tech, digital signage, led rental, digital showcase, digital easel, digital store, online 2 instore and digital transformation, thereby enabling the digitization of the retail chain's visual communication and other digital channels.</t>
  </si>
  <si>
    <t>Raia Drogasil (BVMF: RADL3)</t>
  </si>
  <si>
    <t>202447-81T</t>
  </si>
  <si>
    <t>Spectra Investments</t>
  </si>
  <si>
    <t>202310-92T</t>
  </si>
  <si>
    <t>Herself</t>
  </si>
  <si>
    <t>Manufacturer of eco-friendly menstrual products intended to promote sustainable personal care for menstruating people. The company offers breathable, hygienic, washable, and reusable undergarments and pads, enabling women to manage their menstrual hygiene with comfort, practicality, and reduced environmental impact.</t>
  </si>
  <si>
    <t>Sororité(Flavia Mello)</t>
  </si>
  <si>
    <t>209414-89T</t>
  </si>
  <si>
    <t>Casatema</t>
  </si>
  <si>
    <t>Retailer of furniture catering to young and juvenile customers. The company specializes in a range of products including wardrobes, chairs and tables, infant chairs, bedside tables, youth modules, dressing tables, room bookcases and multifunctional beds, thereby providing options for themed and decorated rooms for children.</t>
  </si>
  <si>
    <t>MadeiraMadeira Comércio Eletrônico(Daniel Scandian)</t>
  </si>
  <si>
    <t>209555-20T</t>
  </si>
  <si>
    <t>Provider of banking and financial services catering to entrepreneurs and professionals. The company specializes in cash management, investments, currency exchange, loan against property and other related services, thereby helping clients to boost the development of their business.</t>
  </si>
  <si>
    <t>200423-71T</t>
  </si>
  <si>
    <t>215852-23T</t>
  </si>
  <si>
    <t>Bossa Invest, StaminaVC</t>
  </si>
  <si>
    <t>210008-08T</t>
  </si>
  <si>
    <t>Operator of a car dealership company based in Brasília, Brazil. The company deals in the sale of automobiles of different brands and also offers financing and renting services of cars.</t>
  </si>
  <si>
    <t>Wiz Conseg(Alexandre Kalache)</t>
  </si>
  <si>
    <t>202208-14T</t>
  </si>
  <si>
    <t>Trombini Corretora de Seguros</t>
  </si>
  <si>
    <t>Provider of insurance brokerage and consultancy services catering to individuals and businesses. The company offers insurance plans relating to varied sectors including automobile, residence, consortium, private pension, travel and real estate.</t>
  </si>
  <si>
    <t>224018-74T</t>
  </si>
  <si>
    <t>Non Stop Produções</t>
  </si>
  <si>
    <t>Operator of an influencer marketing company intended for the creative and digital industry. The company's services include career management, content making, advertising, special projects, licensing and speeches, enabling clients to avail entertainment and digital fun.</t>
  </si>
  <si>
    <t>Captall Ventures(Nilio Portella), Epitychia(Janguiê Diniz), Joao Kepler Braga(Joao Kepler Braga)</t>
  </si>
  <si>
    <t>210052-72T</t>
  </si>
  <si>
    <t>SPO Indústria e Comércio</t>
  </si>
  <si>
    <t>Producer of animal nutrition intended to process salt and phosphate for animal nutrition. The company's products include calcium-sodium phosphate, phosphorus and magnesium and monocalcium phosphate, thereby enabling the industrialization and improvement of ingredients and supplements for animal feed.</t>
  </si>
  <si>
    <t>Phosphea(Yohann Becker)</t>
  </si>
  <si>
    <t>202066-12T</t>
  </si>
  <si>
    <t>Congonhas Airport</t>
  </si>
  <si>
    <t>Operator of an airport based in Sao Paulo, Brazil. The company offers flight booking, car rental and other related services to and fro from airport.</t>
  </si>
  <si>
    <t>Aena, S.M.E. (MAD: AENA)(Maurici Betriu)</t>
  </si>
  <si>
    <t>202052-44T</t>
  </si>
  <si>
    <t>DSafeTech</t>
  </si>
  <si>
    <t>Developer of a dam monitoring software designed for tracking, and management of dams. The company's software identifies anomalies in the reading of instruments and equipment that monitor the stability of any dam and the tool also guarantees the integration and security of the information collected, keeping history in a single base, facilitating the generation of graphs for technical analysis, enabling professionals to get a communication schedule of maintenance alerts and emergency action plans.</t>
  </si>
  <si>
    <t>Michel Fontes(Michel Fontes)</t>
  </si>
  <si>
    <t>219212-65T</t>
  </si>
  <si>
    <t>FIAP</t>
  </si>
  <si>
    <t>Operator of an undergraduate and graduate technology college with three campuses across Sao Paulo, Brazil. The company offers graduation, post-graduation and mba degree courses, as well as provides courses related to cybersecurity, artificial intelligence and information systems, enabling young minds to dream and empowering them with technology.</t>
  </si>
  <si>
    <t>Alura (São Paulo)(Paulo Silveira), Crescera Capital(Felipe Argalji), SEEK Investments, Spectra Investments</t>
  </si>
  <si>
    <t>204259-15T</t>
  </si>
  <si>
    <t>Gentelab</t>
  </si>
  <si>
    <t>Developer of an ed-tech platform designed to change education in Brazil through distance learning. The company's platform offers e-learning through a library of expert content, data and performance analysis and content curation, with practical solutions that focus on engaging the audience with the right content, enabling students or collaborators to prepare for the challenges that come in their lives.</t>
  </si>
  <si>
    <t>Eduzz</t>
  </si>
  <si>
    <t>209169-55T</t>
  </si>
  <si>
    <t>Ibiritermo</t>
  </si>
  <si>
    <t>Operator of a thermoelectric power plant based in Ibirité, Brazil. The company engages in the electricity and natural gas sector consisting of the development, construction, ownership, operation, and maintenance.</t>
  </si>
  <si>
    <t>Petróleo Brasileiro (BVMF: PETR3)</t>
  </si>
  <si>
    <t>201422-53T</t>
  </si>
  <si>
    <t>Nomah Tecnologia</t>
  </si>
  <si>
    <t>Provider of ready-to-move-in residential apartments on rent for a stay based in Sao Paulo, Brazil. The company offers furnished apartments, fully equipped, one-bill, 24-hour concierge, and flexibility in contract.</t>
  </si>
  <si>
    <t>Casai</t>
  </si>
  <si>
    <t>218562-04T</t>
  </si>
  <si>
    <t>OJM Administradora</t>
  </si>
  <si>
    <t>Operator of the condominium catering to the squares of Itajaí and Balneario Camboriu.</t>
  </si>
  <si>
    <t>BRCondos(Hugo Cordeiro)</t>
  </si>
  <si>
    <t>202129-48T</t>
  </si>
  <si>
    <t>294889-51T</t>
  </si>
  <si>
    <t>RBM Tecnologia</t>
  </si>
  <si>
    <t>Provider of digital certification and electronic documentation services intended for secure identity verification and regulatory compliance. offers issuance of digital identification for individuals, certification for electronic invoicing, integration with public sector systems, credit consultation services in partnership with financial data providers, multi-location service points, and support for digital signature applications, enabling individuals and businesses in Brazil to authenticate transactions.</t>
  </si>
  <si>
    <t>210037-42T</t>
  </si>
  <si>
    <t>RBMWeb Sistemas Inteligentes</t>
  </si>
  <si>
    <t>Provider of software as a service catering to the banking and financial sector. The company offers SaaS solutions in core banking implementation with a focus on the fintech market, financial institutions and receivables management.</t>
  </si>
  <si>
    <t>208549-00T</t>
  </si>
  <si>
    <t>THBER SEG</t>
  </si>
  <si>
    <t>Provider of insurance brokerage services based in Ribeirao Preto, Brazil. The company operates as a broker and agent of insurance, private pension plans and health.</t>
  </si>
  <si>
    <t>201792-70T</t>
  </si>
  <si>
    <t>Anjo de Santa Catarina Investor Network(Fabio Ferrari), Ismael da Silva(Ismael da Silva), MIDI Tecnológico, Renata Garrido</t>
  </si>
  <si>
    <t>204259-78T</t>
  </si>
  <si>
    <t>NetFoods</t>
  </si>
  <si>
    <t>Developer of a centralized platform designed to simplify the wholesale purchase process. The company's application allows for seamless connection of the purchasing process through weekly product quotations between restaurants and suppliers engaged in the food industry which helps to decrease failure in the delivery process, manage the purchase system, and unite all purchase information in a single channel, enabling food businesses to scale up their services.</t>
  </si>
  <si>
    <t>223570-36T</t>
  </si>
  <si>
    <t>SPS Capital</t>
  </si>
  <si>
    <t>Provider of asset management services intended to serve the financial sector. The company offers services for complex situation in which financial and human capital is used to generate positive results for all parties involved enabling its customers to get their required services.</t>
  </si>
  <si>
    <t>208988-92T</t>
  </si>
  <si>
    <t>Bava</t>
  </si>
  <si>
    <t>Provider of financial services intended to serve industry, suppliers and retailers. The company provides payment and credit solutions designed to generate efficiency and competitiveness in a disruptive and innovative way.</t>
  </si>
  <si>
    <t>Liber Capital</t>
  </si>
  <si>
    <t>267939-46T</t>
  </si>
  <si>
    <t>Com Paixão</t>
  </si>
  <si>
    <t>Developer of a social marketplace platform designed to connect donors and local markets, to facilitate the donation process and boost economic development. The company helps needy people through opportunities and access to the most basic rights for a dignified life, starting with food, personal hygiene, and cleaning materials, enabling people to transform their lives.</t>
  </si>
  <si>
    <t>Artemisia, Brazilian Development Bank, Liga Ventures, Wayra</t>
  </si>
  <si>
    <t>264807-73T</t>
  </si>
  <si>
    <t>DNA Financeiro</t>
  </si>
  <si>
    <t>Developer of an accounting platform designed to simplify and streamline financial operations. The company's platform offers a wide range of features, including automated invoice issuance, tax calculation and management, complete accounting services, cash flow management, employee payroll, control of tax documents, and financial dashboards, enabling small and medium-sized businesses to efficiently manage their finances, ensure compliance, and make informed decisions, while also providing accountants with tools to enhance their services and client management.</t>
  </si>
  <si>
    <t>244476-28T</t>
  </si>
  <si>
    <t>201759-13T</t>
  </si>
  <si>
    <t>Bossa Invest, DOMO.VC(Mario Letelier), Urca Angels</t>
  </si>
  <si>
    <t>272474-83T</t>
  </si>
  <si>
    <t>Game Mind</t>
  </si>
  <si>
    <t>Developer of digital educational game designed to enhance learning in mathematics and other subjects. The company's platform offers interactive games for essential skills aligned with educational standards, promotes critical thinking, and encourages environmental awareness, enabling students to learn difficult subjects in interactive gaming experiences.</t>
  </si>
  <si>
    <t>201708-82T</t>
  </si>
  <si>
    <t>VanEck</t>
  </si>
  <si>
    <t>226803-88T</t>
  </si>
  <si>
    <t>Canary (Brazil), koyamaki, Latitud</t>
  </si>
  <si>
    <t>201766-51T</t>
  </si>
  <si>
    <t>NewM Technology</t>
  </si>
  <si>
    <t>Developer of mobile and web platform applications intended for the management and operation of commercial teams. The company offers technology for electronic document signature, sales management, self-service of the consortium member as well as sending contracts and collecting electronic acceptances, thereby helping consortium members to monitor the quotas from end to end to manage digital transactions.</t>
  </si>
  <si>
    <t>Informática y Tecnología Stefanini(Marco Stefanini)</t>
  </si>
  <si>
    <t>276351-31T</t>
  </si>
  <si>
    <t>NoFront</t>
  </si>
  <si>
    <t>Developer of a finance digital platform designed to bring black people closer to financial education. The company articulates teachings about economics in a strategic way, through RAP music, offers courses, consultancies, lectures, workshops and podcasts, enabling black and peripheral community to gain knowledge, reduce inequalities and promoting economic emancipation.</t>
  </si>
  <si>
    <t>276531-85T</t>
  </si>
  <si>
    <t>Obara Edutech</t>
  </si>
  <si>
    <t>Operator of an educational and research company intended to develop innovative ideas for societal progress. The company specializes in promoting equity, inclusion, and active participation in shaping a sustainable future with and particular focus on advanced education and addressing societal challenges, enabling customers to be ready for future societal and workplace trends and to feel inclusive.</t>
  </si>
  <si>
    <t>251591-95T</t>
  </si>
  <si>
    <t>Ray Pay</t>
  </si>
  <si>
    <t>Developer of a payments application designed for visually impaired Brazilian residents to make payments. The company's application will identify the code and read the transaction information, such as value, payment method, and installments, and will deliver all transaction information through audio and a personalized visual experience, enabling users to make payments without being able to check transaction information or not feeling confident entering a password.</t>
  </si>
  <si>
    <t>Artemisia, Brazilian Development Bank, Wayra Brazil</t>
  </si>
  <si>
    <t>277252-93T</t>
  </si>
  <si>
    <t>209520-91T</t>
  </si>
  <si>
    <t>Tech4Humans</t>
  </si>
  <si>
    <t>Developer of hyper-automation software intended for companies to strengthen ties, break down borders, and connect. The company's software features include a useful interface, custom profiles, form creation, and integration, and also offers a frequently asked questions section and the ability to create new tickets from existing tickets, enabling companies to automate their process and save time.</t>
  </si>
  <si>
    <t>Banco Porto Seguro</t>
  </si>
  <si>
    <t>201692-17T</t>
  </si>
  <si>
    <t>Compass Group (UK) (LON: CPG), Engadine Partners, Megeve Investments, Nucleo Capital</t>
  </si>
  <si>
    <t>232978-33T</t>
  </si>
  <si>
    <t>Ariel Lambrecht(Ariel Lambrecht), Fiamma Zarife(Fiamma Zarife), João Del Valle(João Del Valle), João Zaratine(João Zaratine)</t>
  </si>
  <si>
    <t>201689-92T</t>
  </si>
  <si>
    <t>Banco do Brasil (BVMF: BBAS3), JKH Capital, MSW Capital</t>
  </si>
  <si>
    <t>201557-35T</t>
  </si>
  <si>
    <t>Alfa Collab, Cell Innovation Partners(Leonardo Ribeiro), GSR Ventures, Iporanga Ventures(Leonardo Teixeira), Parallax Ventures, Vivo Inspire</t>
  </si>
  <si>
    <t>201575-44T</t>
  </si>
  <si>
    <t>Pay4Fun</t>
  </si>
  <si>
    <t>Operator of a financial software company intended to focus on allowing quick transfer of money to and fro from businesses. The company's platform connects customers, merchants and local banking services with online gaming and gambling platforms, enabling clients to get access to an efficient, affordable and optimized user interface and payment flow.</t>
  </si>
  <si>
    <t>Appleton Capital Management(Olof Appleton)</t>
  </si>
  <si>
    <t>201839-32T</t>
  </si>
  <si>
    <t>Síntese</t>
  </si>
  <si>
    <t>Developer of supply chain management platform designed for the healthcare sector. The company's platform offers a marketplace with fast electronic quotations, delivery monitoring, and contract management that contribute to productivity, efficiency, control, transparency, and cost reduction for hospitals and sellers of medical supplies, thereby enabling buyers and suppliers to do their business operations more efficiently.</t>
  </si>
  <si>
    <t>Bain Capital Tech Opportunities(Darren Abrahamson), Bionexo(Rafael Barbosa), Prisma Capital(Marcelo Hallack), Temasek Holdings</t>
  </si>
  <si>
    <t>210052-36T</t>
  </si>
  <si>
    <t>Solution Sistemas e Gestão</t>
  </si>
  <si>
    <t>Developer of a management system software based in Rio Grande do Sul, Brazil. The company is specialized in management system softwares for agricultural concessionaires.</t>
  </si>
  <si>
    <t>Aliare(Carlos Barbosa)</t>
  </si>
  <si>
    <t>257665-69T</t>
  </si>
  <si>
    <t>INCIT</t>
  </si>
  <si>
    <t>223455-88T</t>
  </si>
  <si>
    <t>AgroFlux</t>
  </si>
  <si>
    <t>Developer of digital assisting tools designed to improve the accuracy and efficiency of agricultural spraying processes. The company offers a handheld device that measures spray nozzle flow rates, offers digital tracking of sprayer performance, and supports integration with a farm management system, enabling users to detect equipment irregularities, apply agricultural inputs more uniformly, reduce environmental impact, and enhance overall productivity.</t>
  </si>
  <si>
    <t>264028-51T</t>
  </si>
  <si>
    <t>EmCasa</t>
  </si>
  <si>
    <t>Developer of a real-estate platform designed to transform buying and selling homes into a fun and effortless experience. The company's platform features a virtual tour that shows details of the apartment such as the colors of the wall, the size of the spaces, and special rooms, enabling users to save time and money while reducing stress and inefficiency by receiving data-based advisory services at affordable commissions.</t>
  </si>
  <si>
    <t>204260-23T</t>
  </si>
  <si>
    <t>LicenTia</t>
  </si>
  <si>
    <t>Developer of an environmental licensing optimization software designed to provide simple and complete management of environmental licensing. The company's software organizes data and information, reduces environmental compliance risks, automates activities to facilitate the work of licensing teams and provides monitoring and management indicators, enabling companies to support the management of environmental licensing processes and any type of commitment related to environmental compliance.</t>
  </si>
  <si>
    <t>Multigestao Aquisicoes E Participacoes</t>
  </si>
  <si>
    <t>261621-73T</t>
  </si>
  <si>
    <t>Aditum (Financial Services)</t>
  </si>
  <si>
    <t>Developer of a payment processing platform designed to unify various payment methods into a single platform. The company integrates with commercial automation systems and connects to a network of acquirers and processors, enabling businesses to accept multiple payment methods through a single integration, simplifying the payment acceptance process.</t>
  </si>
  <si>
    <t>201481-12T</t>
  </si>
  <si>
    <t>209971-36T</t>
  </si>
  <si>
    <t>Flity Tecnologia</t>
  </si>
  <si>
    <t>Developer of a website intended for the real estate industry. The company helps to create its own website and connect real estate, customers, portals, and social networks enabling the professionalization of the real estate professional.</t>
  </si>
  <si>
    <t>Vivalisto(Eduardo Menegatti)</t>
  </si>
  <si>
    <t>Internet Software</t>
  </si>
  <si>
    <t>202371-40T</t>
  </si>
  <si>
    <t>Fundo De Investimento Imobiliario Spx Syn Multiestrategia (BVMF: SPXS11)</t>
  </si>
  <si>
    <t>Fundo De Investimento Imobiliario Spx Syn Multiestrategia is a real estate investment fund. The objective of the fund is to earn income or capital gain, as well as provide shareholders with the appreciation of shares through investment.</t>
  </si>
  <si>
    <t>201528-91T</t>
  </si>
  <si>
    <t>MakroSystems</t>
  </si>
  <si>
    <t>Developer of software intended to provides layers of protection for the validation of financial transactions within bank's applications. The company works in the information security sector, specializing in the fight against fraud and cyber threats.</t>
  </si>
  <si>
    <t>Unico(Diego Martins)</t>
  </si>
  <si>
    <t>201389-50T</t>
  </si>
  <si>
    <t>MaximoCon IT Services</t>
  </si>
  <si>
    <t>Operator of an IT consultancy firm intended to provide technical services. The company offers enterprise asset management solution, IOT solutions, software development services and IT related products.</t>
  </si>
  <si>
    <t>Cohesive Group(Mark Bew)</t>
  </si>
  <si>
    <t>201539-26T</t>
  </si>
  <si>
    <t>Ontex (Brazil business)</t>
  </si>
  <si>
    <t>Producer of consumer products intended to focus on the Brazilian hygiene market. The business division operates a portfolio of local brands for baby-care products, adult incontinence and personal hygiene.</t>
  </si>
  <si>
    <t>273429-10T</t>
  </si>
  <si>
    <t>OpenMEI</t>
  </si>
  <si>
    <t>Developer of digital accounting application intended to simplify the lives of accountants. The company's application offers features such as accountant management, tax management, and expert guidance, enabling microenterprises to bring convenience and free themselves from operational work.</t>
  </si>
  <si>
    <t>Village Capital</t>
  </si>
  <si>
    <t>202218-22T</t>
  </si>
  <si>
    <t>Oriz Investimentos</t>
  </si>
  <si>
    <t>Provider of financial products and services.</t>
  </si>
  <si>
    <t>273279-07T</t>
  </si>
  <si>
    <t>Uffa</t>
  </si>
  <si>
    <t>Operator of a hybrid debt trading marketplace intended to assist companies and individuals in negotiating debts without jeopardizing their incomes. The company's marketplace uses facial and emotional recognition to discount debts, offers a loyalty program to avoid the incidence of breach of agreements, returns an amount for each installment paid, and accepts credit cards as a form of payment for debt negotiation, enabling customers to avail discounts on online loans while using their preferred choice of payment.</t>
  </si>
  <si>
    <t>295922-71T</t>
  </si>
  <si>
    <t>B2B Stack</t>
  </si>
  <si>
    <t>Developer of a business application tool designed for company statistics analysis to improve the team's work. The company's tool offers digital transformation services and helps to implement new business software, avoiding wasted resources, facilitating financial management and ensuring cybersecurity by choosing suitable software as per the requirements, enabling businesses to make better decisions when buying software.</t>
  </si>
  <si>
    <t>201316-96T</t>
  </si>
  <si>
    <t>Niu Ventures(Reinaldo Normand)</t>
  </si>
  <si>
    <t>216264-25T</t>
  </si>
  <si>
    <t>TB Capital (Other Financial Services)</t>
  </si>
  <si>
    <t>Operator of an agnostic capital-allocating platform focused on the utilities, infrastructure and technology sectors. The company also offers investment management services.</t>
  </si>
  <si>
    <t>Atmos Capital Gestao de Recursos</t>
  </si>
  <si>
    <t>195655-15T</t>
  </si>
  <si>
    <t>Aquarela Analytics</t>
  </si>
  <si>
    <t>Developer of big data analytics tools designed to transform data into predictive information for medium and large organizations in the public and private sectors. The company's tools facilitate predictive insights and the discovery of the business scenarios to be maximized or minimized, enabling businesses to make the ranking of the weights of influence of each factor in relation to each scenario found.</t>
  </si>
  <si>
    <t>194475-34T</t>
  </si>
  <si>
    <t>Yapoli</t>
  </si>
  <si>
    <t>Developer of a digital assets management platform designed for the governance, management, and distribution of digital assets. The company's platform offers to centralize, manage, distribute, and measure the performance of digital materials with corporate governance and auditing. enabling large corporations to eliminate barriers in optimizing their flows through digital transformation.</t>
  </si>
  <si>
    <t>Bossa Invest, Darwin Startups</t>
  </si>
  <si>
    <t>217947-52T</t>
  </si>
  <si>
    <t>202602-16T</t>
  </si>
  <si>
    <t>Automalógica</t>
  </si>
  <si>
    <t>Developer of software intended for managing electrical systems. The company's platform offers services including electric systems operation, renewable energy management, photovoltaic digitalization, substation control and protection, enabling companies to supervise, control and protect their electric systems.</t>
  </si>
  <si>
    <t>201250-36T</t>
  </si>
  <si>
    <t>Agro Jangada</t>
  </si>
  <si>
    <t>Wholesaler of agricultural products based in Itaporã, Brazil. The company offers fertilizers, seeds, pesticides, nutrition, soy, corn, wheat, rice and beans.</t>
  </si>
  <si>
    <t>Syngenta Digital</t>
  </si>
  <si>
    <t>210138-22T</t>
  </si>
  <si>
    <t>Green4T(Eduardo Marini)</t>
  </si>
  <si>
    <t>232934-23T</t>
  </si>
  <si>
    <t>Capital Lab Ventures, Latitud</t>
  </si>
  <si>
    <t>210980-35T</t>
  </si>
  <si>
    <t>Garliava RJ Infraestrutura e Redes de Telecomunicações</t>
  </si>
  <si>
    <t>Provider of wireless network services based in Rio De Janeiro, Brazil. The company offers cellular mobile telephony services.</t>
  </si>
  <si>
    <t>203228-92T</t>
  </si>
  <si>
    <t>Síntese Soluções</t>
  </si>
  <si>
    <t>Provider of software development and integration services intended to create products intended to leverage online sales through digital and multichannel platforms. The company specializes in the development of custom order management, warehouse management and tracking management systems for retail brands, enabling clients to optimize their business operations through technology.</t>
  </si>
  <si>
    <t>Locaweb Internet Services (BVMF: LWSA3)(Rafael Alves)</t>
  </si>
  <si>
    <t>201146-32T</t>
  </si>
  <si>
    <t>Volp</t>
  </si>
  <si>
    <t>Distributor of raw materials for the cosmetics industry intended to offer inputs and solutions for the personal care segment. The company offers a wide variety of raw materials and chemical products such as self-emulsifying bases, conditioners, emollients, plant extracts, thickeners, lanolin-derivatives, protein-derivatives, fixatives, mobile actives, preservatives, surfactants, and humectants.</t>
  </si>
  <si>
    <t>Tovani Benzaquen(Elzo Benzaquen)</t>
  </si>
  <si>
    <t>201075-85T</t>
  </si>
  <si>
    <t>Zipper (Business/Productivity Software)</t>
  </si>
  <si>
    <t>Developer of omnichannel sales intelligence platform catering to the retail and e-commerce industry. The company offers strategies to attract new audiences through geo-located ads, personalized and scalable communication strategies, creation of after-sales strategies and stimulating repurchase with recommendations based on data intelligence, creation of 1-1 shopping carts and product stimulus campaigns, store inventory digitization solutions and measurement of digital actions in real-time, thereby helping its clients to sell more digitally and connect customers with sellers.</t>
  </si>
  <si>
    <t>242293-15T</t>
  </si>
  <si>
    <t>100% Livre</t>
  </si>
  <si>
    <t>Provider of a variety of vegetables and seasonings intended to make diet healthy and pesticide-free. The company offers ready-for-consumption and pesticide-free organic vegetables and spices, enabling customers to get freshly harvested produce shipped to home.</t>
  </si>
  <si>
    <t>BMPI Infra(Bruno Sena)</t>
  </si>
  <si>
    <t>246144-52T</t>
  </si>
  <si>
    <t>Ergoncredit</t>
  </si>
  <si>
    <t>Provider of credit facility catering to entrepreneurs. The company specializes in purchase, sale, production orders and tax reconciliation services, thereby reducing bureaucracy in the lives of small and medium-sized entrepreneurs in accessing credit to promote their businesses.</t>
  </si>
  <si>
    <t>Omie(Marcelo Lombardo)</t>
  </si>
  <si>
    <t>201069-10T</t>
  </si>
  <si>
    <t>Ploomes Sistemas Empresariais</t>
  </si>
  <si>
    <t>Developer of an online customer relationship management platform designed to bridge the gulf between salespeople and technology. The company's online platform ensures sales force engagement by bringing together features such as tools for automatic budgeting and sales order (CPQ), advanced segmentation of customer records, customer history, ERP integration and workflow sales funnel, enabling managers to monitor the progress of their business team and empower salespeople to close more deals.</t>
  </si>
  <si>
    <t>GIC Private, Sankhya Gestão de Negócios(Felipe Calixto)</t>
  </si>
  <si>
    <t>183576-61T</t>
  </si>
  <si>
    <t>Semantix (PINX: STIXF)</t>
  </si>
  <si>
    <t>Semantix Inc is a fully integrated data software platform. It develops solutions in the Data Driven model, for organizations that need to be one step ahead using the latest technology. The company generates majority of the revenue from Brazil.</t>
  </si>
  <si>
    <t>Alpha Capital Acquisition Company</t>
  </si>
  <si>
    <t>201029-95T</t>
  </si>
  <si>
    <t>Innova Capital (Brazil)</t>
  </si>
  <si>
    <t>244160-20T</t>
  </si>
  <si>
    <t>Sellers (Business/Productivity Software)</t>
  </si>
  <si>
    <t>Developer of a retail fintech designed to act as a digital bank for sellers. The company offers to simplify the entire process of management, communication and distribution of variable remuneration and solve the entire sales incentive process, from mass communication and monitoring results in real-time, to the distribution of variable remuneration, enabling businesses to enhance sales, in a simple and agile way.</t>
  </si>
  <si>
    <t>Involves Solucoes Tecnologicas(André Krummenauer)</t>
  </si>
  <si>
    <t>206827-57T</t>
  </si>
  <si>
    <t>Tallos</t>
  </si>
  <si>
    <t>Provider of IT consulting and services based in Maracanaú, Brazil. The company offers a service platform, artificial Intelligence, Emotion Analysis, and messaging support, helping businesses to close more deals and reduce costs.</t>
  </si>
  <si>
    <t>Resultados Digitais(Eric Santos)</t>
  </si>
  <si>
    <t>218480-23T</t>
  </si>
  <si>
    <t>Voltxs Energy</t>
  </si>
  <si>
    <t>202360-42T</t>
  </si>
  <si>
    <t>Bs2 Allinvestments Fundo (BVMF: LLAO11)</t>
  </si>
  <si>
    <t>Bs2 Allinvestments Fundo De Investimento Imobiliario is a real estate investment trust. The Fund's objective is to obtain capital gains through the acquisition and sale of Real Estate.</t>
  </si>
  <si>
    <t>193956-40T</t>
  </si>
  <si>
    <t>201366-19T</t>
  </si>
  <si>
    <t>Clínica da Gávea</t>
  </si>
  <si>
    <t>Operator of a medical care center intended to improve patients' quality of life and well-being through adequate hospital care. The company provides adequate medical and hospital care to improve the quality of life and well-being of the patients, enabling patients to understand and deal with their mental health issues.</t>
  </si>
  <si>
    <t>Teman Capital, Vinci Compass Investments (NAS: VINP)</t>
  </si>
  <si>
    <t>200787-85T</t>
  </si>
  <si>
    <t>ForFuturing(Edvaldo Morata), Fram Capital (BVMF: RCFA11), iV Ventures (Brazil), Nint Group, Votorantim Institute</t>
  </si>
  <si>
    <t>216471-61T</t>
  </si>
  <si>
    <t>Diversity Suppliers</t>
  </si>
  <si>
    <t>Developer of an online platform designed to give visibility and generate business to Afro-entrepreneurship. The company's platform offers a business finder tool, a racial recognition system, to do business with inclusive companies and suppliers of all diversities., enabling companies in the decision-making related to their business.</t>
  </si>
  <si>
    <t>203568-76T</t>
  </si>
  <si>
    <t>Hackr Digital Performance Solutions</t>
  </si>
  <si>
    <t>Developer of digital marketing tools designed for businesses seeking to enhance their online presence. The company offers solutions such as campaign management, SEO optimization and analytics integration, enabling businesses to streamline their digital marketing efforts and reach their target audience through various digital channels.</t>
  </si>
  <si>
    <t>Conta Simples(Rodrigo Tognini)</t>
  </si>
  <si>
    <t>220156-30T</t>
  </si>
  <si>
    <t>iCertus</t>
  </si>
  <si>
    <t>Developer of enterprise resource planning software designed to create technology facilities for small-scale industries. The company's software provides business tools for commercial management, purchasing management, production management, financial management, payment management stock, and fiscal management, enabling businesses to get easy-to-understand reports and make informed decisions.</t>
  </si>
  <si>
    <t>220178-80T</t>
  </si>
  <si>
    <t>Me Veste</t>
  </si>
  <si>
    <t>Operator of an apparel platform intended for promoting circular fashion and sustainability. The company's platform offers a large consumer-sharing network where people can rent or sell their clothes and accessories, reducing waste and participate in advertising and marketing strategies, monthly content for publication on social networks, and provides payment methods and inventory control system, enabling businesses with personalized advice and support, qualified training, and know-how for operation, curation, and pricing.</t>
  </si>
  <si>
    <t>215856-37T</t>
  </si>
  <si>
    <t>Opdv</t>
  </si>
  <si>
    <t>Developer of a point-of-sale software intended to cater to restaurants and franchises. The company's product offers various services to simplify menu management, controlling inventory, issuing invoices and generating customized reports, enabling restaurants and franchises to centralize their workflow and increase profitability.</t>
  </si>
  <si>
    <t>201437-20T</t>
  </si>
  <si>
    <t>Augment Infrastructure Partners(Viktor Kats), Circularis Partners(Roel Collier), Ecoa Capital, Investment Fund For Developing Countries(Torben Huss)</t>
  </si>
  <si>
    <t>201946-78T</t>
  </si>
  <si>
    <t>Alexia Ventures, Bridge Latam, Grão (São Paulo), MatterScale Ventures, NXTP Ventures, Phoenix Investment Club (San Francisco), Rivercrest Global, Valor Capital Group</t>
  </si>
  <si>
    <t>215853-85T</t>
  </si>
  <si>
    <t>269059-42T</t>
  </si>
  <si>
    <t>192857-05T</t>
  </si>
  <si>
    <t>Developer of digital livestock platform designed to improve risk analysis and promote credit in an optimized and transparent chain. The company's platform helps generate value by reducing the use of antibiotics, increasing production, and improving the quality of milk, enabling farmers of all sizes to produce more efficiently, profitably, and sustainably.</t>
  </si>
  <si>
    <t>Barn Investimentos(Flavio Zaclis), Indicator Capital, Invest Tech</t>
  </si>
  <si>
    <t>200762-38T</t>
  </si>
  <si>
    <t>Tenbu</t>
  </si>
  <si>
    <t>Provider of IT and consulting services intended to support customers in developing and implementing decision-making. The company offers big data, cognitive computing, business analytics, information governance, managed services, machine learning, process optimization, cost reduction, and voice and visual analytics.</t>
  </si>
  <si>
    <t>Accenture (NYS: ACN)(Karthik Narain)</t>
  </si>
  <si>
    <t>210207-97T</t>
  </si>
  <si>
    <t>W3 Mega</t>
  </si>
  <si>
    <t>Provider of internet services catering to residential and commercial customers with 50 TV channels in Brazil.</t>
  </si>
  <si>
    <t>200848-33T</t>
  </si>
  <si>
    <t>199622-35T</t>
  </si>
  <si>
    <t>Big Bets, Kortex Ventures, Niu Ventures</t>
  </si>
  <si>
    <t>292620-52T</t>
  </si>
  <si>
    <t>Arkmeds</t>
  </si>
  <si>
    <t>Developer of a enterprise management software designedto improve performance with a complete ecosystem. The company's software integrates features such as preventive maintenance scheduling, asset management, work order tracking, digital signatures, inventory control, and real-time reporting, enabling organizations to optimize workflows, reduce downtime, and ensure compliance.</t>
  </si>
  <si>
    <t>University of Central Florida Business Incubator</t>
  </si>
  <si>
    <t>204260-59T</t>
  </si>
  <si>
    <t>Attivilog</t>
  </si>
  <si>
    <t>Developer of a transport management platform designed to focus on serving small and medium-sized carriers with productivity and simplicity. The company's platform offers fleet management, supply chain alternatives, financial management, and real-time monitoring, enabling transporters to increase productivity, reduce costs, and keep customers motivated.</t>
  </si>
  <si>
    <t>219583-81T</t>
  </si>
  <si>
    <t>Renovare</t>
  </si>
  <si>
    <t>Provider of broadband internet and fixed telephony services intended for residential and business customers. The company offers a wide range of optic fiber internet plans including limited and unlimited plans as well as offers branch integration and custom firewall services, thereby helping its clients by providing a reliability, secure, personalized and agile service.</t>
  </si>
  <si>
    <t>204106-69T</t>
  </si>
  <si>
    <t>Sequor Industrial Software</t>
  </si>
  <si>
    <t>Provider of software solutions and services intended for technological solutions and sophisticated design. The company offers data analytics consultancy, a development hub, mobile development and software development, thereby enhancing production, logistics, quality, and maintenance processes.</t>
  </si>
  <si>
    <t>BNP Paribas Développement(Ludovic Robert), CEME Group, Seven2(Isabelle Hermetet), Societe Generale Capital Partenaires</t>
  </si>
  <si>
    <t>199281-70T</t>
  </si>
  <si>
    <t>ContaÁgil</t>
  </si>
  <si>
    <t>Developer of an accounting platform intended to reduce the bureaucracy of the company's accounting routines. The company's platform offers a calendar of 
accounting routines, digital channels to communicate, issuer notes tax, and document organization, enabling companies to integrate and automate financial and accounting routines.</t>
  </si>
  <si>
    <t>Bossa Invest, DOMO.VC, Poli Angels Group, Urca Angels, Ventiur</t>
  </si>
  <si>
    <t>202266-37T</t>
  </si>
  <si>
    <t>SouthRock Capital(Kenneth Pope)</t>
  </si>
  <si>
    <t>202360-96T</t>
  </si>
  <si>
    <t>Jasc Renda Varejo Essenci (BVMF: JASC11)</t>
  </si>
  <si>
    <t>Jasc Renda Varejo Essencial Fundo De Investimento Imobiliario - Fii acquires a fraction or all of the Real Estate Assets in which to invest or even develop them individually or jointly with third parties, either in a condominium or in partnership. The Fund's objective is to obtain income, through the investment of Shareholders' Equity in commercial exploitation, through leasing, and assignment of rights.</t>
  </si>
  <si>
    <t>194458-87T</t>
  </si>
  <si>
    <t>Bossa Invest, Brazilian Service of Support for Micro and Small Enterprises, Brognoli Imóveis, Raja Ventures</t>
  </si>
  <si>
    <t>200997-55T</t>
  </si>
  <si>
    <t>DOMO.VC(Marcello Goncalves), RX Ventures</t>
  </si>
  <si>
    <t>203053-69T</t>
  </si>
  <si>
    <t>Mogno Properties Fundo De (BVMF: MGRI11)</t>
  </si>
  <si>
    <t>Mogno Properties Fundo De Investimento Imobiliario is Real Estate fund. The Fund's objective is to obtain income, through the application of resources predominantly in Real Estate Assets. The acquisition of Real Estate Assets by the Fund aims to provide its Shareholders with the profitability resulting from the commercial exploitation of the Real Estate.</t>
  </si>
  <si>
    <t>202342-24T</t>
  </si>
  <si>
    <t>Rbr Premium Recebiveis (BVMF: RPRI11)</t>
  </si>
  <si>
    <t>Rbr Premium Recebiveis Imobiliarios Fundo De Investimento Imobiliario is a real estate investment trust. Its objective is to earn income and capital gains on the acquisition of Real Estate Receivables Certificates.</t>
  </si>
  <si>
    <t>200445-49T</t>
  </si>
  <si>
    <t>Atlant Fonder, Dunross &amp; Co, VEF (STO: VEFAB)(David Nangle), Webrock Ventures (STO: WRV)</t>
  </si>
  <si>
    <t>209959-84T</t>
  </si>
  <si>
    <t>IDC Telecom</t>
  </si>
  <si>
    <t>Provider of broadband services located in Guararema, Brazil. The company engages in delivering optical technology services with high speed of internet to customers.</t>
  </si>
  <si>
    <t>296756-29T</t>
  </si>
  <si>
    <t>250427-89T</t>
  </si>
  <si>
    <t>Stratura Asfaltos</t>
  </si>
  <si>
    <t>Manufacturer of building products intended for paving and the conservation of highways. The company offers conventional asphalt with polymers, engineering services, waterproofing, paving and implementation, enabling clients to get durable products.</t>
  </si>
  <si>
    <t>Fiord Capital</t>
  </si>
  <si>
    <t>200952-91T</t>
  </si>
  <si>
    <t>4Map IT Consulting Serviços</t>
  </si>
  <si>
    <t>Provider of technology consultancy services based in Sao Paulo, Brazil. The company offers hybrid as well as cloud usage management, operational back office, software development, project office and related IoT-based solutions, thereby helping clients in the management of costs associated with technology integrations.</t>
  </si>
  <si>
    <t>Octea (Sao Paulo)(Sergio Wainer)</t>
  </si>
  <si>
    <t>200336-05T</t>
  </si>
  <si>
    <t>Anota AI</t>
  </si>
  <si>
    <t>Operator of an AI-based chatbot platform intended to receive customer orders on messaging applications. The company's platform uses chatbot technology with integrated artificial intelligence for service, with the entire service process carried out on social networks and websites, enabling restaurants to automate their services with reports and promotional tools.</t>
  </si>
  <si>
    <t>iFood.com Agencia de Restaurantes Online, Prosus Ventures</t>
  </si>
  <si>
    <t>189843-58T</t>
  </si>
  <si>
    <t>Costdrivers</t>
  </si>
  <si>
    <t>Developer of a supply market forecasting platform intended for cost and supplier management. The company's interactive dashboards provide price forecasts and customized alerts for cost reduction opportunities, which feed into budgeting and strategic planning tools, enabling its clients to make projections and reduce costs strategically.</t>
  </si>
  <si>
    <t>GEP(Subhash Makhija)</t>
  </si>
  <si>
    <t>200434-60T</t>
  </si>
  <si>
    <t>Novatero BioAg</t>
  </si>
  <si>
    <t>Provider of agricultural solutions intended to increase productivity in crops. The company's products include natural inoculants with a high concentration of vigorous endomycorrhiza, thereby enabling agricultural producers to be offered with products which can increase the production and the quality of crops through its exclusive technologies.</t>
  </si>
  <si>
    <t>Groundwork BioAg(Yossi Kofman)</t>
  </si>
  <si>
    <t>200376-82T</t>
  </si>
  <si>
    <t>Astrum Latina</t>
  </si>
  <si>
    <t>Provider of IoT communication services intended to facilitate smart metering of water and energy with ESG principles. The company's services consist of scaling IOT platforms and pressure monitoring, thereby providing additional benefits such as fraud detection, job optimization, daily monitoring, internal water leaks, and data collection without processing for results-oriented analysis.</t>
  </si>
  <si>
    <t>ATIVA Soluções(Edson Ribeiro)</t>
  </si>
  <si>
    <t>206056-27T</t>
  </si>
  <si>
    <t>MobLee</t>
  </si>
  <si>
    <t>Operator of a web-based digital platform intended to help event organizers promote, register, and engage people in their events. The company's platform helps to create applications for each event and pass information to attendees, gain more registrations and people involved since the beginning, enabling clients to promote networking, encourage business meetings and get real-time feedback from the events.</t>
  </si>
  <si>
    <t>Yazo Tecnologia(Eduardo Frezarin)</t>
  </si>
  <si>
    <t>200138-59T</t>
  </si>
  <si>
    <t>CAF</t>
  </si>
  <si>
    <t>Developer of a digital identity validation platform designed to protect companies from identity fraudsters. The company's platform specializes in facial identification and recognition and provides automated onboarding services to identify the type of document and extract the data automatically and reliably for speeding up registration, application programming interface integration, and consultation sources, enabling companies to protect their businesses from fraudulent users and prevents people from impersonating others to commit digital crimes.</t>
  </si>
  <si>
    <t>Andre Edelbrock(Andre Edelbrock), Andrew Prozes(Andrew Prozes), James Peck(James Peck), Kevin Efrusy(Kevin Efrusy), Parallax Ventures, Trevor Clarke(Trevor Clarke)</t>
  </si>
  <si>
    <t>278255-71T</t>
  </si>
  <si>
    <t>Americo Filho(Americo Filho), Igor Calvet(Igor Calvet), Jorge Machado(Jorge Machado), Marcelo Ferreira(Marcelo Ferreira), Pierre Schurmann(Pierre Schurmann), Sergio Pessoa(Sergio Pessoa)</t>
  </si>
  <si>
    <t>210205-27T</t>
  </si>
  <si>
    <t>New Master Telecom</t>
  </si>
  <si>
    <t>Provider of telecommunication services intended for internet connectivity. The company offers subscription-based fiber-optic Internet connectivity, rural internet, 4G telephony and cable TV, thereby helping clients with unlimited data and high-speed internet to interact across the world at cost-effective rates.</t>
  </si>
  <si>
    <t>199996-12T</t>
  </si>
  <si>
    <t>Biscoint</t>
  </si>
  <si>
    <t>Developer of an online trading platform designed to provide services related to buying and selling of cryptocurrency in Brazil. The company provides an online trading platform where multiple brokers and multiple options are available for crypto investments, allowing users to buy or sell cryptocurrencies easily and conveniently.</t>
  </si>
  <si>
    <t>Rensga</t>
  </si>
  <si>
    <t>199770-67T</t>
  </si>
  <si>
    <t>200008-54T</t>
  </si>
  <si>
    <t>Darwin Seguros</t>
  </si>
  <si>
    <t>Developer of an online application designed to offer auto insurance to its users. The company's platform collects data through its app, which runs in the background on the customer's cell phone and captures data such as acceleration in curves, braking, and where the driver is driving, providing customers with insurance based on the data acquired.</t>
  </si>
  <si>
    <t>Banco BV(Daniel Monteiro), HIX Capital(Gustavo Heilberg), Invisto, Álvaro Vidigal(Álvaro Vidigal)</t>
  </si>
  <si>
    <t>206373-16T</t>
  </si>
  <si>
    <t>Perfarm</t>
  </si>
  <si>
    <t>Developer of agribusiness software intended to serve the agriculture sector. The company's platform specializes in routine automation and monitoring, results in planning, productive, administrative and field management, budget planning, financial analysis, annual diagnosis and strategic discussions.</t>
  </si>
  <si>
    <t>Seedz Marketing e Fidelidade(Matheus Ganem)</t>
  </si>
  <si>
    <t>263334-79T</t>
  </si>
  <si>
    <t>Tupy (BVMF: TUPY3)</t>
  </si>
  <si>
    <t>199831-78T</t>
  </si>
  <si>
    <t>Chefs Club</t>
  </si>
  <si>
    <t>Developer of an online restaurant booking platform designed to book eating houses at a discounted rate. The company's platform offers a personalized metal card that must be presented at the agreed houses for benefits such as discounts, enabling restaurants to fill their empty desks at zero cost and with no contractual ties.</t>
  </si>
  <si>
    <t>208312-12T</t>
  </si>
  <si>
    <t>Educbank</t>
  </si>
  <si>
    <t>Provider of financial services intended to offer support to educational institutions. The company provides financial support in the form of sponsorships and subsidies basis the public, academic, and satisfaction data of the school, enabling institutions to grow and innovate in unprecedented ways.</t>
  </si>
  <si>
    <t>Marrakech Capital, Vasta Platform (NAS: VSTA)</t>
  </si>
  <si>
    <t>201531-07T</t>
  </si>
  <si>
    <t>Galicia Educacao</t>
  </si>
  <si>
    <t>Operator of an educational and skill development company intended for the personal and professional development of the workforce. The company offers real and sustainable opportunities through digital schools for continuous and practical learning connected to reality and the market, enabling users to improve and develop their literacy and skills.</t>
  </si>
  <si>
    <t>210106-54T</t>
  </si>
  <si>
    <t>InterSite</t>
  </si>
  <si>
    <t>Developer of transportation management software intended to serve fleet owners, freight forwarders and mixed companies. The company offers bill lading, tax document storage, database and invoice service all in electronic forms along with a public system of bookkeeping, thereby providing users with sufficient information for strategic decision-making.</t>
  </si>
  <si>
    <t>FreteBras(Federico Vega)</t>
  </si>
  <si>
    <t>197589-61T</t>
  </si>
  <si>
    <t>K1 Investment Management(Christian Grant), MG Tech.</t>
  </si>
  <si>
    <t>199862-38T</t>
  </si>
  <si>
    <t>ExpenseOn</t>
  </si>
  <si>
    <t>Developer of software solutions for reimbursement processes based in Sao Paulo, Brazil. The company offers a complete online solution that can be accessed via the web and mobile consolidating all corporate refunds in real-time thereby, bringing agility, efficiency and transparency to employees and managers.</t>
  </si>
  <si>
    <t>Flash</t>
  </si>
  <si>
    <t>215849-44T</t>
  </si>
  <si>
    <t>Furia (Internet Retail)</t>
  </si>
  <si>
    <t>Operator of a professional esports organization intended to compete in online gaming and offers lifestyle products. The company aims to compete in the electronic sports world championship and also offers self-branded lifestyle products, enabling customers to achieve their potential in the world of esports and followers to be provided with a variety of clothing and accessories.</t>
  </si>
  <si>
    <t>Gamers8</t>
  </si>
  <si>
    <t>208404-91T</t>
  </si>
  <si>
    <t>Almeida Budoya</t>
  </si>
  <si>
    <t>Provider of insurance brokerage services intended to serve businesses and individuals. The company provides business, civil responsibility, fleets, automobiles and life insurance services.</t>
  </si>
  <si>
    <t>245033-20T</t>
  </si>
  <si>
    <t>Axxon Group, Spectra Investments</t>
  </si>
  <si>
    <t>205288-66T</t>
  </si>
  <si>
    <t>Collabo Software</t>
  </si>
  <si>
    <t>Developer of supply chain management platform catering to civil construction, industrial, automobile and chemical sectors. The platform allows collaboration between technical specifiers, resellers/distributors, applicators, buyers and end customers, enabling clients to expand and strengthen their business.</t>
  </si>
  <si>
    <t>Softplan(Ionan Fernandes)</t>
  </si>
  <si>
    <t>208401-22T</t>
  </si>
  <si>
    <t>Conecte.ai</t>
  </si>
  <si>
    <t>Developer of a SaaS-based platform designed to democratize and facilitate access to the Internet. The company's platform automates lead generation and checkout of fixed mobile broadband internet plans and aggregated services with georeferencing technology, enabling regional internet providers to sell broadband plans online, increase conversion rates, and have a more digital presence.</t>
  </si>
  <si>
    <t>199455-58T</t>
  </si>
  <si>
    <t>Vero (Telecommunication Company)</t>
  </si>
  <si>
    <t>Provider of internet broadband services based in Sao Paulo, Brazil. The company leverages optical fiber networks and radio communication technology for serving customers with fast and stable internet connections.</t>
  </si>
  <si>
    <t>212275-09T</t>
  </si>
  <si>
    <t>W.Dental</t>
  </si>
  <si>
    <t>Developer of a dental technology platform designed to democratize access to dental plans. The company's platform uses an accredited network that provides customized dental plans digitally and the entire process is done in an automated way from the contracting of the plan until the day-to-day of the beneficiary or dentist, enabling users to simplify and digitize the process of hiring and using dental plans at fair prices.</t>
  </si>
  <si>
    <t>TM3 Capital(Felipe Marcondes de Mattos)</t>
  </si>
  <si>
    <t>199350-01T</t>
  </si>
  <si>
    <t>Appito</t>
  </si>
  <si>
    <t>Provider of a sports information service intended to connect people through football. The company helps users to connect and organize football teams, play games, record stats, and evaluate in real life by creating courts to bring communities together, allowing players to connect with others through football.</t>
  </si>
  <si>
    <t>Global Founders Capital(Alex Anton), Inteligo Bank, Iporanga Ventures, Marcelo Claure(Marcelo Claure), Paulo Passoni(Paulo Passoni)</t>
  </si>
  <si>
    <t>226928-89T</t>
  </si>
  <si>
    <t>Canary (Brazil), F-Prime Capital</t>
  </si>
  <si>
    <t>241959-16T</t>
  </si>
  <si>
    <t>181206-64T</t>
  </si>
  <si>
    <t>Octagora</t>
  </si>
  <si>
    <t>Operator of a visual assistance platform intended to provide companies with collaborative remote assistance for diagnosis and problem-solving. The company's platform provides remote service and support, which uses visual computing and augmented reality to close the visual gap between the remote agent and the user, enabling firms to empower their field team and turn problems into positive customer experiences.</t>
  </si>
  <si>
    <t>Bossa Invest, Criabiz Ventures, DOMO.VC, WOW Aceleradora de Startups</t>
  </si>
  <si>
    <t>199410-49T</t>
  </si>
  <si>
    <t>Zerodox</t>
  </si>
  <si>
    <t>Developer of a document management platform intended to digitize paper documents and record them. The company offers its platform as a service that secures important documents through Amazon's cloud server, digitizes them, and provides services such as digital accounting, and business process management, enabling public and private institutions to eliminate the role of their administration, adapting to a much more agile, efficient and economical model of process and document management.</t>
  </si>
  <si>
    <t>Salux(Murilo Fernandes)</t>
  </si>
  <si>
    <t>201418-21T</t>
  </si>
  <si>
    <t>Flower Club (Specialty Retail)</t>
  </si>
  <si>
    <t>Operator of a flower delivery company intended to sell and deliver flowers. The company's platform offers various subscription plans and the option of receiving their flower parcel following which the company prepares the bouquet, with seasonal flowers and foliage, enabling users to receive fresh flowers at a reasonable price with zero shipping charge.</t>
  </si>
  <si>
    <t>HBS Alumni Angels of Brazil, Poli Angels Group(Fernando Filho)</t>
  </si>
  <si>
    <t>201579-94T</t>
  </si>
  <si>
    <t>ArcelorMittal Clean Technology Venture Capital Fund, Açolab Ventures, BR Angels, Randon Ventures(Gustavo Misturini)</t>
  </si>
  <si>
    <t>199146-25T</t>
  </si>
  <si>
    <t>CINQ Technologies</t>
  </si>
  <si>
    <t>Operator of a certified software company intended to create and build digital transformation in corporations. The company combines design thinking, agile practices, software quality processes and innovation management and offers software solution design, agile software development, software testing, agile team allocation and professional allocation to customers.</t>
  </si>
  <si>
    <t>CI&amp;T (NYS: CINT)(Marcela Lindner)</t>
  </si>
  <si>
    <t>187191-28T</t>
  </si>
  <si>
    <t>Creditas Soluções Financeiras</t>
  </si>
  <si>
    <t>Developer of a digitally secured lending platform designed to offer lending, investment, and financing services at lower interest rates. The company's platform offers Brazilian consumer loans at affordable rates by using borrower collateral like homes and automobiles from investors or through partnerships with other, traditional financial institutions, enabling borrowers to pay their loans in installments that fit in their pocket.</t>
  </si>
  <si>
    <t>Across Capital Partners, Actyus, Advent International, Andbank, Fidelity Management &amp; Research Company, Greentrail Capital, Headline, Kaszek(Nicolas Szekasy), Lightrock, Next Billion Ventures, QED Investors(Bill Cilluffo), SoftBank Group (TKS: 9984), SoftBank Investment Advisers, SoftBank Latin America Fund, Spectra Investments, Sunley House Capital Management, VEF (STO: VEFAB)(David Nangle), Wellington Management</t>
  </si>
  <si>
    <t>199113-22T</t>
  </si>
  <si>
    <t>Kzas</t>
  </si>
  <si>
    <t>Operator of real estate platform intended to assist buyers and sellers in the process of buying and selling properties. The company's platform offers AI-based technology that integrates with custom property suggestions, preference suggestions based on location, and much more, enabling clients with buying, selling, and financing process into something simpler and digital.</t>
  </si>
  <si>
    <t>Creditas Soluções Financeiras(Sergio Furio)</t>
  </si>
  <si>
    <t>199174-24T</t>
  </si>
  <si>
    <t>SouthEnd Group</t>
  </si>
  <si>
    <t>Provider of procurement, supply chain process and IT consultancy service company catering to a wide range of businesses and industries. The company's service offerings include application support service, trend analysis, service management, SLAs and productivity management, expense management and monitoring and KPI report, thereby supporting clients in change management and increasing user adoption.</t>
  </si>
  <si>
    <t>GyanSys(Rajkishore Una)</t>
  </si>
  <si>
    <t>191521-63T</t>
  </si>
  <si>
    <t>Stays.net</t>
  </si>
  <si>
    <t>Developer of vacation rental software for short-term rental owners and managers. The software's tools and features include a website with direct bookings, visual reports and statistics, smart pricing, online payment, marketing and sales, operational task manager, unified ad management, financial management as well as user tools, enabling clients to increase bookings, autopilot sales and reduction in operating costs.</t>
  </si>
  <si>
    <t>Decolar(Damian Scokin)</t>
  </si>
  <si>
    <t>199254-79T</t>
  </si>
  <si>
    <t>Aawz</t>
  </si>
  <si>
    <t>Provider of IT consulting services catering to investment advisory firms. The company's services include consulting, management, strategy and business technology services.</t>
  </si>
  <si>
    <t>Vectis Gestão</t>
  </si>
  <si>
    <t>199004-05T</t>
  </si>
  <si>
    <t>AlpaClass Tecnologia da Informação</t>
  </si>
  <si>
    <t>Developer of online education platform based in Sorocaba, Brazil. The company's platform offers online classes, automatic emails, quizzes, student files and email campaigns as well as certificates to clients, thereby creating a community to strengthen its relationship with its students and also enabling it to increase its brand's credibility.</t>
  </si>
  <si>
    <t>Eduzz(Daniel Palmieri)</t>
  </si>
  <si>
    <t>199035-37T</t>
  </si>
  <si>
    <t>Avin Asset</t>
  </si>
  <si>
    <t>Provider of asset management services based in Sao Paulo, Brazil. The company provides investment and portfolio management services and financial advisory services, thereby enabling clients to avail quality management services.</t>
  </si>
  <si>
    <t>Acqua Vero</t>
  </si>
  <si>
    <t>202789-00T</t>
  </si>
  <si>
    <t>BakeryTech</t>
  </si>
  <si>
    <t>Developer of a data analytics platform designed to help small bakeries optimize their supply management. The company's platform offers a comprehensive suite of tools to optimize supply market management including supplier identification, price negotiation, inventory tracking, and sales analytics, enabling firms to reduce costs, improve efficiency, and increase profitability.</t>
  </si>
  <si>
    <t>Bossa Invest, Crivo, DOMO.VC(Rodrigo Borges), HBS Alumni Angels of Brazil</t>
  </si>
  <si>
    <t>225924-04T</t>
  </si>
  <si>
    <t>Converta (Software Development Applications)</t>
  </si>
  <si>
    <t>Developer of an application-building tool designed to convert any website into a native mobile application. The company's tool offers features such as push notifications, customizable layouts, and seamless synchronization with existing website content, enabling businesses to enhance user engagement and expand their reach through mobile app accessibility.</t>
  </si>
  <si>
    <t>ACE Ventures (Commercial Services), Sovereign Fund of Espírito Santo, TM3 Capital</t>
  </si>
  <si>
    <t>224615-62T</t>
  </si>
  <si>
    <t>Takeat (Restaurants, Hotels and Leisure)</t>
  </si>
  <si>
    <t>Operator of a food delivery platform intended to provide healthy and convenient meals to businesses and individuals in Sao Paulo. The company's platform offers a variety of features, including a digital menu, and the ability to order food directly from the table, enabling businesses to save money on labor costs and increase sales.</t>
  </si>
  <si>
    <t>198826-57T</t>
  </si>
  <si>
    <t>Chemarome Brasil Industria &amp; Comercio De Aditivos Quimicos</t>
  </si>
  <si>
    <t>Manufacturer of fragranced products located in Quatro Barras, Brazil.</t>
  </si>
  <si>
    <t>CPL Aromas</t>
  </si>
  <si>
    <t>199072-00T</t>
  </si>
  <si>
    <t>Abstract Ventures, DST Global, Epakon Capital Management, Fabian Gomez(Fabian Gomez), Notable Capital(Hans Tung), Opera Ventures, TriplePoint Capital</t>
  </si>
  <si>
    <t>198850-15T</t>
  </si>
  <si>
    <t>Parcelex</t>
  </si>
  <si>
    <t>Developer of a digital payment platform designed to make purchases and other financial transactions without a credit card. The company's platform splits products through bank slips into installments and is available in online stores, enabling users to see their payment history and track all bills through their cell phones.</t>
  </si>
  <si>
    <t>Banco BV(Jamil Ganan)</t>
  </si>
  <si>
    <t>198763-12T</t>
  </si>
  <si>
    <t>eNotas</t>
  </si>
  <si>
    <t>Developer of automated electronic invoice platform based in Belo Horizonte, Brazil. The company's platform offers integration of payment systems, service invoices, and product invoices.</t>
  </si>
  <si>
    <t>Hotmart(João Resende)</t>
  </si>
  <si>
    <t>201638-62T</t>
  </si>
  <si>
    <t>Mr. Veggy</t>
  </si>
  <si>
    <t>Producer of natural and healthy alternative food products intended for people aiming to reduce the consumption of meat-based foods. The company's products are made from natural ingredients from the garden and are free of artificial preservatives or flavor enhancers and offer products such as hamburgers, sausage, meatballs and assorted snacks.</t>
  </si>
  <si>
    <t>Arlon Group, Grano Alimentos(Fernando Giansante)</t>
  </si>
  <si>
    <t>183536-47T</t>
  </si>
  <si>
    <t>UAB Motors Participações</t>
  </si>
  <si>
    <t>Retailer of automotive vehicles based in Sao Paulo, Brazil. The company deals in both new and used cars and light commercial trucks and provides vehicle financing, insurance, maintenance, and collision repair services.</t>
  </si>
  <si>
    <t>198794-26T</t>
  </si>
  <si>
    <t>Nutramérica</t>
  </si>
  <si>
    <t>258199-21T</t>
  </si>
  <si>
    <t>3Rios Fibras e Resinas (PET Bottle Recycling Activity)</t>
  </si>
  <si>
    <t>Operator of bottle recycling services based in Pocos de Caldas, Brazil.</t>
  </si>
  <si>
    <t>ValGroup(Eduardo Berkovitz)</t>
  </si>
  <si>
    <t>201463-30T</t>
  </si>
  <si>
    <t>Caravelas Florestal</t>
  </si>
  <si>
    <t>Manufacturer of paper based in Sao Paulo, Brazil. The company provides paper, paper related products and other forest products.</t>
  </si>
  <si>
    <t>Suzano (BVMF: SUZB3)(Walter Schalka)</t>
  </si>
  <si>
    <t>201168-01T</t>
  </si>
  <si>
    <t>e-Auditoria Softwares como Serviço</t>
  </si>
  <si>
    <t>Developer of a digital auditing platform focused on tax compliance and relevant contracts tax (RCT). The company's platform offers tax credit recovery, tax compliance, inventory audit, auditing of electronic tax documents and accessory obligations files as well as revenue segregation, thereby enabling individuals to reduce tax risks while helping businesses to reduce the tax burden.</t>
  </si>
  <si>
    <t>Concept Investimentos, Theorica Holdings</t>
  </si>
  <si>
    <t>301100-86T</t>
  </si>
  <si>
    <t>BTG</t>
  </si>
  <si>
    <t>199277-20T</t>
  </si>
  <si>
    <t>Aeroscan Tecnologia</t>
  </si>
  <si>
    <t>Developer of a drone monitoring system designed to manage multiple drones in an automated operation without the need for direct operator control. The company's platform provides protection to airspace with anti-drone technology, provides the application in several markets, creates automated transmissions, manages multiple drones, and provides flight telemetry, enabling companies to protect their organization and neutralize invading drones.</t>
  </si>
  <si>
    <t>Bossa Invest, Roberto Coletti(Roberto Coletti)</t>
  </si>
  <si>
    <t>198711-46T</t>
  </si>
  <si>
    <t>anyLife</t>
  </si>
  <si>
    <t>Developer of a real estate platform designed to manage and lease apartments in popular neighborhoods of São Paulo. The company offers an intelligent real estate management service that contains properties that have some characteristics in common, such as a gym, swimming pool, and laundry facilities, providing house owners with higher profitability and guests with satisfaction in the experiences of their stays.</t>
  </si>
  <si>
    <t>Jive Investments(João Oliveira)</t>
  </si>
  <si>
    <t>194436-28T</t>
  </si>
  <si>
    <t>Bossa Invest(João Kepler), BRDE Labs, Join.Valle, Raja Valley, SEBRAE RS</t>
  </si>
  <si>
    <t>199049-23T</t>
  </si>
  <si>
    <t>199555-66T</t>
  </si>
  <si>
    <t>Idilika</t>
  </si>
  <si>
    <t>Operator of an online real estate marketplace intended to buy vacation homes with co-ownership models. The company allows individuals to choose from the fractions of the house and buy with other co-owners, enabling clients to cut costs for their holiday residences.</t>
  </si>
  <si>
    <t>First Check Ventures</t>
  </si>
  <si>
    <t>292859-02T</t>
  </si>
  <si>
    <t>210111-49T</t>
  </si>
  <si>
    <t>Linkseller</t>
  </si>
  <si>
    <t>Developer of customer relationship management system designed for sales teams to manage their pipeline and accelerate closing. The company offers online sales and task management, thereby helping its clients shorten their sales cycle with direct actions to close deals.</t>
  </si>
  <si>
    <t>Ramper(Ricardo Corrêa)</t>
  </si>
  <si>
    <t>200375-20T</t>
  </si>
  <si>
    <t>Octaworks</t>
  </si>
  <si>
    <t>Developer of a workflow automation platform intended to help firms to standardize and optimize workflows. The company's platform offers an easy-to-interpret dashboard, simple pricing and an interface to streamline the work and essential resources, enabling businesses to automate repetitive tasks to save time and increase productivity.</t>
  </si>
  <si>
    <t>Bossa Invest, EquityRio, Roberto Rittes(Roberto Rittes)</t>
  </si>
  <si>
    <t>166756-06T</t>
  </si>
  <si>
    <t>Bossa Invest, SuperJobs Venture Capital</t>
  </si>
  <si>
    <t>200880-10T</t>
  </si>
  <si>
    <t>Petix</t>
  </si>
  <si>
    <t>Manufacturer of dog pads committed to providing pet hygiene and care solutions. The company makes, distributes and exports hygienic rugs and other pet products and accessories for pet shops and veterinary clinics.</t>
  </si>
  <si>
    <t>Pet Center Comércio e Participações (BVMF: PETZ3)(Sergio Zimerman)</t>
  </si>
  <si>
    <t>244278-46T</t>
  </si>
  <si>
    <t>Red Unit</t>
  </si>
  <si>
    <t>Developer of cybersecurity software intended to protect companies from cyber attacks and theft of confidential information. The company focuses on the development of new products according to the latest trends gathered from the team's extensive experiences, enabling companies to stay protected from unauthorized malware.</t>
  </si>
  <si>
    <t>255764-98T</t>
  </si>
  <si>
    <t>Tradal Brazil</t>
  </si>
  <si>
    <t>Producer of natural food ingredients intended to provide food products to the B2B and B2C markets. The company's product range includes raw materials, processed fruits and nuts, flavorings, seasonings and flavorings, and healthy food items, helping clients meet their needs in the food and beverage industry.</t>
  </si>
  <si>
    <t>220183-12T</t>
  </si>
  <si>
    <t>Trapi</t>
  </si>
  <si>
    <t>Operator of a web-based hiring platform intended to link job seekers with potential employers. The company's platform provides a comprehensive list of flexible jobs in various categories as well as valuable job insights before applying, enabling individuals to search for vacancies that best suit them.</t>
  </si>
  <si>
    <t>195941-71T</t>
  </si>
  <si>
    <t>Operator of a real estate alternative investment management company focused on real estate investments in Brazil. The company invests in real estate and real estate development projects in the retail, office, residential, logistics and student housing sectors.</t>
  </si>
  <si>
    <t>214936-39T</t>
  </si>
  <si>
    <t>Velum Global Credit Management</t>
  </si>
  <si>
    <t>Operator of an asset management company based in Sao Paulo, Brazil. The company engages in acquiring and managing portfolios of non-performing, secured and unsecured consumer debt across Brazil.</t>
  </si>
  <si>
    <t>199428-04T</t>
  </si>
  <si>
    <t>Vet Analytics Laboratory</t>
  </si>
  <si>
    <t>Provider of veterinary diagnostic services based in Rio de Janeiro, Brazil. The company offer services in hematology, biochemistry, urinalysis, parasitology, endocrinology, cytology, histopathology, microbiology, immunology, PCR and other related services, enabling its customer to offer routine myelography to clinicians.</t>
  </si>
  <si>
    <t>199171-90T</t>
  </si>
  <si>
    <t>Wattsfy</t>
  </si>
  <si>
    <t>Operator of a renewable energy company intended to generate renewable energy and save on electricity bills. The company connects customers to pre-existing clean energy sources with no investment requirements, enabling customers to reduce energy bills.</t>
  </si>
  <si>
    <t>FCJ Venture Builder, Synergy Ventures (Brazil)</t>
  </si>
  <si>
    <t>215854-21T</t>
  </si>
  <si>
    <t>Widde</t>
  </si>
  <si>
    <t>Developer of a video commerce technology designed to achieve sales performance during live broadcasts. The company's technology helps to create interactive videos and integrate them into their websites through a plug-and-play video and live commerce platform, enabling brands to connect people and businesses with live chat, polls, and calls to evolve content, sell more, and increase retention.</t>
  </si>
  <si>
    <t>200286-37T</t>
  </si>
  <si>
    <t>EXT Capital, SYN Prop, Terracotta Ventures, Torq (Brazil)</t>
  </si>
  <si>
    <t>264250-63T</t>
  </si>
  <si>
    <t>264255-85T</t>
  </si>
  <si>
    <t>179508-88T</t>
  </si>
  <si>
    <t>Alarko Ventures, Baillie Gifford, Base Partners, Crankstart Foundation, Formus Capital, Tiger Global Management</t>
  </si>
  <si>
    <t>204759-73T</t>
  </si>
  <si>
    <t>OTC (Financial Software)</t>
  </si>
  <si>
    <t>Developer of digital asset trading platform designed to trade assets through the home broker tool. The company's platform uses cybersecurity technology which guarantees all the necessary reliability for financial operations and operates a permitted network for tokenizing financial assets, enabling companies to use funding mechanisms at lower costs and with greater distribution capacity.</t>
  </si>
  <si>
    <t>Goldstreet Venture Capital, Grupo Emepar, Janguie Diniz(Janguie Diniz), Keiji Sakai(Keiji Sakai), Pitang Tecnologia</t>
  </si>
  <si>
    <t>192079-09T</t>
  </si>
  <si>
    <t>Santa Ana Energética</t>
  </si>
  <si>
    <t>Operator of hydroelectric power projects based in Rio de Janeiro, Brazil.</t>
  </si>
  <si>
    <t>209519-56T</t>
  </si>
  <si>
    <t>Toup</t>
  </si>
  <si>
    <t>Provider of apps and systems development intended to serve the business. Developer of software intended to serve the business. The company specializes in apps and systems development, UI, interface, UX and user experience design and diagnosis of digital transformation opportunities, which helps its clients to improve over time, digital transformation and scale as their business grow.</t>
  </si>
  <si>
    <t>Woof(Caetano Altafin)</t>
  </si>
  <si>
    <t>197303-14T</t>
  </si>
  <si>
    <t>Vsoft Tecnologia</t>
  </si>
  <si>
    <t>Developer of an artificial intelligence service platform designed to provide innovative technology for the secure identification of people and process certification. The company's platform offers to build applications aimed at certifying document issuance processes which include a proprietary fingerprint recognition technology, facial recognition, iris recognition, biometric image quality assessment, biometric capture, contactless fingerprint capture, traffic signaling and more, enabling businesses with people Identification and process certification.</t>
  </si>
  <si>
    <t>Valid Ventures(Ivan Santos)</t>
  </si>
  <si>
    <t>295581-07T</t>
  </si>
  <si>
    <t>186445-90T</t>
  </si>
  <si>
    <t>ACE Ventures (Geneva), Fin Capital, FoundersX Ventures, Iporanga Ventures(Leonardo Teixeira), Kevin Moore(Kevin Moore), Olive Tree Capital, Pioneer Fund, Soma Capital, Verve Capital, Y Combinator</t>
  </si>
  <si>
    <t>197243-83T</t>
  </si>
  <si>
    <t>O Grupo PareBem</t>
  </si>
  <si>
    <t>Provider of parking lot operation and management services based in Sao Paulo, Brazil. The company manages the parking lot, through campaigns aimed at attracting the qualified public to increase the average parking ticket for off-street parking and makes intensive use of proprietary technology ranging from parking sensors that automatically detect vehicles to payment methods such as internet credit purchase, mobile applications and pre-paid tags for on-street parking enabling enterprises and individuals get access to efficient parking services.</t>
  </si>
  <si>
    <t>Crédit Agricole Assurances, Indigo Group (Consumer Services), MEAG - A Munich Re company</t>
  </si>
  <si>
    <t>218607-85T</t>
  </si>
  <si>
    <t>Ottimizza</t>
  </si>
  <si>
    <t>Operator of an accounting integration platform designed to increase productivity using technology. The company offers an accounting Integration alternative that eliminates the typing of financial entries, reducing the total time for accounting closing, enabling accounting companies to turn days of typing into minutes and increasing productivity.</t>
  </si>
  <si>
    <t>202401-55T</t>
  </si>
  <si>
    <t>G2A Investment Partners</t>
  </si>
  <si>
    <t>205482-52T</t>
  </si>
  <si>
    <t>Azos</t>
  </si>
  <si>
    <t>Developer of an online insurance platform intended to simplify the sale of life insurance. The company's platform offers products that cover coronavirus disease with a month grace period and all other types of natural and accidental death without a grace period, without late fees, and for one fair price, enabling customers to plan for their financial future.</t>
  </si>
  <si>
    <t>Marcus Buaiz(Marcus Buaiz), Thiaguinho Thiaguinho(Thiaguinho Thiaguinho)</t>
  </si>
  <si>
    <t>199168-93T</t>
  </si>
  <si>
    <t>Linedata</t>
  </si>
  <si>
    <t>Developer an operational efficiency system designed for the improvement of procedures for public sanitation and the private sector. The company's system provides management of the operation, maintenance, and planning of the evolution of water and sewage networks with updated and real-time information, enabling businesses to improve procedures and efficiency in the execution of services.</t>
  </si>
  <si>
    <t>197002-36T</t>
  </si>
  <si>
    <t>Endeavor Promessas, General Atlantic, Goldman Sachs Asset Management, Goldman Sachs Growth Equity, Igah Ventures(Thiago Maluf)</t>
  </si>
  <si>
    <t>196992-10T</t>
  </si>
  <si>
    <t>SetYou</t>
  </si>
  <si>
    <t>Developer of a personal health care platform designed to help make life healthy. The company's platform delivers personalized vitamins, supplements and phototherapeutics with professional support like personal care consultancy, enabling customers to get their needed supplements and suggestions.</t>
  </si>
  <si>
    <t>Bossa Invest, DOMO.VC, IKJ Capital, Plataforma Capital, The Next Company</t>
  </si>
  <si>
    <t>223855-03T</t>
  </si>
  <si>
    <t>Exes Fundo De Investimento (BVMF: EXES11)</t>
  </si>
  <si>
    <t>Exes Fundo De Investimento Imobiliario is a real estate investment trust. The company invests in real estates.</t>
  </si>
  <si>
    <t>211778-38T</t>
  </si>
  <si>
    <t>TW Telecom (Internet Service Providers)</t>
  </si>
  <si>
    <t>Provider of broadband internet and data transmission services intended to serve the residential as well as the corporate sector. The company offers a wide range of optic fiber internet plans including limited and unlimited plans as well as offers branch integration and custom firewall services, thereby helping its clients by providing a special service through the subscriber Center, where they can check messages from the provider and consult their payment history.</t>
  </si>
  <si>
    <t>Amigo Internet</t>
  </si>
  <si>
    <t>254569-60T</t>
  </si>
  <si>
    <t>AMM Tecnologia</t>
  </si>
  <si>
    <t>Provider of technology consulting services based in Maringá, Brazil. The company offers governance, risk and compliance, cloud-managed services, security services, application platforms and application and infrastructure transformation services, thereby helping clients improve performance and optimize results.</t>
  </si>
  <si>
    <t>AMM/DifferenTI(Bruno Almeida)</t>
  </si>
  <si>
    <t>196810-57T</t>
  </si>
  <si>
    <t>Beplix</t>
  </si>
  <si>
    <t>Developer of financial software intended to pay bills with cryptocurrencies. The company's application facilitates payments of tickets and bills through Pix using cryptocurrencies without the brokerage, enabling users to allow cryptocurrency trading directly from the app.</t>
  </si>
  <si>
    <t>Abdalla João, Marinho Vinicius</t>
  </si>
  <si>
    <t>196869-43T</t>
  </si>
  <si>
    <t>Conví Foods</t>
  </si>
  <si>
    <t>Producer of plant-based burgers and nuggets intended to offer healthy foods.The company's brand produces soy-free plant-based foods with added protein that absorb the nutrients from the food that support the immune system and reduce inflammation, enabling customers to enjoy healthy and delicious meals that are vegan-friendly.</t>
  </si>
  <si>
    <t>Veg Capital</t>
  </si>
  <si>
    <t>209214-46T</t>
  </si>
  <si>
    <t>eCGlobal</t>
  </si>
  <si>
    <t>Developer of cloud-based technology intended to provide an intelligent connection between people, brands and organizations. The company provides digital marketing, branding, designing, e-commerce and advertising services.</t>
  </si>
  <si>
    <t>199759-24T</t>
  </si>
  <si>
    <t>196829-92T</t>
  </si>
  <si>
    <t>Guanhães Energia</t>
  </si>
  <si>
    <t>Operator of a hydroelectric power plant intended to provide energy generation services in Ipatinga, Brazil. The company's hydroelectric power plant includes small hydroelectric power bases with an installed capacity of 44 MW serving the electricity needs of the state of Minas Gerais.</t>
  </si>
  <si>
    <t>Brasal Energia</t>
  </si>
  <si>
    <t>196611-22T</t>
  </si>
  <si>
    <t>Instaviagem</t>
  </si>
  <si>
    <t>Operator of an online travel agency intended to redefine the Brazilian travel market. The company offers personalized travel options including surprise travel, honeymoon and New Year's Eve based on individual interests and preferences, enabling travelers to make an informed decision and have a good travel experience.</t>
  </si>
  <si>
    <t>250709-77T</t>
  </si>
  <si>
    <t>209080-45T</t>
  </si>
  <si>
    <t>Traders DTVM</t>
  </si>
  <si>
    <t>Distributors of bonds and securities based in São Paulo, Brazil. The company provides financial advisory, quotations currency, spot exchange and foreign trade advice thereby helping clients in the financial market.</t>
  </si>
  <si>
    <t>TC (BVMF: TRAD3)(Pedro Machado)</t>
  </si>
  <si>
    <t>196708-87T</t>
  </si>
  <si>
    <t>Alpop</t>
  </si>
  <si>
    <t>Developer of a guaranteed rent platform designed to streamline property leasing for real estate agencies and property owners. The company offers automated tenant assessment, eviction management, and rent protection, enabling real estate agencies to expand their reach and property owners to receive rent on time, every month.</t>
  </si>
  <si>
    <t>caju capital social, K-Pool, Lello Condominios Ltda., Lucas Vargas(Lucas Vargas), Smart Money Ventures(Fábio Póvoa)</t>
  </si>
  <si>
    <t>199773-28T</t>
  </si>
  <si>
    <t>Apipass Tecnologia</t>
  </si>
  <si>
    <t>Developer of an integration platform designed to accelerate the journey and results of organizations' digital transformation. The company's platform specializes in data integration and automation solutions with enterprise resource planning (ERP), sales and marketing, enabling clients to manage application program interfaces (APIs) and automate complex processes on a single platform.</t>
  </si>
  <si>
    <t>nstech Ventures</t>
  </si>
  <si>
    <t>193661-29T</t>
  </si>
  <si>
    <t>EasyCrédito</t>
  </si>
  <si>
    <t>Developer of an online financial platform designed for people to get banking services digitally. The company's software offers loans, refinancing, debit card and credit card facility, thereby enabling individuals to get money for purchasing assets and reducing costs and speeding up the process, all securely as per their financial proposals according to their profile.</t>
  </si>
  <si>
    <t>Fitbank(Otavio Farah), J.P. Morgan</t>
  </si>
  <si>
    <t>199623-52T</t>
  </si>
  <si>
    <t>Kinea Creditas Fundo De (BVMF: KCRE11)</t>
  </si>
  <si>
    <t>Kinea Creditas Fundo De Investimento Imobiliario - Fii operates as a Real Estate Investment Fund. The purpose of the Fund is to invest in real estate projects as provided for in the CVM Instruction 472, preponderantly Fund's equity - through the acquisition of CRI; FII shares; Debentures; shares of FIDC; LIG.</t>
  </si>
  <si>
    <t>196785-91T</t>
  </si>
  <si>
    <t>Actyus, Figueira Ventures, Kaszek, Kevin Efrusy(Kevin Efrusy), Lowercarbon Capital, Norte Ventures, Sergio Furio(Sergio Furio), Spectra Investments</t>
  </si>
  <si>
    <t>196650-82T</t>
  </si>
  <si>
    <t>Acura Technologies</t>
  </si>
  <si>
    <t>Manufacturer and reseller of radio frequency identification hardware products catering to retail, mining, logistics, transportation and industrial sectors. The company utilizes radio frequency identification technology to offer RFID antenna, proximity card, printer, tags, module and bracelet products as well as education services, thereby providing agility in the tracking of production and industrial processes.</t>
  </si>
  <si>
    <t>HID Global(Björn Lidefelt)</t>
  </si>
  <si>
    <t>203717-44T</t>
  </si>
  <si>
    <t>Prepona</t>
  </si>
  <si>
    <t>Developer of an e-assessment platform designed to deliver a variety of secure tests in any language regardless of the bandwidth. The company's platform provides professional certification programs, quality testing, assessment programs, a trouble-free enrollment process, and test booking, enabling candidates to build their own question banks and validate their tests quickly.</t>
  </si>
  <si>
    <t>Pearson Vue</t>
  </si>
  <si>
    <t>196491-61T</t>
  </si>
  <si>
    <t>Samarco Mineracao</t>
  </si>
  <si>
    <t>Manufacturer of iron pellets intended to optimize the transformation of mineral resources into value for society. The company's pellets are made of ultrafine iron ore obtained through a beneficiation process, enabling the steel industry to feed the blast furnaces of steel plants.</t>
  </si>
  <si>
    <t>186901-30T</t>
  </si>
  <si>
    <t>ContourGlobal (Brazil Hydro Business)</t>
  </si>
  <si>
    <t>Operator of hydropower plants based in Brazil. The business unit comprises run-of-river hydroelectric generating facilities operating under long-term contracts.</t>
  </si>
  <si>
    <t>220061-17T</t>
  </si>
  <si>
    <t>Essia</t>
  </si>
  <si>
    <t>Developer of an educational platform designed to enhance the learning experience with digital material. The company offers flexible customization, new forms of interaction, detailed performance analysis, and seamless integration with Google Classroom, enabling schools to offer a complete and personalized learning experience.</t>
  </si>
  <si>
    <t>100 Open Startups, Faber-Castell(Bruna Tedesco)</t>
  </si>
  <si>
    <t>215745-31T</t>
  </si>
  <si>
    <t>196419-70T</t>
  </si>
  <si>
    <t>K10 (Financial Software)</t>
  </si>
  <si>
    <t>Developer of an online platform designed to offer a stock exchange interface for football players. The company's platform provides player tokens that can be used to benefit the players with the income of their market value and thus monetizes the Brazilian passion for football, enabling players to capture some of the value of their transfers and earn extra income.</t>
  </si>
  <si>
    <t>Bichara Abidao(Bichara Abidao), George Pangl(George Pangl), Hugo Mathecowitsch(Hugo Mathecowitsch), Paulo Ganso(Paulo Ganso), Stephane Lopes(Stephane Lopes)</t>
  </si>
  <si>
    <t>210275-92T</t>
  </si>
  <si>
    <t>Kokpyt</t>
  </si>
  <si>
    <t>Provider of brokerage service based in Belo Horizonte, Brazil. The company's services are offered through an online platform that allows users to compare investment funds, trade securities and invest in the market.</t>
  </si>
  <si>
    <t>196227-19T</t>
  </si>
  <si>
    <t>Accion, Alessio Alionço, Caravela Capital, Norte Ventures, Quona Capital, Tiago Dalvi(Tiago Dalvi)</t>
  </si>
  <si>
    <t>196237-00T</t>
  </si>
  <si>
    <t>Guiavet</t>
  </si>
  <si>
    <t>Operator of veterinary services intended to help pet owners monitor the health of their animals. The company's platform offers to ask questions to veterinarians and has a history of data that allows estimating when the pet will need medicines, vaccines, and other products, enabling pet owners to manage animal wellness efficiently.</t>
  </si>
  <si>
    <t>Astella Investimentos(Edson Rigonatti), Carlos Gonçalves(Carlos Gonçalves), Claudio Gandelman(Claudio Gandelman), Luiz Tângari(Luiz Tângari)</t>
  </si>
  <si>
    <t>214644-16T</t>
  </si>
  <si>
    <t>196225-21T</t>
  </si>
  <si>
    <t>Petroreconcavo SA is engaged in the operations and production of mature oil and natural gas fields and its by-products in Brazil. The company specializes in the development and rejuvenation of mature and marginal fields in onshore basins and is the operator in all of its fields.</t>
  </si>
  <si>
    <t>275792-50T</t>
  </si>
  <si>
    <t>AgroGalaxy</t>
  </si>
  <si>
    <t>226768-60T</t>
  </si>
  <si>
    <t>Sticky NFT Marketplace</t>
  </si>
  <si>
    <t>Developer of a blockchain-based non-fungible tokens (NFT) marketplace designed for easy, fun, and accessible NFT trading. The company's platform offers a variety of features that make NFT trading easy and enjoyable, including a simple user interface with no need for a crypto wallet, and a wide array of NFTs available, enabling creators, collectors, and gamers to easily buy, sell, and trade NFTs in a secure and transparent marketplace.</t>
  </si>
  <si>
    <t>201606-58T</t>
  </si>
  <si>
    <t>Miggos</t>
  </si>
  <si>
    <t>Developer of a digital wholesale platform intended to help small and medium-sized retailers. The company's platform provides just-in-time inventory and helps to access a large assortment of goods from the best suppliers and inventory financing, enabling retailers to access wholesale merchandise and manage their relations easily.</t>
  </si>
  <si>
    <t>Singularity Capital</t>
  </si>
  <si>
    <t>196110-28T</t>
  </si>
  <si>
    <t>Plugg.To</t>
  </si>
  <si>
    <t>Operator of an online integration platform intended to connect e-commerce businesses with marketplaces and suppliers. The company's platform provides real-time data in sales management, product registration, calculation of freight and order management, enabling shopkeepers and online retailers to get fast, intelligent integrations between virtual store platforms, enterprise resource planning, vendors and marketplaces.</t>
  </si>
  <si>
    <t>Linx (Business/Productivity Software)</t>
  </si>
  <si>
    <t>206823-70T</t>
  </si>
  <si>
    <t>Startup Brewing</t>
  </si>
  <si>
    <t>Provider of brewing services intended to support craft breweries and beverage brands in Brazil. The company collaborates with various creative breweries to produce a wide range of beer styles and offers contract brewing services, enabling brands to expand their product offerings and reach new markets</t>
  </si>
  <si>
    <t>Companhia Brasileira de Cerveja Artesanal</t>
  </si>
  <si>
    <t>196157-62T</t>
  </si>
  <si>
    <t>Veroo Cafés</t>
  </si>
  <si>
    <t>Operator of a fair trade platform intended to connect producers and people who value and want to consume special products. The company's platform offers specialty coffees and other food and beverage products without any intermediaries with traceability and fair price throughout the chain, enabling consumers to enjoy fresh roast coffee.</t>
  </si>
  <si>
    <t>196092-82T</t>
  </si>
  <si>
    <t>Auster technologia</t>
  </si>
  <si>
    <t>Developer of agricultural technology tools designed to improve farming techniques. The company combines remote sensing technologies with the information producers have from their crops to generate smart input prescriptions and to recognize the ideal dose for each region of the field, enabling farmers to use technologies for greater farming yield and productivity for various crops.</t>
  </si>
  <si>
    <t>196068-52T</t>
  </si>
  <si>
    <t>Grupo Services</t>
  </si>
  <si>
    <t>Provider of customer experience management services based in Curitiba, Brazil. The company offers customer service retention and related services, through a self-service portal, text bot and voice bot as well as direct human interaction, enabling brand development and growth for companies.</t>
  </si>
  <si>
    <t>Groupe Bruxelles Lambert (BRU: GBLB), Webhelp(Olivier Duha)</t>
  </si>
  <si>
    <t>196099-03T</t>
  </si>
  <si>
    <t>Juramento</t>
  </si>
  <si>
    <t>378-megawatt wind power project located in Minas Gerais, Brazil. The project is composed of 63 wind turbines and generates 1,650-gigawatt-hours (GWh) of power per year.</t>
  </si>
  <si>
    <t>Actis(Michael Harrington), Atlas Renewable Energy(Luis Fernandez-Pita)</t>
  </si>
  <si>
    <t>188712-01T</t>
  </si>
  <si>
    <t>Gemini Energy (Other Energy Services)</t>
  </si>
  <si>
    <t>Operator of electric power transmission company based in Rio de Janeiro, Brazil. The engages in the management of a portfolio of energy transmission lines.</t>
  </si>
  <si>
    <t>ENERGIA S.A.</t>
  </si>
  <si>
    <t>196006-42T</t>
  </si>
  <si>
    <t>Prota Games</t>
  </si>
  <si>
    <t>Developer of crypto games and gaming content designed for the play-to-earn genre. The company's platform offers buying, selling, and trading goods with instant liquidity, allowing players to secure fewer transaction costs and a chance to earn money through console-based casual games.</t>
  </si>
  <si>
    <t>Big Bets, Christian de Cico(Christian de Cico), Class 5 Global, Fersen Lambranho(Fersen Lambranho), Iporanga Ventures(Renato Valente), Israel Salmen(Israel Salmen), koyamaki, Spectra Investments, Volpini Ventures</t>
  </si>
  <si>
    <t>209395-36T</t>
  </si>
  <si>
    <t>Simplicity Esports (Brazilian Operations)</t>
  </si>
  <si>
    <t>Operator of an esports platform based in Brazil.</t>
  </si>
  <si>
    <t>196280-47T</t>
  </si>
  <si>
    <t>V.tal (Acquired)</t>
  </si>
  <si>
    <t>Developer of telecommunication infrastructure based in Rio de Janeiro, Brazil. The company develops interconnecting towers and radio base stations and provides broadband services over a fiber optic network, including installation and maintenance, enabling telecommunication companies to offer broadband services over the fiber-optic networks to customers.</t>
  </si>
  <si>
    <t>BTG Pactual (BVMF: BPAC3), V.tal</t>
  </si>
  <si>
    <t>Connectivity Products</t>
  </si>
  <si>
    <t>200966-41T</t>
  </si>
  <si>
    <t>Casa Trevo Comercial Agrícola</t>
  </si>
  <si>
    <t>Distributor of agricultural inputs in the diffusion of technologies for resellers, cooperatives and cereal producers in the state. The company distributes seeds of corn, soybean, wheat, oat and pasture as well as offers crop protection and products, thereby helping farmers in the cultivation of crops.</t>
  </si>
  <si>
    <t>Lavoro (NAS: LVRO)(Marcelo Abud), Patria Investments (NAS: PAX)(Ricardo Scavazza)</t>
  </si>
  <si>
    <t>195967-00T</t>
  </si>
  <si>
    <t>195958-81T</t>
  </si>
  <si>
    <t>Jasmine Comércio de Produtos</t>
  </si>
  <si>
    <t>Producer of food products focused on wholegrain, organic, gluten-free and zero sugar snacks. The company specializes in healthy and functional food such as cookies, biscuits, cereal, donuts, smoothies and popcorn, thereby providing customers with eatables that are organic, whole grain and free of additives, lactose and trans-fats.</t>
  </si>
  <si>
    <t>M. Dias Branco (BVMF: MDIA3)(Francisco Ivens de Sá Dias Branco Júnior)</t>
  </si>
  <si>
    <t>209482-66T</t>
  </si>
  <si>
    <t>Lilit</t>
  </si>
  <si>
    <t>Manufacturer of intimate products intended to offer self-care and intimate well-being for women. The company specializes in vibrators, created by women to help them prioritize their own pleasure.</t>
  </si>
  <si>
    <t>Feel Cosmeticos(Marina Ratton)</t>
  </si>
  <si>
    <t>195773-50T</t>
  </si>
  <si>
    <t>BR Angels(Orlando Cintra), Cedro Capital</t>
  </si>
  <si>
    <t>195887-26T</t>
  </si>
  <si>
    <t>Minha Torcida</t>
  </si>
  <si>
    <t>Publisher of football news and tournament details based in Santa Cruz do Sul, Brazil. The company gathers information, curiosities and content about the latest news about tournaments and Cartola FC.</t>
  </si>
  <si>
    <t>211594-96T</t>
  </si>
  <si>
    <t>Rede Tendencia</t>
  </si>
  <si>
    <t>Provider of financial solutions intended for the distribution and capture of electronic transactions in a network throughout Brazil. The company's machines offer credit, debit, the anticipation of receivables, pre-authorization and recurring payment options, along with an option to recharge mobiles and purchase multimedia content, enabling clients to increase their profitability and attract more customers</t>
  </si>
  <si>
    <t>195971-32T</t>
  </si>
  <si>
    <t>Citi Ventures, NVA Capital(Marcelo Maisonnave)</t>
  </si>
  <si>
    <t>295498-09T</t>
  </si>
  <si>
    <t>190479-25T</t>
  </si>
  <si>
    <t>Actyus, ICU (Ukraine), Kaszek, Lupa Capital, ONEVC, Piton Capital, Rendimento/ventures, Spectra Investments, VEF (STO: VEFAB)(Alexis Koumoudos)</t>
  </si>
  <si>
    <t>200323-99T</t>
  </si>
  <si>
    <t>209298-16T</t>
  </si>
  <si>
    <t>Keiff Kefir</t>
  </si>
  <si>
    <t>Producer of kefir drinks based in Sao Paulo, Brazil. The company specializes in offering a range of flavors of fermented drinks, thereby helping customers balance the flora and helping to prevent diseases and promote longevity.</t>
  </si>
  <si>
    <t>200926-00T</t>
  </si>
  <si>
    <t>17Sigma, 4M Holding, Andreessen Horowitz, Bernardo Rezende(Bernardo Rezende), Latitud, Monashees(Caio Bolognesi), Norte Ventures, Raio Capital, Spectra Investments</t>
  </si>
  <si>
    <t>202214-71T</t>
  </si>
  <si>
    <t>Ourinvest Real Estate</t>
  </si>
  <si>
    <t>Developer of an integrated platform intended for financial-real estate solutions. The company specializes in managing investment portfolios in residential, commercial, and logistical development projects managing third-party resources, and securitization of receivables.</t>
  </si>
  <si>
    <t>Fator Bank(João Lopes)</t>
  </si>
  <si>
    <t>249375-79T</t>
  </si>
  <si>
    <t>Panati Holding</t>
  </si>
  <si>
    <t>Operator of a solar power generation company intended to serve the energy sector in Sao Paulo, Brazil. The company owns, manages, and develops solar power plants for electricity generation services.</t>
  </si>
  <si>
    <t>State Power Investment</t>
  </si>
  <si>
    <t>193635-91T</t>
  </si>
  <si>
    <t>ViajaNet</t>
  </si>
  <si>
    <t>Operator of an online travel platform intended to offer suitable pricing and a simple search experience. The company's platform provides customers with a wide array of travel options online including flights, hotels, cruises, and vacation packages throughout Brazil and Latin America, enabling travelers to book flights, hotels, cruises, and vacation packages with a click.</t>
  </si>
  <si>
    <t>Decolar(Marcelo Grether)</t>
  </si>
  <si>
    <t>195628-42T</t>
  </si>
  <si>
    <t>Warburg Pincus(Bruno Maimone)</t>
  </si>
  <si>
    <t>169070-23T</t>
  </si>
  <si>
    <t>Grupo Big</t>
  </si>
  <si>
    <t>Operator of a chain of hypermarkets throughout Brazil. The company retails a range of products, both through the Internet as well as physical stores, enabling customers to get the desired quality products at market-leading prices.</t>
  </si>
  <si>
    <t>Abilio dos Santos Diniz(Abilio Dos Santos Diniz), Grupo Carrefour Brasil(Alexandre Bompard)</t>
  </si>
  <si>
    <t>262519-48T</t>
  </si>
  <si>
    <t>Nama</t>
  </si>
  <si>
    <t>Developer of artificial intelligence systems designed to simplify and enhance the consumer experience. The company's systems prototype, document, and build conversational assistants more efficiently and collaboratively, enabling businesses to get customer service reports and support strategy and customer experience improvement.</t>
  </si>
  <si>
    <t>Oxigenio Aceleradora(Mauricio Martinez)</t>
  </si>
  <si>
    <t>214642-72T</t>
  </si>
  <si>
    <t>UniBagozzi</t>
  </si>
  <si>
    <t>Operator of the education university intended to serve students across Curitiba, Brazil. The company offers courses in subjects such as management, engineering, information technology, education, society and the environment.</t>
  </si>
  <si>
    <t>BTG Pactual (BVMF: BPAC3), Gran Tecnologia E Educação(Gabriel Granjeiro)</t>
  </si>
  <si>
    <t>195523-12T</t>
  </si>
  <si>
    <t>195454-36T</t>
  </si>
  <si>
    <t>BJuris</t>
  </si>
  <si>
    <t>Developer of an artificial intelligence platform designed for searching jurisprudence and procedural statistics. The company's platform provides a technological tool that enhances the efficiency and competitiveness of independent legal practitioners, enabling lawyers to gather information from various courts, analyze legal trends, and develop informed legal strategies.</t>
  </si>
  <si>
    <t>195730-75T</t>
  </si>
  <si>
    <t>Byteweb Telecom</t>
  </si>
  <si>
    <t>Provider of telecommunication services Americana, São Paulo. The company uses modern technology to offer services including fiber-optic fixed broadband, fixed voice and pay-TV, helping customers achieve accessibility to the internet and telephone.</t>
  </si>
  <si>
    <t>215290-00T</t>
  </si>
  <si>
    <t>Flockr</t>
  </si>
  <si>
    <t>Developer of pet care management software designed to centralize health tracking, insurance, and social features. The company offers digital health records, expense tracking, appointment sharing, and a pet-focused social network, enabling pet owners to manage wellness routines, reduce care-related stress, and stay connected with a broader pet-loving community through a single mobile platform.</t>
  </si>
  <si>
    <t>270190-27T</t>
  </si>
  <si>
    <t>SisterWave</t>
  </si>
  <si>
    <t>Developer of a membership platform designed to connect women traveling solo with female hosts worldwide. The company's platform offers secure profiles, verified accommodation options and a community forum, enabling women travelers to find safe and affordable homestays.</t>
  </si>
  <si>
    <t>195431-50T</t>
  </si>
  <si>
    <t>4UM Investimentos, B3(Brazil) (BVMF: B3SA3)(Marcos Vanderlei), Honey Island Capital(Leonardo Jianoti), Urca Angels</t>
  </si>
  <si>
    <t>209223-37T</t>
  </si>
  <si>
    <t>195355-72T</t>
  </si>
  <si>
    <t>Gfg Comerrcio Digital</t>
  </si>
  <si>
    <t>Operator of an online fashion retail store intended to offer a range of branded garments and accessories. The company's online store specializes in apparel, shoes, accessories, and beauty products of various brands on one platform, enabling users to get the right price from any device and quick delivery.</t>
  </si>
  <si>
    <t>210278-26T</t>
  </si>
  <si>
    <t>Grupo Inovação</t>
  </si>
  <si>
    <t>Operator of a media service platform intended to provide various programme through their platform. The company offers content for different media platforms, bringing learning and teaching to encourage people's contact with the most diverse handicraft techniques.</t>
  </si>
  <si>
    <t>Center Panos(Ronaldo Cordao)</t>
  </si>
  <si>
    <t>195425-02T</t>
  </si>
  <si>
    <t>Maestro ABM SaaS</t>
  </si>
  <si>
    <t>Operator of a SaaS platform intended to help companies to increase their sales to bigger customers. The company's platform uses Account-Based Marketing (ABM) methodology with personalized touch points, a library of playbooks and templates to build an alignment between Marketing and Sales for each account strategy, enabling businesses to learn the skills and strategies to sell more and reach their true potential.</t>
  </si>
  <si>
    <t>210277-54T</t>
  </si>
  <si>
    <t>NIDO Tecnologia</t>
  </si>
  <si>
    <t>Provider of real estate management software solutions intended to enhance property management processes in Brazil. The company specializes in developing comprehensive tool for real estate management, CRM systems, marketing integration and support for property sales and rentals, thereby offering tailored solutions that streamline operations and increase efficiency for real estate businesses</t>
  </si>
  <si>
    <t>199615-51T</t>
  </si>
  <si>
    <t>WHG Real Estate Fundo De (BVMF: WHGR11)</t>
  </si>
  <si>
    <t>WHG Real Estate Fundo De Investimento Imobiliario - FII is a Real Estate Investment Fund that operates in the Income Development area, in the Others segment. The purpose of the Fund is to earn income and/or capital gains, as well as to provide shareholders with the of its shares through investment and, as the case may be, divestment, in the assets rem in real estate, shares, debentures, subscription bonuses, their coupons, rights, subscription receipts, and split certificates.</t>
  </si>
  <si>
    <t>195267-25T</t>
  </si>
  <si>
    <t>2bCapital, Fátima Marques(Fátima Marques), Henry Salomon(Henry Salomon), Horácio Lafer Piva(Horácio Lafer Piva), Inovabra Ventures, KPTL, Olivier Murguet(Olivier Murguet), Paulo Hegler(Paulo Hegler), Pedro Campos(Pedro Campos), Ronaldo Galvani(Ronaldo Galvani)</t>
  </si>
  <si>
    <t>212627-98T</t>
  </si>
  <si>
    <t>Black Purpurin</t>
  </si>
  <si>
    <t>Operator of a collaborative maker platform intended to offer sustainable materials and handmade products. The company's platform highlights the modern woman's style through personalized and original bags and accessories, enabling customers to get handmade products.</t>
  </si>
  <si>
    <t>Startups Showcase</t>
  </si>
  <si>
    <t>215622-37T</t>
  </si>
  <si>
    <t>Brazil Venture Capital, Juliano Dutra(Juliano Dutra)</t>
  </si>
  <si>
    <t>124748-92T</t>
  </si>
  <si>
    <t>Hallo</t>
  </si>
  <si>
    <t>Developer of an online meetings platform designed to get feedback and information from customers. The company's platform gives access to a complete business platform among account holders to buy and sell products with the transmission, recording, voting, access control, reports, and a complete experience, enabling financial institutions to generate business by innovatively selling their financial products.</t>
  </si>
  <si>
    <t>205980-22T</t>
  </si>
  <si>
    <t>HCC Energia Solar</t>
  </si>
  <si>
    <t>Provider of electrical engineering services intended to serve families, companies, and agribusinesses. The company specializes in electrical projects and the execution of medium and low voltage distribution networks, aerial subdivisions, condominiums, public lighting, irrigation, and industrial enterprises, enabling clients with savings, quality of life, and sustainability.</t>
  </si>
  <si>
    <t>GEF Capital Partners, SMZTO</t>
  </si>
  <si>
    <t>Other Equipment</t>
  </si>
  <si>
    <t>204407-74T</t>
  </si>
  <si>
    <t>James Tip</t>
  </si>
  <si>
    <t>Developer of an artificial intelligence platform designed to assist retailers in reducing disruptions and excess supplies. The company's platform features exclusive classification and analysis of products, consumer behavior analysis, and purchasing and distribution management, enabling retailers to transform their processes with artificial intelligence to optimize their purchases.</t>
  </si>
  <si>
    <t>190296-64T</t>
  </si>
  <si>
    <t>Bossa Invest, EquityRio(Leonardo Pauletti), Goodz Capital</t>
  </si>
  <si>
    <t>254483-92T</t>
  </si>
  <si>
    <t>216047-80T</t>
  </si>
  <si>
    <t>Motiva Motocicletas</t>
  </si>
  <si>
    <t>Manufacturer of three-wheeled electric motorcycles based in Curitiba, Brazil.</t>
  </si>
  <si>
    <t>195248-89T</t>
  </si>
  <si>
    <t>F-Prime Capital, Hetz Ventures(Pavel Livshiz), Kaedan Capital, Vertical Partners</t>
  </si>
  <si>
    <t>185183-20T</t>
  </si>
  <si>
    <t>Applied Equity Partners, Kinderhook Partners, Relay Investments</t>
  </si>
  <si>
    <t>199319-32T</t>
  </si>
  <si>
    <t>Promip (Service division)</t>
  </si>
  <si>
    <t>Provider of biopesticides intended to developing chemical, biological, pheromones and genetically modified organisms. The company produces and distributes biological agricultural pesticides, inputs required in the so-called integrated pest management in agriculture enabling its market share to increase in Brazil</t>
  </si>
  <si>
    <t>Staphyt(Luiz Jose)</t>
  </si>
  <si>
    <t>301239-55T</t>
  </si>
  <si>
    <t>207467-29T</t>
  </si>
  <si>
    <t>Terra Zoo</t>
  </si>
  <si>
    <t>Operator of pet food and accessories retail stores across São Luís, Brazil. The company offers a wide range of products, including foods, antiallergic medicines, vitamins and supplements, scratchers, toys, gloves and masks, as well as fishing accessories and gardening products.</t>
  </si>
  <si>
    <t>197030-17T</t>
  </si>
  <si>
    <t>Vivala</t>
  </si>
  <si>
    <t>Provider of sustainable tourism services intended to empower local communities while discovering destinations. The company promotes authentic experiences that include moments of volunteer work at the destination, guided by authorial methodology, and seeks medium and long-term socio-economic development and including itineraries that are built together with community members, enabling tourists to enjoy communities developed with a sustainable vision, socially fair, economically viable, and environmentally responsible.</t>
  </si>
  <si>
    <t>HBS Alumni Angels of Brazil</t>
  </si>
  <si>
    <t>220219-30T</t>
  </si>
  <si>
    <t>YOURH</t>
  </si>
  <si>
    <t>Developer of people management software designed to improve employees' experience. The company's software offers corporate university, performance assessment, and recruitment and selection in a single place, providing companies with indicated training and qualification courses to align the employee with the vacancy of interest.</t>
  </si>
  <si>
    <t>195062-77T</t>
  </si>
  <si>
    <t>Fácil Consulta</t>
  </si>
  <si>
    <t>Operator of an online doctor consultation platform designed to schedule appointments with doctors. The company's platform allows users to filter the desired medical specialty and access the scheduling calendar for each professional based on a general assessment of the doctor, his consultation fees, payment methods, and location, enabling users to take good care of themselves and their family members through online consulting.</t>
  </si>
  <si>
    <t>194724-46T</t>
  </si>
  <si>
    <t>Sompo Saúde Seguros</t>
  </si>
  <si>
    <t>Provider of insurance service intended to serve clients and brokers. The company offers property and casualty, life and personal accident insurances, corporate insurance and health insurance to customers, thereby enabling customers to ensure personalized and professional needs are achieved.</t>
  </si>
  <si>
    <t>SulAmérica</t>
  </si>
  <si>
    <t>201771-01T</t>
  </si>
  <si>
    <t>Tirreno Indústria e Comércio de Produtos Químicos</t>
  </si>
  <si>
    <t>Manufacturer of industrial chemicals intended to offer automotive and industrial lubricants. The company offers a wide range of products including anti-corrosive fluids, soluble cutting fluids, protective wax, stamping and forming, brake fluids, demineralized water, and decarbonizing additives.</t>
  </si>
  <si>
    <t>195890-59T</t>
  </si>
  <si>
    <t>Wingg</t>
  </si>
  <si>
    <t>Developer of software intended to harness the potential of companies' sales staff. The company develops personalized virtual assistant software, thereby leveraging the team's performance through data, machine learning and people science.</t>
  </si>
  <si>
    <t>Boston Consulting Group(Sylvain Duranton)</t>
  </si>
  <si>
    <t>195041-44T</t>
  </si>
  <si>
    <t>6Place</t>
  </si>
  <si>
    <t>Developer of a digital food supply platform designed to facilitate the day-to-day business of retail chains, distributors, and industries. The company's platform facilitates receiving orders through connected inventory, managing customer payments, automated issuance of invoices, and monitoring deliveries, enabling businesses to streamline their operations and increase their sales.</t>
  </si>
  <si>
    <t>Bertha Capital(Ravi Gama), ScalexOpen</t>
  </si>
  <si>
    <t>195029-29T</t>
  </si>
  <si>
    <t>Afluent Geração de Energia Elétrica</t>
  </si>
  <si>
    <t>Producer of electric energy generation based in Rio de Janeiro, Brazil. The company offers research, planning, projection, construction, operation, maintenance and exploration services for electricity generation grid, lines, sub-stations, and control centres.</t>
  </si>
  <si>
    <t>247221-55T</t>
  </si>
  <si>
    <t>195012-01T</t>
  </si>
  <si>
    <t>191282-23T</t>
  </si>
  <si>
    <t>CRM Educacional</t>
  </si>
  <si>
    <t>Operator of a customer relationship management platform intended to increase enrollment and permanence of students from institutions of basic and higher education. The company's platform offers prediction algorithms, leads, and marketing acquisition tools to attract students, and manage and automate the recruitment process, enabling educational institutes to gain increased assertiveness in converting leads into enrollments and controlling student dropouts.</t>
  </si>
  <si>
    <t>210106-99T</t>
  </si>
  <si>
    <t>Hamsi Empreendimentos</t>
  </si>
  <si>
    <t>Operator of a car dealership services intended to offer products related to transport and related areas. The company offers the sale of new and used vehicles, personalized service, 24-hour assistance, car rental and maintenance, thereby helping clients with the repair and resale of cars at bargainable rates.</t>
  </si>
  <si>
    <t>191280-97T</t>
  </si>
  <si>
    <t>247225-78T</t>
  </si>
  <si>
    <t>IDid (Business/Productivity Software)</t>
  </si>
  <si>
    <t>Developer of an online transaction platform designed for gift cards. The company eliminates the need to store and traffic card information on the e-commerce platform, enabling clients to avoid the exposure of sensitive data and fraud risks.</t>
  </si>
  <si>
    <t>194253-40T</t>
  </si>
  <si>
    <t>MOVA</t>
  </si>
  <si>
    <t>Developer of an online credit lending technology designed to eliminate bank intermediation and reduce interest. The company's platform provides investors with direct access to the finance, transparently and securely, this approach cuts the costs of the bank spread, bringing gains to both ends, thus creating profitable investment options and lower interest financing along with providing investment customization and balance tracking, enabling investors to diversify their portfolio and seek return on their investments.</t>
  </si>
  <si>
    <t>Experian (LON: EXPN)(Rick Gallagher)</t>
  </si>
  <si>
    <t>247226-05T</t>
  </si>
  <si>
    <t>195029-83T</t>
  </si>
  <si>
    <t>Tecblu TecelAGem Blumenau</t>
  </si>
  <si>
    <t>Tecblu TecelAGem Blumenau SA is engaged in manufacturing and marketing of textile products, mainly towels for face, bath and kitchen.</t>
  </si>
  <si>
    <t>Other Apparel</t>
  </si>
  <si>
    <t>215587-63T</t>
  </si>
  <si>
    <t>Zabit PLD</t>
  </si>
  <si>
    <t>Developer of a money laundering prevention platform intended to help monitor the compliance team with a competitive edge. The company offers productivity, work with the preferred cloud, scalability, and adaptable workflow, enabling users to have a broad view of alerts, with various information about the alerted rule.</t>
  </si>
  <si>
    <t>196496-83T</t>
  </si>
  <si>
    <t>232926-85T</t>
  </si>
  <si>
    <t>Global Founders Capital, Latitud</t>
  </si>
  <si>
    <t>193847-86T</t>
  </si>
  <si>
    <t>Coats Group (Brazil and Argentina Business)</t>
  </si>
  <si>
    <t>Manufacturer of threads and yarns based in Argentina and Brazil. The company produces zips, trims, composites and fabrics along with software services to the apparel and footwear industries, thereby serving textile-based industry markets for attractive and growing end markets.</t>
  </si>
  <si>
    <t>Reelpar</t>
  </si>
  <si>
    <t>194849-92T</t>
  </si>
  <si>
    <t>OlaClick</t>
  </si>
  <si>
    <t>Operator of a web-based digital menu application designed to simplify food orders. The company's platform aims to make the job of mass-market restaurants easy by creating a digital menu and sending it over to the customers free of cost, enabling restaurants to increase their online orders and reach more customers.</t>
  </si>
  <si>
    <t>Alphabet (NAS: GOOGL), Caffeinated Capital, Dart Capital and Co., Delivery Hero (ETR: DHER), Delivery Hero Ventures, First Check Ventures, Goodwater Capital, Gradient Ventures(Zachary Bratun-Glennon), Graph Ventures, GuruDev Capital, LoftyInc Capital Management, Meta (AI)(Sunita Parasuraman), Position Ventures, QAPU Ventures(Augusto Caceres), Tribe Capital, Y Combinator</t>
  </si>
  <si>
    <t>219132-73T</t>
  </si>
  <si>
    <t>CSD Central de Serviços de Registro e Depósito aos Mercados Financeiro e de Capitais</t>
  </si>
  <si>
    <t>Provider of registrar services of financial assets based in Sao Paulo, Brazil. The company provides services for assets, derivatives, securities and insurance policies along with its own platform which is capable of registering, controlling positions and calculating the values of investments and also formalizing the post-trade process of financial operations, in a simple and digital way.</t>
  </si>
  <si>
    <t>BTG Pactual (BVMF: BPAC3), Cboe Global Markets (BATS: CBOE), Santander (Finance Sector)</t>
  </si>
  <si>
    <t>194441-41T</t>
  </si>
  <si>
    <t>Data Guide</t>
  </si>
  <si>
    <t>Operator of a data protection platform intended to protect organization compliance. The company's platform specializes in providing privacy laws, regulations, and standards to establish greater governance of personal data, enabling companies to implement good practices and ensuring that its processes continue to protect the privacy of stakeholders.</t>
  </si>
  <si>
    <t>213521-50T</t>
  </si>
  <si>
    <t>Devant Properties Fundo (BVMF: DPRO11)</t>
  </si>
  <si>
    <t>Devant Properties Fundo De Investimento Imobiliario is a real estate investment fund company. The company earns income and capital gains from investments in financial assets.</t>
  </si>
  <si>
    <t>194967-64T</t>
  </si>
  <si>
    <t>Kria</t>
  </si>
  <si>
    <t>Operator of an online equity crowdfunding platform intended to offer direct equity investments. The company's platform lets users invest in startups and helps business owners raise funds through alternative avenues, enabling entrepreneurs to directly connect with people who want to invest in innovative projects and helping business managers raise funds in a convenient and hassle-free manner.</t>
  </si>
  <si>
    <t>Vórtx Distribuidora de Títulos e Valores Mobiliários(Juliano Cornacchia)</t>
  </si>
  <si>
    <t>212284-09T</t>
  </si>
  <si>
    <t>Miarelli</t>
  </si>
  <si>
    <t>Operator of a franchise group intended to offer retail services.</t>
  </si>
  <si>
    <t>Corporeos Servicos Terapeuticos</t>
  </si>
  <si>
    <t>207564-13T</t>
  </si>
  <si>
    <t>Propz Tecnologia Da Informacao</t>
  </si>
  <si>
    <t>Provider of big data analytics services based in Sao Paulo, Brazil. The company provides analytical intelligence, CRM, and big data to analyze the performance of shopping baskets and improve retailers' direct relationship with consumers with precise targeting and multichannel communication. Thus, gaining retail intelligence to define offers, campaigns, and related actions to help retailers sustainably increase their sales and profits.</t>
  </si>
  <si>
    <t>Eldorado Administracao E Participacoes Imobiliarias</t>
  </si>
  <si>
    <t>195532-93T</t>
  </si>
  <si>
    <t>Everflow (Business/Productivity Software)</t>
  </si>
  <si>
    <t>Developer of process mining and machine learning platform catering to finance insurance and telecommunication sectors. The company's platform allows real-life process analysis, identifying bottlenecks, reworks and other inefficiencies, thereby enabling clients to analyze and improve business and technical processes.</t>
  </si>
  <si>
    <t>Pegasystems (NAS: PEGA)(Alan Trefler)</t>
  </si>
  <si>
    <t>232948-36T</t>
  </si>
  <si>
    <t>Linkana</t>
  </si>
  <si>
    <t>Developer of compliance-driven procurement software designed to automate the registration, approval, and qualification processes. The company's software utilizes machine learning tools to automate public document emissions and perform compliance analysis, receive all required documentation from suppliers in a customized portal, and integrate risk management routines updated in a single place, enabling companies to mitigate corporate risks.</t>
  </si>
  <si>
    <t>194618-71T</t>
  </si>
  <si>
    <t>Sompo Seguros (Retail Insurance Business)</t>
  </si>
  <si>
    <t>Provider of insurance services in São Paulo, Brazil. The business division provides insurance services including motor , car, Casualty, Life and Personal accidents insurance.</t>
  </si>
  <si>
    <t>HDI Global(Wilm Langenbach)</t>
  </si>
  <si>
    <t>194527-99T</t>
  </si>
  <si>
    <t>Americo Filho(Americo Filho), Bossa Invest, Citrino Ventures, Dalton Swain(Dalton Swain), DOMO.VC, Yves Nogueira(Yves Nogueira)</t>
  </si>
  <si>
    <t>194583-52T</t>
  </si>
  <si>
    <t>Puravida</t>
  </si>
  <si>
    <t>Producer of nutrient-dense clean-label products based in Sao Paulo, Brazil. The company offers vitamins and nutrients, proteins, functional and plant-based foods and body care, thereby helping to propel a shift toward healthy diets, with positive implications for sustainability and global food security.</t>
  </si>
  <si>
    <t>Nestlé Health Science</t>
  </si>
  <si>
    <t>209987-11T</t>
  </si>
  <si>
    <t>Livo Eyewear</t>
  </si>
  <si>
    <t>Developer of an online optical marketplace designed for various ranges of eyewear. The company's line of products includes a wide range of Sunglasses, eyeglasses, contact lenses, prescription eyewear, and accessories, providing customers with handmade eyewear products.</t>
  </si>
  <si>
    <t>Lentesplus(Jaime Oriol Miranda)</t>
  </si>
  <si>
    <t>195279-76T</t>
  </si>
  <si>
    <t>Bravus Investimentos Agentes Autônomos de Investimentos</t>
  </si>
  <si>
    <t>Provider of investment advisory services based in Londrina, Brazil. The company offers advisory services in the areas of a portfolio of shares, structured operations, public offers and equity and real estate funds to clients.</t>
  </si>
  <si>
    <t>SVN Investimentos(Felipe Bernardes)</t>
  </si>
  <si>
    <t>199281-97T</t>
  </si>
  <si>
    <t>Corrida Perfeita</t>
  </si>
  <si>
    <t>Operator of a multisports platform intended to democratize access to adequate guidance runners achieve more regularity and health in running. The company's platform offers personalized training plans, fitness content, and real-time support from trainers, enabling runners to improve their performance and achieve their goals with comfort away from pain and injuries.</t>
  </si>
  <si>
    <t>216119-89T</t>
  </si>
  <si>
    <t>La Decora</t>
  </si>
  <si>
    <t>Operator of an interior decoration platform intended to improve online project decoration. The company's software employs artificial intelligence technology to provide professional assistance on interior decoration projects, optimizing the visualization of properties, products, and furniture, enabling businesses to benefit from their expertise and increase the product ticket while making the process fast and less expensive.</t>
  </si>
  <si>
    <t>Captal (Brazil), Potato Valley Ventures</t>
  </si>
  <si>
    <t>257462-02T</t>
  </si>
  <si>
    <t>209183-05T</t>
  </si>
  <si>
    <t>Unicesumar</t>
  </si>
  <si>
    <t>Operator of an education and training platform based in Aracaju, Brazil. The company provides a wide range of online higher education courses and lessons, enabling students to avail quality high education services.</t>
  </si>
  <si>
    <t>203823-10T</t>
  </si>
  <si>
    <t>Woliver</t>
  </si>
  <si>
    <t>Developer of a software application catering to the real estate industry. The company offers to digitize the customer journey for renting and buying a property.</t>
  </si>
  <si>
    <t>Captei(Leonardo Gomez)</t>
  </si>
  <si>
    <t>210651-22T</t>
  </si>
  <si>
    <t>Pulpo Tecnologia</t>
  </si>
  <si>
    <t>Developer of a platform intended to help create and optimize the flow of knowledge in companies. The company centralizes all the important knowledge created by groups of people and makes it easy to find, create and learn thus helping everyone to organize themselves efficiently in their work, studies and social life.</t>
  </si>
  <si>
    <t>Co.Aktion</t>
  </si>
  <si>
    <t>194326-66T</t>
  </si>
  <si>
    <t>Profitus Fund(Ricardo Marino)</t>
  </si>
  <si>
    <t>194330-80T</t>
  </si>
  <si>
    <t>194827-15T</t>
  </si>
  <si>
    <t>194275-00T</t>
  </si>
  <si>
    <t>Nitro Química(Marcos Cruz), SP Ventures(Francisco Jardim), The Mosaic Company (NYS: MOS)(Corrine Ricard)</t>
  </si>
  <si>
    <t>226913-23T</t>
  </si>
  <si>
    <t>KarHub</t>
  </si>
  <si>
    <t>Operator of auto parts purchasing platform intended to offer more transparency of the different parts that fit in each vehicle. The company's platform contains a catalog of several spare parts, connects with the suppliers and provides shipping facilities with the use of cutting-edge technology, enabling users to find, buy and receive the right part for their vehicle.</t>
  </si>
  <si>
    <t>Canary (Brazil), Seedstars International Ventures</t>
  </si>
  <si>
    <t>194776-12T</t>
  </si>
  <si>
    <t>Marvin (Financial Software)</t>
  </si>
  <si>
    <t>Provider of a trade credit guarantee technology designed to manage and mitigate credit risk for industries selling to retail. The company's technology uses credit card receivables as collateral for trade credit and reduces friction in the finance journey between retailers and suppliers, increases sales, reduces credit risk, and provides an ideal shopping experience, enabling clients to have a payment method that unlocks credit so that everyone can sell more.</t>
  </si>
  <si>
    <t>Canaan Partners, Canary (Brazil), Carlos Selonke(Carlos Selonke), Doug Scherrer(Doug Scherrer), Israel Salmen(Israel Salmen), Juan Ortega(Juan Ortega), Lucas Amoroso Lima(Lucas Amoroso Lima), Mauá Capital</t>
  </si>
  <si>
    <t>194310-19T</t>
  </si>
  <si>
    <t>Chromo Invest, Diego Libanio(Diego Libanio), Endeavor Promessas, Fernando Meirelles(Fernando Meirelles), Flavia Buchmann(Flavia Buchmann), Gabriel Cherubini(Gabriel Cherubini), Kaszek, Spectra Investments</t>
  </si>
  <si>
    <t>194226-67T</t>
  </si>
  <si>
    <t>Barn Investimentos, Capria Ventures, Rivercrest Global, Solomon Hykes(Solomon Hykes), Spectra Investments, Valor Capital Group</t>
  </si>
  <si>
    <t>193278-52T</t>
  </si>
  <si>
    <t>Rabbot</t>
  </si>
  <si>
    <t>Developer of software as a services platform designed to streamline fleet management and mobile asset management. The company's platform eliminates piles and errors from paper checklists, tracks the status of services in real-time, and notifies customers and suppliers automatically, enabling clients to save, control, and simplify processes, data, and resources through intelligent automation.</t>
  </si>
  <si>
    <t>2bCapital, Airborne Ventures, Endeavor Promessas, Inovabra Ventures, tegUP Ventures</t>
  </si>
  <si>
    <t>194224-78T</t>
  </si>
  <si>
    <t>Ways (Educational and Training Services)</t>
  </si>
  <si>
    <t>Operator of an online educational platform intended to offer creative courses and extracurricular activities for children. The company's platform conducts virtual and live classes to offer creative activities such as artistic gymnastics, theater, Martial arts, Sports Initiation, and others that are usually not found in the school curricula, enabling children to unfold their innate creative power and develop their ability to be stronger in the community.</t>
  </si>
  <si>
    <t>194558-50T</t>
  </si>
  <si>
    <t>ENE Empreendimentos, Grupo Solum</t>
  </si>
  <si>
    <t>233641-54T</t>
  </si>
  <si>
    <t>Interfaces Indústria e Comércio de Cosméticos</t>
  </si>
  <si>
    <t>Provider of cosmetics intended to serve the personal care industry. The company offers skin care, hair care, and makeup enabling its customers to get their required products.</t>
  </si>
  <si>
    <t>Amyris</t>
  </si>
  <si>
    <t>193531-24T</t>
  </si>
  <si>
    <t>Leads2b</t>
  </si>
  <si>
    <t>Developer of a marketing intelligence platform designed to increase sales efficiency. The company's artificial intelligence platform supports an automated prospecting process and provides commercial management, automation, CRM, and post-sales capabilities, enabling companies to generate leads in the B2B market.</t>
  </si>
  <si>
    <t>Crescera Capital, Order VC</t>
  </si>
  <si>
    <t>223234-75T</t>
  </si>
  <si>
    <t>A Mais Soluções Educacional</t>
  </si>
  <si>
    <t>Developer of an education management system designed to support the management of educational institutions of all levels and sizes. The company offers academic management, financial management, and online re-enrollment services to its clients, helping them to be in sync with the institutions' daily academic and administrative activities.</t>
  </si>
  <si>
    <t>194441-95T</t>
  </si>
  <si>
    <t>B2 Inteligência em Cobrança</t>
  </si>
  <si>
    <t>Developer of an online debt collection platform designed for recovering debt into intelligence for business. The company's platform provides periodic reports analyzing the profile of debtors and the evolution of both recovery and default and provides easy communication with debtor clients, enabling debt companies to optimize debt recovery and facilitate the management of delinquency simply and efficiently.</t>
  </si>
  <si>
    <t>Bossa Invest(Fernando Berwanger)</t>
  </si>
  <si>
    <t>224906-50T</t>
  </si>
  <si>
    <t>Leste Riva Equity Preferencial I Fundo De Investimento Imobiliario</t>
  </si>
  <si>
    <t>Leste Riva Equity Preferencial I Fundo De Investimento Imobiliario is a real estate investment trust.</t>
  </si>
  <si>
    <t>194050-99T</t>
  </si>
  <si>
    <t>Nautika</t>
  </si>
  <si>
    <t>Operator of an online retail platform intended to serve the areas of camping, fishing, and adventure. The company offers backpacks, tents, pressure rifles, sleeping bags, accessories, and gas artifacts, thereby enabling customers to get camping and adventure goods in one place.</t>
  </si>
  <si>
    <t>Merama</t>
  </si>
  <si>
    <t>193975-66T</t>
  </si>
  <si>
    <t>275557-33T</t>
  </si>
  <si>
    <t>CDF Assistencia E Suporte Digital</t>
  </si>
  <si>
    <t>Provider of customer care support and consultancy services intended for retailers, telecom, utilities and insurance companies. The company offers business-to-consumer (B2C) and business-to-business-to-consumer (B2B2C) services including technological support, installation, maintenance and assistance, helping with frictionless digital experience to facilitate access to available services, in addition to ensuring the follow-up of the entire consumer journey.</t>
  </si>
  <si>
    <t>210210-40T</t>
  </si>
  <si>
    <t>Estante Mágica</t>
  </si>
  <si>
    <t>Operator of an ed-tech platform intended for students to develop their writing skills. The company's platform through its project provides elementary school students with a chance to write, illustrate and publish their books thus promoting a stimulating and high social impact learning process, enabling students to explore their talents and author their own stories to develop multiple socioemotional skills, such as self-confidence and curiosity.</t>
  </si>
  <si>
    <t>Elie Horn(Elie Horn)</t>
  </si>
  <si>
    <t>160953-13T</t>
  </si>
  <si>
    <t>500 Global</t>
  </si>
  <si>
    <t>194151-70T</t>
  </si>
  <si>
    <t>Saint-Gobain Vidros (Refractories Business in Brazil)</t>
  </si>
  <si>
    <t>Supplier of refractory ceramics intended for the iron and steel industry. The company produces a full range of refractory products including blast furnace lining and repair products, trough and runner products, tap-hole mix, torpedo car solutions and EAF linings, enabling customers to avail refractory solutions.</t>
  </si>
  <si>
    <t>Shinagawa Refractories Company (TKS: 5351)</t>
  </si>
  <si>
    <t>194017-60T</t>
  </si>
  <si>
    <t>Tripsz</t>
  </si>
  <si>
    <t>Developer of a travel technology software designed to connect customers to travel agencies. The company's technology offers a digital account, better payment methods, and excursion-promoting services, enabling tourism agencies to offer a personalized dashboard through its application for managing trips and the chance to anticipate payments and talk to their target audience.</t>
  </si>
  <si>
    <t>218984-95T</t>
  </si>
  <si>
    <t>Habitat Capital Partners</t>
  </si>
  <si>
    <t>Provider of asset management services intended to cater to the real estate market. The company invests in the real estate market and has a different strategy of investment through its fund along with due diligence, monitoring of the target, on-site visits and predictions about future growth, thereby focusing on growth and profit through its investments.</t>
  </si>
  <si>
    <t>XP Vista Asset Management(Bruno Castro)</t>
  </si>
  <si>
    <t>210069-10T</t>
  </si>
  <si>
    <t>DeliRec</t>
  </si>
  <si>
    <t>Operator of a social platform designed to discover food recipes. The company's platform allows users to insert and store their own recipes, with detailed descriptions, photos, and videos, and share their gastronomic creations with anyone on social media and also follow friends and chefs where professional chefs also give some tips, enabling chefs to have fun and learn new dishes, invent recipes and share them.</t>
  </si>
  <si>
    <t>Astella Investimentos</t>
  </si>
  <si>
    <t>193974-22T</t>
  </si>
  <si>
    <t>Dock (Sao Paulo)</t>
  </si>
  <si>
    <t>Developer of a credit card processing platform intended for financial technology, banks and retail enterprises. The company's application programming interface (API)-based banking-as-a-service software manages the operational cycle for issuers and their merchant customers and offers digital banking, risk, compliance and transaction services, thereby accelerating its clients' ability to create digital payment and banking services.</t>
  </si>
  <si>
    <t>Lightrock(Marcos Pereira), Riverwood Capital, Silver Lake(Shawn O'Neill), Spectra Investments, Sunley House Capital Management, Viking Global Investors</t>
  </si>
  <si>
    <t>257296-96T</t>
  </si>
  <si>
    <t>Sanabil 500 MENA Seed Accelerator</t>
  </si>
  <si>
    <t>219586-24T</t>
  </si>
  <si>
    <t>Onidata</t>
  </si>
  <si>
    <t>Developer of credit management software intended for individuals, legal entities, banks and fintech. The company's cloud-based platform and integrated APIs cater to credit analysis, personal loans, contract management, private payroll and associated financial services, enabling access to a multi-financial platform that allows clients to carry out better individual control of the different financial partners.</t>
  </si>
  <si>
    <t>193827-52T</t>
  </si>
  <si>
    <t>Chibagin Capital</t>
  </si>
  <si>
    <t>242451-46T</t>
  </si>
  <si>
    <t>TitaniaTelecom</t>
  </si>
  <si>
    <t>Provider of telecom services catering to internet for companies and homes. The company offers services such as icorporate, fiber office, fibersmall, fiber lite, interconnect plus and interconnect.</t>
  </si>
  <si>
    <t>242398-00T</t>
  </si>
  <si>
    <t>Broto Legal Alimentos</t>
  </si>
  <si>
    <t>Processor of cereals, oilseeds and other products based out of Sao Paulo, Brazil. The company offers rice, beans, tuna, olive oil and grain products, thereby enabling its customers to be provided with a wide variety of quality food products at an affordable price.</t>
  </si>
  <si>
    <t>Urbano Agroindustrial</t>
  </si>
  <si>
    <t>219582-91T</t>
  </si>
  <si>
    <t>CORE Real Estate (Sao Paulo)</t>
  </si>
  <si>
    <t>Provider of real estate investment advisory services intended to manage and generate profits through its investments. The company selects assets that have the potential to generate consistent returns in the most diverse scenarios based on investment philosophy, understanding of real estate cycles, the needs of tenants and urban, social and technological transformations.</t>
  </si>
  <si>
    <t>193832-74T</t>
  </si>
  <si>
    <t>Peak Invest</t>
  </si>
  <si>
    <t>Operator of a digital credit platform intended to connect investors with companies that need loans through the peer-to-peer lending model. The company's platform offers warranty-free, interest-based loan guidance to the enrolled companies, whose profiles are analyzed and completed documentation, enabling companies with short chunks of loan requirements to get the required debt at a minimal interest rate per month.</t>
  </si>
  <si>
    <t>Parallax Ventures</t>
  </si>
  <si>
    <t>193838-41T</t>
  </si>
  <si>
    <t>191115-91T</t>
  </si>
  <si>
    <t>10X Capital, Alexander Torrenegra(Alexander Torrenegra), Alumni Ventures(Catherine Lu), Ana González(Ana González), Andreessen Horowitz, Angela Strange(Angela Strange), Ann Williams(Ann Williams), Bossa Invest, Canary (Brazil), Carlos Martin, Daniel Undurraga, Daniel Vogel(Daniel Vogel), David Vélez(David Vélez), Endeavor Catalyst, Everywhere Ventures, Far Out Ventures, FJ Labs, Ganas Ventures, Iluminar Ventures, Loreanna Garcia(Loreanna Garcia), Matías Woloski(Matías Woloski), Mike Krieger(Mike Krieger), NFX, Norte Ventures, Oriana Fuentes(Oriana Fuentes), Rivercrest Global, Sebastian Mejia(Sebastian Mejia), Sergio Fogel Kaplan(Sergio Fogel Kaplan), Sergio Furio(Sergio Furio), Stelleo Tolda(Stelleo Tolda), Tania Zapata(Tania Zapata), Tanya Filer(Tanya Filer)</t>
  </si>
  <si>
    <t>210671-29T</t>
  </si>
  <si>
    <t>Vale do Paraná</t>
  </si>
  <si>
    <t>Manufacturer of commercialized ethanol made from sugarcane catering to the Brazilian market.</t>
  </si>
  <si>
    <t>Companhia Melhoramentos Norte do Paraná(Gastão Mesquita)</t>
  </si>
  <si>
    <t>Commodity Chemicals</t>
  </si>
  <si>
    <t>219396-97T</t>
  </si>
  <si>
    <t>Escola Eleva</t>
  </si>
  <si>
    <t>Operator of seven premium schools and two early learning schools across Brazil. The company specializes in full-time education for students from Kindergarten to high school</t>
  </si>
  <si>
    <t>GIC Private, Inspired Education Holdings, Man Capital, Oakley Capital Investments (LON: OCI), Stonepeak Partners(Nikolaus Woloszczuk), TA Associates Management, Warburg Pincus</t>
  </si>
  <si>
    <t>209471-05T</t>
  </si>
  <si>
    <t>Giga Atacado</t>
  </si>
  <si>
    <t>Operator of a chain of supermarkets based in São Paulo, Brazil. The company offers a wide range of consumer goods, home care products, and personal care products which include groceries, snacks, frozen products, processed foods, beverages, fruits, and vegetables.</t>
  </si>
  <si>
    <t>Cencosud (SGO: CENCOSUD)(Matias Videla)</t>
  </si>
  <si>
    <t>219629-44T</t>
  </si>
  <si>
    <t>Grou Capital Funds</t>
  </si>
  <si>
    <t>Operator of an asset management firm focused on long-only and long-biased funds. The company specializes in fundamental analysis and stock picking, thereby helping with independent and focused management of variable income assets.</t>
  </si>
  <si>
    <t>ACE Capital</t>
  </si>
  <si>
    <t>210577-60T</t>
  </si>
  <si>
    <t>Kikai Pay</t>
  </si>
  <si>
    <t>Provider of credit operations intended to expand access to these services for a wide range of businesses, reducing all bureaucracy and accelerating their development, in a digital way. The company offers services for marketplaces or startups, in which they carry out all payments, collections and credit analysis for products and services already performed, thereby helping customers with advances on receivables, granting loans, financing, insurance representation and other various credit operations.</t>
  </si>
  <si>
    <t>Contbank(Paulo Castro)</t>
  </si>
  <si>
    <t>193786-21T</t>
  </si>
  <si>
    <t>Gaingels, Iluminar Ventures</t>
  </si>
  <si>
    <t>189679-60T</t>
  </si>
  <si>
    <t>Smartia.</t>
  </si>
  <si>
    <t>Developer of an online insurance platform designed to provide an online insurance quote experience with several insurers. The company's platform uses cutting-edge technology and data to find products and services according to the client's profiles and needs to connect with brokers and insurance companies, enabling consumers to avail of free services that help them save time and money by simulating insurance calculations, without leaving home.</t>
  </si>
  <si>
    <t>500 Global, Astella Investimentos(Laura Constantini), Spectra Investments</t>
  </si>
  <si>
    <t>210358-90T</t>
  </si>
  <si>
    <t>Cenafert</t>
  </si>
  <si>
    <t>Provider of pregnancy care and treatment services based in Salvador, Brazil. The company specializes in surgical procedures, human reproduction, complementary techniques, psychological support and biopsy.</t>
  </si>
  <si>
    <t>Huntington Medicina Reprodutiva(Marcelo Amorim)</t>
  </si>
  <si>
    <t>191010-88T</t>
  </si>
  <si>
    <t>Mercado Bitcoin Serviços Digitais</t>
  </si>
  <si>
    <t>Developer of an online cryptocurrency exchange platform designed to buy and sell multi-category digital assets. The company's platform provides a complete overview of crypto trades, assets, balance and graphs of quotes by period, enabling customers to optimize their investment decision-making.</t>
  </si>
  <si>
    <t>214723-63T</t>
  </si>
  <si>
    <t>Anjos do Brasil(Leandro Fariello)</t>
  </si>
  <si>
    <t>208995-76T</t>
  </si>
  <si>
    <t>FAPERJ, Farma Ventures, WOW Aceleradora de Startups</t>
  </si>
  <si>
    <t>193821-13T</t>
  </si>
  <si>
    <t>VQ Hospital Veterinário</t>
  </si>
  <si>
    <t>Provider of veterinary services intended to unite the passion for pets with excellence in veterinary medicine. The company offers dog castration, surgery, anesthesia, clinic, hospitalization, first aid, radiology and vaccination services, thereby enabling its clients in the entire process, diagnosis, treatment and also in recovery.</t>
  </si>
  <si>
    <t>193446-46T</t>
  </si>
  <si>
    <t>DUX (Publishing)</t>
  </si>
  <si>
    <t>Developer of cryptocurrency-focused social network and information software designed to provide cryptocurrency market news and analysis. The company's software monitors and selects information with accurate market analysis and insights, leveraging the web3 infrastructure through easy connections to web2 applications, enabling investors and cryptocurrency market players to get the current market news to invest in cryptocurrency.</t>
  </si>
  <si>
    <t>Animoca Brands, Bit2Me, Magnus Capital, Old Fashion Research(Gui Bissoli)</t>
  </si>
  <si>
    <t>185485-69T</t>
  </si>
  <si>
    <t>Movidesk</t>
  </si>
  <si>
    <t>Developer of an omnichannel platform intended to foster the growth of a healthy relationship between companies and their customers. The company's platform integrates multiple channels and manages all communication in one place, enabling businesses to develop good customer relations and improve customer service facilities.</t>
  </si>
  <si>
    <t>Zenvia (NAS: ZENV)(Cassio Bobsin)</t>
  </si>
  <si>
    <t>215405-92T</t>
  </si>
  <si>
    <t>Solar Social</t>
  </si>
  <si>
    <t>Operator of a volunteering platform intended to help connect people who want to help through events. The company's platform helps with donation and volunteering services. It offers personalized social and cultural actions, benefits, and social impact cards, enabling the user to assist in making the donation process simple and more transparent through technology.</t>
  </si>
  <si>
    <t>193308-76T</t>
  </si>
  <si>
    <t>B4A</t>
  </si>
  <si>
    <t>Developer of an online beauty-tech platform designed to connect and interact with beauty brands. The company's digital tool connects brands with consumers and influencers through qualified experimentation, all-around exposure, social commerce, and market intelligence to transform contact with the beauty industry through meaningful experiences, enabling digital influencers to develop careers and generate a positive social impact.</t>
  </si>
  <si>
    <t>4Equity, AcNext Capital, Donato Ramos(Donato Ramos), DXA Invest, Eduardo Chalita(Eduardo Chalita), Olivier Grinda(Olivier Grinda), Stephano Gabriel(Stephano Gabriel)</t>
  </si>
  <si>
    <t>193309-66T</t>
  </si>
  <si>
    <t>186200-65T</t>
  </si>
  <si>
    <t>Banco Modal</t>
  </si>
  <si>
    <t>Banco Modal SA is an investment bank with operations in structuring and coordinating major operations in the national market. It advises companies in strategic decision-making moments such as mergers, acquisitions, fundraising, going public, and investment opportunities.</t>
  </si>
  <si>
    <t>XP Investimentos (NAS: XP)(Thiago Maffra)</t>
  </si>
  <si>
    <t>193124-53T</t>
  </si>
  <si>
    <t>PUGA Studios</t>
  </si>
  <si>
    <t>Developer of valuable 3D stylized art intended for the gaming industry. The company focuses on providing quality art and full development outsourcing services, on time, thereby enabling its clients to avail the software for experiencing enhanced definition of digital gaming at competitive costs.</t>
  </si>
  <si>
    <t>Room 8 Group(Sviatoslav Pohrebnoi)</t>
  </si>
  <si>
    <t>292860-73T</t>
  </si>
  <si>
    <t>Vitau Automation</t>
  </si>
  <si>
    <t>Provider of information technology services intended for process optimization. The company offers consulting services on industrial automation and industrial systems development, monitoring and predicting asset failures, enabling industries, commerce, buildings, hospitals and agribusiness integration and optimization of industrial processes.</t>
  </si>
  <si>
    <t>Fundep</t>
  </si>
  <si>
    <t>215657-29T</t>
  </si>
  <si>
    <t>25 Capital</t>
  </si>
  <si>
    <t>Operator of a real estate firm intended to offer alternative investment opportunities. The company's platform provides a network of relationships that includes builders and developers, public housing companies, technical staff from city halls, planning and licensing bodies, financial institutions, and experienced architects and consultants, enabling people to invest in real estate with transparency.</t>
  </si>
  <si>
    <t>Baron VC(Guy Mace)</t>
  </si>
  <si>
    <t>243794-44T</t>
  </si>
  <si>
    <t>224998-75T</t>
  </si>
  <si>
    <t>Assinafy</t>
  </si>
  <si>
    <t>Developer of a digital signature platform designed to offer a secure and convenient way for businesses to sign documents digitally. The company's platform offers a variety of features, like signing documents from anywhere, tracking the status of documents, customizing the documents with the user's company branding and colors, and the ability to integrate with other business systems, enabling businesses to save time and money in analyzing complex documentation and to improve the efficiency of their signing process.</t>
  </si>
  <si>
    <t>242400-16T</t>
  </si>
  <si>
    <t>194150-44T</t>
  </si>
  <si>
    <t>4Equity, Airborne Ventures, Munich Re Ventures, Spectra Investments</t>
  </si>
  <si>
    <t>220861-09T</t>
  </si>
  <si>
    <t>Adam Bain(Adam Bain), David Peixoto(David Peixoto), J Balvin(J Balvin), Luciano Huck(Luciano Huck), Mark Lemann(Mark Lemann), Matthew Derella(Matthew Derella), Mercado Libre Fund, Provence Partners, Valor Capital Group, Willly Wiliam(Willly Wiliam)</t>
  </si>
  <si>
    <t>242026-93T</t>
  </si>
  <si>
    <t>252123-76T</t>
  </si>
  <si>
    <t>CUBi Energia</t>
  </si>
  <si>
    <t>Developer of a monitoring platform designed for energy management. The company's offerings include real-time online monitoring and offer improvement insights to help the commercial and industrial sectors understand and manage their electricity consumption, creating measurable improvement in project results, enabling clients to access relevant information to manage energy efficiently.</t>
  </si>
  <si>
    <t>Copel Volt</t>
  </si>
  <si>
    <t>201681-19T</t>
  </si>
  <si>
    <t>DocSales</t>
  </si>
  <si>
    <t>Operator of a contract automation platform designed to create, send, and e-sign proposals, quotes, and contracts. The company's platform integrates into the existing platform and helps to generate and send personalized quotes and accelerate sales in less time, enabling companies to close more deals with less paperwork.</t>
  </si>
  <si>
    <t>TinySeed</t>
  </si>
  <si>
    <t>193798-72T</t>
  </si>
  <si>
    <t>Energy Connection</t>
  </si>
  <si>
    <t>Developer of a digital connection platform intended to connect people and drive business through innovation. The company offers connection, network, and matchmaking, global connection, enabling the energy industry in energy transition, digital transformation, and business internationalization.</t>
  </si>
  <si>
    <t>194723-38T</t>
  </si>
  <si>
    <t>IDL Ventures</t>
  </si>
  <si>
    <t>194421-25T</t>
  </si>
  <si>
    <t>194460-58T</t>
  </si>
  <si>
    <t>250982-38T</t>
  </si>
  <si>
    <t>Nex Energy (Information Services (B2C))</t>
  </si>
  <si>
    <t>Operator of a renewable energy credit management platform intended to help entrepreneurs reduce their energy bills. The company's platform provides renewable source plants and it provides monthly savings on electricity bills without any investment or work, enabling people to transform energy consumption in their homes and businesses.</t>
  </si>
  <si>
    <t>241346-35T</t>
  </si>
  <si>
    <t>Pátio Roraima Shopping</t>
  </si>
  <si>
    <t>Operator of a shopping center located in Brazil. The company offers movie theaters, shopping malls, a variety of branded clothes and shoes and food cafes.</t>
  </si>
  <si>
    <t>194461-75T</t>
  </si>
  <si>
    <t>Receiv</t>
  </si>
  <si>
    <t>Developer of an intelligent collection and accounts receivable platform designed to automate department activities and streamline financial operations. The company's smart billing platform offers a flexible, customizable, and integrable platform with multiple communication channels, enabling large corporations to reduce defaults, improve customer satisfaction, and increase efficiency in accounts receivable management.</t>
  </si>
  <si>
    <t>210649-24T</t>
  </si>
  <si>
    <t>Shell Brasil Petróleo (Lubricants Business)</t>
  </si>
  <si>
    <t>Distributor of lubricants catering to light and heavy vehicles, trucks, motorbikes and the construction sector. The company provides oil, greases, hydraulic fluids, transmission oil and car engine oils, thereby helping clients to maximize equipment efficiency, extend vehicle life and reduce downtime.</t>
  </si>
  <si>
    <t>188646-76T</t>
  </si>
  <si>
    <t>Smartbrain (Financial Software)</t>
  </si>
  <si>
    <t>Developer of an investment management platform designed to consolidate investment portfolios, perform intelligent analysis, and delight customers. The company's platform offers tools that generate qualified information for complete asset management and wealth generation, helps to control and consolidate investments, enabling professionals to create strategies, risk levels, and configure the assets.</t>
  </si>
  <si>
    <t>2bCapital, Asterisk Partners, Inovabra Ventures</t>
  </si>
  <si>
    <t>258853-24T</t>
  </si>
  <si>
    <t>Spaceflix</t>
  </si>
  <si>
    <t>Operator of an online rental platform intended to offer, furniture and decoration items on a monthly rental basis. The company's platform allows one to rent furnishings for homes and offices, enabling customers to subscribe monthly or yearly.</t>
  </si>
  <si>
    <t>215865-46T</t>
  </si>
  <si>
    <t>Umbu Games</t>
  </si>
  <si>
    <t>Operator of a video game development company intended to provide cross-platform content. The company helps to develop projects on multiple platforms and provides services to third parties related to 3D art, visual effects and programming, enabling users to improve their entertainment and educational games.</t>
  </si>
  <si>
    <t>215859-52T</t>
  </si>
  <si>
    <t>WiFeed</t>
  </si>
  <si>
    <t>Developer of a data intelligence platform designed to enhance marketing and sales for internet service providers and physical establishments. The company's platform offers an intuitive system with automated marketing, client management tools, and easy integration with leading hardware, enabling businesses to increase lead generation, boost sales, and improve customer engagement.</t>
  </si>
  <si>
    <t>210304-09T</t>
  </si>
  <si>
    <t>Autostar Comercial e Importadora</t>
  </si>
  <si>
    <t>Operator of automotive dealership based in Sao Paulo, Brazil. The company offers the sale of used vehicles and new motorbikes, scheduled reviews of cars, after-sales services, the sale of motorbikes and car accessories and request proposals catering to customers with luxury vehicles.</t>
  </si>
  <si>
    <t>193163-95T</t>
  </si>
  <si>
    <t>Be Beleza Tech</t>
  </si>
  <si>
    <t>Developer of a beauty learning app designed to teach makeup and skincare procedures to users. The company's application uses augmented reality technology and facial recognition to teach consumers how to do makeup and beauty and skincare routines in a personalized way and it also offers a personalized e-commerce platform to consumers to beauty brands and retailers who will be able to create virtual storefronts and sell directly through the app, enabling users to learns and buy beauty products easily.</t>
  </si>
  <si>
    <t>189754-93T</t>
  </si>
  <si>
    <t>Renovigi Energia Solar</t>
  </si>
  <si>
    <t>Manufacturer of photovoltaic systems catering to the solar energy market. The company produces photovoltaic generators, solar panels, inverters, connectors and solar cables, thereby distributing quality, reliability and innovation and helping to make the world more sustainable with the sun as inspiration.</t>
  </si>
  <si>
    <t>Intelbras (BVMF: INTB3)(Altair Silvestri)</t>
  </si>
  <si>
    <t>193206-34T</t>
  </si>
  <si>
    <t>193737-07T</t>
  </si>
  <si>
    <t>Lume Robotics</t>
  </si>
  <si>
    <t>Developer of electric technology designed for autonomous vehicle operations. The company's technology specializes in advanced robotic systems, composed of hardware and software that give a vehicle the ability to travel fully autonomously, without the need for a human driver, enabling customers to drive safely and reducing the number of crashes on the road.</t>
  </si>
  <si>
    <t>Fundepar, Mergus Ventures, Vix Logistica</t>
  </si>
  <si>
    <t>193149-73T</t>
  </si>
  <si>
    <t>Orelo</t>
  </si>
  <si>
    <t>Developer of a social media management platform designed to help businesses succeed on social media by simplifying content creation and scheduling. The company's platform offers a suite of tools for managing multiple social media accounts, including planning and scheduling posts, creating engaging content, analyzing performance and collaborating with team members, enabling businesses to save time and streamline their social media presence.</t>
  </si>
  <si>
    <t>193122-91T</t>
  </si>
  <si>
    <t>TownSq</t>
  </si>
  <si>
    <t>Developer of a community management platform designed to connect neighbors, board members and management teams through our user-friendly, proven and collaborative tools. The company's platform connects neighbors and delivers tools and services designed to increase asset value and enhance the community experience, enabling clients to have access to solutions that improve life for people in managed communities.</t>
  </si>
  <si>
    <t>HOAM Ventures(Andrew Brock)</t>
  </si>
  <si>
    <t>216258-67T</t>
  </si>
  <si>
    <t>193111-12T</t>
  </si>
  <si>
    <t>Clavis Seguranca da Informacao</t>
  </si>
  <si>
    <t>Developer of an information security platform intended to specialize in services and training in the area of data protection. The company's platform provides a complete portfolio of a system for security, especially in the areas of vulnerability management, penetration testing, performance testing, software security, oriented data security, and governance, risk, and compliance, enabling clients to access advanced security topics such as intrusion testing, code analysis, forensic computing, and malware analysis.</t>
  </si>
  <si>
    <t>Visagio</t>
  </si>
  <si>
    <t>194442-67T</t>
  </si>
  <si>
    <t>210687-94T</t>
  </si>
  <si>
    <t>edufinance</t>
  </si>
  <si>
    <t>Provider of training and valuation services catering to equity in the financial market. The company offers python courses, business analysis, real estate fund investments and valuations through a subscription base model.</t>
  </si>
  <si>
    <t>Grupo Primo(Thaigo Nigro)</t>
  </si>
  <si>
    <t>194456-71T</t>
  </si>
  <si>
    <t>Fanbase</t>
  </si>
  <si>
    <t>Developer of a fan management platform intended to aggregate fan data from different backgrounds into an ID. The company's platform identifies, centralizes, understands and activates the data from a centralized platform and activates fully customized digital campaigns, enabling sports organizations and their business partners to maximize the relationship with their fans through data management.</t>
  </si>
  <si>
    <t>Bossa Invest, DOMO.VC, SEBRAE RS</t>
  </si>
  <si>
    <t>193614-85T</t>
  </si>
  <si>
    <t>Grupo Viceri</t>
  </si>
  <si>
    <t>Developer of customized software and digital products intended for various types of organizations. The company offers software solutions including portal RDV, beaconforce, and neoway, thereby committed to promoting the digital transformation of businesses.</t>
  </si>
  <si>
    <t>Seidor Brasil(Marcello Thiemann)</t>
  </si>
  <si>
    <t>193047-49T</t>
  </si>
  <si>
    <t>Inventa (Business/Productivity Software)</t>
  </si>
  <si>
    <t>Operator of a business development company intended to help entrepreneurs grow their businesses. The company's platform connects suppliers and retailers to create efficient businesses, simplifies logistics across the entire supply chain, and also provides a credit guarantee for any purchase, enabling retailers to access assistance in finding and buying wholesale merchandise for their stores to scale their profitability.</t>
  </si>
  <si>
    <t>A*, Andreessen Horowitz, Avenir Growth Capital, D'Arcy Coolican(D'Arcy Coolican), Fegik Investimentos, Founders Fund, Greenoaks Capital Partners, Greylock(Michael Duboe), Maya Capital (Brazil), Monashees, NXTP Ventures, ONEVC, Pear (California), Spectra Investments, Tiger Global Management</t>
  </si>
  <si>
    <t>195350-41T</t>
  </si>
  <si>
    <t>ALZA Capital Partners, Ambit Partners, Anacapa Partners, Caatinga Capital(Marcelo Gomes), Partner Ventures, Spectra Investments, WSC &amp; Company</t>
  </si>
  <si>
    <t>209967-13T</t>
  </si>
  <si>
    <t>Paradigma Education</t>
  </si>
  <si>
    <t>Operator of a cryptocurrency platform located in São Paulo, Brazil.</t>
  </si>
  <si>
    <t>Grupo Primo</t>
  </si>
  <si>
    <t>209519-11T</t>
  </si>
  <si>
    <t>TopInvest</t>
  </si>
  <si>
    <t>Developer of an online financial learning platform intended for certified public accountants exams. The company offers cpa-10 anbima course, cpa-20 anbima course, CEA anbima course, anbima CFG course, CGE anbima course, CGA anbima course, AI ancord course and PQO ancord courses.</t>
  </si>
  <si>
    <t>192952-45T</t>
  </si>
  <si>
    <t>Gestta Technology</t>
  </si>
  <si>
    <t>Developer of accounting work automation software based in Sao Paolo, Brazil. The company offers an accounting system to automate workflows, people management, customer service, secure document archiving, performance analysis, resource monitoring and task and process management to clients, thereby providing high precision and performance accounting.</t>
  </si>
  <si>
    <t>Thomson Reuters (TSE: TRI)(Adrian Fognini)</t>
  </si>
  <si>
    <t>210173-77T</t>
  </si>
  <si>
    <t>1Sharpe Ventures, Canary (Brazil)(Marcos Leite), QED Investors</t>
  </si>
  <si>
    <t>192928-42T</t>
  </si>
  <si>
    <t>Mind The Graph</t>
  </si>
  <si>
    <t>Provider of infographics platforms intended for scientific communication. The company platform creates professional and custom designs such as graphical abstracts, figures, presentation designs, cover art, and pharmaceutical infographics, enabling medical doctors and scientists to create professional-looking infographics using pre-assembled templates and illustrations.</t>
  </si>
  <si>
    <t>Cactus(Abhishek Goel)</t>
  </si>
  <si>
    <t>192952-00T</t>
  </si>
  <si>
    <t>Razor Computers</t>
  </si>
  <si>
    <t>Manufacturer of computers created for professionals who work with demanding applications. The company's products include graphic design, photography, video editing, three-dimensional modeling, customized solutions, performance testing, cable management, on-site support with a network of partners, longer warranty period, agile and humanized services, enabling graphic designers and photographers to increase their creativity level by achieving maximum graphics processing in their computer visualization, simulation, and industrial design projects.</t>
  </si>
  <si>
    <t>193157-11T</t>
  </si>
  <si>
    <t>Animoca Brands, Ascensive Asset Management, C Squared Ventures, CitizenX, Formless Capital, Inception Capital (British Virgin Islands), Infinity Ventures Crypto, Jump Crypto, LongHash Ventures, Manifold Capital Partners, Mechanism Capital(Marc Weinstein), Morningstar Ventures, Play Ventures, ROK Capital, Shima Capital, Third Prime, Woodstock Fund</t>
  </si>
  <si>
    <t>192860-38T</t>
  </si>
  <si>
    <t>Decoy</t>
  </si>
  <si>
    <t>Operator of a biotechnology company intended to focus on research and development of technologies for the control of animal pests. The company utilizes biological treatment based on fungi and offers pest control products, enabling farmers to control pests on animals.</t>
  </si>
  <si>
    <t>Farmabase Saude Animal, SP Ventures</t>
  </si>
  <si>
    <t>227085-31T</t>
  </si>
  <si>
    <t>Panvellabs</t>
  </si>
  <si>
    <t>199283-23T</t>
  </si>
  <si>
    <t>Divibank</t>
  </si>
  <si>
    <t>Developer of financial services software designed to facilitate customers' access to products and services offered by accredited financial institutions. The company's mission is to be the go-to partner for companies looking to expand efficiently, offering technology and personalized support in an all-in-one platform. The company's platform integrates multiple payment methods, helping businesses reduce costs, increase transaction approvals, and drive sustainable growth.</t>
  </si>
  <si>
    <t>Allievo Capital, Alter Global, Bossa Invest, DD Venture Capital, Kairos Angels, Kube VC, Partners Edge (USA), Presight Capital, The Fintech Fund</t>
  </si>
  <si>
    <t>193051-81T</t>
  </si>
  <si>
    <t>HiSofi</t>
  </si>
  <si>
    <t>Developer of a debt collection fintech platform designed to facilitate debt negotiation. The company's software learns about the behavior of users and calculates the possible decision-making, letting credit consumers decide how they want to settle their debts, enabling clients to reduce the delinquency of debtors while optimizing the collection process for creditors.</t>
  </si>
  <si>
    <t>CK Investments, Sororité(Flavia Mello)</t>
  </si>
  <si>
    <t>192905-29T</t>
  </si>
  <si>
    <t>194707-27T</t>
  </si>
  <si>
    <t>Moblife</t>
  </si>
  <si>
    <t>Developer of communication software designed to keep communication and collaboration within the company agile, without losing focus on security and information control. The company's platform offers a multi-platform mobile application that can control internal and external communications, enabling businesses and companies to be more productive and teams more collaborative.</t>
  </si>
  <si>
    <t>Nvoip(Leandro Campos)</t>
  </si>
  <si>
    <t>192758-14T</t>
  </si>
  <si>
    <t>ABrigitte</t>
  </si>
  <si>
    <t>Producer of wine and other alcoholic beverages based in Brazil. The company offers low-alcohol drinks to stores, clubs and restaurants.</t>
  </si>
  <si>
    <t>207716-77T</t>
  </si>
  <si>
    <t>Distribuidora Catarinense de Energia Eletrica</t>
  </si>
  <si>
    <t>Supplier of electric energy based in Xanxere, Brazil. The company offers its services in electricity distribution, network management, optimization, regulation and rates implementation, thereby providing electricity to the region and also helping light off the street lights.</t>
  </si>
  <si>
    <t>Optima Technology Group</t>
  </si>
  <si>
    <t>292602-79T</t>
  </si>
  <si>
    <t>210498-94T</t>
  </si>
  <si>
    <t>Compass Minerals (South America Chemicals Business)</t>
  </si>
  <si>
    <t>Producer of chemicals and nutrition-related products based in Brazil.</t>
  </si>
  <si>
    <t>Cape Acquisitions</t>
  </si>
  <si>
    <t>292595-86T</t>
  </si>
  <si>
    <t>Vega</t>
  </si>
  <si>
    <t>Developer of an agtech platform designed to monitor agricultural production, attesting to the sustainability of practices in the agribusiness production chain. The company's platform connects analytical intelligence and data to the main agricultural production processes, enabling clients to make decisions that promote the sustainable development of their businesses.</t>
  </si>
  <si>
    <t>292658-41T</t>
  </si>
  <si>
    <t>Canadian School of Niterói</t>
  </si>
  <si>
    <t>Operator of a chain of schools across Niterói, Brazil. The company's schools offer facilities including dual degree, special language support, library, educational garden, full-time programs, and clubs, thereby providing students with comprehensive training and helping them complete the Brazilian and Canadian curriculum.</t>
  </si>
  <si>
    <t>BTG Pactual (BVMF: BPAC3), Inspira Rede de Educadores(André Aguiar)</t>
  </si>
  <si>
    <t>292660-93T</t>
  </si>
  <si>
    <t>Escola Canadense de Brasília</t>
  </si>
  <si>
    <t>Provider of bilingual educational services offering a comprehensive curriculum, including English, Portuguese, Spanish, and French, intended to foster critical thinking, autonomy, and a passion for lifelong learning. The company offers a curriculum that includes multiple languages and fosters global thinking and personal development to teach students to question, explore, and share, thereby enabling families to access an enriching, international-standard education for their children.</t>
  </si>
  <si>
    <t>215611-48T</t>
  </si>
  <si>
    <t>Ilergic</t>
  </si>
  <si>
    <t>Developer of a specialized food platform designed to select the food as per dietary restrictions. The company's platform suggests food items to consumers as per their restrictive profile, enabling consumers an selection of healthy food and stay away from allergic reactions.</t>
  </si>
  <si>
    <t>BiotechTown</t>
  </si>
  <si>
    <t>192758-95T</t>
  </si>
  <si>
    <t>InstaCasa</t>
  </si>
  <si>
    <t>Developer of a property technology platform designed to bring people closer to their dream home through technology, facilitating every step of the journey from plot to construction. The company's platform offers architectural projects that bring more comfort and qualified spaces, and the search for credit to make the dream come true, enabling customers to focus on the well-being of each different Brazilian family.</t>
  </si>
  <si>
    <t>G5 Partners, Gerdau Next Ventures, NB Capital (Brazil), Terracotta Ventures(Adir Filho)</t>
  </si>
  <si>
    <t>192492-82T</t>
  </si>
  <si>
    <t>Keep.i</t>
  </si>
  <si>
    <t>Developer of a dashboard platform designed to manage digital campaigns with marketing and sales analytics. The company's platform provides real-time monitoring of marketing and data management social ads, quick module sharing, pdf data export, full-screen display, commends feed, performance alert, notification, and dashboard management, enabling clients to increase the productivity of the team.</t>
  </si>
  <si>
    <t>Boxnet (Business/Productivity Software)(Enrico Manso)</t>
  </si>
  <si>
    <t>182833-66T</t>
  </si>
  <si>
    <t>Osklen</t>
  </si>
  <si>
    <t>Manufacturer of luxury clothing based in Rio de Janeiro, Brazil. The company specializes in the design, production and marketing of clothing products and accessories for men and women with impeccable quality and universal aesthetics aligned with sustainable socio-environmental practices.</t>
  </si>
  <si>
    <t>Grupo Dass</t>
  </si>
  <si>
    <t>192427-21T</t>
  </si>
  <si>
    <t>H2 Kapital(Marcus Herndl), Indicator Capital</t>
  </si>
  <si>
    <t>192443-95T</t>
  </si>
  <si>
    <t>MWM International Motores</t>
  </si>
  <si>
    <t>Manufacturer of engines and generators intended to be a world reference in quality and provide technological and socio-economic solutions in an environmentally sustainable way. The company offers diesel and oil engines used for vehicle, industrial, construction, agricultural, power generation and maritime purposes as well as automotive engine parts and related services, helping consumers with diesel and gas engine solutions.</t>
  </si>
  <si>
    <t>Tupy (BVMF: TUPY3)(Fernando Rizzo)</t>
  </si>
  <si>
    <t>192432-16T</t>
  </si>
  <si>
    <t>Vaapty</t>
  </si>
  <si>
    <t>Operator of a vehicle selling platform intended to innovate the sale of vehicles by connecting people who want to sell their cars network of buyers. The company's platform simplifies the process of buying and selling vehicles with a wide network of buyers from all over the country and serves customers in a personalized way, enabling customers to sell their cars easily and within a short time.</t>
  </si>
  <si>
    <t>209141-47T</t>
  </si>
  <si>
    <t>Tara Sports(Ronaldo de Lima)</t>
  </si>
  <si>
    <t>218079-73T</t>
  </si>
  <si>
    <t>Michael Nicklas(Michael Nicklas)</t>
  </si>
  <si>
    <t>213353-20T</t>
  </si>
  <si>
    <t>Veggly</t>
  </si>
  <si>
    <t>Develpoer of a vegan and vegetarian dating application intended to connect like-minded people. The company specializes in helping people find someone with whom they share their set of values and lifestyle, enabling users to make new friends and create new relationships through their application software.</t>
  </si>
  <si>
    <t>Loyal VC, Sai do Papel(Carlos Junior)</t>
  </si>
  <si>
    <t>192770-83T</t>
  </si>
  <si>
    <t>Home Agent</t>
  </si>
  <si>
    <t>Operator of a remote customer service platform intended to enhance client interactions through home-based agents. The company offers comprehensive management of customer support operations, featuring advanced technologies for communication across various channels such as voice, email, and social media, along with tools for productivity monitoring and quality assurance, enabling businesses to improve customer satisfaction while reducing operational costs and turnover rates in their service teams.</t>
  </si>
  <si>
    <t>194512-87T</t>
  </si>
  <si>
    <t>Captei</t>
  </si>
  <si>
    <t>Developer of a property management platform intended to streamline various aspects of real estate operations. The company's platform manages property listings, generates and tracks leads through the sales pipeline, and manages client relationships, enabling real estate agencies to achieve success in the competitive industry.</t>
  </si>
  <si>
    <t>ACE Ventures (Commercial Services), DOMO.VC, Terracotta Ventures(Bruno Loreto)</t>
  </si>
  <si>
    <t>192324-25T</t>
  </si>
  <si>
    <t>Qulture.Rocks</t>
  </si>
  <si>
    <t>Developer of a performance management platform intended to build people management applications for influential companies. The company's platform is customizable and integrated with a product suite for continuous feedback, goal and performance, competency, and overall benchmarking, enabling companies and people to modernize their performance management and built it from scratch.</t>
  </si>
  <si>
    <t>UOL EdTech(Alex Augusto)</t>
  </si>
  <si>
    <t>192229-12T</t>
  </si>
  <si>
    <t>Epic Games(Hector Sanchez)</t>
  </si>
  <si>
    <t>192328-75T</t>
  </si>
  <si>
    <t>Fundo DE Investimento Imobiliario Caixa Carteira Imobiliaria (BVMF: CXCI11)</t>
  </si>
  <si>
    <t>Fundo DE Investimento Imobiliario Caixa Carteira Imobiliaria is a real estate investment trust constituted in the form of a gated community. The fund aims to make real estate investments through the acquisition of assets, focusing on FII quotas, to provide quota holders with a remuneration for the investment made, through the flow of income generated by the assets and the increase in the equity value of their quotas.</t>
  </si>
  <si>
    <t>192132-73T</t>
  </si>
  <si>
    <t>Altos Ventures, André Street, Armínio Fraga(Armínio Fraga), Daniel Rosensweig(Daniel Rosensweig), David Osorno(David Osorno), Elevar Equity, Exor (AMS: EXO), Globo Ventures, Kevin Efrusy(Kevin Efrusy), Owl Ventures, Reaction Global, Romero Rodrigues</t>
  </si>
  <si>
    <t>189900-82T</t>
  </si>
  <si>
    <t>GOL Linhas Aereas</t>
  </si>
  <si>
    <t>Gol Linhas Aereas Inteligentes SA is a Brazilian airline company. It operates in two segments, flight transportation which offers air transportation services and the smiles loyalty program segment which includes redemption of miles traveled for purchasing flight tickets. The company's revenue derives from transporting passengers on aircraft. The company operates both domestic and international flights from which the majority of revenues come in from domestic operations.</t>
  </si>
  <si>
    <t>American Airlines (NAS: AAL)</t>
  </si>
  <si>
    <t>212976-19T</t>
  </si>
  <si>
    <t>Parafix Indústria e Comercio de Fitas Adesivas</t>
  </si>
  <si>
    <t>Manufacturer of adhesives and sealants intended for healthcare, automotive and electronic sectors.</t>
  </si>
  <si>
    <t>Hiventures</t>
  </si>
  <si>
    <t>192177-64T</t>
  </si>
  <si>
    <t>111 Investment Partners, Equus Capital(Rubens Terra), Indicator Capital(Thomas Bittar), KPTL</t>
  </si>
  <si>
    <t>241911-55T</t>
  </si>
  <si>
    <t>Trílogo</t>
  </si>
  <si>
    <t>Developer of building maintenance platform designed to monitor maintenance processes. The company's platform offers intelligent and complete maintenance management (CMMS) and asset inventory service, enabling companies to monitor tickets, schedule maintenance and receive notifications.</t>
  </si>
  <si>
    <t>192169-00T</t>
  </si>
  <si>
    <t>Unico</t>
  </si>
  <si>
    <t>Developer of facial biometric recognition and identification technology designed to identify individuals in digital journeys, such as transactions and onboardings. The company's technology facilitates people's relationships with companies and solves major challenges such as anti-fraud facial biometrics and purchaser/consumer authentication, enabling companies to mitigate the risk of fraud and identity theft.</t>
  </si>
  <si>
    <t>General Atlantic, Goldman Sachs Asset Management, SoftBank Latin America Fund, Spectra Investments</t>
  </si>
  <si>
    <t>177085-72T</t>
  </si>
  <si>
    <t>Civi</t>
  </si>
  <si>
    <t>Operator of a crowdsourced emergency notification application intended to provide security-related information and notifications in real time. The company's platform enables users to view their location and events occurring around them on the map and offers information about traffic accidents, thefts, fires, and assaults, enabling users to stay updated with the events around them.</t>
  </si>
  <si>
    <t>Canary (Brazil), Chromo Invest, Guiherme Bonifacio(Guiherme Bonifacio), Norte Ventures</t>
  </si>
  <si>
    <t>192583-27T</t>
  </si>
  <si>
    <t>Fundo De Investimento Imobiliario De Unidades Autonomas</t>
  </si>
  <si>
    <t>Fundo De Investimento Imobiliario De Unidades Autonomas II is a new investment fund. Its purpose is to invest mainly in the acquisition of real rights over real estate, in particular, built residential properties and, in addition, in the following assets namely certificates of real estate receivables; mortgage bills; real estate credit notes and guaranteed real estate bills.</t>
  </si>
  <si>
    <t>219539-35T</t>
  </si>
  <si>
    <t>IguanaFix</t>
  </si>
  <si>
    <t>Operator of an online marketplace intended to repair and maintain services for homes and businesses. The company's platform allows users to post tasks and connects them with relevant service providers and identity checks and schedules an on-demand visit at pre-determined market prices, enabling customers to compare prices and make payments for services ranging from plumbing and electrical work to painting.</t>
  </si>
  <si>
    <t>MadeiraMadeira Comércio Eletrônico(Carlos Baron)</t>
  </si>
  <si>
    <t>210735-10T</t>
  </si>
  <si>
    <t>IguanaFix (Brazilian Operation)</t>
  </si>
  <si>
    <t>Provider of furniture assembly services based in Brazil.</t>
  </si>
  <si>
    <t>193397-14T</t>
  </si>
  <si>
    <t>Arar Capital, Blue like an Orange Sustainable Capital, Circularis Partners, Ecoa Capital, Lightsmith Group(Sanjay Wagle), Unbox Capital</t>
  </si>
  <si>
    <t>210058-84T</t>
  </si>
  <si>
    <t>Tangerino Technology</t>
  </si>
  <si>
    <t>Developer of time tracking and daily work management software designed for employee attendance monitoring and labor compliance purposes. The company's platform includes features such as real-time tracking of work hours, automated calculations of total hours, overtime, and compensatory time, electronic acknowledgment of attendance records, and integration with payroll systems, enabling businesses to streamline administrative tasks and maintain accurate, compliant employee time data.</t>
  </si>
  <si>
    <t>192325-60T</t>
  </si>
  <si>
    <t>TOTVS Techfin</t>
  </si>
  <si>
    <t>Operator of a financial services platform intended to distribute and expand financial services based on the intelligent use of transactional data. The company's platform helps with the management of credit receivable, payable, sales, payroll and cash flow as well as financial analysis, helping clients to simplify their business financial cycle.</t>
  </si>
  <si>
    <t>191952-82T</t>
  </si>
  <si>
    <t>Bezos Expeditions(Jeffrey Bezos), Joe Gebbia(Joe Gebbia), Lachy Groom(Lachy Groom), Norte Ventures, Rahul Mehta(Rahul Mehta), Ribbit Capital, Roger Carvallo(Roger Carvallo), Sea Capital</t>
  </si>
  <si>
    <t>232747-21T</t>
  </si>
  <si>
    <t>Campo Lindo 2 Energia</t>
  </si>
  <si>
    <t>Provider of construction of stations and electricity distribution networks based in Lavras, Brazil.</t>
  </si>
  <si>
    <t>191876-05T</t>
  </si>
  <si>
    <t>Ecoa Capital, Innova Capital (Brazil), Veronica Serra(Veronica Serra)</t>
  </si>
  <si>
    <t>199727-20T</t>
  </si>
  <si>
    <t>191967-40T</t>
  </si>
  <si>
    <t>Doroth</t>
  </si>
  <si>
    <t>Developer of microbiological monitoring autonomous device designed to quantify and prevent the upcoming biological target hazards. The company's device includes microfluidic chips and isothermal biomolecular reactions that identify biological targets such as the concentration of fungal spores in the air and communicate in advance the arrival of a fungal cloud, it also predicts where and when the initial outbreaks of diseases due to spore contamination will occur, enabling farmers to reduce the usage of fungicide application and identify the fungal spores in a hassle-free way.</t>
  </si>
  <si>
    <t>Agro Ven, Bossa Invest, Gr8 Ventures(Fernanda Gottardi)</t>
  </si>
  <si>
    <t>192126-43T</t>
  </si>
  <si>
    <t>Fras-le (BVMF: FRAS3)</t>
  </si>
  <si>
    <t>Fras-le SA is engaged in manufacturing, marketing and import of components for brakes, couplings, transmissions, friction materials, resin-based products, auto parts, plastic artifacts and their derivative products. The company offers brake linings and pads for commercial vehicles; disc brake pads for hydraulic breaks for passenger and utility vehicles; brake linings and shoes for light vehicles; clutch facings for automotive vehicles; and motorcycle pads and shoes. It also provides aircraft pads; refitters; and pads and shoes for trains and subways, as well as universal flat sheets, molded and woven linings, and flexible molded blocks for industrial applications.</t>
  </si>
  <si>
    <t>193036-96T</t>
  </si>
  <si>
    <t>Inspecto Agri</t>
  </si>
  <si>
    <t>Operator of a credit management platform intended to cater to agro creditors, importers, exporters, and biotechnology holders. The company offers agricultural inspections, certifications, and audits along with support services for documentary, registry management, legal advice, and consultancy to clients, enabling customers to monitor the status and situation of each credit instrument in real time, making the process more agile and maximizing their results.</t>
  </si>
  <si>
    <t>191915-74T</t>
  </si>
  <si>
    <t>Conta Azul(Andre Ocuno)</t>
  </si>
  <si>
    <t>191888-65T</t>
  </si>
  <si>
    <t>Startupi</t>
  </si>
  <si>
    <t>Operator of a main content portal intended for the Brazilian innovation, business, entrepreneurship, and technology market. The company has collaborated with the most diverse initiatives and programs to promote entrepreneurship and innovation in Brazil, enabling investors to access the latest information on startups in Brazil.</t>
  </si>
  <si>
    <t>Bossa Invest(João Kepler)</t>
  </si>
  <si>
    <t>252515-71T</t>
  </si>
  <si>
    <t>B2Mamy, Google for Startups</t>
  </si>
  <si>
    <t>215595-28T</t>
  </si>
  <si>
    <t>Deduz</t>
  </si>
  <si>
    <t>Operator of the cashback application intended to empower local commerce. The company's application offers its consumption in pharmacies, gas stations, bakeries, and other commercial establishments, enabling users to make condominium fees zero.</t>
  </si>
  <si>
    <t>215651-26T</t>
  </si>
  <si>
    <t>192520-18T</t>
  </si>
  <si>
    <t>Pantore Pay</t>
  </si>
  <si>
    <t>Operator of a group buying and reverse auction platform intended to streamline the supply chain between restaurants and suppliers. The company's platform connects restaurants directly to wholesalers and food manufacturers and negotiates with the distributors on behalf of the establishment, enabling restaurants to save money and reduce time on their purchases.</t>
  </si>
  <si>
    <t>Empty Set Group, Karman Ventures, Kevin Moore(Kevin Moore), Pareto Holdings, Rebel Fund, Soma Capital</t>
  </si>
  <si>
    <t>215644-06T</t>
  </si>
  <si>
    <t>191830-15T</t>
  </si>
  <si>
    <t>Sinapse Finance</t>
  </si>
  <si>
    <t>Developer of financial management platform intended to simplify financial tasks and optimize decision-making for businesses. The company offers a combination of technology, financial expertise, and a proprietary methodology to automate routine tasks, generate financial reports, and provide strategic support, enabling businesses to save time and resources while gaining valuable insights to improve their financial health and achieve long-term goals.</t>
  </si>
  <si>
    <t>BR Angels, Guilherme Decourt(Guilherme Decourt), Paulo Silveira(Paulo Silveira), StaminaVC</t>
  </si>
  <si>
    <t>193456-72T</t>
  </si>
  <si>
    <t>Voll</t>
  </si>
  <si>
    <t>Developer of a corporate ride-sharing platform designed to simplify corporate mobility. The company's platform provides complete technology for corporate transport management, specially designed to simplify processes, enabling organizations to optimize costs and facilitate the mobility of their team.</t>
  </si>
  <si>
    <t>200701-09T</t>
  </si>
  <si>
    <t>Anchieta College</t>
  </si>
  <si>
    <t>Provider of primary and secondary classroom education in Salvador, Brazil. The company offers teachings, sports, environmental education, social coexistence, pedagogical support, physical education and arts, thereby offering students learning experiences that contribute to their intellectual and moral formation.</t>
  </si>
  <si>
    <t>205636-78T</t>
  </si>
  <si>
    <t>Companhia Estadual de Grc e TDEE CEEE GT (Companhia Estadual de Transmissão Energia Elétrica)</t>
  </si>
  <si>
    <t>Operator of a energy transmitting company based in Porto Alegre, Brazil. The company generates, transmits and distributes energy within the state.</t>
  </si>
  <si>
    <t>189917-92T</t>
  </si>
  <si>
    <t>Dolado</t>
  </si>
  <si>
    <t>Developer of retail management platform designed to improve the way small businesses sell, buy, and manage their businesses. The company's platform helps people to buy and sell different products like cell phone accessories, food items, automotive, toys, and other related products in their region, enabling small businesses to increase efficiency, reduce costs, and sell better through a full suite of e-commerce and financial services.</t>
  </si>
  <si>
    <t>Clocktower Ventures, Endeavor Group Holdings, Flourish Ventures, Gfc, IDB Lab, Norte Ventures, Valor Capital Group(Antoine Colaço)</t>
  </si>
  <si>
    <t>286734-79T</t>
  </si>
  <si>
    <t>Global Sites Brasil</t>
  </si>
  <si>
    <t>Provider of infrastructure solutions for the telecommunications sector intended for optimizing wireless communication networks in various environments. The company offers innovative systems for distributed antenna and street-level solutions, thereby enabling the telecom market to improve coverage and connectivity while reducing environmental impact.</t>
  </si>
  <si>
    <t>Alberta Investment Management, Allianz (ETR: ALV), DigitalBridge Group (NYS: DBRG), Highline do Brasil, International Finance (Washington D.C.)</t>
  </si>
  <si>
    <t>257673-52T</t>
  </si>
  <si>
    <t>Nova Geração</t>
  </si>
  <si>
    <t>Distributor of agricultural products and services based in Pinhalzinho, Brazil. The company specializes in the sale of pesticides, seeds, fertilizers, specialties and biological products.</t>
  </si>
  <si>
    <t>Lavoro (NAS: LVRO), Patria Investments (NAS: PAX)(Ricardo Scavazza)</t>
  </si>
  <si>
    <t>191818-54T</t>
  </si>
  <si>
    <t>Bossa Invest(Guilherme Pepe), Leavening(Marcello Marin)</t>
  </si>
  <si>
    <t>275076-01T</t>
  </si>
  <si>
    <t>ABS - Asset Banking System</t>
  </si>
  <si>
    <t>Developer of an integrated software platform catering to banks, brokerages, distributors, asset managers, and wealth management firms. The company offers comprehensive systems that manage investment performance and risk by categorizing assets by type, currency, and other variables, enabling clients to manage onshore and offshore investments, generate customized reports, and foster stronger relationships with their clients.</t>
  </si>
  <si>
    <t>BRITech (Brazil)(Yuryi Ferber), Oria Capital(Carlos Testolini)</t>
  </si>
  <si>
    <t>191686-69T</t>
  </si>
  <si>
    <t>Bnyou</t>
  </si>
  <si>
    <t>Operator of an online service platform intended to offer beauty and well-being services. The company's platform offers beauty services like haircuts, trimming, makeup, beard therapy, and body massage to customers, enabling people to have beauty services at their homes at a lesser cost.</t>
  </si>
  <si>
    <t>195463-72T</t>
  </si>
  <si>
    <t>Flash Ventures, MasterCard (NYS: MA), US Angel Investors</t>
  </si>
  <si>
    <t>209550-88T</t>
  </si>
  <si>
    <t>CardioPapers</t>
  </si>
  <si>
    <t>Operator of a medical content and education platform focused on the cardiology field. The company's portal includes courses, such as a cardiology specialist degree preparatory, cardiological emergencies, preoperative, dyslipidemia, EKG, and diabetes course.</t>
  </si>
  <si>
    <t>191787-04T</t>
  </si>
  <si>
    <t>Meio</t>
  </si>
  <si>
    <t>Operator of an online editorial platform intended to offer a newsletter from Monday to Friday. The company's newsletter is offered via email and contains all the essential news of the day from politics to what premieres on Netflix and the reading takes less than eight minutes, enabling subscribers to have all the important news coverage and occurrences around the world.</t>
  </si>
  <si>
    <t>Silvio Genesini(Silvio Genesini), Tony Marco(Tony Marco)</t>
  </si>
  <si>
    <t>191667-70T</t>
  </si>
  <si>
    <t>Owl Docs</t>
  </si>
  <si>
    <t>Developer of a data storage platform designed to protect clients' data on cloud-based storage. The company's platform decentralizes the process of auditing all events and registering the document through a blockchain network, enabling clients to integrate and authentic protection.</t>
  </si>
  <si>
    <t>ao3(Jorge Carneiro)</t>
  </si>
  <si>
    <t>210812-50T</t>
  </si>
  <si>
    <t>Printmax (IT Consulting and Outsourcing)</t>
  </si>
  <si>
    <t>Provider of integrated IT, document management and printing services catering to the corporate (small, medium and large companies) and government segments. The company specializes in integrated IT solutions, document management, ECM, 3D printing and color solutions, thereby helping companies to improve their critical business processes through recognized solutions capable of helping them throughout the life cycle of their documents, from creation, reproduction, distribution, management and storage.</t>
  </si>
  <si>
    <t>206740-00T</t>
  </si>
  <si>
    <t>Solvimm</t>
  </si>
  <si>
    <t>Operator of cloud computing consulting services based out of Rio de Janeiro, Brazil. The company is an e-Core company, specialized in cloud computing, big data and information security solutions.</t>
  </si>
  <si>
    <t>E-Core It Solutions</t>
  </si>
  <si>
    <t>199738-45T</t>
  </si>
  <si>
    <t>Biti9</t>
  </si>
  <si>
    <t>Provider of business information technology intended to automate administrative processes to increase productivity and reduce costs. The company specializes in automating business processes by configuring the software to capture information, perform calculations, process a transaction, manipulate data, trigger responses communicate with other systems, and automate repetitive tasks, such as receiving, downloading, and registering invoices in the application, enabling clients to reduce costs and increase the productivity of any business activity that is repetitive, scalable and with high volume.</t>
  </si>
  <si>
    <t>199740-25T</t>
  </si>
  <si>
    <t>Fen</t>
  </si>
  <si>
    <t>Operator of a social commerce platform intended to sell products through content created by digital influencers. The company helps consumers, content creators, and brands to interact in an environment with lots of entertainment and where purchasing decisions are made more consciously, allowing users to have a fun, informative, and purposeful shopping experience.</t>
  </si>
  <si>
    <t>199738-63T</t>
  </si>
  <si>
    <t>199740-07T</t>
  </si>
  <si>
    <t>Kapputo</t>
  </si>
  <si>
    <t>Developer of an online real estate-focused information platform designed to structure and facilitate real estate information and analysis using big data and machine learning technology. The company's platform collects information through a data collection process and consolidates them into an array of real estate databases which are then analyzed into property valuation and neighborhood price indexes, enabling banks, investors and real estate agents to get real-time and reliable historical property data.</t>
  </si>
  <si>
    <t>191621-98T</t>
  </si>
  <si>
    <t>LoopKey</t>
  </si>
  <si>
    <t>Developer of access control system intended to help manage access to space remotely. The company's solution helps to manage remotely from the smartphone, share access instantly, and get integrated with multiple systems, thereby enabling clients with a smart lock that transforms the cell phone into a digital keyring for all the doors and gates.</t>
  </si>
  <si>
    <t>Casai(Nichol Barawid)</t>
  </si>
  <si>
    <t>199738-27T</t>
  </si>
  <si>
    <t>Ubots</t>
  </si>
  <si>
    <t>Developer of digital relationship platform designed to offer chatbot development services for clients' digital relationships. The company specializes in building agile and intelligent conversations and utilizes a proprietary platform for developing artificial intelligence-based chatbots having the ability to interpret questions and respond in natural language, enabling users to program the dialogue flow as per their business requirements.</t>
  </si>
  <si>
    <t>191620-18T</t>
  </si>
  <si>
    <t>Uello Tecnologia</t>
  </si>
  <si>
    <t>Developer of a logistics application designed to provide guidance and smart logistics decisions to a huge workforce of independent resources. The company's application provides drivers with optimized routes and more attractive compensation, making the last mile cheaper for customers and operationally sustainable, enabling small companies to avail of appropriate logistics services at an affordable price.</t>
  </si>
  <si>
    <t>Lojas Renner (BVMF: LREN3), RLog Investimentos</t>
  </si>
  <si>
    <t>191541-25T</t>
  </si>
  <si>
    <t>Gesplan</t>
  </si>
  <si>
    <t>Developer of treasury and economic-financial projection software intended to serve large and medium-sized companies. The company's software is responsible for monitoring the projected, forecasted and realized cash flow, in addition to controlling financial operations, and also assists in budgeting, monitoring and forecasting profitability and performance indicators, enabling businesses to get accurate diagnoses and minimize the risks and uncertainties in decision making.</t>
  </si>
  <si>
    <t>200045-08T</t>
  </si>
  <si>
    <t>Canary (Brazil), Caravela Capital, Cyrela (BVMF: CYRE3), Kaszek, ONEVC</t>
  </si>
  <si>
    <t>191573-74T</t>
  </si>
  <si>
    <t>Afferolab</t>
  </si>
  <si>
    <t>Provider of corporate training services intended for the development of engaging educational content. The company offers professional education in a wide range of fields including technology, design, consulting, commercial, and human capital management, thereby promoting impactful, meaningful, and memorable experiences to improve people's lives.</t>
  </si>
  <si>
    <t>Bossa.etc(Daniell Motta)</t>
  </si>
  <si>
    <t>Education and Training Services (B2B)</t>
  </si>
  <si>
    <t>192158-02T</t>
  </si>
  <si>
    <t>Aguapeí Agroenergia</t>
  </si>
  <si>
    <t>Producer of sugar and ethanol based in Sao Paulo, Brazil.</t>
  </si>
  <si>
    <t>AMERRA Capital Management(Rogerio Martins)</t>
  </si>
  <si>
    <t>215841-52T</t>
  </si>
  <si>
    <t>Alpe</t>
  </si>
  <si>
    <t>Operator of financial software designed for managing the backend process of all the financial products. The company offers various kinds of services for assets such as cryptocurrencies, NFTs, DeFi, games, tokens, metaverse and all blockchain-related investments and uses innovative technological tools to manage financial products, enabling users and businesses with a technology that is market specialists and develop models and algorithms that support decision-making for greater strategic assertiveness in investments.</t>
  </si>
  <si>
    <t>Bossa Invest, Diego Barreto(Diego Barreto), Gueitiro Genso(Gueitiro Genso)</t>
  </si>
  <si>
    <t>293371-03T</t>
  </si>
  <si>
    <t>CMDH Participações Societarias</t>
  </si>
  <si>
    <t>Provider of Financial Services based in São Paulo, Brazil.</t>
  </si>
  <si>
    <t>199882-54T</t>
  </si>
  <si>
    <t>Galapagos Capital, SYN Prop E Tech</t>
  </si>
  <si>
    <t>209254-96T</t>
  </si>
  <si>
    <t>FitDance</t>
  </si>
  <si>
    <t>Operator of a dance classes and teaching platform based in Bahia, Brazil. The company engages in providing online and offline dance programs, courses in different dance modalities, tutorials and daily live classes with our team of instructors.</t>
  </si>
  <si>
    <t>Grupo SBF (BVMF: SBFG3)(Gustavo Furtado)</t>
  </si>
  <si>
    <t>210696-31T</t>
  </si>
  <si>
    <t>GClaims</t>
  </si>
  <si>
    <t>Operator of an insurtech company based in Sao Paolo, Brazil. The company offers complete risk management, claims management, risk assessment, claims settlement solution and manages all processes and automates tasks for companies in the insurance market.</t>
  </si>
  <si>
    <t>234910-00T</t>
  </si>
  <si>
    <t>goLiza</t>
  </si>
  <si>
    <t>Developer of a digital connection platform designed to transform record management through the integration of business documents. The company's platform assists in connecting with partners and sharing information related to business without email exchange and network with a secure environment, enabling businesses to bring information symmetry to the market and easily provide company updates online.</t>
  </si>
  <si>
    <t>183160-81T</t>
  </si>
  <si>
    <t>Arco Educação, Endeavor Catalyst, General Atlantic(Martin Escobari), Kaszek, SoftBank Latin America Fund, Spectra Investments</t>
  </si>
  <si>
    <t>207772-84T</t>
  </si>
  <si>
    <t>Kalea</t>
  </si>
  <si>
    <t>Developer of a financial platform intended to provide credit advisory and financial statements digitally. The company's platform provides automated credit advisory and efficient credit access, enabling businesses and users with credit risk analyses, reducing bureaucracy, and financial literacy.</t>
  </si>
  <si>
    <t>252167-86T</t>
  </si>
  <si>
    <t>Manusis4</t>
  </si>
  <si>
    <t>Developer of an asset management system designed for asset management solution. The company offers asset management operations, maintenance and project management in a variety of industrial and facility segments, enabling clients to improve their productivity, reduce costs and make better decisions about their assets.</t>
  </si>
  <si>
    <t>gBETA</t>
  </si>
  <si>
    <t>196478-74T</t>
  </si>
  <si>
    <t>Matrix Data Center</t>
  </si>
  <si>
    <t>Operator of data centers based in Sao Paulo, Brazil. The company offers hybrid and private cloud also hosting and colocation services as well as managed logical security, monitoring, backup and internet services.</t>
  </si>
  <si>
    <t>SBA Communications (NAS: SBAC)</t>
  </si>
  <si>
    <t>189461-08T</t>
  </si>
  <si>
    <t>Noverde (Financial Software)</t>
  </si>
  <si>
    <t>Developer of an online financial credit application intended to provide online loans. The company's platform makes an individual create an account by sharing required information and after a real-time analysis of the same, a bank transfer for the credit loan is executed, providing consumers with secure lending alternatives.</t>
  </si>
  <si>
    <t>Dotz (Media and Information Services) (BVMF: DOTZ3)(Roberto Chade)</t>
  </si>
  <si>
    <t>193858-30T</t>
  </si>
  <si>
    <t>Olik (Insurance Brokers)</t>
  </si>
  <si>
    <t>Operator of a digital insurance platform intended to integrate and connect the needs of the insurance market and client. The company provides life insurance, financial protection, temporary disability protection, hospitalization, funeral assistance, and personal accident insurance, enabling customers to secure themselves from future losses in an affordable way.</t>
  </si>
  <si>
    <t>209161-99T</t>
  </si>
  <si>
    <t>Paytec (IT Consulting and Outsourcing)</t>
  </si>
  <si>
    <t>Provider of technology solutions catering to the payment means industry. The company specializes in providing asset management systems, management and control of service orders, Installation of POS, PCs, modems and IT personalization and digital confirmation.</t>
  </si>
  <si>
    <t>GetNet Tecnologia em Captura e Process de Transaç Elec Hua</t>
  </si>
  <si>
    <t>193833-10T</t>
  </si>
  <si>
    <t>Pet Support Assistência Veterinária</t>
  </si>
  <si>
    <t>Operator of a veterinary hospital intended to offer emergency care and specialized services for pets. The company offers emergency care, home services, physiotherapy, oral health, surgeries, and procedures, thereby supporting pet owners with all stages of care animal care services, and treatments.</t>
  </si>
  <si>
    <t>252719-02T</t>
  </si>
  <si>
    <t>Poliverde</t>
  </si>
  <si>
    <t>Provider of eco-friendly recycling services intended to transform fabric scraps containing polyamide into raw materials. The company utilizes a sustainable process that converts fabric waste into small plastic granules to produce new fabrics or serve as input for the engineering plastics industry, enabling businesses to minimize landfill waste and source primary commodities sustainably.</t>
  </si>
  <si>
    <t>Circular Valley</t>
  </si>
  <si>
    <t>252724-33T</t>
  </si>
  <si>
    <t>193051-00T</t>
  </si>
  <si>
    <t>Raízs</t>
  </si>
  <si>
    <t>Developer of an online grocery platform designed to offer multi-category products. The company's platform offers a product that includes vegetables, fruits, sweets, snacks, meat, grains and seeds, enabling organic food producers to get connected with customers.</t>
  </si>
  <si>
    <t>KPTL(Renato Ramalho), Solum Capital, WP Capital</t>
  </si>
  <si>
    <t>194485-51T</t>
  </si>
  <si>
    <t>Rede Edu</t>
  </si>
  <si>
    <t>Developer of a digital platform designed for learning management and institutional administration purposes. The company's platform offers tools for academic performance tracking, curriculum management, virtual classrooms, communication between educators and families, automated scheduling, and integration with institutional workflows, enabling educational institutions to centralize operations, streamline communication, and support student development through digital infrastructure.</t>
  </si>
  <si>
    <t>181007-47T</t>
  </si>
  <si>
    <t>ZUL Digital</t>
  </si>
  <si>
    <t>Developer of a driving assistance platform intended to purchase and use parking spaces. The company's application hosts a range of facilities including vehicle registration and licensing certificate integration, parking purchase and activation, toll tag access and payment as well as maintenance and insurance alerts, delivering a one-stop application for all drive-related assistance.</t>
  </si>
  <si>
    <t>Estapar (BVMF: ALPK3)(Andre Lasi)</t>
  </si>
  <si>
    <t>196552-81T</t>
  </si>
  <si>
    <t>Marisol (Production Unit)</t>
  </si>
  <si>
    <t>Manufacturer of apparel based in Pacatuba, Brazil.</t>
  </si>
  <si>
    <t>194843-89T</t>
  </si>
  <si>
    <t>Fundepar, HARDS, Mergus Ventures</t>
  </si>
  <si>
    <t>191372-32T</t>
  </si>
  <si>
    <t>Vanq</t>
  </si>
  <si>
    <t>Operator of a digital financial platform designed for facilitating transactions. The company's platform combines different payment methods in each transaction, provides full control over card limits, and offers flexibility to make payments or purchases using bank slips, enabling users to simplify their day-to-day finances and be part of the digital economy</t>
  </si>
  <si>
    <t>André Palis(André Palis), Chisel Venture Capital, Marco Kehdi(Marco Kehdi)</t>
  </si>
  <si>
    <t>191373-04T</t>
  </si>
  <si>
    <t>195361-93T</t>
  </si>
  <si>
    <t>vhsys</t>
  </si>
  <si>
    <t>Developer of an omnichannel, cloud-based online business management platform built to serve an array of services for retail businesses. The company's self-service platform offers order and sales management, invoicing, dynamic inventory, cash, payments, CRM, and mobile messaging along with the marketplace, logistics, and e-commerce integrations, providing businesses with autonomy to manage their business.</t>
  </si>
  <si>
    <t>Stone Pagamentos (NAS: STNE)</t>
  </si>
  <si>
    <t>220954-69T</t>
  </si>
  <si>
    <t>Monett (South America)</t>
  </si>
  <si>
    <t>Operator of a platform that provides movie, series, course, and investment recommendations intended for all profiles. The company offers personalized investment journeys, as well as courses, investment recommendation programs, and more than 1,000 videos, including films and investment miniseries, thereby helping clients make investment decisions.</t>
  </si>
  <si>
    <t>EQI Investimentos(Juliano Custodia)</t>
  </si>
  <si>
    <t>213051-79T</t>
  </si>
  <si>
    <t>BotCity</t>
  </si>
  <si>
    <t>Developer of robotic process automation intended to build and orchestrate automation over any platform. The company's tool guides in bulk parsing of structured documents to offer seamless enterprise governance and control to manage with enterprise orchestration for Python automation, with no lock-in constraints by reducing lead time and infrastructure costs, enabling developers to integrate systems, scale business, and end rework.</t>
  </si>
  <si>
    <t>185498-20T</t>
  </si>
  <si>
    <t>Fertilizantes Heringer (BVMF: FHER3)</t>
  </si>
  <si>
    <t>Fertilizantes Heringer SA is engaged in the production, marketing, and distribution of fertilizers in Brazil. It offers basic fertilizers, NPK formulas, and special fertilizers. The company also offers various services such as soil analysis incentive programs, technical lectures for farmers, pre-and after-sales support, and specialized technical guidance. The company has two segments: The industrial segment, which comprises the sulfuric acid and single super phosphate plant located in Paranagua; and the Mixing segment, which comprises the company's 11 mixing units. The firm generates the majority of its revenues from the mixing segment.</t>
  </si>
  <si>
    <t>EuroChem Group(Lieven Cooreman)</t>
  </si>
  <si>
    <t>216459-73T</t>
  </si>
  <si>
    <t>210066-94T</t>
  </si>
  <si>
    <t>Vadu (Software)</t>
  </si>
  <si>
    <t>Developer of a credit analysis and monitoring platform designed to facilitate credit analysis, prospecting and post-credit monitoring. The company provides a big data platform integrated with artificial intelligence for automation, credit analysis and portfolio monitoring, thereby monitoring the needs of the credit market on a daily basis to deliver the best solution to customers.</t>
  </si>
  <si>
    <t>Dimensa(Denis Piovezan)</t>
  </si>
  <si>
    <t>191423-08T</t>
  </si>
  <si>
    <t>Auren Energia SA operates as an energy company. Its activity includes Wind power generation, Hydropower generation, Commercialization, Sale of energy and Holding and Pipeline projects.</t>
  </si>
  <si>
    <t>193038-04T</t>
  </si>
  <si>
    <t>191072-08T</t>
  </si>
  <si>
    <t>Meuportfolio</t>
  </si>
  <si>
    <t>Developer of a wealth management platform based in Sao Paulo, Brazil. The company's platform offers investment consolidation, business process outsourcing, and asset analysis, enabling organizations to manage investment funds and portfolios in an agile and accessible way.</t>
  </si>
  <si>
    <t>Warren Investimentos(Fabio Safini)</t>
  </si>
  <si>
    <t>195628-60T</t>
  </si>
  <si>
    <t>Unidas frotas</t>
  </si>
  <si>
    <t>Provider of heavy equipment and light vehicle fleet management services throughout Brazil. The company offers machines, equipment and a light vehicle fleet on a lease basis, providing companies of all sizes with vehicles and equipment at an affordable cost.</t>
  </si>
  <si>
    <t>Brookfield Corporation (TSE: BN)(Henrique Martins)</t>
  </si>
  <si>
    <t>201981-61T</t>
  </si>
  <si>
    <t>Watts Mobilidade Elétrica</t>
  </si>
  <si>
    <t>Manufacturer of electric motorcycles intended to serve the automotive sector. The company's products include electric bicycles, longboards, scooters and tricycles.</t>
  </si>
  <si>
    <t>Multilaser Industrial (BVMF: MLAS3)(André Poroger)</t>
  </si>
  <si>
    <t>210274-39T</t>
  </si>
  <si>
    <t>Evertical Tecnologia</t>
  </si>
  <si>
    <t>Provider of building automation services across Brazil and Latin America. The company specializes in the operation, maintenance and installation of building automation and electronic security systems, systems including BMS, access control, fire detection and alarms, security cameras, alarm security and structured cabling thereby enabling environmental, social and governance criteria into practice in the real estate market.</t>
  </si>
  <si>
    <t>266562-64T</t>
  </si>
  <si>
    <t>Liconic Technology</t>
  </si>
  <si>
    <t>Developer of a renewable energy backup system designed to ensure uninterrupted power supply during outages. The company offers ethanol-powered generators with automatic energy management, telemetry monitoring, and predictive maintenance, enabling residential buildings, industrial plants, and infrastructure facilities to maintain continuous operations without emissions or manual intervention.</t>
  </si>
  <si>
    <t>190956-88T</t>
  </si>
  <si>
    <t>Vendify</t>
  </si>
  <si>
    <t>Operator of a grocery convenience store intended to serve residential and corporate condominiums. The company's stores offer an intelligent market that operates in the self-checkout model, with complete freedom of consumption and security, at any time of the day, providing customers with a convenient and practical service that adds value to everyday life.</t>
  </si>
  <si>
    <t>182673-10T</t>
  </si>
  <si>
    <t>Echoenergia</t>
  </si>
  <si>
    <t>Developer and operator of electricity generation projects from renewable sources based in Sao Paulo, Brazil. The company specializes in wind farm projects and through its operations center remotely monitors the activities of wind turbines in its parks, thus ensuring the efficiency and quality standards required by the company.</t>
  </si>
  <si>
    <t>Equatorial Energia (BVMF: EQTL3)</t>
  </si>
  <si>
    <t>195999-85T</t>
  </si>
  <si>
    <t>Asymmetry Ventures, Bluewatch Ventures, I2BF Global Ventures, Soma Capital, TLF Ventures</t>
  </si>
  <si>
    <t>190966-60T</t>
  </si>
  <si>
    <t>Quicko (Information Services (B2C))</t>
  </si>
  <si>
    <t>Developer of Mobility as a Service (MaaS) platform intended to offer route suggestions for smarter and more optimized urban travel. The company's platform lets users find the best way to get to their destination, the suggested routes combine public and private transport modes available in each city, such as buses, subways, trains, taxis, ride apps, and shared bicycles, providing customers with a smarter way to travel.</t>
  </si>
  <si>
    <t>MaaS Global(Sampo Hietanen)</t>
  </si>
  <si>
    <t>191467-90T</t>
  </si>
  <si>
    <t>Alisios</t>
  </si>
  <si>
    <t>Provider of wind farm maintenance services intended to support green energy projects across Brazil. The company offers commissioning, corrective, operation and maintenance as well as inspection services of wind power projects, enabling clients to improve plant safety and efficiency through productive and diligent maintenance techniques.</t>
  </si>
  <si>
    <t>AMP Capital Investors(Dylan Foo), Caisse de dépôt et placement du Québec, Invenergy(John Majewski)</t>
  </si>
  <si>
    <t>216042-04T</t>
  </si>
  <si>
    <t>Randon Ventures(Gustavo Misturini)</t>
  </si>
  <si>
    <t>200583-46T</t>
  </si>
  <si>
    <t>Showkase</t>
  </si>
  <si>
    <t>Developer of an online sales platform designed to cater to businesses. The company offers tools to convert your contacts, centralize your customer service, create marketing actions promote the store's products automatically, and track the performance and all metrics, enabling businesses to manage the business in one place digitally.</t>
  </si>
  <si>
    <t>Captall Ventures</t>
  </si>
  <si>
    <t>209662-39T</t>
  </si>
  <si>
    <t>EduK</t>
  </si>
  <si>
    <t>Developer of an education platform designed to offer online courses to help users to learn fast and make money. The company's platform offers a wide range of online courses and tutorials from basics to advanced on gastronomy, beauty, fashion, photography, craft, business, dentistry, and more, enabling users to strengthen their knowledge and change their lives.</t>
  </si>
  <si>
    <t>Accelium</t>
  </si>
  <si>
    <t>210818-26T</t>
  </si>
  <si>
    <t>Evoy (Business/Productivity Software)</t>
  </si>
  <si>
    <t>Developer of a logistics management platform designed to improve the efficiency and visibility of logistics operations. The company's platform offers asset management, cost monitoring, maintenance scheduling, logistics tracking, control systems, supply chain visualization, and generation of management reports, enabling clients to reduce loan exposure, lower operational expenses, improve asset utilization, and maintain infrastructure effectively.</t>
  </si>
  <si>
    <t>Manusis4(Rodrigo Rotondo)</t>
  </si>
  <si>
    <t>190749-16T</t>
  </si>
  <si>
    <t>Get Commerce</t>
  </si>
  <si>
    <t>Developer of an e-commerce platform designed to facilitate the creation and management of online stores. The company's platform offers features such as customizable storefronts, payment gateway integrations, inventory management, and order tracking, enabling businesses to efficiently sell products online, optimize their operations, and enhance customer experiences through seamless digital transactions.</t>
  </si>
  <si>
    <t>BR Angels(Orlando Cintra)</t>
  </si>
  <si>
    <t>193174-57T</t>
  </si>
  <si>
    <t>225015-04T</t>
  </si>
  <si>
    <t>Watch Brasil</t>
  </si>
  <si>
    <t>Operator of an entertainment platform designed to stream TV series, documentaries, and feature films across a wide variety of genres and languages. The company provides members with access to the latest movies, sports, TV channels, series, and news, enabling internet providers to create more value for their products and drive more sales.</t>
  </si>
  <si>
    <t>210301-75T</t>
  </si>
  <si>
    <t>Vista Software</t>
  </si>
  <si>
    <t>Developer of real estate solutions intending to be a reference as a solution platform for the real estate market. The company specializes in evaluating the performance of real estate through personalized graphs and reports, it also has different plans that optimize the management of the client's real estate portfolio thereby their integrated solutions of real estate websites serve their customers and also capture new business.</t>
  </si>
  <si>
    <t>210816-64T</t>
  </si>
  <si>
    <t>Akeloo Information Technology</t>
  </si>
  <si>
    <t>Developer of software intended for investors to track their investment portfolio. The company provides services such as calculation of annual income tax returns, profit and loss reports, generating disclosure and authorization request forms as well as providing expert support solutions.</t>
  </si>
  <si>
    <t>Nelogica Sistemas de Software(Marcos Boschetti)</t>
  </si>
  <si>
    <t>201362-77T</t>
  </si>
  <si>
    <t>Creditcorp</t>
  </si>
  <si>
    <t>Provider of credit offering services intended for small and medium-sized businesses. The company specializes in managing the receivables in a simple way and access bond discount offers as well as a direct credit to assignors who seek financing options, thereby helping clients with easy and quick credit service at a competitive cost.</t>
  </si>
  <si>
    <t>Stratus (Investor)(Alan Takahashi)</t>
  </si>
  <si>
    <t>247941-82T</t>
  </si>
  <si>
    <t>Flyone Serviço Aéreo Especializado, Comércio e Serviços</t>
  </si>
  <si>
    <t>Provider of aircraft services based in Rio de Janeiro, Brazil. The company operates in the air transport segment, offering executive charter, firefighting, aeromedical, scenic flights and aircraft maintenance services.</t>
  </si>
  <si>
    <t>Ambipar Participacoes e Empreendimentos (BVMF: AMBP3)</t>
  </si>
  <si>
    <t>247233-61T</t>
  </si>
  <si>
    <t>190634-77T</t>
  </si>
  <si>
    <t>Livramento Holding</t>
  </si>
  <si>
    <t>Operator of a holding company intended to run wind farms in Brazil. The company operates in the wind energy projects and offers commercial operations in the field of generating electricity.</t>
  </si>
  <si>
    <t>Arthur Moura Engenharia</t>
  </si>
  <si>
    <t>259269-58T</t>
  </si>
  <si>
    <t>Planeta Securitizadora</t>
  </si>
  <si>
    <t>Operator of a securitization company intended to help clients to expand into new markets and invest in technology. The company aims to use securitization as funding for the entire real estate market chain, enabling clients to revolutionize relationships between investors and companies through the use of capital markets.</t>
  </si>
  <si>
    <t>191452-60T</t>
  </si>
  <si>
    <t>PontoTel</t>
  </si>
  <si>
    <t>Developer of a software platform intended for personnel management. The company's platform gathers all the information collected in a single payroll, regardless of the company's infrastructure and whether it's done online or in person, and also offers resources for sending notifications, exchanging messages and integrating with other HR platforms, enabling clients to minimize mistakes and anticipate people management problems.</t>
  </si>
  <si>
    <t>Sankhya Gestão de Negócios(Felipe Calixto)</t>
  </si>
  <si>
    <t>190478-53T</t>
  </si>
  <si>
    <t>Arpac</t>
  </si>
  <si>
    <t>Developer of agricultural drones designed to control pests and diseases in the fields. The company's aircraft and application drone systems reach places that other vehicles cannot, and precise application guarantees a reduction in the use of the product which is effective on rough terrains and causes zero damage to fields such as soil compaction, enabling clients to spray pesticides across the entire field without any issues and increase crop yield and production capacity.</t>
  </si>
  <si>
    <t>Yamaha Motor (TKS: 7272)</t>
  </si>
  <si>
    <t>271086-13T</t>
  </si>
  <si>
    <t>Bayz</t>
  </si>
  <si>
    <t>Developer of an online gaming platform designed to let gamers earn money by playing video games. The company's platform utilizes blockchain technology with decentralized video games, enabling players to streamline the process of gaming while winning non-fungible token prizes.</t>
  </si>
  <si>
    <t>190495-18T</t>
  </si>
  <si>
    <t>EduQC</t>
  </si>
  <si>
    <t>Developer of an online educational platform designed to offer tools and methods to promote self-learning. The company's platform uses artificial intelligence in order to develop different methods and guidance techniques for the preparation of contests and examinations, enabling clients to receive the assistance required for passing an examination.</t>
  </si>
  <si>
    <t>QConcursos(Caio Moretti)</t>
  </si>
  <si>
    <t>199339-39T</t>
  </si>
  <si>
    <t>190444-33T</t>
  </si>
  <si>
    <t>Alinea Saúde</t>
  </si>
  <si>
    <t>Developer of a digital health platform designed to supply consumers with information and access and provide better outcomes and cost-effective decisions. The company offers telehealth services, and appointment bookings with the in-network physicians and specialists, enabling patients to have optimized healthcare without changing plans.</t>
  </si>
  <si>
    <t>Founders Fund, General Catalyst, Glen Tullman(Glen Tullman), Latitud, Norte Ventures</t>
  </si>
  <si>
    <t>218581-21T</t>
  </si>
  <si>
    <t>Intelup</t>
  </si>
  <si>
    <t>Operator of a software platform intended for real-time management of inefficiencies. The company's platform offers data collection from equipment and production lines, specialized storage and processing for large volumes of data, digitization of knowledge, and presentation of results in real-time, enabling clients with optimized projects and reduced investment needed to start using the platform.</t>
  </si>
  <si>
    <t>T4Agro</t>
  </si>
  <si>
    <t>209181-43T</t>
  </si>
  <si>
    <t>Sygo Internet</t>
  </si>
  <si>
    <t>Provider of internet services intended to serve individuals and businesses. The company provides internet, mobile data, and telecommunication services.</t>
  </si>
  <si>
    <t>209143-99T</t>
  </si>
  <si>
    <t>Tindin</t>
  </si>
  <si>
    <t>Developer of an education platform designed to provide financial education and knowledge to the young generation. The company's platform uses technology to gamify learning increase study engagement and improve learning retention, allowing young students to focus on educational content.</t>
  </si>
  <si>
    <t>FEA Angels, Urca Angels</t>
  </si>
  <si>
    <t>205486-93T</t>
  </si>
  <si>
    <t>DOMO.VC, EDP Ventures, Iberdrola - PERSEO</t>
  </si>
  <si>
    <t>262628-38T</t>
  </si>
  <si>
    <t>DIO.</t>
  </si>
  <si>
    <t>Developer of an open education platform designed to learn, and practice technologies. The company's platform is centered on protagonism and community co-learning where specialists from innovative companies share knowledge and create practical learning experiences free of cost and provides a network that connects talent and companies, enabling companies to gain emerging technologies with code challenges and projects.</t>
  </si>
  <si>
    <t>263844-55T</t>
  </si>
  <si>
    <t>210108-43T</t>
  </si>
  <si>
    <t>LAHAR</t>
  </si>
  <si>
    <t>Developer of marketing automation software designed to decompress the digital marketing activities of companies. The company offers lead nurturing, email and SMS automation, landing pages and other tools, thereby helping companies to attract leads, build relationships and generate sales.</t>
  </si>
  <si>
    <t>209963-26T</t>
  </si>
  <si>
    <t>Nice House</t>
  </si>
  <si>
    <t>Operator of a video entertainment platform connecting the fans with the creator community. The company offers customized short video solutions, thereby providing creative and authentic campaigns on the market.</t>
  </si>
  <si>
    <t>190303-75T</t>
  </si>
  <si>
    <t>Zazos</t>
  </si>
  <si>
    <t>Developer of a human resources platform designed to help startups set up workspaces that centralize employee information and tasks. The company's platform offers no-code application development that facilitates clients to create people management applications like employee directories, employee engagement surveys, onboarding forms, and compensation reports, enabling companies to manage their employee data efficiently.</t>
  </si>
  <si>
    <t>Norte Ventures, Quiet Capital, Roberto Sallouti(Roberto Sallouti), Rodrigo Dantas(Rodrigo Dantas), S2 Capital</t>
  </si>
  <si>
    <t>215467-93T</t>
  </si>
  <si>
    <t>A2W</t>
  </si>
  <si>
    <t>Developer of a systemic platform designed to help national agribusiness by connecting ruler producers and agro companies. The company's platform allows data recording and integration, crop forecasting, sales planning, agenda management, goal control and real-time monitoring through KPIs and dashboards, enabling agro-businesses to integrate with producers, systems, and technology.</t>
  </si>
  <si>
    <t>300205-81T</t>
  </si>
  <si>
    <t>Hortec Sementes</t>
  </si>
  <si>
    <t>Provider of seeds intended to serve the agricultural sector. The company offers seeds which are genetically improved and researched to generate high-performance cultivation for the farmers for their cost benefit and sustainability for consumption, classification, processing, packaging and post-harvest for vegetables like pumpkin, zucchini, lettuce, eggplant, beet, broccoli, onion, carrot and others.</t>
  </si>
  <si>
    <t>East-West Seed(Douwe Zijp)</t>
  </si>
  <si>
    <t>251048-35T</t>
  </si>
  <si>
    <t>Kilima Volkano (BVMF: KIVO11)</t>
  </si>
  <si>
    <t>Kilima Volkano Recebiveis Imobiliarios Fundo De Investimen Imobiliario its objective is to obtain income, through the investment of resources.</t>
  </si>
  <si>
    <t>190376-02T</t>
  </si>
  <si>
    <t>PRIUS</t>
  </si>
  <si>
    <t>Manufacturer of a beer brewery intended to provide premium quality Japanese beer in Brazil. The company's brewery produces a variety of beverages made from traditional yeasts, for each of the styles, together with a sake yeast specially selected for its characteristics that harmonize the final product, enabling consumers to have access to a drier finish, lighter body easier to drink beer.</t>
  </si>
  <si>
    <t>HBS Alumni Angels of Brazil, Nikkey Empreendedores do Brasil</t>
  </si>
  <si>
    <t>190509-31T</t>
  </si>
  <si>
    <t>Sim;Paul Investimentos</t>
  </si>
  <si>
    <t>Provider of home brokerage, investment funds, and resource management services for individuals and companies. The company has expertise in the areas of variable income, fixed income, and multimarket and the services provided range from the management of funds and investment clubs to the administration of portfolios, helping clients in effective decision makings for their investments.</t>
  </si>
  <si>
    <t>Binance</t>
  </si>
  <si>
    <t>190268-02T</t>
  </si>
  <si>
    <t>Transportadora Brasileira Gasoduto Bolívia</t>
  </si>
  <si>
    <t>Operator of a natural gas pipeline based in Rio de Janeiro, Brazil. The company transports and commercializes natural gas.</t>
  </si>
  <si>
    <t>210826-00T</t>
  </si>
  <si>
    <t>Sharity (Other Capital Markets/Institutions)</t>
  </si>
  <si>
    <t>Operator of a crowdfunding platform focused on project creators, NGOs and companies. The company offers campaign creation, emotional, technologies, sprint priorities, evaluating performance, human resources, organizing workshops, solutions and tangible rewards, thereby helping clients with a business model and features.</t>
  </si>
  <si>
    <t>Abacashi(Nicolas de Virieu)</t>
  </si>
  <si>
    <t>292587-22T</t>
  </si>
  <si>
    <t>Adapta</t>
  </si>
  <si>
    <t>Provider of agricultural services intended to help farmers and corporations regenerate supply chains at scale. The company specializes in helping food supply chains adopt regenerative and climate-resilient production practices to increase agricultural producer profitability, enabling clients to improve significantly their carbon, water, biodiversity, soil health, and social footprints.</t>
  </si>
  <si>
    <t>181190-53T</t>
  </si>
  <si>
    <t>Agenda Boa</t>
  </si>
  <si>
    <t>Developer of a business management platform designed to manage work from anywhere. The company's platform organizes the presentation and submission of documents including budgets, work orders, and digital receipts, in addition to recording professional appointments, enabling small businesses to improve their client's experience leading to more customer satisfaction.</t>
  </si>
  <si>
    <t>Bossa Invest, DOMO.VC(Rodrigo Borges)</t>
  </si>
  <si>
    <t>210817-45T</t>
  </si>
  <si>
    <t>Cannalize</t>
  </si>
  <si>
    <t>Operator of a media platform intended to spread awareness related to the medical usage of cannabis. The company provides information about treatments, the endocannabinoid system, health plans, insomnia treatment, guides as well as the welfare of the patients, thereby creating awareness among the community to make the medical use of cannabis.</t>
  </si>
  <si>
    <t>Cannect(Fernando Domingues)</t>
  </si>
  <si>
    <t>190098-91T</t>
  </si>
  <si>
    <t>IntuitiveCare</t>
  </si>
  <si>
    <t>Developer of a financial cycle platform designed to serve the healthcare sector. The company provides applications integrated into ERP that digitize key processes of clients and allow sending invoices to the health insurance portals, also facilitating the reconciliation of receipts for payments and many more, enabling health businesses to automate administrative tasks and democratize access to hospital financial cycle data.</t>
  </si>
  <si>
    <t>BOLD Capital Partners, BTG Pactual (BVMF: BPAC3), Invest Tech, Vox Capital</t>
  </si>
  <si>
    <t>292597-57T</t>
  </si>
  <si>
    <t>193614-31T</t>
  </si>
  <si>
    <t>Skelt (Brazil)</t>
  </si>
  <si>
    <t>Provider of cosmetic products intended to offer accessible products to everyone, regardless of race, sex, age, creed, or sign. The company offers a range of products including sunscreen, self-tanner remover, body illuminator, red carpet glow cream, dark self-tanner, anti-aging facial self-tanner and body face kit, enabling customers to have creamy skincare with a natural and long-lasting effect.</t>
  </si>
  <si>
    <t>Shift Capital (São Paulo)(Fernando Jamra)</t>
  </si>
  <si>
    <t>289457-29T</t>
  </si>
  <si>
    <t>Beefor</t>
  </si>
  <si>
    <t>Provider of cloud-based services based in São Paulo, Brazil. The company offers agile practices, data analysis, AI, digital HR solutions, people analytics, and corporate culture development resources.</t>
  </si>
  <si>
    <t>Cadmus (Brazil)</t>
  </si>
  <si>
    <t>185348-35T</t>
  </si>
  <si>
    <t>Focus Energia Holding</t>
  </si>
  <si>
    <t>Operator of the electricity-generating company based in Sao Paulo, Brazil. The company offers energy management, energy marketing, distributed generation, and energy generation.</t>
  </si>
  <si>
    <t>Eneva (BVMF: ENEV3)(Elena Landau)</t>
  </si>
  <si>
    <t>214872-49T</t>
  </si>
  <si>
    <t>Fohat</t>
  </si>
  <si>
    <t>Operator of an energy intelligence platform designed to solve problems with technology to manage microgrids. The company's platform supports energy trading, diverts excess supply into designated batteries, prevents sudden fluctuations in the power grid, and serves as a backup for large industries, enabling businesses to develop products in various market segments.</t>
  </si>
  <si>
    <t>Lactec(Luiz Vianna)</t>
  </si>
  <si>
    <t>190028-35T</t>
  </si>
  <si>
    <t>Grao</t>
  </si>
  <si>
    <t>Developer of a financial application intended to make saving money much simpler and easier process. The company's application offers easy money transfer, government bond investment, and invest in private pensions and investment funds, enabling users to set aside small deposits as savings.</t>
  </si>
  <si>
    <t>190153-81T</t>
  </si>
  <si>
    <t>Saks (Financial Software)</t>
  </si>
  <si>
    <t>Developer of a pension management application designed to simplify pension planning. The company's platform allows investors to customize an ideal private pension for them and allows them to estimate how much their money can earn, and also facilitates information tracking through the app, creating goals, choosing how much they want to invest, controlling contributions, and know their plan's income, helping investors gather their money and invest simply and profitably.</t>
  </si>
  <si>
    <t>4UM Investimentos, Canary (Brazil)(Marcos Leite), FJ Labs(Fabrice Grinda), Honey Island Capital(Mariana Foresti), Kinea Investimentos (BVMF: KNHY11)(Philippe Schlumpf), TM3 Capital</t>
  </si>
  <si>
    <t>192224-44T</t>
  </si>
  <si>
    <t>ABCapital, Bertha Capital, Big Bets, Canary (Brazil), Clocktower Ventures, NFX, Norte Ventures, Spectra Investments, Volpini Ventures</t>
  </si>
  <si>
    <t>190144-09T</t>
  </si>
  <si>
    <t>Wuzu</t>
  </si>
  <si>
    <t>Operator of a multi-exchange network (MXN) and digital assets infrastructure intended to democratize access to capital markets. The company's infrastructure ranges across a cryptocurrency web trading platform, a token issuance platform, matching engines, bilateral engines and cold wallets.</t>
  </si>
  <si>
    <t>Mercado Bitcoin Serviços Digitais(Roberto Dagnoni)</t>
  </si>
  <si>
    <t>218086-30T</t>
  </si>
  <si>
    <t>190048-24T</t>
  </si>
  <si>
    <t>Mercosul Ventures</t>
  </si>
  <si>
    <t>265212-46T</t>
  </si>
  <si>
    <t>190019-26T</t>
  </si>
  <si>
    <t>Medway</t>
  </si>
  <si>
    <t>Developer of an educational platform for medical professionals designed to prepare students for medical residency exams. The company's platform offers a four-step process for a personalized study plan, content directed at specific institutions, an automatic review system, and continuous support from a team of professors, enabling medical students to optimize their study time and reach their goal of approval in their desired medical residency programs.</t>
  </si>
  <si>
    <t>Aggir Ventures, Allievo Capital, Drýs Capital, DSK Capital, Global Founders Capital, Grão (São Paulo), M&amp;I Ventures, Neuron Ventures, ScaleUP Ventures, SoftBank Latin America Fund, Spectra Investments, Upload Ventures (Sao Paulo)</t>
  </si>
  <si>
    <t>210822-76T</t>
  </si>
  <si>
    <t>Retina Vision</t>
  </si>
  <si>
    <t>Developer of a mobility technology platform designed to offer a cost-effective vehicle monitoring service using license plate reading technology. The company's system leverages computational vision with strategically placed, intelligent cameras to track vehicles and identify stolen cars in real time through integration with SINESP (National Stolen Vehicle System), enabling authorities to enhance public safety.</t>
  </si>
  <si>
    <t>289045-18T</t>
  </si>
  <si>
    <t>189101-89T</t>
  </si>
  <si>
    <t>Provider of multi-line insurance services based in Rio de Janeiro, Brazil. The company provides health and dental, life and personal accident insurance as well as asset management and private pension services.</t>
  </si>
  <si>
    <t>Rede D'Or São Luiz (BVMF: RDOR3)</t>
  </si>
  <si>
    <t>196220-44T</t>
  </si>
  <si>
    <t>Luis Cascão(Luis Cascão), Marcelo Abritta(Marcelo Abritta), Maya Capital (Brazil)(Monica Leal), Rafael Costa(Rafael Costa), SP Ventures, Spectra Investments, Urca Angels, Valor Capital Group(Michael Nicklas)</t>
  </si>
  <si>
    <t>214238-08T</t>
  </si>
  <si>
    <t>BluStone, SP Ventures</t>
  </si>
  <si>
    <t>189846-55T</t>
  </si>
  <si>
    <t>Nofaro</t>
  </si>
  <si>
    <t>Provider of health plans for dogs and cats with online contracting and monitoring. The company offers home service, access to veterinary clinics, service with specialists in neurologists, dermatologists and physiotherapists, offering protection for pets without bureaucracy and at a reasonable price.</t>
  </si>
  <si>
    <t>IGNIA Partners, L Catterton, Monashees, PetLove(Talita Lacerda), Riverwood Capital(Francisco Alvarez-Demalde), SoftBank Latin America Fund, Tarpon Capital</t>
  </si>
  <si>
    <t>189822-34T</t>
  </si>
  <si>
    <t>20VC(Harry Stebbings), André Penha(André Penha), Ayokunle Omojola(Ayokunle Omojola), Biz Stone(Biz Stone), Dhaval Chadha(Dhaval Chadha), Future Positive, Kindred Ventures(Kanyi Maqubela), Patrick Sigrist(Patrick Sigrist), Pedro Condrade(Pedro Condrade), Positive Ventures, Propel Venture Partners, Scott Belsky(Scott Belsky), Thomas Blomfield(Thomas Blomfield)</t>
  </si>
  <si>
    <t>189801-01T</t>
  </si>
  <si>
    <t>Trela</t>
  </si>
  <si>
    <t>Developer of a collective purchasing platform designed to assist friends and neighbors save money by buying together. The company's platform permits shopping with friends and neighbors from WhatsApp groups and provides discounts on the products they buy collectively, enabling producers and consumers to get close together through technology and help the latter purchase affordable products for their homes.</t>
  </si>
  <si>
    <t>General Catalyst, Kaszek, Pierpaolo Barbieri(Pierpaolo Barbieri), SoftBank Group (TKS: 9984), SoftBank Latin America Fund, Spectra Investments, Y Combinator</t>
  </si>
  <si>
    <t>189727-57T</t>
  </si>
  <si>
    <t>Aarin</t>
  </si>
  <si>
    <t>Developer a payment management platform designed to replace card machines and slips. The company specializes in pix and open banking integrated management system that provides financial services to their customer base, using the technological infrastructure, thereby helping businesses to enable a new line of revenue.</t>
  </si>
  <si>
    <t>Next Tecnologia(Renato Ejnisman)</t>
  </si>
  <si>
    <t>180047-89T</t>
  </si>
  <si>
    <t>Astella Investimentos(Laura Constantini), Canaan Partners, Canary (Brazil)(Marcos Leite), Clocktower Ventures, Coca-Cola FEMSA (PINX: COCSF), Endeavor Global, FEMSA Ventures, FJ Labs, Gilgamesh Ventures, Grão (São Paulo), Lupa Capital, MSA Capital, NOA Capital, Norte Ventures, Picus Capital(Julian Roeoes), Spectra Investments, Tap Development, Torq (Brazil), Vine One Ventures, Vine Ventures</t>
  </si>
  <si>
    <t>189779-41T</t>
  </si>
  <si>
    <t>Codeby</t>
  </si>
  <si>
    <t>Operator of a web development and e-commerce platform based in Sao Paulo, Brazil. The company offers custom solutions for e-commerce development, digital marketing, digital and data transformation, fueling business success with a high-quality and efficient implementation or migration.</t>
  </si>
  <si>
    <t>Keyrus (PAR: ALKEY)(Marc Stukkens)</t>
  </si>
  <si>
    <t>189774-55T</t>
  </si>
  <si>
    <t>Retailer of wines and online gourmet emporium intended to serve the alcoholic beverages market. The company offers a wide range of wines such as red wine, white, and rose sparkling wines as well as an online gourmet emporium, thereby enabling consumers to purchase products of their choice.</t>
  </si>
  <si>
    <t>JCR Group, Vinci Compass Investments (NAS: VINP)(Gabriel Felzenszwalb), XP Private</t>
  </si>
  <si>
    <t>209960-29T</t>
  </si>
  <si>
    <t>Mauá Capital</t>
  </si>
  <si>
    <t>Operator of an asset management company focused on alternative investments. The company offers alternative investments such as macro, equities, quantitative, fixed income and real estate.</t>
  </si>
  <si>
    <t>Jive Investments(Guilherme Ferreira)</t>
  </si>
  <si>
    <t>211025-89T</t>
  </si>
  <si>
    <t>Polyorganic Tecnologia</t>
  </si>
  <si>
    <t>Manufacturer of specialty chemical products catering to the water treatment industry and other industrial markets. Brazil. The company's portfolio contains multifunctional surfactants for detergents and cleaners, a new generation of complexing agents for domestic and institutional to improve and reduce the cost of formulation with ecologically correct products.</t>
  </si>
  <si>
    <t>IMCD (AMS: IMCD)(Nicolas Kaufmann)</t>
  </si>
  <si>
    <t>210158-47T</t>
  </si>
  <si>
    <t>Som Livre</t>
  </si>
  <si>
    <t>Operator of a digital music label intended to serve independent artists and songwriters. The company identifies, develops and promotes music and artists, it also has its music distribution platform.</t>
  </si>
  <si>
    <t>Sony Music Entertainment(Angela Lopes)</t>
  </si>
  <si>
    <t>203704-21T</t>
  </si>
  <si>
    <t>Blue like an Orange Sustainable Capital, Crescera Capital, Endeavor Catalyst, PIPO Capital</t>
  </si>
  <si>
    <t>191356-12T</t>
  </si>
  <si>
    <t>Andreessen Horowitz(Angela Strange), Andrés Bilbao(Andrés Bilbao), Canary (Brazil)(Marcos Leite), Conrado Engel(Conrado Engel), Daniel Bilbao(Daniel Bilbao), Juan Fantoni(Juan Fantoni), Latitud(Brian Requarth), Mountain Partners, Nazca, Pablo Garfinkel(Pablo Garfinkel), Paolo Bernasconi(Paolo Bernasconi), Sebastian Mejia(Sebastian Mejia), Spectra Investments, Suzy Ferreira(Suzy Ferreira)</t>
  </si>
  <si>
    <t>275076-64T</t>
  </si>
  <si>
    <t>Etiqueta Única Technologia</t>
  </si>
  <si>
    <t>Operator of an e-commerce retail platform intended to provide pre-owned luxury accessories. The company's online consignment platform offers a range of luxury brands with free returns and a certificate of authenticity on items, enabling customers to sell their items and receive credit towards future purchases while promoting sustainable fashion.</t>
  </si>
  <si>
    <t>Iguatemi Empresa de Shopping Centers</t>
  </si>
  <si>
    <t>202281-94T</t>
  </si>
  <si>
    <t>Gemu App</t>
  </si>
  <si>
    <t>Operator of a gaming platform intended to create challenges between players in an automated way. The company facilitates app programming interface (API) integration, enabling the public and professional players to participate in gamifications and competitions for gamers.</t>
  </si>
  <si>
    <t>Los Grandes(Bruno Cyrillo)</t>
  </si>
  <si>
    <t>199748-35T</t>
  </si>
  <si>
    <t>Noknox</t>
  </si>
  <si>
    <t>Developer of a communication platform intended to facilitate communication between residents, visitors, employees, and administrators in condominiums. The company's platform offers enhanced security and agility in communications to help people live conveniently by registering visitors, communicating from the condominium directly on the residents' cell phones, and providing residential security, enabling users to keep in touch with their homes, visitors, and neighbors.</t>
  </si>
  <si>
    <t>GRPQA(Andre Penha)</t>
  </si>
  <si>
    <t>187786-18T</t>
  </si>
  <si>
    <t>Adventures (Business/Productivity Software)</t>
  </si>
  <si>
    <t>Developer of an online marketing and innovation platform designed for entrepreneurs and companies. The company's ecosystem approach partners with celebrities and content creators to build the brands of the future, enabling businesses to empower their growth digitally.</t>
  </si>
  <si>
    <t>Adam Bain(Adam Bain), Arbor Capital (Rio), Atmos Ventures(Sami Moughrabie), Maromar Investimentos, Matthew Derella(Matthew Derella), Mercado Libre Fund, Navi Capital (BVMF: NAVT11), Provence Partners</t>
  </si>
  <si>
    <t>189876-70T</t>
  </si>
  <si>
    <t>Claudio Bergamo(Claudio Bergamo), GVAngels, Patrick Sigrist(Patrick Sigrist), Pedro Conrade(Pedro Conrade), Poli Angels Group</t>
  </si>
  <si>
    <t>190386-82T</t>
  </si>
  <si>
    <t>Oktagon (Entertainment Software)</t>
  </si>
  <si>
    <t>Developer of an online gaming platform designed to promote fun for the players. The company's platform offers mobile and computer games on iOS, Android and Windows platforms, enabling game enthusiasts to play games and enjoy themselves.</t>
  </si>
  <si>
    <t>Las Vegas Sands (NYS: LVS)(Patrick Dumont)</t>
  </si>
  <si>
    <t>210828-25T</t>
  </si>
  <si>
    <t>Sohtec</t>
  </si>
  <si>
    <t>Operator of a real estate agency platform intended to optimize lead management and improve the distribution of digital contracts from renters and buyers to real estate companies. company's platform offers solutions in lease and sales lead generation, a consultant working, analyzing CPF and signing contracts electronically, enabling its clients to increase their team's productivity, reduce costs and eliminate channel conflicts.</t>
  </si>
  <si>
    <t>OLX Brazil(Andries Oudshoorn)</t>
  </si>
  <si>
    <t>218579-50T</t>
  </si>
  <si>
    <t>KPTL</t>
  </si>
  <si>
    <t>187721-02T</t>
  </si>
  <si>
    <t>Atonit</t>
  </si>
  <si>
    <t>Provider of marketplace services based in Sao Paulo. The company offers cloud-based and integrable SAAS solutions for centralized information management along with digital consulting as well as training services, thereby helping clients increase their visibility cost-effectively.</t>
  </si>
  <si>
    <t>Salesforce (NYS: CRM)(Lidiane Jones)</t>
  </si>
  <si>
    <t>199281-52T</t>
  </si>
  <si>
    <t>208195-93T</t>
  </si>
  <si>
    <t>Colégio Elite</t>
  </si>
  <si>
    <t>Provider of educational services focused on professional as well as technical courses. The company's services offer learning options for various courses like nutrition, computer science, nursing and pharmacy, enabling its clients to be specialized in any particular course and gain efficiency within the job market.</t>
  </si>
  <si>
    <t>190123-12T</t>
  </si>
  <si>
    <t>Coopersap</t>
  </si>
  <si>
    <t>Provider of SAP consulting services intended to have a sustainable model for consultants, clients, and society. The company offers sap Fiori, sap analytics cloud, sap cloud platform, and the entire sap core ERP, helping customers and partners in the implementation, continuous improvement, and support.</t>
  </si>
  <si>
    <t>Corda Campus</t>
  </si>
  <si>
    <t>189851-59T</t>
  </si>
  <si>
    <t>187493-95T</t>
  </si>
  <si>
    <t>Gupy</t>
  </si>
  <si>
    <t>Developer of an AI-powered HR platform designed to optimize recruitment and people management processes. The company offers integrated tools for talent acquisition, onboarding, employee development, performance management, and engagement, enabling companies to improve hiring efficiency and workforce performance through data-driven decision-making.</t>
  </si>
  <si>
    <t>Bossa Invest, Endeavor Catalyst, Endeavor Promessas, Maya Capital (Brazil), Oria Capital(Paulo Caputo), Riverwood Capital(Joe De Pinho), SoftBank Group (TKS: 9984)</t>
  </si>
  <si>
    <t>182653-66T</t>
  </si>
  <si>
    <t>Idez</t>
  </si>
  <si>
    <t>Developer of a banking platform designed to provide customer access to financial services. The company's platform offers digital accounts, web banking applications, back-office add-ons, push and email notifications, sales management, cashback, and credit, enabling businesses to improve their customer's financial experiences and add revenue to their service chain.</t>
  </si>
  <si>
    <t>205115-05T</t>
  </si>
  <si>
    <t>Vesper (Biotechnology)</t>
  </si>
  <si>
    <t>202442-14T</t>
  </si>
  <si>
    <t>Fasanara Capital, FJ Labs</t>
  </si>
  <si>
    <t>188339-41T</t>
  </si>
  <si>
    <t>Kenoby</t>
  </si>
  <si>
    <t>Developer of recruitment and selection software intended to reduce the hiring time. The company's software features vacancy request, talent attraction, candidate qualification, engagement of managers, proposal and negotiation and cross-platform integration, providing the clients with platform intelligence that suggests the most compatible candidates increase the efficiency of their recruitment and attract the right talent.</t>
  </si>
  <si>
    <t>Endeavor Promessas, Gupy(Mariana Dias), Maya Capital (Brazil)(Lara Lemann), Oria Capital(Paulo Caputo), Riverwood Capital(Joe De Pinho)</t>
  </si>
  <si>
    <t>190614-16T</t>
  </si>
  <si>
    <t>Koort</t>
  </si>
  <si>
    <t>Developer of a real estate market platform designed for the advancement of house renting and marketing process. The company's platform aims to facilitate the business of buying and renting residential properties, integrating the various stages and different market agents in one place, enabling real estate owners to smooth the trading of properties.</t>
  </si>
  <si>
    <t>NBT Ventures(Luis Zaide)</t>
  </si>
  <si>
    <t>190300-24T</t>
  </si>
  <si>
    <t>Laundro</t>
  </si>
  <si>
    <t>Operator of an application designed for online laundry of clothes. The company's platform allows users to book a bag through the application and schedule the pick-up and delivery back within the next couple of days, enabling users to save time on home laundry.</t>
  </si>
  <si>
    <t>EquityRio(Bruno Pauletti)</t>
  </si>
  <si>
    <t>190607-95T</t>
  </si>
  <si>
    <t>MaxCoh</t>
  </si>
  <si>
    <t>Operator of a real estate platform intended for property services. The company offers experience in intermediation, investments, and real estate management and also owns, operates, and develops properties for rent and sale, enabling users with an improved and efficient customer experience.</t>
  </si>
  <si>
    <t>NBT Ventures</t>
  </si>
  <si>
    <t>189894-97T</t>
  </si>
  <si>
    <t>279955-90T</t>
  </si>
  <si>
    <t>Operator of an airline and hotel ticket booking platform based in Brazil. The company provides an online marketplace for the purchase and sale of airline tickets issued for miles and hotel tickets, enabling users across Brazil to select economic packages and join a variety of mileage programs.</t>
  </si>
  <si>
    <t>Start-Up Brasil</t>
  </si>
  <si>
    <t>215992-72T</t>
  </si>
  <si>
    <t>Optime (Business/Productivity Software)</t>
  </si>
  <si>
    <t>Developer of a blockchain-based platform designed to automate smart contracts. The company's platform helps to create new contracts and convert existing ones into smart contracts along with monitoring financial and non-financial obligations, automatically triggering charges registered, and allowing parties to have real-time access to information, enabling businesses to keep track and automate business activities.</t>
  </si>
  <si>
    <t>Virgo Ventures (Brazil)</t>
  </si>
  <si>
    <t>214120-18T</t>
  </si>
  <si>
    <t>FJ Labs, Global Founders Capital, Supera Capital, Valor Capital Group</t>
  </si>
  <si>
    <t>211521-88T</t>
  </si>
  <si>
    <t>Quero2Pay</t>
  </si>
  <si>
    <t>Developer of a payment processing platform designed to focus on technology and innovation. The company's platform provides technology services at low-cost and affordable rates, enabling merchants and businesses to offer fair services to their customers with the best payment methods.</t>
  </si>
  <si>
    <t>190916-83T</t>
  </si>
  <si>
    <t>C3 Ventures (VC)</t>
  </si>
  <si>
    <t>204654-16T</t>
  </si>
  <si>
    <t>187337-80T</t>
  </si>
  <si>
    <t>Stilingue Inteligencia Artificial</t>
  </si>
  <si>
    <t>Developer of a business intelligence platform powered by artificial intelligence (AI) that specializes in real-time brand management. The company's platform efficiently collects and analyzes conversations, ratings, opinions, and posts from various channels as well as automatically assesses brand performance and customer sentiment, thereby empowering clients to enhance their brand using advanced AI technology.</t>
  </si>
  <si>
    <t>Anteris Capital, Blip (Belo Horizonte)(Roberto Oliveira), Warburg Pincus</t>
  </si>
  <si>
    <t>299641-69T</t>
  </si>
  <si>
    <t>Fisher Venture Builder</t>
  </si>
  <si>
    <t>182640-61T</t>
  </si>
  <si>
    <t>Tarken</t>
  </si>
  <si>
    <t>Developer of an online grain trading platform designed to provide price transparency and liquidity in commodities transactions. The company's platform connects farmers with buyers, tracks the availability of agricultural stocks, and utilizes artificial intelligence for commodity pricing, enabling farmers to sell their products online directly without having to rely on intermediary sellers.</t>
  </si>
  <si>
    <t>Alfa Collab, Brian Requarth(Brian Requarth), Carlos Martin, Gilgamesh Ventures, Gokul Rajaram(Gokul Rajaram), Latitud, Mandi Ventures(Antonio Salles), Maya Capital (Brazil), Monashees(Marcelo Lima), Pierpaolo Barbieri(Pierpaolo Barbieri)</t>
  </si>
  <si>
    <t>189663-40T</t>
  </si>
  <si>
    <t>TMov</t>
  </si>
  <si>
    <t>Provider of logistics and transportation services committed to offering them at a fair, ethical and transparent cost. The company's truckload transportation, storage and security technology and intermodal services are offered to companies in the agribusiness industry, including grain trading companies, cooperatives, food manufacturers, fertilizer companies and sugar cane mills, ensuring that the transported cargo arrives safely at its destination.</t>
  </si>
  <si>
    <t>Continental Grain Company(Charles Fribourg)</t>
  </si>
  <si>
    <t>220187-17T</t>
  </si>
  <si>
    <t>Umbler</t>
  </si>
  <si>
    <t>Operator of a cloud hosting company intended for small businesses, agencies, and developers. The company offers services such as cloud hosting, domain registration, email account, and database, all of them, with a pay-as-you-go model, allowing clients to create complex hosting structures with just a few clicks and have complete control over their applications scaling, pausing, or canceling the services in real-time.</t>
  </si>
  <si>
    <t>183538-00T</t>
  </si>
  <si>
    <t>Facily</t>
  </si>
  <si>
    <t>Operator of a social commerce platform intended to offer group buying deals and interactive shopping experiences. The company's platform offers an option to buy in groups, play games and quizzes together with colleagues, and earn rewards by inviting friends, enabling buyers to get goods at competitive rates with fast delivery.</t>
  </si>
  <si>
    <t>Accion, Banana Capital, Blitzscaling Ventures, C Entrepreneurs, Cathay Capital Private Equity, Citius, Convivialité Ventures, Delivery Hero (ETR: DHER), Delivery Hero Ventures, Emerging Variant Capital Management, Fifth Down Capital, G Squared, Goodwater Capital, Mantis VC, Notable Capital(Hans Tung), Old Well Labs, PIPO Capital, Prosus (AMS: PRX), Rise Capital, Tekton Ventures, Tru Arrow Partners</t>
  </si>
  <si>
    <t>185242-69T</t>
  </si>
  <si>
    <t>Nourrie</t>
  </si>
  <si>
    <t>Manufacturer of nutraceuticals and therapeutic products intended for various pets and swine. The company offers commercialized products, integrated research and development for various medicines and pet food helping veterinarians cure various illnesses.</t>
  </si>
  <si>
    <t>Alivira Animal Health</t>
  </si>
  <si>
    <t>190989-19T</t>
  </si>
  <si>
    <t>Alex Buelau(Alex Buelau), Andrea Chang(Andrea Chang), BITKRAFT Ventures(Malte Barth), Fernando Martinelli(Fernando Martinelli), Flori Ventures, Gabriel Dizon(Gabriel Dizon), HBS Alumni Angels of Brazil, Howard Peng(Howard Peng), Kenetic Capital, Lior Messika(Lior Messika), Mercado Bitcoin Serviços Digitais, Michiel Lescrauwaet, Prisma Capital, Redpoint eventures, Ricardo Simon(Ricardo Simon), Signum Capital, Spectra Investments, Valor Capital Group, Verve Capital, Yuan Li(Yuan Li)</t>
  </si>
  <si>
    <t>196159-15T</t>
  </si>
  <si>
    <t>4Student</t>
  </si>
  <si>
    <t>Operator of a housing portal intended to identify suitable living spaces and apartments. The company's platform lists and recommends apartments close to colleges with options for accommodation, sharing space with other students, electronics rental, and repairs on the property, enabling young individuals to transition to new locations economically and conveniently.</t>
  </si>
  <si>
    <t>194438-44T</t>
  </si>
  <si>
    <t>BLU365</t>
  </si>
  <si>
    <t>Developer of a digital trading platform designed to negotiate debts. The company's platform seeks to understand each profile before proposing a negotiation and ensures operational efficiency and effectiveness in results, enabling clients to get a high return on their investment.</t>
  </si>
  <si>
    <t>KPTL, MG Tech.</t>
  </si>
  <si>
    <t>209088-10T</t>
  </si>
  <si>
    <t>Flow Finance</t>
  </si>
  <si>
    <t>Operator of a fintech company inetdned to offer credit services to the investors. The company build specific algorithms for each credit product, combine public and private data with each partner's data to develop contextual analysis engines and take care of all communication regarding the credit line, enabling its customers to avail the platform for creating hassle-free working capital products, private payroll loans, personal loans and financing.</t>
  </si>
  <si>
    <t>206479-81T</t>
  </si>
  <si>
    <t>Spacecaps</t>
  </si>
  <si>
    <t>Operator of a community platform intended for democratizing player ownership. The company, through its subsidiaries, specializes in gaming applications based on blockchain, non-fungible tokens and cryptocurrencies, enabling players and sports enthusiasts to play and earn through web3 games.</t>
  </si>
  <si>
    <t>Kora Management, Patron (North America)</t>
  </si>
  <si>
    <t>191419-84T</t>
  </si>
  <si>
    <t>Além da Medicina</t>
  </si>
  <si>
    <t>Developer of a medical content online platform intended to provide educational tools that can assist throughout careers. The company offers mentors for residency, soft skills, finance, accounting, and investment basics for physicians, thereby enabling students and professionals to have the necessary skills to fully exercise their vocation.</t>
  </si>
  <si>
    <t>228271-15T</t>
  </si>
  <si>
    <t>FeedLover</t>
  </si>
  <si>
    <t>Operator of a wellness platform intended to develop and engage employees throughout their journey. The company's platform helps the organization retain talent, reduce costs and promote well-being through flexible benefits like health and services, cultural voucher, education stipend, and awards, enabling employees to consolidate the payment of awards, incentives, reimbursements, and aid quickly and digitally.</t>
  </si>
  <si>
    <t>211027-06T</t>
  </si>
  <si>
    <t>Comexport</t>
  </si>
  <si>
    <t>189324-55T</t>
  </si>
  <si>
    <t>tiffins</t>
  </si>
  <si>
    <t>Developer of a merchants' platform designed to simplify the way of doing business, connecting with technology the entire chain of differentiated products in Brazil. The company's platform offers exclusive prices, a cashback system on purchases, automatic shipping, and tax calculation, payment methods that help the merchant's cash flow, and new products and stock replenishment every week, enabling businesses to simplify the way of doing business.</t>
  </si>
  <si>
    <t>Bertha Capital, ScalexOpen(João Pimentel)</t>
  </si>
  <si>
    <t>189099-37T</t>
  </si>
  <si>
    <t>Foxbit</t>
  </si>
  <si>
    <t>Developer of a crypto exchange trading platform designed to offer secure transactions and investments. The company's platform allows users to invest directly in cryptocurrencies, decentralized finance tokens, stablecoins, metaverse tokens, non-fungible tokens, and games, enabling investors to get crypto products for investments and diversify their portfolios.</t>
  </si>
  <si>
    <t>OK Group</t>
  </si>
  <si>
    <t>220957-48T</t>
  </si>
  <si>
    <t>Jaicar Autopeças</t>
  </si>
  <si>
    <t>Retailer of automotive products intended to offer physical stores, computerized delivery systems and telesales. The company offers alternators, batteries, keys and switches, electrical components, ignition, cooling, belts and tensioners, clutches, filters and brakes. , offering the customers original national and imported automotive parts from the light line</t>
  </si>
  <si>
    <t>Advent International(Wilson Rosa), Fortbras Autopeças</t>
  </si>
  <si>
    <t>192168-55T</t>
  </si>
  <si>
    <t>Trade Vale</t>
  </si>
  <si>
    <t>Provider of insurance brokerage services intended for transporters, shippers, manufacturers and distributors. The company offers insurance brokerage services including cargo insurance, transportation insurance, international transportation insurance, financial risk insurance and environmental damage insurance enabling its clients to access insurance services at a cost-effective price.</t>
  </si>
  <si>
    <t>188877-25T</t>
  </si>
  <si>
    <t>Greenpass (Financial Software)</t>
  </si>
  <si>
    <t>Developer of a suite of white-label electronic toll platforms designed to solve logistics and urban mobility across Brazil. The company's platforms are used for automatic payment of parking operators , shippers, carriers and freight payment service providers, toll vouchers, cargo marketplaces and fleet management companies</t>
  </si>
  <si>
    <t>Ticket Log</t>
  </si>
  <si>
    <t>215506-36T</t>
  </si>
  <si>
    <t>Medpass Brazil</t>
  </si>
  <si>
    <t>Developer of a preventive and personalized health and wellness platform designed to provide individualized care. The company offers an assessment of the health risk profile of the client's employees and also the predictability of future expenses, enabling healthcare practitioners to create structured and individualized action plans and organizations to reduce employee health impact on the firm's operations.</t>
  </si>
  <si>
    <t>194460-49T</t>
  </si>
  <si>
    <t>Ouvidor Digital</t>
  </si>
  <si>
    <t>Developer of detecting fraud and unethical conduct platform designed to protect companies from lawsuits and financial losses. The company's platform offers a personalized website with the client's visual identity and a communication channel for employees to register their complaints safely and anonymously, helping companies reduce unethical behavior and fraud.</t>
  </si>
  <si>
    <t>Bossa Invest, Raio Capital</t>
  </si>
  <si>
    <t>233686-09T</t>
  </si>
  <si>
    <t>Ventos de Santa Amelia Holding</t>
  </si>
  <si>
    <t>Operator of a wind energy company based in Maracanau, Brazil.</t>
  </si>
  <si>
    <t>Braskem (Industrial Chemicals) (BVMF: BRKM3)</t>
  </si>
  <si>
    <t>233689-06T</t>
  </si>
  <si>
    <t>Ventos de Santo Abelardo</t>
  </si>
  <si>
    <t>Operator of wind energy plants based in Maracanau, Brazil. The company engages in the generation of renewable energy.</t>
  </si>
  <si>
    <t>211185-10T</t>
  </si>
  <si>
    <t>Operator of a online agricultural store based in Campo Grande, Brazil. The company offers sale of rural and agricultural veterinary products.</t>
  </si>
  <si>
    <t>199572-04T</t>
  </si>
  <si>
    <t>BossaBox</t>
  </si>
  <si>
    <t>Developer of a digital platform designed for assembling specialized teams for product development and technology management. The company's platform facilitates the formation of on-demand squads with contractually guaranteed performance, integrating senior professionals with expertise in product and technology, enabling businesses to accelerate innovation strategies and enhance operational effectiveness.</t>
  </si>
  <si>
    <t>189117-82T</t>
  </si>
  <si>
    <t>Vinci Compass Investments (NAS: VINP)(José Pano)</t>
  </si>
  <si>
    <t>294009-76T</t>
  </si>
  <si>
    <t>Guigs</t>
  </si>
  <si>
    <t>Developer of travel technology software designed for booking optimization purposes. The company's platform integrates automated rebooking systems, dynamic pricing analysis, integration with reservation platforms, business intelligence tools, fraud prevention mechanisms, customizable API solutions, and operational efficiency enhancements, enabling travel agencies, tour operators, and hospitality providers to maximize revenue potential, streamline booking processes, and improve cost management strategies.</t>
  </si>
  <si>
    <t>Netactica Colombia</t>
  </si>
  <si>
    <t>188897-86T</t>
  </si>
  <si>
    <t>Purifica</t>
  </si>
  <si>
    <t>Producer of plant-based beverages intended for vegan consumers. The company offers healthy drinks that are made from almond milk, cashew nut milk, coconut milk, and sugar-free spreads, enabling consumers to have non-dairy, sustainable food products.</t>
  </si>
  <si>
    <t>189052-84T</t>
  </si>
  <si>
    <t>210194-83T</t>
  </si>
  <si>
    <t>ZapSign Data Processing</t>
  </si>
  <si>
    <t>Developer of an electronic and digital signature platform designed for document management. The company's platform includes automated document creation, secure signature collection, legal validity, multi-device compatibility, and integration with existing systems, enabling businesses to streamline their document workflows and ensure compliance.</t>
  </si>
  <si>
    <t>Truora(Maite Telleria)</t>
  </si>
  <si>
    <t>205494-49T</t>
  </si>
  <si>
    <t>Cizino</t>
  </si>
  <si>
    <t>Developer of a project management platform designed to offer a better way to retain talent. The company offers a platform where businesses can monitor, manage, retain, and talent development employees and connect and engage with teams, enabling businesses to track people analytics, culture, employee experience, and engagement to make better decisions.</t>
  </si>
  <si>
    <t>209553-49T</t>
  </si>
  <si>
    <t>CredRisk Seguros Sociedade de Corretagem de Seguros de Crédito e Garantias</t>
  </si>
  <si>
    <t>Provider of credit insurance and brokerage services based in Sao Paulo, Brazil. The company offers credit, warranty, consultancy and specialty insurance programs to its clients, thereby offering personalized services at reasonable prices.</t>
  </si>
  <si>
    <t>213671-44T</t>
  </si>
  <si>
    <t>Sanar</t>
  </si>
  <si>
    <t>Publisher of books and online courses intended to help medical students achieve professional and academic goals. The company creates teaching materials for healthcare professionals, as well as caters to students studying for medical careers, enabling customers to increase their knowledge base through self-paced learning.</t>
  </si>
  <si>
    <t>Altitude (Sao Paulo), Valor Capital Group, Vox Capital(Gilberto Ribeiro de Oliveira Filho)</t>
  </si>
  <si>
    <t>188743-24T</t>
  </si>
  <si>
    <t>AcertPix</t>
  </si>
  <si>
    <t>Developer of an automated document analysis platform designed for a secure document validation process. The company's platform uses proprietary artificial intelligence and computer vision algorithms to automate the compliance, fraud prevention and customer identification process as well as verify an average document in a short period, enabling businesses to bring agility and accuracy to the onboarding process.</t>
  </si>
  <si>
    <t>Credits Brasil(Bruno Lozi)</t>
  </si>
  <si>
    <t>188722-45T</t>
  </si>
  <si>
    <t>188234-02T</t>
  </si>
  <si>
    <t>Alexia Ventures(Patrick Arippol), André Penha(André Penha), Componente, DGF Investimentos</t>
  </si>
  <si>
    <t>204266-17T</t>
  </si>
  <si>
    <t>ScalexOpen</t>
  </si>
  <si>
    <t>251909-29T</t>
  </si>
  <si>
    <t>Unmaze</t>
  </si>
  <si>
    <t>Developer of a digital platform designed to offer English course with content aimed at the work and life environment. The company's platform offers language classes, consultation with a psychologist, and training, enabling clients to have a platform for educational content.</t>
  </si>
  <si>
    <t>265484-44T</t>
  </si>
  <si>
    <t>XPerience</t>
  </si>
  <si>
    <t>Developer of a digital learning platform intended to transform unappealing education models by adding amazing virtual interactive experiences for students. The company's platform allows the creation of augmented reality content that integrates materials and physical environments with virtual interactions, enabling students to achieve immersive learning experiences that can be accessed in class or anywhere else.</t>
  </si>
  <si>
    <t>296041-51T</t>
  </si>
  <si>
    <t>Cartdigi</t>
  </si>
  <si>
    <t>Provider of software solutions for notary offices and civil registry services, intended to support legal documentation and property registration processes. The company develops specialized digital platforms for real estate registration, notary services, registry, civil records and document titles, enabling streamlined compliance with Brazilian legal standards and enhancing operational efficiency for extrajudicial offices.</t>
  </si>
  <si>
    <t>182696-59T</t>
  </si>
  <si>
    <t>DX Gameworks</t>
  </si>
  <si>
    <t>Operator of a game development company intended to develop the Brazilian and LatAm gaming ecosystem. The company helps studios produce, launch, and publish games with the go-to-market experience for game development and design, enabling customers to receive quality professional services from localization to character development and animation.</t>
  </si>
  <si>
    <t>189886-87T</t>
  </si>
  <si>
    <t>220957-57T</t>
  </si>
  <si>
    <t>RVM</t>
  </si>
  <si>
    <t>Operator of an online credit platform designed to simplify access to personal credit intended to serve in Santa Catarina, Brazil. The company offers prepayment of receivables and loans with property guarantees and acts as a bank correspondent to transfer money securely within one business day using the available limit of the credit card as a guarantee, thereby enabling customers to obtain loans with the lowest market rates.</t>
  </si>
  <si>
    <t>Credoro, Feba Capital(Fabio Espindula)</t>
  </si>
  <si>
    <t>181121-05T</t>
  </si>
  <si>
    <t>CyberLabs, GP Investments (LUX: GPINA)(Danilo Gamboa), Spice Private Equity</t>
  </si>
  <si>
    <t>188500-24T</t>
  </si>
  <si>
    <t>Ben Hamner(Ben Hamner), Brian Requarth(Brian Requarth), Harvard Management Company(Shashank Mathur), Miguel Burger-Calderon(Miguel Burger-Calderon), Mike Mahlkow(Mike Mahlkow)</t>
  </si>
  <si>
    <t>188572-06T</t>
  </si>
  <si>
    <t>KPTL(Mariana Caetano)</t>
  </si>
  <si>
    <t>188014-33T</t>
  </si>
  <si>
    <t>Trace Finance</t>
  </si>
  <si>
    <t>Developer of a financial platform designed to help Latin American startups move money. The company's platform assists Latina startups that have already raised capital abroad, to create global accounts without a substantial waiting time and facilitates international money transfers, while also offering RDE-IED, RDE-ROF, CDNR and other paralegal services at no additional cost, enabling clients to have access to alternatives that revolutionize the foreign exchange market and global banking for startups in Latin America.</t>
  </si>
  <si>
    <t>3cubed Ventures, BlockFi(Zachary Prince), Circle Ventures, HOF Capital, Magic Fund, Mantis VC(Alex Pall), Marcelo Sampaio(Marcelo Sampaio), Mercado Bitcoin Serviços Digitais, Miguel Fernández-Lapique(Miguel Fernández-Lapique), Nordstar Partners, Oliver Jung(Oliver Jung), Stellar, The Chainsmokers(Alex Pall)</t>
  </si>
  <si>
    <t>187307-65T</t>
  </si>
  <si>
    <t>Indicator Capital(Fabio Iunis de Paula), Pharus, Telefónica Ventures, Wayra Brazil(Gabriela Toribio)</t>
  </si>
  <si>
    <t>199744-30T</t>
  </si>
  <si>
    <t>188444-44T</t>
  </si>
  <si>
    <t>Equilibrium (Business/Productivity Software)</t>
  </si>
  <si>
    <t>Developer of a transportation management system created to economically simplify the process of moving cargo. The company's platform offers across-the continent, small package, truckload, global offerings, and supply chain freight services with a single source of accountability, enabling the shippers and freight managers to receive the latest technology capabilities combined with value-added services to create customized programs for each customer's unique transportation needs.</t>
  </si>
  <si>
    <t>188504-83T</t>
  </si>
  <si>
    <t>MasterBarter</t>
  </si>
  <si>
    <t>Developer of agriculture business financial technology designed to make the barter system accessible to small and medium-sized rural producers. The company's platform provides a digital account and credit card aimed at rural producers to access credit or inputs using agricultural production as currency, providing small and medium-sized rural producers with tools to modernize barter operations.</t>
  </si>
  <si>
    <t>Fram Capital (BVMF: RCFA11), Parallax Ventures</t>
  </si>
  <si>
    <t>188423-65T</t>
  </si>
  <si>
    <t>Developer of a digital banking platform designed to unite technologies to simplify users' financial experience. The company's platform provides banking services to its users without needing a physical branch and makes payments, issues slips, and buys with its virtual cards, enabling customers to access their bank transactions from their smartphones without hassle.</t>
  </si>
  <si>
    <t>Across Capital Partners(Rafael Costa), Banco Bilbao Vizcaya Argentaria (MAD: BBVA), Everstake Capital, Flourish Ventures, Kube VC, MG Tech., Realm Capital Ventures</t>
  </si>
  <si>
    <t>194438-71T</t>
  </si>
  <si>
    <t>210785-32T</t>
  </si>
  <si>
    <t>CapTable</t>
  </si>
  <si>
    <t>Operator of a financial platform intended to provide investments for startups. The company's platform specializes in crowdfunding transactions and making connections between the entire ecosystem, leveraging business growth with great return potential for investors who want to contribute to the growth of the startup, enabling clients to easily get funding.</t>
  </si>
  <si>
    <t>StartSe</t>
  </si>
  <si>
    <t>184475-53T</t>
  </si>
  <si>
    <t>Paranaíta Transmissora</t>
  </si>
  <si>
    <t>Operator of an electricity transmitting substation intended to prioritize sustainable development. The company's business activities include construction, operation and maintenance of transmission assets through partnerships and technical staff, enabling local residents to have access to a reliable source of electricity at an affordable price.</t>
  </si>
  <si>
    <t>202272-85T</t>
  </si>
  <si>
    <t>Proxpect</t>
  </si>
  <si>
    <t>Operator of an online platform intended to connect industry buyers, suppliers, and carriers with cost reduction and time optimization. The company's platform generates online business between buying and supplying companies, allowing the supplier to have an online sales channel and for the buyer to be able to easily buy from partner suppliers without having to request quotes, enabling sellers to capture more customers and sell their products at best possible prices.</t>
  </si>
  <si>
    <t>188265-52T</t>
  </si>
  <si>
    <t>Bossa Invest(João Kepler), DOMO.VC(Franco Pontillo), OBr.global</t>
  </si>
  <si>
    <t>292584-61T</t>
  </si>
  <si>
    <t>America's Cultivation Corridor</t>
  </si>
  <si>
    <t>188281-63T</t>
  </si>
  <si>
    <t>Tiba (Business/Productivity Software)</t>
  </si>
  <si>
    <t>Developer of finance management platform designed to simplify sales with partial payment options. The company's software takes care of everything from accounting to inventories, accounts payable and receivable, and even payroll, enabling businesses to improve product affordability with the help of pay-in installment features.</t>
  </si>
  <si>
    <t>188433-64T</t>
  </si>
  <si>
    <t>Vobi (Bussiness/Productivity Software)</t>
  </si>
  <si>
    <t>Developer of a business management platform intended for home building and remodeling companies. The company offers software that manages projects from start to finish, collaborates with their customers, plans, quotes, and makes purchases or payments to suppliers, all in one place, enabling small businesses in the residential construction industry to manage their projects by eliminating administrative and manual tasks.</t>
  </si>
  <si>
    <t>Airborne Ventures, Corona Families, MAR ventures (Brazil), The Goldfarb(Martin Goldfarb), Y Combinator</t>
  </si>
  <si>
    <t>189882-19T</t>
  </si>
  <si>
    <t>Wap</t>
  </si>
  <si>
    <t>Operator of an electronics retail platform designed to offer domestic cleaning appliances. The company's platform offers easy-to-use machines that are based on innovation and practicality for daily housekeeping activities along with bringing efficiency and saving water, enabling consumers to incorporate transformational attributes for clean and healthy indoors.</t>
  </si>
  <si>
    <t>Echo Capital, Grupo Malwee, Guilherme Weege(Guilherme Weege), PIPO Capital, Quartz (Brazil)</t>
  </si>
  <si>
    <t>188330-77T</t>
  </si>
  <si>
    <t>Comunique-se</t>
  </si>
  <si>
    <t>Developer of a marketing and communication platform designed to connect brands to their audiences. The company's platform covers influence marketing, investor relations and corporate television communication technology, enabling businesses to boost reputation and create optimal positioning in the market.</t>
  </si>
  <si>
    <t>KNEWIN(Lucas Nazário)</t>
  </si>
  <si>
    <t>188228-17T</t>
  </si>
  <si>
    <t>EEmóvel</t>
  </si>
  <si>
    <t>Developer of a web platform designed to support real estate professionals. The company's platform offers real-time market information, valuation tools, and analytics to help agents and brokers identify growth opportunities, and manage risk, enabling real estate professionals to improve their efficiency.</t>
  </si>
  <si>
    <t>Cyma Desenvolvimento Imobiliário</t>
  </si>
  <si>
    <t>189524-89T</t>
  </si>
  <si>
    <t>Equatorial SA holds equity interests in other companies, consortia, and ventures that operate in the electric power sector or related activities and other sectors.</t>
  </si>
  <si>
    <t>197048-89T</t>
  </si>
  <si>
    <t>iUPay</t>
  </si>
  <si>
    <t>Operator of a fintech platform intended to offer payment services. The company's platform offers services for capturing, aggregating, organizing, and paying bank charges, slips, and agreements, creating a wallet model that generates greater retention, providing digital banks and FinTech companies with a better payment experience.</t>
  </si>
  <si>
    <t>BRQ Solucoes em Informatica (BVMF: BRQB3), HBS Alumni Angels of Brazil(Glauber Mota), Wayra Brazil</t>
  </si>
  <si>
    <t>186115-42T</t>
  </si>
  <si>
    <t>210311-65T</t>
  </si>
  <si>
    <t>BID Token</t>
  </si>
  <si>
    <t>Operator of a legal fintech company intended to serve lawyers and advisors. The company operates a platform to digitize the work of asset originators, providing a pre-analysis of assets and fitting for the institutional investor.</t>
  </si>
  <si>
    <t>Bloxs(Felipe Souto)</t>
  </si>
  <si>
    <t>191559-25T</t>
  </si>
  <si>
    <t>ComDinheiro</t>
  </si>
  <si>
    <t>Operator of a market information, data and market intelligence provider company intended to serve the financial market. The company offers an integrated system of financial databases that includes investment funds, fixed income, equities, indexes, currencies, commodities, derivatives and investment portfolios, thereby enabling clients to save time, customize, track and compare accurately to increase their sales.</t>
  </si>
  <si>
    <t>188382-70T</t>
  </si>
  <si>
    <t>Contmatic Phoenix</t>
  </si>
  <si>
    <t>Developer of accounting, administrative and management software for accounts, tax and labor areas. The company offers cloud accounting systems and ERP software for automatic file importing, payroll processing, purchasing control, product billing and inventory control, thereby helping clients reduce costs and improve customer communication.</t>
  </si>
  <si>
    <t>188064-37T</t>
  </si>
  <si>
    <t>GrupoRV</t>
  </si>
  <si>
    <t>Developer of a real estate asset inspection platform designed for the execution of standardized surveys. The company's platform is a cloud-based digital service that conducts surveys and detailed reviews of the properties and their surrounding areas, enabling real estate investors and property buyers with secure, precise, and efficient real estate market services anywhere in the country.</t>
  </si>
  <si>
    <t>DOMO.VC, G5 Investimentos, Invisto, Oria Capital(Jorge Steffens), Spectra Investments, Terracotta Ventures</t>
  </si>
  <si>
    <t>211147-84T</t>
  </si>
  <si>
    <t>Bossa Invest, Plug and Play Tech Center</t>
  </si>
  <si>
    <t>209059-93T</t>
  </si>
  <si>
    <t>208920-43T</t>
  </si>
  <si>
    <t>Kapture (Financial Software)</t>
  </si>
  <si>
    <t>Developer of investment platform designed to assist investors in sourcing and building alternative investment assets. The company's platform allows users to find private equity and alternative asset investment opportunities, and key performance indicators of assets, and track and manage investment portfolios, enabling investors and investment professionals to invest and earn returns.</t>
  </si>
  <si>
    <t>210349-54T</t>
  </si>
  <si>
    <t>Nova Fibra Telecom</t>
  </si>
  <si>
    <t>Provider of internet services committed to delivering services that value technology and innovation. The company offers broadband internet solutions via optical fiber and radio, fiber internet, landline, monitoring, vehicle tracking and data center solutions, thereby helping customers with a totally secure structure, data recovery, business continuity and backup.</t>
  </si>
  <si>
    <t>187915-15T</t>
  </si>
  <si>
    <t>SAJ ADV</t>
  </si>
  <si>
    <t>Developer of a legal software solution designed for agile, safe and efficient law firm management. The company specializes in translating knowledge into solutions, helping justice, public management and construction industry clients simplify and generate more value.</t>
  </si>
  <si>
    <t>178492-33T</t>
  </si>
  <si>
    <t>180 Seguros</t>
  </si>
  <si>
    <t>Operator of an insurance company intended to transform the model of consuming and distributing insurance. The company acts as a middleman between insurers and companies and identifies the best insurance plans and products, enabling clients to sell insurance products innovatively and digitally.</t>
  </si>
  <si>
    <t>8VC(Jake Medwell), Atlantico Partners, Canary (Brazil), Dragoneer Investment Group, Monashees, Norte Ventures, Quartz (Brazil), Rainfall Ventures(Ron Rofé), Spectra Investments</t>
  </si>
  <si>
    <t>210087-73T</t>
  </si>
  <si>
    <t>Brasprefer Impermeabilizantes</t>
  </si>
  <si>
    <t>Distributor of construction chemicals catering to the civil construction market. The company offers tape, blanket tops, adhesive tape, mortar, real estate paints and asphalt lines.</t>
  </si>
  <si>
    <t>Saint-Gobain do Brasil Produtos Industriais e para Construção</t>
  </si>
  <si>
    <t>187853-68T</t>
  </si>
  <si>
    <t>Conpass</t>
  </si>
  <si>
    <t>Developer of a user onboarding software designed to create customer interactions within the system. The company's software helps to focus on increasing sales and retention and offers product and engagement marketing campaigns, enabling clients to increase their revenues.</t>
  </si>
  <si>
    <t>187766-92T</t>
  </si>
  <si>
    <t>Lojas Avenida</t>
  </si>
  <si>
    <t>Retailer of clothing and accessories intended for customers across the Midwest and Northern regions of Brazil. The company offers men's, women's and children's clothing, shoes, accessories, household appliances and electronics products through its physical stores and online platform, delivering efficient shopping experience.</t>
  </si>
  <si>
    <t>Pepkor Holdings (JSE: PPH)(Leon Lourens)</t>
  </si>
  <si>
    <t>201201-13T</t>
  </si>
  <si>
    <t>Pearson Education Do Brasil (Pearson Global School and Mentes do Amanhã)</t>
  </si>
  <si>
    <t>Provider of bilingual courseware and supplemental teaching services based in Brazil. The company focuses on providing social-emotional learning, financial literacy, and technology skills through bilingual multicultural education, helping customers progress in their lives through access to different worldviews.</t>
  </si>
  <si>
    <t>191427-04T</t>
  </si>
  <si>
    <t>Rialma Transmissora de Energia III</t>
  </si>
  <si>
    <t>Grupo Energia Bogota (BOG: GEB)(Juan Ortega)</t>
  </si>
  <si>
    <t>189682-66T</t>
  </si>
  <si>
    <t>194455-27T</t>
  </si>
  <si>
    <t>Ekyte</t>
  </si>
  <si>
    <t>Developer of a digital marketing management platform designed to build, launch, and optimize marketing strategies. The company's platform guides and accelerates digital marketing teams to plan campaigns through ideas, lists, and reminders and helps control production and fulfillment with ready-made flows and templates and trains to improve results with intelligent indicators, enabling businesses to make decisions and grow business through online and offline networking platforms.</t>
  </si>
  <si>
    <t>Bossa Invest, Hotmart</t>
  </si>
  <si>
    <t>187912-36T</t>
  </si>
  <si>
    <t>Olho do Dono</t>
  </si>
  <si>
    <t>Developer of a camera software designed to calculate the weight of cattle and other animals. The company's software uses a portable three-dimensional camera to estimate cattle weight with other important details, enabling cattle owners to monitor livestock weight evolution in a frequent and stress-free manner.</t>
  </si>
  <si>
    <t>Antera Gestão de Recursos, Primatec</t>
  </si>
  <si>
    <t>293643-64T</t>
  </si>
  <si>
    <t>Quero Meus Direitos</t>
  </si>
  <si>
    <t>Developer of a civic tech software designed to focus on consumer law and labor law. The company connects consumers and workers who have had their rights violated to specialized lawyers through an agile, uncomplicated model, with no cost of conflict resolution, enabling clients with accessible, uncomplicated and intuitive software.</t>
  </si>
  <si>
    <t>187703-83T</t>
  </si>
  <si>
    <t>BR Angels, GVAngels, Spin Capital (Jaraguá do Sul), Urca Angels</t>
  </si>
  <si>
    <t>197427-34T</t>
  </si>
  <si>
    <t>189397-18T</t>
  </si>
  <si>
    <t>Acton (Brazil)</t>
  </si>
  <si>
    <t>Provider of real estate management services based in Itapema, Brazil. The company provides services like structural design, licensing process, sales training, sales coordination and digital advertising, thereby enabling speeding up the sale of properties.</t>
  </si>
  <si>
    <t>192014-02T</t>
  </si>
  <si>
    <t>Bossa Invest, Chris Guzowski, Gustavo Souza(Gustavo Souza), Hands On Angel, MG Tech., SaaSholic, Seed9(David Lacklen), Zachariah George(Zachariah George)</t>
  </si>
  <si>
    <t>187920-01T</t>
  </si>
  <si>
    <t>Bars over Bottles</t>
  </si>
  <si>
    <t>Manufacturer of cosmetics products intended to offer environment-friendly shampoo, conditioners, and other skincare products. The company's products include a line of shampoos, conditioners, hair care masks, and facial cleansing bars, in addition to a kids line and an intimate soap that are water-free, plastic-free, and made with natural, vegan ingredients, enabling customers to reduce the environmental impact from using shampoos.</t>
  </si>
  <si>
    <t>Caio David(Caio David), GHT4 Group, Guga Valente(Guga Valente), Rodrigo Vella(Rodrigo Vella)</t>
  </si>
  <si>
    <t>195723-37T</t>
  </si>
  <si>
    <t>bem.te.vi seguros</t>
  </si>
  <si>
    <t>Operator of an insurance-tech company intended to provide housing and credit insurance products. The company specializes in housing-related insurance services and offers simulations made for financing, enabling clients to feel protected on their housing loans and other things.</t>
  </si>
  <si>
    <t>Astella Investimentos(Daniel Chalfon), Spectra Investments, Valutia</t>
  </si>
  <si>
    <t>233567-74T</t>
  </si>
  <si>
    <t>BePay</t>
  </si>
  <si>
    <t>Operator of financial applications intended for pay, receive, and transfer, all by cell phone.</t>
  </si>
  <si>
    <t>DiDi Global (PINX: DIDIY)</t>
  </si>
  <si>
    <t>214014-88T</t>
  </si>
  <si>
    <t>BS2 DTVM</t>
  </si>
  <si>
    <t>Provider of investment brokerage services catering to the financial industry.</t>
  </si>
  <si>
    <t>209041-21T</t>
  </si>
  <si>
    <t>DOMO.VC, Torq (Brazil)(Juliana Innecco), Urca Angels</t>
  </si>
  <si>
    <t>257613-67T</t>
  </si>
  <si>
    <t>191040-58T</t>
  </si>
  <si>
    <t>Elite Investimentos</t>
  </si>
  <si>
    <t>Operator of exchange and securities brokerage firm based in Rio de Janeiro, Brazil. The company offers investment map, trading desk, public offers and investment funds, thereby enabling clients to invest in variety of investment options with security, speed and personalized service.</t>
  </si>
  <si>
    <t>178280-02T</t>
  </si>
  <si>
    <t>Finbits</t>
  </si>
  <si>
    <t>Developer of a financial platform designed to cater to open banking services. The company's platform uses modern technology and data-driven architecture that saves substantial back-office costs and allows users to access financial products by integrating bank accounts, payment means, third-party enterprise resource planning and accounting software already available in the ecosystem, enabling users to make improved financial decisions based on data intelligence and save time on non-core activities.</t>
  </si>
  <si>
    <t>AcNext Capital, Alexia Ventures(Patrick Arippol), Grão (São Paulo), Maromar Investimentos, Muralha Capital, Provence Partners, TheVentureCity</t>
  </si>
  <si>
    <t>187635-61T</t>
  </si>
  <si>
    <t>Intergraus</t>
  </si>
  <si>
    <t>Provider of education courses based in Sao Paulo, Brazil. The company offers competitive entrance exams education and doubt solving sessions, thereby allowing students to develop more in-depth content, clarify doubts and solve exercises of varying degrees of difficulty in the classroom itself.</t>
  </si>
  <si>
    <t>Bahema Educacao (BVMF: BIED3)</t>
  </si>
  <si>
    <t>233071-39T</t>
  </si>
  <si>
    <t>194456-89T</t>
  </si>
  <si>
    <t>Keeps</t>
  </si>
  <si>
    <t>Developer of a corporate training platform designed to educate employees. The company uses artificial intelligence, collaboration, mobility, and modular learning experiences to leverage knowledge gain, enabling clients to deliver engaging and effective training experiences.</t>
  </si>
  <si>
    <t>196286-14T</t>
  </si>
  <si>
    <t>Leiturinha</t>
  </si>
  <si>
    <t>Operator of a book subscription platform intended to deliver curated content that awakens creativity and imagination in children. The company's platform offers books by considering the phases of the child and the selections follow a line of development, enabling children to have fun while reading.</t>
  </si>
  <si>
    <t>Sandbox Group</t>
  </si>
  <si>
    <t>249990-40T</t>
  </si>
  <si>
    <t>Leuven Kingdom</t>
  </si>
  <si>
    <t>Operator of a brewery intended to offer craft beers. The company offers Belgian-style beer and other crafted beers, enabling consumers to enjoy quality beers.</t>
  </si>
  <si>
    <t>219627-46T</t>
  </si>
  <si>
    <t>Mobile2you</t>
  </si>
  <si>
    <t>Provider of mobile application development service catering to startup and corporate sectors. The company offers the development of tailor-made financial products, transforming business rules into applications.</t>
  </si>
  <si>
    <t>95363-65T</t>
  </si>
  <si>
    <t>Rogue Snail</t>
  </si>
  <si>
    <t>Operator of a game development studio intended to develop various online games for the entertainment of customers. The company's studio designs and publishes a range of video games that have animated characters letting its users stay engaged in war-mimicking gaming environments, enabling gaming enthusiasts to play single and multi-player downloadable games across multiple platforms.</t>
  </si>
  <si>
    <t>133097-05T</t>
  </si>
  <si>
    <t>Suflex</t>
  </si>
  <si>
    <t>Developer of a kitchen operating system designed to disentangle and create an honest and transparent food market. The company's system contains intelligence and visibility to food market operators for a healthy and efficient operation that makes the food simple and smart, enabling the organization to improve the work environment, management dynamics, and relationships in the food market.</t>
  </si>
  <si>
    <t>Benny Goldenberg(Benny Goldenberg), Daniel Arbix(Daniel Arbix), Devas Invest, Graphene Ventures(Arnaldo Goldemberg), Guilherme Potenza(Guilherme Potenza), GVAngels(Wlado Teixeira), Leonardo Longo(Leonardo Longo), Marcelo Cherto(Marcelo Cherto), Philippe de Grivel(Philippe de Grivel)</t>
  </si>
  <si>
    <t>191440-63T</t>
  </si>
  <si>
    <t>Vidia (Healthcare Services)</t>
  </si>
  <si>
    <t>Provider of healthcare information and plans intended to help hospitals connect with patients without health insurance. The company's digital platform offers access to health care in the form of packages including a medical team, surgical center, exams, consultations, materials and hospital stay among others, enabling patients to arrange health care materials and hospital stay with transparent pricing.</t>
  </si>
  <si>
    <t>Caravela Capital, Head &amp; Heart Capital, K50 Ventures, Niu Ventures, Preface Ventures, StaminaVC, Verve Capital</t>
  </si>
  <si>
    <t>189885-70T</t>
  </si>
  <si>
    <t>Grupo Vision Sistemas</t>
  </si>
  <si>
    <t>Distributor of solar energy based in Minas Gerais, Brazil.</t>
  </si>
  <si>
    <t>Alsol Energias Renováveis(Roberta Godoi)</t>
  </si>
  <si>
    <t>214334-83T</t>
  </si>
  <si>
    <t>Orinter Tour &amp; Travel</t>
  </si>
  <si>
    <t>Operator of a travel agency intended to offer tourism and hospitality services. The company's services include travel arrangements, hotel reservations, reception, tours, circuits, excursions, cruise reservations, and setting up air and land packages.</t>
  </si>
  <si>
    <t>185886-55T</t>
  </si>
  <si>
    <t>Tevec</t>
  </si>
  <si>
    <t>Developer of a supply chain management platform designed to apply artificial intelligence to forecast demand behavior and replenishment of points of sale. The company's platform accurately identifies data series behavioral patterns and factors that affect customers, anticipating demand with high accuracy, including constant and seasonal sales, marketing campaigns and changes in consumer economic behavior, enabling businesses to forecast demand and perform optimized fulfillment in logistics chains reducing operating costs.</t>
  </si>
  <si>
    <t>Infracommerce CXaaS (BVMF: IFCM3)(Kai Schoppen)</t>
  </si>
  <si>
    <t>232954-12T</t>
  </si>
  <si>
    <t>Unbox</t>
  </si>
  <si>
    <t>Developer of an online business platform designed to let sellers create their own online brand and start selling immediately. The company's platform lets small and medium-sized enterprises (SMEs) create a virtual store with their own brand and all the necessary resources to start selling online, as a means of payment, logistics, and digital marketing services, natively integrated, enabling SMEs to have a business structure to serve its consumer in several channels and automate its processes without having to make any initial investment.</t>
  </si>
  <si>
    <t>192503-17T</t>
  </si>
  <si>
    <t>Prisma Capital</t>
  </si>
  <si>
    <t>241363-54T</t>
  </si>
  <si>
    <t>Producer and supplier of biomethane based in Rio de Janeiro, Brazil. The company generates biogas from waste products and landfills, as well as supplies biogas for domestic use through pipes.</t>
  </si>
  <si>
    <t>Urca Energia Group</t>
  </si>
  <si>
    <t>211377-52T</t>
  </si>
  <si>
    <t>Global Payments (Brazilian Unit)</t>
  </si>
  <si>
    <t>Payment software and technology business operations in Brazil.</t>
  </si>
  <si>
    <t>210995-02T</t>
  </si>
  <si>
    <t>Mutuus</t>
  </si>
  <si>
    <t>Provider of a digital insurance broker intended to simplify and facilitate the decision to purchase insurance. The company offers online quotes, comparisons, and information regarding life, business, cargo, guarantees, and other insurance products, enabling clients to seek better insurance prices and conditions from the top insurance companies.</t>
  </si>
  <si>
    <t>287223-67T</t>
  </si>
  <si>
    <t>Panorama Last Mile Sbc (BVMF: PNLM11)</t>
  </si>
  <si>
    <t>Panorama Last Mile Sbc Fundo De Investimento Imobiliario is a Real Estate Investment Trust.</t>
  </si>
  <si>
    <t>187460-47T</t>
  </si>
  <si>
    <t>Angel Ventures Mexico, Ecoa Capital, Endeavor Promessas, Lever VC, Vox Capital</t>
  </si>
  <si>
    <t>187318-54T</t>
  </si>
  <si>
    <t>Oico</t>
  </si>
  <si>
    <t>Operator of an online marketplace intended for the management of construction materials. The company's platform helps to manage orders and provides a price-and-quote service, invoicing, and order tracking along with making deliveries, and processing payments, enabling clients with better product availability and purchasing experience.</t>
  </si>
  <si>
    <t>CSN Inova Ventures, FJ Labs, Jonathan Wasserstrum(Jonathan Wasserstrum), Maya Capital (Brazil), Spectra Investments, Tiger Global Management, Valor Capital Group(Antoine Colaço)</t>
  </si>
  <si>
    <t>190773-46T</t>
  </si>
  <si>
    <t>Rehagro</t>
  </si>
  <si>
    <t>Operator of an agribusiness education system intended to provide applicable knowledge to professionals. The company specializes in revolutionizing Brazilian agribusiness, offering education and maximum field experience applied within the classroom, enabling students with technical support from qualified teachers to create a portfolio of projects that will facilitate entry into the job market.</t>
  </si>
  <si>
    <t>10b - Gestora de Recursos(Marcelo Lopo Lima), Good Karma Partners(Patricia Nader)</t>
  </si>
  <si>
    <t>192645-55T</t>
  </si>
  <si>
    <t>Stima Energia</t>
  </si>
  <si>
    <t>Provider of electricity trading services based intended to free the energy market in Brazil. The company offers fixed power purchase agreements indexed spot prices and contract, modulation, and swap services thereby helping clients to reduce market inefficiencies and increase the competitiveness as well as the liquidity of the electricity trading market.</t>
  </si>
  <si>
    <t>Mitsui &amp; Company (TKS: 8031)(Kenichi Hori)</t>
  </si>
  <si>
    <t>187678-45T</t>
  </si>
  <si>
    <t>Zletric</t>
  </si>
  <si>
    <t>Developer of an electric vehicle charging network designed for clean energy in a network of stations. The company's platform offers charging services for residents as well as for commercial spaces, enabling users to use mobile applications to manage, access, and find electric vehicle charging in real time.</t>
  </si>
  <si>
    <t>210085-30T</t>
  </si>
  <si>
    <t>Biorc Investimentos</t>
  </si>
  <si>
    <t>Provider of financial services catering to private companies and legal entities. The company provides credit solutions, payroll loans, investment advice and risk management as well as offers easy financial solutions through its app, thereby offering financial solutions with payroll and private credit to the clients.</t>
  </si>
  <si>
    <t>187286-41T</t>
  </si>
  <si>
    <t>Cobre Fácil Online</t>
  </si>
  <si>
    <t>Provider of a collection management platform intended to facilitate the issuance and management of bank bills and credit card charges. The company's platform offers bureaucratic agreements, automated payment, easy access via mobile, tablet or computer, customized invoices, access to invoice history and also offers collection alerts, enabling users to receive automatically generated monthly payments and easily manage their charges and receive payments through a registered ticket.</t>
  </si>
  <si>
    <t>Credoro(Marcos Tridapalli), Feba Capital(Fabio Espindula)</t>
  </si>
  <si>
    <t>187282-09T</t>
  </si>
  <si>
    <t>Credoro</t>
  </si>
  <si>
    <t>Operator of an online credit platform designed to simplify access to personal credit. The company acts as a bank correspondent to transfer money securely within one business day using the available limit of the credit card as a guarantee, enabling customers to avoid additional credit card and bank transfer fees.</t>
  </si>
  <si>
    <t>Feba Capital(Fabio Espindula)</t>
  </si>
  <si>
    <t>211718-80T</t>
  </si>
  <si>
    <t>Quiq (Application Software)</t>
  </si>
  <si>
    <t>Developer of a digital platform intended to provide online food order management services. The company's platform provides management of online orders for restaurants, connecting the various delivery apps directly to the POS (Point of sale) systems of the restaurants, enabling clients to receive orders from delivery apps in a fast and convenient way.</t>
  </si>
  <si>
    <t>187310-35T</t>
  </si>
  <si>
    <t>187406-92T</t>
  </si>
  <si>
    <t>Bossa Invest, DOMO.VC, Rock9 Ventures</t>
  </si>
  <si>
    <t>184104-64T</t>
  </si>
  <si>
    <t>Clocktower Ventures, EquitasVC, Hedosophia, John Curtius, Monashees, Norte Ventures, Picus Capital, QED Investors, Spectra Investments, Valor Capital Group</t>
  </si>
  <si>
    <t>184406-77T</t>
  </si>
  <si>
    <t>Woba (Business/Productivity Software)</t>
  </si>
  <si>
    <t>Developer of a digital platform designed to offer a co-working space to help businesses settle their startups in shared spaces. The company's platform offers closed and open spaces, a fully-equipped boarding room, meeting rooms, a living area, Wi-Fi, and different events to expand the network with other startups and investors, enabling businesses to grow their venture without relying on intermediate real estate agents for space.</t>
  </si>
  <si>
    <t>Kaszek(Hernan Kazah), Latitud(Brian Requarth), Spectra Investments, Valor Capital Group</t>
  </si>
  <si>
    <t>220178-35T</t>
  </si>
  <si>
    <t>Agrozap</t>
  </si>
  <si>
    <t>Supplier of agricultural products based in Uberaba, Brazil. The company offers agricultural defensives, seeds, fertilizers, specialties and biological products for the crops in southeastern Brazil.</t>
  </si>
  <si>
    <t>Lavoro (NAS: LVRO)(Marcelo Abud)</t>
  </si>
  <si>
    <t>211133-71T</t>
  </si>
  <si>
    <t>Capitalz</t>
  </si>
  <si>
    <t>Provider of investment banking services intended to serve entrepreneurs, institutional investors and technology companies. The company offers a range of customized products.</t>
  </si>
  <si>
    <t>Stark Capital</t>
  </si>
  <si>
    <t>199442-62T</t>
  </si>
  <si>
    <t>Banco Do Nordeste (BVMF: BNBR3)</t>
  </si>
  <si>
    <t>190418-41T</t>
  </si>
  <si>
    <t>Denq (Financial Software)</t>
  </si>
  <si>
    <t>Developer of a LATAM blockchain-based digital bank designed to offer robo-advisory investments and a proprietary credit score to create a bridge between the region and the EU. The company's platform helps users to create a digital account that places consumers first by offering a seamless first-rate experience despite being fully digital, enabling users to get personalized services and education among others, whether in investments, loans, insurance, or even currency exchange.</t>
  </si>
  <si>
    <t>Tenity</t>
  </si>
  <si>
    <t>187091-56T</t>
  </si>
  <si>
    <t>Alter Global, Andreessen Horowitz, Carlos Julio Ottati(Carlos Julio Ottati), Founders Fund, Greenoaks Capital Partners, Greylock(Michael Duboe), Hans Tung(Hans Tung), Maya Capital (Brazil), Monashees, NXTP Ventures, ONEVC, Pear (California), Tiger Global Management</t>
  </si>
  <si>
    <t>187280-11T</t>
  </si>
  <si>
    <t>Legiti</t>
  </si>
  <si>
    <t>Developer of an anti-fraud platform intended to secure credit card payments for e-commerce. The company's defense platform uses a data-centric approach combining scalable, high-available infrastructure, highly adaptive machine learning models, and an automated process for dealing with fraud, enabling e-commerce businesses to perform efficiently with a secured network.</t>
  </si>
  <si>
    <t>Global Founders Capital, Iporanga Ventures, Kaszek, Picus Capital</t>
  </si>
  <si>
    <t>190058-59T</t>
  </si>
  <si>
    <t>Daniel Magalhães(Daniel Magalhães), Paulo Silva(Paulo Silva)</t>
  </si>
  <si>
    <t>210822-40T</t>
  </si>
  <si>
    <t>Polvo Tickets</t>
  </si>
  <si>
    <t>Operator of an event-organizing platform based in Santa Maria, Brazil. The company engages in creating slots and involve in ticket sales for the events.</t>
  </si>
  <si>
    <t>Topedindo</t>
  </si>
  <si>
    <t>181474-66T</t>
  </si>
  <si>
    <t>Provider of energy management and trading services catering to the retail, residence, business, agribusiness, health and education sectors. The company specializes in the commercialization and distribution of electricity, renewable energy sources, generator management, energy consulting, and efficiency solutions, enabling clients to optimize their energy costs and save money.</t>
  </si>
  <si>
    <t>187146-91T</t>
  </si>
  <si>
    <t>Live On</t>
  </si>
  <si>
    <t>Provider of digital financial solutions based in Sao Paulo, Brazil. The company offers varied services such as payment, credit, banking and insurance, enabling clients to have a digital bank with features, customizing components and services.</t>
  </si>
  <si>
    <t>Banco Modal(Cristiano Ayres)</t>
  </si>
  <si>
    <t>207055-09T</t>
  </si>
  <si>
    <t>Restin</t>
  </si>
  <si>
    <t>Developer of a digital platform intended to bring social impact to reduce food waste in Brazil. The company's platform connects food industry products with food services, which can be used as raw materials in production, enabling the food sector to have a medium for assistance with sustainability.</t>
  </si>
  <si>
    <t>Carol Paiffer(Carol Paiffer), FEA Angels</t>
  </si>
  <si>
    <t>182463-58T</t>
  </si>
  <si>
    <t>SWAP</t>
  </si>
  <si>
    <t>Developer of a Banking as a Service (Baas) platform designed to offer financial services through secure integrations. The company's platform and card processor create the infrastructure for payments for vertical SaaS (software as a service) companies and fintech looking to launch employee benefits programs, corporate expenses management programs, and other adjacent financial services, enabling businesses to have a convenient, flexible, and secure payment system.</t>
  </si>
  <si>
    <t>BRL Trust, Fegik Investimentos, FJ Labs, Flourish Ventures, Global Founders Capital, Justin Mateen(Justin Mateen), ONEVC, Rahul Mehta(Rahul Mehta), ScaleUP Ventures, Soma Capital, Tiger Global Management</t>
  </si>
  <si>
    <t>211153-06T</t>
  </si>
  <si>
    <t>187083-01T</t>
  </si>
  <si>
    <t>50T, Blockchain Fond, Hesperian Ventures, JPMorgan Elect, K3 Diversity Ventures, Mercado Libre Fund(André Chaves)</t>
  </si>
  <si>
    <t>207682-93T</t>
  </si>
  <si>
    <t>Napp (Business/Productivity Software)</t>
  </si>
  <si>
    <t>Developer of an artificial intelligence-based omnichannel platform designed for retail businesses to break through offline to online barriers. The company's platform offers to connect, digitize and transform physical stores through online inventory management, digitization of catalog, synchronization of stock &amp; price of products and logistics services, enabling clients with security and intelligence to expand the business.</t>
  </si>
  <si>
    <t>Hindiana, The Next Billion</t>
  </si>
  <si>
    <t>256589-92T</t>
  </si>
  <si>
    <t>SOMA ( Entertainment Software)</t>
  </si>
  <si>
    <t>Developer of an NFT gaming platform intended to serve individuals in the blockchain gaming ecosystem.</t>
  </si>
  <si>
    <t>Bayz(Matt Rutledge)</t>
  </si>
  <si>
    <t>149079-70T</t>
  </si>
  <si>
    <t>SuperSim</t>
  </si>
  <si>
    <t>Provider of online personal loan lending services intended to grant microcredit to individuals. The company's data and technology approve money to low-income clients with no credit alternatives in the market and ask for their mobile phones as collateral, enabling customers to borrow required funds.</t>
  </si>
  <si>
    <t>IDC Ventures, MG Tech., Milenio</t>
  </si>
  <si>
    <t>186841-63T</t>
  </si>
  <si>
    <t>AG Tech (Brazil), AG Ventures, Barn Investimentos, BFC Capital (Brazil), Continental Grain Company, Provence Partners, SP Ventures, Spectra Investments, Valor Capital Group</t>
  </si>
  <si>
    <t>207346-33T</t>
  </si>
  <si>
    <t>Giganet Group</t>
  </si>
  <si>
    <t>Provider of internet broadband services intended to serve commercial clients. The company leverages optical fiber networks and radio communication technology, thereby enabling customers with fast and stable internet connections.</t>
  </si>
  <si>
    <t>274293-28T</t>
  </si>
  <si>
    <t>Infoa2 Evolution</t>
  </si>
  <si>
    <t>Provider of IT services intended to serve companies globally. The company offers cloud solutions, IT consulting, software factories and a digital warehouse, providing clients with market advantages.</t>
  </si>
  <si>
    <t>Taking(Luiz Afonso)</t>
  </si>
  <si>
    <t>187061-41T</t>
  </si>
  <si>
    <t>TB Comércio de Perfumes</t>
  </si>
  <si>
    <t>Manufacturer and distributor of luxury goods intended for home and personal use. The company offers a variety of exclusive products such as home perfumes, air fresheners, soaps, moisturizers, candles and alcohol gels, thereby helping customers to feel the intensity and reveal an experience of warmth, comfort and well-being.</t>
  </si>
  <si>
    <t>Spectra Investments, Treecorp Investimentos (BVMF: TCPF11)(Luis Lomonaco)</t>
  </si>
  <si>
    <t>288198-64T</t>
  </si>
  <si>
    <t>Start-Up Chile(Josefina Petersonn)</t>
  </si>
  <si>
    <t>185453-83T</t>
  </si>
  <si>
    <t>CVI Refrigerantes</t>
  </si>
  <si>
    <t>Producer and distributor of beverages under the Coca-Cola brand based in Santa Maria, Brazil. The company's products include water, soy-based drinks, beer, tea and energy drinks as well as isotonic and juices.</t>
  </si>
  <si>
    <t>Coca-Cola FEMSA (PINX: COCSF)(Ian Marcel Garcia)</t>
  </si>
  <si>
    <t>188352-19T</t>
  </si>
  <si>
    <t>Etag</t>
  </si>
  <si>
    <t>Developer of SaaS CRO platform intended to offer enhanced digital presence and customer conversion rate to brands. The company's platform uses AI and machine learning to transform data into relevant information which helps in building business strategies, enabling businesses to engage more with the customers and increase their customer conversion rate.</t>
  </si>
  <si>
    <t>210691-72T</t>
  </si>
  <si>
    <t>Galax Pay</t>
  </si>
  <si>
    <t>Operator of a fintech company intended to provide diversified payment processing system. The company offers a platform specialized in managing recurring payments that offers billing solutions via Credit Card, and provide application integration for payment processing and offer assistance and support through help center, helping businesses in customer billing management, digital contract, custom notifications.</t>
  </si>
  <si>
    <t>209978-11T</t>
  </si>
  <si>
    <t>HFocus</t>
  </si>
  <si>
    <t>Developer of an online platform designed to monitor customer satisfaction performance in real-time in relation to different peer groups in the health area. The platform specializes in measuring the experience and satisfaction of patients and employees in hospitals, clinics, laboratories, and health plans, allowing clients to monitor the satisfaction performance of their patients in real-time through its online portal.</t>
  </si>
  <si>
    <t>210628-63T</t>
  </si>
  <si>
    <t>Lote45</t>
  </si>
  <si>
    <t>Operator of risk management software catering to multi-family offices, insurance and reinsurance companies, pension funds and administrators. The company focuses on financial consulting, compliance, reports, control of liabilities, fund and portfolio management, providing clients with an efficient way to manage risk and asset management.</t>
  </si>
  <si>
    <t>187056-28T</t>
  </si>
  <si>
    <t>Partyou</t>
  </si>
  <si>
    <t>Developer of a payment platform designed to make group payments easy and promote financial control among student associations. The company's platform offers document regulations and accounting services, member control, and even a marketplace that allows the sale of tickets for events or products, enabling users to receive digital payments immediately in real time without the need for physical currency.</t>
  </si>
  <si>
    <t>2bCapital, Asterisk Partners, Bank Bradesco (BVMF: BBDC3), Inovabra Ventures</t>
  </si>
  <si>
    <t>284387-77T</t>
  </si>
  <si>
    <t>MasterCard (NYS: MA)</t>
  </si>
  <si>
    <t>288175-96T</t>
  </si>
  <si>
    <t>Plific</t>
  </si>
  <si>
    <t>Operator of app workers platform intended to generate access to credit for independent workers. The company offers a financial management system, and credit, enabling customers to have access to credit adapted to reality and day-to-day life.</t>
  </si>
  <si>
    <t>209166-58T</t>
  </si>
  <si>
    <t>Projuris</t>
  </si>
  <si>
    <t>Operator of a legal tech platform focused on legal departments and law firms. The company specializes in contract management, power of attorney, brands and patents, judicial deposits, permits, certificates and licenses, thereby helping clients deal with bureaucracy in their routines.</t>
  </si>
  <si>
    <t>211522-33T</t>
  </si>
  <si>
    <t>186833-17T</t>
  </si>
  <si>
    <t>Blueground(Alexandros Chatzieleftheriou), Echo Capital, Guilherme Weege(Guilherme Weege), Nelson Tanure(Nelson Tanure)</t>
  </si>
  <si>
    <t>288198-37T</t>
  </si>
  <si>
    <t>Ybyram</t>
  </si>
  <si>
    <t>Operator of a digital platform intended to bring ESG (environmental, social, and governance) practices into elementary school children. The company creates educational experiences, developing effective pedagogical processes and digital training content through learning environments based on social learning and artificial intelligence, enabling students to engage and facilitate the learning of sustainable development.</t>
  </si>
  <si>
    <t>186867-28T</t>
  </si>
  <si>
    <t>Beta Learning Consultoria e Desenvolvimento de Software</t>
  </si>
  <si>
    <t>Operator of a software development agency intended to help people and companies prepare for the digital economy. The company specializes in connecting its experts with businesses to co-create software products that solve real day-to-day problems, thereby helping people and organizations to create and evolve digital products.</t>
  </si>
  <si>
    <t>ClearSale(Bernardo Lustosa)</t>
  </si>
  <si>
    <t>192503-44T</t>
  </si>
  <si>
    <t>189219-52T</t>
  </si>
  <si>
    <t>Phidelis Tecnologia Desenvolvimento de Sistemas</t>
  </si>
  <si>
    <t>Developer of educational management software focused on improving communication between all sectors of the schooling sector. The company's platform offers real-time development of reports for registration, school pass and tuition invoice as well as features like classroom assistance, e-library and notification administration, thereby helping institutions in streamlining their activities and students in accessing support materials .</t>
  </si>
  <si>
    <t>Somos Educação</t>
  </si>
  <si>
    <t>280702-45T</t>
  </si>
  <si>
    <t>Rapier Investimentos</t>
  </si>
  <si>
    <t>Operator of an asset management firm intended to offer investment fund management and personalized wealth management solutions. The company specializes in wealth management, investment management, investment advisory, financial planning, investment services and risk management.</t>
  </si>
  <si>
    <t>187281-19T</t>
  </si>
  <si>
    <t>Alter Global, Ana McLaren(Ana McLaren), Canary (Brazil), Figueira Ventures, Gabriel Braga Vieira(Gabriel Braga Vieira), Globo Ventures, Kaszek, Maya Capital (Brazil), Paulo Silveira(Paulo Silveira), Spectra Investments, Valutia</t>
  </si>
  <si>
    <t>189052-75T</t>
  </si>
  <si>
    <t>Rio Innovation Week</t>
  </si>
  <si>
    <t>186645-43T</t>
  </si>
  <si>
    <t>Accial Capital, BoostLAB, Empirica Investimentos, Mouro Capital(Manuel Martinez), Movile(Fabio Massuda), TM3 Capital</t>
  </si>
  <si>
    <t>177049-90T</t>
  </si>
  <si>
    <t>Airborne Ventures, Discovery Ventures (Berlin), Gilgamesh Ventures, MSA Capital, Norte Ventures, Picus Capital, Quona Capital, Turim(Rodrigo Louro)</t>
  </si>
  <si>
    <t>186715-00T</t>
  </si>
  <si>
    <t>251487-91T</t>
  </si>
  <si>
    <t>Hedge Paladin Design (BVMF: HDOF11)</t>
  </si>
  <si>
    <t>Hedge Paladin Design Offices Fundo De Investimento Imobiliario is a real estate investment trust.</t>
  </si>
  <si>
    <t>190375-12T</t>
  </si>
  <si>
    <t>Developer of a financial platform designed to automate the company's accounts payable. The company's platform offers features such as automatic invoice capture, data extraction, approval workflows, and payment processing, all integrated into a single, cloud-based software, enabling startups to streamline invoice processing, improve cash flow, and reduce errors.</t>
  </si>
  <si>
    <t>Ariel Patschiki(Ariel Patschiki), Clocktower Ventures, David Arana(David Arana), Flourish Ventures, Gilgamesh Ventures, Global Founders Capital, Inspired Capital (New York), Norte Ventures, Picus Capital(Julian Roeoes), Propel Venture Partners, QED Investors, Quona Capital, Sergio Fogel Kaplan(Sergio Fogel Kaplan), Sergio Furio(Sergio Furio)</t>
  </si>
  <si>
    <t>188492-05T</t>
  </si>
  <si>
    <t>Kanttum</t>
  </si>
  <si>
    <t>Developer of an educational platform designed for teacher improvement through reflective teaching and constructive feedback. The company's platform provides tools for feedback, mentoring, and coaching to teachers, as well as evaluation and support in teacher training through class recording, enabling educational institutions to evaluate teaching methods and create a customized development plan for teachers.</t>
  </si>
  <si>
    <t>Gera Venture Capital, Salta Educacao, Warburg Pincus</t>
  </si>
  <si>
    <t>194437-54T</t>
  </si>
  <si>
    <t>Be Academy</t>
  </si>
  <si>
    <t>Developer of education platform intended to teach business in the new economy. The company's platform specializes in courses, programs, corporate universities, and education recruitment to prepare professionals and fill in the open vacancies, enabling students to focus on practice and the way to build an online business with market value, using digital marketing and entrepreneurship strategies.</t>
  </si>
  <si>
    <t>SMU Investimentos</t>
  </si>
  <si>
    <t>186559-57T</t>
  </si>
  <si>
    <t>Beeva Brazil</t>
  </si>
  <si>
    <t>Producer of natural honey and supplements intended to promote sustainable development in one of the poorest regions of the country. The company carries out actions such as the adoption of materials that reduce energy consumption and the reuse of used water which, after being filtered, committed to the state of net-zero carbon dioxide emissions helping job creation and income generation for the region's population which has one of the lowest HDI (Human Development Index) of Brazil while preserving the environment.</t>
  </si>
  <si>
    <t>Cláudia Abreu(Cláudia Abreu), CT Angels Group</t>
  </si>
  <si>
    <t>188393-95T</t>
  </si>
  <si>
    <t>Botafogo</t>
  </si>
  <si>
    <t>Operator of a professional football club based in Rio de Janeiro, Brazil. The company has teams in different sports with football being the major focus and plays in the Campeonato Brasileiro Série A, the top tier of the Brazilian football league system, and in the state of Rio de Janeiro's premier state league.</t>
  </si>
  <si>
    <t>210832-93T</t>
  </si>
  <si>
    <t>Box TI</t>
  </si>
  <si>
    <t>Developer of software for the internet based in Joinville, Brazil. The company specializes in developing software for the internet including web apps and applications, web design, develop portals that facilitate the search for information, enabling its clients to boost their business.</t>
  </si>
  <si>
    <t>Warren Investimentos(Andre Gusmao)</t>
  </si>
  <si>
    <t>186594-31T</t>
  </si>
  <si>
    <t>Bud (Business/Productivity Software)</t>
  </si>
  <si>
    <t>Developer of objectives and key results (OKR) management platform designed to implement it in a collaborative manner. The company provides a free personalized consultation to help get Objectives and Key Results for teams in a hassle-free way, strategy management in real-time, worksheet construction, allowing users to collaborate, and increasing engagement with strategy, making work a rewarding experience.</t>
  </si>
  <si>
    <t>Andrey Izyumov(Andrey Izyumov), Bossa Invest, Robledo Ribeiro(Robledo Ribeiro)</t>
  </si>
  <si>
    <t>204045-94T</t>
  </si>
  <si>
    <t>Bossa Invest, Investidores.vc</t>
  </si>
  <si>
    <t>186582-16T</t>
  </si>
  <si>
    <t>Itaú Unibanco Holding (BVMF: ITUB3)(Milton Filho)</t>
  </si>
  <si>
    <t>180287-74T</t>
  </si>
  <si>
    <t>Log-In Logistica Intermodal</t>
  </si>
  <si>
    <t>Log-In Logistica Intermodal SA is a Brazil-based logistics operator. It is engaged in the activities of long-haul maritime trade, general river and coastal transport of cargo, the operation of inland and port terminals. The company offers integrated solutions for port handling and door-to-door container transport, by sea, supplemented by distance road transportation and storage of cargo using inland intermodal terminals, and maritime bulk shipping. Its segment includes Integrated Logistics Solutions; Port Terminal and Road Cargo Transport. The company generates maximum revenue from the Integrated Logistics Solutions segment.</t>
  </si>
  <si>
    <t>MSC Mediterranean Shipping Company(Søren Toft)</t>
  </si>
  <si>
    <t>208971-91T</t>
  </si>
  <si>
    <t>Quality Digital</t>
  </si>
  <si>
    <t>Provider of consulting and technology services focused on e-commerce firms to transform technology into value for the business. The company specializes in web performance optimization, systems integrations and data-driven user experience thereby helping the electronics, fashion and supermarket industries to develop a new e-commerce infrastructure.</t>
  </si>
  <si>
    <t>Quality Software (Information Technology) (BVMF: QUSW3)(Roberto Faria)</t>
  </si>
  <si>
    <t>211592-89T</t>
  </si>
  <si>
    <t>Queensberry Viagens</t>
  </si>
  <si>
    <t>Provider of luxury tourism services intended to organize trips for Brazilian tourists visiting the United Kingdom. The company specializes in offering customized trips in small luxury groups, regular tours, cruises as well as honeymoon and wedding packages, thereby helping tourists with itineraries that cater to different styles of travel.</t>
  </si>
  <si>
    <t>186535-18T</t>
  </si>
  <si>
    <t>Bullpen Capital, Courtside Ventures, D1 Capital Partners, DST Global, Globo Ventures, Kaszek, Left Lane Capital, Nick Brito(Nick Brito), Spectra Investments, Tom Stafford(Tom Stafford), YNN Ventures</t>
  </si>
  <si>
    <t>199453-78T</t>
  </si>
  <si>
    <t>269675-29T</t>
  </si>
  <si>
    <t>186439-06T</t>
  </si>
  <si>
    <t>Gavea Marketplace</t>
  </si>
  <si>
    <t>Developer of a blockchain-based trading platform designed to revolutionize the trading industry by connecting buyers and sellers. The company's platform simplifies the trading, execution, and settlement of physical commodities by making the whole process efficient and cheap for participants, enabling investors to trade in a safe and transparent environment.</t>
  </si>
  <si>
    <t>Astella Investimentos(Marcelo Sato), DOMO.VC, Hindiana, Marcos Viriato(Marcos Viriato), Mercado Bitcoin Serviços Digitais(Roberto Dagnoni), Spectra Investments, Torq (Brazil)</t>
  </si>
  <si>
    <t>186456-25T</t>
  </si>
  <si>
    <t>Honey Island Capital(Mariana Foresti), Kinea Investimentos (BVMF: KNHY11)(Philippe Schlumpf), Oliveira Trust (BVMF: DMAC11)</t>
  </si>
  <si>
    <t>233225-02T</t>
  </si>
  <si>
    <t>Mobiauto</t>
  </si>
  <si>
    <t>Operator of an online platform focused on automobile retail. The company specializes in buying and selling cars, motorcycles, trucks, finding car parts, accessories and obtaining car financing, thereby helping the community in Brazil with the purchase and sale of vehicles.</t>
  </si>
  <si>
    <t>Banco Pan</t>
  </si>
  <si>
    <t>211031-47T</t>
  </si>
  <si>
    <t>Agrocria</t>
  </si>
  <si>
    <t>Operator of an animal nutrition and pasture seed company intended to serve the veterinary sector. The company provides nutritional products for beef cattle, dairy cattle, confinement, sheep, and horses, and works with a complete line of mineral supplementation and seeds for pastures.</t>
  </si>
  <si>
    <t>Premix(Marco Guidolin)</t>
  </si>
  <si>
    <t>252180-10T</t>
  </si>
  <si>
    <t>Alianza Multioffices (BVMF: MTOF11)</t>
  </si>
  <si>
    <t>Alianza Multioffices - Fundo DE Investimento Imobiliario is a real estate investment trust.</t>
  </si>
  <si>
    <t>178212-43T</t>
  </si>
  <si>
    <t>Allu.</t>
  </si>
  <si>
    <t>Operator of an electronics subscription company intended to help customers find any devices they would like to use for rent. The company's platform offers to choose any electronic device with the ideal plan and use it without any hassle and with the best possible protection, enabling customers to have access to devices they want at a reasonable cost.</t>
  </si>
  <si>
    <t>Sapiensbank</t>
  </si>
  <si>
    <t>186361-21T</t>
  </si>
  <si>
    <t>Nana Delivery</t>
  </si>
  <si>
    <t>Operator of an online retail platform designed to deliver groceries in less time. The company installs dark stores across the cities and offers a wide variety of products and carefully selects the products and delivers them, enabling consumers to get access to a quick and cheaper grocery shopping experience.</t>
  </si>
  <si>
    <t>Canary (Brazil), Maya Capital (Brazil), Presight Capital(Fabian Hansen)</t>
  </si>
  <si>
    <t>186422-77T</t>
  </si>
  <si>
    <t>Paraty Capital</t>
  </si>
  <si>
    <t>Operator of an asset management fund focused on the private equity, venture capital, search funds and corporate venture industries. The company manages investment funds that invest in companies operating in the most varied segments, such as agribusiness, health, food, logistics, education, consortium management, retail, equipment leasing, information technology, e-commerce, among others, thereby providing end-to-end fund administration solutions.</t>
  </si>
  <si>
    <t>CVC Capital Partners (AMS: CVC)(Ivo Lurvink), TMF Group(Andrew O'Shea)</t>
  </si>
  <si>
    <t>179710-12T</t>
  </si>
  <si>
    <t>A.Partners, Aloniq, AngelsDeck Venture Capital Club, Baring Vostok Capital Partners, Begin Capital, Concentric, Disruptive.vc, FJ Labs, GuruDev Capital, Sergey Solonin(Sergey Solonin), Smart Partnership Capital</t>
  </si>
  <si>
    <t>251572-96T</t>
  </si>
  <si>
    <t>Fundo DE Investimento Imobiliario - BRL Prop II (BVMF: RZZR11)</t>
  </si>
  <si>
    <t>Raizz Renda Logistica Fundo De Investimento Imobiliario formerly Fundo DE Investimento Imobiliario - BRL Prop II is a real estate investment trust. The company's purpose is to obtain income and capital gains through the exploration of real estate projects in the logistics sector.</t>
  </si>
  <si>
    <t>186257-62T</t>
  </si>
  <si>
    <t>InovaMind</t>
  </si>
  <si>
    <t>Developer of a risk management platform designed to create digital products and services for onboarding, identity validation and background checks. The company's platform is based on cognitive computing, big data and artificial intelligence technology that innovates OCR to shorter registrations and increases the conversion rate to ensure the identification of the person behind the purchase through face match and algorithms, thereby enabling companies to convert data into information and to fight against the fraud in their surrounding.</t>
  </si>
  <si>
    <t>187173-82T</t>
  </si>
  <si>
    <t>Labsoft Tecnologia</t>
  </si>
  <si>
    <t>Developer of laboratory information management software intended for laboratories, industrial quality, and sanitation. The company's software controls the laboratory process cycle, from the beginning of projects, experiments, batches, samples, analyses, and specifications, thereby generating value for its users and eliminating manual and repetitive processes, reducing the time to deliver results and the margin of error, resulting in more efficient, reliable and transparent laboratory processes.</t>
  </si>
  <si>
    <t>Cerralv Capital, Kilimanjaro Capital(Artur Martins), KYR Capital, Spectra Investments, WSC &amp; Company</t>
  </si>
  <si>
    <t>292582-72T</t>
  </si>
  <si>
    <t>Solubio Tecnologias Agrícolas(Alber Guedes)</t>
  </si>
  <si>
    <t>188348-77T</t>
  </si>
  <si>
    <t>InHouse Market</t>
  </si>
  <si>
    <t>Provider of mini-market services intended to offer groceries in very little time. The company offers an autonomous mini-market segment to facilitate quick purchases where stores are installed within condominiums and businesses, enabling people to avail of self-service smart markets within private spaces.</t>
  </si>
  <si>
    <t>186215-32T</t>
  </si>
  <si>
    <t>Graphene Ventures</t>
  </si>
  <si>
    <t>191494-09T</t>
  </si>
  <si>
    <t>Nitrosul Explosivos</t>
  </si>
  <si>
    <t>Manufacturer of explosives committed to providing efficient and innovative solutions for the explosives and mining sector. The company offers explosive products and accessories including anfo nitromax, nitromax emulsion packaged, nitromax pumped emulsion, and ammonium nitrate enabling its customers to access detonation products that are safe and accurate.</t>
  </si>
  <si>
    <t>Austin Powder</t>
  </si>
  <si>
    <t>190862-11T</t>
  </si>
  <si>
    <t>211315-78T</t>
  </si>
  <si>
    <t>EOS Systems (Brazil)</t>
  </si>
  <si>
    <t>Developer of a management software platform intended for the sanitation sector. The company offers development and implementation of systems in basic sanitization and environment segments, thereby enabling customers to reduce losses, increase revenue and collections and improving process controls.</t>
  </si>
  <si>
    <t>InverGroup</t>
  </si>
  <si>
    <t>211373-11T</t>
  </si>
  <si>
    <t>FretaMais</t>
  </si>
  <si>
    <t>Developer of the rental transport platform based in Sao Paulo, Brazil. The company engages in providing a platform to offer buses, minibusses and vans for rent.</t>
  </si>
  <si>
    <t>BrasilbyBus(Breno Moraes)</t>
  </si>
  <si>
    <t>186369-94T</t>
  </si>
  <si>
    <t>Plugify</t>
  </si>
  <si>
    <t>Operator of information technology-facilities-as-a-service company intended to improve organizational agility and efficiency. The company's services include service customization, service optimization, inventory management, and financial control, enabling organizations to get rid of hardware problems and focus on their core operations.</t>
  </si>
  <si>
    <t>Banco Porto Seguro, Fuse Capital (Brazil)</t>
  </si>
  <si>
    <t>192789-10T</t>
  </si>
  <si>
    <t>205398-91T</t>
  </si>
  <si>
    <t>HARDS(Marcos Buson)</t>
  </si>
  <si>
    <t>185992-75T</t>
  </si>
  <si>
    <t>Newcon Software</t>
  </si>
  <si>
    <t>Developer of accounting and business management software designed to solve the business challenges of the consortium market. The company offers a range of consortium management tools which includes accounts payable and receivable management, e-commerce management, equity and asset control, data comparison and tools support, enabling consortium managers to ensure business continuity at all stages of administration.</t>
  </si>
  <si>
    <t>185950-54T</t>
  </si>
  <si>
    <t>parentsIN</t>
  </si>
  <si>
    <t>Operator of a digital workforce support platform intended to promote career and family life integration. The company offers artificial intelligence (AI)-driven matching with job opportunities, caregiving resources, and values-aligned mentors, enabling working parents to pursue professional growth while maintaining involvement in their children's development.</t>
  </si>
  <si>
    <t>211839-22T</t>
  </si>
  <si>
    <t>198938-62T</t>
  </si>
  <si>
    <t>Anchieta Ceilândia</t>
  </si>
  <si>
    <t>Operator of a hospital; intended to promote health and well-being in an ethical and humane way. The company specializes in anesthesia, angiology, vascular surgery, cardiology, dermatology as well as endocrinology and offers emergency room, surgery center, hemodynamics, internment, laboratory, maternity, and radiology services.</t>
  </si>
  <si>
    <t>Kora Saude Participacoes(Flávio Deluiggi)</t>
  </si>
  <si>
    <t>186208-93T</t>
  </si>
  <si>
    <t>Mosaico Telecom</t>
  </si>
  <si>
    <t>Provider of broadband internet services intended to serve the cities of Balneário Piçarras, Penha, Barra Velha, Navegantes and Luiz Alves. The company engages in offering internet services via radio and fiber optic as well as website creation, digital marketing and website hosting.</t>
  </si>
  <si>
    <t>180583-75T</t>
  </si>
  <si>
    <t>Hemmer</t>
  </si>
  <si>
    <t>Producer of food products and beverages based in Blumenau, Brazil. The company's products include sauces, desserts, drinks, and other canned food items, thereby enabling the daily lives of families, and transforming affection and dedication into tasty and quality food.</t>
  </si>
  <si>
    <t>The Kraft Heinz (NAS: KHC)(Rafael Oliveira)</t>
  </si>
  <si>
    <t>247227-31T</t>
  </si>
  <si>
    <t>1SS Bank</t>
  </si>
  <si>
    <t>Developer of embedded finance infrastructure technology designed to offer integrated financial services. The company offers automation and API (Application Programming Interface) tools featuring account creation, batch payments, regulatory compliance, and AI-driven reconciliation, enabling businesses to onboard clients as account holders and streamline financial operations within their software environment.</t>
  </si>
  <si>
    <t>274980-97T</t>
  </si>
  <si>
    <t>215812-45T</t>
  </si>
  <si>
    <t>264449-17T</t>
  </si>
  <si>
    <t>233498-17T</t>
  </si>
  <si>
    <t>Acredite</t>
  </si>
  <si>
    <t>Operator of credit with a real estate guarantee platform intended to offer simple and transparent credit service. The company's platform provides access to credit with competitive interest rates, flexible terms, safely and quickly, personalized credit according to profile and guarantee, enabling businesses, and individuals to keep property as collateral and have access to the best conditions for credits on the market.</t>
  </si>
  <si>
    <t>243884-89T</t>
  </si>
  <si>
    <t>285614-56T</t>
  </si>
  <si>
    <t>Agree Credito</t>
  </si>
  <si>
    <t>Developer of a financial platform designed to connect agribusiness companies with financing opportunities. The company offers personalized services, transparency, and access to a broad network of financial institutions, enabling agricultural producers and businesses to secure the best funding options for sustainable growth.</t>
  </si>
  <si>
    <t>196230-25T</t>
  </si>
  <si>
    <t>Agrogalaxy Participacoes SA operates as an investment fund with a focus on the agribusiness value chain in Brazil and South America.</t>
  </si>
  <si>
    <t>201796-21T</t>
  </si>
  <si>
    <t>292853-35T</t>
  </si>
  <si>
    <t>Aimirim</t>
  </si>
  <si>
    <t>Developer of industrial automation technologies designed to optimize processes and reduce operational costs. The company specializes in IoT (Internet of Things) sensors, data analytics platforms, and real-time optimization tools, providing industries with tailored software that increases efficiency, lowers costs, and enhances sustainability through integration with existing systems.</t>
  </si>
  <si>
    <t>266533-03T</t>
  </si>
  <si>
    <t>Ajnatech Desenvolvimento De Solucoes</t>
  </si>
  <si>
    <t>Developer of computer vision products intended to develop tailored solutions that meet the specific needs of industrial or commercial applications.
The company offers products related to rolled steel products, conveyor belts, surface flaw detection, and solutions related to augmented reality, machine learning, and neural networks, helping commercial industries improve production efficiency by implementing advanced technological safety systems.</t>
  </si>
  <si>
    <t>226698-67T</t>
  </si>
  <si>
    <t>Positive Ventures(Andrea Kestenbaum)</t>
  </si>
  <si>
    <t>244849-15T</t>
  </si>
  <si>
    <t>Apse Cosmetics</t>
  </si>
  <si>
    <t>Manufacturer of cosmetic products based in Vitória, Brazil. The company offers a wide range of products including conditions, shampoo, body wash, masks, co-wash, curls, vegetable oils, makeup and finishers to its clients.</t>
  </si>
  <si>
    <t>Gocase</t>
  </si>
  <si>
    <t>279787-24T</t>
  </si>
  <si>
    <t>Ayurus Studios</t>
  </si>
  <si>
    <t>Developer of gaming platform based in Brazil. The company specializes in augmented reality, games and 3D modeling to integrate these technologies into digital out-of-home.</t>
  </si>
  <si>
    <t>NEOOH(Leonardo Chebly)</t>
  </si>
  <si>
    <t>244840-96T</t>
  </si>
  <si>
    <t>azBuy</t>
  </si>
  <si>
    <t>Retailer of smartphone cases intended to provide its customers with premium tech products that combine protection, style and sophistication. The company offers covers for smartphones, tablets and notebooks and specializes in straps for smartwatches.</t>
  </si>
  <si>
    <t>292845-52T</t>
  </si>
  <si>
    <t>Binahki</t>
  </si>
  <si>
    <t>Operator of an online monitoring system intended to transform energy data into indicators. The company specializes in applying automation, data intelligence, IoT and industrial connectivity to make operations more efficient, safe and profitable, enabling clients to increase productivity via automation and digitalization to reduce time and waste.</t>
  </si>
  <si>
    <t>261688-51T</t>
  </si>
  <si>
    <t>Manufacturer of biomass-based absorber materials intended for water and agricultural treatment purposes. The company offers products made from palm tree fern that can be used to contain and absorb petroleum, onshore or offshore oil spills, and can also be used as sustainable alternatives for soil fertilizer, enabling businesses and industries to reduce oil spreading and environmental pollution.</t>
  </si>
  <si>
    <t>Mohammed Bin Rashid Innovation Fund</t>
  </si>
  <si>
    <t>261694-00T</t>
  </si>
  <si>
    <t>215502-04T</t>
  </si>
  <si>
    <t>190617-40T</t>
  </si>
  <si>
    <t>Brcrowd</t>
  </si>
  <si>
    <t>Operator of a Brazilian real estate crowdfunding platform intended to help clients make smart investments. The company is currently operating in stealth mode.</t>
  </si>
  <si>
    <t>215818-39T</t>
  </si>
  <si>
    <t>Bria Saúde</t>
  </si>
  <si>
    <t>Operator of an insurance technology company intended to offer risk assessment operations for individuals. The company provides technology and analysis of statistical health data, data intelligence for decision-making, medium and long-term health statistical studies, actuarial, socioeconomic, and behavioral assumptions, and algorithm assistance in the entire underwriting process of the insurer, enabling policyholders to make an informed decision about policies.</t>
  </si>
  <si>
    <t>264269-80T</t>
  </si>
  <si>
    <t>Brisa Robótica</t>
  </si>
  <si>
    <t>Developer of robotics and autonomous systems designed to solve complex manufacturing problems. The company's systems provide cognitive and spatial awareness capabilities by utilizing robotics, machine learning, cyber-physical systems, manipulation, trajectory planning, navigation, and location, enabling businesses to redesign the process and simplify the workflow.</t>
  </si>
  <si>
    <t>263850-94T</t>
  </si>
  <si>
    <t>215621-20T</t>
  </si>
  <si>
    <t>Chavi</t>
  </si>
  <si>
    <t>Manufacturer of security devices intended to offer a smart locking system. The company product offers an application that connects to the smart lock for instant access control and it includes Bluetooth connection, notifications and alerts, real-time control, secure access, and many more, enabling consumers with safe and easy-to-access locks.</t>
  </si>
  <si>
    <t>264267-55T</t>
  </si>
  <si>
    <t>257890-06T</t>
  </si>
  <si>
    <t>Colegio CCPA</t>
  </si>
  <si>
    <t>Operator of a training school based in Aracaju, Brazil. The school teaches subjects such as applied science and maths and also provides emotional training.</t>
  </si>
  <si>
    <t>Great Schools Platform</t>
  </si>
  <si>
    <t>194980-42T</t>
  </si>
  <si>
    <t>Companhia Energética de São Paulo</t>
  </si>
  <si>
    <t>Provider of energy generation services based in Sao Paulo, Brazil. The company operates three hydroelectric plants in the Parana River in the western region of the state of Sao Paulo.</t>
  </si>
  <si>
    <t>186626-71T</t>
  </si>
  <si>
    <t>215509-42T</t>
  </si>
  <si>
    <t>296766-91T</t>
  </si>
  <si>
    <t>292851-46T</t>
  </si>
  <si>
    <t>Crave Industry</t>
  </si>
  <si>
    <t>Developer of an AI-powered data analytics platform designed for industrial manufacturing environments. The company's platform collects and contextualizes data from diverse sources, creates digital twins of production processes, and applies machine learning for real-time insights, enabling manufacturers to enhance efficiency, reduce costs, and achieve sustainability goals.</t>
  </si>
  <si>
    <t>264274-57T</t>
  </si>
  <si>
    <t>187874-65T</t>
  </si>
  <si>
    <t>Fernando Gadotti(Fernando Gadotti), Guilherme Weege(Guilherme Weege), Pedro Sirotsky(Pedro Sirotsky), Renato Freitas(Renato Freitas), Verve Capital, Y Combinator</t>
  </si>
  <si>
    <t>218960-56T</t>
  </si>
  <si>
    <t>Daslú</t>
  </si>
  <si>
    <t>Operator of a luxury goods store in Brazil. The company designs and offers a range of luxury apparel and accessories that are made from leather, chamois and imported cashmere, providing customers with quality clothing.</t>
  </si>
  <si>
    <t>258047-20T</t>
  </si>
  <si>
    <t>Declare Cripto</t>
  </si>
  <si>
    <t>Operator of a crypto tax compliance platform intended for the declaration of cryptocurrencies. The company tools generate necessary tax documents, including annual income tax declarations, monthly declarations of crypto operations, and capital gain declarations, and provide different plans and support, and expert advice to meet the obligations, enabling clients to consolidate and demonstrate analytical reports on portfolios, asset information, profits, and losses.</t>
  </si>
  <si>
    <t>The Ark Fund</t>
  </si>
  <si>
    <t>249050-53T</t>
  </si>
  <si>
    <t>Geraldo Thomaz(Geraldo Thomaz), Mariano Gomide de Faria(Mariano Gomide de Faria)</t>
  </si>
  <si>
    <t>258789-34T</t>
  </si>
  <si>
    <t>259066-00T</t>
  </si>
  <si>
    <t>Dr. Peanut</t>
  </si>
  <si>
    <t>Producer of flavored peanut butter paste catering to individuals focused on health and sports. The company offers a wide range of flavors such as white chocolate coconut, plain white chocolate, chocolate crispy, Brazilian chocolate, condensed milk, hazelnut and chocolate wafer and cookies and cream as well, providing consumers with balanced energy as per their requirements.</t>
  </si>
  <si>
    <t>Supley</t>
  </si>
  <si>
    <t>262711-99T</t>
  </si>
  <si>
    <t>UPTEC</t>
  </si>
  <si>
    <t>199843-39T</t>
  </si>
  <si>
    <t>275926-78T</t>
  </si>
  <si>
    <t>Eats For You</t>
  </si>
  <si>
    <t>Operator of a food marketplace intended to promote family income generation. The company specializes in home-cooked meals, creating social impact by connecting families passionate about cooking with companies that want to offer healthy home-cooked meals to their employees, and ensuring fair prices and convenience, enabling families to generate income with social business.</t>
  </si>
  <si>
    <t>Alelo (Other Financial Services)</t>
  </si>
  <si>
    <t>266245-57T</t>
  </si>
  <si>
    <t>292070-44T</t>
  </si>
  <si>
    <t>300276-55T</t>
  </si>
  <si>
    <t>Eletronuclear</t>
  </si>
  <si>
    <t>Producer of electricity based in Rio De Janeiro, Brazil. The company provides electricity from its power plants like Cove 1, Angra 2, and Angra 3.</t>
  </si>
  <si>
    <t>241979-77T</t>
  </si>
  <si>
    <t>215817-58T</t>
  </si>
  <si>
    <t>Favo (Electronic Equipment and Instruments)</t>
  </si>
  <si>
    <t>Developer of an automated irrigation system designed to create a smart garden and bring comfort and ease when taking care of plants. The company's device monitors crucial information for the good development of plants, such as luminosity, humidity, and temperature, enabling farmers' associations to control irrigation and monitor their plants through its application from anywhere in the world.</t>
  </si>
  <si>
    <t>Polaris Investimentos</t>
  </si>
  <si>
    <t>295752-52T</t>
  </si>
  <si>
    <t>207006-13T</t>
  </si>
  <si>
    <t>Antera Gestão de Recursos, Lightrock, Riverwood Capital, SoftBank Latin America Fund</t>
  </si>
  <si>
    <t>292584-88T</t>
  </si>
  <si>
    <t>GeoInova</t>
  </si>
  <si>
    <t>Provider of satellite monitoring services intended to detect and send alerts for identified changes. The company offers services in territorial management, urban management, and agricultural management, with main segments including mining, land division, and agriculture, also provides periodic monitoring of areas, generating reports, indicators, and alerts using satellite images, enabling clients to manage operations efficiently and stay informed.</t>
  </si>
  <si>
    <t>264271-60T</t>
  </si>
  <si>
    <t>Getter</t>
  </si>
  <si>
    <t>Developer of artificial intelligence software designed to focus on occupational health and safety, process management ,and quality control through the application of Artificial Intelligence. The company's platform manages the health, safety, quality, and productivity of the industry using AI and data science, enabling businesses to undergo digital transformation, solve real problems, and optimize business through computer vision.</t>
  </si>
  <si>
    <t>290269-36T</t>
  </si>
  <si>
    <t>Growth Supplements Produtos Alimentícios</t>
  </si>
  <si>
    <t>Manufacturer of dietary supplement products to customers. The company offers a variety of nutritional supplements geared toward different health and performance goals, products include proteins such as whey protein concentrate and isolate, amino acids, thereby providing high-quality dietary supplements at affordable prices, meeting the needs of athletes and fitness enthusiasts.</t>
  </si>
  <si>
    <t>266741-56T</t>
  </si>
  <si>
    <t>270014-32T</t>
  </si>
  <si>
    <t>Greensampa</t>
  </si>
  <si>
    <t>292594-33T</t>
  </si>
  <si>
    <t>Hipermation</t>
  </si>
  <si>
    <t>Developer of a technology platform designed to optimize processes through exponential and conventional technologies. The company's platform facilitates the development of market intelligence, business intelligence, marketing and sales, project and service management, and more services by leveraging hyperautomation, and automates key processes end-to-end for organizations across various segments, enabling clients to boost efficiency and achieve 
outcomes.</t>
  </si>
  <si>
    <t>292603-42T</t>
  </si>
  <si>
    <t>Hive Solutions</t>
  </si>
  <si>
    <t>Developer of a business management platform that integrates and automates processes across departments, providing customizable modules for operational control and remote access. The company offers a system that connects core operations like procurement, logistics, accounting, and HR (Human Resources), enabling companies to automate tasks, access data remotely, and synchronize information to streamline processes and support decision-making.</t>
  </si>
  <si>
    <t>265663-81T</t>
  </si>
  <si>
    <t>260250-31T</t>
  </si>
  <si>
    <t>Holu</t>
  </si>
  <si>
    <t>Operator of a renewable energy installation platform intended for residential and commercial electricity cost reduction. The company's platform offers services including digital simulations for cost estimation, financing options for system installation, project design and implementation, monitoring of energy generation, and technical support, enabling homeowners, businesses, and condominium residents to transition to solar energy with optimized efficiency, reduced electricity expenses, and streamlined installation processes.</t>
  </si>
  <si>
    <t>266562-28T</t>
  </si>
  <si>
    <t>Implanta (Business/Productivity Software)</t>
  </si>
  <si>
    <t>Developer of data intelligence software designed for global operations. The company provides an ideal solution to integrate data and gain traceability through artificial intelligence resources and its solutions transform captured data into essential information for the business areas of marketing, sales, logistics and finance, enabling clients to get technology and services to have greater operational efficiency and automated process.</t>
  </si>
  <si>
    <t>220533-40T</t>
  </si>
  <si>
    <t>LEGO Foundation</t>
  </si>
  <si>
    <t>267209-92T</t>
  </si>
  <si>
    <t>ACE Ventures (Commercial Services), SP Ventures</t>
  </si>
  <si>
    <t>235082-71T</t>
  </si>
  <si>
    <t>Jobis</t>
  </si>
  <si>
    <t>Provider of financial-related services based in Sao Jose dos Campos, Brazil.</t>
  </si>
  <si>
    <t>199796-77T</t>
  </si>
  <si>
    <t>205508-35T</t>
  </si>
  <si>
    <t>Kate (Financial Services)</t>
  </si>
  <si>
    <t>Operator of a blockchain platform intended to provide everyone worldwide access to alternative investments. The company's platform uses security tokens to trade SME shares on the blockchain providing greater liquidity to assets, enabling investors to trade investments worldwide without the back-office cost and converting their wallet's stablecoin.</t>
  </si>
  <si>
    <t>297536-95T</t>
  </si>
  <si>
    <t>216127-45T</t>
  </si>
  <si>
    <t>Kitbaco</t>
  </si>
  <si>
    <t>Developer of a home material e-commerce platform, intended to build homes at a low cost. The company provides various types of home materials ranging from bathroom accessories to kitchen and laundry for homes, enabling homeowners to decorate and build their homes on their budget.</t>
  </si>
  <si>
    <t>241350-85T</t>
  </si>
  <si>
    <t>Laços Assist</t>
  </si>
  <si>
    <t>Provider of life and health insurance services based in Sao Paulo, Brazil.</t>
  </si>
  <si>
    <t>244350-82T</t>
  </si>
  <si>
    <t>Learn to Fly</t>
  </si>
  <si>
    <t>Developer of a human development platform designed to foster socio-emotional skills. The company offers individualized and scalable human development, integrating neuroscience, positive psychology, technology, and mentoring, enabling companies and organizations to strengthen culture, build support networks, reduce turnover, enhance productivity, and increase employee well-being and engagement.</t>
  </si>
  <si>
    <t>249110-20T</t>
  </si>
  <si>
    <t>RTM (IT Consulting and Outsourcing)</t>
  </si>
  <si>
    <t>287915-95T</t>
  </si>
  <si>
    <t>Livela</t>
  </si>
  <si>
    <t>Operator of a video commerce platform based in Sao Paulo, Brazil. The company is currently operating in Stealth mode.</t>
  </si>
  <si>
    <t>Acrew Capital, Sukhinder Singh Cassidy(Sukhinder Singh Cassidy)</t>
  </si>
  <si>
    <t>264269-08T</t>
  </si>
  <si>
    <t>284319-28T</t>
  </si>
  <si>
    <t>BrazilLAB</t>
  </si>
  <si>
    <t>223274-98T</t>
  </si>
  <si>
    <t>294822-10T</t>
  </si>
  <si>
    <t>MyDoor</t>
  </si>
  <si>
    <t>Provider of a real estate platform designed for shared purchasing models and a global club of high-end homes. The company offers casas mydoor, a co-ownership system allowing groups of 2 to 8 partners to purchase homes together, and mydoor club, a subscription-based second-home platform granting exclusive access to premium destinations, also manages, decorates, and maintains properties, enabling clients to enjoy hassle-free ownership and luxury living.</t>
  </si>
  <si>
    <t>Apex Partners (Brazil), RTSC Group</t>
  </si>
  <si>
    <t>275109-04T</t>
  </si>
  <si>
    <t>NeoPro</t>
  </si>
  <si>
    <t>Developer of a sales management app intended for multi-store retail businesses. The company's platform provides artificial intelligence automated performance metrics and goal projections and presents information on a real-time basis for decision-making, enabling salespeople, managers, supervisors and directors of physical stores to monitor performance time.</t>
  </si>
  <si>
    <t>Jander Martins(Jander Sousa Martins)</t>
  </si>
  <si>
    <t>200070-37T</t>
  </si>
  <si>
    <t>233116-39T</t>
  </si>
  <si>
    <t>New Age Viagens e Turismo</t>
  </si>
  <si>
    <t>Operator of a travel agency intended for national and international travel. The company offers creation, planning and organization of trips, thereby focusing on quality and obtaining the results proposed by the company.</t>
  </si>
  <si>
    <t>Teresa Perez Tours(Tomas Perez)</t>
  </si>
  <si>
    <t>261373-15T</t>
  </si>
  <si>
    <t>268522-66T</t>
  </si>
  <si>
    <t>Mene &amp; Portella(Túlio Mêne)</t>
  </si>
  <si>
    <t>233760-52T</t>
  </si>
  <si>
    <t>Ola Podcasts</t>
  </si>
  <si>
    <t>Operator of a podcast platform based in Rio De Janeiro, Brazil. The company engages in creating, hosting, distributing and curating original podcast channels.</t>
  </si>
  <si>
    <t>194723-20T</t>
  </si>
  <si>
    <t>Omni-electronica</t>
  </si>
  <si>
    <t>Developer of sensor technology designed to sense and control the smart building. The company offers indoor air quality monitoring systems, soil monitoring and precision agriculture electronics, and custom sensors and also provides services like technology consulting and internet of things-based analytics, enabling businesses to reduce energy costs, innovate green roofs, and maintain effective construction of sensor networks.</t>
  </si>
  <si>
    <t>185178-07T</t>
  </si>
  <si>
    <t>Open Co Tecnologia</t>
  </si>
  <si>
    <t>Operator of a credit fintech platform intended to offer customers fair access to credit facilities. The company's platform leverages digital technologies that improve access to financial services, enabling customers to get unsecured loans in a hassle-free way in Brazil.</t>
  </si>
  <si>
    <t>BRZ Investimentos, Endeavor Promessas, FJ Labs, IFC(American TV channel), International Finance (Washington D.C.), LTS Investments, Mercado Libre Fund, Quona Capital, Raiz Investimentos, SoftBank Latin America Fund(Felipe Fujiwara)</t>
  </si>
  <si>
    <t>213010-84T</t>
  </si>
  <si>
    <t>Own Financial Services</t>
  </si>
  <si>
    <t>Operator of white-label financial services intended for credit as a service system for offering prepayment and credit with collateral for receivables. The company specializes in card customization, internet banking, applications, point of sale, and all systems contracted in the white label model, enabling companies with the full acquiring modules as a service to make it possible to build their own operation with the main brands in the market.</t>
  </si>
  <si>
    <t>Tutto Investments</t>
  </si>
  <si>
    <t>292076-65T</t>
  </si>
  <si>
    <t>Panorama Farmacêutico</t>
  </si>
  <si>
    <t>Operator of an online news media platform intended for delivering pharmaceutical news and updates. The company publishes information on industry, commerce, retail, wholesale, distribution, logistics, IT, consulting, marketing, suppliers, and government agencies, enabling frontline professionals to access news and daily updates related to pharmacies and drugstores.</t>
  </si>
  <si>
    <t>288317-44T</t>
  </si>
  <si>
    <t>216118-45T</t>
  </si>
  <si>
    <t>Phosfato</t>
  </si>
  <si>
    <t>Operator of a photo subscription club intended to deliver photos monthly to customers' homes in formats they demanded. The company's services primarily involve photo printing services that simplify the process of choosing and developing photos, enabling customers to revisit their memories by sending a pack of printed photos every month.</t>
  </si>
  <si>
    <t>221096-17T</t>
  </si>
  <si>
    <t>Piraporiando</t>
  </si>
  <si>
    <t>Provider of educational programs and services intended to focus on cultural diversity. The company uses a social impact educational technology that works in favor of anti-racist, anti-bullying, anti-prejudice education and the promotion of gender equity and develops projects and other actions to encourage reading to contribute to the fulfillment of children's rights, enabling children and other age groups to be read and be enlightened to contribute to guaranteeing childhood and children's rights.</t>
  </si>
  <si>
    <t>Imaginable Futures Services</t>
  </si>
  <si>
    <t>289403-11T</t>
  </si>
  <si>
    <t>Planne</t>
  </si>
  <si>
    <t>Developer of an e-commerce platform designed to sell tickets, vouchers, and reservations online. The company's platform develops a process that is very close to customers and can deliver simple, effective, and innovative technologies to complex problems on a large scale, enabling restaurants, museums, travel agencies, and many other businesses to accept bookings with advance payment.</t>
  </si>
  <si>
    <t>StaminaVC, Surfside Capital</t>
  </si>
  <si>
    <t>292596-31T</t>
  </si>
  <si>
    <t>PYPIV</t>
  </si>
  <si>
    <t>Manufacturer of waste-to-energy systems intended to convert waste into energy. The company develops and implements energy recovery technologies like pyrolysis for businesses, transforming their waste streams into usable energy, cost savings, carbon credits, and enhanced sustainability; furthermore, the company has engineered an innovative pyrolyzer system applicable to vehicles, enabling clients with the on-site conversion of waste into a fuel source, thereby positioning vehicles as mobile recyclers and offering a novel alternative fuel.</t>
  </si>
  <si>
    <t>198837-55T</t>
  </si>
  <si>
    <t>Qstione</t>
  </si>
  <si>
    <t>Operator of a digital learning platform intended to digitalize the education system. The company's platform offers software that manages teaching plans in which school matrices are used as a reference and also provides personalized performance indicators for teachers and students to create an evaluative culture of excellence, adding pedagogical values to the faculty, enabling educational institutes to access tools to structure more contextualized and standardized assessments and contribute to the overall growth of the students.</t>
  </si>
  <si>
    <t>SQUARE Knowledge Ventures(Alex Pinheiro)</t>
  </si>
  <si>
    <t>273587-95T</t>
  </si>
  <si>
    <t>QualityHub</t>
  </si>
  <si>
    <t>Developer of digitalization software designed to connect the factory floor and optimize quality processes. The company's software helps to reduce effort to manage audits, inspections, lean, and continuous improvement and provides real-time indicators to optimize decision-making on the factory floor and at the management level, enabling clients with decision-making aimed at the continuous improvement of the company to become more intuitive.</t>
  </si>
  <si>
    <t>167327-65T</t>
  </si>
  <si>
    <t>RecargaPay Instituição de Pagamento</t>
  </si>
  <si>
    <t>Developer of an all-in-one payment platform designed to provide secure and easy access to mobile payments and financial services. The company's platform creates a mobile money ecosystem where banked and unbanked users interact with each other making it easy to cash in via credit cards, debit cards, and loans, enabling customers and merchants to complete essential transactions with convenience and safety.</t>
  </si>
  <si>
    <t>ATW Partners(Antonio Ruiz-Giménez), Experian Ventures, Fuel Venture Capital(Jeffrey Ransdell), IDB Invest(James Scriven), IDC Ventures(Bobby Aitkenhead), Lei Wang(Lei Wang), LUN Partners Group, McWin Partners(Henry McGovern), SquareOne Capital, Steven Roussey(Steven Roussey)</t>
  </si>
  <si>
    <t>267522-49T</t>
  </si>
  <si>
    <t>Recigases</t>
  </si>
  <si>
    <t>Provider of a gas regeneration service intended to preserve the atmosphere and prevent CO2 equivalent from being ventilated. The company cleans, analyzes, and certifies refrigerant gases and provides cylinders and collectors for rent, enabling clients to collect their refrigerant gas easily at affordable cost.</t>
  </si>
  <si>
    <t>215125-84T</t>
  </si>
  <si>
    <t>Recrut.ai</t>
  </si>
  <si>
    <t>Developer of recruitment software designed to revolutionize the recruitment and selection process through the use of artificial intelligence algorithms. The company's platform offers cognitive screening, location analysis, automated interview scheduling, feedback, creation, approval, and more, helping the talent acquisition department manage human resources.</t>
  </si>
  <si>
    <t>111 Investment Partners</t>
  </si>
  <si>
    <t>190544-77T</t>
  </si>
  <si>
    <t>Recrutei</t>
  </si>
  <si>
    <t>Developer of a subscription-based recruitment and selection software designed to optimize the entire hiring process. The company's software facilitates recruiters to advertise vacancies, manage their selection processes, apply behavioral analysis to talents, manage metrics, and better communicate with candidates, enabling small and medium businesses to hire candidates, conduct structured interviews, and make data-driven hiring decisions.</t>
  </si>
  <si>
    <t>Bossa Invest, DOMO.VC, FEA Angels, Fundo Anjo(Fundo Anjo)</t>
  </si>
  <si>
    <t>215342-02T</t>
  </si>
  <si>
    <t>Redação Online</t>
  </si>
  <si>
    <t>Operator of an educational platform intended to provide the necessary skills and information on essay writing. The company offers a platform that helps students to choose a topic and write an essay on that topic, which further gets corrected by the tutors on the platform, enabling students and learners to have a platform that assists with essay scores, learning and improving their communication skills and performance.</t>
  </si>
  <si>
    <t>Bossa Invest, Din4mo Ventures, Raio Capital, Synthase Impact Ventures, The Anga Group, Thiago Bazilio(Thiago Bazilio)</t>
  </si>
  <si>
    <t>247230-46T</t>
  </si>
  <si>
    <t>292601-35T</t>
  </si>
  <si>
    <t>Scaffold Education</t>
  </si>
  <si>
    <t>Developer of corporate learning software designed to enhance organizational training and development. The company specializes in AI-assisted course creation, personalized content delivery, and integrated performance analytics, enabling businesses and institutions to streamline employee education, reduce training costs, and improve learner engagement through customized, multilingual platforms.</t>
  </si>
  <si>
    <t>190212-13T</t>
  </si>
  <si>
    <t>Guide Investimentos(Felipe Steinfeld)</t>
  </si>
  <si>
    <t>267686-56T</t>
  </si>
  <si>
    <t>Sipremo</t>
  </si>
  <si>
    <t>Developer of a climate risk management technology designed to make smart decisions from a climate perspective. The company offers forecasting and monitoring of climate events using public and private data to anticipate weather patterns and estimate their impact on operations, enabling enterprises to streamline operations, enhance decision-making, and improve overall efficiency.</t>
  </si>
  <si>
    <t>265539-88T</t>
  </si>
  <si>
    <t>214646-05T</t>
  </si>
  <si>
    <t>Solar Coca-Cola</t>
  </si>
  <si>
    <t>Producer of beverages products based in Ceara, Brazil. The company specializes in the production of beverages for consumers which includes soft drinks, juices, tea, water, dairy, vegetable-based drinks, energy drinks, beer and hydroponics and isotonic.</t>
  </si>
  <si>
    <t>Simões Group</t>
  </si>
  <si>
    <t>239543-83T</t>
  </si>
  <si>
    <t>Solar Inove</t>
  </si>
  <si>
    <t>Distributor of photovoltaic energy generation machinery and equipment based in Santa Catarina, Brazil.</t>
  </si>
  <si>
    <t>289455-40T</t>
  </si>
  <si>
    <t>Rock9 Ventures</t>
  </si>
  <si>
    <t>295561-90T</t>
  </si>
  <si>
    <t>292676-41T</t>
  </si>
  <si>
    <t>Supply Brain</t>
  </si>
  <si>
    <t>Developer of supply chain software designed for supply chain planning processes. The company's platform offers AI-driven automation to optimize supply chain and purchasing planning designed to anticipate future demands, receive supply suggestions in real-time, and maintain an ideal inventory balance, reducing waste and avoiding stockouts.</t>
  </si>
  <si>
    <t>207008-47T</t>
  </si>
  <si>
    <t>TM Quant</t>
  </si>
  <si>
    <t>Operator of algorithm-based automated stock market analytics platform intended to serve investors with market statistics. The company's platform provides stock market data with quantitative strategies involving data science and artificial intelligence, enabling investors to build automated trading models through an algorithm that automates stock market analysis.</t>
  </si>
  <si>
    <t>256340-80T</t>
  </si>
  <si>
    <t>TolVeg</t>
  </si>
  <si>
    <t>Manufacture of agriculture device intended for the growth of a plant. The company offers products that are pesticide-free and sustainable, obtained from cutting-edge technology of international quality, and microbial origin with good results on different plant species, including tobacco, cotton, and passion fruit, enabling businesses to increase productivity in the field, improving agricultural methods, making production in the field happen in a safe and sustainable way.</t>
  </si>
  <si>
    <t>189389-89T</t>
  </si>
  <si>
    <t>TopWay School</t>
  </si>
  <si>
    <t>Operator of a chain of educational centres throughout Brazil. The company provides different courses both offline and online, therefore enabling to help clients to learn the English language.</t>
  </si>
  <si>
    <t>225568-27T</t>
  </si>
  <si>
    <t>Toro Participações</t>
  </si>
  <si>
    <t>Operator of a holding company focused on long-term investments. The company specializes in business and brand development, industry and trading, management and marketing.</t>
  </si>
  <si>
    <t>Banco Santander (MAD: SAN)</t>
  </si>
  <si>
    <t>210526-21T</t>
  </si>
  <si>
    <t>Tutu Cash</t>
  </si>
  <si>
    <t>Developer of a fintech platform intended to streamline financial tasks for entrepreneurs. The company's platform specializes in simplifying and removing friction from B2B relationships in the supply chain between suppliers and retailers by giving their integrated payment system which allows more deadlines and credit to its customers with the guarantee of receipt, enabling companies to boost sales throughout the supply chain.</t>
  </si>
  <si>
    <t>258454-36T</t>
  </si>
  <si>
    <t>UnicoRH</t>
  </si>
  <si>
    <t>Developer of digital HR systems designed to streamline and modernize recruitment processes. The company offers an automated platform for digital admissions and benefits selection, enabling HR professionals and candidates to simplify document submission and expedite the hiring process.</t>
  </si>
  <si>
    <t>H.I.G. Capital(Fernando Oliveira), LG Lugar de Gente</t>
  </si>
  <si>
    <t>198801-82T</t>
  </si>
  <si>
    <t>Operator Partners, Picus Capital</t>
  </si>
  <si>
    <t>277314-85T</t>
  </si>
  <si>
    <t>Ver-o-Fruto</t>
  </si>
  <si>
    <t>Manufacturer of soap and shampoo bars intended to use filters made from açaí seeds. The company uses plant-based products and represents a step towards environmental conservation, providing customers of all skin types with eco-friendly and effective options.</t>
  </si>
  <si>
    <t>Young Water Solutions</t>
  </si>
  <si>
    <t>292159-18T</t>
  </si>
  <si>
    <t>Virgoo</t>
  </si>
  <si>
    <t>Developer of a digital platform intended to support the operations of food service businesses. The company offers tools such as online ordering with direct messaging integration, a waiter application with digital menu via QR code, and modules for cash management, inventory, invoicing, and reporting, enabling restaurants to streamline their services for both in-person and remote customers, manage their business processes.</t>
  </si>
  <si>
    <t>292854-79T</t>
  </si>
  <si>
    <t>215552-08T</t>
  </si>
  <si>
    <t>Vizir Software Studio</t>
  </si>
  <si>
    <t>Developer of custom software and mobile applications designed for business clients. The company offers web development, mobile development, software testing, lean inception and automated test development, thereby helping businesses to transform digitally.</t>
  </si>
  <si>
    <t>Questrade</t>
  </si>
  <si>
    <t>209553-58T</t>
  </si>
  <si>
    <t>201533-59T</t>
  </si>
  <si>
    <t>Novo Capital</t>
  </si>
  <si>
    <t>270093-34T</t>
  </si>
  <si>
    <t>Zax</t>
  </si>
  <si>
    <t>Operator of an online fashion marketplace designed to offer multi-category products. The company's marketplace connects bulk buyers and sellers of products, including apparel, footwear, beauty products, accessories, home products, and cosmetics, enabling shopkeepers to utilize product discovery, sales, marketing, trust, payment, credit, and logistics services to buy and resell.</t>
  </si>
  <si>
    <t>Blue Impact Supply Chain Ventures, Crivo</t>
  </si>
  <si>
    <t>185196-07T</t>
  </si>
  <si>
    <t>Zoop</t>
  </si>
  <si>
    <t>Developer of an electronic payment platform designed to offer embedded financial services. The company's platform offers payment processing and banking services integrated into a single infrastructure, ensures compliance with financial regulations, and offers real-time insights, enabling users and businesses to streamline their financial operations and scale their businesses efficiently.</t>
  </si>
  <si>
    <t>224940-52T</t>
  </si>
  <si>
    <t>ARVORE Immersive Experiences</t>
  </si>
  <si>
    <t>Developer of video games designed to be used in high-end immersive entertainment platforms. The company incorporates the use of new methodologies to create singular immersive worlds and storytelling franchises, enabling gamers and enthusiasts to enjoy interactive virtual reality, augmented reality, and mixed reality experiences.</t>
  </si>
  <si>
    <t>Rivercrest Global(Edouard De Montmort)</t>
  </si>
  <si>
    <t>294650-38T</t>
  </si>
  <si>
    <t>BRB Insurance Brokerage</t>
  </si>
  <si>
    <t>Provider of insurance brokerage services intended to cater its clients across Brazil. The company provides assistance regarding the dynamics of the insurance market by combining tradition, credibility and human service with innovation and technology to provide a comprehensive view of each customer.</t>
  </si>
  <si>
    <t>Wiz Solucoes e Corretagem de Seguros (BVMF: WIZC3)</t>
  </si>
  <si>
    <t>239401-27T</t>
  </si>
  <si>
    <t>Cesar (Brazil)</t>
  </si>
  <si>
    <t>Operator of an information technology company intended to develop people and leverage business offerings for customers. The company offers services such as innovation in education, product and service design, business strategy services, robust solutions, and innovation incentives.</t>
  </si>
  <si>
    <t>U.S. Department of State</t>
  </si>
  <si>
    <t>211784-32T</t>
  </si>
  <si>
    <t>Hum Bilhão Educação Financeira</t>
  </si>
  <si>
    <t>Publisher of financial news intended to provide information in summarized and disruptive language. The company offers financial education with news and information on financial markets like cryptos, thereby enabling investors to accumulate wealth, preserve purchasing power and increase their profitability.</t>
  </si>
  <si>
    <t>223829-38T</t>
  </si>
  <si>
    <t>Neorede</t>
  </si>
  <si>
    <t>Provider of broadband internet and fixed telephony services intended for residential, corporate and government customers. The company offers a wide range of optic fiber internet plans including limited and unlimited plans as well as offers branch integration and custom firewall services, thereby helping its clients by providing a reliable, secure, personalized and agile service.</t>
  </si>
  <si>
    <t>187395-85T</t>
  </si>
  <si>
    <t>Prana Capital</t>
  </si>
  <si>
    <t>224051-32T</t>
  </si>
  <si>
    <t>Fundo De Investimento Imobiliario Caixa Agencias (BVMF: CXAG11)</t>
  </si>
  <si>
    <t>Fundo De Investimento Imobiliario Caixa Agencias is a Real estate investment fund. The purpose of the CAIXA Agency FII is to carry out long-term real estate investments, through the acquisition and eventual construction and adaptation of Bank Branches for lease to Caixa Economica Federal.</t>
  </si>
  <si>
    <t>194191-66T</t>
  </si>
  <si>
    <t>Fundo De Investimento Imobiliario Hospital Unimed Campina Grande (BVMF: HUCG11)</t>
  </si>
  <si>
    <t>Fundo De Investimento Imobiliario Hospital Unimed Campina Grande is a Real Estate Investment Fund that operates in the area of Income Development, in the Hospital segment. The purpose of the Fund is to provide Quotaholders with the appreciation and profitability of their Quotas in the long term, through the project and construction of the Project and leasing of the Target Property.</t>
  </si>
  <si>
    <t>251351-83T</t>
  </si>
  <si>
    <t>Husi Fundo DE Investimento Imobiliario (BVMF: HUSI11)</t>
  </si>
  <si>
    <t>Husi Fundo DE Investimento Imobiliario aims to to invest in the land covered by registration of the General Property Registry.</t>
  </si>
  <si>
    <t>197038-45T</t>
  </si>
  <si>
    <t>186997-42T</t>
  </si>
  <si>
    <t>Brasc Mad Shopping Centers</t>
  </si>
  <si>
    <t>Operator of shopping centers based out of Rio De Janeiro, Brazil.</t>
  </si>
  <si>
    <t>Fundo de Investimento Imobiliario Responsabilidade (BVMF: PMLL11)</t>
  </si>
  <si>
    <t>257922-37T</t>
  </si>
  <si>
    <t>CELG GT</t>
  </si>
  <si>
    <t>Provider of technical and commercial exploitation services catering to the energy sector. The company carries out research and investment activities in different energy fields, surveys of the energy potential, studies, researches, planning and designing, construction and operation activities of accumulation dams and other projects intended for the multiple uses of water as well as participates in ventures that aim to produce and sell energy.</t>
  </si>
  <si>
    <t>Small Hydroelectric Plant</t>
  </si>
  <si>
    <t>248296-51T</t>
  </si>
  <si>
    <t>Kilima Asset Management, Monte Bravo Corretora De Titulos e Valores Mobiliarios</t>
  </si>
  <si>
    <t>251674-66T</t>
  </si>
  <si>
    <t>Serra Verde FII (BVMF: SRVD11)</t>
  </si>
  <si>
    <t>Serra Verde Fundo De Investimento Imobiliario Vortx, Inc is a Real Estate Investment Trust.</t>
  </si>
  <si>
    <t>192784-69T</t>
  </si>
  <si>
    <t>Andreessen Horowitz, Canary (Brazil), Supera Capital</t>
  </si>
  <si>
    <t>209672-74T</t>
  </si>
  <si>
    <t>Lia</t>
  </si>
  <si>
    <t>Developer of a tuition payment platform designed to increase conversion and strengthen cash flow. The company's platform facilitates payment in installments on the bill and allows families to pay a lower monthly amount for a longer term, enabling schools to double their sales with multiple payment methods.</t>
  </si>
  <si>
    <t>Canary (Brazil), Global Founders Capital, Monashees</t>
  </si>
  <si>
    <t>251574-67T</t>
  </si>
  <si>
    <t>Fundo DE Investimento Imobiliario - FII RBR Desenvolvimento III (BVMF: RBRI11)</t>
  </si>
  <si>
    <t>Fundo DE Investimento Imobiliario - FII RBR Desenvolvimento III is focused on residential projects in the city of Sao Paulo.</t>
  </si>
  <si>
    <t>252590-95T</t>
  </si>
  <si>
    <t>Negrei</t>
  </si>
  <si>
    <t>Operator of an apparel and merchandise store intended to spark conversations about racial representation and justice. The company's product line encompasses clothing, accessories, and home goods featuring positive and culturally relevant messages by offering designs that represent Black identity and achievements, Eunegrei aims to foster pride, community, and self-expression, enabling black individuals to foster communications.</t>
  </si>
  <si>
    <t>260897-95T</t>
  </si>
  <si>
    <t>Infolog TI Tecnologia</t>
  </si>
  <si>
    <t>Provider of broadband internet services in the municipalities of Sao Vicente and Praia Grande, Brazil. The company is engaged in distribution of internet signal and wireless fidelity network access services with fiber optic technology.</t>
  </si>
  <si>
    <t>Desktop (BVMF: DESK3)(Bruno Leão)</t>
  </si>
  <si>
    <t>264021-76T</t>
  </si>
  <si>
    <t>AmBev (BVMF: ABEV3), Arena Hub(Fernando Patara)</t>
  </si>
  <si>
    <t>185685-40T</t>
  </si>
  <si>
    <t>Guaíba Tecnologia</t>
  </si>
  <si>
    <t>Provider of internet services intended to serve the individual and corporate customers. The company specializes in offering connectivity solutions with different packs which include fiber optic internet, Wi-Fi and internet, telefonia digital and Wi-Fi, thereby allowing customers in this globalized world to be always on the lookout for news, access their favorite content and seek new opportunities.</t>
  </si>
  <si>
    <t>226886-32T</t>
  </si>
  <si>
    <t>Hedge Seed Fundo De Investimeto (BVMF: SEED11)</t>
  </si>
  <si>
    <t>Hedge Seed Fundo De Investimeto Imobiliario is a real estate investment trust engaged that provides the appreciation and profitability of its shares in the long term.</t>
  </si>
  <si>
    <t>215802-19T</t>
  </si>
  <si>
    <t>175565-80T</t>
  </si>
  <si>
    <t>10T Holdings, Endeavor Catalyst, Endeavor Group Holdings, PIPO Capital, Sand Hill Angels, SoftBank Latin America Fund, TC (BVMF: TRAD3), Tribe Capital</t>
  </si>
  <si>
    <t>211596-22T</t>
  </si>
  <si>
    <t>Sete Lagoas Transmissora de Energia</t>
  </si>
  <si>
    <t>Provider of electric transmission and distribution services in Sete Lagolas, Brazil.</t>
  </si>
  <si>
    <t>Cia Energética de Minas Gerais (BVMF: CMIG3)</t>
  </si>
  <si>
    <t>185044-15T</t>
  </si>
  <si>
    <t>180951-13T</t>
  </si>
  <si>
    <t>Crescera Capital, Endeavor Catalyst, Good Karma Partners, Igah Ventures, PIPO Capital, Redpoint eventures(Romero Rodrigues), Valor Capital Group(Scott Sobel)</t>
  </si>
  <si>
    <t>186486-49T</t>
  </si>
  <si>
    <t>Automatos</t>
  </si>
  <si>
    <t>Developer of IT asset management software designed to focus on infrastructure management, service management and information security. The company's software delivers key information for auditing and compliance related to software &amp; licensing and provides remote monitoring of desktops, servers, networks, thin clients, and PDAs, enabling clients to have enhanced control over the processes and get important insights in decision making for their business and automating processes.</t>
  </si>
  <si>
    <t>Almaden AI</t>
  </si>
  <si>
    <t>177009-22T</t>
  </si>
  <si>
    <t>StaminaVC, WOW Aceleradora de Startups</t>
  </si>
  <si>
    <t>185615-38T</t>
  </si>
  <si>
    <t>Poppins (Educational Software)</t>
  </si>
  <si>
    <t>Operator of an education management platform intended to help working parents with their child's development. The company's platform enhances child development with personalized pedagogical planning and a private educator who comes home, enabling families to connect with educators by creating an environment for children to explore, learn, and everyone to develop.</t>
  </si>
  <si>
    <t>200390-41T</t>
  </si>
  <si>
    <t>500 Global, Bossa Invest, BR Startup, doValue (MIL: DOV), Wayra Brazil</t>
  </si>
  <si>
    <t>200583-10T</t>
  </si>
  <si>
    <t>221131-90T</t>
  </si>
  <si>
    <t>ARC Capital (Brazil), Cloud9 Capital(Felipe Affonso)</t>
  </si>
  <si>
    <t>211075-12T</t>
  </si>
  <si>
    <t>Colégio Anglo Leonardo da Vinci</t>
  </si>
  <si>
    <t>Provider of comprehensive educational services based in Sao Paulo, Brazil. The company focuses on personalized teaching methodologies and learning experiences, thereby ensuring academic and holistic development for its students.</t>
  </si>
  <si>
    <t>214877-44T</t>
  </si>
  <si>
    <t>Supply Chain Angels</t>
  </si>
  <si>
    <t>186901-57T</t>
  </si>
  <si>
    <t>HTwenty, Monashees, Norte Ventures</t>
  </si>
  <si>
    <t>211709-26T</t>
  </si>
  <si>
    <t>NewCon ( Software Development Applications )</t>
  </si>
  <si>
    <t>Provider of IT services intended to serve building systems, automation, telecommunications, IT and construction. The company offers installation, maintenance, support and project, telecommunications and IT infrastructure services, electrical installations, civil works and building maintenance services for customers.</t>
  </si>
  <si>
    <t>Sinqia(Antonio Luciano Camargo Filho)</t>
  </si>
  <si>
    <t>188281-27T</t>
  </si>
  <si>
    <t>Canary (Brazil), Global Founders Capital</t>
  </si>
  <si>
    <t>185433-76T</t>
  </si>
  <si>
    <t>Meta Ventures(Marcio Flôres)</t>
  </si>
  <si>
    <t>255960-10T</t>
  </si>
  <si>
    <t>Arquivem</t>
  </si>
  <si>
    <t>Provider of document management services catering to the healthcare, hospitality, automotive and food sectors. The company offers various services, including physical and digital data storage and management solutions, cloud portals, simple and managed guards, file scanning, archival organization and BPM.</t>
  </si>
  <si>
    <t>Iron Mountain (Systems and Information Management) (NYS: IRM)(Orlando Souza)</t>
  </si>
  <si>
    <t>189129-07T</t>
  </si>
  <si>
    <t>Cross Commerce Store</t>
  </si>
  <si>
    <t>Operator of an E-Commerce platform intended to empower local entrepreneurs to sell globally. The company's platform offers cross-border e-commerce services to international sellers by connecting local sellers to the international markets, enabling customers to link with the local marketplace and decrease the friction of cross-border e-commerce activities.</t>
  </si>
  <si>
    <t>Canary (Brazil)(Marcos Leite), Global Founders Capital, Maya Capital (Brazil), ONEVC</t>
  </si>
  <si>
    <t>185490-91T</t>
  </si>
  <si>
    <t>Ingresso.com</t>
  </si>
  <si>
    <t>Provider of an online ticket booking platform intended to book tickets for movies and events in Brazil. The company's work ranges from managing box offices and candy stores to selling tickets online and producing content for our platforms and social networks.</t>
  </si>
  <si>
    <t>Universo Online(Paulo Samia)</t>
  </si>
  <si>
    <t>225405-82T</t>
  </si>
  <si>
    <t>Navi Residencial Fundo De Investimento Imobiliario (BVMF: APTO11)</t>
  </si>
  <si>
    <t>Navi Residencial Fundo De Investimento Imobiliario is a real estate investment trust. The objective of the Fund is to provide Quotaholders with the appreciation and profitability of their quotas, through the application in Real Estate Assets and Financial Assets.</t>
  </si>
  <si>
    <t>185451-40T</t>
  </si>
  <si>
    <t>Tecnoblu Your ID</t>
  </si>
  <si>
    <t>Developer of an online apparel platform designed to offer labels, tags, buttons and other metals decorative. The company's platform offers clothing accessories including rubber-coated products, tags, handles, appliques, lacing and braids in three-dimensional, reflective, metallic and natural materials, enabling users to enjoy eye-catching tags.</t>
  </si>
  <si>
    <t>CCL Industries (TSE: CCL.A)(Geoffrey Martin)</t>
  </si>
  <si>
    <t>185413-69T</t>
  </si>
  <si>
    <t>Membran-i</t>
  </si>
  <si>
    <t>Developer of automated network trading software designed to provide autonomous and anonymous trading in real-time and with total security. The company uses artificial intelligence technology that automates trading and analyzes the numerous requirements of the negotiation, enabling buyers and suppliers to simplify the negotiation process and decide on the purchase.</t>
  </si>
  <si>
    <t>Raio Capital, SMU Investimentos</t>
  </si>
  <si>
    <t>184760-56T</t>
  </si>
  <si>
    <t>Atlas Governance</t>
  </si>
  <si>
    <t>Developer of a corporate governance management platform designed to automate the administration of the whole routine of Councils and Committees. The company's platform digitizes all processes related to boards of directors, from scheduling meetings and sending study materials to voting, enabling businesses to reduce the risk of compromising sensitive and confidential information, which is part of the day-to-day life of boards.</t>
  </si>
  <si>
    <t>Diego Gomes(Diego Gomes), DSK Capital(Diego Stark), Eduardo Carone(Eduardo Carone), Flavio Guimaraes(Flavio Guimaraes), Gustavo Faria(Gustavo Faria), Gustavo Souza(Gustavo Souza), Mauricio Tancredi(Mauricio Tancredi), SaaSholic, Volpe Capital(Gregory Reider)</t>
  </si>
  <si>
    <t>194439-07T</t>
  </si>
  <si>
    <t>ConstruConnect</t>
  </si>
  <si>
    <t>Developer of job search platform intended for the construction industry. The company's platform maps medium and large works that are spread throughout Brazil, detailing those responsible for the execution, the type of service being contracted, and the contact of the real decision-makers, enabling construction companies to connect with service providers without hassle.</t>
  </si>
  <si>
    <t>Bossa Invest, Bruno Pauletti, EquityRio(Bruno Pauletti)</t>
  </si>
  <si>
    <t>251671-15T</t>
  </si>
  <si>
    <t>FII Hbc Renda Urbana (BVMF: HBCR11)</t>
  </si>
  <si>
    <t>Fundo De Investimento Imobiliario Hbc Renda Urbana is a Fund whose objective is to earn income or capital gains from investment preponderant share of the Fund's Net Equity in real estate assets for development, if applicable and subsequent leasing, with active management by the Administrator.</t>
  </si>
  <si>
    <t>185464-90T</t>
  </si>
  <si>
    <t>IBID</t>
  </si>
  <si>
    <t>Developer of supply chain platform intended to allow traceability and bring transparency to the process. The company's software promotes electronic collaboration between buyers and suppliers and makes them business partners, thereby helping in implementing solutions for purchasing processes in supply chain management through modules that can be implemented progressively according to the needs of the company.</t>
  </si>
  <si>
    <t>Hurst Capital</t>
  </si>
  <si>
    <t>210911-86T</t>
  </si>
  <si>
    <t>175733-92T</t>
  </si>
  <si>
    <t>Neomode</t>
  </si>
  <si>
    <t>Developer of an omnichannel platform designed to assist in the automation of the retail sales process. The company's platform creates new sales channels for the customers that help to bring together retail sales and content management and provides a shopping bot that lets customers purchase directly from a chat, permitting retailers to keep control over the internal and external performance indicators and have more insights into their business, enabling clients to break the barriers between them and their customers by bringing the digital transformation closer to everyone.</t>
  </si>
  <si>
    <t>Criatec Fund, KPTL, Linx (Business/Productivity Software), Stone Pagamentos (NAS: STNE)</t>
  </si>
  <si>
    <t>210323-26T</t>
  </si>
  <si>
    <t>210929-68T</t>
  </si>
  <si>
    <t>Transmissora Sul Litorânea de Energia</t>
  </si>
  <si>
    <t>Producer and distributor of electrical energy in Brazil.</t>
  </si>
  <si>
    <t>185300-47T</t>
  </si>
  <si>
    <t>Algorand Technologies, Borderless Capital(David Garcia), Dash Investment Foundation(Rodrigo Ambrissi)</t>
  </si>
  <si>
    <t>209549-80T</t>
  </si>
  <si>
    <t>Café Bom Dia</t>
  </si>
  <si>
    <t>Producer of coffee based in Varginha, Brazil. The company's products include traditional coffee, strong coffee, gourmet espresso, and homemade cappuccino.</t>
  </si>
  <si>
    <t>185232-16T</t>
  </si>
  <si>
    <t>Base10 Partners, Big Bets, BRL Trust, JAM Fund, NVA Capital, Quartz (Brazil), Spectra Investments, Valor Capital Group, Y Combinator</t>
  </si>
  <si>
    <t>251371-54T</t>
  </si>
  <si>
    <t>Cyrela Credito Fundo (BVMF: CYCR11)</t>
  </si>
  <si>
    <t>Cyrela Credito Fundo De Investimento Imobiliario Cyrela Crédito FII aims to earn gains by investing its resources in backed Financial assets, commercial properties and residential real estate projects FIIs and real estate assets, such as Debenture, and shares of real estate, such as CRI.</t>
  </si>
  <si>
    <t>185270-32T</t>
  </si>
  <si>
    <t>GreenAnt (Business/Productivity Software)</t>
  </si>
  <si>
    <t>Developer of an energy management system designed to reduce electricity consumption and cost. The company's system offers digitalization and business innovation services, monitors real-time energy consumption, takes control of the energy consumption by making analyses, creating reports and getting recommendations for savings and taking required action with the intuitive tools, enabling users to plan their energy usage routine based on real-time information and reduce energy wastage.</t>
  </si>
  <si>
    <t>AES (NYS: AES)(Ítalo de Carvalho Freitas Filho)</t>
  </si>
  <si>
    <t>185270-23T</t>
  </si>
  <si>
    <t>Insole</t>
  </si>
  <si>
    <t>Operator of a clean-fintech platform intended to turn energy bills into cash. The company's platform develops a digital and sustainable financial model that provides savings and credits and promotes solar energy consumption, enabling businesses to generate sustainability with growth.</t>
  </si>
  <si>
    <t>Endeavor Group Holdings, GP Investments (LUX: GPINA), Moura Group, Scale-Up (Venture Capital), Spice Private Equity</t>
  </si>
  <si>
    <t>251777-89T</t>
  </si>
  <si>
    <t>Lago Da Pedra FII (BVMF: LPLP11)</t>
  </si>
  <si>
    <t>Lago Da Pedra Fundo Investimento Imobiliario is a Real Estate Investment Trust.</t>
  </si>
  <si>
    <t>215418-34T</t>
  </si>
  <si>
    <t>275079-07T</t>
  </si>
  <si>
    <t>Televida Para Todos</t>
  </si>
  <si>
    <t>Developer of a telemedicine application intended to serve the healthcare industry. The application has the availability of general practitioners, nutritionists, fitness trainers, cardiologists, and psychologists.</t>
  </si>
  <si>
    <t>RedeTV!</t>
  </si>
  <si>
    <t>185171-95T</t>
  </si>
  <si>
    <t>BigData</t>
  </si>
  <si>
    <t>Developer of data management platform designed to meet the need of complex analysis and decision-making processes. The company's platform utilizes an application programming interface that performs punctual or batch queries, a synchronous or asynchronous method to capture, aggregate and structure the latest and historical data and information about people, companies and other entities from websites and public databases ensuring that no privacy rules are violated, helping local and international institutions to incorporate quality information in their processes, streamline business operation and make better-informed choices.</t>
  </si>
  <si>
    <t>221408-29T</t>
  </si>
  <si>
    <t>Bluemacaw Catuai Triple (BVMF: BLCA11)</t>
  </si>
  <si>
    <t>Bluemacaw Catuai Triple A Fundo DE Investimento Imobiliario is a real estate investment trust. Its goal is to invest in high quality opportunities, long term assets and businesses where disproportionate growth supported by strong global economic and demographic fundamentals.</t>
  </si>
  <si>
    <t>211035-43T</t>
  </si>
  <si>
    <t>185219-65T</t>
  </si>
  <si>
    <t>Brognoli, Ibagy, Lello Condominios Ltda., Sj Construtora Eireli, Softplan(Guilherme Tossulino)</t>
  </si>
  <si>
    <t>200029-60T</t>
  </si>
  <si>
    <t>seedz farm</t>
  </si>
  <si>
    <t>Developer of an agriculture technology productivity platform designed for small and medium agricultural producers. The company's platform offers strategic information, data and exchange rates and futures quotes in real-time, better commercial conditions for the purchase of inputs, equipment, seeds, and pesticides, special negotiations on credit financing rates, and a trading system, enabling producers to increase productivity and generate business.</t>
  </si>
  <si>
    <t>251775-82T</t>
  </si>
  <si>
    <t>Tjk Renda Imobiliaria FII (BVMF: TJKB11)</t>
  </si>
  <si>
    <t>Tjk Renda Imobiliaria Fundo DE Investimento Imobiliario is a Real Estate Investment Trust.</t>
  </si>
  <si>
    <t>185064-67T</t>
  </si>
  <si>
    <t>Predify</t>
  </si>
  <si>
    <t>Developer of a price optimization platform designed to improve costing strategies. The company's platform leverages artificial intelligence to collect market prices and deliver dynamic remedies by a combination of favorable trends, product quality, customer satisfaction, and product differentiation, enabling companies overcome pricing difficulties and make their activities profitable and sustainable.</t>
  </si>
  <si>
    <t>Neogrid Participacoes (BVMF: NGRD3)(Thiago Grechi)</t>
  </si>
  <si>
    <t>182645-20T</t>
  </si>
  <si>
    <t>Qive</t>
  </si>
  <si>
    <t>Developer of a business platform designed to assist companies in complying with regulations through electronic invoice monitoring. The company's platform automatically downloads, print, search, filter, and create manifestos, and helps in accounting, enabling clients to make electronic invoices and access business intelligence with smart data from fiscal documents, fetch and analyze data.</t>
  </si>
  <si>
    <t>Constellation Asset Management, Igah Ventures, International Finance (Washington D.C.), NXTP Ventures(Ariel Arrieta), Riverwood Capital, Spectra Investments</t>
  </si>
  <si>
    <t>185185-90T</t>
  </si>
  <si>
    <t>Remessa Online</t>
  </si>
  <si>
    <t>Developer of a global remittance platform designed to facilitate buying foreign currency and international online transfers. The company's platform offers online digital money transfers that integrate all processes originating in cross-border transactions, thereby enabling customers to simplify and automate processes while providing a personified, secure and unique experience.</t>
  </si>
  <si>
    <t>Advent International(Brenno Raiko), EBANX(João Del Valle), FTV Capital, Lead Edge Capital, LTS Investments, Spectra Investments</t>
  </si>
  <si>
    <t>211622-68T</t>
  </si>
  <si>
    <t>Datami (Brazilian Operation)</t>
  </si>
  <si>
    <t>Operator of an information technology service company intended to allow data sponsoring to pay for consumers' mobile data when using an app or a website. The business unit enables enhanced mobile engagement for brands while allowing operators to scale their mobile marketing business and consumers to access and earn mobile data.</t>
  </si>
  <si>
    <t>Cleartech (IT Consulting and Outsourcing)</t>
  </si>
  <si>
    <t>207586-18T</t>
  </si>
  <si>
    <t>FBR Digital</t>
  </si>
  <si>
    <t>Operator of a telecommunications platform intended to focus on connectivity and information technology problems through data intelligence. The company provides data analysis and a qualified telecommunications infrastructure, enabling businesses to avail account management and specialized support.</t>
  </si>
  <si>
    <t>Squared Ventures(Silvio Meira)</t>
  </si>
  <si>
    <t>195566-95T</t>
  </si>
  <si>
    <t>Cinco TI(Ramiro Martini)</t>
  </si>
  <si>
    <t>190835-38T</t>
  </si>
  <si>
    <t>Insecta</t>
  </si>
  <si>
    <t>Operator of a footwear brand intended to offer handcrafted eco-friendly footwear to customers. The company offers various types of footwear like slippers, shoes, floaters, boots, and more and also uses upcycled vintage clothing to create colorful, creative vegan shoes that don't hurt any animal, enabling customers to wear fashionable shoes while helping the environment and saving animals.</t>
  </si>
  <si>
    <t>176573-62T</t>
  </si>
  <si>
    <t>Kabum</t>
  </si>
  <si>
    <t>Operator of an e-commerce platform for consumer electronics and technology goods. The company offers electronics including smartphones, tablets and gaming consoles as well as monitors, keyboards, mice, headsets, video cards, motherboards, processors and memory through their online website.</t>
  </si>
  <si>
    <t>Magazine Luiza (BVMF: MGLU3)(Frederico Rodrigues)</t>
  </si>
  <si>
    <t>202488-94T</t>
  </si>
  <si>
    <t>Mimic (Other Restaurants, Hotels and Leisure)</t>
  </si>
  <si>
    <t>Operator of a food delivery platform intended to scale and sell foods through online channels. The company's platform offers the necessary managed infrastructure, business intelligence, technology and resources with minimal capital expenditure and time, enabling users to serve customers with food that is tasty and has proper value for money.</t>
  </si>
  <si>
    <t>Eatopia(Rafael Almeida)</t>
  </si>
  <si>
    <t>184979-89T</t>
  </si>
  <si>
    <t>Floating Point, GIC Private, Minerva Foods (BVMF: BEEF3), Oikos Venture Capital, Quartz (Brazil)</t>
  </si>
  <si>
    <t>184981-15T</t>
  </si>
  <si>
    <t>214593-40T</t>
  </si>
  <si>
    <t>Innogen Capital Ventures</t>
  </si>
  <si>
    <t>211720-51T</t>
  </si>
  <si>
    <t>Sagamar Servicos</t>
  </si>
  <si>
    <t>Operator of automotive dealerships based in São Luís do Maranhão, Brazil. The company offers new and semi-new cars as well as maintenance and repair services.</t>
  </si>
  <si>
    <t>Simpar (BVMF: SIMH3)(Fernando Simões)</t>
  </si>
  <si>
    <t>222832-45T</t>
  </si>
  <si>
    <t>Brio Real Estate III - Fundo DE Investimento Imobiliario (BVMF: BRIP11)</t>
  </si>
  <si>
    <t>Brio Real Estate III - Fundo DE Investimento Imobiliario opeartes as a real estate fund management company. The company focused on different investments such as commercial, residential, industrial complexes, logistics warehouses, shopping centers, hotels, hospitals, as well as securitized and precatory assets.</t>
  </si>
  <si>
    <t>184920-85T</t>
  </si>
  <si>
    <t>FCJ Venture Builder</t>
  </si>
  <si>
    <t>Operator of a venture-building platform intended for creating custom investment models. The company's platform offers flexible and transparent investment models tailored to the needs and market integration, enabling established companies, governments, and NGOs to innovate efficiently and create alternative revenue streams.</t>
  </si>
  <si>
    <t>211701-34T</t>
  </si>
  <si>
    <t>Muambator</t>
  </si>
  <si>
    <t>Operator of an online tracking application software intended to provide information regarding national as well as international packages and orders. The company provides information on national and international packages and orders, allows clients to register object codes, manage orders and follow the status of their packages.</t>
  </si>
  <si>
    <t>215487-82T</t>
  </si>
  <si>
    <t>211727-89T</t>
  </si>
  <si>
    <t>Velo (Real Estate Services (B2C))</t>
  </si>
  <si>
    <t>Developer of real estate platform intended to facilitate the property leasing process, eliminating the need for a guarantor and reducing bureaucratic procedures. The company's software allows one to find the property, conduct credit analyses and then book the property through the signing of a contract, thereby helping landlords and tenants in making the renting process easy.</t>
  </si>
  <si>
    <t>184852-72T</t>
  </si>
  <si>
    <t>Aleksander Larsen(Aleksander Larsen), Arca, Arrington Capital, Ascensive Asset Management, BITKRAFT Ventures, Bitscale Capital, Delphi Digital Consulting, Eden Ventures, Fabric Ventures, FireX Capital, Jeffrey Zirlin(Jeffrey Zirlin), Morningstar Ventures, ParaFi Capital, RedCave Ventures, Sandbox, Sebastien Borget(Sebastien Borget), SkyVision Capital, Spectra Investments, Valor Capital Group, Volt Capital, Yield Guild Games</t>
  </si>
  <si>
    <t>232675-84T</t>
  </si>
  <si>
    <t>Fertgrow</t>
  </si>
  <si>
    <t>Provider of fertilizer solutions based out of Brazil. The company's product offerings include</t>
  </si>
  <si>
    <t>185841-64T</t>
  </si>
  <si>
    <t>Global Points</t>
  </si>
  <si>
    <t>Developer of digital marketing application intended to serve the brands and retailers. The company's platform provides brands and retailers innovative digital marketing solutions to fully manage their campaigns through videos, emails, SMS, as well as run loyalty and awardee programs.</t>
  </si>
  <si>
    <t>VR Benefícios e Serviços de Processamento</t>
  </si>
  <si>
    <t>191888-38T</t>
  </si>
  <si>
    <t>HM Empilhadeiras</t>
  </si>
  <si>
    <t>Seller of forklifts intended to serve the industrial sector. The company offers a variety of products along with spare parts and maintenance services, enabling industries to avail machined as per their need.</t>
  </si>
  <si>
    <t>189910-54T</t>
  </si>
  <si>
    <t>Mara (Internet Retail)</t>
  </si>
  <si>
    <t>Operator of an e-grocery platform intended to deliver groceries to the doorstep within a short time. The company focuses on delivering a range of fruits, vegetables, meat, seafood, drinks, beverages, snacks, sweets, rice, flour, and more at wholesale prices, enabling consumers to purchase products conveniently and get them delivered to their homes.</t>
  </si>
  <si>
    <t>Caffeinated Capital, Canary (Brazil)(Marcos Leite)</t>
  </si>
  <si>
    <t>301239-01T</t>
  </si>
  <si>
    <t>301239-46T</t>
  </si>
  <si>
    <t>NFE.io</t>
  </si>
  <si>
    <t>Developer of a financial software designed to reduce the time and complexity spent issuing invoices and querying data. The company's platform offers services including automated tax calculation, multi-company and growth tracker, enabling individuals and organizations to focus on their business and gain performance, time and querying data.</t>
  </si>
  <si>
    <t>179436-52T</t>
  </si>
  <si>
    <t>Nu Holdings Ltd provides digital banking services. It offers several financial services such as Credit cards, Personal accounts, Investments, Personal Loans, Insurance, Mobile payments, Business Accounts, and Rewards. The company earns the majority of its revenue in Brazil.</t>
  </si>
  <si>
    <t>184829-59T</t>
  </si>
  <si>
    <t>Origem.</t>
  </si>
  <si>
    <t>Manufacturer of electric technology intended to accelerate and democratize access to mobility. The company offers a wide range of products and services like electric motorbikes for rental, for a fixed monthly cost, to track all their rented bikes using an application, enabling fleet owners and motorcycle couriers to reduce their business costs and CO2 emissions.</t>
  </si>
  <si>
    <t>Atmos Capital Gestao de Recursos, BeeCap, Visagio</t>
  </si>
  <si>
    <t>287938-90T</t>
  </si>
  <si>
    <t>Phyllon Bank</t>
  </si>
  <si>
    <t>Operator of a consignment platform intended to provide opportunities for banking correspondents. The company focuses on technology and the financial market revolution, enabling customers to have secure investments, high-yield investments, payroll loans, and banking correspondents.</t>
  </si>
  <si>
    <t>197017-30T</t>
  </si>
  <si>
    <t>Smarkets (Business/Productivity Software)</t>
  </si>
  <si>
    <t>Operator of a digital marketplace intended for the intelligent, safe, and efficient procurement of indirect items The company's platform offers collaborative catalogs, an e-procurement module, and artificial intelligence-driven automation while allowing outsourcing of purchasing processes, enabling companies to optimize costs, ensure adherence to requirements, and improve delivery reliability.</t>
  </si>
  <si>
    <t>Bertha Capital, UVC Investimentos, We Ventures</t>
  </si>
  <si>
    <t>184776-40T</t>
  </si>
  <si>
    <t>Honey Island Capital, Spectra Investments, Valor Capital Group</t>
  </si>
  <si>
    <t>221381-65T</t>
  </si>
  <si>
    <t>Juntos Energia</t>
  </si>
  <si>
    <t>Developer of clean energy projects intended to reduce electricity costs and be more sustainable. The company offers an energy subscription model, savings and democratizes access to renewable energies, enabling customers to reduce electricity costs and be more sustainable.</t>
  </si>
  <si>
    <t>Alothon Group, Elétron Energy(André Cavalcanti)</t>
  </si>
  <si>
    <t>199960-93T</t>
  </si>
  <si>
    <t>188431-21T</t>
  </si>
  <si>
    <t>One More (Beverages)</t>
  </si>
  <si>
    <t>Producer of nutritional drinks intended to support health and well-being, without causing agitation. The company's carbonated drinks are natural energy drinks that are rich in vitamins, minerals, and choline, enabling consumers to enjoy low-calorie, flavorful drinks and stay fit and healthy.</t>
  </si>
  <si>
    <t>Sabrina Sato(Sabrina Sato)</t>
  </si>
  <si>
    <t>186350-50T</t>
  </si>
  <si>
    <t>Clocktower Ventures, Plug and Play Tech Center</t>
  </si>
  <si>
    <t>184691-17T</t>
  </si>
  <si>
    <t>BRLink</t>
  </si>
  <si>
    <t>Provider of IT managed services intended for clients throughout Brazil. The company offers services catering to cloud migration and consulting, data analysis, artificial intelligence and machine learning, accelerating the process of digital transformation for its customers.</t>
  </si>
  <si>
    <t>Ingram Micro (NYS: INGM)(Flavio Moraes), Platinum Equity(Jacob Kotzubei)</t>
  </si>
  <si>
    <t>226795-69T</t>
  </si>
  <si>
    <t>Canary (Brazil), Latitud</t>
  </si>
  <si>
    <t>184735-27T</t>
  </si>
  <si>
    <t>Suprevida</t>
  </si>
  <si>
    <t>Operator of an online healthcare platform intended to provide telehealth medical services, products and content. The company's platform offers a range of services such as doctor and healthcare professional appointments, medical equipment, special medical products, physiotherapy services and home health services and provides information related to healthcare, enabling patients to avail affordable healthcare services.</t>
  </si>
  <si>
    <t>Bruno Pascon(Bruno Pascon), FEA Angels, Insper Angels, Kadmotek</t>
  </si>
  <si>
    <t>222979-06T</t>
  </si>
  <si>
    <t>218658-25T</t>
  </si>
  <si>
    <t>Ubook</t>
  </si>
  <si>
    <t>Developer of a subscription-based streaming platform designed to offer access to audio and digital books. The company's platform covers books, series, documentaries, magazines, newspapers, podcasts and much more in audio format, enabling publishers, independent authors and audio content providers to publish their content and scale up their earnings and users to get access to novels, fictions, biographies and documentaries easily.</t>
  </si>
  <si>
    <t>184652-56T</t>
  </si>
  <si>
    <t>Agger</t>
  </si>
  <si>
    <t>Developer of insurance management software intended to streamline insurance administrative works. The company's platform offers an interface to visualize all the information about policies, commissions, claims, and reports in a single screen, enabling insurance brokers to calculate insurance premiums in real time and send personalized quotes.</t>
  </si>
  <si>
    <t>Arco Capital.(Gabriel Ronacher), KYR Capital</t>
  </si>
  <si>
    <t>184597-03T</t>
  </si>
  <si>
    <t>A*, Alter Global, Avid Ventures, BoxGroup, Coatue Management(Michael Gilroy), DST Global, Gaingels, General Catalyst, Global Founders Capital, ICONIQ Growth, Monashees, Picus Capital, Richard Dulude(Richard Dulude)</t>
  </si>
  <si>
    <t>223864-93T</t>
  </si>
  <si>
    <t>184840-12T</t>
  </si>
  <si>
    <t>Arash Ferdowsi(Arash Ferdowsi), Dylan Field(Dylan Field), Iporanga Ventures, K5 Global, Lachy Groom(Lachy Groom), Latitud, Norte Ventures, Proximity Angels, Ryan Petersen(Ryan Petersen), Victor Lazarte(Victor Lazarte)</t>
  </si>
  <si>
    <t>184658-86T</t>
  </si>
  <si>
    <t>Teia Labs</t>
  </si>
  <si>
    <t>Developer of artificial intelligence services intended for e-commerce companies. The company offers intelligent services, consulting services, research projects and opinion analysis, thereby enabling clients to have a strong academic background in their business field.</t>
  </si>
  <si>
    <t>OSF Digital(Gerard Szatvanyi)</t>
  </si>
  <si>
    <t>251367-04T</t>
  </si>
  <si>
    <t>Hgi Creditos Imobiliarios (BVMF: HGIC11)</t>
  </si>
  <si>
    <t>Hgi Creditos Imobiliarios Fundo DE Investimento aims to obtain income and provide shareholders with the appreciation of their shares, through investment in Real Estate Credits.</t>
  </si>
  <si>
    <t>189062-20T</t>
  </si>
  <si>
    <t>Illios</t>
  </si>
  <si>
    <t>Provider of network node management service intended to access the Helium network in Brazil. The company offers connection hotspots, access to modems, and managing their use, enabling professionals to bridge the gap in remuneration for using the internet in Helium Network (HNT) tokens.</t>
  </si>
  <si>
    <t>Fuse Capital (Brazil)(Dan Yamamura), Transfero(Carlos Russo)</t>
  </si>
  <si>
    <t>221110-84T</t>
  </si>
  <si>
    <t>AES Brasil Operacoes (BVMF: AESO3)</t>
  </si>
  <si>
    <t>AurenOperaxoes SA formerly AES Brasil Operacoes SA is an integrated renewable energy platform. It generate electricity, as well as produce, sell and operate power generation and trading systems, using rivers and other energy sources.</t>
  </si>
  <si>
    <t>199122-04T</t>
  </si>
  <si>
    <t>Amparo Saúde</t>
  </si>
  <si>
    <t>Operator of a network of remote and in-person primary health care units intended to transform medical care in Brazil. The company operates a network of clinics focused on humanized care and health prevention, using technology as a differential and facilitator, enabling patients to get an appointment online to diagnose health risk factors and build a personalized care plan.</t>
  </si>
  <si>
    <t>Grupo Sabin(Lídia Abdalla)</t>
  </si>
  <si>
    <t>218557-36T</t>
  </si>
  <si>
    <t>Atua Sistemas</t>
  </si>
  <si>
    <t>Developer of management software intended for the logistics sector based in Passo Fundo, Brazil. The company implements network solutions in small and large companies and specializes in CT-e's management and issuance systems.</t>
  </si>
  <si>
    <t>211079-35T</t>
  </si>
  <si>
    <t>Fotoploc</t>
  </si>
  <si>
    <t>Operator of an e-commerce platform intended to sell personalized products. The company helps to customize photo albums, photo products, figurines, certificates, posters and themed products which include officially licensed brands, enabling customers to order and gift products according to individual preferences.</t>
  </si>
  <si>
    <t>184907-17T</t>
  </si>
  <si>
    <t>Mercafacil</t>
  </si>
  <si>
    <t>Developer of customer intelligence software designed to offer strategic information from various raw data to manage businesses. The company's software facilitates big data, dashboards, and strategic retail advisory services, enabling retailers to access market information to make decisions for strategic retail management.</t>
  </si>
  <si>
    <t>Invisto, M3 Investimentos, TM3 Capital, Westwood Capital (Brazil), Z-Tech Brasil</t>
  </si>
  <si>
    <t>220955-23T</t>
  </si>
  <si>
    <t>OMNI Telecom</t>
  </si>
  <si>
    <t>Provider of telecommunication services in Goias, Brazil. The company offers business and residential internet services, internet plans, landline, fixed and mobile broadband data services through its fiber-optic network and radio signals, thereby allowing the exchange of traffic with the main telecommunications and internet connection.</t>
  </si>
  <si>
    <t>184562-56T</t>
  </si>
  <si>
    <t>Blips Ativos</t>
  </si>
  <si>
    <t>Operator of an equipment leasing platform intended for investors and entrepreneurs with tangible assets. The company connects and drives entrepreneurs with resources that make productive business activities feasible, enabling clients to buy and finance supplies and inputs for business operations.</t>
  </si>
  <si>
    <t>Inpulse Aceleradora</t>
  </si>
  <si>
    <t>174532-24T</t>
  </si>
  <si>
    <t>Brasil PCH</t>
  </si>
  <si>
    <t>Provider of energy infrastructure development services focused on producing electricity in a safe and profitable way. The company offers to generate electricity through the construction and operation of small hydroelectric plants, contributing to the development of Brazil in a socially and environmentally responsible way.</t>
  </si>
  <si>
    <t>224083-18T</t>
  </si>
  <si>
    <t>Fundo De Investimento Imobiliario Rooftop (BVMF: ROOF11)</t>
  </si>
  <si>
    <t>Fundo De Investimento Imobiliario Rooftop I is a Real Estate Investment Fund (FII) constituted in the form of a closed condominium, with a fixed term, intending to earn gains from the purchase and sale of alternative real estate assets, differentiating itself in prospecting, evaluation, acquisition, clearance, and sale.</t>
  </si>
  <si>
    <t>184615-75T</t>
  </si>
  <si>
    <t>Games &amp; Esports Experience Acquisition</t>
  </si>
  <si>
    <t>184436-74T</t>
  </si>
  <si>
    <t>Gorila</t>
  </si>
  <si>
    <t>Developer of an investment management platform designed to consolidate all personal investments in one place. The company's platform automatically updates the profitability, quotations, prices and corporate events of all applications and monitors detailed reports on a monthly basis, enabling investors to organize their investments in a secure manner.</t>
  </si>
  <si>
    <t>Iporanga Ventures, Mercado Bitcoin Serviços Digitais, Monashees, Ribbit Capital</t>
  </si>
  <si>
    <t>184478-59T</t>
  </si>
  <si>
    <t>Gridnet Tecnologia</t>
  </si>
  <si>
    <t>Developer of software applications designed to ensure efficiency, productivity, and profitability for companies in the logistics segment. The company offers software solutions for warehousing, multi-modal, port terminal, shipment, and transport management as well as business intelligence tool, enabling clients to get technology solutions for automation as per their requirements.</t>
  </si>
  <si>
    <t>KMM (Logistics)(Leopoldo Suarez)</t>
  </si>
  <si>
    <t>184521-79T</t>
  </si>
  <si>
    <t>Claude Ricci(Claude Ricci), SITAWI(Bruno Girardi), Synthase Impact Ventures(Rodrigo Hlavnicka)</t>
  </si>
  <si>
    <t>211728-52T</t>
  </si>
  <si>
    <t>W2D Tecnologia e Solucoes</t>
  </si>
  <si>
    <t>Provider of insurance services intended to serve in the insurance as a service market in Brazil. The company offers insurance digitally, connecting providers, insurtechs and insurers to customers and partners through digital channels such as apps, websites and platforms via white label format.</t>
  </si>
  <si>
    <t>196166-89T</t>
  </si>
  <si>
    <t>184482-01T</t>
  </si>
  <si>
    <t>Aprova Total</t>
  </si>
  <si>
    <t>Provider of online tutoring services intended to help students with exam preparation. The company specializes in content creation in chemistry, physics, mathematics, biology and various other disciplines and offers video classes, exercises, simulations, handouts and mind maps, thereby helping students prepare for exams like ENEM.</t>
  </si>
  <si>
    <t>Wise Up chain(Carlos Martins)</t>
  </si>
  <si>
    <t>188342-65T</t>
  </si>
  <si>
    <t>Baru Exploração Mineral</t>
  </si>
  <si>
    <t>Operator of a gold exploration company focused on properties in Brazil. The company owns a 3,435-hectare property located in the Ouro Preto district, Minas Gerais, Brazil, 120 kilometers southeast of Belo Horizonte.</t>
  </si>
  <si>
    <t>Xplore Resources (TSX: XPLR)(Wesley Hanson)</t>
  </si>
  <si>
    <t>222844-69T</t>
  </si>
  <si>
    <t>BrBatel</t>
  </si>
  <si>
    <t>Provider of credit operation services intended to cater to the needs of credit or investment. The company offers financing services for corporate, agribusiness, real estate, infrastructure and other industrial sectors as well as provides advice on buying or selling companies, ensuring its clients enhance the growth of their business effectively.</t>
  </si>
  <si>
    <t>Doninelli Participações</t>
  </si>
  <si>
    <t>255155-86T</t>
  </si>
  <si>
    <t>CatMyPet</t>
  </si>
  <si>
    <t>Operator of an online retail platform intended to offer cat products. The company's platform offers cat products including gels, cleaning kits, eye drops, bandana cover, spray, and books, enabling cat owners to avail of kitten products easily in one place.</t>
  </si>
  <si>
    <t>G2 Capital</t>
  </si>
  <si>
    <t>210846-34T</t>
  </si>
  <si>
    <t>Delinea Tecnologia Educacional</t>
  </si>
  <si>
    <t>Operator of an education platform intended to offer educational solutions for educational institutions. The company specializes in producing digital academic content, thereby offering various educational solutions like personalized teaching materials, consultancy and advice and technological solutions for higher education</t>
  </si>
  <si>
    <t>Ser Educacional (BVMF: SEER3)(Rodrigo Alves)</t>
  </si>
  <si>
    <t>199907-29T</t>
  </si>
  <si>
    <t>Grauna Aerospace</t>
  </si>
  <si>
    <t>Developer of an aerospace platform designed to offer services related to the machining and assembly of mechanical parts. The company's platform specializes in machining numerical control machines and engine parts, enabling aeronautics clients with products and services that meet the requirements of customers, and generating financial results that guarantee the company's sustainable growth.</t>
  </si>
  <si>
    <t>Aerospace and Defense</t>
  </si>
  <si>
    <t>215726-68T</t>
  </si>
  <si>
    <t>Holobox</t>
  </si>
  <si>
    <t>Developer of a holographic projection device designed to bring innovation and visual impact to trade shows, launches, presentations, and interactive environments. The company operates in the entertainment and content market for products and brands, enabling companies to change the way they present ideas, products, and stories at events.</t>
  </si>
  <si>
    <t>185287-78T</t>
  </si>
  <si>
    <t>Optiver</t>
  </si>
  <si>
    <t>248441-41T</t>
  </si>
  <si>
    <t>185306-86T</t>
  </si>
  <si>
    <t>Meetz</t>
  </si>
  <si>
    <t>Developer of an outbound marketing platform designed to increase sales in companies. The company's platform creates bridges for an organization to prospect new business, and solve the prospection for consultative or complex sales, through technology and the expertise of a qualified team, enabling clients to improve their client engagement and drive more sales.</t>
  </si>
  <si>
    <t>Valutia</t>
  </si>
  <si>
    <t>227899-99T</t>
  </si>
  <si>
    <t>The Agency Fund</t>
  </si>
  <si>
    <t>242078-41T</t>
  </si>
  <si>
    <t>Network Telecommunications</t>
  </si>
  <si>
    <t>Provider of telecommunication and internet services intended for commercial and residential customers. The company offers services like broadband connectivity, and landline connection along with installation and maintenance.</t>
  </si>
  <si>
    <t>215315-56T</t>
  </si>
  <si>
    <t>Okena PetChef</t>
  </si>
  <si>
    <t>Operator of a subscription-based pet food company intended to provide healthy and nutritious food for dogs and cats. The company provides vacuum-packed and frozen pet food that uses only fresh and human-consumption-grade ingredients and is cooked on low heat with steam, enabling dogs and cats to have a strong immune system, greater palatability, high digestibility, improvement in kidney health and the fight against chronic dehydration.</t>
  </si>
  <si>
    <t>Raio Capital</t>
  </si>
  <si>
    <t>218646-28T</t>
  </si>
  <si>
    <t>ReCB</t>
  </si>
  <si>
    <t>Developer of a financial platform designed to ease the process of billing and payments. The company's platform immediately opens an account, bills on the settlement of payment, and configures fine, interest, discounts, and instructions in the bill, enabling companies to manage an account without registration, maintenance, alteration, and cancellation fees.</t>
  </si>
  <si>
    <t>210195-55T</t>
  </si>
  <si>
    <t>Sky.Security</t>
  </si>
  <si>
    <t>Developer of a cybersecurity platform intended to provide web security services. The company offers a platform that specializes in endpoint detection and response and data protection, thereby helping its clients by offering platforms and services to protect your business data by anticipating threats, continuous monitoring and real-time reactions to attack attempts</t>
  </si>
  <si>
    <t>Skyone(Ricardo Brandão)</t>
  </si>
  <si>
    <t>184423-24T</t>
  </si>
  <si>
    <t>Sweetmix Distribuidora de Matérias Primas Industriais</t>
  </si>
  <si>
    <t>Producer of food sweeteners operating in children's nutrition, supplement and nutri-cosmetic segments. The company offers formulated premixes for energy drinks, antioxidants, baked goods and hydrocolloids.</t>
  </si>
  <si>
    <t>Univar Solutions(Jorge Buckup)</t>
  </si>
  <si>
    <t>207382-96T</t>
  </si>
  <si>
    <t>Trinio</t>
  </si>
  <si>
    <t>Operator of a payment gateway platform intended to remove friction and increase E-Commerce conversion. The company's platform provides a customizable, and secure infrastructure, enabling shoppers and e-commerce platforms to prevent fraud and checkout transactions easily.</t>
  </si>
  <si>
    <t>Activant Capital, Caravela Capital, Gilgamesh Ventures, Global Founders Capital, Latitud, Next Billion Ventures, Soma Capital</t>
  </si>
  <si>
    <t>187408-72T</t>
  </si>
  <si>
    <t>Criabiz Ventures, DOMO.VC</t>
  </si>
  <si>
    <t>188151-58T</t>
  </si>
  <si>
    <t>Bossa Invest, DOMO.VC(Franco Pontillo), EDP Ventures</t>
  </si>
  <si>
    <t>211602-79T</t>
  </si>
  <si>
    <t>A3 Pecuária</t>
  </si>
  <si>
    <t>Developer of livestock management software designed to provide analysis information on herds. The company's software offers important analysis information on medication, weighing, reproduction, TAI and management of livestock with multiple reports and a complete follow-up guide, thereby enabling farmers to manage their investments in order to increase profitability.</t>
  </si>
  <si>
    <t>Prodap(Leonardo Sa)</t>
  </si>
  <si>
    <t>184278-79T</t>
  </si>
  <si>
    <t>Alter Global(Yash Kanoi), Brittany Yoon(Brittany Yoon), Kaszek, Maya Capital (Brazil), Propel Venture Partners(David Mort), Prosus Ventures</t>
  </si>
  <si>
    <t>184537-36T</t>
  </si>
  <si>
    <t>Carol Bassi</t>
  </si>
  <si>
    <t>Manufacturer and retailer of women clothing based in São Paulo, Brazil.</t>
  </si>
  <si>
    <t>186931-72T</t>
  </si>
  <si>
    <t>Magrathea Laboratories Desenvolvimento de Programas</t>
  </si>
  <si>
    <t>Provider of business development services based in Joinville, Brazil. The company offers a wide range of services including Artificial Intelligence, machine learning and cloud computing, enabling businesses to enhance operational efficiency.</t>
  </si>
  <si>
    <t>Trusted Health</t>
  </si>
  <si>
    <t>185266-90T</t>
  </si>
  <si>
    <t>Ariel Lambrecht(Ariel Lambrecht), Kardinal, Renato Mendes(Renato Mendes)</t>
  </si>
  <si>
    <t>156183-13T</t>
  </si>
  <si>
    <t>Acelen, Mubadala Investment Company</t>
  </si>
  <si>
    <t>184284-55T</t>
  </si>
  <si>
    <t>Startups</t>
  </si>
  <si>
    <t>Publisher of news, analysis, and studies intended for technology and startup ecosystems. The company specializes in providing a subscription-based model newsletter monthly on venture capital, fintech, and emerging technologies timely information, enabling entrepreneurs, investors, and industry professionals to stay informed and make data-driven decisions.</t>
  </si>
  <si>
    <t>Conta Simples(Rodrigo Tognini), StartSe(Junior Borneli)</t>
  </si>
  <si>
    <t>215496-91T</t>
  </si>
  <si>
    <t>Zissou</t>
  </si>
  <si>
    <t>Designer of mattresses intended to reshape its customer's relationship with sleep. The company offers products that combine technology with quality of life and provide a differentiated shopping experience, providing customers with good products and buying experiences.</t>
  </si>
  <si>
    <t>Alice Coutinho(Alice Coutinho), Bruno Sanovicz(Bruno Sanovicz), Cesar Pinela(Cesar Pinela), Columbia Ventures Brazil, Fabien Mendez(Fabien Mendez), Fastshop, Gregory Goldfinger(Gregory Goldfinger), Lupa Capital, Marcelo Sanovicz(Marcelo Sanovicz), Mauricio Benvenutti(Mauricio Benvenutti), StaminaVC</t>
  </si>
  <si>
    <t>211622-32T</t>
  </si>
  <si>
    <t>Clube do Técnico</t>
  </si>
  <si>
    <t>Provider of education and training services based in Mogi Guaçu, Brazil. The company's technical &amp; professional school provides distance education as well in the field of electrical &amp; industrial automation.</t>
  </si>
  <si>
    <t>Tractian(Igor Marinelli)</t>
  </si>
  <si>
    <t>227572-57T</t>
  </si>
  <si>
    <t>251544-52T</t>
  </si>
  <si>
    <t>Fundo DE Investimento Imobiliario Rec (BVMF: RELG11)</t>
  </si>
  <si>
    <t>Fundo DE Investimento Imobiliario Rec Logistica is a Brazil-based company. It engaged in investing in real estate projects, ready-made properties, land, or properties under construction, intended for the exploration of logistical, storage, distribution, commercial or industrial activities, and, in addition, in real rights over target properties, which generate income.</t>
  </si>
  <si>
    <t>183132-55T</t>
  </si>
  <si>
    <t>Insolo</t>
  </si>
  <si>
    <t>Operator of agribusiness company dedicated to the production of grains and expansion in the cotton culture. The company's services include agricultural land management, technical advisory, monitoring of the planting and management stages to harvesting as well as publication.</t>
  </si>
  <si>
    <t>185774-68T</t>
  </si>
  <si>
    <t>184167-01T</t>
  </si>
  <si>
    <t>Base Partners</t>
  </si>
  <si>
    <t>202574-53T</t>
  </si>
  <si>
    <t>Synapcom</t>
  </si>
  <si>
    <t>Developer of an e-commerce platform designed to create customized projects from planning and operation from channel management to after-sales. The company software includes digital marketing, business intelligence, an order management system, contents, logistics, operations management, payments and fraud protection, thereby enabling its clients to manage operations.</t>
  </si>
  <si>
    <t>270262-81T</t>
  </si>
  <si>
    <t>251547-76T</t>
  </si>
  <si>
    <t>FII GUARD MU (BVMF: GAME11)</t>
  </si>
  <si>
    <t>Fundo DE Investimen Imobiliario Guardian Multiestrategia Imobiliaria I is a Real Estate Investment Fund.</t>
  </si>
  <si>
    <t>192709-09T</t>
  </si>
  <si>
    <t>Neppo Tecnologia da Informação</t>
  </si>
  <si>
    <t>Developer of artificial intelligence (AI) based omnichannel platform focusing on optimizing digital communication and relationships in the business world. The company provides a range of services from conventional bots to intelligent bots, which bring virtual agents capable of analyzing feelings and understanding voice and texts in natural language, offering insights and enabling managers to anticipate demands.</t>
  </si>
  <si>
    <t>251778-79T</t>
  </si>
  <si>
    <t>Plural Renda Urbana</t>
  </si>
  <si>
    <t>Plural Renda Urbana FII is a Real estate investment trust.</t>
  </si>
  <si>
    <t>211765-24T</t>
  </si>
  <si>
    <t>Vênus (Personal Products)</t>
  </si>
  <si>
    <t>Manufacturer and supplier of consumer goods and beauty products based in Brazil. The company offers self-care and skin care products that are not tested on animals, made with essential oils of vegetable origin and free of alcohol, dyes, parabens, formaldehyde and phthalates.</t>
  </si>
  <si>
    <t>Jovem Pan</t>
  </si>
  <si>
    <t>251580-43T</t>
  </si>
  <si>
    <t>Js Ativos Financeiros (BVMF: JSAF11)</t>
  </si>
  <si>
    <t>Js Ativos Financeiros Fundo DE Investimento Imobiliario is a Brazil based company. It objective of the Fund is to invest in real estate assets, through the acquisition of any of the Target Assets.</t>
  </si>
  <si>
    <t>276582-61T</t>
  </si>
  <si>
    <t>Operator of a retail pet shop serving the pet market. The company offers pet food products, veterinary drugs, hygiene and beauty products and accessories for pets and also provides veterinary medical care services and pet bathing and grooming.</t>
  </si>
  <si>
    <t>BRBI BR Partners (BVMF: BRBI11)</t>
  </si>
  <si>
    <t>211761-82T</t>
  </si>
  <si>
    <t>Agrorigem</t>
  </si>
  <si>
    <t>Operator of an agricultural marketplace platform intended for connecting coffee producers with buyers. The company's platform offers a multilateral marketplace that facilitates the sale of specialty coffees, featuring a variety of coffee profiles from different micro-regions, enabling producers and buyers worldwide to engage in direct trade with enhanced value and efficiency.</t>
  </si>
  <si>
    <t>251371-36T</t>
  </si>
  <si>
    <t>Devant Recebiveis (BVMF: DEVA11)</t>
  </si>
  <si>
    <t>Devant Recebiveis Imobiliarios Fundo DE Investimento Imobiliario is a Brazil-based company. It Earn income and capital gains from investments in financial assets backed by real estate CRI.</t>
  </si>
  <si>
    <t>184072-24T</t>
  </si>
  <si>
    <t>Metalgrafica Iguacu</t>
  </si>
  <si>
    <t>Metalgrafica Iguacu SA is a Brazil-based company which manufactures, exports and imports metal cans and containers for the food industry. Its products are coated with varnish for food protection. It also provides lithographic processing using offset printers.</t>
  </si>
  <si>
    <t>184306-33T</t>
  </si>
  <si>
    <t>Wevo (Business/Productivity Software)</t>
  </si>
  <si>
    <t>Operator of an enterprise integration Platform as a Service (iPaaS) that orchestrates data integration and APIs. The company's platform assists to integrate cloud and on-premise systems, create custom integrations, manage integrations automatically with reduced implementation and execution costs, enabling businesses to facilitate communication between the different systems in the organization turning it into digitally automated and integrated processes.</t>
  </si>
  <si>
    <t>Audax Private Debt, Jitterbit(George Gallegos)</t>
  </si>
  <si>
    <t>211605-13T</t>
  </si>
  <si>
    <t>Alfa17</t>
  </si>
  <si>
    <t>Provider of analytics and BI services based in Porto Alegre, Brazil. The company offers consultancy for analytics and BI, project management, development and training, workshops for managers, decision trees, machine learning as well as external data collection, thereby generating results beyond dashboards, key performance indicators, reports, products and fads.</t>
  </si>
  <si>
    <t>Math Tech</t>
  </si>
  <si>
    <t>211749-13T</t>
  </si>
  <si>
    <t>Miranos (Business/Productivity Software)</t>
  </si>
  <si>
    <t>Developer of human capital management platform intended to provide human capital services to customers. The company provides performance management, HR and business development services and manages company compliance, thereby providing clients with intuitive and cost-effective solution.</t>
  </si>
  <si>
    <t>Construtora Planeta</t>
  </si>
  <si>
    <t>183910-24T</t>
  </si>
  <si>
    <t>Tino (PIG)</t>
  </si>
  <si>
    <t>Developer of a payments platform designed to allow users to make use of their credit card receivables. The company's platform allows retailers to get more credit to buy from their suppliers, using card receivables without having to anticipate them, enabling users to avail of working capital whenever they need it.</t>
  </si>
  <si>
    <t>Addition(Lee Fixel), Global Founders Capital, Israel Defense Fund, ONEVC, Spectra Investments</t>
  </si>
  <si>
    <t>185277-79T</t>
  </si>
  <si>
    <t>Alexia Ventures, Astella Investimentos(Marcelo Sato), Erica Stul(Erica Stul), Juliano Dutra(Juliano Dutra), Norte Ventures, SoftBank Latin America Fund, Spectra Investments, Upload Ventures (Sao Paulo)</t>
  </si>
  <si>
    <t>203801-86T</t>
  </si>
  <si>
    <t>Descubra o Mundo</t>
  </si>
  <si>
    <t>Operator of foreign exchange platform intended to offer an exchange program accessible and by offering a service at lower prices. The company's platform offers an innovative and practical business proposal, where special edition courses, language courses, and exchange agency services, enabling students to generate knowledge in different languages and other exchange services are provided.</t>
  </si>
  <si>
    <t>Quero Educação(André Narciso)</t>
  </si>
  <si>
    <t>178300-63T</t>
  </si>
  <si>
    <t>Grupo Madero</t>
  </si>
  <si>
    <t>Operator of a chain of casual and fast-casual dining restaurants based in Brazil and in the United States. The company offers products including patrons meats, pasta, gourmet sandwiches, entrees, salads and special desserts via its vertically integrated business model, which includes a central kitchen and full logistics capabilities, including an owned fleet of temperature-controlled trucks.</t>
  </si>
  <si>
    <t>186429-79T</t>
  </si>
  <si>
    <t>TerraMagna</t>
  </si>
  <si>
    <t>Developer of digital lender designed to bolster the agribusiness sector. The company manages significant discretionary capital and has disbursed substantial funds, offering various credit modalities including working capital, assignment of receivables, and exclusive financial funds; it operates as a market leader with a notably low default rate, providing flexible, tailored options and expert guidance, enabling agricultural input distributors to optimize their financial operations, gain independence from traditional financiers, and achieve increased efficiency and savings.</t>
  </si>
  <si>
    <t>Accion, Canary (Brazil), Fundação Estudar, Hangar8 Capital, HBS Alumni Angels of Brazil, Maya Capital (Brazil), MG Tech., Milenio Capital, ONEVC, Shift Capital (São Paulo), SoftBank Group (TKS: 9984), The Yield Lab Latam, Wolfman.One</t>
  </si>
  <si>
    <t>183836-71T</t>
  </si>
  <si>
    <t>Clocktower Ventures, Homebrew, Kaszek(Nicolas Berman), Kevin Moore, Maya Capital (Brazil)(Monica Leal), Parade Ventures, Spectra Investments, SquareOne Capital, The Chainsmokers</t>
  </si>
  <si>
    <t>183807-01T</t>
  </si>
  <si>
    <t>CashWay</t>
  </si>
  <si>
    <t>Developer of a comprehensive core banking platform designed to streamline regulatory compliance, accounting, and financial operations. The company's platform offers integrated modules for credit, investment, digital accounts, and fraud prevention to handle all accounting entries in the standardized model and deliver several models for opening accounts, enabling cooperatives, fintechs, and payment institutions to enhance operational efficiency, ensure compliance, and improve customer experiences.</t>
  </si>
  <si>
    <t>Invisto(Marcelo Wolowski), Torq (Brazil)</t>
  </si>
  <si>
    <t>183576-34T</t>
  </si>
  <si>
    <t>A*, Coatue Management(Michael Gilroy), DST Global, Firebolt Ventures, Gokul Rajaram(Gokul Rajaram), Kelvin Beachum(Kelvin Beachum), Light Capital Group, Plug and Play Tech Center, The Hive(Everson Lopes), Valor Capital Group</t>
  </si>
  <si>
    <t>170773-84T</t>
  </si>
  <si>
    <t>Crescera Capital Acquisition</t>
  </si>
  <si>
    <t>Crescera Capital Acquisition Corp is a blank check company.</t>
  </si>
  <si>
    <t>Special Purpose Acquisition Company (SPAC)</t>
  </si>
  <si>
    <t>211741-66T</t>
  </si>
  <si>
    <t>Legale Educacional</t>
  </si>
  <si>
    <t>Operator of an EdTech company intended to be an educational model for social development. The company offers face-to-face and digital graduation and postgraduate courses in the areas of Law and Accounting.</t>
  </si>
  <si>
    <t>Galicia Educacao(Otello Neto)</t>
  </si>
  <si>
    <t>183983-59T</t>
  </si>
  <si>
    <t>Martini Meat</t>
  </si>
  <si>
    <t>Provider of logistics services intended to offer storage and handling of general cargo. The company's services include bulk warehousing, refrigerator storage, temperature-controlled storage, handling and transportation, enabling clients to avail of warehousing and logistics assistance.</t>
  </si>
  <si>
    <t>DMX Logística</t>
  </si>
  <si>
    <t>183721-06T</t>
  </si>
  <si>
    <t>Poatek Informatica</t>
  </si>
  <si>
    <t>Provider of software services focused on building critical applications for international clients. The company offers full-stack software development, mobile application development, big data and machine learning, thereby helping clients with the transformational power of software which is at the core of their business.</t>
  </si>
  <si>
    <t>Constitution Capital Partners, Insignia Capital Group(Anthony Broglio), WillowTree(Tobias Dengel)</t>
  </si>
  <si>
    <t>223956-64T</t>
  </si>
  <si>
    <t>Poupa Certo</t>
  </si>
  <si>
    <t>Developer of a financial advising application designed to improve the financial stability of users. The company's application suggests personalized paths for financial wellness and organizes finances, enabling workers and low-income individuals to manage and achieve savings goals and access financial services that fit their profile.</t>
  </si>
  <si>
    <t>247246-93T</t>
  </si>
  <si>
    <t>251680-06T</t>
  </si>
  <si>
    <t>Valora Hedge Fund Fundo (BVMF: VGHF11)</t>
  </si>
  <si>
    <t>Valora Hedge Fund Fundo DE Investimento Imobiliario-FII is a real estate investment trust.</t>
  </si>
  <si>
    <t>211729-96T</t>
  </si>
  <si>
    <t>Brasil Carbonos</t>
  </si>
  <si>
    <t>Provider of industrial processes intended to add value to green petroleum coke.</t>
  </si>
  <si>
    <t>Grupo Unimetal</t>
  </si>
  <si>
    <t>233584-30T</t>
  </si>
  <si>
    <t>Galapos Consultoria e Participacoes</t>
  </si>
  <si>
    <t>Operator of a service provider firm based in Porto Alegre, Brazil. The company offers services for mergers and acquisitions as well as finance consulting and incentives focused on the middle market.</t>
  </si>
  <si>
    <t>189613-00T</t>
  </si>
  <si>
    <t>MetLife Foundation, Village Capital</t>
  </si>
  <si>
    <t>183609-28T</t>
  </si>
  <si>
    <t>Linker (Financial Software)</t>
  </si>
  <si>
    <t>Provider of digital banking services intended to solve the banking issues of small business owners. The company offers a digital banking experience through partnerships that enable legal entities to have digital account experience through payment accounts, debit cards, credit, and other products, enabling entrepreneurs in finance management.</t>
  </si>
  <si>
    <t>168228-91T</t>
  </si>
  <si>
    <t>Developer of a payment platform designed to integrate multiple payment channels. The company's platform routes transactions to optimize cost and acceptance rates, avoid lock-in and have the flexibility to always work with the best provider on a transaction-to-transaction basis without the additional technical overhead, enabling clients to make their transactions efficient.</t>
  </si>
  <si>
    <t>Costanoa Ventures(Amy Cheetham), Latitud, Norte Ventures, QED Investors, Verve Capital, Y Combinator</t>
  </si>
  <si>
    <t>205273-90T</t>
  </si>
  <si>
    <t>Pinguim</t>
  </si>
  <si>
    <t>Developer of a tourism application intended to revolutionize the way people travel. The company platform uses artificial intelligence that connects people who want to travel together and offers experiences, suggestions, and incentives in a customized way for each traveler's profile, helping users to get travel-related products and services from suppliers and partners on their trips.</t>
  </si>
  <si>
    <t>183600-46T</t>
  </si>
  <si>
    <t>Provu</t>
  </si>
  <si>
    <t>Operator of fintech company focused on the lending platform to access private credit. The company offers loan proof, installment proof, personal lending and access to credit, enabling users to carry out their transactions easily without any hidden costs.</t>
  </si>
  <si>
    <t>The Goldman Sachs Group (NYS: GS)</t>
  </si>
  <si>
    <t>183578-86T</t>
  </si>
  <si>
    <t>Alec Oxenford(Alec Oxenford), Crescera Capital, FJ Labs, Innova Capital, Inovabra Ventures, Rafael Steinhauser(Rafael Steinhauser)</t>
  </si>
  <si>
    <t>181200-79T</t>
  </si>
  <si>
    <t>Bossa Invest, DOMO.VC, Edgard Corona(Edgard Corona), Paulo Silveira(Paulo Silveira), Roberto Grosman(Roberto Grosman), Rodrigo Dantas(Rodrigo Dantas), Rui Miadaira(Rui Miadaira), UM6P Ventures</t>
  </si>
  <si>
    <t>210685-42T</t>
  </si>
  <si>
    <t>DXA Invest</t>
  </si>
  <si>
    <t>Provider of private equity services based in Rio de Janeiro, Brazil. The company specializes in making private equity investments, thereby enabling lives to be changed through access to capital and better investment opportunities in the private market.</t>
  </si>
  <si>
    <t>216169-21T</t>
  </si>
  <si>
    <t>I-Systems Solucoes de Infraestrutura</t>
  </si>
  <si>
    <t>Operator and developer of fiber infrastructure based in Salvador, Brazil. The company is engaged in the deployment of new secondary fiber infrastructure and maintenance of the current infrastructure.</t>
  </si>
  <si>
    <t>IHS Towers (NYS: IHS)</t>
  </si>
  <si>
    <t>210582-82T</t>
  </si>
  <si>
    <t>IACS Medicina Diagnóstica</t>
  </si>
  <si>
    <t>Operator of a diagnostic medicine center based in Sao Paulo, Brazil. The company offers a complete portfolio of tests and procedures such as cardiology imaging, diagnostic imaging, neurology, gynecology, anatomy pathology and cytopathology aimed at prevention and health care.</t>
  </si>
  <si>
    <t>Instituto Hermes Pardini(Roberto Santoro)</t>
  </si>
  <si>
    <t>188743-60T</t>
  </si>
  <si>
    <t>Saúde Bliss</t>
  </si>
  <si>
    <t>Operator of a health insurance comparison platform intended to help find coverage plans that are suitable and financially viable. The company's platform takes into account the needs of individuals and their families and offers plans that meet those needs, enabling users to access healthcare in an uncomplicated manner.</t>
  </si>
  <si>
    <t>Canary (Brazil), Caravela Capital, Lupa Capital</t>
  </si>
  <si>
    <t>241856-56T</t>
  </si>
  <si>
    <t>Zurii Telecom</t>
  </si>
  <si>
    <t>Provider of a fiber optic connection with a gigabit passive optical network (GPON) technology located in Aparecida de Goiania, Brazil.</t>
  </si>
  <si>
    <t>187578-19T</t>
  </si>
  <si>
    <t>Coortex</t>
  </si>
  <si>
    <t>Developer of production planning and scheduling tool designed to transform the manufacturing business. The company helps to improve manufacturing performance by planning and scheduling optimization, enabling companies to keep sales orders on time, keep stocks and simulate different scenarios to respond to inquiries.</t>
  </si>
  <si>
    <t>183281-32T</t>
  </si>
  <si>
    <t>Elie Horn(Elie Horn), Guilherme Weege(Guilherme Weege), Iporanga Ventures, Jacques Nasser, Ronaldo Iabrudi dos Santos Pereira(Ronaldo Iabrudi dos Santos Pereira)</t>
  </si>
  <si>
    <t>187857-46T</t>
  </si>
  <si>
    <t>Benjamin Gleason(Benjamin Gleason), Latitud, Olima Ventures, Roberto Riccio(Roberto Riccio), Roman Sheth(Roman Sheth), Ryan Hoover(Ryan Hoover), Shaan Puri(Shaan Puri), Thiago Alvarez(Thiago Alvarez), Weekend Fund, Y Combinator</t>
  </si>
  <si>
    <t>183395-89T</t>
  </si>
  <si>
    <t>Labenu</t>
  </si>
  <si>
    <t>Operator of an education platform focused on offering full-stack web programming courses. The company's platform offers an immersive, remote, and live program with system-building challenges and full-time instructors to help with prior programming experience, enabling clients to reduce obstacles that may exist for education, whether financial, social, or regional.</t>
  </si>
  <si>
    <t>AcNext Capital(André Cruz)</t>
  </si>
  <si>
    <t>183410-65T</t>
  </si>
  <si>
    <t>Otimiza Benefícios</t>
  </si>
  <si>
    <t>Developer of a corporate benefits platform designed to exchange unused credits on home office assistance benefit cards. The company's platform centralizes the administration of benefits like transportation and meal vouchers, automates traditionally manual processes, offers detailed and customized expense reports, and develops strategies to reduce operational costs, enabling employees to gain transparency and achieve significant savings.</t>
  </si>
  <si>
    <t>187034-95T</t>
  </si>
  <si>
    <t>Sofit Software</t>
  </si>
  <si>
    <t>Developer of online fleet management platform catering throughout Brazil. The company offers an online platform that uses a SaaS model to manage fuel costs, tires, maintenance and infractions, by integrating all suppliers in a single system, enabling users to have full control of the fleet and be able to reduce costs, increase fleet availability and help with money-saving.</t>
  </si>
  <si>
    <t>Unidas</t>
  </si>
  <si>
    <t>196869-52T</t>
  </si>
  <si>
    <t>Operator of a project and startup accelerator intended to support agriculture, livestock, and agribusiness companies. The company offers infrastructure, research centers, mentorships, operational support, financial support, academic centers, investors, and Venture Capital funds with innovative alternatives in agribusiness that generate productivity and sustainability, enabling businesses to get financing, guidance, and expert support to become successful.</t>
  </si>
  <si>
    <t>184111-30T</t>
  </si>
  <si>
    <t>Top Information</t>
  </si>
  <si>
    <t>Developer of information technology products as well as a provider of consulting services catering to the USA, UK, South Africa, Colombia, Brazil and Argentina. The company offers to develop cloud computing-based business products as well as offers customized plans and services including mobility, artificial intelligence, digital marketing and software development, thereby helping businesses in the automation of marketing, generating leads and managing relationships with their customers.</t>
  </si>
  <si>
    <t>BRQ Solucoes em Informatica (BVMF: BRQB3)</t>
  </si>
  <si>
    <t>183314-80T</t>
  </si>
  <si>
    <t>Waving</t>
  </si>
  <si>
    <t>Operator of a gamified social network intended to make users receive points for each action performed within the platform, The company's platform offers the user to get access to the content of people who are not their followers, expanding the reach of posts, in addition to encouraging the creation of bonds between users outside the digital environment, enabling clients to upscale the engagement of their posts.</t>
  </si>
  <si>
    <t>223459-93T</t>
  </si>
  <si>
    <t>Apptite</t>
  </si>
  <si>
    <t>Developer of food delivery platform designed for ordering food on a regular basis. The company is currently operating in Stealth mode.</t>
  </si>
  <si>
    <t>259545-97T</t>
  </si>
  <si>
    <t>BLOCKBR</t>
  </si>
  <si>
    <t>Operator of a fintech company intended to focus on tokenization and infrastructure for digital asset investments. The company offers a platform for tokenization of various assets, including both financial and real assets, allowing for increased efficiency, lower costs, and greater accessibility compared to traditional investment methods, enabling customers to invest in these assets through digital tokens.</t>
  </si>
  <si>
    <t>179143-39T</t>
  </si>
  <si>
    <t>Breitener Energetica</t>
  </si>
  <si>
    <t>Manufacturer and supplier of electricity focused on generating clean, cheap and affordable energy. The company offers auxiliary systems for the generating units, substation, transmission line, protection, control, measurement and communication system, thereby enabling customers to increase commitment to environmental issues.</t>
  </si>
  <si>
    <t>Ceiba Energy(Emilio Vicens), Denham Capital Management</t>
  </si>
  <si>
    <t>181801-99T</t>
  </si>
  <si>
    <t>CI&amp;T (NYS: CINT)</t>
  </si>
  <si>
    <t>CI&amp;T Inc is engaged in providing plans, design, and software engineering services to enable digital transformation for companies. The company mainly develops customizable software through the implementation of several software solutions, including Machine Learning, Artificial Intelligence (AI), Analytics, Cloud, and Mobility technologies. The majority of the revenue is generated from the North America and Europe, followed by Asia, Pacific and Japan.</t>
  </si>
  <si>
    <t>183225-79T</t>
  </si>
  <si>
    <t>Igah Ventures(Thiago Maluf)</t>
  </si>
  <si>
    <t>188616-25T</t>
  </si>
  <si>
    <t>Nexxera Tecnologia e Serviços(Edson Silva)</t>
  </si>
  <si>
    <t>184716-01T</t>
  </si>
  <si>
    <t>Vegan Business</t>
  </si>
  <si>
    <t>Operator of an equity crowdfunding platform intended to focus on a plant-based market. The company's platform co-invests in all deals raised, in addition to offering strategic support to founders of companies that will raise capital, enabling startups to support vegan and plant-based businesses in Brazil.</t>
  </si>
  <si>
    <t>Claudio Yamaguchi(Claudio Yamaguchi), Elza Tamas(Elza Tamas), Felipe Mojave(Felipe Mojave), Fernão Battistoni(Fernão Battistoni), João Cristofolini(João Cristofolini), Leonardo Cunha(Leonardo Cunha), Raulio Dias(Raulio Dias), Soraya Capelli(Soraya Capelli)</t>
  </si>
  <si>
    <t>185458-06T</t>
  </si>
  <si>
    <t>Vetpat Laboratório de Análise Veterinária</t>
  </si>
  <si>
    <t>Provider of veterinary diagnostic services intended to help pet owners with an accurate diagnosis of their pets. The company offers Pathologic anatomy, clinical pathology, microbiology, molecular biology, blood bank and veterinary oncology thereby helping veterinarians and animal owners in the difficult work of laboratory diagnosis, through tests and modern and accurate techniques.</t>
  </si>
  <si>
    <t>Pet Care Diagnostics</t>
  </si>
  <si>
    <t>183188-98T</t>
  </si>
  <si>
    <t>Base10 Partners, Canary (Brazil), Monashees, Norte Ventures, Shift Capital (São Paulo), Tiger Global Management, Valor Capital Group</t>
  </si>
  <si>
    <t>183203-38T</t>
  </si>
  <si>
    <t>Arbo Transformacao Digital</t>
  </si>
  <si>
    <t>Operator of a real estate platform intended to digitize the work of real estate developers, real estate agents and independent brokers. The company's platform encompasses all the stages of selling and renting a property, thereby enabling buyers and sellers of the property to have a hassle-free transaction experience.</t>
  </si>
  <si>
    <t>Superlógica Tecnologias(Carlos Cêra), Warburg Pincus(Henrique Muramoto)</t>
  </si>
  <si>
    <t>211732-30T</t>
  </si>
  <si>
    <t>Cão Cidadão</t>
  </si>
  <si>
    <t>Provider of home training and pet behavior consultation services based in Sao Paulo, Brazil. The company provides home training services, behavioral consultation, courses, lectures, and events focused on professionals working in the area to owners interested in understanding and educating their pets.</t>
  </si>
  <si>
    <t>183260-35T</t>
  </si>
  <si>
    <t>FazSol Energias Renovaveis (4.4-MWp Solar DG Portfolio)</t>
  </si>
  <si>
    <t>Portfolio of five photovoltaic (PV) parks based in Brasília, Brazil. The renewable energy assets feature 11,000 solar panels capable of generating 7.3 GWh of clean electricity per year.</t>
  </si>
  <si>
    <t>Bpifrance(Philippe Boucheron), GreenYellow(Roberto Zerkowski), Tikehau Capital (PAR: TKO)(Emmanuel Laillier)</t>
  </si>
  <si>
    <t>183235-15T</t>
  </si>
  <si>
    <t>Libero Seguros</t>
  </si>
  <si>
    <t>Operator of an online insurance platform intended to provide insurance advice. The company's platform helps people to choose pocket-friendly insurance policies, enabling individuals and businesses to get personalized, tailored insurance coverage at a price that matches their individual budget.</t>
  </si>
  <si>
    <t>284493-70T</t>
  </si>
  <si>
    <t>BrazilLAB(Guilherme Dominguez)</t>
  </si>
  <si>
    <t>183670-57T</t>
  </si>
  <si>
    <t>SafeSpace</t>
  </si>
  <si>
    <t>Developer of a mental health support platform designed to build a trust-based company culture. The company's platform allows employees to register reports privately and confidentially, creating a timeline of incidents that helps them build confidence to come forward as well as prevent, communicate, and solve workplace misconduct, enabling companies to build safer and more convenient inclusive work environments and improve ethics, compliance, and ESG practices.</t>
  </si>
  <si>
    <t>A.B.Seed Ventures, DGF Investimentos, Doug Scherrer(Doug Scherrer), Fernando Filho(Fernando Filho), Lucas Amoroso Lima(Lucas Amoroso Lima), Milltrust International(Bernard Ng)</t>
  </si>
  <si>
    <t>183268-27T</t>
  </si>
  <si>
    <t>MetrôRio</t>
  </si>
  <si>
    <t>Operator of subway lines intended to provide urban mobility. The company operates railway lines integrating stations and integration points, enabling access to an easy, affordable and convenient mode of transportation.</t>
  </si>
  <si>
    <t>191274-49T</t>
  </si>
  <si>
    <t>Canary (Brazil), NFX</t>
  </si>
  <si>
    <t>269661-07T</t>
  </si>
  <si>
    <t>270187-21T</t>
  </si>
  <si>
    <t>269586-28T</t>
  </si>
  <si>
    <t>209090-35T</t>
  </si>
  <si>
    <t>Institute of Management and Information Technology</t>
  </si>
  <si>
    <t>Operator of a higher educational institution intended to provide post graduate studies and professional training. The company offers professional training in IT and Emerging Technologies and has a distance education model that prioritizes the academic excellence of its students.</t>
  </si>
  <si>
    <t>211752-91T</t>
  </si>
  <si>
    <t>Niu Fibra</t>
  </si>
  <si>
    <t>Provider of broadband services based in Guarujá, Brazil. The company utilizes fiber optic technology, thereby providing more agile virtual communication.</t>
  </si>
  <si>
    <t>185657-23T</t>
  </si>
  <si>
    <t>Across Capital Partners(Rafael Costa), GIC Private</t>
  </si>
  <si>
    <t>209677-42T</t>
  </si>
  <si>
    <t>Anjos do Brasil, Columbia Angels</t>
  </si>
  <si>
    <t>270188-92T</t>
  </si>
  <si>
    <t>UXMP</t>
  </si>
  <si>
    <t>Developer of Edtech platform designed to democratize access to the user experience. The company provides training, job opportunities, and recognition for Black women seeking careers in the digital field and its focused approach fosters emotional support, mentorship, and access to quality technical education, all at affordable prices, enabling users opportunities for insertion in the product and technology market.</t>
  </si>
  <si>
    <t>220532-86T</t>
  </si>
  <si>
    <t>VOA Educação</t>
  </si>
  <si>
    <t>Operator of an educational platform intended to improve the teaching and learning process of students. The company's platform helps educational institutions to assess students' socio-emotional skills, communication, collaboration, critical thinking and self-regulation and track results on a digital dashboard, enabling clients to make decisions based on relevant data about students and also save time on manual tasks.</t>
  </si>
  <si>
    <t>276320-44T</t>
  </si>
  <si>
    <t>#EUVISTOOBEM movement</t>
  </si>
  <si>
    <t>Manufacturer of clothing intended to provide employment and support for women in socially vulnerable situations. The company offers a range of products, including corporate uniforms, fashion collections, and customizable gifts, along with a focus on using recycled materials and zero-waste processes, enabling fashion brands and the corporate sector to make ethical production choices while promoting social transformation, environmental sustainability and community empowerment.</t>
  </si>
  <si>
    <t>276645-97T</t>
  </si>
  <si>
    <t>See Energy</t>
  </si>
  <si>
    <t>Operator of an energy efficiency company intended to transform energy data into actionable insights. The company specializes in offering a comprehensive SaaS platform that integrates market intelligence, and multi-criteria analysis tools, and helps businesses identify energy conservation opportunities, and performance evaluation methods, enabling clients to track energy efficiency and sustainability indicators.</t>
  </si>
  <si>
    <t>183005-29T</t>
  </si>
  <si>
    <t>Carolina Soil do Brasil</t>
  </si>
  <si>
    <t>Producer of substrates and fertilizers catering to the Brazilian market. The company specializes in agricultural research and development of substrates, fertilizers and seeds for tobacco, vegetables, forestry, flowers, yerba mate, coffee and sugar canes.</t>
  </si>
  <si>
    <t>Pindstrup Mosebrug A/s(Torben Brændgaard)</t>
  </si>
  <si>
    <t>183006-82T</t>
  </si>
  <si>
    <t>Grupo SuperPoker</t>
  </si>
  <si>
    <t>Operator of a news platform intended to serve the world poker market. The company offers a suite of online poker websites, social media pages, real-time tournament updates and online streaming services, thereby helping clients with a library of video and editorial poker content.</t>
  </si>
  <si>
    <t>Playmaker Capital(Jordan Gnat)</t>
  </si>
  <si>
    <t>185396-23T</t>
  </si>
  <si>
    <t>JDM Corretora de Seguros</t>
  </si>
  <si>
    <t>Operator of an insurance broking agency intended to mitigate the risk of an individual. The company engages in providing car, home, and travel insurance, private pension and employee life care schemes to individuals and businesses as well as insurance policies for agricultural land and equipment.</t>
  </si>
  <si>
    <t>183157-66T</t>
  </si>
  <si>
    <t>Mola Corban</t>
  </si>
  <si>
    <t>Developer of a payroll software designed to manage sales, customer service, and financial processes. The company offers automated responses, unified customer information, and financial management tools, enabling banking correspondents to improve workflow and monitor business performance.</t>
  </si>
  <si>
    <t>HiPartners Capital &amp; Work(Walter Sabini), HIX Capital(Rodrigo Heilberg), Itaú Unibanco(Frances Sevilla-Sacasa), Kinea Investimentos (BVMF: KNHY11)(Gustavo Aleixo)</t>
  </si>
  <si>
    <t>200543-95T</t>
  </si>
  <si>
    <t>Verve Capital</t>
  </si>
  <si>
    <t>274004-47T</t>
  </si>
  <si>
    <t>Cantinho Das Delícias</t>
  </si>
  <si>
    <t>Operator of the restaurant based in Diadema, Brazil. The company offers ready meals, delivery, bidding notices with snack kits for school games in municipal and state Education Departments and frozen meals.</t>
  </si>
  <si>
    <t>182916-91T</t>
  </si>
  <si>
    <t>Condofy</t>
  </si>
  <si>
    <t>Developer of a digital management platform designed to streamline administrative processes for residential buildings. The company's platform offers automated billing, unlimited digital payment processing, meeting management with legal documentation, document storage, real-time financial reporting, and communication tools, enabling condominium residents and property managers to efficiently manage finances, operations, and community matters in one place while supporting transparency and engagement.</t>
  </si>
  <si>
    <t>Niu Ventures(Paul Bragiel)</t>
  </si>
  <si>
    <t>210938-86T</t>
  </si>
  <si>
    <t>Fourth Revolution Capital, Framework Ventures, IOSG Ventures, Republic, Tomahawk.VC</t>
  </si>
  <si>
    <t>202781-53T</t>
  </si>
  <si>
    <t>Crivo, Involves Solucoes Tecnologicas, Niu Ventures</t>
  </si>
  <si>
    <t>190889-20T</t>
  </si>
  <si>
    <t>Edunext</t>
  </si>
  <si>
    <t>Developer of a digital platform designed to connect traditional universities to digital alternatives. The company's platform provides digital transformation in the academic, technological, and marketing areas of formal institutions through curation, adaptation, and development of academic courses and materials to new teaching and learning formats and also helps educators get opportunities to connect with educational institutions, enabling the institutions and educators to get exponential reach in the education area.</t>
  </si>
  <si>
    <t>195457-96T</t>
  </si>
  <si>
    <t>Enova Foods</t>
  </si>
  <si>
    <t>Producer of powdered beverages and food products based in Brazil. The company offers products including chocolate powder and drink mixes, peanuts, powdered soft drinks and snacks, along with savory treats and desserts, enabling customers to receive eatables and drinks as per their requirements.</t>
  </si>
  <si>
    <t>212133-79T</t>
  </si>
  <si>
    <t>Equatorial Para Distribuidora de Energia (BVMF: EQPA3)</t>
  </si>
  <si>
    <t>Equatorial Para Distribuidora De Energia SA engages in the generation, transmission, and distribution of electricity in Brazil. The company generates electricity through thermal, nuclear, wind, and hydroelectric plants.</t>
  </si>
  <si>
    <t>186163-75T</t>
  </si>
  <si>
    <t>178220-98T</t>
  </si>
  <si>
    <t>Americanas (Brazil)(Miguel Gutierrez)</t>
  </si>
  <si>
    <t>233419-33T</t>
  </si>
  <si>
    <t>Iniciador</t>
  </si>
  <si>
    <t>Developer of a financial technology platform designed to assist with payment initiation offers. The company's platform simplifies payment initiators, regulates compliance and offers interface white label and integrates anti-fraud, enabling customers to have assistance with digital payment offers.</t>
  </si>
  <si>
    <t>Andrés Bilbao(Andrés Bilbao)</t>
  </si>
  <si>
    <t>183205-00T</t>
  </si>
  <si>
    <t>Nova Telecom</t>
  </si>
  <si>
    <t>Provider of telecom internet services based in Ribeirão das Neves, Brazil. The company offers optical fiber networks in coverage areas and internet link services, thereby providing customers with fast and secure internet service.</t>
  </si>
  <si>
    <t>ALZA Capital Partners, Kinderhook Partners, KYR Capital, Light Wave Capital(Ricardo Montes de Souza), Spectra Investments, WSC &amp; Company</t>
  </si>
  <si>
    <t>241279-39T</t>
  </si>
  <si>
    <t>Rendem Serviços de Intermediação</t>
  </si>
  <si>
    <t>Provider of financial services based in Sao Paulo, Brazil. The company offers to anticipate the payment of receivables, without impacting the cash flow.</t>
  </si>
  <si>
    <t>182837-80T</t>
  </si>
  <si>
    <t>SenseData</t>
  </si>
  <si>
    <t>Developer of customized customer success and actionable data system intended to help clients build trusting relationships with their customers. The company uses advanced techniques for analyzing large volumes of data, creating a unique view of the customer, and generating insights by taking into account the main indicators, enabling businesses to anticipate risks and identify opportunities.</t>
  </si>
  <si>
    <t>182422-27T</t>
  </si>
  <si>
    <t>Skore</t>
  </si>
  <si>
    <t>Developer of a cloud-based corporate learning management platform intended to organize and publish knowledge content. The company's platform offers personalized content, integrates with existing systems and platforms to recommend content for hyper-personalized delivery and allows sharing of content such as links, photos, files and notes, enabling users to arrange content, interact and empower collaboration through comments, mentions and notifications.</t>
  </si>
  <si>
    <t>193394-53T</t>
  </si>
  <si>
    <t>First Check Ventures, Hummingbird Ventures, MSA Capital, Prodigio Capital</t>
  </si>
  <si>
    <t>191152-90T</t>
  </si>
  <si>
    <t>Verde (Financial Software)</t>
  </si>
  <si>
    <t>Developer of a digital platform designed to simplify and expand access to working capital loans. The company's platform helps access loans by offering more agile and transparent rural credit and financial services digitally, including insurance and digital banks, enabling small and medium farmers in Brazil to grow their businesses with faster and more transparent financial resources.</t>
  </si>
  <si>
    <t>Hi2 Global, Iporanga Ventures, Lupa Capital, Rhombuz Ventures, Zentani Capital</t>
  </si>
  <si>
    <t>266168-71T</t>
  </si>
  <si>
    <t>183157-12T</t>
  </si>
  <si>
    <t>Digesto</t>
  </si>
  <si>
    <t>Developer of law research and monitoring platform designed to improve the practice of law. The company's platform uses artificial intelligence technology to provide process information on a single page, including smart filters, procedural phase, tempo, and electronic autos, highlighting the pole, the time, quantity and facilitates national coverage, enabling citizens, companies, lawyers, prosecutors, and judges respond better to questions about how to interpret and apply the law in Brazil.</t>
  </si>
  <si>
    <t>182652-31T</t>
  </si>
  <si>
    <t>InfoPrice</t>
  </si>
  <si>
    <t>Developer of a pricing platform intended to provide business intelligence services to transform the consumer chain through technology. The company's services specialize in providing ideas for the consumer industry, supermarkets, and research institutions by digitally collecting prices from retail outlets, enabling companies to improve margins, increase sales, and define strategies for pricing by getting access to pricing information.</t>
  </si>
  <si>
    <t>Indicator Capital, Telefónica Ventures, TM3 Capital</t>
  </si>
  <si>
    <t>211751-92T</t>
  </si>
  <si>
    <t>Nityam Empreendimentos e Participações</t>
  </si>
  <si>
    <t>Operator of holding and non-financial institutions based in Sao Paulo, Brazil.</t>
  </si>
  <si>
    <t>Agribrasil (BVMF: GRAO3)</t>
  </si>
  <si>
    <t>178103-89T</t>
  </si>
  <si>
    <t>Partex Brasil</t>
  </si>
  <si>
    <t>Provider of oil and gas exploration services based in Recife, Brazil.</t>
  </si>
  <si>
    <t>214842-43T</t>
  </si>
  <si>
    <t>Salta Educacao</t>
  </si>
  <si>
    <t>Operator of a network of educational schools located in Rio de Janeiro, Brazil. The company owns and operates a network of schools, supported by an educational platform, enabling students to learn and gain new skills.</t>
  </si>
  <si>
    <t>178584-49T</t>
  </si>
  <si>
    <t>Santa Amália</t>
  </si>
  <si>
    <t>Producer of food products dedicated to contributing to the quality of life and well-being of people. The company offers items like pasta, sauces, and condiments, cakes and desserts, soft drinks, cheeses, and soups, thereby presenting customers with healthy food and beverage options.</t>
  </si>
  <si>
    <t>211046-68T</t>
  </si>
  <si>
    <t>A.B.Seed Ventures, ACE Ventures (Commercial Services), Allievo Capital, Bossa Invest, DOMO.VC</t>
  </si>
  <si>
    <t>205497-64T</t>
  </si>
  <si>
    <t>Cognvox</t>
  </si>
  <si>
    <t>Developer of therapeutic application intended to improve the daily lives of people with intellectual disabilities. The company's application constitutes a disruptive technological platform, that can be used as a tool for educational and intellectual development by both the public and private sectors, it envisions an education that can assure the involvement of children and adolescents with disabilities with life, enabling children with intellectual disabilities to overcome social fear and expand their social bond.</t>
  </si>
  <si>
    <t>Leonora Ventures(Ana Paula Debiazi Vicente)</t>
  </si>
  <si>
    <t>172674-28T</t>
  </si>
  <si>
    <t>Developer of cross-border payment processing platform designed to help global merchants to sell their products and services effortlessly and expand into Latin America. The company's software offers intelligent and integrated payment services across the entire cross-border e-commerce transaction flow without the need of a local entity and also provides marketing consultancy services, enabling clients to have access to a host of multiple local payment options with the help of a full-time local customer support team.</t>
  </si>
  <si>
    <t>182657-98T</t>
  </si>
  <si>
    <t>Flowork</t>
  </si>
  <si>
    <t>Operator of commercial real estate intended to provide quality-furnished private offices. The company provides fully furnished and equipped rooms, spaces with architectural design, acoustic coverage, and complete infrastructure focused on productivity and performance, enabling customers to enjoy comfort, technology, and furniture.</t>
  </si>
  <si>
    <t>Invescon's, Plancorp Capital.</t>
  </si>
  <si>
    <t>224080-12T</t>
  </si>
  <si>
    <t>Fundo DE Investimento Imobiliario Ourinvest Renda (BVMF: OURE11)</t>
  </si>
  <si>
    <t>Fundo DE Investimento Imobiliario Ourinvest Renda Estruturada is a paper-type real estate fund, that is, its investments are mainly based on bonds and securities.</t>
  </si>
  <si>
    <t>207585-28T</t>
  </si>
  <si>
    <t>Astella Investimentos, Jera Capital, Torq (Brazil)</t>
  </si>
  <si>
    <t>184423-69T</t>
  </si>
  <si>
    <t>10b - Gestora de Recursos(Marcelo Lopo Lima), Parceiro Ventures, SK Tarpon, The Yield Lab Latam, Tridon Participações, Volpe Capital(Gabriel Marcassa)</t>
  </si>
  <si>
    <t>188296-57T</t>
  </si>
  <si>
    <t>Tiny ERP</t>
  </si>
  <si>
    <t>Developer of an online management system designed for the e-commerce segment, small- and medium-sized businesses. The company through its platform offers modules for invoicing, electronic invoice issuance, product catalog management, inventory, multichannel sales, financial management, integration with e-commerce platforms, marketplaces, and logistics solutions, among others, thereby working as an ideal complement for online stores that assists management and business organization to standardize processes, increase the efficiency of the operation and manage the main resources of the business.</t>
  </si>
  <si>
    <t>Olist Servicos Digitais(Tiago Dalvi)</t>
  </si>
  <si>
    <t>183152-98T</t>
  </si>
  <si>
    <t>TrendFoods</t>
  </si>
  <si>
    <t>Operator of a fast food restaurant chain based in São Paulo, Brazil. The company provides a range of Chinese and Japanese cuisine and food delivery services, enabling clients to avail quality food products.</t>
  </si>
  <si>
    <t>257821-57T</t>
  </si>
  <si>
    <t>UnionAgro</t>
  </si>
  <si>
    <t>The company provides a wide range of products that include soil granules, premium line, liquid foliar line, vigor line and many more.</t>
  </si>
  <si>
    <t>Lavoro (NAS: LVRO)</t>
  </si>
  <si>
    <t>182662-75T</t>
  </si>
  <si>
    <t>Vivalisto</t>
  </si>
  <si>
    <t>Operator of a real estate platform intended to simplify property transaction processes. The company's platform gives documental, contractual and notary process-related services, enabling brokers and real estate agencies to focus on their core businesses of buying and selling properties.</t>
  </si>
  <si>
    <t>FEA Angels, Investidores.vc(Amure Pinho)</t>
  </si>
  <si>
    <t>251373-70T</t>
  </si>
  <si>
    <t>Cidade Jardim Continental (BVMF: CJCT11)</t>
  </si>
  <si>
    <t>Cidade Jardim Continental Tower Fundo DE Investimento Imobiliario aims to earn gains from the investment in the Continental Tower Building, located in the development called Cidade Jardim Corporate Center, in the City and State of São Paulo.</t>
  </si>
  <si>
    <t>181229-23T</t>
  </si>
  <si>
    <t>Embaré</t>
  </si>
  <si>
    <t>Producer of dairy products and candies based in Belo Horizonte, Brazil. The company specializes in providing processed dairy products such as condensed milk, cheese, cream, milk powder and yogurt as well as confectioneries including fruit fudges, toffees and caramels.</t>
  </si>
  <si>
    <t>Arlon Group(Bruno Silva), Betânia Lácteos(Bruno Girão)</t>
  </si>
  <si>
    <t>182401-57T</t>
  </si>
  <si>
    <t>Grão (São Paulo), Kaszek(Santiago Fossatti), ONEVC</t>
  </si>
  <si>
    <t>215818-84T</t>
  </si>
  <si>
    <t>Juno (Brazil)</t>
  </si>
  <si>
    <t>Operator of a digital financial platform intended for payment systems. The company's platform allows merchants to sell online through PIX, boleto bancário, and credit cards, in addition to managing their payments flow in their own digital accounts, providing companies to receive payments, easily and without bureaucracy.</t>
  </si>
  <si>
    <t>EBANX(João Del Valle)</t>
  </si>
  <si>
    <t>182388-43T</t>
  </si>
  <si>
    <t>Lincros</t>
  </si>
  <si>
    <t>Developer of an ERP software designed to optimize logistical operations. The company offers a comprehensive suite of services, including freight management, tracking and auditing, enabling customers to reduce costs, improve efficiency and increase visibility into their supply chains.</t>
  </si>
  <si>
    <t>226223-92T</t>
  </si>
  <si>
    <t>183867-67T</t>
  </si>
  <si>
    <t>OK Superatacado</t>
  </si>
  <si>
    <t>Operator of a network of supermarkets intended for end customers, with prices and products ready to meet their needs. The company owns and operates a network of cash-and-carry model supermarkets that offer a variety of affordable products including cleaning, personal hygiene and other related consumer goods to both retail consumers and food services companies like restaurants, bars and distributors.</t>
  </si>
  <si>
    <t>DMA Distribuidora S.A.</t>
  </si>
  <si>
    <t>276365-71T</t>
  </si>
  <si>
    <t>Organia</t>
  </si>
  <si>
    <t>Operator of an online grocery store intended to offer organic products from local farmers. The company offers monthly subscription plan, online grocery store, basket subscription plan, provides organic products from local farmers, enabling its clients to have organic food products.</t>
  </si>
  <si>
    <t>Artemisia, Brazilian Development Bank</t>
  </si>
  <si>
    <t>182428-21T</t>
  </si>
  <si>
    <t>Pilla (Financial Software)</t>
  </si>
  <si>
    <t>Developer of a financial management platform designed to help employees improve their financial lives. The company's platform offers financial planning, financial education, and emergency salary advances, enabling organizations to track their team's financial evolution and employees to achieve financial freedom.</t>
  </si>
  <si>
    <t>Andrea Pinheiro(Andrea Pinheiro), André Laport(André Laport), Gustavo Fonseca(Gustavo Fonseca), Pedro Sirotsky(Pedro Sirotsky)</t>
  </si>
  <si>
    <t>182375-11T</t>
  </si>
  <si>
    <t>Gustavo Jobim(Gustavo Jobim), Mauro Negrete(Mauro Negrete), Sertrading(Robson Reis)</t>
  </si>
  <si>
    <t>182189-53T</t>
  </si>
  <si>
    <t>197216-02T</t>
  </si>
  <si>
    <t>Canary (Brazil), Capchase, SaaSholic, SouthStack</t>
  </si>
  <si>
    <t>182360-98T</t>
  </si>
  <si>
    <t>188493-94T</t>
  </si>
  <si>
    <t>KeyCash</t>
  </si>
  <si>
    <t>Operator of an artificial intelligence platform intended for personal and real estate credit services. The company's platform offers an online process with fewer interest rates on the market and a team of experts to help them until the end, simplifying the whole process and freeing them from bureaucracy, enabling users to simulate their real estate financing and find the best market conditions.</t>
  </si>
  <si>
    <t>Banco Modal, Hindiana</t>
  </si>
  <si>
    <t>182215-36T</t>
  </si>
  <si>
    <t>277327-90T</t>
  </si>
  <si>
    <t>VoVs</t>
  </si>
  <si>
    <t>Developer of a mobile application designed to connect seniors with neighbors, friends and family interested in purchasing unique products and services. The company's application help seniors generate extra income and share their knowledge, enabling residents in the neighborhood to get a convenient way to support the local community.</t>
  </si>
  <si>
    <t>183899-71T</t>
  </si>
  <si>
    <t>AGBI ( 7.725 hectares, Aurora Farm, Nobres)</t>
  </si>
  <si>
    <t>A 7.725 hectares pasture farm in Nobres, Mato Grosso. The farm has approximately 4,500 ha of pasture land highly suitable for conversion into crops and is leased to a local operator that currently crops about 15,000 hectares in the same region.</t>
  </si>
  <si>
    <t>178744-15T</t>
  </si>
  <si>
    <t>Beraca Ingredientes Naturais</t>
  </si>
  <si>
    <t>Manufacturer of personal care products catering to the cosmetics, pharmaceutical and personal care industries worldwide. The company's products include natural and organic certified ingredients-based personal care products, enabling customers to buy naturally sourced products.</t>
  </si>
  <si>
    <t>Clariant International (SWX: CLN)(Conrad Keijzer)</t>
  </si>
  <si>
    <t>211378-96T</t>
  </si>
  <si>
    <t>IFTNET</t>
  </si>
  <si>
    <t>Provider of network and telecommunication services based in Presidente Prudente, Brazil. The company specializes in offering virtual proxy networks (VPN), LAN-to-Lan, Cloud, Co-Location, website hosting, e-mails and other internet services thereby, allowing the customer to contract all types of IP services.</t>
  </si>
  <si>
    <t>182160-01T</t>
  </si>
  <si>
    <t>Big Bets, Carlos Martin, David Vélez(David Vélez), Kaszek, Notable Capital(Hans Tung), Ribbit Capital(Nick Shalek), SoftBank Latin America Fund, Spectra Investments</t>
  </si>
  <si>
    <t>183181-78T</t>
  </si>
  <si>
    <t>245754-73T</t>
  </si>
  <si>
    <t>Hotmart</t>
  </si>
  <si>
    <t>182142-10T</t>
  </si>
  <si>
    <t>Cotabox</t>
  </si>
  <si>
    <t>Developer of a purchase management platform designed to integrate those involved in sourcing in an agile and easy way. The company's platform utilizes the BSM system to facilitate the purchasing process whereby comparative maps make decision-making more accurate, enabling suppliers to find the prices in less time and allowing the team to gain productivity and control in the flow between requesters and buyers.</t>
  </si>
  <si>
    <t>182165-41T</t>
  </si>
  <si>
    <t>QuiteJá</t>
  </si>
  <si>
    <t>Developer of a debt renegotiation and collection platform designed for debtors and creditors intended to help identify their overdue debts and offer flexible ways to pay. The company's platform offers debt repayment facilities, financial education, flexible payment options, discount negotiation for debt repayment and more, thereby providing broker agreements and improve the frayed relationship between the parties involved, in a transparent and efficient way.</t>
  </si>
  <si>
    <t>Sinqia(Bernardo Gomes)</t>
  </si>
  <si>
    <t>182232-37T</t>
  </si>
  <si>
    <t>Sulgás</t>
  </si>
  <si>
    <t>Supplier of natural gas for industrial, commercial and residential purposes based in Porto Alegre, Brazil.</t>
  </si>
  <si>
    <t>181247-05T</t>
  </si>
  <si>
    <t>Crew Capital(Dylan Reider), Igah Ventures, Riverwood Capital(Francisco Alvarez-Demalde), SoftBank Latin America Fund(Alex Szapiro), Spectra Investments, Volpe Capital(Andre Maciel)</t>
  </si>
  <si>
    <t>184623-58T</t>
  </si>
  <si>
    <t>Canary (Brazil)(Marcos Leite), Global Founders Capital, Maya Capital (Brazil), Norte Ventures, ONEVC</t>
  </si>
  <si>
    <t>211772-44T</t>
  </si>
  <si>
    <t>Jimi Robot</t>
  </si>
  <si>
    <t>Manufacturer of self-service robots based in Pato Branco, Brazil. The company engages in automation, streamlining the process at the time of weighing, and ensuring the recording of information without operational errors, thereby resolving numerous pain points for entrepreneurs.</t>
  </si>
  <si>
    <t>Agille</t>
  </si>
  <si>
    <t>182073-25T</t>
  </si>
  <si>
    <t>Super Liquid Tools</t>
  </si>
  <si>
    <t>Developer of an online stock lending platform designed to simplify the stock loan process. The company-integrated electronic marketplace offers more control, transparency, and governance simplifying the stock lending processing, improving price discovery, providing scale, and reducing operational costs, for brokers, hedge funds, and asset management, enabling customers to better stabilize shorts and increase the yield of a long portfolio.</t>
  </si>
  <si>
    <t>Mercado Bitcoin Serviços Digitais, Parallax Ventures</t>
  </si>
  <si>
    <t>182641-06T</t>
  </si>
  <si>
    <t>251685-28T</t>
  </si>
  <si>
    <t>Europa 105 (BVMF: ERPA11)</t>
  </si>
  <si>
    <t>Europa 105 Fundo Investimento Imobiliario is a Brazil-based company. It engaged in a Real estate investment trust.</t>
  </si>
  <si>
    <t>181939-33T</t>
  </si>
  <si>
    <t>Hash</t>
  </si>
  <si>
    <t>Developer of a fintech platform intended to help enterprises offer their payment services to their customers' network and trade partners. The company's platform helps to eliminate the main barriers to the provision of financial services and acts as a gateway for companies into the world of payment services, enabling clients to make their payment services customized to the unique financial needs of the market to their customers and increase their added value.</t>
  </si>
  <si>
    <t>Endeavor Promessas, Kaszek(Santiago Fossatti), Norte Ventures, QED Investors(Mike Packer)</t>
  </si>
  <si>
    <t>182006-83T</t>
  </si>
  <si>
    <t>It'sSeg</t>
  </si>
  <si>
    <t>Operator of an insurance consultancy and brokerage firm intended to serve the financial sector. The company offers personalized coverage for health, home and corporate employee health plans as well as provides asset and real estate management services, enabling access to customized insurance and benefits management aligned with its clients' strategic objectives.</t>
  </si>
  <si>
    <t>Acrisure(Gregory Williams), Ares Management (NYS: ARES), Auburn Hill Capital, Auldbrass Partners, BDT &amp; Company (Private Equity)(Byron Trott), Blackstone (NYS: BX)(Stephen Schwarzman), Blackstone Credit and Insurance(Louis Salvatore), Harvest Partners(Steven Duke), Partners Group (SWX: PGHN)(Christopher Hardison)</t>
  </si>
  <si>
    <t>202768-48T</t>
  </si>
  <si>
    <t>DXA Invest, Real Ventures (Rio de Janeiro)</t>
  </si>
  <si>
    <t>180688-33T</t>
  </si>
  <si>
    <t>Flytour</t>
  </si>
  <si>
    <t>Operator of a travel agency intended to serve customers in Latin America and Brazil. The company engages in planning, organizing and holding corporate events, whether small, medium or large and offers national and international tour packages, air tickets, accommodation, currency exchange and all leisure travel products and services through stores and an online platform for flight, hotel, car, bus and other bookings, thereby allowing travelers to ensure hassle-free leisure trips.</t>
  </si>
  <si>
    <t>Belvitur Turismo(Marcelo Cohen)</t>
  </si>
  <si>
    <t>195261-31T</t>
  </si>
  <si>
    <t>IZZI Gaming</t>
  </si>
  <si>
    <t>Developer of a gaming platform designed for gamers to learn how to play better through coaching and courses. The company was created with the goal of helping top coaches and content creators reach and help as many players as possible using their technology, enabling users to monetize their skills by selling one-on-one coaching and building their own academies.</t>
  </si>
  <si>
    <t>181983-61T</t>
  </si>
  <si>
    <t>Naomm</t>
  </si>
  <si>
    <t>Developer of a digital platform designed to help companies take care of their employee's well-being by connecting employees to holistic therapists online. The company's platform offers a selection of alternative therapists specialized in integrative and complementary practices and self-knowledge tools, enabling organizations to help their employees restore self-confidence, peace, and joy.</t>
  </si>
  <si>
    <t>181908-82T</t>
  </si>
  <si>
    <t>Niduu</t>
  </si>
  <si>
    <t>Developer of an online learning design platform designed to create rich, interactive, and adaptive e-learning for employment training. The company's platform uses gamification methods to train and engage employees and analyzes the performances of employees in real time, enabling organizations to increase their productivity as well as accelerate employees' technical skills.</t>
  </si>
  <si>
    <t>Gupy(Mariana Dias)</t>
  </si>
  <si>
    <t>181887-04T</t>
  </si>
  <si>
    <t>Accel Management Company(Ethan Choi), B3(Brazil) (BVMF: B3SA3), Falabella (BOG: FALABELLCO)(Rosario Errazuriz), Headline(Romero Rodrigues), Pruven Capital, Redpoint eventures(Romero Rodrigues), SoftBank Group (TKS: 9984)(Alex Szapiro), SoftBank Latin America Fund(Alex Szapiro)</t>
  </si>
  <si>
    <t>181920-34T</t>
  </si>
  <si>
    <t>Global Founders Capital, Maya Capital (Brazil), ONEVC</t>
  </si>
  <si>
    <t>193513-69T</t>
  </si>
  <si>
    <t>Z.ro Bank</t>
  </si>
  <si>
    <t>Developer of a neo-bank platform designed to offer a range of financial services, including a digital bank account, debit card and money transfer. The company offers digital banking, mobile payments, international e-card options and provides access to the cryptocurrency market, which allows one to buy, sell and trade currencies, enabling customers to get provided with a simple, convenient and affordable way to manage their finances.</t>
  </si>
  <si>
    <t>180390-25T</t>
  </si>
  <si>
    <t>Experity (IT Services)</t>
  </si>
  <si>
    <t>Provider of consulting services intended to implement customer relationship management solutions. The company's services include retail execution and monitoring, e-commerce, marketing automation, customer relationship management, trade marketing as well as support services for leading cloud-based platforms, thereby helping companies to develop a CX and digital transformation strategy to exponentially improve their interactions with the customers.</t>
  </si>
  <si>
    <t>218962-45T</t>
  </si>
  <si>
    <t>181973-17T</t>
  </si>
  <si>
    <t>Lucree Soluções Inteligentes</t>
  </si>
  <si>
    <t>Provider of financial services based in Sao Paulo, Brazil.</t>
  </si>
  <si>
    <t>211774-69T</t>
  </si>
  <si>
    <t>Obabox</t>
  </si>
  <si>
    <t>Retailer of electronic products and home appliances based in Sao Paulo, Brazil. The company's products include mobile phones, television, robot vacuum cleaner, speakers, electric grill, gamer chairs, cable converters and adapters.</t>
  </si>
  <si>
    <t>Multilaser Industrial (BVMF: MLAS3)</t>
  </si>
  <si>
    <t>181873-81T</t>
  </si>
  <si>
    <t>Um Bom App</t>
  </si>
  <si>
    <t>Developer of a sustainable application designed for reducing food waste. The company's application lets users select an offer at the nearest preferred establishment, pay via credit card directly in the application, and withdraw within the time established by the location, enabling users to reduce fresh food waste.</t>
  </si>
  <si>
    <t>Camila Farani(Camila Farani)</t>
  </si>
  <si>
    <t>181874-35T</t>
  </si>
  <si>
    <t>178567-21T</t>
  </si>
  <si>
    <t>Aryzta (Brazilian Businesses)</t>
  </si>
  <si>
    <t>Producer and supplier of food products catering to the foodservice, retail and quick-service restaurant sectors worldwide. The company specializes in baked bread, cakes, sweets, snacks, savories and candies made with processed and raw eggs, serving customers standardized and safe foods.</t>
  </si>
  <si>
    <t>Grupo Bimbo (MEX: BIMBOA)</t>
  </si>
  <si>
    <t>181794-07T</t>
  </si>
  <si>
    <t>Apus Capital (Brazil), Bain Capital Tech Opportunities(Darren Abrahamson)</t>
  </si>
  <si>
    <t>223460-56T</t>
  </si>
  <si>
    <t>CodeCoast</t>
  </si>
  <si>
    <t>Developer of an augmented reality platform designed to enhance sales conversion, improve the customer experience, and streamline operational costs. The company's platform offers omnichannel technology that enables seamless integration across various channels, including e-commerce, social networks, chatbots, events, and physical stores, and provides the capability to transform physical products into digital ones, enabling clients to visualize and reduce product returns, and empowering businesses to create virtual stores and engage with customers in an immersive augmented reality experience.</t>
  </si>
  <si>
    <t>213315-85T</t>
  </si>
  <si>
    <t>181882-72T</t>
  </si>
  <si>
    <t>PagueVeloz</t>
  </si>
  <si>
    <t>Operator of a financial services platform intended to process payments and receipts. The company's platform integrates with the ERP system to act as a payment intermediary via bank slip and credit card and offer check consultation, enabling clients to process payments in a secure and efficient manner.</t>
  </si>
  <si>
    <t>194462-20T</t>
  </si>
  <si>
    <t>Bossa Invest, SEBRAE RS</t>
  </si>
  <si>
    <t>182376-10T</t>
  </si>
  <si>
    <t>Vitra Capital</t>
  </si>
  <si>
    <t>Provider of wealth management services intended to serve high-net-worth families in São Paulo, Brazil. The company specializes in offering a family office hub model that integrates global investment opportunities and strategic partnerships, thereby ensuring tailored solutions and conflict-free asset management.</t>
  </si>
  <si>
    <t>Warren Investimentos(Tito Gusmao)</t>
  </si>
  <si>
    <t>214737-94T</t>
  </si>
  <si>
    <t>X Good Brains</t>
  </si>
  <si>
    <t>Provider of information technology consultancy services based in Sao Paulo, Brazil. The company offers customized services based on artificial intelligence and augmented reality.</t>
  </si>
  <si>
    <t>CVLB Brasil(Eduardo Loges), Siguler Guff, Vinci Compass Investments (NAS: VINP)</t>
  </si>
  <si>
    <t>189857-35T</t>
  </si>
  <si>
    <t>Docg</t>
  </si>
  <si>
    <t>Manufacturer of pet supplies and pharmaceuticals focused on improving pets' health and well-being. The company's product line includes deep cleaning and wellness products, perfumes, cosmetics, shampoo, conditioners and more, enabling pet owners to gently cleanse and moisturize their puppy's sensitive skin and coat.</t>
  </si>
  <si>
    <t>224125-66T</t>
  </si>
  <si>
    <t>Galapagos Recebiveis Imobiliarios Fdo Inv Imob (BVMF: GCRI11)</t>
  </si>
  <si>
    <t>Galapagos Recebiveis Imobiliarios Fundo DE Investimento Imobiliario aims to make long-term real estate investments, fundamentally aiming at earning income and capital gains from assets, mainly CRI's (Certificates of Real Estate Receivables). The Fund's purpose is to invest in real estate projects, primarily through the acquisition of the following assets which is real estate receivables certificates, mortgage notes, real estate credit letters, guaranteed real estate notes and other assets.</t>
  </si>
  <si>
    <t>185038-48T</t>
  </si>
  <si>
    <t>André Carracedo(André Carracedo), FEA Angels, Hangar8 Capital, Insper Angels, Poli Angels Group, Urca Angels, Verve Capital, YNN Ventures</t>
  </si>
  <si>
    <t>251567-20T</t>
  </si>
  <si>
    <t>Vbi Consumo Essencial (BVMF: CPUR11)</t>
  </si>
  <si>
    <t>Capitania HBC Renda Urbana Fundo de Invest Imobiliario Response Ltd formerly Hbc II Fundo De Investimento Imobiliario operates as a real estate investment fund.</t>
  </si>
  <si>
    <t>181828-36T</t>
  </si>
  <si>
    <t>AutoDoc Tecnologia</t>
  </si>
  <si>
    <t>Developer of software designed for the management of companies, businesses, projects and works intended for the construction market. The company provides solutions for the design and execution phase of projects to post-construction work, generating effective and real-time information for monitoring, technical analysis and indicators thus increasing performance and productivity in all essential construction activities.</t>
  </si>
  <si>
    <t>Ambar</t>
  </si>
  <si>
    <t>223054-39T</t>
  </si>
  <si>
    <t>Comerc Participacoes (BVMF: COMR3)</t>
  </si>
  <si>
    <t>Comerc Energia SA is focused on managing the commercialization of electricity. The company contributed to the development of a culture of freedom among Brazilian consumers when choosing their electricity supplier.</t>
  </si>
  <si>
    <t>181662-76T</t>
  </si>
  <si>
    <t>FOCCOERP</t>
  </si>
  <si>
    <t>Provider of management services intended for furniture industries, distributors and stores. The company offers a wide range of specialized solutions including customization of the catalog, integration of application programming interface (APIs) and consultancy services, enabling clients to meet their business management needs.</t>
  </si>
  <si>
    <t>Promob Software Solutions(Vanderlei Buffon)</t>
  </si>
  <si>
    <t>224810-47T</t>
  </si>
  <si>
    <t>Kinea Securities Fundo DE Investimento Imobiliario (BVMF: KNSC11)</t>
  </si>
  <si>
    <t>Kinea Securities Fundo DE Investimento Imobiliario - FII is engaged in the management of long-term investments independently.</t>
  </si>
  <si>
    <t>182377-63T</t>
  </si>
  <si>
    <t>RocketSeat</t>
  </si>
  <si>
    <t>Developer of online education and social platform designed to connect programmers and entrepreneurs. The company's platform allows developers to socially connect, learn and develop applications together, enabling users to boost their careers and learn new skills.</t>
  </si>
  <si>
    <t>Digital House (Montevideo)(Nelson Duboscq)</t>
  </si>
  <si>
    <t>206673-85T</t>
  </si>
  <si>
    <t>179179-03T</t>
  </si>
  <si>
    <t>Spin Pay</t>
  </si>
  <si>
    <t>Developer of a financial platform intended to connect payers and receivers. The company's platform offers the transfer of money without intermediaries through its transparent and agile platform, enabling users to pay simply, quickly, and securely.</t>
  </si>
  <si>
    <t>207525-16T</t>
  </si>
  <si>
    <t>Fluency Academy</t>
  </si>
  <si>
    <t>Operator of an online language learning platform intended to help people learn new languages fluently. The company's platform offers online language learning courses and allows people to learn from native teachers, making their listening and pronunciation spot-on, thereby providing customized schedules to its clients to learn new languages in a fast and efficient way.</t>
  </si>
  <si>
    <t>General Atlantic(Luiz Ribeiro)</t>
  </si>
  <si>
    <t>211778-29T</t>
  </si>
  <si>
    <t>211838-23T</t>
  </si>
  <si>
    <t>251687-62T</t>
  </si>
  <si>
    <t>DE Cri Integral Brei (BVMF: IBCR11)</t>
  </si>
  <si>
    <t>Fundo DE Investimento Imobiliario DE Cri Integral Brei is a Brazil-based company. Its objective is to invest predominantly in Certificates of Real Estate Receivables (CRI), according to criteria eligibility criteria defined in the investment policy.</t>
  </si>
  <si>
    <t>181527-76T</t>
  </si>
  <si>
    <t>Digio (Brazil)</t>
  </si>
  <si>
    <t>Operator of a digital platform designed to provide financial services. The company's features include expenses manager, credit card, virtual card, loans without bureaucracy and advantage club, helping people to have total control over their financial life.</t>
  </si>
  <si>
    <t>191384-74T</t>
  </si>
  <si>
    <t>Urbem</t>
  </si>
  <si>
    <t>Operator of a civil construction company intended for robust and sustainable material-engineered wood. The company combines technology and industrialization with a renewable raw material, engineered wood contributes to solving the pains of civil construction, enabling clients with productive, predictable, waste-free, faster, and safer construction sites.</t>
  </si>
  <si>
    <t>Delivery Hero Ventures, Ecoa Capital, Spectra Investments</t>
  </si>
  <si>
    <t>211769-20T</t>
  </si>
  <si>
    <t>Bosta em Lata</t>
  </si>
  <si>
    <t>Manufacturer of organic fertilizer and substrate products based in Sao Paulo, Brazil. The company offers canned fertilizers of manure, tree bark and poultry litter.</t>
  </si>
  <si>
    <t>TS Brasil</t>
  </si>
  <si>
    <t>219583-27T</t>
  </si>
  <si>
    <t>BPP Instituição de Pagamento</t>
  </si>
  <si>
    <t>Provider of banking as a service (BaaS) based in Barueri, Brazil. The company provides white-label payment infrastructure and licensed payment solutions.</t>
  </si>
  <si>
    <t>Dock (Sao Paulo)(Antonio Soares), Riverwood Capital(Francisco Alvarez-Demalde), Sunley House Capital Management, Temasek Holdings, Viking Global Investors, Visa Ventures(Neal Kapur)</t>
  </si>
  <si>
    <t>241839-10T</t>
  </si>
  <si>
    <t>Provider of telecommunications services intended to serve residential and corporate customers. The company specializes in wireless networks and fiber optics, thereby designing and implementing diverse services in telecommunications, enabling users to get access to a country-wide reliable network with affordable prices and tailored solutions that meet their needs.</t>
  </si>
  <si>
    <t>EB Capital(Eduardo Melzer), Giga Mais Fibra Telecomunicações, Neo Investimentos</t>
  </si>
  <si>
    <t>188492-41T</t>
  </si>
  <si>
    <t>Conta Comigo</t>
  </si>
  <si>
    <t>Developer of a digital billing and payment platform intended to streamline the process of paying utility bills and taxes. The company's platform connects utilities, public sector entities, and banks to deliver bills directly to consumers' bank accounts, enabling users to manage day-to-day slips, reducing administrative costs, and convenient payment options and timely notifications.</t>
  </si>
  <si>
    <t>211777-30T</t>
  </si>
  <si>
    <t>SergipeWeb</t>
  </si>
  <si>
    <t>Provider of internet service intended to promote the connection between people. The company offers fiber optic internet, broadband internet, pay TV, and dedicated links.</t>
  </si>
  <si>
    <t>MOB Telecom(Sergio Ribeiro)</t>
  </si>
  <si>
    <t>276735-34T</t>
  </si>
  <si>
    <t>Sebraelab Habitat de Impacto</t>
  </si>
  <si>
    <t>177109-12T</t>
  </si>
  <si>
    <t>Drýs Capital, EquitasVC, Grão (São Paulo), Norte Ventures</t>
  </si>
  <si>
    <t>181255-78T</t>
  </si>
  <si>
    <t>Trybe (South America)</t>
  </si>
  <si>
    <t>Provider of educational services intended to assist students to accelerate their software development knowledge. The company's services offer online, offline and individual assistance for each student and hands-on experience dealing with real challenges and problems, enabling students to build a successful career in programming.</t>
  </si>
  <si>
    <t>Base Partners, Endeavor Promessas, Global Founders Capital, Good Karma Partners, Grão (São Paulo), Hans Tung(Hans Tung), Luxor Group, Luxor Workspaces, Reaction Global, Untitled funds, XP Investimentos (NAS: XP)</t>
  </si>
  <si>
    <t>181317-34T</t>
  </si>
  <si>
    <t>Unimestre</t>
  </si>
  <si>
    <t>Developer of an education management system designed to support the management of educational institutions of all levels. The company offers academic management, financial management and online re-enrollment services to its clients, helping them to be in sync with the institutions' daily academic and administrative activities.</t>
  </si>
  <si>
    <t>A Mais Soluções Educacional(Alexandre Sayão)</t>
  </si>
  <si>
    <t>213695-92T</t>
  </si>
  <si>
    <t>VirtusPay</t>
  </si>
  <si>
    <t>Developer of a payment platform intended to purchase things in installments without the use of credit cards. The company's platform provides various means of payment to democratize the purchasing power of goods and attract new customers on online retail, enabling clients to easily increase their average ticket sales.</t>
  </si>
  <si>
    <t>181242-91T</t>
  </si>
  <si>
    <t>Cyrela (BVMF: CYRE3), Guilherme Bonifácio(Guilherme Bonifácio), Igah Ventures, Parallax Ventures</t>
  </si>
  <si>
    <t>181232-38T</t>
  </si>
  <si>
    <t>Allievo Capital, Atlantico Partners(Julio Vasconcellos), BluStone, Canary (Brazil)(Marcos Leite), Caravela Capital, FJ Labs, Global Founders Capital, TipHub Capital</t>
  </si>
  <si>
    <t>219629-98T</t>
  </si>
  <si>
    <t>Alife Nino</t>
  </si>
  <si>
    <t>Operator of bars and restaurants across Brazil. The company offers a range of products such as Italian cuisine and different beverages, thereby enabling its customers to spend time with friends and effectively meet new people.</t>
  </si>
  <si>
    <t>XP Vista Asset Management(Chu Kong)</t>
  </si>
  <si>
    <t>199932-04T</t>
  </si>
  <si>
    <t>Berimbau Game Studio</t>
  </si>
  <si>
    <t>Operator of an independent game studio intended to develop free games for Android and iOS. The company creates engaging social games with colorful and animated visuals and good technical quality, offering meaningful and fun experiences for the player, and enabling people to have an immersive gaming experience.</t>
  </si>
  <si>
    <t>181168-48T</t>
  </si>
  <si>
    <t>Brasil GTW</t>
  </si>
  <si>
    <t>Operator of a power generation company intended to use natural gas for electricity production. The company utilizes technology that allows operating in an integrated manner, carrying out from the initial feasibility studies to the operation of its plants spread across several Brazilian states which helps to reduce the investment in infrastructure, meets fundamental aspects from an environmental and regulatory point of view and reduces losses in natural gas production, thereby enabling customers to reduce the environmental impact due to power generation while improving their efficiency.</t>
  </si>
  <si>
    <t>Ecogen Brazil(Luiz Cabral)</t>
  </si>
  <si>
    <t>193161-43T</t>
  </si>
  <si>
    <t>Carinos</t>
  </si>
  <si>
    <t>Provider of benefits and inclusion programs intended to make life easier for working parents. The company's network offers training organizations, developing content and conversations for child development in the areas of nutrition, psychology, physiotherapy, education, and gender equality in the labor market, enabling parents to focus on their work.</t>
  </si>
  <si>
    <t>199924-12T</t>
  </si>
  <si>
    <t>Delotech Games</t>
  </si>
  <si>
    <t>Operator of a game-developing studio intended to publish card-based online games. The company creates engaging social games for multi-players with colorful and animated scenarios, enabling people to have an immersive gaming experience.</t>
  </si>
  <si>
    <t>188723-53T</t>
  </si>
  <si>
    <t>Due Laser</t>
  </si>
  <si>
    <t>Manufacturer of laser-based fabrication equipment intended for cutting and marking purposes. The company offers compact, Wi-Fi-enabled machines, a Portuguese-language software for project control, and compatibility with common design file formats, enabling small business owners and educational makerspaces to access precise, affordable digital manufacturing with minimal technical barriers and strong local support.</t>
  </si>
  <si>
    <t>211770-28T</t>
  </si>
  <si>
    <t>Eico Cosmeticos</t>
  </si>
  <si>
    <t>Operator of a cosmetics brand intended to provide hair color and hair care products. The company's product portfolio includes shampoos, hair conditioners, hair dye products and hair treatment products, enabling consumers to take care of their hair.</t>
  </si>
  <si>
    <t>Tudo Que Eu Amo(Daniel de Jesus)</t>
  </si>
  <si>
    <t>180621-19T</t>
  </si>
  <si>
    <t>Vinci Compass Investments (NAS: VINP)(Gabriel Felzenszwalb)</t>
  </si>
  <si>
    <t>199766-26T</t>
  </si>
  <si>
    <t>183159-46T</t>
  </si>
  <si>
    <t>Laqus</t>
  </si>
  <si>
    <t>Provider of risk management services intended to make decision-making in financial relationships safe, fast and convenient. The company's risk management services are based on cloud-based software and include operations such as treasury outsourcing and treasury services, enabling clients to efficiently manage their operations by assisting them with market, credit and liquidity risk management reports.</t>
  </si>
  <si>
    <t>Flávio Jansen, KPTL, Mantiqueira Participações, Tridon Participações</t>
  </si>
  <si>
    <t>213973-03T</t>
  </si>
  <si>
    <t>Mosaico Tecnologia</t>
  </si>
  <si>
    <t>Provider of consulting services intended to serve e-commerce customers. The company offers e-commerce platform and product and price tracking, thereby helping people save money and guarantee the delivered product.</t>
  </si>
  <si>
    <t>Banco Pan(Carlos Guimarães), BTG Pactual (BVMF: BPAC3)(Roberto Sallouti)</t>
  </si>
  <si>
    <t>199765-09T</t>
  </si>
  <si>
    <t>199765-00T</t>
  </si>
  <si>
    <t>211760-92T</t>
  </si>
  <si>
    <t>Velti Sistemas</t>
  </si>
  <si>
    <t>Developer of human resource management software and equipment based in Curitiba, Brazil. The company specializes in the development of point and access management software and equipment which includes an Onix time clock, access control device and point management software, thereby enabling managers, to generate insights and organize flows and schedule routines, resulting in time savings, predictability and risk management.</t>
  </si>
  <si>
    <t>Ahgora(Lazaro Santos)</t>
  </si>
  <si>
    <t>264027-16T</t>
  </si>
  <si>
    <t>259514-83T</t>
  </si>
  <si>
    <t>AES (NYS: AES)</t>
  </si>
  <si>
    <t>284437-81T</t>
  </si>
  <si>
    <t>Agriness</t>
  </si>
  <si>
    <t>Developer of cattle management software based in Florianópolis, Brazil. The company's platform offers cloud-based, IoT-enabled digital farm production management that provides real-time data and insights through a series of business applications, environmental sensors, voice recognition, advanced analytics, and a mobile-based application to farmers, cattle breeders and agri-businesses.</t>
  </si>
  <si>
    <t>160392-79T</t>
  </si>
  <si>
    <t>Alberto Pasqualini Refinery</t>
  </si>
  <si>
    <t>Operator of an oil refinery in Sao Jose, Brazil. The company's oil refinery production consists mainly of diesel and gasoline, in addition to petrochemical naphtha, propylene, LPG, jet fuel, fuel oil, and asphalt, and has a refining capacity of 190 thousand barrels per day.</t>
  </si>
  <si>
    <t>284442-04T</t>
  </si>
  <si>
    <t>Audaces (Multimedia and Design Software)</t>
  </si>
  <si>
    <t>Developer of a fashion technology platform designed to accelerate the creation, development and production of fashion. The company's platform lets users create style, digital design development and production plans to optimize resources, integrate information and improve communication between areas and also develops machinery such as plotters, spreaders and cutting machines, enabling clients to access precision processes with software for planning, controlling and managing production.</t>
  </si>
  <si>
    <t>185006-17T</t>
  </si>
  <si>
    <t>181151-11T</t>
  </si>
  <si>
    <t>Circular Brain</t>
  </si>
  <si>
    <t>Developer of a lifecycle management and traceability platform designed for facilitating circularity in global consumption cycles. The company's platform is used for product life cycle management, collaborative consumption, product as a service, reverse logistics, maintenance, reuse, and recycling of complex products, enabling clients to democratize the use of technology, share good practices, and generate a positive environmental, economic and social impact.</t>
  </si>
  <si>
    <t>Barn Investimentos(Flavio Zaclis), BR Angels</t>
  </si>
  <si>
    <t>284398-30T</t>
  </si>
  <si>
    <t>Decripte</t>
  </si>
  <si>
    <t>Developer of a cybersecurity software intended to identify, contain, and eradicate cyber threats. The company's platform fights cyber threats, incidents, and conflicts in a strategic, emergency, and preventive way with artificial intelligence guiding professionals specialized in protecting people in the digital world, enabling individuals as well as businesses to solve emergencies and prevent cybercrime.</t>
  </si>
  <si>
    <t>205356-25T</t>
  </si>
  <si>
    <t>Distu</t>
  </si>
  <si>
    <t>Developer of a web-based platform intended to create and manage stock options for Brazilian companies. The company aims to build an incentive model for the employee as a stakeholder of the company for the right shares of the company to be bought by employees in the future, enabling the employee to buy company shares, become a partner, and receive a cash award linked to future share appreciation.</t>
  </si>
  <si>
    <t>181095-04T</t>
  </si>
  <si>
    <t>DP6</t>
  </si>
  <si>
    <t>Provider of marketing intelligence and performance consultancy services intended to monitor all points of contact between consumers and brands. The company's services include web analytics, data science, text mining, A/B testing, digital marketing platforms as well as attribution models and media mix modeling and through customized and innovative solutions for collecting and measuring, integrating and analyzing data into strategic results and business objectives to be used in customer decision-making, thereby enabling clients with optimize the marketing and business results and generate insights focused on performance marketing.</t>
  </si>
  <si>
    <t>The Brandtech Group(David Jones)</t>
  </si>
  <si>
    <t>183047-59T</t>
  </si>
  <si>
    <t>Possible Ventures</t>
  </si>
  <si>
    <t>284476-06T</t>
  </si>
  <si>
    <t>ESSS</t>
  </si>
  <si>
    <t>Developer of a mathematical modeling platform designed to build engineering simulation and computer science capabilities. The company's platform supports a wide range of mathematical modeling and numerical simulation solutions for a variety of industries, including oil and gas, mining, aerospace, automotive, and electronics, enabling clients to get a full portfolio of services focused on sales, technical support, training, consulting, in-house development, and customization.</t>
  </si>
  <si>
    <t>192600-64T</t>
  </si>
  <si>
    <t>Fazu</t>
  </si>
  <si>
    <t>Operator of a vegetable delivery platform intended to deliver freshly harvested organic vegetables to customers. The company's platform eliminates vegetable losses that, usually when exposed on supermarket shelves, begin to deteriorate and also eliminates intermediaries while minimizing the time and distance between harvesting and consuming vegetables within urban centres, enabling customers to buy fresh vegetables without being worried about the quality.</t>
  </si>
  <si>
    <t>209088-55T</t>
  </si>
  <si>
    <t>G-Click Software</t>
  </si>
  <si>
    <t>Developer of optimized management of accounting software designed to serve accountants. The company offers cloud tools for managing processes for accounting offices</t>
  </si>
  <si>
    <t>257425-66T</t>
  </si>
  <si>
    <t>HR Bot (Application Software)</t>
  </si>
  <si>
    <t>Developer of virtual assistant software based in Pinheiros, Brazil. The company offers artificial intelligence and machine learning to assist employee in improving their experience.</t>
  </si>
  <si>
    <t>Matchbox</t>
  </si>
  <si>
    <t>188938-45T</t>
  </si>
  <si>
    <t>Andre Fonseca, Bruno Andrade, Daniel Pires, Fabiana Fagundes, Fernando Steler, Ian Bussinger, Leonardo Rangel, Pedro Ivo Martins, Vanderlei Calejon</t>
  </si>
  <si>
    <t>205358-68T</t>
  </si>
  <si>
    <t>Kotas</t>
  </si>
  <si>
    <t>Operator of a subscription-sharing platform intended to help people save on streaming services. The company's platform aims to share subscription plan costs by dividing them into groups with transaction security and invoice management, enabling users to connect with friends, family, and co-workers and manage their personal finances.</t>
  </si>
  <si>
    <t>181406-62T</t>
  </si>
  <si>
    <t>Lett Insights</t>
  </si>
  <si>
    <t>Operator of a digital trade marketing company focused on connecting brands and consumers. The company offers real-time data intelligence tools, which help brands and retailers to leverage their digital sales, helping clients create the perfect shopping journey in e-commerce.</t>
  </si>
  <si>
    <t>Neogrid Participacoes (BVMF: NGRD3)(Eduardo Ragasol)</t>
  </si>
  <si>
    <t>205354-18T</t>
  </si>
  <si>
    <t>Liderança Serviços Financeiros</t>
  </si>
  <si>
    <t>Developer of business intelligence platform designed to develop operational systems for better organization in serving its customers. The company through its platform offers services such as administrative billing, litigation billing, external billing, and more, thereby allowing better management and control of portfolios and meeting all contractor needs.</t>
  </si>
  <si>
    <t>Banco Santander Brasil (BVMF: SANB3)</t>
  </si>
  <si>
    <t>186075-37T</t>
  </si>
  <si>
    <t>Livus</t>
  </si>
  <si>
    <t>Developer of an online course creation platform designed to create and sell class courses. The company's platform allows people to build class course pages, and customize them by integrating communication channels and checkout payment options, enabling educators and content creators to monetize from their online courses.</t>
  </si>
  <si>
    <t>Big Bets, Evening Fund, K50 Ventures, Lupa Capital, Spectra Investments</t>
  </si>
  <si>
    <t>181102-42T</t>
  </si>
  <si>
    <t>Mandaê</t>
  </si>
  <si>
    <t>Developer of an online logistics platform designed to offer on-demand shipping and packaging services. The company's platform provides information on services for picking up the packages to be shipped and bringing them to the warehouse where those materials are professionally packed and shipped off with transporters, enabling small businesses and small-volume shippers to ship their stuff through private carriers used by the big companies and e-commerce businesses.</t>
  </si>
  <si>
    <t>Tiendanube(Santiago Sosa)</t>
  </si>
  <si>
    <t>187780-51T</t>
  </si>
  <si>
    <t>Ali Jamal(Ali Jamal), Alvin Tse(Alvin Tse), Carlos Kronen(Carlos Kronen), Chaos Ventures (New York), Claire Diaz-Ortiz(Claire Diaz-Ortiz), First Check Ventures, Jaime Matus(Jaime Matus), Jean-Philippe Bray(Jean-Philippe Bray), Kevin Moore(Kevin Moore), Latitud, Michael Jarmuz(Michael Jarmuz), Preetham Gaddam(Preetham Gaddam), Raabia Budhwani(Raabia Budhwani), Ron Pragides, Stefan Dudic(Stefan Dudic), TLF Ventures, William Kearns(William Kearns)</t>
  </si>
  <si>
    <t>186232-24T</t>
  </si>
  <si>
    <t>Orion Resource Partners</t>
  </si>
  <si>
    <t>200880-19T</t>
  </si>
  <si>
    <t>Pearson (K12 Sistemas)</t>
  </si>
  <si>
    <t>Provider of educational services based in Brazil. The company offers teaching methods, training, materials and other related services.</t>
  </si>
  <si>
    <t>178297-75T</t>
  </si>
  <si>
    <t>Pearson Education do Brasil (COC and Dom Bosco Learning Systems)</t>
  </si>
  <si>
    <t>Provider of K-12 learning systems in Sao Paulo, Brazil. The businesses have over 50 years of academic track record, serving over 800 partner schools and around 210 thousand students in all regions of the country, from pre-K to high school and pre-university.</t>
  </si>
  <si>
    <t>194478-13T</t>
  </si>
  <si>
    <t>Bossa Invest, Garan Ventures, Raio Capital, Sai do Papel</t>
  </si>
  <si>
    <t>184656-97T</t>
  </si>
  <si>
    <t>SmartLoad</t>
  </si>
  <si>
    <t>Developer of a logistics platform designed to integrate and simplify the cargo transport ecosystem. The company's platform helps in the management by simplifying the cargo mobility ecosystem, and improves efficiency through technology, enabling clients to take control of their transport operations on a single platform.</t>
  </si>
  <si>
    <t>181651-60T</t>
  </si>
  <si>
    <t>SuperAutor</t>
  </si>
  <si>
    <t>Publishers of books intended to provide education to children through projects. The company facilitates developing creative capacity through writing with free access to differentiated projects, easy implementation, and alignment with the demands, providing children with the essential knowledge to be authors.</t>
  </si>
  <si>
    <t>Crivo, GAA Investments, Lupa Capital, Raio Capital</t>
  </si>
  <si>
    <t>211950-19T</t>
  </si>
  <si>
    <t>Fundação de Amparo à Pesquisa no Estado de São Paulo</t>
  </si>
  <si>
    <t>186673-87T</t>
  </si>
  <si>
    <t>194434-30T</t>
  </si>
  <si>
    <t>Abler</t>
  </si>
  <si>
    <t>Developer of a recruitment and selection platform designed to connect human resources and candidates in a friendly and strategic way. The company's platform centralizes selection processes and applications and manages and tracks all recruitment processes, recruitment reports, automatic disclosure, and talent pool, enabling recruiters to increase the attraction of candidates and reduce the time to close vacancies.</t>
  </si>
  <si>
    <t>Banco BMG (BVMF: BMGB4), Bossa Invest(João Kepler), Osvaldo Rissetti(Osvaldo Rissetti), Valora Ventures, Westwood Capital (Brazil)</t>
  </si>
  <si>
    <t>180998-20T</t>
  </si>
  <si>
    <t>BR Spices</t>
  </si>
  <si>
    <t>Producer of food spices located in Jandira, Brazil. The company specializes in spices including craft, premium salt, parrilla and fit combination with no sodium, additives or preservatives, thereby helping clients create practical and healthy dishes for everyday life.</t>
  </si>
  <si>
    <t>The Kraft Heinz (NAS: KHC)(Fernando Rosa)</t>
  </si>
  <si>
    <t>192775-06T</t>
  </si>
  <si>
    <t>Econocom do Brasil</t>
  </si>
  <si>
    <t>Provider of IT consulting and management services based in Sao Paulo, Brasil.</t>
  </si>
  <si>
    <t>211771-00T</t>
  </si>
  <si>
    <t>Fibramaxx</t>
  </si>
  <si>
    <t>Provider of telecommunications services based in Lauro Muller, Brazil. The company provides broadband, digital tv and telephony services</t>
  </si>
  <si>
    <t>180979-12T</t>
  </si>
  <si>
    <t>Hi Platform</t>
  </si>
  <si>
    <t>Operator of an online customer relationship platform intended to offer customer relationship management services. The company's omnichannel service platform offers a complete portfolio of alternatives for companies that wish to improve and expand their digital channels for customer relations and also helps to track and protect the brand on social media, enabling clients to predict market trends and serve customers by chat, e-mails, relationship management, scale with chatbots and management of the customer journey.</t>
  </si>
  <si>
    <t>CRP Companhia de Participacoes, CVentures, Plataforma Capital, Spectra Investments, XMS Partners</t>
  </si>
  <si>
    <t>211774-42T</t>
  </si>
  <si>
    <t>MKS NET SC</t>
  </si>
  <si>
    <t>Provider of broadband services catering in the cities of Bombinhas, Itapema, Navegantes and Porto Belo. The company uses fiber optic technology for providing internet and cloud storage services.</t>
  </si>
  <si>
    <t>211775-95T</t>
  </si>
  <si>
    <t>Pricefy.</t>
  </si>
  <si>
    <t>The company offers features like automated label creation, digital signage, and omni-media promotional management, enabling retailers to streamline operations, deliver consistent brand messaging and improve the shopping experience.</t>
  </si>
  <si>
    <t>181571-95T</t>
  </si>
  <si>
    <t>Teruel Embalagens - Papéis Amália</t>
  </si>
  <si>
    <t>Manufacturer of packaging products intended for the food and hygiene market. The company offers food, promotional printed packaging, structures for soaps, pouches, labels, sachets and wraps, thereby presenting businesses with plastic and paper commercial packaging for various uses and markets.</t>
  </si>
  <si>
    <t>Gualapack(Alan Baumgarten)</t>
  </si>
  <si>
    <t>190819-27T</t>
  </si>
  <si>
    <t>Ulend</t>
  </si>
  <si>
    <t>Operator of a loan lending platform intended to connect companies to investors. The company's platform enables middle-size companies and farmers to raise funds by selling bonds for investment funds, banks, and investors, securely and without red tape and facilitates access to credit, enabling companies and investors to connect in an agile and competent manner.</t>
  </si>
  <si>
    <t>207343-36T</t>
  </si>
  <si>
    <t>Ultrawave Telecom</t>
  </si>
  <si>
    <t>Provider of internet services intended to serve residential and corporate customers. The company provides digital communication, information security, telephone and optical fiber services.</t>
  </si>
  <si>
    <t>214643-08T</t>
  </si>
  <si>
    <t>Amigo Edu</t>
  </si>
  <si>
    <t>Provider of a scholarship platform for students wanting to attend college. The company offers educational insurance, a digital entrance exam, a choice of university with a scholarship, a digital account and a benefits club, providing students with integrated benefits for finance for higher education.</t>
  </si>
  <si>
    <t>Pravaler(Haroldo Carvalho), Ribbit Capital(Meyer Malka)</t>
  </si>
  <si>
    <t>194485-06T</t>
  </si>
  <si>
    <t>Dress &amp; Go</t>
  </si>
  <si>
    <t>Operator of an online women's dresses rental platform intended to improve the way Brazilian women dress for events. The company's platform allows women anywhere in Brazil to choose and rent clothes, primarily dresses, from a variety of options made available on the platform by top Brazilian and international brands, enabling customers to browse through designer items for any occasion and rent them at a fraction of full retail cost.</t>
  </si>
  <si>
    <t>189756-64T</t>
  </si>
  <si>
    <t>Enjoei (BVMF: ENJU3)</t>
  </si>
  <si>
    <t>Enjoei SA is an online retail platform. It offers apparels, footwear, beauty, toys for children, clothing and other accessories.</t>
  </si>
  <si>
    <t>São Pedro Capital</t>
  </si>
  <si>
    <t>180925-12T</t>
  </si>
  <si>
    <t>Escriba Informática</t>
  </si>
  <si>
    <t>Provider of information technology solutions for extrajudicial registry offices in Brazil. The company provides computer systems and custom software development for the management of notaries, crafts and financials as well as offers automation, e-backup, e-notary, management tools, cash and web systems, thereby helping clients in decision-making, financial control and information security.</t>
  </si>
  <si>
    <t>224074-09T</t>
  </si>
  <si>
    <t>Fundo DE Investimento Imobiliario Mogno Hoteis (BVMF: MGHT11)</t>
  </si>
  <si>
    <t>Fundo DE Investimento Imobiliario Mogno Hoteis is a brick-type real estate fund. Its investments are earmarked with priority in real estate developments for hotels.</t>
  </si>
  <si>
    <t>210110-32T</t>
  </si>
  <si>
    <t>Latinex Importacao E Exportaçao De Alimentos</t>
  </si>
  <si>
    <t>Producer of healthy snacks products based in Curitiba, Brazil. The company products include pasta, tex mex, candy, sauces, condiments, seasoning and spices.</t>
  </si>
  <si>
    <t>M. Dias Branco (BVMF: MDIA3)</t>
  </si>
  <si>
    <t>225302-77T</t>
  </si>
  <si>
    <t>More Gestao Ativa DE Recebiveis Fundo DE Investimento Imobiliario</t>
  </si>
  <si>
    <t>More Gestao Ativa DE Recebiveis Fundo DE Investimento Imobiliario is a real estate investment investment trust. The purpose of the fund is to invest, primarily, in quotas of other real estate investment funds.</t>
  </si>
  <si>
    <t>211893-94T</t>
  </si>
  <si>
    <t>PaperX (Educational Software)</t>
  </si>
  <si>
    <t>Developer of educational technology platform intended to focus on exercises and assessment.</t>
  </si>
  <si>
    <t>211781-53T</t>
  </si>
  <si>
    <t>Assu Sol Solar Participacoes E Geracao De Energia</t>
  </si>
  <si>
    <t>Operator of a solar photovoltaic complex project located in Rio Grande do Norte.</t>
  </si>
  <si>
    <t>Engie Brasil Energia (BVMF: EGIE3)(Eduardoi Sattamini)</t>
  </si>
  <si>
    <t>251098-93T</t>
  </si>
  <si>
    <t>Bluemacaw Renda FOF</t>
  </si>
  <si>
    <t>Bluemacaw Renda FOF Fundo DE Investimento Imobiliario invest, primarily, in shares of other real estate investment funds and, in addition, in (i) shares or quotas in companies, (ii) quotas in investment funds equity investment; (iii) receivables certificates real estate and FIDC fund shares; (iv) mortgage notes, (v) real estate credit notes and (vi) guaranteed real estate notes.</t>
  </si>
  <si>
    <t>182647-63T</t>
  </si>
  <si>
    <t>A.B.Seed Ventures(Geraldo Melzer), BRL Trust, Caravela Capital</t>
  </si>
  <si>
    <t>211693-15T</t>
  </si>
  <si>
    <t>LPNet</t>
  </si>
  <si>
    <t>Provider of broadband services based in Sao Paulo, Brazil. The company utilizes ultra-velocity optimal fiber, thereby offering internet with better quality, games without interruption and multiple connections at the same time.</t>
  </si>
  <si>
    <t>180855-73T</t>
  </si>
  <si>
    <t>Pitzi</t>
  </si>
  <si>
    <t>Provider of online insurance services intended for protection against smartphone accidents. The company's platform offers to join the club and open an account on its website to get aid from professionals in case the phone gets damaged in unavoidable circumstances, enabling members to get assistance efficiently and effectively.</t>
  </si>
  <si>
    <t>291988-90T</t>
  </si>
  <si>
    <t>180856-27T</t>
  </si>
  <si>
    <t>Todas Group</t>
  </si>
  <si>
    <t>Developer of a social application intended to drive women's professional journey. The company's application is a subscription-based female profession community that offers content on different areas, seminars, and networking events with customized content and digital events for companies focused on gender equality, acceleration, and career development of women leaders, enabling females to succeed in their careers.</t>
  </si>
  <si>
    <t>The Next Company(Bob Wollheim)</t>
  </si>
  <si>
    <t>180841-60T</t>
  </si>
  <si>
    <t>Westwing Comércio Varejista (BVMF: WEST3)(Andres Mutschler)</t>
  </si>
  <si>
    <t>180828-55T</t>
  </si>
  <si>
    <t>netPDV</t>
  </si>
  <si>
    <t>211766-14T</t>
  </si>
  <si>
    <t>A3Data Consultoria</t>
  </si>
  <si>
    <t>Provider of digital and data intelligence solutions intended to offer data-driven solutions focused on artificial intelligence support. The company offers advanced data analytics, predictive models, and proprietary technologies to customers.</t>
  </si>
  <si>
    <t>Hospital Mater Dei (BVMF: MATD3)(Henrique Salvador)</t>
  </si>
  <si>
    <t>267975-37T</t>
  </si>
  <si>
    <t>Bobby (Brazil)</t>
  </si>
  <si>
    <t>Developer of data analysis software intended for public school administrators and teachers. The company's platform offers automated, personalized student assessment capabilities, providing actionable insights to address individual learning gaps, empowering educators to optimize student performance and improve overall school outcomes.</t>
  </si>
  <si>
    <t>180758-44T</t>
  </si>
  <si>
    <t>MDHealth</t>
  </si>
  <si>
    <t>Operator of a medical education platform intended to offer dissemination of news and educational programs exclusively for health professionals. The company's platform provides strategic consulting, educational events, webinars, content management, and in-company training, enabling professionals to have increased access to information and training through quality content in line with the agility of fast learning applied in the health area.</t>
  </si>
  <si>
    <t>Thomas de Almeida(Thomas de Almeida)</t>
  </si>
  <si>
    <t>211776-94T</t>
  </si>
  <si>
    <t>Quanto Custa Viajar</t>
  </si>
  <si>
    <t>Developer of a travel planning platform intended for personalized trip budgeting. The company allows users to estimate travel costs based on factors like destination, travel duration, budget and preferences, offering features such as cost breakdowns for flights, accommodation, food, transportation and activities</t>
  </si>
  <si>
    <t>Turismocity(Andres Malenky)</t>
  </si>
  <si>
    <t>181615-33T</t>
  </si>
  <si>
    <t>Totvs SA is a provider of information technology solutions to small and medium enterprises in the education, government, healthcare, and retail end markets. Its primary product offerings are enterprise resource planning applications with modules for management, finance, operations, human resources, and client services. The company's segment includes Management; Business Performance and Techfin. It generates maximum revenue from the Management segment.</t>
  </si>
  <si>
    <t>211766-32T</t>
  </si>
  <si>
    <t>All in Care Insurance</t>
  </si>
  <si>
    <t>Provider of insurance services based in Brazil.</t>
  </si>
  <si>
    <t>180754-30T</t>
  </si>
  <si>
    <t>211087-45T</t>
  </si>
  <si>
    <t>Kupaa Sports</t>
  </si>
  <si>
    <t>Operator of a sports fashion brand intended to redefine the standard of sports apparel. The company offers sports clothing that has quality and durability and symbolizes strength, resilience and authenticity with biodegradable fabric, enabling customers to have comfortable clothing.</t>
  </si>
  <si>
    <t>223460-83T</t>
  </si>
  <si>
    <t>180603-10T</t>
  </si>
  <si>
    <t>Helloo</t>
  </si>
  <si>
    <t>Provider of advertising and communication services using proprietary technology in residential buildings. The company installs digital panels displaying dynamic content and advertisements and offers the market assertive campaigns that create connection through data intelligence, segmentation and scale, enabling communication between the building manager and residents and allowing interaction between the advertisers and the target market.</t>
  </si>
  <si>
    <t>224357-32T</t>
  </si>
  <si>
    <t>Norte Brasil Transmissora de Energia</t>
  </si>
  <si>
    <t>Operator of an electric transmission company based in Brasília, Brazil. The company's services include construction, implementation, operation and maintenance of electricity transmission of the basic grid.</t>
  </si>
  <si>
    <t>Ontario Teachers' Pension Plan</t>
  </si>
  <si>
    <t>219229-30T</t>
  </si>
  <si>
    <t>Gempe</t>
  </si>
  <si>
    <t>Provider of app development and IT services intended to accelerate digital projects. The company offers outsourcing, squad-based teams for project phases, and full-cycle support for product operations, including CI/CD automation, monitoring, and maintenance, helping businesses overcome challenges and streamline development, ensuring timely delivery and operational efficiency.</t>
  </si>
  <si>
    <t>StartSe(Junior Borneli)</t>
  </si>
  <si>
    <t>211782-52T</t>
  </si>
  <si>
    <t>180574-84T</t>
  </si>
  <si>
    <t>LET'S Delivery</t>
  </si>
  <si>
    <t>Developer of a delivery management platform designed to manage food orders from multiple delivery applications in a single environment. The company's platform integrates various sales channels, consolidates order tracking on a single interface, supports industry-standard protocols, and offers logistics management features, enabling restaurants, pharmacies, pet shops, and e-commerce businesses to manage orders efficiently and coordinate deliveries with improved operational visibility and convenience.</t>
  </si>
  <si>
    <t>Flavio Dias(Flavio Dias), Marcos Ferreira(Marcos Ferreira)</t>
  </si>
  <si>
    <t>180689-14T</t>
  </si>
  <si>
    <t>Xerpay</t>
  </si>
  <si>
    <t>Developer of a financial platform intended to provide employees more autonomy over their salary. The company's platform offers a financial plan that comes with services such as salary on demand, thirteenth month's salary and commissions advance, automatic payments for recurring expenses, and financial guidance, allowing employees to deal with unforeseen financial circumstances with ease.</t>
  </si>
  <si>
    <t>180571-87T</t>
  </si>
  <si>
    <t>%Gank</t>
  </si>
  <si>
    <t>Developer of investment community software designed to offer a fee-free platform for trading assets. The company's platform offers investments in stocks, cryptocurrencies, mutual funds, fixed income assets, and foreign assets, thereby enabling investors to connect with other investors or influencers and exchange information about investments.</t>
  </si>
  <si>
    <t>208534-42T</t>
  </si>
  <si>
    <t>Blox (Educational Software)</t>
  </si>
  <si>
    <t>Developer of education technology intended to help institutions deliver educational experience. The company's technology offers high school, university education, and corporative education, enabling institutions to build flexible and personalized curriculum content for each student.</t>
  </si>
  <si>
    <t>177796-18T</t>
  </si>
  <si>
    <t>BomConsórcio</t>
  </si>
  <si>
    <t>Developer of an online consortium platform intended to buy and sell consortium quotas safely. The company's platform provides a list of all partners who are authorized to a market consortium and connects people and opportunities in the consortium market, enabling users to try their hands on a safe and uncomplicated place to negotiate consortium quotas.</t>
  </si>
  <si>
    <t>Crescera Capital(Fernando Silva)</t>
  </si>
  <si>
    <t>180501-40T</t>
  </si>
  <si>
    <t>E-ctare</t>
  </si>
  <si>
    <t>Provider of financial ecosystem services intended for agricultural operations. The company provides credit, digital wallets, and financial management tools, integrating advanced technology and engineering to streamline transactions and enhance liquidity, enabling farmers and agribusinesses to access and manage finances efficiently.</t>
  </si>
  <si>
    <t>210818-35T</t>
  </si>
  <si>
    <t>Foxter</t>
  </si>
  <si>
    <t>Operator of a digital real estate agency intended to serve south and Southeast regions of Brazil. The company's services include buying and selling houses along with simulating financing.</t>
  </si>
  <si>
    <t>Loft Brasil Tecnologia(Kristian Huber)</t>
  </si>
  <si>
    <t>174563-65T</t>
  </si>
  <si>
    <t>ARC Capital (Brazil)(Sergio Machado), Cadonau, Cadonau Investimentos, Christian Egan(Christian Egan), Globo Ventures(Luis Lora), Kaszek(Santiago Fossatti), Lofoten Capital, Luiz Campos(Luiz Campos), Milton Seligman(Milton Seligman), Ricardo Rolim(Ricardo Rolim), Robert Citrone(Robert Citrone), ThornTree Capital Partners</t>
  </si>
  <si>
    <t>181197-37T</t>
  </si>
  <si>
    <t>Karavel</t>
  </si>
  <si>
    <t>Operator of an agricultural-exportation marketplace intended to help distribute agro-based food products. The company's marketplace connects sellers and focuses on the export of agricultural products to foreign buyers, to do business online and directly, enabling businesses to trade their agricultural products easily.</t>
  </si>
  <si>
    <t>180419-23T</t>
  </si>
  <si>
    <t>Bossa Invest, Felipe Litwinski, Gr8 Ventures(Luiz Viotti)</t>
  </si>
  <si>
    <t>193787-65T</t>
  </si>
  <si>
    <t>Lift Lab</t>
  </si>
  <si>
    <t>299949-67T</t>
  </si>
  <si>
    <t>Awí Superfoods</t>
  </si>
  <si>
    <t>Operator of plant-based frozen food products designed for health-conscious consumers and environmentally sustainable food. The company's platform develops nutrient-rich offerings made from Amazonian and native Brazilian ingredients, enabling customers to access naturally flavored, sugar-free alternatives that support biodiversity, local communities, and forest conservation through direct sourcing, agroforestry education, and integrated socio-environmental initiatives.</t>
  </si>
  <si>
    <t>Venture Hub</t>
  </si>
  <si>
    <t>211083-58T</t>
  </si>
  <si>
    <t>180290-71T</t>
  </si>
  <si>
    <t>Invisto</t>
  </si>
  <si>
    <t>180286-03T</t>
  </si>
  <si>
    <t>Tecnofit</t>
  </si>
  <si>
    <t>Developer of a management platform designed for fitness businesses to streamline operations. The company's platform automates scheduling, membership management, and financial tracking, provides real-time analytics for business insights, and offers mobile accessibility, enabling gyms, studios, and personal trainers to optimize workflow efficiency, enhance client experience, improve revenue predictability, and simplify administrative tasks.</t>
  </si>
  <si>
    <t>Caravela Capital, EBANX, Honey Island Capital, Quartz (Brazil)</t>
  </si>
  <si>
    <t>210302-29T</t>
  </si>
  <si>
    <t>Arker</t>
  </si>
  <si>
    <t>Developer of promotion management and sales planning platform catering to CPG companies. The company offers Trade promotion lifecycle management, sales planning, pre and post-ROI analysis, enabling companies to optimize their sales planning and trade promotion investments.</t>
  </si>
  <si>
    <t>222831-82T</t>
  </si>
  <si>
    <t>Brio Multiestrategia Fundo De Investimento Imob (BVMF: BIME11)</t>
  </si>
  <si>
    <t>Brio Multiestrategia - Fundo DE Investimento Imobiliario is engaged in the provision of fiduciary services in private credit operations. It serves clients focusing on international investors such as American, European, and Asian institutional investors, sovereign wealth funds, private equity firms, large conglomerates, and financial institutions, as well as local players as resource managers, single and multi-family offices, banks, insurance companies, and other professional investors.</t>
  </si>
  <si>
    <t>269255-53T</t>
  </si>
  <si>
    <t>Ariel Lambrecht(Ariel Lambrecht), BD Venture</t>
  </si>
  <si>
    <t>211770-82T</t>
  </si>
  <si>
    <t>Everblock</t>
  </si>
  <si>
    <t>Provider of blockchain as a service technology catering to the health, education and publishing industries. The company offers solutions for smart contracts, NFTs, Defi, Metaverse, decentralized storage, validation and immutability of information.</t>
  </si>
  <si>
    <t>Grupo 5A</t>
  </si>
  <si>
    <t>180264-52T</t>
  </si>
  <si>
    <t>Juros Baixos</t>
  </si>
  <si>
    <t>Operator of a credit and financing firm intended to make life easier for those who want a loan. The company innovates in the financial market by promoting transparency and competition in the credit market, as well as showing rich, relevant, and free content on credit and finances for our users, enabling citizens to simulate loans at various banks, financials, and online credit fintech, even getting a loan from partners from their page.</t>
  </si>
  <si>
    <t>Componendo Capital, Fundo de Investimento Holandês, Prana Capital, Urca Angels</t>
  </si>
  <si>
    <t>186660-28T</t>
  </si>
  <si>
    <t>NB Telecom (Communications and Networking)</t>
  </si>
  <si>
    <t>Provider and integrator of solutions intended to deliver communication and high-technology services. The company connects corporate, public sector, internet providers and telecom operators, enabling them with a variety of infrastructure-based, wholesale services, including point-to-point metro connectivity, dark fiber, IP transit and more at a cost-effective rate.</t>
  </si>
  <si>
    <t>Cinven, Ufinet Latam(Iñigo García del Cerro Prieto)</t>
  </si>
  <si>
    <t>180364-33T</t>
  </si>
  <si>
    <t>Americana</t>
  </si>
  <si>
    <t>179797-06T</t>
  </si>
  <si>
    <t>AgVentures, Astella Investimentos(Laura Constantini), CSN Inova Ventures(Gabriela Toribio), Experian Ventures(Tiago Ladeia), Founders First(Jeremy Levine), Minerva Foods (BVMF: BEEF3), ScaleUP Ventures, Serasa Experian, SP Ventures(Francisco Jardim), Swiss Pampa, Syngenta Group Ventures, Tiger Global Management, Yellow Rocks!, YellowRockets.vc</t>
  </si>
  <si>
    <t>211782-43T</t>
  </si>
  <si>
    <t>Creral Telecom</t>
  </si>
  <si>
    <t>Provider of internet service dedicated to providing high performance and speed through fiber optics and the latest technology. The company offers high-speed Internet through fiber optics and state-of-the-art technology to dozens of urban and rural areas in municipalities in the Alto Uruguai, Altos da Serra, and Zona da Produção regions, in the north of Rio Grande do Sul.</t>
  </si>
  <si>
    <t>Mhnet Telecom(Patrick Canton)</t>
  </si>
  <si>
    <t>212054-41T</t>
  </si>
  <si>
    <t>Optinet (Internet Service Providers)</t>
  </si>
  <si>
    <t>Provider of internet services based in Baixada Pato Branco, Brazil.</t>
  </si>
  <si>
    <t>292599-82T</t>
  </si>
  <si>
    <t>180176-23T</t>
  </si>
  <si>
    <t>Starline Tecnologia</t>
  </si>
  <si>
    <t>Developer of an exam and assessment management software designed for schools and universities in Brazil. The company's software optimizes the teacher's time with an evidence management system that automatically corrects objective questions, enabling students and educational institutions to access a content bank and the possibility of sharing issues among themselves.</t>
  </si>
  <si>
    <t>Ser Educacional (BVMF: SEER3)(Jânyo Janguiê Diniz)</t>
  </si>
  <si>
    <t>176946-04T</t>
  </si>
  <si>
    <t>17Sigma, Addition, Clocktower Ventures, EquitasVC, Latitud, Monashees(Marcelo Lima), Norte Ventures, Picus Capital, QED Investors, Valor Capital Group(Michael Nicklas)</t>
  </si>
  <si>
    <t>215578-72T</t>
  </si>
  <si>
    <t>Débito Direto</t>
  </si>
  <si>
    <t>Developer of financial software designed to centralize all payment slips and accounts payable. The company's technology provides services such as paying bills online, and installment payments, without relying on the bureaucracy of the banks, enabling micro and small businesses to simplify the process of their financial management.</t>
  </si>
  <si>
    <t>181197-64T</t>
  </si>
  <si>
    <t>MyWork</t>
  </si>
  <si>
    <t>Developer of an employee management software designed to provide a per-app point control service. The company's system offers online time marking, point location, automated reports, control user management, calculation of overtime and night hours, and managing employee time bank automatically in the system, enabling small and medium-sized companies to do their point tracking online for both in-office and off-site employees.</t>
  </si>
  <si>
    <t>A.B.Seed Ventures, Bossa Invest, BRL Trust, DOMO.VC, Raio Capital</t>
  </si>
  <si>
    <t>262966-24T</t>
  </si>
  <si>
    <t>Swood Holding</t>
  </si>
  <si>
    <t>Operator of a financial platform, specialized in employee benefits and perks, as well as providing related services.</t>
  </si>
  <si>
    <t>180074-53T</t>
  </si>
  <si>
    <t>Samsung Electronics (KRX: 005930)</t>
  </si>
  <si>
    <t>195669-19T</t>
  </si>
  <si>
    <t>Aegro</t>
  </si>
  <si>
    <t>Developer of agricultural management software designed to change the way farmers and agronomists deal with their production data. The company's platform manages the farm production system and makes it easy to plan and control crops, avoid waste, increase productivity, and optimize results, it helps in harvest planning, activity recording, team monitoring, and management of budgets and costs, enabling the rural producer to reduce their lost cost and time by facilitating all the administrative operations of their farm.</t>
  </si>
  <si>
    <t>195670-90T</t>
  </si>
  <si>
    <t>195668-74T</t>
  </si>
  <si>
    <t>178810-66T</t>
  </si>
  <si>
    <t>FEMSA Ventures, FJ Labs, Picus Capital</t>
  </si>
  <si>
    <t>195676-03T</t>
  </si>
  <si>
    <t>195669-82T</t>
  </si>
  <si>
    <t>244112-14T</t>
  </si>
  <si>
    <t>FRICO (Brazil)</t>
  </si>
  <si>
    <t>Provider of insurance brokerage services. The company's offerings include property insurance, liability insurance, vehicle fleet insurance, transport insurance, benefits management, risk insurance.</t>
  </si>
  <si>
    <t>REP Seguros(Bruno Weiler Cervi)</t>
  </si>
  <si>
    <t>183724-93T</t>
  </si>
  <si>
    <t>Germânia Supermercados</t>
  </si>
  <si>
    <t>Operator of a supermarket and gas station chain intended to serve customers throughout Brazil. The company retails durable and non-durable consumer products and vehicle fuels, providing customers with low prices.</t>
  </si>
  <si>
    <t>Patria Investments (NAS: PAX), Plurix</t>
  </si>
  <si>
    <t>195673-06T</t>
  </si>
  <si>
    <t>211677-85T</t>
  </si>
  <si>
    <t>Jacobs Douwe Egberts (Seleto Coffee Brand)</t>
  </si>
  <si>
    <t>Producer of coffee powder based in Brazil.</t>
  </si>
  <si>
    <t>195674-50T</t>
  </si>
  <si>
    <t>195674-23T</t>
  </si>
  <si>
    <t>SciCrop</t>
  </si>
  <si>
    <t>Developer of agricultural data intelligence software designed to make a difference in the agricultural sector. The company's software collects and analyzes real-time data on climate, soil, farming, pests and diseases, logistics, and markets, enabling clients to obtain optimal performance in productivity and cost optimization with inputs and implements.</t>
  </si>
  <si>
    <t>195693-76T</t>
  </si>
  <si>
    <t>179962-30T</t>
  </si>
  <si>
    <t>Aggir Ventures, Alexia Ventures</t>
  </si>
  <si>
    <t>262337-32T</t>
  </si>
  <si>
    <t>196712-02T</t>
  </si>
  <si>
    <t>Sweep n' Flip</t>
  </si>
  <si>
    <t>Developer of a decentralized platform designed to fractionalize and securitize non-fungible tokens (NFT). The company's platform permits defi services such as automated market maker, liquidity mining, yield farming, airdrops, and decentralized autonomous organizations treasury based on Ethereum, enabling clients to fractionalize and create a market for all forms of non-fungible assets.</t>
  </si>
  <si>
    <t>Protocol Labs</t>
  </si>
  <si>
    <t>180741-07T</t>
  </si>
  <si>
    <t>AkinTec</t>
  </si>
  <si>
    <t>Developer of cutting-edge technology designed to operational efficiency in the financial, legal, and commodities sectors. The company's platform offers paying bills, withdrawing money, creating a partner network, and earning extra money for each transaction made by the customers on the platform marketplace, which offers an online shopping facility, virtual currency, and credit, helping customers manage their budgeting in day-to-day activities.</t>
  </si>
  <si>
    <t>179932-06T</t>
  </si>
  <si>
    <t>Code Money</t>
  </si>
  <si>
    <t>Operator of a mobile payment and e-commerce platform designed to provide bill payment services. The company's platform makes it easy to pay, split, transfer and receive money in a safe, secure, and efficient manner, thus providing customers with seamless and hassle-free solutions for making distant payments without the internet.</t>
  </si>
  <si>
    <t>170878-96T</t>
  </si>
  <si>
    <t>LafargeHolcim</t>
  </si>
  <si>
    <t>Manufacturer of cement and other construction materials intended to serve masons, builders, architects and engineers around the world. The company manufactures cement, concrete products and aggregates in its local operations, comprising industrial units, distribution centers, mixing facilities and mining activities, thereby enabling its clients to avail the solution for hassle-free building projects for infrastructural requirements.</t>
  </si>
  <si>
    <t>179907-94T</t>
  </si>
  <si>
    <t>Liuv</t>
  </si>
  <si>
    <t>Developer of mobile application intended for ordering and payment at restaurants. The company's platform can be used to scan the QR code at the partnered restaurants to view the menu and place orders, alongside also helping users to make payments through the application, enabling customers to eliminate the need to wait for service at the restaurants.</t>
  </si>
  <si>
    <t>Cielo (Financial Software)</t>
  </si>
  <si>
    <t>211838-86T</t>
  </si>
  <si>
    <t>Otimizy</t>
  </si>
  <si>
    <t>Provider of IT and ERP services catering to the logistics sector. The company provides services to the logistics chain, such as industries, shippers, transporters, logistics operators, terminals and warehouses, thereby helping companies achieve their full potential and encouraging sustainability.</t>
  </si>
  <si>
    <t>180088-84T</t>
  </si>
  <si>
    <t>Umatch</t>
  </si>
  <si>
    <t>Developer of a dating application designed to make it easy for university students to discover and get connected with each other. The company's platform finds out and connects students interested, through their easy-to-use features, enabling university students with a modern-day application to find their suitable and desired dates.</t>
  </si>
  <si>
    <t>FEA Angels, HBS Alumni Angels of Brazil, Poli Angels Group(Alexandre Aidar)</t>
  </si>
  <si>
    <t>265001-68T</t>
  </si>
  <si>
    <t>211764-70T</t>
  </si>
  <si>
    <t>Abalustre</t>
  </si>
  <si>
    <t>Operator of an investment services platform catering to investment companies. The company's services include a funds performance table, daily performance updates, monthly reports, institutional communication and documentation.</t>
  </si>
  <si>
    <t>178567-39T</t>
  </si>
  <si>
    <t>Cervejaria Therezópolis</t>
  </si>
  <si>
    <t>Producer of refined Brazillian crafted beers based in Teresópolis, Brazil. The company offers premium beers such as gold, weissbier, witbier and dunkel that complement Asian dishes, delicate fish, seafood, crustaceans, pizzas, pasta with light sauces, light cheeses, white sausages, salami and Brazilian snacks.</t>
  </si>
  <si>
    <t>Coca-Cola FEMSA (PINX: COCSF)(Constantino Spas), Río De Janeiro Refrescos</t>
  </si>
  <si>
    <t>211310-11T</t>
  </si>
  <si>
    <t>efrete</t>
  </si>
  <si>
    <t>Developer of electronic freight payment management software intended to serve the logistics industry.</t>
  </si>
  <si>
    <t>Niche Supply Technologies(Juliana Tubino)</t>
  </si>
  <si>
    <t>220958-38T</t>
  </si>
  <si>
    <t>Finarge Apoio Marítimo</t>
  </si>
  <si>
    <t>Operator of a marine shipping company intended for the sea freight industry. The company's services include importation, exportation, traffic management, financial control, legal and tax advice, operation and maintenance, enabling the maritime support market to avail quality and safety solutions and emphasizing its ability to adapt to the requirements established by its customers.</t>
  </si>
  <si>
    <t>BNDESpar, CBO Holding(Marcos Tinti), Patria Investments (NAS: PAX), Spectra Investments, Vinci Compass Investments (NAS: VINP)(Gabriel Felzenszwalb)</t>
  </si>
  <si>
    <t>Marine</t>
  </si>
  <si>
    <t>185455-18T</t>
  </si>
  <si>
    <t>Nanox (Industrial Chemicals)</t>
  </si>
  <si>
    <t>Developer of nanostructure materials designed to improve the performance of products used in everyday life. The company's platform develops, produces, and commercializes a patent technology using silver-based inorganic antimicrobials, which can be incorporated into a wide range of materials, making them free of bacteria, fungi, and viruses, with the latest technology to be incorporated in the processing of various materials, thereby bringing the advantage of making it hygienic by creating an efficient and natural barrier against germs in products, enabling customers to focus on technology systems for different segments such as retail, food packaging, textile, architecture, and design.</t>
  </si>
  <si>
    <t>Plug and Play Tech Center(Stephen Fay)</t>
  </si>
  <si>
    <t>180738-91T</t>
  </si>
  <si>
    <t>251562-25T</t>
  </si>
  <si>
    <t>Vx Xvi-Fundo DE (BVMF: VXXV11)</t>
  </si>
  <si>
    <t>Genesis Multistrategy Investment Fund operates as a real estate investment fund.</t>
  </si>
  <si>
    <t>211028-23T</t>
  </si>
  <si>
    <t>Agrocat Distribuidora de Insumos Agrícolas</t>
  </si>
  <si>
    <t>Distributor of agricultural inputs catering to agribusinesses and farmers.</t>
  </si>
  <si>
    <t>211781-35T</t>
  </si>
  <si>
    <t>Apê11</t>
  </si>
  <si>
    <t>Operator of a digital real estate marketplace based in Sao Paulo, Brazil. The company offers a digital platform for buying and selling houses and apartments, allowing clients to search property by dorm numbers, price and lifestyle.</t>
  </si>
  <si>
    <t>Banco Santander Brasil (BVMF: SANB3)(Sandro da Silva Gamba)</t>
  </si>
  <si>
    <t>171956-44T</t>
  </si>
  <si>
    <t>A*, Coatue Management(Michael Gilroy), DST Global, Firebolt Ventures, FIS Ventures, Plug and Play Tech Center(Alireza Masrour), The Hive(Everson Lopes), Valor Capital Group</t>
  </si>
  <si>
    <t>214738-39T</t>
  </si>
  <si>
    <t>Devi Tecnologia</t>
  </si>
  <si>
    <t>Developer of a point-of-sale software platform designed for small businesses. The company's platform avails multiple payment methods, cloud association, payment facilitation and integration with sales and with hardware including code readers, enabling its clients to raise their competitive level in the market effectively.</t>
  </si>
  <si>
    <t>194502-34T</t>
  </si>
  <si>
    <t>209509-48T</t>
  </si>
  <si>
    <t>Warren Rena</t>
  </si>
  <si>
    <t>Provider of financial services catering to institutional clients. The company specializes in fixed income, debentures, open market operations, primary and secondary markets, treasury direct and interbank exchange.</t>
  </si>
  <si>
    <t>223461-82T</t>
  </si>
  <si>
    <t>Bella&amp;Materna</t>
  </si>
  <si>
    <t>Operator of a healthcare technology platform intended to provide support and guidance during motherhood. The company offers personalized and humanized care through a network of health professionals specializing in obstetrics, pediatrics, breastfeeding, and nutrition, enabling women, pregnant women, and mothers with reliable information and support through prevention and care during the challenging phase of motherhood.</t>
  </si>
  <si>
    <t>180342-46T</t>
  </si>
  <si>
    <t>179557-57T</t>
  </si>
  <si>
    <t>Carbee</t>
  </si>
  <si>
    <t>Developer of a car wash application intended to offer sustainable services from both an environmental and social point of view. The company's application helps customers to schedule dry cleaning by specifying the exact location of the parked vehicle, model, date, and time that they want the service, enabling customers to wash their vehicle anytime, anywhere, and expanding water savings as part of a broader ESG vision.</t>
  </si>
  <si>
    <t>105405-22T</t>
  </si>
  <si>
    <t>Alumni Ventures(Todd McIntyre), Chaos Ventures (New York), FJ Labs, Hacklegacy, LoftyInc Capital Management, Mercado Libre Fund, Newtopia VC, Rebel Fund, Smart Growth Investments, Soma Capital</t>
  </si>
  <si>
    <t>188538-76T</t>
  </si>
  <si>
    <t>Bsoft</t>
  </si>
  <si>
    <t>Developer of road freight transport management software designed for cargo carriers. The company offers transporter control software designed for small to large companies that have their own or outsourced fleets, thereby helping commercial, operational, financial and tax sectors, including the issuance of electronic tax documents.</t>
  </si>
  <si>
    <t>Praxio</t>
  </si>
  <si>
    <t>180646-48T</t>
  </si>
  <si>
    <t>Prime You</t>
  </si>
  <si>
    <t>Operator of a fractional ownership company intended to provide services to its customers. The company offers shared assets, including planes, helicopters, yachts, houses, and cars, and provides aircraft dealership and asset management programs to single owners, enabling clients to adapt their particular frequency of use.</t>
  </si>
  <si>
    <t>Nelson Tanure(Nelson Tanure)</t>
  </si>
  <si>
    <t>185176-81T</t>
  </si>
  <si>
    <t>179486-74T</t>
  </si>
  <si>
    <t>Everlog</t>
  </si>
  <si>
    <t>Developer of a freight management platform designed to recover overpaid amounts. The company's solution optimizes processes, reduces costs, tracks deliveries, audits, and manages freight payments, enabling shippers to cut expenses and staff while enhancing delivery visibility and operational efficiency.</t>
  </si>
  <si>
    <t>179506-27T</t>
  </si>
  <si>
    <t>Grupo Wish</t>
  </si>
  <si>
    <t>Operator of a chain of hotels and resorts based in Sao Paulo, Brazil. The company provides rooms to guests and operates modern event centers, leisure infrastructure and vacation clubs that offer a range of hotels spread throughout the country, enabling clients to get affordable spaces from cozy meeting rooms to grand event halls.</t>
  </si>
  <si>
    <t>RTSC Group</t>
  </si>
  <si>
    <t>251370-10T</t>
  </si>
  <si>
    <t>Hedge Recebiveis FII (BVMF: HREC11)</t>
  </si>
  <si>
    <t>Hedge Recebiveis Fundo DE Investimento Imobiliario aims to provide its shareholders with the appreciation and profitability of their shares in the long term, through investment in Real Estate Receivable Certificates.</t>
  </si>
  <si>
    <t>179617-33T</t>
  </si>
  <si>
    <t>Manfing</t>
  </si>
  <si>
    <t>Developer of customer loyalty management platform designed to provide sales forecasts and consumption patterns to organizations. The company's platform enables brands to understand behavioral patterns, collect item history data, and analyze and build predictive models, enabling brands to manage customer loyalty, and customer information and improve the customer experience.</t>
  </si>
  <si>
    <t>Darwin Startups, Meta Ventures</t>
  </si>
  <si>
    <t>179455-96T</t>
  </si>
  <si>
    <t>Airborne Ventures, Cadonau Investimentos, Raiz Investimentos(Ivan Toledo)</t>
  </si>
  <si>
    <t>185088-34T</t>
  </si>
  <si>
    <t>225827-92T</t>
  </si>
  <si>
    <t>Vittia SA is a Brazilian biotech company (biopesticides and inoculants) that offers special plant nutrition with solutions for several agricultural crops. It engages in the production of high-tech inputs for agriculture and has several products in the Inoculants, Adjuvants, Acaricides, Soil Conditioners, Biological Pesticides (Macro and microorganisms), Foliar Fertilizer lines, Organomineral Fertilizers, Granulated Micronutrients for Soil and Salts for Agriculture and Livestock.</t>
  </si>
  <si>
    <t>185359-33T</t>
  </si>
  <si>
    <t>179132-23T</t>
  </si>
  <si>
    <t>Abstra</t>
  </si>
  <si>
    <t>Developer of a task automation platform designed to streamline business process automation. The company's platform offers automated invoice reception, approval routing, payment flows, vendor statement reconciliation, expense submission compliance, contract lifecycle management, and real-time notifications, enabling finance and operations teams to reduce manual errors, improve process efficiency, and maintain compliance within their organizations.</t>
  </si>
  <si>
    <t>Alexia Ventures, Iporanga Ventures(Renato Valente), SoftBank Group (TKS: 9984), Upload Ventures (Sao Paulo)</t>
  </si>
  <si>
    <t>241144-84T</t>
  </si>
  <si>
    <t>Provider of an FTTH (Fiber To The Home) connectivity intended to contribute to the social and digital inclusion of their users. The company offers a fiber optic platform with better quality internet connectivity and digital services to remote regions of Brazil, enabling users to access uninterrupted broadband services with quality fiber connections.</t>
  </si>
  <si>
    <t>Sumiticty Group</t>
  </si>
  <si>
    <t>Fiberoptic Equipment</t>
  </si>
  <si>
    <t>180763-12T</t>
  </si>
  <si>
    <t>Amazonica Energy</t>
  </si>
  <si>
    <t>Operator of a domestic natural gas trading and logistics company intended to expand the supply of natural gas in Northern Brazil. The company provides energy and logistic services to large customers, mainly power plants, industries, and gas distribution companies by replacing the existing consumption of diesel oil and heavy fuel oil, enabling businesses to progress social development by reducing the dependency on heavy oils.</t>
  </si>
  <si>
    <t>GOAT Ventures (São Paulo)</t>
  </si>
  <si>
    <t>251688-34T</t>
  </si>
  <si>
    <t>Brio Credito Estruturado (BVMF: BICE11)</t>
  </si>
  <si>
    <t>Brio Credito Estruturado - Fundo DE Investimento Imobiliario is a Real Estate investment trust.</t>
  </si>
  <si>
    <t>180283-24T</t>
  </si>
  <si>
    <t>Datlo</t>
  </si>
  <si>
    <t>Developer of a geo-intelligence platform designed for sales and marketing teams to increase revenue generation.. The company's platform uses big data and AI-based technology to find market opportunities based on localization and conducts market research, finds new customers and distribution channels for the company, enabling companies to increase sales and expand through data.</t>
  </si>
  <si>
    <t>253180-45T</t>
  </si>
  <si>
    <t>Fabiani Saúde Animal</t>
  </si>
  <si>
    <t>Provider of veterinary services based in Sao Paulo, Brazil. The company offers animal healthcare services along with in-clinic treatment and surgeries along with care and appointments for the customers.</t>
  </si>
  <si>
    <t>JA Saúde Animal(Heitor Caetano)</t>
  </si>
  <si>
    <t>179522-11T</t>
  </si>
  <si>
    <t>Getrak</t>
  </si>
  <si>
    <t>Developer of a vehicle monitoring software designed to track, monitor and recover vehicles for logistics operators and commercial fleet owners. The company's platform offers an integrated database for advanced telemetry, integrated logistics, routing, preventive maintenance, driver control, risk management and online reporting, enabling companies to easily keep track of their vehicles from their smartphones and tablets.</t>
  </si>
  <si>
    <t>Brookfield Business Partners (TSE: BBU.UN)(Alexandre Thiollier), Unidas frotas</t>
  </si>
  <si>
    <t>180248-05T</t>
  </si>
  <si>
    <t>180557-74T</t>
  </si>
  <si>
    <t>I4PRO</t>
  </si>
  <si>
    <t>Developer of an enterprise resource planning (ERP) tool intended for insurance, reinsurers and capitalization companies. The company's platform allows the user to manage the entire life cycle of policies including quote acquisition, proposal generation, issuance and endorsements, ensuring integrity in partner compensation, risk sharing, coinsurance and reinsurance, collection and integration with third parties.</t>
  </si>
  <si>
    <t>Applied Equity Partners, WSC &amp; Company</t>
  </si>
  <si>
    <t>180870-13T</t>
  </si>
  <si>
    <t>Jupter</t>
  </si>
  <si>
    <t>Operator of a fundraising platform intended to act as a key resource for founders and startups navigating the finance ecosystem. The company's tool allows to find, fund, and launch startups through its accelerator programs, also provides tools to investors and angel groups to connect and invest in innovative ideas in the market, enabling investors with all funding information about the startups.</t>
  </si>
  <si>
    <t>Bossa Invest, Gear Ventures</t>
  </si>
  <si>
    <t>195491-71T</t>
  </si>
  <si>
    <t>258514-66T</t>
  </si>
  <si>
    <t>LegAut</t>
  </si>
  <si>
    <t>Developer of real-estate documentation platform designed for streamlining real estate transactions. The company's platform uses AI techniques like Natural Language Processing, Machine Learning, and Deep Learning to reduce errors, and allows users to easily upload, view, and extract structured information from documents, enabling users to efficiently view and edit the document.</t>
  </si>
  <si>
    <t>205493-05T</t>
  </si>
  <si>
    <t>Let's Go Maker</t>
  </si>
  <si>
    <t>Developer of an e-learning platform intended to focus on technological empowerment, education, and culture. The company's platform offers courses in robotics, hardware, programming, three-dimensional printing, prototyping, application, drones, gamification, computer numerical control, and electronics, enabling users to get consultancy and mentoring, and knowledge to create, develop, or enhance new products or production systems.</t>
  </si>
  <si>
    <t>241163-11T</t>
  </si>
  <si>
    <t>Letmein</t>
  </si>
  <si>
    <t>Provider of access control, management software, and residential security applications intended for condominiums in Brazil. The company offers management platforms such as garage control, clavicular control, event control and control of visitors along with security measures like smart cameras, biometry and geo- geo-referencing.</t>
  </si>
  <si>
    <t>Pro Security (Brazil)(Alexandre Paranhos)</t>
  </si>
  <si>
    <t>211772-89T</t>
  </si>
  <si>
    <t>Manda Salve</t>
  </si>
  <si>
    <t>Operator of a digital media platform intended to provide custom videos of idols to fans. The company offers Brazilian celebrities to interact with their fans via video, live interactions and personalized videos and publicize special occasions such as birthdays, marriages or achievements.</t>
  </si>
  <si>
    <t>Hello Fan</t>
  </si>
  <si>
    <t>180858-79T</t>
  </si>
  <si>
    <t>Olivas Kids</t>
  </si>
  <si>
    <t>Developer of online games for smartphones and tablets designed to offer pedagogical concepts of teaching materials. The company's platform develops affordable toys and games that can break down barriers, and promote education as well as entertainment for children of all ages, enabling children to have entertainment and learn new things.</t>
  </si>
  <si>
    <t>216210-61T</t>
  </si>
  <si>
    <t>Plexi</t>
  </si>
  <si>
    <t>Developer of risk management software intended to give consultation of public data, in an automated way and in real-time. The company is a modern risk management platform with data collection automation, enabling companies with less back office time, more data quality, more agility in compliance analyses and productivity gains.</t>
  </si>
  <si>
    <t>Elifepar</t>
  </si>
  <si>
    <t>194461-93T</t>
  </si>
  <si>
    <t>Sardrones</t>
  </si>
  <si>
    <t>Developer of agricultural drones designed to replace exhausting and dangerous manual labor work. The company's drones use a specific dispenser model and proprietary software to bring income improvements and reduce environmental impacts, enabling agriculturalists to control agricultural pests and seed dispersal in farmland.</t>
  </si>
  <si>
    <t>179355-34T</t>
  </si>
  <si>
    <t>Global Founders Capital, Kaszek, Monashees, ONEVC</t>
  </si>
  <si>
    <t>185057-38T</t>
  </si>
  <si>
    <t>185424-40T</t>
  </si>
  <si>
    <t>Black Skull USA</t>
  </si>
  <si>
    <t>Manufacturer of food supplement products focused on high-performance athletes. The company offers a range of nutritional products across pre-workouts, weight loss and gain, clothing, health, beauty and protein powders, including vegan items, providing athletes with a range of fitness supplements.</t>
  </si>
  <si>
    <t>179395-39T</t>
  </si>
  <si>
    <t>174133-09T</t>
  </si>
  <si>
    <t>Elizabeth Cimentos</t>
  </si>
  <si>
    <t>Manufacturer of cement products based in Alhandra, Brazil. The company is engaged in the production of cement for the consumption of electrical energy, thermal energy and others.</t>
  </si>
  <si>
    <t>174256-39T</t>
  </si>
  <si>
    <t>Ferrari Zagatto</t>
  </si>
  <si>
    <t>Provider of agricultural services. The company's agricultural services especially focuses in the commercialization of fertilizers.</t>
  </si>
  <si>
    <t>AgroGalaxy(Welles Pascoal), Aqua Capital</t>
  </si>
  <si>
    <t>185324-32T</t>
  </si>
  <si>
    <t>FEA Angels, Y Combinator</t>
  </si>
  <si>
    <t>179455-06T</t>
  </si>
  <si>
    <t>Hent</t>
  </si>
  <si>
    <t>Developer of a property management platform designed to reduce operational costs and improve the financial efficiency of property rental. The company's platform simplifies the management of the sale contract for real estate subdivisions, and additionally issues and sends payment slips and billing notifications, enabling users to reconcile payments and simplifying rentals for owners, brokers, and tenants.</t>
  </si>
  <si>
    <t>Virgo Ventures (Brazil)(Daniel Magalhães)</t>
  </si>
  <si>
    <t>185261-68T</t>
  </si>
  <si>
    <t>Iguatemi Empresa de Shopping Centers SA is a real estate company in Brazil. Its activities consists of design, planning, development and management of regional shopping malls, outlets and other commercial buildings. Its shopping malls and outlets portfolio includes: Praia de Belas shopping mall; Iguatemi Alphaville with luxury brands and a diversified fashion mix; JK Iguatemi, a architectural designed mall in Sao Paolo; Patio Higienopolis shopping mall in the heart of Higienópolis; Iguatemi Esplanada, a shopping mall with diverse shops in Sao Paolo.</t>
  </si>
  <si>
    <t>Iguatemi (BVMF: IGTI3)</t>
  </si>
  <si>
    <t>185173-03T</t>
  </si>
  <si>
    <t>266769-91T</t>
  </si>
  <si>
    <t>Rio Bravo Renda Residencial Fundo (BVMF: RBRS11)</t>
  </si>
  <si>
    <t>Rio Bravo Renda Residencial Fundo DE Investimentos Imobiliario operates as a real estate investment fund. The company investment objective is to earn income from income and sale of real estate assets predominantly for residential use, located within the main urban centers with high density; close to universities, shopping centers and public transport; and high liquidity according to current consumption patterns.</t>
  </si>
  <si>
    <t>173507-41T</t>
  </si>
  <si>
    <t>179576-74T</t>
  </si>
  <si>
    <t>Brused Comercio e Manutencao de Aparelhos Eletronicos</t>
  </si>
  <si>
    <t>Operator of an online platform intended for buying and selling used electronic devices. The company specializes in providing a platform that enables users to buy and sell electronics including phones and watches, offering a hassle-free way of getting rid of the old products.</t>
  </si>
  <si>
    <t>Allied (Brazil) (BVMF: ALLD3)</t>
  </si>
  <si>
    <t>211913-47T</t>
  </si>
  <si>
    <t>Provider of fiber optic services catering to Atibaia and São Paulo, Brazil. The company offers telecommunication solutions such as providing internet for data and voice, for residential and corporate customers.</t>
  </si>
  <si>
    <t>298004-86T</t>
  </si>
  <si>
    <t>Ability Tecnología e Serviços</t>
  </si>
  <si>
    <t>Provider of technology and telecommunications services for the corporate market and telephone operators. The company engages in telephone exchange, external network, broadband, and central services, enabling connectivity systems so that people can communicate more and better.</t>
  </si>
  <si>
    <t>Kinea Investimentos (BVMF: KNHY11), Neo Investimentos, Verzani &amp; Sandrini</t>
  </si>
  <si>
    <t>181845-55T</t>
  </si>
  <si>
    <t>222894-37T</t>
  </si>
  <si>
    <t>Fiberty 1</t>
  </si>
  <si>
    <t>Provider of telecommunications infrastructure based in Brazil. The company specializes in the development of small cell and distributed antenna systems as well as wireless carrier systems.</t>
  </si>
  <si>
    <t>Caisse de dépôt et placement du Québec(Emmanuel Jaclot), FiBrasil Infraestrutura e Fibra Ótica</t>
  </si>
  <si>
    <t>194460-22T</t>
  </si>
  <si>
    <t>179206-66T</t>
  </si>
  <si>
    <t>Zappen</t>
  </si>
  <si>
    <t>Provider of internet connectivity services intended to connect people to a world of possibilities, creating life-changing opportunities. The company offers high-speed internet services using optical fiber cables to residential and business customers, thereby delivering quality internet with fast service and facilitating people's access to a better life.</t>
  </si>
  <si>
    <t>179076-16T</t>
  </si>
  <si>
    <t>Driven (Educational Software)</t>
  </si>
  <si>
    <t>Operator of an educational platform intended to train students in web programming. The company's platform offers full-stack web development, fundamentals of computing, behavior, and soft skills, career amplification guidance, and placement assistance, enabling job seekers and students to find suitable jobs with advanced learning.</t>
  </si>
  <si>
    <t>3G Radar, ArpexCapital, Brian Requarth(Brian Requarth), Daniel Castanho(Daniel Castanho), EquityRio, FundersClub, HBS Alumni Angels of Brazil, Iporanga Ventures(Leonardo Teixeira), ONEVC, Patrick Sigrist(Patrick Sigrist), Pedro Thompson(Pedro Thompson), Sergio Furio(Sergio Furio)</t>
  </si>
  <si>
    <t>212705-02T</t>
  </si>
  <si>
    <t>Meep (Business/Productivity Software)</t>
  </si>
  <si>
    <t>Developer of a sales management software designed to assist ticket sales. The company offers a complete system for the entertainment and leisure market, from ticket to bill, enabling businesses to have more agility in sales and redefine the customer experience in establishments and events.</t>
  </si>
  <si>
    <t>179086-51T</t>
  </si>
  <si>
    <t>PetLove</t>
  </si>
  <si>
    <t>Operator of an e-commerce platform intended to offer pet products and supplies. The company's platform showcases supplies such as animal food products, veterinary health products and accessories for various kinds of pets such as dogs, cats, birds, reptiles and rodents, enabling its customers to purchase and get their required items delivered to their doorstep comfortably.</t>
  </si>
  <si>
    <t>Anjost Investment, Banco Porto Seguro, IGNIA Partners, L Catterton, Monashees, Riverwood Capital(Francisco Alvarez-Demalde), SoftBank Latin America Fund(Paulo Passoni), Spectra Investments, Tarpon Capital(Pedro de Andrade Faria)</t>
  </si>
  <si>
    <t>179075-08T</t>
  </si>
  <si>
    <t>Diogo de Andrade Corona(Diogo de Andrade Corona), Edgard Corona(Edgard Corona), Ricardo Goldfarb(Ricardo Goldfarb)</t>
  </si>
  <si>
    <t>179026-93T</t>
  </si>
  <si>
    <t>Brinox</t>
  </si>
  <si>
    <t>Manufacturer of houseware products intended to serve customers in South America, Central America, North America, Africa, and the Middle East. The company specializes in offering stainless steel, plastic, and aluminum products such as kitchen tools and utensils, pots, cutlery, trays and bowls as well as table and bathroom accessories for its customers.</t>
  </si>
  <si>
    <t>178926-40T</t>
  </si>
  <si>
    <t>Bossa Invest, Incubate Fund</t>
  </si>
  <si>
    <t>251545-87T</t>
  </si>
  <si>
    <t>EQI Recebiveis FII (BVMF: EQIR11)</t>
  </si>
  <si>
    <t>EQI Recebiveis Imobiliarios Fundo DE Investimento Imobiliario is a Real Estate Investment Fund.</t>
  </si>
  <si>
    <t>200794-87T</t>
  </si>
  <si>
    <t>Norte Energia</t>
  </si>
  <si>
    <t>Operator of a hydroelectric power plant intended to generate hydro electric power. The company provides clean, renewable, reliable, sustainable and fair-priced electric energy using the potential hydroelectric plant.</t>
  </si>
  <si>
    <t>Esfera Energia(Braz Henrique Grama Justi)</t>
  </si>
  <si>
    <t>188549-02T</t>
  </si>
  <si>
    <t>Akaîuti</t>
  </si>
  <si>
    <t>Provider of food suggestion services intended to prioritize healthy eating and preparing tasty foods. The company's services help to suggest food that has high nutritional value, enabling customers to consume food without losing its main properties.</t>
  </si>
  <si>
    <t>178844-41T</t>
  </si>
  <si>
    <t>Cora (Financial Software)</t>
  </si>
  <si>
    <t>Developer of a digital banking platform designed to facilitate the management of small businesses' finances. The company's platform offers a customer-centric suite of financial products for issuing invoices, automating and managing notifications, tracking, and managing expenses to address the specific needs of businesses, enabling small and medium-sized enterprises to simplify finance operations.</t>
  </si>
  <si>
    <t>Greenoaks Capital Partners(Patrick Backhouse), Kaszek, QED Investors, Ribbit Capital, Spectra Investments, Tencent Holdings (HKG: 00700), Tiger Global Management</t>
  </si>
  <si>
    <t>215488-99T</t>
  </si>
  <si>
    <t>Dioxd</t>
  </si>
  <si>
    <t>Developer of direct air capture systems intended for carbon dioxide removal from the atmosphere. The company's platform uses solid sorbent materials and modular units to extract carbon dioxide from ambient air through an adsorption-desorption cycle powered by low-grade heat, enabling industries and environmental stakeholders to reduce atmospheric carbon levels through scalable, energy-efficient, and geographically flexible carbon removal solutions.</t>
  </si>
  <si>
    <t>Agro Ven, Cyklo Agritech(Pompeo Scola), Gr8 Ventures, uShark</t>
  </si>
  <si>
    <t>189161-92T</t>
  </si>
  <si>
    <t>Gourmetzinho</t>
  </si>
  <si>
    <t>Producer of preservative-free baby food products intended for a healthier diet for children. The company offers ready-to-eat meals, recipes that are developed by the chef with the support of pediatricians and nutritionists, with a balanced menu, full of options and flavors, enabling parents to give their children a nutritious diet.</t>
  </si>
  <si>
    <t>173499-85T</t>
  </si>
  <si>
    <t>BRL Trust</t>
  </si>
  <si>
    <t>BRL Trust DTVM SA is a Brazil-based investment company. Its products include Fund Administration, Funds Controlling, Custody of Funds and Portfolios, Resource Management, Asset Distributions and Bookkeeping Funds. The company serves large international investors such as American, European and Asian institutional investors, sovereign wealth funds, private equity firms, large conglomerates and financial institutions.</t>
  </si>
  <si>
    <t>Apex Group(Peter Hughes), Genstar Capital(Anthony Salewski), The Carlyle Group (NAS: CG)</t>
  </si>
  <si>
    <t>211738-69T</t>
  </si>
  <si>
    <t>InvestAI</t>
  </si>
  <si>
    <t>Developer of an artificial intelligence platform intended to provide automated fixed-income investment. The company's platform develops an algorithm that searches for investment opportunities and assists investors in selecting optimal investments, enabling investors to invest more effectively and transparently, empowering them with data-driven insights for improved financial outcomes.</t>
  </si>
  <si>
    <t>211894-12T</t>
  </si>
  <si>
    <t>Nha-Tuca</t>
  </si>
  <si>
    <t>Manufacturer of food products based in Sao Paulo, Brazil. The company produces a range of products such as jellies, jams, guava cascão, milk fondant and candies.</t>
  </si>
  <si>
    <t>Pantera Alimentos(Vitor Luccats)</t>
  </si>
  <si>
    <t>202538-80T</t>
  </si>
  <si>
    <t>Lever VC</t>
  </si>
  <si>
    <t>178856-92T</t>
  </si>
  <si>
    <t>Styme</t>
  </si>
  <si>
    <t>Provider of an online queue management platform designed for self-service menu and integrated payment. The company's platform monitors all customer information traffic that passes through the restaurant and process management tool in terms of access and time saving, enabling clients to enhance service, optimize their business potential and increase efficiency in operational processes.</t>
  </si>
  <si>
    <t>Abrahão(Isaac Paes)</t>
  </si>
  <si>
    <t>178753-33T</t>
  </si>
  <si>
    <t>Point Break Capital</t>
  </si>
  <si>
    <t>211878-46T</t>
  </si>
  <si>
    <t>ioTickets</t>
  </si>
  <si>
    <t>Provider of selling tickets and managing events platform based in Belo Horizonte, Brazil.</t>
  </si>
  <si>
    <t>Meep (Business/Productivity Software)(Samuel Ferreira)</t>
  </si>
  <si>
    <t>190193-77T</t>
  </si>
  <si>
    <t>Iporanga Ventures, Parallax Ventures, Torq (Brazil)</t>
  </si>
  <si>
    <t>234049-06T</t>
  </si>
  <si>
    <t>Norte Ventures</t>
  </si>
  <si>
    <t>166104-91T</t>
  </si>
  <si>
    <t>RoutEasy</t>
  </si>
  <si>
    <t>Developer of routing and delivery management platform designed to streamline the daily route planning process. The company's platform is integrated with the screenwriter to manipulate and edit routes for inclusion or edition of services while also automatically notifying customers of the estimated time of arrival, enabling e-commerce companies to manage the delivery process efficiently.</t>
  </si>
  <si>
    <t>João Sanzovo(João Sanzovo), UVC Investimentos</t>
  </si>
  <si>
    <t>180284-95T</t>
  </si>
  <si>
    <t>Jupter, KPTL(Leandro Pereira)</t>
  </si>
  <si>
    <t>183396-88T</t>
  </si>
  <si>
    <t>211867-93T</t>
  </si>
  <si>
    <t>DashGoo</t>
  </si>
  <si>
    <t>Developer of a reporting and analytical software intended to create marketing and social media reports and dashboards for agencies and freelancers. The company platform offers tools for creating dashboards and social media reports, thereby allowing its clients to save time and money by streamlining the entire process of collecting, analyzing, and preparing data and reports.</t>
  </si>
  <si>
    <t>mLabs(Caio Rigoldi)</t>
  </si>
  <si>
    <t>178556-50T</t>
  </si>
  <si>
    <t>Leavening(Rafael Lima)</t>
  </si>
  <si>
    <t>172999-99T</t>
  </si>
  <si>
    <t>Alta Park Capital, Dragoneer Investment Group, Greenoaks Capital Partners, Kaszek(Nicolas Szekasy), Kevin Efrusy(Kevin Efrusy), Kevin Ephrucy(Kevin Ephrucy), LTS (TKS: 6560), Maverik (Investor), Qualcomm Ventures, Ribbit Capital(Nicholas Huber), Riverwood Capital, SoftBank Group (TKS: 9984)(Paulo Passoni), SoftBank Latin America Fund(Paulo Passoni), Tencent Holdings (HKG: 00700)</t>
  </si>
  <si>
    <t>232697-44T</t>
  </si>
  <si>
    <t>Plenafertil</t>
  </si>
  <si>
    <t>Distributor of agricultural inputs in Maringa, Brazil intended to provide bio-based products to its customers. The company offers agricultural defensive, seeds, fertilizers, specialties and biological products for the main crops enabling to develop long-term relationships at all levels, strengthening ties with customers, suppliers and society, and providing sustainable growth for the entire agro-chain.</t>
  </si>
  <si>
    <t>289003-51T</t>
  </si>
  <si>
    <t>United Pork America's</t>
  </si>
  <si>
    <t>Provider of industry-focused events designed to foster collaboration and innovation in the pork production sector. The company incorporates expert-led discussions, networking opportunities, and insights into global trends, enabling stakeholders to address challenges, explore advancements, and shape the future of sustainable and efficient pork production practices.</t>
  </si>
  <si>
    <t>Farm Journal(Cliff Becker)</t>
  </si>
  <si>
    <t>179131-24T</t>
  </si>
  <si>
    <t>Vida Veg</t>
  </si>
  <si>
    <t>Producer of veg food dishes intended to deliver healthy plant-based foods. The company offers a range of products, including vegan cheese, vegan curds, chestnut creams, veg burgers, vegetable milk, and other related products to consumers, facilitating access to plant-based, tasty, and healthy foods to customers, enabling consumers to access healthy, sustainable, and cruelty-free food options</t>
  </si>
  <si>
    <t>X8 Investimentos(Carlos Miranda)</t>
  </si>
  <si>
    <t>195011-56T</t>
  </si>
  <si>
    <t>Aliansce Sonae, Trigon TFI</t>
  </si>
  <si>
    <t>262631-35T</t>
  </si>
  <si>
    <t>Arena Hub</t>
  </si>
  <si>
    <t>178446-79T</t>
  </si>
  <si>
    <t>Ibitu Energia</t>
  </si>
  <si>
    <t>Operator of a renewable energy generation company based in Sao Paulo, Brazil. The company has a combined capacity is involved in generating and selling renewable energy produced from wind.</t>
  </si>
  <si>
    <t>179416-81T</t>
  </si>
  <si>
    <t>200141-02T</t>
  </si>
  <si>
    <t>211103-20T</t>
  </si>
  <si>
    <t>gurupass</t>
  </si>
  <si>
    <t>Operator of a fitness access management platform intended for individuals seeking flexibility and choice in fitness routines. The company's platform consolidates available gyms for individual workouts, and assists to book sessions at various partner gyms and studios using purchased credits from flexible plans that offer diverse daily credit allocations for different activities, while also facilitating easy check-ins across various locations, enabling individuals who want to train near their home, work, or wherever they are to achieve their fitness goals with unparalleled freedom and convenience.</t>
  </si>
  <si>
    <t>Estater Gestao e Financas</t>
  </si>
  <si>
    <t>178514-65T</t>
  </si>
  <si>
    <t>Net Barretos Tecnologia</t>
  </si>
  <si>
    <t>Provider of broadband internet services intended to serve the interior of São Paulo. The company provides access to communications networks, installation and electrical maintenance to residential and business clients in the municipalities of, thereby connecting the people to technology.</t>
  </si>
  <si>
    <t>172837-72T</t>
  </si>
  <si>
    <t>Oxiteno</t>
  </si>
  <si>
    <t>Manufacturer of surfactants and specialty chemicals intended for crop solutions, home care, personal care, coatings, oil and gas, functional fluids and nutrition and health sectors. The company manufactures a variety of products including betaines, sulfates, oil chemicals, petrochemicals, coalescents and solvents, ensuring businesses making chemistry responsible for the progress that balances economic growth, environmental protection and people's needs.</t>
  </si>
  <si>
    <t>Indorama Ventures (BKK: IVL)</t>
  </si>
  <si>
    <t>185222-98T</t>
  </si>
  <si>
    <t>Ibagy, Lello Condominios Ltda., Sj Construtora Eireli</t>
  </si>
  <si>
    <t>211912-30T</t>
  </si>
  <si>
    <t>Santana Transportes</t>
  </si>
  <si>
    <t>Operator of a transportation company intended to provide transportation and courier services. The company provides a range of intercity transport and courier services, enabling clients to avail quality, safe and comfortable rides.</t>
  </si>
  <si>
    <t>Viação Cidade Sol</t>
  </si>
  <si>
    <t>171842-77T</t>
  </si>
  <si>
    <t>Vogel Telecom</t>
  </si>
  <si>
    <t>Provider of telecommunications services intended for companies, governments, providers, data centers and large telecom operators. The company offers fiber-optics cable networks that assist in providing internet, voice, connectivity, infrastructure and security services, contributing to the digital transformation journey of clients.</t>
  </si>
  <si>
    <t>Algar Telecom(Jean Borges), GIC Private(Chow Kiat Lim)</t>
  </si>
  <si>
    <t>259624-90T</t>
  </si>
  <si>
    <t>262707-31T</t>
  </si>
  <si>
    <t>Play2sell</t>
  </si>
  <si>
    <t>Operator of a sales gamification platform intended to improve the sales conversion rate for its clients. The company's platform combines training and incentives through games, incorporates industry-specific sales knowledge into engaging game levels, and tracks sales figures across teams, enabling companies to increase sales and team engagement.</t>
  </si>
  <si>
    <t>178333-57T</t>
  </si>
  <si>
    <t>Mercos</t>
  </si>
  <si>
    <t>Developer of a sales enhancement software designed to leverage online sales. The company's software help brands to conquer markets with technology and knowledge through the software and also share valuable experiences for companies in the consumer goods sector to connect with their customers via mobile catalogs, enabling sales representatives to increase productivity and automate sales process.</t>
  </si>
  <si>
    <t>178377-31T</t>
  </si>
  <si>
    <t>Multidisplay Comércio e Serviços Tecnológicos</t>
  </si>
  <si>
    <t>Developer of digital payment platforms intended for distribution of prepaid cell phone recharge and management of billing and collection of mobile phone plans. The company offers facilitates mobile payment and digital recharge transactions, thereby helping users with their money transfer and remittance requirements.</t>
  </si>
  <si>
    <t>Bemobi (BVMF: BMOB3)(Pedro Ripper)</t>
  </si>
  <si>
    <t>187590-07T</t>
  </si>
  <si>
    <t>Norber Technologia</t>
  </si>
  <si>
    <t>Developer of frequency control software intended to simplify people management. The company offers newponto cloud, new accesso, newmobile and newcollector, enabling the clients to make decisions and leverage business performance.</t>
  </si>
  <si>
    <t>H.I.G. Capital(Fernando Oliveira), LG Lugar de Gente(Felipe Azevedo)</t>
  </si>
  <si>
    <t>138789-64T</t>
  </si>
  <si>
    <t>Poli</t>
  </si>
  <si>
    <t>Developer of a communication platform designed to connect companies with their customers. The company's tool offers automatic messages for conversations and manages the team's conversations in real time, enabling businesses to streamline and simplify their customer relationship management services.</t>
  </si>
  <si>
    <t>ACE Ventures (Commercial Services), Bossa Invest, Cedro Capital</t>
  </si>
  <si>
    <t>183484-81T</t>
  </si>
  <si>
    <t>Price Survey</t>
  </si>
  <si>
    <t>Developer of a retail price research platform designed to assist in researching the price and sales conditions of products in physical and online retail. The company's platform utilizes artificial intelligence algorithms to provide price surveys based on promotions, image searches, and regions with features such as real-time search, region filters, EAN reading, and survey mapping, enabling clients to reduce the cost of research and analysis and get insights for their pricing and market intelligence strategies.</t>
  </si>
  <si>
    <t>Cedro Capital, Raja Ventures, Ventiur</t>
  </si>
  <si>
    <t>178282-36T</t>
  </si>
  <si>
    <t>BMSIX</t>
  </si>
  <si>
    <t>Provider of information technology consulting services intended to support critical IT operations. The company's services include cloud computing, cost optimization, IT deployment, software development, and other related services, enabling financial, retail, and other industries to meet complex projects from conception, structuring, migration, and operation to cloud environments.</t>
  </si>
  <si>
    <t>180252-10T</t>
  </si>
  <si>
    <t>Compass Gas E Energia SA is focused on natural gas distribution, through Comgas; infrastructure and origination of gas, having access to the competitive supply of pre-salt gas and importing liquefied natural gas (LNG); gas trading, optimizing supply and demand portfolio, building diversification, flexibility, and competitiveness; and gas-powered thermal generation and energy trading, transforming gas into electricity. It operates in two segments: Gas distribution and Marketing &amp; services. The majority of revenue is generated from the Gas distribution segment. The majority of revenue comes from the Sales of gas distribution and energy commercialization.</t>
  </si>
  <si>
    <t>178444-72T</t>
  </si>
  <si>
    <t>Concil</t>
  </si>
  <si>
    <t>Developer of financial management platform intended to transform the complexity of managing card sales into real information. The company's card reconciliation software works on different fronts of companies' financial control, improving the management of receivables and pointing out possible errors along with facilitating the management of the business, thereby enabling clients to reduce the time involved in the reconciliation of large volume accounts.</t>
  </si>
  <si>
    <t>PagSeguro Digital (NYS: PAGS)</t>
  </si>
  <si>
    <t>262897-21T</t>
  </si>
  <si>
    <t>Get In App</t>
  </si>
  <si>
    <t>Developer of software intended to find bars and restaurants. The company platform helps to find and reserve restaurants, cafes and bars.</t>
  </si>
  <si>
    <t>178762-96T</t>
  </si>
  <si>
    <t>Grupo Elo</t>
  </si>
  <si>
    <t>Provider of finance and insurance services intended to serve public and private companies of all sizes and segments. The company offers implementation, renewing and managing corporate health and dental plans as well as providesbank payment, payslip, wallet, income tax declaration and integrated healthcare management needs.</t>
  </si>
  <si>
    <t>Qualicorp Consultoria e Corretora de Seguros (BVMF: QUAL3)</t>
  </si>
  <si>
    <t>211877-47T</t>
  </si>
  <si>
    <t>Guava Software Studio</t>
  </si>
  <si>
    <t>Developer of web software based in Recife, Brazil. The company offers web applications, front-end, UI design, back-end and software development.</t>
  </si>
  <si>
    <t>VTEX (NYS: VTEX)</t>
  </si>
  <si>
    <t>195184-00T</t>
  </si>
  <si>
    <t>Camila Farani(Camila Farani), Garan Ventures, Gustavo do Valle(Gustavo do Valle), Joao Selarin(Joao Selarin), Newtopia VC, Prodigio Capital(Pedro Muller), Rodrigo Cartacho(Rodrigo Cartacho), Smart Growth Investments</t>
  </si>
  <si>
    <t>287915-23T</t>
  </si>
  <si>
    <t>Start Path</t>
  </si>
  <si>
    <t>167691-88T</t>
  </si>
  <si>
    <t>Biosev</t>
  </si>
  <si>
    <t>BIOSEV SA is a Brazil-based sugarcane processing company. It is engaged in the production, processing, and sale of sugarcane and its by-products. Its operating segments are Sugar, Ethanol, Energy, and Other Products, of which key revenue is generated from the Sugar and Ethanol segment. The company's sugar products consist of crystal sugar, liquid sugar, inverted liquid sugar, refined sugar, and VHP (very high polarization) sugar, and its ethanol products include hydrous ethanol, anhydrous ethanol, Neutral ethanol, and Fusel oil. The company's geographical segments include Asia, North America, South America, Africa, and Europe.</t>
  </si>
  <si>
    <t>Raízen Energia (BVMF: RAIZ4)(Ricardo Mussa)</t>
  </si>
  <si>
    <t>180003-43T</t>
  </si>
  <si>
    <t>Dextra (Brazil)</t>
  </si>
  <si>
    <t>Developer of end-to-end digital products software based in Campinas, Brazil. The company offers data and analytics, agile squads and design, enabling the clients to drive their business.</t>
  </si>
  <si>
    <t>Advent International, CI&amp;T (NYS: CINT)(Cesar Gon)</t>
  </si>
  <si>
    <t>201528-73T</t>
  </si>
  <si>
    <t>Milton Yuki(Milton Yuki)</t>
  </si>
  <si>
    <t>211782-79T</t>
  </si>
  <si>
    <t>Hondana</t>
  </si>
  <si>
    <t>Developer of data-driven performance management platform designed to empower leaders of distributed teams. The company platform offers features for communication, knowledge sharing, goal tracking with motivational tools, and strategic optimization based on data insights, enabling leaders to bridge geographical distances, keep teams informed and engaged, and drive high performance through data-backed decision-making.</t>
  </si>
  <si>
    <t>Wunder Digital</t>
  </si>
  <si>
    <t>178160-05T</t>
  </si>
  <si>
    <t>Canary (Brazil)(Marcos Leite), Eduardo Gouveia(Eduardo Gouveia), Mauá Capital</t>
  </si>
  <si>
    <t>173122-48T</t>
  </si>
  <si>
    <t>Brazil Venture Capital, EquityRio, Gávea Angel Group, Plug and Play Tech Center, True Capital Management, Urca Angels, Verve Capital</t>
  </si>
  <si>
    <t>181201-24T</t>
  </si>
  <si>
    <t>DOMO.VC(Rodrigo Wertheim)</t>
  </si>
  <si>
    <t>294778-36T</t>
  </si>
  <si>
    <t>251684-65T</t>
  </si>
  <si>
    <t>Energy Resort Fundo DE (BVMF: EGYR11)</t>
  </si>
  <si>
    <t>Energy Resort Fundo DE Investimento Imobiliario is a Brazil-based company. It engaged in Real estate investment funds.</t>
  </si>
  <si>
    <t>188506-45T</t>
  </si>
  <si>
    <t>HerMoney</t>
  </si>
  <si>
    <t>Developer of a financial management platform designed to help women entrepreneurs grow their businesses. The company uses modern technology to retrieve transaction information from users' bank accounts safely and conveniently, enabling small and micro businesses to track their cash flow and simplify 
entrepreneurial life.</t>
  </si>
  <si>
    <t>178349-59T</t>
  </si>
  <si>
    <t>NetSun Tecnologia e Servicos</t>
  </si>
  <si>
    <t>Provider of digital connectivity services intended to serve the telecommunications sector. The company offers integrated voice, data, and internet solutions, through a dedicated link via radio or optical fiber with a stable high-speed connection and contracted bandwidth, thereby offering digital connectivity services with quality, efficiency, and agility, capable of full operational security for the customers.</t>
  </si>
  <si>
    <t>181191-70T</t>
  </si>
  <si>
    <t>Bossa Invest, DOMO.VC, EquityRio, GVAngels</t>
  </si>
  <si>
    <t>156454-48T</t>
  </si>
  <si>
    <t>Gaspetro</t>
  </si>
  <si>
    <t>Provider of natural gas storage and distribution services based in Rio De Janeiro, Brazil. The company engages in the production, trade, import, export, storage, transport and distribution of liquefied petroleum gas, fertilizers and oil, thereby helping it make energy available and accessible globally.</t>
  </si>
  <si>
    <t>178111-63T</t>
  </si>
  <si>
    <t>Bossa Invest(João Kepler), Thiago Nigro(Thiago Nigro)</t>
  </si>
  <si>
    <t>180058-06T</t>
  </si>
  <si>
    <t>Americo Filho(Americo Filho), Bossa Invest, DOMO.VC(Franco Pontillo), Urja Social, Yves Nogueira(Yves Nogueira)</t>
  </si>
  <si>
    <t>177943-60T</t>
  </si>
  <si>
    <t>Q Apartments (Brazil's Business Operations)</t>
  </si>
  <si>
    <t>Provider of accommodation services intended to create a home away from home, an environment with consistent service. The company offers global serviced apartment solutions that include properties offering a range of studios, 1, 2 and 3-bedroom apartments, fully furnished to maximize space as well as equipped with the latest virtual concierge technology, helping clients to enjoy an environment with more space to relax, eat and live every moment.</t>
  </si>
  <si>
    <t>177917-68T</t>
  </si>
  <si>
    <t>Smartex Gymnastics and Dance School</t>
  </si>
  <si>
    <t>Operator of fitness centers and gyms in Sao Paulo, Brazil. The company provides physical fitness services through gymnastics and dancing, helping members to maintain their fitness and achieve health goals.</t>
  </si>
  <si>
    <t>Smartfit Escola de Ginástica e Dança (BVMF: SMFT3)</t>
  </si>
  <si>
    <t>181932-49T</t>
  </si>
  <si>
    <t>Tatix</t>
  </si>
  <si>
    <t>Developer of e-commerce solutions focused on managing and operating digital businesses. The company specializes in technological design, logistics operation, transport management, strategic consulting, content development as well as points and relationship program, thereby providing e-commerce operation needs in one place.</t>
  </si>
  <si>
    <t>177794-47T</t>
  </si>
  <si>
    <t>ATTA Franchising</t>
  </si>
  <si>
    <t>Provider of financial products and services intended to simplify access to mortgage loans and rental guarantees. The company empowers real estate agents, autonomous brokers, and developers to provide their clients with easy access to real estate credits, home equity, and capitalization bonds while simplifying the property financing processes and local guarantees, enabling clients to get access to financial products in the real estate market without taking documents to the bank and without the intermediation of an insurance broker.</t>
  </si>
  <si>
    <t>264027-88T</t>
  </si>
  <si>
    <t>JOTA</t>
  </si>
  <si>
    <t>Provider of information services intended to provide transparency to public information and transform society through specialized journalism. The company offers impartial and nimble reporting, helping businesses operate in a transparent legal field and a predictable corporate environment, enabling individuals, companies, agencies, and law firms, to access ethical, high-quality, and precise insights into all branches of government.</t>
  </si>
  <si>
    <t>BoostLAB(Frederico Pompeu)</t>
  </si>
  <si>
    <t>168459-49T</t>
  </si>
  <si>
    <t>Konduto</t>
  </si>
  <si>
    <t>Developer of a fraud detection tool intended to serve the security market. The company's tool employs technologies for device fingerprinting, IP geolocation, social graph, proxy detection and velocities, enabling clients to achieve security from fraudulent activities.</t>
  </si>
  <si>
    <t>Boa Vista SCPC</t>
  </si>
  <si>
    <t>177709-87T</t>
  </si>
  <si>
    <t>Expet</t>
  </si>
  <si>
    <t>Manufacturer and retailer of pet hygiene products based in Sao Paulo, Brazil. The company specializes in manufacturing hygienic pet mats as well as engages in an online e-commerce website for selling pet snacks and other pet-related products.</t>
  </si>
  <si>
    <t>173504-08T</t>
  </si>
  <si>
    <t>Marlim.co</t>
  </si>
  <si>
    <t>Developer of a payment method platform designed for the online foreign exchange market. The company's platform offers payment links, recurring payments, digital sales, and payment splits, enabling customers to buy foreign currency in up to twelve installments on their cards.</t>
  </si>
  <si>
    <t>188547-85T</t>
  </si>
  <si>
    <t>Ventiur(Sandro Cortezia)</t>
  </si>
  <si>
    <t>173249-83T</t>
  </si>
  <si>
    <t>Eyemobile</t>
  </si>
  <si>
    <t>Developer of a business software intended to simplify the sales process. The company's software offers electronic commands, cashless payments, secured portal and automated transaction recording system, enabling clients to increase their productivity.</t>
  </si>
  <si>
    <t>211147-48T</t>
  </si>
  <si>
    <t>Banco BMG (BVMF: BMGB4)</t>
  </si>
  <si>
    <t>177716-80T</t>
  </si>
  <si>
    <t>Rodoil Distribuidora de Combustiveis</t>
  </si>
  <si>
    <t>Distributor of petroleum fuels in Brazil through a chain of gas stations. The company distributes, supplies and commercializes different types of fuels such as common and additive gasoline, ethanol, diesel, kerosene, lubricants, additives, and other automotive fuels.</t>
  </si>
  <si>
    <t>211876-30T</t>
  </si>
  <si>
    <t>TKNET Group</t>
  </si>
  <si>
    <t>Provider of ISP services based in Brazil. The company provides internet via fiber and radio to individuals and businesses.</t>
  </si>
  <si>
    <t>178351-93T</t>
  </si>
  <si>
    <t>Ucorp.app</t>
  </si>
  <si>
    <t>Developer of a mobile application designed for corporate and electric mobility. The company's application offers a fleet administration and management system, customizable billing, payment templates, and data security, enabling companies to have total visibility of their company's mobility data.</t>
  </si>
  <si>
    <t>João Consiglio(João Consiglio), Sylvio de Barros(Sylvio de Barros), William Cossermelli(William Cossermelli)</t>
  </si>
  <si>
    <t>177671-80T</t>
  </si>
  <si>
    <t>big_bets, General Atlantic, Meyer Malka(Meyer Malka), SoftBank Latin America Fund</t>
  </si>
  <si>
    <t>177687-46T</t>
  </si>
  <si>
    <t>Zee.Dog</t>
  </si>
  <si>
    <t>Manufacturer of dog-oriented accessories and food intended to assist consumers in accessing stylish pet products. The company offers products that are made by following the trends, with a fundamental understanding of the demands and expectations as well as pet food and products, enabling pet owners to avail improved, trendy and better-designed accessories for their loved ones.</t>
  </si>
  <si>
    <t>191742-76T</t>
  </si>
  <si>
    <t>Drypol</t>
  </si>
  <si>
    <t>Manufacturer of plastic preform intended to recycle and transform polyethylene terephthalate for hygiene and cleaning packaging. The company's offers the market an innovative, sustainable and competitive product, adding value to its customers' products, thereby enabling its customers to avail the products for a sustainable environment and surrounding.</t>
  </si>
  <si>
    <t>Ambipar Participacoes e Empreendimentos (BVMF: AMBP3)(Thiago Silva)</t>
  </si>
  <si>
    <t>211892-59T</t>
  </si>
  <si>
    <t>Neofibra Informatica</t>
  </si>
  <si>
    <t>Provider of telecommunication services based in Benedito Novo, Brazil. The company's services include multimedia communication, radio activities, access to communications networks, application service providers, internet hosting services as well as administrative support services.</t>
  </si>
  <si>
    <t>184111-75T</t>
  </si>
  <si>
    <t>Octadesk</t>
  </si>
  <si>
    <t>Operator of a software company intended to provide a SaaS multi-channel platform for customer support, help desk and service desk. The company operates a chat management platform that helps companies in lead generation, sales, and customer service, connecting consumers to companies through digital channels.</t>
  </si>
  <si>
    <t>184039-84T</t>
  </si>
  <si>
    <t>AC Ventures (Arca Continental), Angel Ventures Mexico(Hernán Fernández), Graph Ventures, MSA Capital, Seedstars International Ventures, Tahseen Consulting, Y Combinator</t>
  </si>
  <si>
    <t>177659-02T</t>
  </si>
  <si>
    <t>Omie</t>
  </si>
  <si>
    <t>Operator of an enterprise resource planning platform intended to streamline business processes for micro and small companies. The company's platform develops cloud-based software with accounting and customer relationship management tools that facilitate the issuance of fiscal notes, manage receivables, monitor day-to-day processes, and integrate customer data, enabling businesses to manage their customer information and business processes easily.</t>
  </si>
  <si>
    <t>Bogari Capital, Brasil Capital, Cadonau Investimentos, Dynamo Ventures, Endeavor Catalyst, Gr8 Ventures, HIX Capital, Riverwood Capital(Joe De Pinho), SoftBank Latin America Fund, Tencent Holdings (HKG: 00700), VELT Partners</t>
  </si>
  <si>
    <t>191917-09T</t>
  </si>
  <si>
    <t>Brazilian Service of Support for Micro and Small Enterprises, Fundação de Amparo à Pesquisa e Inovação</t>
  </si>
  <si>
    <t>191817-55T</t>
  </si>
  <si>
    <t>Terra Santa Agro</t>
  </si>
  <si>
    <t>Terra Santa Propriedades Agricolas SA is an agricultural commodities producer focused on the production of soybean, corn, and cotton. It operates several production units located in the Brazilian state, Mato Grosso.</t>
  </si>
  <si>
    <t>SLC Agricola (BVMF: SLCE3)(Aurélio Pavinato)</t>
  </si>
  <si>
    <t>211780-99T</t>
  </si>
  <si>
    <t>AnSata</t>
  </si>
  <si>
    <t>Developer of software intended for automating Notarial and Registry Offices. The company specializes in developing integrated software that covers all the notary's activity including offering security, preparing deeds, management control and agility in the preparation of acts, thereby helping its clients by offering security and agility to enhance the activities of notaries as well as promoting digital transformation through its software and technological services.</t>
  </si>
  <si>
    <t>178563-07T</t>
  </si>
  <si>
    <t>118089-64T</t>
  </si>
  <si>
    <t>Brainn</t>
  </si>
  <si>
    <t>Provider of venture-building services intended to aid innovators in building digital products from scratch. The company provides customer development, user research, UX/UI design, roadmap planning, product development, and coding, enabling clients to have user-friendly mobile applications for products and services.</t>
  </si>
  <si>
    <t>263520-10T</t>
  </si>
  <si>
    <t>Certdox</t>
  </si>
  <si>
    <t>Developer of document management software designed for handling information, documents, and business processes electronically. The company's software offers electronic registrations, an electronic filing kit, an electronic signatures portal, and digitalization of processes, enabling legal organizations to scan, orchestrate, and sign documents and transactions electronically, making operations and contracts safe, reliable, and legally perfect.</t>
  </si>
  <si>
    <t>209554-75T</t>
  </si>
  <si>
    <t>CrediHome</t>
  </si>
  <si>
    <t>Provider of financial advisory services intended to serve customers in search of real estate financing. The company engages in the origination and provision of real estate financing, quotation and preparation of documentation and obtaining credit, through partnerships with banks.</t>
  </si>
  <si>
    <t>Loft Brasil Tecnologia(Mate Pencz)</t>
  </si>
  <si>
    <t>179009-74T</t>
  </si>
  <si>
    <t>Ecoagrícola</t>
  </si>
  <si>
    <t>Operator of a coffee bean farm intended for the specialty coffee market. The company harvests specialty coffee beans, thereby providing coffee products with sustainable cultivation methods.</t>
  </si>
  <si>
    <t>Solum Partners</t>
  </si>
  <si>
    <t>207554-59T</t>
  </si>
  <si>
    <t>Elven Works</t>
  </si>
  <si>
    <t>Developer of a reliability-focused monitoring platform intended to improve the development cycle of cloud applications. The company's platform builds practical ways to make technology operations of products easier by training the professionals who build and operate them, providing businesses with a well-trained technology workforce and a reliability platform that helps monitor products and digital channels.</t>
  </si>
  <si>
    <t>209087-47T</t>
  </si>
  <si>
    <t>EMME - Produções de Materiais em Multimídia</t>
  </si>
  <si>
    <t>Provider of educational marketing services intended to serve schools. The company provides a web enrollment room, caring communication, a school management advisory program, the school's web channel and enrollment campaign.</t>
  </si>
  <si>
    <t>178335-64T</t>
  </si>
  <si>
    <t>HeroSpark</t>
  </si>
  <si>
    <t>Developer of a distance learning platform designed to help users create their online course portal through the Internet. The company's platform offers knowledge management and learning both for the students and the businesses to provide an introduction to distance learning, enabling instructors to create branded online courses, manage payments, and interact with their students all in one place.</t>
  </si>
  <si>
    <t>Alexia Ventures(Patrick Arippol)</t>
  </si>
  <si>
    <t>209498-77T</t>
  </si>
  <si>
    <t>Lance Hotéis</t>
  </si>
  <si>
    <t>Developer of an online platform intended to negotiate with hotels and provide the lowest price for the hotel stay. The company focuses on hotel searches for their users and then provides the negotiated price to the users, thereby offering low prices.</t>
  </si>
  <si>
    <t>178567-66T</t>
  </si>
  <si>
    <t>Bossa Invest, Caravela Capital</t>
  </si>
  <si>
    <t>248440-15T</t>
  </si>
  <si>
    <t>187680-34T</t>
  </si>
  <si>
    <t>PetParker</t>
  </si>
  <si>
    <t>Operator of a micro-mobility startup intended to transform the way people and dogs interact with the city. The company's platform offers smart stations in store fronts such as grocery stores, gyms, pharmacies, and shopping malls where pets can wait safely and comfortably, enabling pet owner to never have to leave their dog waiting at home.</t>
  </si>
  <si>
    <t>182917-63T</t>
  </si>
  <si>
    <t>PLIPAG</t>
  </si>
  <si>
    <t>Developer of a customer lifecycle management platform designed to simplify monthly payments for small and medium enterprises. The company's platform offers client management and smart billing resources in one modern platform simplifying the way its merchants manage transactions and relationships, enabling businesses to reduce costs and earn more by automating the entire billing cycle.</t>
  </si>
  <si>
    <t>225740-17T</t>
  </si>
  <si>
    <t>Stone Fidelidade</t>
  </si>
  <si>
    <t>Developer of marketing and customer relationship management software designed to offer a loyalty management platform to businesses. The company's platform allows businesses to roll out a loyalty program, churn out insights out of customer data and track program metrics and effectiveness by placing a tablet next to their point of sales for customers to check-in and record their visit and purchase, thereby enabling merchants to get an easy, affordable and effective solution to retain customers and sell more.</t>
  </si>
  <si>
    <t>177852-88T</t>
  </si>
  <si>
    <t>TrackerUP</t>
  </si>
  <si>
    <t>Developer of an online external team monitoring system designed to increase a company's productivity. The company's mobile application schedules tasks and automatically creates efficient routes by GPS, facilitates online chat with the team, sending photos of tasks performed as well as descriptions of each task, enabling companies to increase productivity, and customer satisfaction, reduces fuel costs as well as mitigates labor lawsuits.</t>
  </si>
  <si>
    <t>233915-77T</t>
  </si>
  <si>
    <t>Trampolin</t>
  </si>
  <si>
    <t>Developer of banking platform designed to promote the financial inclusion of pre-banking and unbanked populations. The company's platform includes the opening of digital accounts, instant transfers between users, card issues, and custom applications through a mobile application, enabling users to have access to all banking features digitally.</t>
  </si>
  <si>
    <t>169968-79T</t>
  </si>
  <si>
    <t>Direct One (Brazil)</t>
  </si>
  <si>
    <t>Developer of customer experience management software based in Sao Paulo, Brazil. The company specializes in digital transformation by delivering omnichannel outbound communications through the cloud, inbound virtual assistants are powered by artificial intelligence and customer experience management (CEM) works as a messaging aggregator and orchestration that not only optimizes costs but also improves customer experience.</t>
  </si>
  <si>
    <t>Oria Capital(Piero Rosatelli), Sarona Asset Management, Spectra Investments, Zenvia (NAS: ZENV)(Cassio Bobsin)</t>
  </si>
  <si>
    <t>177535-99T</t>
  </si>
  <si>
    <t>Flex Interativa</t>
  </si>
  <si>
    <t>Developer of creative technology software designed to offer augmented reality and virtual reality content. The company's software includes augmented reality, virtual reality application development, social media creation, customization and management of brand, and interactive applications, and provides commercial video productions, enabling enterprises and individuals to participate in the transformation of content creation.</t>
  </si>
  <si>
    <t>211868-56T</t>
  </si>
  <si>
    <t>Cooatol Comércio de Insumos Agropecuários</t>
  </si>
  <si>
    <t>Supplier of agricultural inputs intended to minimize production costs. The company has units for transshipment, seed production, storage of grains and seeds and commercialization of agricultural inputs.</t>
  </si>
  <si>
    <t>180903-43T</t>
  </si>
  <si>
    <t>Trackage</t>
  </si>
  <si>
    <t>Developer of yard management software designed to optimize logistics processes. The company's platform offers strategic information and facilitates intelligent real-time tracking of several assets including fleets and cargo for decision-making processes, enabling clients to reduce costs and ensure operational efficiency.</t>
  </si>
  <si>
    <t>Bossa Invest, DOMO.VC, Kleber Rodrigues(Kleber Rodrigues)</t>
  </si>
  <si>
    <t>177071-68T</t>
  </si>
  <si>
    <t>Twilio (NYS: TWLO)</t>
  </si>
  <si>
    <t>184095-55T</t>
  </si>
  <si>
    <t>Alter Payments</t>
  </si>
  <si>
    <t>Developer of a financial technology platform intended to combine technology and functionality that connects cryptocurrencies to banks. The company's platform offers crypto accounts in Brazil that are capable of storing cryptocurrencies in a single environment and can be used on a daily basis through a VISA card, enabling clients to easily manage their cryptocurrencies online.</t>
  </si>
  <si>
    <t>222832-81T</t>
  </si>
  <si>
    <t>Brisanet Participacoes</t>
  </si>
  <si>
    <t>Brisanet Participacoes SA provides telecommunication services. The company offers fiber optic technology and radio, fixed telephony, and VOIP services in Brazil. The services of the company include the provision of telecommunication services such as MCS (Multimedia Communication Service), equipment rental, IT services, radio and optical fiber network installation services, and others.</t>
  </si>
  <si>
    <t>171881-11T</t>
  </si>
  <si>
    <t>Evoltz Participações</t>
  </si>
  <si>
    <t>Operator of an electricity transmission platform dedicated to promoting the social and economic development of Brazil. The company operates and maintains electricity transmission lines across states that are distributed into seven concessions, thereby providing reliable power to businesses and consumers for household purposes as well as industrial uses.</t>
  </si>
  <si>
    <t>Ontario Teachers' Pension Plan(Dale Burgess)</t>
  </si>
  <si>
    <t>175429-27T</t>
  </si>
  <si>
    <t>Atman Capital Partners, Canary (Brazil), Global Founders Capital, Monashees, Norte Ventures, ONEVC, Spectra Investments</t>
  </si>
  <si>
    <t>188301-70T</t>
  </si>
  <si>
    <t>SkillCore</t>
  </si>
  <si>
    <t>Developer of engagement and loyalty programs designed to put together communities with their fans in a unique way. The company's platform provides a unique white-label environment for communities that want to invite the audience to become members and get virtual credits and exclusive rewards, enabling users to new revenue streams and to access and redeem exclusive rewards by exchanging for virtual credits.</t>
  </si>
  <si>
    <t>Demium Capital</t>
  </si>
  <si>
    <t>227471-05T</t>
  </si>
  <si>
    <t>Unifique Telecomunicacoes SA is a fixed broadband operator in Brazil. Its services include internet, fixed-line telephony, mobile telephony, HD Pay TV, data ceter among others.</t>
  </si>
  <si>
    <t>177387-85T</t>
  </si>
  <si>
    <t>CredDefense</t>
  </si>
  <si>
    <t>Developer of a facial biometrics platform intended to offer innovative, efficient and agile solutions to prevent fraud and reduce operating costs. The company's platform focuses on fraud prevention using facial biometrics with a collaborative base with data and faces, in addition to developing other tools, thereby reducing fraud in various segments, financial, logistics, health and education.</t>
  </si>
  <si>
    <t>iD Tech (Educational Software)</t>
  </si>
  <si>
    <t>178739-92T</t>
  </si>
  <si>
    <t>Mereo Consulting</t>
  </si>
  <si>
    <t>Developer of an integrated platform designed for managing people and organizations. The company's platform combines consulting services and software for enterprises and people performance results along with training management and offers a cloud-based system, with mobile capabilities that ensure the availability of information anywhere and anytime, enabling clients to get an integrated automated system to maximize their results.</t>
  </si>
  <si>
    <t>Cedro Capital(Alessandro Machado), KPTL(Diego Bertolin)</t>
  </si>
  <si>
    <t>177277-87T</t>
  </si>
  <si>
    <t>Apus Capital (Brazil), Atlantico Partners, David Vélez(David Vélez), Florian Otto(Florian Otto), Kaszek, Monashees, ONEVC, Thrive Capital(Joshua Kushner)</t>
  </si>
  <si>
    <t>179876-44T</t>
  </si>
  <si>
    <t>SVA Tech</t>
  </si>
  <si>
    <t>Operator of a video analytics platform intended to focus on developing analytical video facilities for the electronic security market. The company's platform uses computer vision, artificial intelligence, and machine learning to analyze live images from the customer's internal television circuitry, enabling clients to identify potential risk events so that they can act in a preventive manner against possible losses and damages.</t>
  </si>
  <si>
    <t>Cedro Capital, FC Partners, KPTL</t>
  </si>
  <si>
    <t>174791-08T</t>
  </si>
  <si>
    <t>TC SA is a independent and collaborative social media platform for investors, assets and brokers.</t>
  </si>
  <si>
    <t>211887-37T</t>
  </si>
  <si>
    <t>Mercer (Pensions Administration Business Unit in Brasil)</t>
  </si>
  <si>
    <t>Provider of software services catering to supplementary pension entities. The company specializes in the areas of member service, accounting, treasury, risk and security.</t>
  </si>
  <si>
    <t>196229-17T</t>
  </si>
  <si>
    <t>242458-75T</t>
  </si>
  <si>
    <t>Allis Solucoes</t>
  </si>
  <si>
    <t>Provider of field marketing training management services intended to provide execution, domain excellence and retail intelligence enhancement services. The company's field marketing management service intends to offer accurate information that leverages point-of-sale results and insights that point to new business opportunities, thereby enabling retail sectors in developing and implementing newer methodologies for the collection of information and helping in staff productivity.</t>
  </si>
  <si>
    <t>224105-77T</t>
  </si>
  <si>
    <t>Fundo DE Investimento Imobiliario-Devant Fundo DE Fundos Imobiliarios (BVMF: DVFF11)</t>
  </si>
  <si>
    <t>Fundo DE Investimento Imobiliario-Devant Fundo DE Fundos Imobiliarios is an independent manager specialized in the management of private credit assets, mainly structured credit and real estate.</t>
  </si>
  <si>
    <t>207765-01T</t>
  </si>
  <si>
    <t>Sode</t>
  </si>
  <si>
    <t>Developer of a digital platform aimed at promoting efficient and hassle-free delivery. The company's platform uses logistical intelligence, which acts as a courier management, routing and tracking tool, enabling businesses to improve their delivery management while enhancing their absolute control over costs.</t>
  </si>
  <si>
    <t>171792-73T</t>
  </si>
  <si>
    <t>177166-90T</t>
  </si>
  <si>
    <t>Volanty</t>
  </si>
  <si>
    <t>Operator of an online marketplace designed to offer pre-owned cars in Brazil. The company's online marketplace helps the sellers to simplify the entire sales process ranging from inspecting and photographing the car to negotiate with potential buyers and also helps the buyers to purchase used cars through a transparent process, enabling customers to perform transactions of pre-owned cars through a single platform.</t>
  </si>
  <si>
    <t>177138-28T</t>
  </si>
  <si>
    <t>Gobots</t>
  </si>
  <si>
    <t>Developer of an artificial intelligence platform intended to make complex technologies accessible to all companies. The company's platform operates in several marketplaces and proprietary e-commerces using advanced techniques, enabling clients to easily improve their productivity daily by adopting internet access, smartphones, and technology evolution.</t>
  </si>
  <si>
    <t>Invest Tech, StaminaVC</t>
  </si>
  <si>
    <t>177110-38T</t>
  </si>
  <si>
    <t>Guiabolso</t>
  </si>
  <si>
    <t>Developer of online financial control and advisory platform built to streamline finances. The company's platform automates the process of budgeting and control for consumers while helping them choose financial products from a curated selection of partners, thereby enabling users to access unique segmenting and scoring capabilities and improve financial well-being.</t>
  </si>
  <si>
    <t>PicPay(José Costa)</t>
  </si>
  <si>
    <t>177693-22T</t>
  </si>
  <si>
    <t>Livetech da Bahia Indústria e Comércio (BVMF: LVTC3)</t>
  </si>
  <si>
    <t>Livetech Da Bahia Industria E Comercio SA is a technology company focused on telecommunications optical fiber and corporate sectors. It has a broad portfolio that offers solutions for broadband internet via optical fiber, Electronic Security, IP Telephony (VoIP), WI-FI Networks, Data Centers, Cybersecurity, Professional Audio and Video, Smart- Home and Solar Energy.</t>
  </si>
  <si>
    <t>181887-58T</t>
  </si>
  <si>
    <t>177091-39T</t>
  </si>
  <si>
    <t>Ariel Lambrecht(Ariel Lambrecht), Grisi family, Pedro Tourinho(Pedro Tourinho), Renato Mendes(Renato Mendes)</t>
  </si>
  <si>
    <t>177128-20T</t>
  </si>
  <si>
    <t>177175-72T</t>
  </si>
  <si>
    <t>251354-62T</t>
  </si>
  <si>
    <t>Kilima Fundo DE (BVMF: KISU11)</t>
  </si>
  <si>
    <t>Kilima Fundo DE Investimento Em Cotas DE Fundos Imobiliarios Suno 30 is real estate investment trust.</t>
  </si>
  <si>
    <t>180316-09T</t>
  </si>
  <si>
    <t>Multilaser Industrial Ltd is involved in the electronics and computer supplies segment. The company offers cell phones, smartphones, telecommunications, tools and electronics segments, and others.</t>
  </si>
  <si>
    <t>219134-80T</t>
  </si>
  <si>
    <t>Plamev Pet</t>
  </si>
  <si>
    <t>Provider of veterinary teleguidance services intended for pet owners and the health of their pets. The company through its application offers a tech-enabled real-time communication network that helps pet owners to connect with veterinary and pet experts for solutions vaccines, medicines and nutritional supplements, aiming to increase the average lifespan of pets by up to 03 years</t>
  </si>
  <si>
    <t>Duxx Investimentos, FIR Capital, Health Invest, Spectra Investments, VS1 Capital</t>
  </si>
  <si>
    <t>211778-11T</t>
  </si>
  <si>
    <t>Uniaves</t>
  </si>
  <si>
    <t>Producer and retailer of chicken and processed food products based in Castelo, Brazil. The company offers frozen and fresh whole chicken, seasoned, barbeque, wings, breast and other freshly meat cut pieces.</t>
  </si>
  <si>
    <t>Pif Paf Alimentos</t>
  </si>
  <si>
    <t>170500-87T</t>
  </si>
  <si>
    <t>172845-01T</t>
  </si>
  <si>
    <t>Alter Global(Jesse Sullivan), Avid Ventures, DST Global, General Catalyst, Kaszek, Monashees(Marcelo Lima), Picus Capital</t>
  </si>
  <si>
    <t>176892-31T</t>
  </si>
  <si>
    <t>AirAngels, Fifth Wall(Andriy Mykhaylovskyy), NXTP Ventures, Qualcomm Ventures, SoftBank Latin America Fund, Valor Capital Group</t>
  </si>
  <si>
    <t>177039-28T</t>
  </si>
  <si>
    <t>176946-85T</t>
  </si>
  <si>
    <t>Antonio Lemos(Antonio Lemos), Duxx Investimentos(Daniel Matumoto), Enrico Ventura(Enrico Ventura), Felipe Affonso(Felipe Affonso), Fernando Julianelli(Fernando Julianelli), HIX Capital(Rodrigo Heilberg), Invisto, Ricardo Bechara(Ricardo Bechara)</t>
  </si>
  <si>
    <t>176892-49T</t>
  </si>
  <si>
    <t>Flybridge (New York)(Jeffrey Bussgang), Globo Ventures(Luis Lora), Igah Ventures, Maya Capital (Brazil), Monashees, Next Billion Ventures, ONEVC, Pear (California), Terracotta Ventures, The Graduate Syndicate, Vy Capital</t>
  </si>
  <si>
    <t>243706-60T</t>
  </si>
  <si>
    <t>Grupo CEEE</t>
  </si>
  <si>
    <t>Provider of electricity generation services based in Porto Alegre, Brazil. The company's business activities include the generation, transmission, distribution, and sale of electricity and related services. The company operates hydroelectric plants, substations, and long transmission lines.</t>
  </si>
  <si>
    <t>State Grid Corporation of China (SHG: STGRD)</t>
  </si>
  <si>
    <t>242022-07T</t>
  </si>
  <si>
    <t>Ligue Telecom</t>
  </si>
  <si>
    <t>Operator of a connectivity platform intended to offer internet services to both residential and business customers. The company's platform specializes in offering fiber optic broadband and point-to-point connectivity, installation, and support services with multiple speed-based internet plans, enabling customers to access the internet at a fair and transparent price.</t>
  </si>
  <si>
    <t>177027-94T</t>
  </si>
  <si>
    <t>Minuto Seguros</t>
  </si>
  <si>
    <t>Provider of insurance brokerage services intended for insurance policies beyond agility and practicality. The company offers to find and purchase policies online through a user-friendly website that assists in searching for personalized quotes free of charge, thereby enabling clients to get the freedom of research and choice backed by insurance consultants.</t>
  </si>
  <si>
    <t>177884-92T</t>
  </si>
  <si>
    <t>JOKR</t>
  </si>
  <si>
    <t>209554-12T</t>
  </si>
  <si>
    <t>Datacoper</t>
  </si>
  <si>
    <t>Provider of customer relationship management services intended to serve the agricultural industry. The company provides specialist solutions and customer relationship management services through innovative technology.</t>
  </si>
  <si>
    <t>Siagri(Carlos Barbosa)</t>
  </si>
  <si>
    <t>223826-86T</t>
  </si>
  <si>
    <t>GreatPages</t>
  </si>
  <si>
    <t>Developer of a website-building platform based in Sao Paulo, Brazil. The company offers a wide range of software for website development, storage management, e-commerce stores, payment gateway, automated text marketing and others, thereby helping clients create websites and pages efficiently in line with the market requirements.</t>
  </si>
  <si>
    <t>268723-54T</t>
  </si>
  <si>
    <t>176822-11T</t>
  </si>
  <si>
    <t>Blu</t>
  </si>
  <si>
    <t>Developer of a digital financial platform designed to help businesses use receivables as collateral and pay off their suppliers. The company's platform specializes in retail financing through card receivables for a concession on credit that reduces delinquency to near zero and allows longer terms or lower rates, providing businesses with an option to avail credit facilities based on future sales.</t>
  </si>
  <si>
    <t>Hindiana, Warburg Pincus</t>
  </si>
  <si>
    <t>166231-81T</t>
  </si>
  <si>
    <t>Caravela Capital, Clocktower Ventures, FJ Labs, Picus Capital, Valor Capital Group, Volpe Capital(Milena Oliveira)</t>
  </si>
  <si>
    <t>184068-37T</t>
  </si>
  <si>
    <t>Hubla</t>
  </si>
  <si>
    <t>Developer of a community platform designed to provide conversational payment remedies. The company's platform allows users to create groups and charge the audience to participate and receive exclusive content, its platform features assistance for the payment system, automated member entry and exit, recurring payments, affiliate programs, and more, enabling professionals to easily monetize their content.</t>
  </si>
  <si>
    <t>Big Bets(Anton Gauffin), FJ Labs, Kaszek, Kevin Efrusy(Kevin Efrusy), Luxor Group, Spectra Investments, Y Combinator</t>
  </si>
  <si>
    <t>181569-16T</t>
  </si>
  <si>
    <t>Minutri</t>
  </si>
  <si>
    <t>Producer and retailer of food items intended to offer healthy eating and franchising management for customers. The company's items provide gluten and dairy-free organic food products including ready meals, snacks, supplements, and drinks, with vegan, organic, zero sugar, low-carb, and other options, enabling customers to get natural, healthy, and ready-for-consumption food.</t>
  </si>
  <si>
    <t>173591-56T</t>
  </si>
  <si>
    <t>NuVidio</t>
  </si>
  <si>
    <t>Developer of a peer-to-peer video-commerce platform designed to connect virtual and personal customer experiences. The company's platform helps transform remote salespeople into an online sales force by routing calls to physical stores, call centers, or even registered freelance salespeople, enabling clients to improve their customer experience without increasing their costs.</t>
  </si>
  <si>
    <t>Bossa Invest, DOMO.VC, Urca Angels</t>
  </si>
  <si>
    <t>191457-82T</t>
  </si>
  <si>
    <t>181835-29T</t>
  </si>
  <si>
    <t>Techstars(Elle Bruno)</t>
  </si>
  <si>
    <t>212068-81T</t>
  </si>
  <si>
    <t>Sao Pedro Net</t>
  </si>
  <si>
    <t>Provider of internet services designed to improve connectivity to its customers. The company offers a range of optical fiber and radio plans, thereby optimizing and strengthening the network infrastructure as well as shared services of its clients.</t>
  </si>
  <si>
    <t>Brasil Serviços de Tecnologia(Flavio Gomes)</t>
  </si>
  <si>
    <t>176645-17T</t>
  </si>
  <si>
    <t>BoostLAB, Torq (Brazil), Vox Capital</t>
  </si>
  <si>
    <t>258029-92T</t>
  </si>
  <si>
    <t>Centro Universitário Moura Lacerda</t>
  </si>
  <si>
    <t>Operator of a university based in Ribeirao Preto, Brazil. The company offers undergraduate and post-graduation courses to the students.</t>
  </si>
  <si>
    <t>Cruzeiro do Sul Educacional (BVMF: CSED3)</t>
  </si>
  <si>
    <t>178739-83T</t>
  </si>
  <si>
    <t>Companhia Brasileira De Aluminio (BVMF: CBAV3)</t>
  </si>
  <si>
    <t>Companhia Brasileira de Aluminio SA is engaged in the exploration of bauxite mining in Brazil, producing and/or trading bauxite, alumina, primary aluminum, and semi-fabricated products in Brazil and abroad. The Company has a wide product range, such as ingots, billets, plates, coils, foil, and extruded products. The company has three operating segments; the Aluminum segment comprises the operations of the aluminum production chain, from bauxite mining to the production of primary and downstream products, the Energy segment; Comprises the sale of surplus energy to the market only, and the Nickel segment; considers the operations of the Nickel and Legado Verdes do Cerrado Plants.</t>
  </si>
  <si>
    <t>Aluminum Mining</t>
  </si>
  <si>
    <t>226928-44T</t>
  </si>
  <si>
    <t>Data2 (Software Development Applications)</t>
  </si>
  <si>
    <t>Developer of a systems development platform designed to make information control easy. The company's platform provides various features such as automatic media processing, creating database applications, designing with real-time data, data binding, and many more, enabling developers to have systems development and building systems to design applications.</t>
  </si>
  <si>
    <t>183309-49T</t>
  </si>
  <si>
    <t>Canary (Brazil)(Marcos Leite), Latitud, Robson Privado(Robson Privado)</t>
  </si>
  <si>
    <t>211700-89T</t>
  </si>
  <si>
    <t>My Shoes</t>
  </si>
  <si>
    <t>Retailer of footwear catering to women. The company's products include sandals, papettes, crawls and also bags and wallets through its online platform.</t>
  </si>
  <si>
    <t>177584-68T</t>
  </si>
  <si>
    <t>OHM Research</t>
  </si>
  <si>
    <t>Developer of an online research marketplace software intended to provide advice to investors on how to make their investments. The company platform offers its subscribers a free online stock guide and access to independent analysts based in 5 continents, publishing new reports every day as well as allows independent analysts to enter its platform and provide services without having a real connection with the company, thereby allowing investors to have access to truly independent and unconflicted research in a totally meritocratic environment.</t>
  </si>
  <si>
    <t>227551-87T</t>
  </si>
  <si>
    <t>176627-71T</t>
  </si>
  <si>
    <t>Percursa</t>
  </si>
  <si>
    <t>Operator of an education and inspiration platform intended to bring education and entertainment to customers with a cinematographic perspective. The company's platform collaborates with celebrities and renowned professionals in the area of each course, enabling customers to learn in a fun format through their idols.</t>
  </si>
  <si>
    <t>Fit Participações, Igah Ventures(Thiago Maluf)</t>
  </si>
  <si>
    <t>270008-02T</t>
  </si>
  <si>
    <t>185863-60T</t>
  </si>
  <si>
    <t>Estrategia</t>
  </si>
  <si>
    <t>Operator of an online education firm intended to facilitate the preparation of online courses for public competitions. The company's learning courses are built with a methodology designed to make learning as easy and profitable as possible and permit the student to have fundamental participation through the interaction with the teacher in the form of doubts, enabling students to have a complete and up-to-date material guided appropriate teachers in the country.</t>
  </si>
  <si>
    <t>Axxon Group(Marcello Adriao)</t>
  </si>
  <si>
    <t>176607-10T</t>
  </si>
  <si>
    <t>Musii</t>
  </si>
  <si>
    <t>Developer of a mobile application designed to connect people through their musical tastes. The company's application offers a social network to discover and promote music, enabling users to share new music and meet people who are musically similar.</t>
  </si>
  <si>
    <t>174872-26T</t>
  </si>
  <si>
    <t>Airborne Ventures, Google for Startups, Muralha Capital</t>
  </si>
  <si>
    <t>226508-68T</t>
  </si>
  <si>
    <t>Rodobens (BVMF: RBNS11)</t>
  </si>
  <si>
    <t>Rodobens SA is a financial services platform, leveraged in an automotive retail ecosystem, which distributes its products and services in over 2,700 points of sale throughout Brazil, combining physical and digital channels, both owned and partnered. Its broad products and services portfolio is divided between financial such as Consorcio, Loans and Financing, Insurance Brokerage and Vehicles Leasing and Rental; and automotive such as new and used vehicles and after sales services.</t>
  </si>
  <si>
    <t>300602-26T</t>
  </si>
  <si>
    <t>176774-05T</t>
  </si>
  <si>
    <t>BRBI BR Partners SA, formerly BR Advisory Partners Participacoes SA, is engaged in investing in other companies, domestic or foreign, as a partner, quota holder, or shareholder, and management of its assets. It has a single reportable segment being investment banking services, which are administered and managed according to the products offered.</t>
  </si>
  <si>
    <t>176532-76T</t>
  </si>
  <si>
    <t>Car10</t>
  </si>
  <si>
    <t>Developer of car repair and maintenance information platform designed to offer innovative workshop experiences to customers. The company through its platform and artificial intelligence technology provides quick information regarding extent of automotive damage and estimated repair costs, enabling customers to effectively plan for repair and maintenance of automotives.</t>
  </si>
  <si>
    <t>Banco Santander Brasil (BVMF: SANB3), WebMotors</t>
  </si>
  <si>
    <t>176453-11T</t>
  </si>
  <si>
    <t>Accion(Michael Schlein), Capital Lab Ventures, DOMO.VC, Empirica Investimentos, Endeavor Global, Flourish Ventures(Arjuna Costa), Impact Venture Capital, K50 Ventures(Ryan Bloomer), Latitud, Rally Cap VC, ScaleUP Ventures, Tribe Capital</t>
  </si>
  <si>
    <t>176644-63T</t>
  </si>
  <si>
    <t>ITST Consultoria</t>
  </si>
  <si>
    <t>Provider of managed technology services intended to serve system applications and products industry. The company offers cloud strategy advisory, architecture assessment, migration, administration, systems integration, SAP and infrastructure consultancy and services, helping clients migrate to the cloud cost-efficiently.</t>
  </si>
  <si>
    <t>SoftwareONE (SWX: SWON)(Daniel DaVinci)</t>
  </si>
  <si>
    <t>253819-27T</t>
  </si>
  <si>
    <t>253786-42T</t>
  </si>
  <si>
    <t>177609-97T</t>
  </si>
  <si>
    <t>Smartfit Escola DE Ginastica E Danca SA is a fitness club. The company provides physical conditioning services through gymnasiums, bodybuilding, dancing and swimming. Facilities offered by the company include SmartBox, free weight, gym classes, bicycles, smart bike, fitness equipment, and a running machine, among others. The Company is present in fourteen countries, namely Brazil, Mexico, Colombia, Chile, Peru, Argentina, Paraguay, Panama, Costa Rica, Dominican Republic, Ecuador, Guatemala, El Salvador, and Honduras, operating in the HVLP segment with the brand Smart Fit, in the Premium segment with the brand Bio Ritmo, and in the digital fitness segment.</t>
  </si>
  <si>
    <t>251352-64T</t>
  </si>
  <si>
    <t>Rio Bravo Credito (BVMF: RBHY11)</t>
  </si>
  <si>
    <t>Rio Bravo Credito Imobiliario High Yield Fundo DE Inv Imob is a Brazil-based company. It provides returns above the IMA-B through investment in fixed-income real estate assets, predominantly in Real Estate Receivables Certificates (CRI). It invests mainly in assets with considerable credit risk.</t>
  </si>
  <si>
    <t>176311-99T</t>
  </si>
  <si>
    <t>Astella Investimentos(Laura Constantini), Barrah Investimentos, Big Bets, Felipe Almeida, Flavio Sznajder, José Ricardo Brun Fausto, Nelson Mattos, Spectra Investments, Torq (Brazil), Túlio Ribeiro</t>
  </si>
  <si>
    <t>188824-51T</t>
  </si>
  <si>
    <t>Kenlo</t>
  </si>
  <si>
    <t>Developer of a real estate management system designed to connect real estate agents and brokers. The company offers services like enterprise resource planning, customer relationship management, and content management systems, enabling clients to manage all their functions dynamically and effectively through a single platform.</t>
  </si>
  <si>
    <t>Jive Investments</t>
  </si>
  <si>
    <t>220126-96T</t>
  </si>
  <si>
    <t>Produttiva Agronegócios</t>
  </si>
  <si>
    <t>Supplier of agricultural products intended to serve farmers. The company offers agricultural pesticides, seeds and foliar fertilization with the differential of offering complete technical assistance to rural producers in decision-making on choosing the product for planting, thus enhancing high productivity rates that contribute to increasing profitability and generating value for the farming community.</t>
  </si>
  <si>
    <t>Produtec Comercio E Representacoes</t>
  </si>
  <si>
    <t>227420-02T</t>
  </si>
  <si>
    <t>Tres Tentos (BVMF: TTEN3)</t>
  </si>
  <si>
    <t>Tres Tentos Agroindustrial SA is an agricultural company that offers vertically oriented and integrated solutions to farmers and a wide range of retail products in the agricultural input, grain, and industrial segments. The company also offers farmers' training, consulting, and technical services. the reporting segments of the Company are; Agricultural inputs include the marketing of fertilizers, plant-protection products, foliar fertilizers, and soybean, corn, and wheat seeds, Grains include operations involving the physical receipt, standardization, and trading of grain acquired from third parties, and Industrial include operations involving the processing of soybean to produce meal and biodiesel.</t>
  </si>
  <si>
    <t>177954-76T</t>
  </si>
  <si>
    <t>Astralabs</t>
  </si>
  <si>
    <t>176294-44T</t>
  </si>
  <si>
    <t>Atmos Capital Gestao de Recursos(Erik Lassner), XP Investimentos (NAS: XP)(Chu Kong)</t>
  </si>
  <si>
    <t>223846-93T</t>
  </si>
  <si>
    <t>Bioage</t>
  </si>
  <si>
    <t>Manufacturer of dermocosmetic products catering to skiincare and aesthetic medicine sectors. The company offers facial cleansers, exfoliants, moisturizers, sunscreens, anti-aging serums, acne treatments, skin lightening creams, professional-use peels, and body firming products, helping improve skin health, treat specific dermatological concerns.</t>
  </si>
  <si>
    <t>Hypera (Pharmaceuticals) (BVMF: HYPE3)</t>
  </si>
  <si>
    <t>176266-09T</t>
  </si>
  <si>
    <t>Domino's Pizza Brasil</t>
  </si>
  <si>
    <t>Operator of pizza franchise stores based in Brazil. The company runs and operates a pizzeria chain across the world, enabling its consumers to avail themselves of pizza and related meals in their nearest stores.</t>
  </si>
  <si>
    <t>176266-27T</t>
  </si>
  <si>
    <t>210845-89T</t>
  </si>
  <si>
    <t>CRK Participações</t>
  </si>
  <si>
    <t>Developer of integrated systems designed for the financial management of bank treasuries. The company solutions focus on servicing treasury processes, fixed income, stock exchanges, derivatives, reserve management, investments, regulatory and accounting.</t>
  </si>
  <si>
    <t>177963-94T</t>
  </si>
  <si>
    <t>A.B.Seed Ventures, KPTL(Eduardo Sperling)</t>
  </si>
  <si>
    <t>176098-87T</t>
  </si>
  <si>
    <t>Marcos Lima(Marcos Lima), Virgo Ventures (Brazil)(Daniel Magalhães)</t>
  </si>
  <si>
    <t>212005-81T</t>
  </si>
  <si>
    <t>GW Telecom</t>
  </si>
  <si>
    <t>Provider of internet and connectivity services intended for residential and business customers. The company offers internet via fiber optics at different speeds ranging from 90 Mbps to 500 Mbps, thereby helping customers communicate and connect with the rest of the globe.</t>
  </si>
  <si>
    <t>Mhnet Telecom</t>
  </si>
  <si>
    <t>174960-10T</t>
  </si>
  <si>
    <t>Hercosul Alimentos</t>
  </si>
  <si>
    <t>Producer of pet food based in Ivoti, Brazil. The company develops, produces and distributes dry food, wet products and snacks for dogs and cats, enabling consumers to avail delicious food for their pets.</t>
  </si>
  <si>
    <t>BRF Global (BVMF: BRFS3)(Lorival Nogueira Luz Junior)</t>
  </si>
  <si>
    <t>210274-57T</t>
  </si>
  <si>
    <t>Interaktiv</t>
  </si>
  <si>
    <t>Developer of technological services catering to startups, small businesses, companies and agencies. The company specializes in the development of desktop and mobile websites and applications, thereby helping customers with bringing their product closer to the target market and expanding their presence on the web.</t>
  </si>
  <si>
    <t>Connectcom (Brazil)(Valter Lima)</t>
  </si>
  <si>
    <t>177926-41T</t>
  </si>
  <si>
    <t>Alexia Ventures(Patrick Arippol), Caravela Capital, Igah Ventures(Thiago Maluf), Invest Tech, ScaleUp Endeavor, TM3 Capital</t>
  </si>
  <si>
    <t>211924-63T</t>
  </si>
  <si>
    <t>Pink Dog Comercio Eletronico De Produtos</t>
  </si>
  <si>
    <t>Manufacturer and retailer of pet food intended to offer natural food products for dogs. The company provides diet packs according to the nutritional balance, veterinary support, food guidance and probiotic cookies, thereby ensuring the correct nourishment for the dog.</t>
  </si>
  <si>
    <t>176097-88T</t>
  </si>
  <si>
    <t>Alexia Ventures(Patrick Arippol), DOMO.VC, Fábio Póvoa(Fábio Póvoa), Smart Money Ventures</t>
  </si>
  <si>
    <t>212117-68T</t>
  </si>
  <si>
    <t>VetSign</t>
  </si>
  <si>
    <t>Developer of a veterinary educational platform based in Sao Paulo, Brazil. The company aims to promote excellence, multidisciplinarity and the dissemination of complementary knowledge within the scope of clinical practice to make a difference in building the future of new professionals and broaden horizons and perspectives in the field.</t>
  </si>
  <si>
    <t>Petland (Florida)(Rodrigo Albuquerque)</t>
  </si>
  <si>
    <t>212118-31T</t>
  </si>
  <si>
    <t>VisionSet</t>
  </si>
  <si>
    <t>Provider of information security managed services based in Rio de Janeiro, Brazil. The company works in the areas of performance and information security to reach the international level and have a team of qualified professionals certified in all the leading tools in the market.</t>
  </si>
  <si>
    <t>Asper Technology</t>
  </si>
  <si>
    <t>251094-88T</t>
  </si>
  <si>
    <t>Zion Capital Fundo De (BVMF: ZIFI11)</t>
  </si>
  <si>
    <t>Zion Capital Fundo De Investimento Imobiliario Fii main objective is to acquire shares in real estate developments predominantly in the death care sector, seeking to achieve good income for its shareholders.</t>
  </si>
  <si>
    <t>223465-87T</t>
  </si>
  <si>
    <t>Ahreas</t>
  </si>
  <si>
    <t>Developer of technology solutions for condominium management intended for real estate agents and property managers. The company offers a comprehensive platform for automating and enhancing the management of residential and commercial properties, focusing on the digitalization process of the condominium market.</t>
  </si>
  <si>
    <t>Spectra Investments, Superlógica Tecnologias(Carlos Cêra), Warburg Pincus(Henrique Muramoto)</t>
  </si>
  <si>
    <t>175986-82T</t>
  </si>
  <si>
    <t>Conexão Group</t>
  </si>
  <si>
    <t>Provider of broadband services intended to offer fiber-to-the-home technology for customers. The company offers broadband connectivity, subscription television, telephone services and information technology (IT) Corporate Services, enabling consumers to have high fiber-optic networks and efficient connectivity services as per their requirements.</t>
  </si>
  <si>
    <t>Grain Management(David Grain)</t>
  </si>
  <si>
    <t>211998-43T</t>
  </si>
  <si>
    <t>Escola Carolina Patrício</t>
  </si>
  <si>
    <t>Operator of a school based in Rio de Janeiro, Brazil. The company's services include early childhood, elementary, and high school education, thus helping students improve their attention and memory.</t>
  </si>
  <si>
    <t>SEB Sistema Educacional Brasileiro</t>
  </si>
  <si>
    <t>178164-82T</t>
  </si>
  <si>
    <t>Invillia</t>
  </si>
  <si>
    <t>Provider of information and technology services based in Sao Paulo, Brazil. The company's services include custom software development, innovative solutions, lean digital transformation, enterprise agile development as well as Invillia Academy where training is offered in new technologies, leadership, innovation, as well as creativity.</t>
  </si>
  <si>
    <t>Compass UOL(Gil Torquato)</t>
  </si>
  <si>
    <t>212183-74T</t>
  </si>
  <si>
    <t>Lambda3</t>
  </si>
  <si>
    <t>Provider of information technology consulting services intended for production processes, training and software development. The company offers digital products and services such as management, analysis, architecture and software engineering and covers the entire software development cycle.</t>
  </si>
  <si>
    <t>Tivit Ventures(Eduardo Sodero)</t>
  </si>
  <si>
    <t>251566-75T</t>
  </si>
  <si>
    <t>Maua Capital Hedge Fund</t>
  </si>
  <si>
    <t>Maua Capital Hedge Fund Fundo DE Investimento Imobiliario is asset management company.</t>
  </si>
  <si>
    <t>185072-32T</t>
  </si>
  <si>
    <t>189131-68T</t>
  </si>
  <si>
    <t>Apex Partners (Brazil)</t>
  </si>
  <si>
    <t>188559-55T</t>
  </si>
  <si>
    <t>Redes de Investidores Anjo</t>
  </si>
  <si>
    <t>175341-07T</t>
  </si>
  <si>
    <t>Etsy (NAS: ETSY)(Josh Silverman)</t>
  </si>
  <si>
    <t>251086-06T</t>
  </si>
  <si>
    <t>Fundo DE Investimento Imobiliario BTG Pactual Terras Agricolas (BVMF: BTRA11)</t>
  </si>
  <si>
    <t>Fundo DE Investimento Imobiliario BTG Pactual Terras Agricolas aims to acquire productive agricultural land (rural and urban) undergoing transformation (opportunistically) located in the main regions of the Brazilian territory.</t>
  </si>
  <si>
    <t>212006-98T</t>
  </si>
  <si>
    <t>Intnet</t>
  </si>
  <si>
    <t>Provider of internet and broadband services catering to the telecommunications market in the Lagos Region, Brazil. The company offers optic fiber connectivity and internet services, thereby helping corporate clients and businesses with data transport, hosting and internet plan services.</t>
  </si>
  <si>
    <t>175885-21T</t>
  </si>
  <si>
    <t>Numenu</t>
  </si>
  <si>
    <t>Operator of a digital platform for passengers intended to make purchases within application vehicles. The company's platform allows passengers to buy and win products during the race, pay on the website and, receive the product with comfort and practicality, without changing the route or getting out of the car, thereby providing the drivers with a practical way to increase their income and passengers to buy products of immediate need without any hassle.</t>
  </si>
  <si>
    <t>Market4u(Eduardo Cordova)</t>
  </si>
  <si>
    <t>175927-87T</t>
  </si>
  <si>
    <t>156271-69T</t>
  </si>
  <si>
    <t>Faculdade Internacional da Paraíba</t>
  </si>
  <si>
    <t>Provider education programs intended to make higher education accessible and affordable. The company offers undergraduate and graduate degree programs including business, law, engineering, health sciences, hospitality and culinary management, ensuring its students contribute to the sustainable development of the State of Paraíba effectively.</t>
  </si>
  <si>
    <t>212006-26T</t>
  </si>
  <si>
    <t>Inova Tecnologias</t>
  </si>
  <si>
    <t>Provider of cloud computing services intended to serve companies, government and internet providers. The company provides open source collaboration with products and services for e-mail, calendar, contacts, storage, backup, synchronization with cell phones and protection against spam, viruses and fraud, in addition to the entire IaaS platform, focused mainly on portals, databases, corporate applications, backup and disaster recovery platform.</t>
  </si>
  <si>
    <t>Penso Tecnologia(Thiago de Lima)</t>
  </si>
  <si>
    <t>175789-90T</t>
  </si>
  <si>
    <t>Rene Kern(Rene Kern)</t>
  </si>
  <si>
    <t>295708-15T</t>
  </si>
  <si>
    <t>Pixelwolf</t>
  </si>
  <si>
    <t>Provider of design and technology solutions intended for user-centred digital products. The company specializes in web design, web development, cloud, Android, and iOS app development, thereby helping its clients in understanding problems, proposing solutions, and generating hypotheses that are validated through customer and market data collection.</t>
  </si>
  <si>
    <t>176291-74T</t>
  </si>
  <si>
    <t>Cubos Venture Studio, RB3 Participacoes</t>
  </si>
  <si>
    <t>175733-56T</t>
  </si>
  <si>
    <t>Anthor</t>
  </si>
  <si>
    <t>Developer of a smart shelf replenishment application designed to improve the execution of trade marketing at the point of sale. The company's platform uses artificial intelligence to connect stockers to stores with the help of geolocation and provides replacement services in supermarkets, enabling stores to achieve better inventory control, intelligent replacement, and increased sales.</t>
  </si>
  <si>
    <t>Amancio Sampaio(Amancio Sampaio), CHP (VC), CWB Angels, Goodz Capital(Dongley Martisn), Involves Solucoes Tecnologicas, Monte Carmelo(Monte Carmelo), ZFM</t>
  </si>
  <si>
    <t>211923-19T</t>
  </si>
  <si>
    <t>Araujo Fontes</t>
  </si>
  <si>
    <t>Operator of a financial advisory company intended to provide investment banking services. The company provides a range of management services such as asset management, real estate, debt and financial exchange, enabling clients to avail quality financial advisory and consultancy services.</t>
  </si>
  <si>
    <t>Banco BMG (BVMF: BMGB4)(Ana Karina Bortoni Dias)</t>
  </si>
  <si>
    <t>251566-21T</t>
  </si>
  <si>
    <t>Btsp I Fundo DE (BVMF: BTSG11)</t>
  </si>
  <si>
    <t>Btsp I Fundo DE Investimento Imobiliario FII objective is an exploration of real estate projects aimed primarily at logistical and industrial operations, located in the Southeast and Central-West regions, through the acquisition of land for their construction or the acquisition of properties under construction or ready, for subsequent sale. , lease or lease.</t>
  </si>
  <si>
    <t>175739-50T</t>
  </si>
  <si>
    <t>CredPago</t>
  </si>
  <si>
    <t>Developer of a property rental analytics platform designed to reinvent and reduce bureaucracy in the real estate market in Brazil. The company's platform analyzes the risk profile of those interested in renting via credit card data and evaluations from rating agencies to offer data on payment capacity and valuation, providing real estate agencies, tenants and property owners with greater ease and agility in negotiations.</t>
  </si>
  <si>
    <t>254349-91T</t>
  </si>
  <si>
    <t>252224-65T</t>
  </si>
  <si>
    <t>Fundo DE Investimento (REIT) (BVMF: VVMR11)</t>
  </si>
  <si>
    <t>Fundo DE Investimento Imobiliario Multi Renda Urbana is a real estate investment fund.</t>
  </si>
  <si>
    <t>176331-25T</t>
  </si>
  <si>
    <t>Grupo Zelo</t>
  </si>
  <si>
    <t>Provider of funeral services intended to offer planning and assistance required for a funeral event. The company offers decoration, assistance, transport by air or land, cremation, body conservation, coffin design, complete ornamentation, snack kit, ballot, and other related services, enabling people to choose funeral plans as per their needs.</t>
  </si>
  <si>
    <t>Crescera Capital(Jaime Cardoso), Spectra Investments</t>
  </si>
  <si>
    <t>175874-14T</t>
  </si>
  <si>
    <t>Hortus Comercio de Alimentos</t>
  </si>
  <si>
    <t>Operator of a supermarket chain based in Sao Paulo, Brazil. The company attracts customers with its pleasant shopping environment in convenient locations, offering outstanding customer service, high-quality products, and a wide selection of uniquely curated merchandise through Its 18 stores.</t>
  </si>
  <si>
    <t>140504-68T</t>
  </si>
  <si>
    <t>Astella Investimentos(Daniel Chalfon), Cadonau Investimentos, Green Rock (Brazil)(Ricardo Salomão), Mago Capital, Terracotta Ventures</t>
  </si>
  <si>
    <t>209458-18T</t>
  </si>
  <si>
    <t>Rede Celer</t>
  </si>
  <si>
    <t>Developer of fintech platform intended to serve the finance industry. The company offers a white-label platform for accelerating payment projects, saving and ranging from the machines to dashboard investment, thereby enabling an interactive platform with all-time monitoring services and reports.</t>
  </si>
  <si>
    <t>Cnova</t>
  </si>
  <si>
    <t>223895-98T</t>
  </si>
  <si>
    <t>Wirelink</t>
  </si>
  <si>
    <t>Provider of telecom services intended to serve corporate and wholesale markets. The company specializes in developing and delivering cloud, data, internet, and voice services, thereby creating a digital ecosystem for its clients.</t>
  </si>
  <si>
    <t>176166-01T</t>
  </si>
  <si>
    <t>AgriConnected</t>
  </si>
  <si>
    <t>Developer of a farm management platform designed to help small and medium-sized producers to optimize their fleet of machines. The company uses artificial intelligence, gives cultivation information and geolocation and their application makes recommendations of best practices by calculating the time and cost for the farm operation, enabling farmers to decrease operating costs and improve end-product quality.</t>
  </si>
  <si>
    <t>Honey Island Capital, Poli Angels Group, StaminaVC</t>
  </si>
  <si>
    <t>172630-54T</t>
  </si>
  <si>
    <t>Bigsal</t>
  </si>
  <si>
    <t>Producer and provider of animal nutrition and supplementation intended for ruminants, poultry, pigs, fish, horses and pets. The company offers a range of products ranging from basic minerals to complete feeds, aiming to provide solutions in animal nutrition for each producer in Rondônia, Acre, Roraima, Amazonas, northern Mato Grosso and part of Bolivia.</t>
  </si>
  <si>
    <t>Nutreco(Robert Koremans)</t>
  </si>
  <si>
    <t>176344-75T</t>
  </si>
  <si>
    <t>Brazil Venture Capital, FEA Angels, MG Tech., Sirius Venture Capital, TM3 Capital</t>
  </si>
  <si>
    <t>289686-43T</t>
  </si>
  <si>
    <t>Cogni (Healthcare Technology Systems)</t>
  </si>
  <si>
    <t>Developer of a mobile application designed to connect cognitive therapists with patients. The company's platform allows therapists to track real-time emotional changes, access patient records before sessions, and analyze emotional patterns to improve care, enabling healthcare professionals to offer personalized support and optimize therapeutic outcomes for their patients.</t>
  </si>
  <si>
    <t>169909-39T</t>
  </si>
  <si>
    <t>Compass Minerals América do Sul</t>
  </si>
  <si>
    <t>Manufacturer and distributor of fertilizer products catering to corporate and private clients in Brazil. The company develops and distributes bio stimulators, soluble products, release fertilizers, foliage nutrition products for animal husbandry and seeds treatment products.</t>
  </si>
  <si>
    <t>Israel Chemicals (TAE: ICL)(Raviv Zoller)</t>
  </si>
  <si>
    <t>184098-34T</t>
  </si>
  <si>
    <t>178668-91T</t>
  </si>
  <si>
    <t>Eduqo</t>
  </si>
  <si>
    <t>Developer of an educational platform intended to offer quality and personalized education. The company's platform collects data about students to generate statistics and automatic recommendations, thereby enabling educators to analyze the effectiveness of their content.</t>
  </si>
  <si>
    <t>Arco Educação(Beatriz Amary)</t>
  </si>
  <si>
    <t>297643-87T</t>
  </si>
  <si>
    <t>Rasan ventures</t>
  </si>
  <si>
    <t>195259-69T</t>
  </si>
  <si>
    <t>Paulo Bivar(Paulo Bivar), Verve Capital(Marcelo Franco), YNN Ventures(Daniel Silva)</t>
  </si>
  <si>
    <t>177026-50T</t>
  </si>
  <si>
    <t>Faircloset</t>
  </si>
  <si>
    <t>Developer of a fashion-tech platform designed for the resale of luxury items in Brazil. The company offers a range of products including accessories, handbags, jewelry, clothes and shoes, enabling customers to have access to fashion and lifestyle products.</t>
  </si>
  <si>
    <t>Real Ventures (Rio de Janeiro)(Antonio Pedroso), StaminaVC</t>
  </si>
  <si>
    <t>177887-98T</t>
  </si>
  <si>
    <t>Norte Ventures, Spectra Investments, TheVentureCity(Ricardo Sangion)</t>
  </si>
  <si>
    <t>165188-17T</t>
  </si>
  <si>
    <t>201779-65T</t>
  </si>
  <si>
    <t>IM Designs Desenvolvimento de Software</t>
  </si>
  <si>
    <t>Developer of 3D technologies and tools designed for the creation of visualization projects.</t>
  </si>
  <si>
    <t>Banco Inter (NAS: INTR)(João Souza)</t>
  </si>
  <si>
    <t>177016-69T</t>
  </si>
  <si>
    <t>Kmaleon</t>
  </si>
  <si>
    <t>Developer of an online reputation platform designed to provide in-depth analysis to gauge customer sentiment. The company's platform finds and compares the right software according to customer feedback, making it possible to analyze which technologies are right for a business model, enabling businesses to achieve their business goals.</t>
  </si>
  <si>
    <t>178484-23T</t>
  </si>
  <si>
    <t>Atman Capital Partners(Pedro Sorrentino), Bossa Invest, Broadhaven Capital Partners(Michael Sidgmore), Devas Invest, Endeavor Catalyst, Global Founders Capital(Fabricio Pettena), Globo Ventures, Investo (Private Equity), Justin Mateen(Justin Mateen), Maya Capital (Brazil), Michael Sidgmore(Michael Sidgmore), Monashees, Norte Ventures, ONEVC, Peter Thiel(Peter Thiel), PIPO Capital, Prosus Ventures(Banafsheh Fathieh), Quona Capital(Jonathan Whittle), Spectra Investments, UVC Investimentos, Valor Capital Group(Scott Sobel)</t>
  </si>
  <si>
    <t>189818-20T</t>
  </si>
  <si>
    <t>MentorApp</t>
  </si>
  <si>
    <t>Developer of personalized environment platform designed to develop the behavior of the team. The company's platform is built using different classifications to distribute and share content in a microlearning style, enabling companies to invest in the continuous development of their employees.</t>
  </si>
  <si>
    <t>OBr.global</t>
  </si>
  <si>
    <t>242401-78T</t>
  </si>
  <si>
    <t>226861-66T</t>
  </si>
  <si>
    <t>178561-81T</t>
  </si>
  <si>
    <t>Bossa Invest, Ventures Hub</t>
  </si>
  <si>
    <t>176566-51T</t>
  </si>
  <si>
    <t>NMIND</t>
  </si>
  <si>
    <t>Operatorr of a market intelligence company specializing in data analytics. The company's platform utilizes aggregate data from its different systems and generates intelligence through business intelligence, data science, and data analytics, enabling small and medium-sized businesses to understand their neighboring markets and participate in consumer competition.</t>
  </si>
  <si>
    <t>42K Investimentos, Brazil Venture Capital</t>
  </si>
  <si>
    <t>175718-71T</t>
  </si>
  <si>
    <t>ACV Auctions (NYS: ACVA), Great Plains Software, Parceiro Ventures(Paul Anderson), Partner Ventures</t>
  </si>
  <si>
    <t>202047-67T</t>
  </si>
  <si>
    <t>QConcursos</t>
  </si>
  <si>
    <t>Provider of digital educational services dedicated to preparing for competitions and exams more practical. The company through its online platform offers video lessons, text classes, guides, training, courses and simulations for various stages of studies and subjects, thereby helping students and candidates to improve their academic performance while preparing for contests and entrance exams.</t>
  </si>
  <si>
    <t>176982-49T</t>
  </si>
  <si>
    <t>QEMP</t>
  </si>
  <si>
    <t>Provider of methodology and digital kits intended to assess and develop entrepreneurs and intrapreneurs. The company offers educational programs, coaching, mentoring, and consulting, enabling students, employees, and customers of universities, businesses, and government agencies to access live online courses in the fields of business.</t>
  </si>
  <si>
    <t>Triple Seven Investments</t>
  </si>
  <si>
    <t>209176-48T</t>
  </si>
  <si>
    <t>Seren</t>
  </si>
  <si>
    <t>Developer of an educational platform designed to promote the connection between people and professionals who are willing to share knowledge about the routine of their area of expertise. The company's platform democratizes useful knowledge of professions for young people and provides live experiences of the work of different areas of the job market, enabling schools to democratize useful knowledge about professions for young people still in the period of choosing a career.</t>
  </si>
  <si>
    <t>178557-76T</t>
  </si>
  <si>
    <t>177030-46T</t>
  </si>
  <si>
    <t>296865-10T</t>
  </si>
  <si>
    <t>175100-05T</t>
  </si>
  <si>
    <t>Essent Agro</t>
  </si>
  <si>
    <t>Developer of financial management technology designed to focus on rural producers to optimize their time, organization, and tax management. The company's platform provides a robot that will import all electronic invoices and simulate the monthly calculation of the personal income tax to be paid, along with demonstrating the income and expenses, all accompanied by digital copies of the documents, without the producer having to feed the system, enabling rural producers to get specialized in rural estate planning, income tax planning, and digital accounting.</t>
  </si>
  <si>
    <t>253481-59T</t>
  </si>
  <si>
    <t>Anima Educação (BVMF: ANIM3)</t>
  </si>
  <si>
    <t>175544-74T</t>
  </si>
  <si>
    <t>Movile</t>
  </si>
  <si>
    <t>251688-43T</t>
  </si>
  <si>
    <t>Alianza FOF FII (BVMF: AFOF11)</t>
  </si>
  <si>
    <t>Alianza FOF Fundo De Investimento Imobiliario aims to invest in Target Assets, majorly FII Shares, aiming at the appreciation and profitability of Shares in the long term through investment in Target Assets, earning income from these, as well as earning capital gains from the negotiation of Target Assets.</t>
  </si>
  <si>
    <t>175472-20T</t>
  </si>
  <si>
    <t>LandApp</t>
  </si>
  <si>
    <t>Developer of a waste logistics platform designed to transport construction site waste. The company's platform offers a dashboard with all the performance indicators, movement, and routes taken by all trucks, the history of all the works performed and financial indicators of work, enabling the construction industry to recycle materials, reduce truck journeys and generate savings.</t>
  </si>
  <si>
    <t>BR Angels(Orlando Cintra), GVAngels</t>
  </si>
  <si>
    <t>172470-79T</t>
  </si>
  <si>
    <t>PO27</t>
  </si>
  <si>
    <t>Developer of an information platform designed to transform secured credit formalization and payment process. The company's platform focuses on the environment of digital credit with guarantee, payment industry, and operational efficiency, as in the case of the management of the credit operation with a guarantee on vehicles, enabling clients in the entire formalization process, from making operational to strategic decisions.</t>
  </si>
  <si>
    <t>175321-72T</t>
  </si>
  <si>
    <t>Canary (Brazil), Ecoa Capital, Eduardo Mufarej(Eduardo Mufarej), Good Karma Partners, Jair Ribeiro(Jair Ribeiro), Valor Capital Group, Wayra Brazil</t>
  </si>
  <si>
    <t>175337-11T</t>
  </si>
  <si>
    <t>208312-93T</t>
  </si>
  <si>
    <t>GVAngels, Marrakech Capital</t>
  </si>
  <si>
    <t>215315-92T</t>
  </si>
  <si>
    <t>Grana Capital</t>
  </si>
  <si>
    <t>Developer of a financial application designed to calculate and pay taxes on stock trading gains. The company's application allows the automatic import of transactions, portfolio consolidation and detailed income tax calculation, enabling users to save time on complex calculations.</t>
  </si>
  <si>
    <t>181839-70T</t>
  </si>
  <si>
    <t>Blue3</t>
  </si>
  <si>
    <t>Provider of investment advisory services based in Ribeirão Preto, Brazil. The company offers advisory services across initial public offerings (IPO), succession planning, variable and fixed-income securities, cash management and real estate investment funds (REITs) among others, enabling individuals and businesses to manage their finances and grow their money.</t>
  </si>
  <si>
    <t>XP Investimentos (NAS: XP)(Guilherme Benchimol)</t>
  </si>
  <si>
    <t>169026-04T</t>
  </si>
  <si>
    <t>Across Capital Partners(Rafael Costa), Advent International, Altimeter Capital Management, Andreessen Horowitz(Alastair Rampell), Baillie Gifford, Caffeinated Capital, Carlos Julio Ottati(Carlos Julio Ottati), Cercano Management(Rafael Costa), Citi Ventures, CPP Investments, D1 Capital Partners(Daniel Sundheim), DST Global, Fifth Wall(Brendan Wallace), Flight Deck Capital, GIC Private, London Technology Club, Manhattan Venture Partners, Monashees, QED Investors, Seek Ventures, Silver Lake, SoftBank Latin America Fund, Soros Fund Management, Sri Batchu(Sri Batchu), Summit Peak Investments, Tarsadia Capital, Tiger Global Management, Vulcan Capital Management, Zach Frenkel(Zach Frenkel), Zigg Capital</t>
  </si>
  <si>
    <t>175323-52T</t>
  </si>
  <si>
    <t>Yamo (Food Products)</t>
  </si>
  <si>
    <t>Producer of plant-based food products intended to improve the quality of life through healthiness. The company offers a variety of ice creams, popsicles, and milk that are rich in antioxidants, vitamins, and potassium which strengthens the immune system benefits the heart, and helps in digestion, enabling consumers to have lactose-free and vegan foods.</t>
  </si>
  <si>
    <t>Ricardo Rocha(Ricardo Rocha)</t>
  </si>
  <si>
    <t>174835-54T</t>
  </si>
  <si>
    <t>Yuca</t>
  </si>
  <si>
    <t>Operator of a co-living real estate platform intended to provide individual rooms in shared apartments. The company offers renovated and furnished apartments with flexible contracts and also provides repair and maintenance facilities, enabling customers to live in apartments as per their choice.</t>
  </si>
  <si>
    <t>Endeavor Promessas, First Check Ventures, Gaingels, Interlude Capital, JAWS Estates Capital, Kube VC, Monashees, Norte Ventures, ONEVC, Terracotta Ventures, Tishman Speyer Properties</t>
  </si>
  <si>
    <t>175282-48T</t>
  </si>
  <si>
    <t>Indicator Capital(Derek Bittar), Telefónica Ventures</t>
  </si>
  <si>
    <t>180037-54T</t>
  </si>
  <si>
    <t>Fernando Martinelli(Fernando Martinelli), Gabriel Dizon(Gabriel Dizon), Guilherme Weege(Guilherme Weege), Harvard Business School, Howard Peng, Kenetic Capital, Redpoint eventures, Synthase Impact Ventures, Valor Capital Group, Verve Capital, Wesley Almeida(Wesley Almeida), Yuan Li(Yuan Li)</t>
  </si>
  <si>
    <t>212176-72T</t>
  </si>
  <si>
    <t>Companhia De Eletricidade Do Amapá</t>
  </si>
  <si>
    <t>Operator of an electricity distribution agency catering to residential, commercial, industrial, rural, and workspace. The company specializes in electricity distribution, lighting installation and expansion of electric energy social tariffs.</t>
  </si>
  <si>
    <t>175249-99T</t>
  </si>
  <si>
    <t>ConectCar Soluções de Mobilidade Eletrônica</t>
  </si>
  <si>
    <t>Provider of electronic toll payment services catering to toll booths and parking lots. The company offers intermediation services for automatic payment of highway tolls, fuel, and parking lot tariffs, thereby helping customers save time while paying toll and parking expenses.</t>
  </si>
  <si>
    <t>Ipiranga</t>
  </si>
  <si>
    <t>294594-04T</t>
  </si>
  <si>
    <t>Artesian Venture Partners, Brinc (Hong Kong)</t>
  </si>
  <si>
    <t>215317-72T</t>
  </si>
  <si>
    <t>Darwin Startups, Raio Capital</t>
  </si>
  <si>
    <t>199435-60T</t>
  </si>
  <si>
    <t>Operator of an integrated alternative assets platform focused on servicing distressed assets. The company specializes in the origination, acquisition and recovery of non-performing loans, distressed real estate properties, legal claims and other assets, thereby helping the private and public sectors in the search, pricing and recovery of distressed assets.</t>
  </si>
  <si>
    <t>175250-17T</t>
  </si>
  <si>
    <t>Mogiana Alimentos</t>
  </si>
  <si>
    <t>Producer and retailer of pet food products catering to cats and dogs. The company offers flavored pet food products with nutrients and protein for cats and dogs in caned as well as uncanned packaging, helping customers maintain their pet health.</t>
  </si>
  <si>
    <t>212370-58T</t>
  </si>
  <si>
    <t>Valore Elbrus</t>
  </si>
  <si>
    <t>Provider of investment advisory services intended to serve individual and corporate clients across Brazil. The company specializes in portfolio management, tailored financial strategies and access to diverse investment products, thereby helping clients achieve their financial goals efficiently.</t>
  </si>
  <si>
    <t>232359-76T</t>
  </si>
  <si>
    <t>224281-90T</t>
  </si>
  <si>
    <t>Gtis Brazil Logistics Fundo DE Investimento Imobiliario - FII (BVMF: GTLG11)</t>
  </si>
  <si>
    <t>Gtis Brazil Logistics Fundo DE Investimento Imobiliario - FII is a real estate investment trust. Its objective is to provide income to Quotaholders, through the investment of at least 2/3 of the Fund's net equity, directly or indirectly in real estate developments in the logistics segment built for income generation purposes.</t>
  </si>
  <si>
    <t>268625-71T</t>
  </si>
  <si>
    <t>Was mit Medien</t>
  </si>
  <si>
    <t>Operator of a media platform intended to offer a podcast and community for the minds behind the media revolution. The company aims at all aspects of media and offers insights into the latest developments, from podcasts to commentary and contact options, enabling listeners to access broadcasts and programs and find everything they need to know about the media landscape.</t>
  </si>
  <si>
    <t>Media Lab Bayern</t>
  </si>
  <si>
    <t>Social Content</t>
  </si>
  <si>
    <t>135159-49T</t>
  </si>
  <si>
    <t>Hyperlocal (Sao Paulo)</t>
  </si>
  <si>
    <t>Developer of scheduling and payment management software designed to assist entrepreneurs in growing their businesses. The company's platform offers electronic payment services, online payment, and reservations and helps maintain clients on social networks, enabling customers to receive a convenient way to save time during services.</t>
  </si>
  <si>
    <t>Allievo Capital, SoftBank Latin America Fund</t>
  </si>
  <si>
    <t>177082-84T</t>
  </si>
  <si>
    <t>Prana Capital(Bruno Peroni), StaminaVC(Natan Sztamfater), Thiago Bacchin(Thiago Bacchin)</t>
  </si>
  <si>
    <t>174927-07T</t>
  </si>
  <si>
    <t>International Finance (Washington D.C.), QED Investors(Mike Packer), SoftBank Latin America Fund, Valor Capital Group</t>
  </si>
  <si>
    <t>177594-49T</t>
  </si>
  <si>
    <t>Thinkseg Seguradora</t>
  </si>
  <si>
    <t>Operator of an insurance platform intended to provide transparency in the insurance ecosystem. The company's platform leverages data to provide the most cost-effective auto insurance plans and a variety of plans by paying a monthly subscription amount, enabling the insurance industry to increase clarity, efficiency, and scalability to the entire insurance sales and distribution cycle.</t>
  </si>
  <si>
    <t>214720-48T</t>
  </si>
  <si>
    <t>Alibra Ingredientes</t>
  </si>
  <si>
    <t>Producer of dairy and non-dairy products intended for the food service and retail markets. The company is engaged in producing products including powdered food mixes, milk and whipped cream, dairy compounds, flour, and cereals.</t>
  </si>
  <si>
    <t>Axxon Group(Pedro Henrique Cervatti), Spectra Investments</t>
  </si>
  <si>
    <t>175102-21T</t>
  </si>
  <si>
    <t>Autoforce</t>
  </si>
  <si>
    <t>Developer of a dealer-centric car-selling platform designed for digital marketing and online sales of vehicles for dealerships, and automakers. The company's platform offers technological digital marketing to professionals specialized in the automotive sector and allows dealers to receive qualified, specific orders for vehicles, enabling dealers to improve product presentation and consumer shopping experience.</t>
  </si>
  <si>
    <t>BR Angels(Orlando Cintra), GVAngels(Wlado Teixeira)</t>
  </si>
  <si>
    <t>140536-99T</t>
  </si>
  <si>
    <t>A.B.Seed Ventures, Big Bets, Bossa Invest, BRL Trust, Diego Gomes(Diego Gomes), DOMO.VC, Eduardo Glitz, Fabrice Grinda(Fabrice Grinda), FJ Labs, Gustavo Souza(Gustavo Souza), Marcelo Maisonnave(Marcelo Maisonnave), Mauricio Kigiela(Mauricio Kigiela), Michael Sidgmore(Michael Sidgmore), Pedro Englert(Pedro Englert), Quartz (Brazil), Tribe Capital, Y Combinator</t>
  </si>
  <si>
    <t>187971-76T</t>
  </si>
  <si>
    <t>Duna Energia</t>
  </si>
  <si>
    <t>Operator of oil fields holding company based in Rio de Janeiro, Brazil.</t>
  </si>
  <si>
    <t>174874-69T</t>
  </si>
  <si>
    <t>196527-43T</t>
  </si>
  <si>
    <t>UniAmérica Descomplica University Center</t>
  </si>
  <si>
    <t>Provider of education services intended to create transformative learning for students, teachers, collaborators and members of society can experience meaningful and transformative learning in their lives. The company offers courses including management, agronomy, accounting sciences, food engineering, biomedicine and biological sciences as well as pharmacy, physiotherapy and architecture.</t>
  </si>
  <si>
    <t>Descomplica(Marco Fishben)</t>
  </si>
  <si>
    <t>251094-07T</t>
  </si>
  <si>
    <t>Yuca Fdo Inv Imob (BVMF: YUFI11)</t>
  </si>
  <si>
    <t>Yuca Fdo Inv Imob is to obtain income and capital gains to be obtained through the exploration of residential real estate projects, through leasing, leasing, or disposal.</t>
  </si>
  <si>
    <t>174972-97T</t>
  </si>
  <si>
    <t>Bradesco Saude, Fernando Steler(Fernando Steler), Inovabra Ventures</t>
  </si>
  <si>
    <t>210250-36T</t>
  </si>
  <si>
    <t>Cansei de Ser Gato</t>
  </si>
  <si>
    <t>Operator of offline and online pet store and pet content creator intended to provide cat products. The company provides cat-related content and operates an e-commerce platform for the sale of cat products.</t>
  </si>
  <si>
    <t>226909-54T</t>
  </si>
  <si>
    <t>Folio (Sao Paulo)</t>
  </si>
  <si>
    <t>Developer of a business management platform intended to help manage and grow the business. The company's system creates a custom profile so that customers and followers can access it wherever they are, sell digital services and products directly from their profile, and accept payments from customers by credit card securely, enabling users to develop their businesses and keep track of all the conversations with their customers.</t>
  </si>
  <si>
    <t>175716-91T</t>
  </si>
  <si>
    <t>Acurio Ventures, Big Sur Ventures, FJ Labs, J Ventures(John Nordin), Rise Capital</t>
  </si>
  <si>
    <t>212007-25T</t>
  </si>
  <si>
    <t>Investflex</t>
  </si>
  <si>
    <t>Operator of a trading platform intended for individual investors and Brokers. The company offers a comprehensive range of services including automatic execution of various algorithms, real-time strategy monitoring and integration with partner brokers, enabling investors to optimize their investment decisions and achieve better results.</t>
  </si>
  <si>
    <t>Órama(Habib Nascif)</t>
  </si>
  <si>
    <t>210276-46T</t>
  </si>
  <si>
    <t>Keno Loteria</t>
  </si>
  <si>
    <t>Operator of an online lottery game platform based in Belo Horizonte, Brazil. The company's platform specializes in providing real-time and online lottery games.</t>
  </si>
  <si>
    <t>Saga Consultoria</t>
  </si>
  <si>
    <t>174630-70T</t>
  </si>
  <si>
    <t>Veriza</t>
  </si>
  <si>
    <t>Developer of a financial lending platform designed to offer group microcredit to microentrepreneurs digitally. The company's platform helps people achieve their goals using new ways of granting credit, enabling micro and small entrepreneurs for simple and fast credit.</t>
  </si>
  <si>
    <t>174799-00T</t>
  </si>
  <si>
    <t>Convenix</t>
  </si>
  <si>
    <t>Operator of employee benefits platform intended to bring a larger flow of clients and with zero defaults. The company offers fully integrated and automated management tool for diverse segments that allow corporate purchases which help in generating savings and extended payment terms, enabling the company to provide a wider range of benefits to its employees, with total control and simplicity.</t>
  </si>
  <si>
    <t>Wiipo</t>
  </si>
  <si>
    <t>198873-10T</t>
  </si>
  <si>
    <t>HDI Seguros México, Plug and Play Tech Center, Redpoint eventures</t>
  </si>
  <si>
    <t>174646-72T</t>
  </si>
  <si>
    <t>LaPag</t>
  </si>
  <si>
    <t>Developer of beauty salon management software designed to bring efficiency to the beauty market. The company's software offers features such as payment services, customer scheduling, and inventory information, helping salon owners and beauty professionals with operational and tax efficiency through financial and tax engineering.</t>
  </si>
  <si>
    <t>Canary (Brazil), Jose Gallo(Jose Gallo), Monashees(Marcelo Lima), Renato Freitas(Renato Freitas), Spectra Investments</t>
  </si>
  <si>
    <t>212061-52T</t>
  </si>
  <si>
    <t>Plus Delivery</t>
  </si>
  <si>
    <t>Developer of an online food ordering platform delivering across Espírito Santo, Brazil. The company's platform helps users to track their orders live and get additional discounts on their orders, enabling users to order food online and get them delivered to their homes.</t>
  </si>
  <si>
    <t>Aiqfome</t>
  </si>
  <si>
    <t>289454-68T</t>
  </si>
  <si>
    <t>Eneva (BVMF: ENEV3)(Marcelo Habibe), GVAngels</t>
  </si>
  <si>
    <t>212370-76T</t>
  </si>
  <si>
    <t>Voltalia Energia do Brasil</t>
  </si>
  <si>
    <t>Provider of renewable energy solutions intended to provide the market with a global reach in sustainable solutions. The company offers specializes and offers services in solar, wind, water and biomass energy, thereby producing electricity from sustainable sources.</t>
  </si>
  <si>
    <t>279880-75T</t>
  </si>
  <si>
    <t>Treecorp Investimentos (BVMF: TCPF11)</t>
  </si>
  <si>
    <t>174739-60T</t>
  </si>
  <si>
    <t>Incontrol (Electronic Equipment and Instruments)</t>
  </si>
  <si>
    <t>Manufacturer of flow and level measurement control equipment and systems based in São Paulo, Brazil. The company offers magnetic and computer flow meters also offers ultrasound and turbine flow meter equipment and many other types of industrial process systems.</t>
  </si>
  <si>
    <t>InverGroup(Henrique Costa)</t>
  </si>
  <si>
    <t>174907-99T</t>
  </si>
  <si>
    <t>Milfra Soluções Milimétricas</t>
  </si>
  <si>
    <t>Developer and manufacturer of plastic products in medicine applicators and dispensers intended for the pharmaceutical industry. The company offers a range of products dropper, drip Bung, covers, bung count drops, vaginal and rectal applicators and oral dosers, thereby enabling clients to maximize treatment efficacy for patients.</t>
  </si>
  <si>
    <t>Astorg, ATP Private Equity Partners, Montagu Private Equity(Sylvian Berger-Duquene), Nemera(Marc Hämel)</t>
  </si>
  <si>
    <t>Medical Supplies</t>
  </si>
  <si>
    <t>241910-11T</t>
  </si>
  <si>
    <t>272352-34T</t>
  </si>
  <si>
    <t>209455-57T</t>
  </si>
  <si>
    <t>Confepar Agro-Industrial</t>
  </si>
  <si>
    <t>Manufacturer of dairy products based in Londrina, Paraná. The company's products include pasteurized milk, powdered milk, butter, yogurt and dairy drinks.</t>
  </si>
  <si>
    <t>Groupe Lactalis</t>
  </si>
  <si>
    <t>175298-50T</t>
  </si>
  <si>
    <t>Consorciei</t>
  </si>
  <si>
    <t>Operator of a fintech platform intended for people to sell consortiums safely and efficiently. The company combines technology, financial innovation and expertise to provide financial services to its clients without the need to wait until the end of the contemplation to get access to the money, enabling users to manage their finances efficiently to achieve their goals.</t>
  </si>
  <si>
    <t>Kamaroopin, Lupa Capital, Tarpon Capital, Tera Capital</t>
  </si>
  <si>
    <t>251374-69T</t>
  </si>
  <si>
    <t>Hectare Recebiveis High (BVMF: HCHG11)</t>
  </si>
  <si>
    <t>Hectare Recebiveis High GraDE Fundo DE Investimento Imobiliario - FII is a real estate fund that seeks to provide shareholders with the appreciation and profitability of their Shares in the long term, through investments in real estate assets, earning income and capital gains from them.</t>
  </si>
  <si>
    <t>168943-06T</t>
  </si>
  <si>
    <t>Just Fit</t>
  </si>
  <si>
    <t>Operator of a chain of gymnasiums in Brazil. The company offers physical training facilities and modern equipment at attractive prices, enabling customers to achieve a better and healthier life.</t>
  </si>
  <si>
    <t>212149-72T</t>
  </si>
  <si>
    <t>CM3 Amidos</t>
  </si>
  <si>
    <t>Producer of regular and modified starches catering to the bakery and sausage industries.</t>
  </si>
  <si>
    <t>GTFoods(Rafael Tortola)</t>
  </si>
  <si>
    <t>174383-29T</t>
  </si>
  <si>
    <t>Advent International(Brenno Raiko)</t>
  </si>
  <si>
    <t>140538-43T</t>
  </si>
  <si>
    <t>Bossa Invest, DOMO.VC, G2 Capital, OutField Capital</t>
  </si>
  <si>
    <t>174501-28T</t>
  </si>
  <si>
    <t>Werise (Brazil)</t>
  </si>
  <si>
    <t>Provider of salesforce marketing, sales and cloud services intended to expand marketing and sales capacity through technology. The company develops and implements innovative solutions with automation, intelligent processes and optimized routines in a complete outsourcing model, helping startups to scale and streamline business processes.</t>
  </si>
  <si>
    <t>Delta-v Capital(Rand Lewis), OSF Digital(Gerard Szatvanyi), Salesforce Ventures, True Blue Partners</t>
  </si>
  <si>
    <t>178163-11T</t>
  </si>
  <si>
    <t>Imaginable Futures Services(Pierre Omidyar), MSW Capital(Moises Swirski), Potencia Ventures</t>
  </si>
  <si>
    <t>212166-19T</t>
  </si>
  <si>
    <t>Enfoque</t>
  </si>
  <si>
    <t>Provider of financial market analysis services intended to serve B2B and B2C audiences. The company offers quotes, charts, news, calculations, balance sheets, analysis and order routing through systems and resources application, thereby offering real-time decision-making support tools.</t>
  </si>
  <si>
    <t>Avivatec(Marcelo Modesto)</t>
  </si>
  <si>
    <t>294384-07T</t>
  </si>
  <si>
    <t>TheVentureCity</t>
  </si>
  <si>
    <t>215453-98T</t>
  </si>
  <si>
    <t>Green Next</t>
  </si>
  <si>
    <t>Developer of a water resources automation platform intended to generate savings on the farm by increasing crop productivity. The company's platform monitors information, cost, and production efficiency through remote sensing in irrigation, enabling rural producers and clients to make data-driven decisions.</t>
  </si>
  <si>
    <t>215431-03T</t>
  </si>
  <si>
    <t>OvinoPro</t>
  </si>
  <si>
    <t>Developer of a sheep farming platform designed to monitor reports and the health of animals. The company's platform offers management sequence, reproduction, and batch formation for ship farming, enabling farmers to compile the data and easily visualize and analyze the history of the animals.</t>
  </si>
  <si>
    <t>199419-67T</t>
  </si>
  <si>
    <t>Perfin Wealth Management</t>
  </si>
  <si>
    <t>Operator of an independent investment company based intended for clients across Brazil. The company offers financial planning, investment management, portfolio management, tax advisory, and fiduciary services, helping clients with analysis, risk control and compliance.</t>
  </si>
  <si>
    <t>BTG Pactual (BVMF: BPAC3)(Andre Esteves)</t>
  </si>
  <si>
    <t>189685-36T</t>
  </si>
  <si>
    <t>Veg Capital(Matthew Glover)</t>
  </si>
  <si>
    <t>175247-65T</t>
  </si>
  <si>
    <t>Suri by Chatbot Maker</t>
  </si>
  <si>
    <t>Developer of a digital communication platform designed to automate and manage chat channels. The company uses artificial intelligence to facilitate conversation, analyze the performance of the service team through integrated data, and identify points of improvement as well as restore repetitive and routine demands, enabling clients to focus, connect, and grow their customer base.</t>
  </si>
  <si>
    <t>215547-85T</t>
  </si>
  <si>
    <t>Teamhub (Business/Productivity Software)</t>
  </si>
  <si>
    <t>Operator of a culture diagnosis and management platform intended to generate insights to develop strategic actions in the business. The company's platform simplifies organizational culture management through a dynamic, interactive, and accessible process by mapping the company's culture and correlating it with the desired culture, enabling companies to achieve the strategic objectives of their business.</t>
  </si>
  <si>
    <t>Anjos do Brasil, Nu Holdings (NYS: NU)</t>
  </si>
  <si>
    <t>177110-29T</t>
  </si>
  <si>
    <t>Developer of online payroll interface designed to facilitate access to financial products and loans. The company's platform acts as a banking correspondent to provide intermediation and negotiation assistance with anti-fraud technology, enabling retired pensioners, and federal and state servants to procure payroll loans, digitally.</t>
  </si>
  <si>
    <t>174717-01T</t>
  </si>
  <si>
    <t>Resilia</t>
  </si>
  <si>
    <t>Operator of an ed-tech platform intended for providing the necessary training and knowledge. The company's platform provides technical and behavioral skills through courses regarding leadership immersion, intensive training, and onboarding, enabling companies to train their people efficiently.</t>
  </si>
  <si>
    <t>Benjamin Gleason(Benjamin Gleason), Carlos Furlan(Carlos Furlan), Gera Venture Capital, Lupa Capital, Marcelo Sampaio(Marcelo Sampaio), Marisqueira Ventures, Thiago Alvarez(Thiago Alvarez), Vista Equity Partners, VTEX (NYS: VTEX), XP Investimentos (NAS: XP)</t>
  </si>
  <si>
    <t>178211-26T</t>
  </si>
  <si>
    <t>Aliya Capital Partners, Shift Capital (São Paulo)</t>
  </si>
  <si>
    <t>190106-38T</t>
  </si>
  <si>
    <t>BAW Clothing</t>
  </si>
  <si>
    <t>Operator of a street-style clothing brand intended to cater the Generation Z customers. The company offers modeling, sewing, industrialization and trade of clothing, footwear, bags, accessories and apparel, thereby enabling its customers to experience the trend in fashion, music and pop culture.</t>
  </si>
  <si>
    <t>206054-92T</t>
  </si>
  <si>
    <t>Bioren</t>
  </si>
  <si>
    <t>Developer of an eco-friendly technology designed to combat biofouling through electromagnetic fields. The company offers an alternative that mitigates greenhouse emissions with no biocides or invasive sound, reduces costs significantly, and promotes care for marine life, enabling the marine industry to operate sustainably.</t>
  </si>
  <si>
    <t>Lorinvest(Christian Lorentzen)</t>
  </si>
  <si>
    <t>175317-58T</t>
  </si>
  <si>
    <t>Fanáticos Por Futebol</t>
  </si>
  <si>
    <t>Publisher of news and information related to football based in Barueri, Brazil. The company specializes in news and updates on the transfer of players, football matches, leagues and tournaments, match reviews and other related reports, thereby keeping the fans updated on the latest information in the football fraternity.</t>
  </si>
  <si>
    <t>Futbol Sites(Federico Grinberg)</t>
  </si>
  <si>
    <t>251367-94T</t>
  </si>
  <si>
    <t>Hsi Ativos Financeiros Fundos Investimentos Imoliarios (BVMF: HSAF11)</t>
  </si>
  <si>
    <t>Hsi Ativos Financeiros Fundos Investimentos Imoliarios aims to obtain income and capital gains, through investment, in certificates of real estate receivables.</t>
  </si>
  <si>
    <t>174271-24T</t>
  </si>
  <si>
    <t>174203-20T</t>
  </si>
  <si>
    <t>Belden Poliron Cabos Elétricos Especiais</t>
  </si>
  <si>
    <t>Manufacturer of networking and connectivity products catering to petrochemical, chemical, oil platforms, pulp mills and naval platforms in the Brazilian market. The company offers shielded as well as unshielded irrigation, instrumentation, much control, data bus, ethernet, much flex, navel, thermocouple and frequency inverter cables, helping clients with their secure transmission needs</t>
  </si>
  <si>
    <t>Yangtze Optical Fibre &amp; Cable (HKG: 06869)(Zhuang Dan)</t>
  </si>
  <si>
    <t>174119-86T</t>
  </si>
  <si>
    <t>Buser Brasil Tecnologia</t>
  </si>
  <si>
    <t>Operator of a bus charter marketplace intended to revolutionize the way people travel by bus in Brazil. The company's marketplace offers a platform where travelers can meet other people interested in the same journey and rather than buying individual tickets from regular liners they will join together and charter a bus for their trip, enabling travelers to save money on their trips.</t>
  </si>
  <si>
    <t>Canary (Brazil), Globo Ventures, Iporanga Ventures, Lightrock(Marcos Pereira), Monashees, Norte Ventures, SoftBank Latin America Fund, Valor Capital Group</t>
  </si>
  <si>
    <t>192353-95T</t>
  </si>
  <si>
    <t>Camerite</t>
  </si>
  <si>
    <t>Developer of a video surveillance platform designed to enhance urban safety. The company's platform utilizes artificial intelligence for real-time analysis, cloud-based storage eliminating infrastructure expenses, customizable interfaces for seamless integration, and collaborative tools for shared monitoring, enabling organizations to deploy intelligent, efficient, and scalable oversight.</t>
  </si>
  <si>
    <t>Endeavor Promessas, Microsoft (NAS: MSFT), Zaphir Asset Management</t>
  </si>
  <si>
    <t>174963-79T</t>
  </si>
  <si>
    <t>Capitânia Investimentos</t>
  </si>
  <si>
    <t>Provider of investment management and advisory firm specialized in private and real estate credit. The company manages fixed income, asset-backed, credit and real estate funds, provides corporate finance and risk management advisory services and has investment funds, different individual investors and institutional investors under its management.</t>
  </si>
  <si>
    <t>XP Investimentos (NAS: XP)(Gustavo Reis)</t>
  </si>
  <si>
    <t>235930-87T</t>
  </si>
  <si>
    <t>Floresta Produes</t>
  </si>
  <si>
    <t>Operator of a television content production company based in Sao Paulo, Brazil. The company's catalog includes several genres and stands out for long-running series along with live awards.</t>
  </si>
  <si>
    <t>Sony Pictures Television</t>
  </si>
  <si>
    <t>183737-53T</t>
  </si>
  <si>
    <t>The Men's</t>
  </si>
  <si>
    <t>Manufacturer of hair and body care products intended for men to solve issues related to health and well-being. The company platform connects users with licensed physicians for tailored teleconsultations, addressing a range of health, grooming, and wellness needs with prescription medications, over-the-counter solutions, and premium care products, enabling men to manage their health and confidence proactively</t>
  </si>
  <si>
    <t>Adventures (Business/Productivity Software), Eurofarma Laboratorios (BVMF: EUFA3), MIT Alumni Angels of Boston, Neuron Ventures(Helton Carvalho)</t>
  </si>
  <si>
    <t>174485-98T</t>
  </si>
  <si>
    <t>Btomorrow Ventures(Lisa Smith), Capital Lab Ventures, Invest Tech</t>
  </si>
  <si>
    <t>170963-47T</t>
  </si>
  <si>
    <t>Bling (Business/Productivity Software)</t>
  </si>
  <si>
    <t>Developer of an enterprise management system designed to simplify business management with an easy-to-use system. The company's system comprises several tools that provide total control over sales, finance, inventory, products, customers, orders, salesperson commissions, and more, enabling entrepreneurs to organize the management of their business with security, ease, agility, and efficiency.</t>
  </si>
  <si>
    <t>174466-90T</t>
  </si>
  <si>
    <t>Pagcerto</t>
  </si>
  <si>
    <t>Developer of a payment facilitator platform intended to manage and receive payments. The company offers payment and invoice factoring tools such as collecting charges, moving money and completing documentation services.</t>
  </si>
  <si>
    <t>184471-66T</t>
  </si>
  <si>
    <t>Dash Investment Foundation</t>
  </si>
  <si>
    <t>210086-47T</t>
  </si>
  <si>
    <t>Bit55</t>
  </si>
  <si>
    <t>Operator of credit and debit card platform in the cloud-based Sao Paulo, Brazil. The company offers a seamless and secure transaction processing service, ensuring efficient and reliable payment solutions for businesses.</t>
  </si>
  <si>
    <t>211950-01T</t>
  </si>
  <si>
    <t>Frosinet</t>
  </si>
  <si>
    <t>Provider of internet services in Abelardo Luz and region. The company offers possessing technology in telephony, internet via radio, website hosting, VPN services and fiber optics catering to residential and business customers.</t>
  </si>
  <si>
    <t>173989-09T</t>
  </si>
  <si>
    <t>Gluker</t>
  </si>
  <si>
    <t>Developer of an online networking platform intended to help startups find their co-founders and team members in the digital environment. The company's platform allows users to build a healthy network with experts and fellow entrepreneurs and gets access to mentorship, guidance on various matters, enabling aspiring entrepreneurs to start their respective businesses.</t>
  </si>
  <si>
    <t>174203-02T</t>
  </si>
  <si>
    <t>MAP Linhas Aéreas</t>
  </si>
  <si>
    <t>Operator of a regional aviation company intended to create and improve mobility within Brazil. The company offers air travel services to its customers in northern Brazil with flight routes to regional destinations and São Paulo's Congonhas Airport.</t>
  </si>
  <si>
    <t>GOL Linhas Aereas(Paulo Sergio Kakinoff)</t>
  </si>
  <si>
    <t>192952-90T</t>
  </si>
  <si>
    <t>171605-98T</t>
  </si>
  <si>
    <t>Bossa Invest, DOMO.VC(Franco Pontillo), HARDS, Urca Angels</t>
  </si>
  <si>
    <t>179950-33T</t>
  </si>
  <si>
    <t>232685-38T</t>
  </si>
  <si>
    <t>Giant Steps Capital</t>
  </si>
  <si>
    <t>Provider of financial services based in Sao Paulo, Brazil. The company offers asset management, quantitative funds, fundo de Investimentos, and fundo multimercado and other related services.</t>
  </si>
  <si>
    <t>199060-66T</t>
  </si>
  <si>
    <t>173958-76T</t>
  </si>
  <si>
    <t>UOL EdTech</t>
  </si>
  <si>
    <t>Operator of an education technology company intended to serve companies, universities, and students. The company offers customized e-learning courses, off-the-shelf content, an LMS platform, and corporate social networks, enabling clients to transform the way they learn and teach.</t>
  </si>
  <si>
    <t>SoftBank Latin America Fund(Paulo Passoni), Volpe Capital(Andre Maciel)</t>
  </si>
  <si>
    <t>173888-65T</t>
  </si>
  <si>
    <t>WEEL ( Financial Software)</t>
  </si>
  <si>
    <t>Developer of an online financial management platform intended to assist businesses to manage their cash flows. The company's platform is automated and integrated with enterprise resource planning, tracks and manages cash flows, billing statements, record keeping and receives loans based on selling invoices, enabling merchants to manage their inventories, cash flows and generate revenues through financial management and accountancy automation.</t>
  </si>
  <si>
    <t>Banco BS2</t>
  </si>
  <si>
    <t>178162-93T</t>
  </si>
  <si>
    <t>Habitissimo (Brazilian Operations)</t>
  </si>
  <si>
    <t>Operator of an online portal intended to connect supply and demand in the construction, renovation and domestic services sector. The company's portal allows private users to publish a free quote request so that up to four professionals can get an opportunity to contact to carry out works of works, renovations or services, thereby helping customers connect with professionals in their budget.</t>
  </si>
  <si>
    <t>Juntos Somos Mais(Antonio Serrano)</t>
  </si>
  <si>
    <t>173531-89T</t>
  </si>
  <si>
    <t>Sorovale</t>
  </si>
  <si>
    <t>Provider of benefits and payment solution services based in Sao Paulo, Brazil. The company offers management of employee benefits, and incentives thereby helping businesses in efficiently handling corporate expenses.</t>
  </si>
  <si>
    <t>Pluxee (PAR: PLX)(Marcos Binder)</t>
  </si>
  <si>
    <t>215072-74T</t>
  </si>
  <si>
    <t>173118-16T</t>
  </si>
  <si>
    <t>UNIFAEL</t>
  </si>
  <si>
    <t>Provider of distance learning education programs intended to offer quality training with an international standard. The company offers undergraduate, graduate and extension courses in management, physical education, engineering, logistics and science, preparing students for the job market, inculcating discipline, self-confidence and expertise to absorb all the knowledge they can and the competence to embark on a successful career.</t>
  </si>
  <si>
    <t>179725-42T</t>
  </si>
  <si>
    <t>Carlos Menezes(Carlos Menezes), DOMO.VC(Gabriel Vieira), OutField Capital(Pedro Oliveira)</t>
  </si>
  <si>
    <t>179062-84T</t>
  </si>
  <si>
    <t>174567-43T</t>
  </si>
  <si>
    <t>AgVentures, BluStone, Rendimento/ventures, SP Ventures(Alexandre Stephan)</t>
  </si>
  <si>
    <t>251576-83T</t>
  </si>
  <si>
    <t>Tordesilhas EI Fii (BVMF: TORD11)</t>
  </si>
  <si>
    <t>Tordesilhas Ei Fundo DE Investimento Imobiliario is a real estate investment trust.</t>
  </si>
  <si>
    <t>212370-85T</t>
  </si>
  <si>
    <t>Zillion Cybersecurity</t>
  </si>
  <si>
    <t>Provider of cybersecurity services intended to promote a safer digital world. The company specializes in secure communication, secure collaboration, digital compliance, security services, governance, risk and compliance consulting, thereby helping customers with cybersecurity solutions by keeping their data and digital footprint protected.</t>
  </si>
  <si>
    <t>225630-37T</t>
  </si>
  <si>
    <t>Cartier Women's Initiative</t>
  </si>
  <si>
    <t>222879-79T</t>
  </si>
  <si>
    <t>195839-92T</t>
  </si>
  <si>
    <t>Flatmatch</t>
  </si>
  <si>
    <t>Operator of a mobile application intended to provide a platform to find shared housing. The company's platform facilitates the entire shared living experience by connecting people to share an apartment, find home services, find a flatmate, expense divider, compare flats, and other related services, enabling users to browse the platform to find properties according to their preferences.</t>
  </si>
  <si>
    <t>172167-58T</t>
  </si>
  <si>
    <t>Gemini Investors, Lightspeed Venture Partners(Alexander Taussig), Monashees(Carlo Dapuzzo), Notable Capital(Hans Tung), SoftBank Latin America Fund, Tiger Global Management</t>
  </si>
  <si>
    <t>176480-83T</t>
  </si>
  <si>
    <t>Gran Tecnologia E Educação</t>
  </si>
  <si>
    <t>Developer of an online education platform designed to offer test preparation materials and classes. The company's platform is a web-based test preparation portal that focuses on public examinations and competitions by providing study programs, academic schedules, test materials and question banks, enabling students to access the required study material and prepare for the examination.</t>
  </si>
  <si>
    <t>187496-02T</t>
  </si>
  <si>
    <t>190912-24T</t>
  </si>
  <si>
    <t>Hospital da Bahia</t>
  </si>
  <si>
    <t>Operator of a multi-specialty hospital based in Salvador, Brazil. The hospital includes a medical center, diagnostic imaging center, laboratory medicine, thermodynamics center, urgent and emergency care unit, intensive care units, and inpatient units, thereby enabling patients with all types of medical care services.</t>
  </si>
  <si>
    <t>173332-36T</t>
  </si>
  <si>
    <t>Canary (Brazil)(Marcos Leite), Monashees, Norte Ventures, Notable Capital(Hans Tung), ONEVC, Peninsula Participacoes, Qualcomm Ventures, Venturance Alternative Assets</t>
  </si>
  <si>
    <t>165875-32T</t>
  </si>
  <si>
    <t>LinkApi</t>
  </si>
  <si>
    <t>Developer of all-in-one integration platform intended to combine API management, integration platform, and development tools. The company's platform is designed to facilitate and automate the entire integration process, besides offering an environment with complete freedom to build this integration, giving agility and security, enabling users to get access to an API Management to design and manage APIs with policies, authentication, releases, high performance and sharing on developer portals.</t>
  </si>
  <si>
    <t>178559-92T</t>
  </si>
  <si>
    <t>Liontech</t>
  </si>
  <si>
    <t>Developer of a financial technology platform intended to help in income tax calculations simply and quickly. The company's platform offers a service for equity investors to fulfill their tax obligations in a simple, fast, and independent way, and allows the calculation of monthly income tax levied on transactions in variable income markets, with control of the balances of the corresponding assets, enabling clients to understand their tax obligations and make informed decisions.</t>
  </si>
  <si>
    <t>Bossa Invest, Theo Braga(Theo Braga)</t>
  </si>
  <si>
    <t>178536-43T</t>
  </si>
  <si>
    <t>174335-05T</t>
  </si>
  <si>
    <t>MC1 Tecnologia</t>
  </si>
  <si>
    <t>Developer of a sales and supply chain platform intended to promote business process automation and sales intelligence. The company develops applications that provide real-time solutions for route optimization, vehicle loading for faster route preparation, sending updated information about sales to the back office, offline electronic invoice issuance and many other such situations, enabling the sales force and trade marketing team to increase their productivity in the field operations and reduce cost.</t>
  </si>
  <si>
    <t>Quartz (Brazil)</t>
  </si>
  <si>
    <t>178563-97T</t>
  </si>
  <si>
    <t>178559-11T</t>
  </si>
  <si>
    <t>Moonwalk (Application Software)</t>
  </si>
  <si>
    <t>Developer of a technology platform designed to empower local businesses. The company offers user-friendly tools and resources, enabling businesses of all sizes to leverage technology and enhance their customer relationships.</t>
  </si>
  <si>
    <t>Bossa Invest, Grupo Primo</t>
  </si>
  <si>
    <t>190576-09T</t>
  </si>
  <si>
    <t>Fernando Meirelles(Fernando Meirelles)</t>
  </si>
  <si>
    <t>210636-82T</t>
  </si>
  <si>
    <t>OnePercent (Blockchain Platform)</t>
  </si>
  <si>
    <t>Operator of a blockchain platform intended to provide cryptocurrency and digital assets. The company's platform allows the creation of digital assets, including non-fungible tokens (NFTs) from a blockchain platform, enabling clients to trade NFTs and similar assets.</t>
  </si>
  <si>
    <t>MOSS (Environmental Services)(Luis Adaime)</t>
  </si>
  <si>
    <t>278331-76T</t>
  </si>
  <si>
    <t>Openbox.ai</t>
  </si>
  <si>
    <t>Developer of an online platform designed to strengthen the financial management of enterprises. The company's platform influences the market to understand the value that sustainability brings to the business, helping companies in need of capital and developing the country's economy sustainably.</t>
  </si>
  <si>
    <t>AI Venture Labs</t>
  </si>
  <si>
    <t>227042-74T</t>
  </si>
  <si>
    <t>Papapa</t>
  </si>
  <si>
    <t>Producer of organic baby food products intended to offer healthy meal options for babies. The company offers a variety of food items like baby food, teething biscuits, vegetable sticks, cereal, pasta, fruit juices, and a wide selection of organic and natural baby food products, recipes, and meal-planning tools, enabling parents to easily and confidently provide their babies with the healthy food they need.</t>
  </si>
  <si>
    <t>Alphonse Voigt(Alphonse Voigt), Antonio Maganhotte(Antonio Maganhotte)</t>
  </si>
  <si>
    <t>167534-92T</t>
  </si>
  <si>
    <t>Prosoft (Financial Software)</t>
  </si>
  <si>
    <t>Provider of software services intended for tax and accounting firms. The company primarily focuses on providing tax, accounting, payroll, document management and filing software services in Sao Paulo, Brazil.</t>
  </si>
  <si>
    <t>Alterdata Tecnologia em Informática(Ladmir Carvalho)</t>
  </si>
  <si>
    <t>176660-38T</t>
  </si>
  <si>
    <t>Repassa (Specialty Retail)</t>
  </si>
  <si>
    <t>Operator of an online retail platform intended to help people to sell their used clothes. The company's platform helps users to sell their clothes ranging from t-shirts, shirts, vests, skirts, shoes and other related accessories, enabling users to get more value out of their aged clothing that is no longer used.</t>
  </si>
  <si>
    <t>Lojas Renner (BVMF: LREN3)</t>
  </si>
  <si>
    <t>278335-36T</t>
  </si>
  <si>
    <t>Smarters</t>
  </si>
  <si>
    <t>Developer of conversational agents and bots designed to make lives smarter. The company provides end-to-end understanding and design of the project and creation and evolution of agents, programmed to generate results for its partners and clients so they can focus on their business.</t>
  </si>
  <si>
    <t>201542-68T</t>
  </si>
  <si>
    <t>296866-36T</t>
  </si>
  <si>
    <t>212265-73T</t>
  </si>
  <si>
    <t>Green Rock (Brazil), TM3 Capital</t>
  </si>
  <si>
    <t>196959-61T</t>
  </si>
  <si>
    <t>Spectra Investments, Treecorp Investimentos (BVMF: TCPF11)</t>
  </si>
  <si>
    <t>181234-63T</t>
  </si>
  <si>
    <t>Zumpy</t>
  </si>
  <si>
    <t>Developer of logistics and delivery platform designed to facilitate urban mobility for e-commerce businesses. The company's platform connects drivers and passengers, optimizing routes for efficiency and safety and scalable delivery services with trained drivers to ensure fast and safe product delivery, enabling businesses to grow efficiently by traveling cost-effectively and sustainably through a collaborative and secure environment.</t>
  </si>
  <si>
    <t>173260-72T</t>
  </si>
  <si>
    <t>Iporanga Ventures</t>
  </si>
  <si>
    <t>174015-55T</t>
  </si>
  <si>
    <t>Vianuvem</t>
  </si>
  <si>
    <t>Provider of business process management service intended to provide autonomy for companies to modernize their operations. The company helps to track the progress of processes and generate customized reports &amp; search for processes or documents by previously registered indexers.</t>
  </si>
  <si>
    <t>251562-97T</t>
  </si>
  <si>
    <t>Vinci Imoveis Urbanos (BVMF: VIUR11)</t>
  </si>
  <si>
    <t>Vinci Imoveis Urbanos Fundo DE Investimento Imobiliario is a real estate investment trust.</t>
  </si>
  <si>
    <t>226395-37T</t>
  </si>
  <si>
    <t>Empiricus Research</t>
  </si>
  <si>
    <t>Operator of a publishing firm intended to serve the financial market. The company's research publications specialize in the field of wealth management, investment advisory and asset management with investment recommendations, thereby enabling clients to make better investment decisions.</t>
  </si>
  <si>
    <t>156181-87T</t>
  </si>
  <si>
    <t>Business School São Paulo</t>
  </si>
  <si>
    <t>Provider of educational services based in Sau Paolo, Brazil. The company provides business educational courses such as executive master of business administration and postgraduate studies as well as other free career-enhancing courses with classroom discussions with real-world situations and case studies.</t>
  </si>
  <si>
    <t>186111-01T</t>
  </si>
  <si>
    <t>CEDEPE Business School</t>
  </si>
  <si>
    <t>Operator of a business school based in Recife, Brazil. The business school is engaged in providing postgraduate courses, educational courses, training and certifications to entrepreneurs and executives as well as offers comfortable panoramic classrooms, a study and negotiation lounge, high-speed internet and an extensive digital research network for executive training, corporate events and networking expansion.</t>
  </si>
  <si>
    <t>186591-88T</t>
  </si>
  <si>
    <t>Centro Universitário IBMR</t>
  </si>
  <si>
    <t>Operator of an educational institution intended to offer business school and management education with a focus on research. The company offers educational services in training higher education professionals prepared for the needs and challenges of the labor market along with courses that anticipate market trends, creating new educational standards.</t>
  </si>
  <si>
    <t>279865-45T</t>
  </si>
  <si>
    <t>168023-62T</t>
  </si>
  <si>
    <t>CustomerX</t>
  </si>
  <si>
    <t>Developer of a customer relationship management software designed to ensure that businesses deliver success to customers, guiding them to achieve their goals with the product or service they have contracted. The company's platform offers a suite of tools for monitoring customer health scores, analyzing feedback, mapping customer journeys and automating processes to enhance client engagement and reduce churn and allows clients to import customers automatically at the close of the sale, count up and cross-sell, identify as well as quantify pending and overdue tickets, enabling clients to take active action to ensure success through a simple and objective interface.</t>
  </si>
  <si>
    <t>Bossa Invest, BR Angels, DOMO.VC(Franco Pontillo), EquityRio, G2 Capital</t>
  </si>
  <si>
    <t>186110-11T</t>
  </si>
  <si>
    <t>FADERGS</t>
  </si>
  <si>
    <t>Operator of an educational institute based in Porto Alegre, Brazil. The university offers a wide array of courses including accounting, business administration, economics, law and psychology.</t>
  </si>
  <si>
    <t>174411-91T</t>
  </si>
  <si>
    <t>Cassius Schymura(Cassius Schymura), Donax Participations, Fabio Sandoval Peixoto(Fabio Sandoval Peixoto), Valeria Camarero(Valeria Camarero), Valor Capital Group(Carlos Costa)</t>
  </si>
  <si>
    <t>188560-90T</t>
  </si>
  <si>
    <t>Lady Banoffee</t>
  </si>
  <si>
    <t>Producer of bakery products intended to offer desserts through retail and online channels. The company offers cakes, pies, cup desserts, and milkshakes which are available in stores and also be ordered online through the application, enabling customers to have all types of desserts anytime they want under one roof.</t>
  </si>
  <si>
    <t>224235-64T</t>
  </si>
  <si>
    <t>Markel (Re-insurance Operation Business)</t>
  </si>
  <si>
    <t>Provider of re-insurance services based in Brazil.</t>
  </si>
  <si>
    <t>Austral Participações, International Finance (Washington D.C.)(Hector Ang), Spectra Investments, Vinci Compass Investments (NAS: VINP)</t>
  </si>
  <si>
    <t>261199-63T</t>
  </si>
  <si>
    <t>Superpão</t>
  </si>
  <si>
    <t>Operator of retail business intended to provide a range of canned foods and dry goods. The company offers healthy frozen chickens, president mozzarella, smirnoff vodka, Heinz mayonnaise, corn breakfast, different type of beverages, liquid detergent, washing powder, enabling customers to give all home products in one place.</t>
  </si>
  <si>
    <t>186136-12T</t>
  </si>
  <si>
    <t>Universidade Anhembi Morumbi</t>
  </si>
  <si>
    <t>Operator of an educational institution, based in São Paulo, Brazil. The company offers undergraduate, graduate and postgraduate degree programs in business, advertising, tourism, hospitality, fashion, law, engineering and veterinary medicine.</t>
  </si>
  <si>
    <t>186112-00T</t>
  </si>
  <si>
    <t>Universidade Potiguar</t>
  </si>
  <si>
    <t>Operator of a private university based in Natal, Brazil. The company operates a network of higher education institutions offering undergraduate, face-to-face, postgraduate, master's and doctoral courses, in addition to distance education courses to students of different age groups.</t>
  </si>
  <si>
    <t>186113-35T</t>
  </si>
  <si>
    <t>Universidade Salvador</t>
  </si>
  <si>
    <t>Operator of a higher education institution based in Salvador, Brazil. The institution provides undergraduate and graduates programs in fields such as architecture, business, communication, computer science, design, engineering, health sciences and law.</t>
  </si>
  <si>
    <t>186097-96T</t>
  </si>
  <si>
    <t>University Center Ritter dos Reis</t>
  </si>
  <si>
    <t>Operator of an educational institution based in Porto Alegre, Brazil. The company is engaged in providing higher education and offers various undergraduate and postgraduate degrees and scholarship programs in different disciplines.</t>
  </si>
  <si>
    <t>206916-22T</t>
  </si>
  <si>
    <t>Apartio</t>
  </si>
  <si>
    <t>Provider of apartment rental services based in Sao Paulo, Brazil. The company offers apartments on rent near financial centers, tourist facilities and renowned restaurants for those who need to stay overnight with hotel facilities, enabling travelers to travel better and feel at home.</t>
  </si>
  <si>
    <t>Carpediem Homes</t>
  </si>
  <si>
    <t>221402-26T</t>
  </si>
  <si>
    <t>Blue Macaw</t>
  </si>
  <si>
    <t>Bluemacaw Credito Imobiliario Fundo DE Investimento Imobiliario is a real estate investment company. The company invests in established properties, pointing to a predictable cash flow with long-term capital appreciation through active and specialized real estate management, aiming at asset improvements.</t>
  </si>
  <si>
    <t>173008-63T</t>
  </si>
  <si>
    <t>Assaf Wand(Assaf Wand), Big Bets, Carlos Martin, David Vélez(David Vélez), Fritz Lanman(Fritz Lanman), Kaszek, Patrick Sigrist(Patrick Sigrist), Sergio Furio(Sergio Furio)</t>
  </si>
  <si>
    <t>173072-98T</t>
  </si>
  <si>
    <t>Redação Nota 1000</t>
  </si>
  <si>
    <t>Developer of an educational platform designed to develop the writing skills of students. The company's platform uses a structured analysis tool to offer detailed essay evaluations and uses machine learning algorithms and artificial intelligence technology, enabling students and teachers to improve essay writing and proofreading.</t>
  </si>
  <si>
    <t>173165-95T</t>
  </si>
  <si>
    <t>Universidade Unigranrio</t>
  </si>
  <si>
    <t>Operator of a post-secondary education institution intended to offer on-campus, undergraduate medical and health-related courses in Rio de Janeiro. The company's private institute offers specialized health sciences degrees, including medicine, dentistry and veterinary, alongside offering other degrees in management, finance, humanities and technology.</t>
  </si>
  <si>
    <t>172192-96T</t>
  </si>
  <si>
    <t>Canary (Brazil), Julian Tonioli(Julian Tonioli), Kiko Lumark(Kiko Lumark), Leonardo Pinho(Leonardo Pinho), Norte Ventures, Rodrigo Jorge(Rodrigo Jorge), Rodrigo Schmidt(Rodrigo Schmidt), Valutia, Wagner Elias(Wagner Elias)</t>
  </si>
  <si>
    <t>173033-11T</t>
  </si>
  <si>
    <t>172888-21T</t>
  </si>
  <si>
    <t>Adroit Robotics</t>
  </si>
  <si>
    <t>Developer of intelligent sensors and software technology designed for precision agriculture. The company's technology combines artificial intelligence and smart sensors and uses advanced diagnostics algorithms and forecasting models helping in continuous monitoring of the plant's life, enabling clients to optimize productivity and reduce costs.</t>
  </si>
  <si>
    <t>Antonio Meireles(Antonio Meireles), Felipe Cabalero(Felipe Cabalero), Marcelo Fragnan(Marcelo Fragnan), Marcelo Olivan(Marcelo Olivan), Pericles Pereira(Pericles Pereira)</t>
  </si>
  <si>
    <t>172888-30T</t>
  </si>
  <si>
    <t>211681-99T</t>
  </si>
  <si>
    <t>LATAM Airlines Group (Brazilian operation)</t>
  </si>
  <si>
    <t>Provider of aviation services intended to serve customers. The company provides transportation services through air.</t>
  </si>
  <si>
    <t>213229-09T</t>
  </si>
  <si>
    <t>NajaTelecom</t>
  </si>
  <si>
    <t>Provider of internet services intended to provide internet packages with affordable prices to the customers. The company offers services in internet, fixed telephony and cable TV with modern equipment and solutions for homes and businesses to the customers.</t>
  </si>
  <si>
    <t>213131-26T</t>
  </si>
  <si>
    <t>172799-47T</t>
  </si>
  <si>
    <t>Liga Escolar</t>
  </si>
  <si>
    <t>Provider of an e-sports-related educational platform intended to support educators by using games as a pedagogical basis. The company's platform provides educational content to support teachers and schools and offers continuous and free training to all teachers, enabling teachers and schools to make education attractive for the new generations.</t>
  </si>
  <si>
    <t>172782-91T</t>
  </si>
  <si>
    <t>Red Ventures, Ribbit Capital</t>
  </si>
  <si>
    <t>172791-46T</t>
  </si>
  <si>
    <t>Real Grana</t>
  </si>
  <si>
    <t>Developer of a financial simulation platform designed to simplify Brazilian users' entry into the investment market. The company's platform allows users to simulate investment strategies without financial risk, create and join collaborative rooms, invite friends to participate in shared simulations, and iteratively refine their approaches in a gamified environment, enabling individuals in Brazil to gain experience and confidence before engaging in actual investment activities.</t>
  </si>
  <si>
    <t>216428-23T</t>
  </si>
  <si>
    <t>Tegra Inc SA is a rest estate company. It is engaged in the residential real estate development, active in the medium and high-income segments in the regions of metropolitan areas of Sao Paulo.</t>
  </si>
  <si>
    <t>172921-96T</t>
  </si>
  <si>
    <t>A.B.Seed Ventures, Nizan Guanaes, Rendimento/ventures, SLC Ventures (Porto Alegre), SP Ventures(Alexandre Stephan)</t>
  </si>
  <si>
    <t>173011-24T</t>
  </si>
  <si>
    <t>AmBev (BVMF: ABEV3), VX Ventures</t>
  </si>
  <si>
    <t>226404-46T</t>
  </si>
  <si>
    <t>175985-29T</t>
  </si>
  <si>
    <t>Usadosbr</t>
  </si>
  <si>
    <t>Operator of an online automotive marketplace intended to assist with the sale of used vehicles. The company's platform enables owners to book an appointment for inspection, prices vehicles based on user's choice and uses data to determine which car would give the new owner the least trouble, enabling customers to sell their car in a secure and efficient manner.</t>
  </si>
  <si>
    <t>172682-38T</t>
  </si>
  <si>
    <t>Voltz Motors</t>
  </si>
  <si>
    <t>Manufacturer of two-wheeler electric vehicles intended to unlock urban mobility in a smart and conscious form. The company's electric vehicle distribution deals in the sale and rental services of new as well as used vehicles including accessories whilst also providing technical support via their mobile application, enabling users to have an alternative and environment-friendly mode of transport.</t>
  </si>
  <si>
    <t>Creditas Soluções Financeiras(Sergio Furio), Unreasonable Impact, UVC Investimentos</t>
  </si>
  <si>
    <t>172632-79T</t>
  </si>
  <si>
    <t>Apex Partners (Brazil)(Felipe Caroni)</t>
  </si>
  <si>
    <t>184600-99T</t>
  </si>
  <si>
    <t>172921-06T</t>
  </si>
  <si>
    <t>Construtora Tenda (BVMF: TEND3)</t>
  </si>
  <si>
    <t>Construtora Tenda SA is engaged in the performance of general construction works: the merger of property; the purchase and sale of properties; providing construction management services; intermediating the sale of consortium shares; and participation in other companies. Subsidiaries share the managerial, operating structures, and corporate costs. The SPEs are exclusively engaged in real estate operations and are linked to specific projects. The company focuses on affordable housing which allows it to pursue scale gains and continuous improvement. It has a single SKU for no-elevator buildings. It has two segments On-site and Off-site.</t>
  </si>
  <si>
    <t>Oceana Investimentos</t>
  </si>
  <si>
    <t>194455-54T</t>
  </si>
  <si>
    <t>172594-18T</t>
  </si>
  <si>
    <t>Bridge One, Bridge One (Warsaw)(Vinicius Portas), DOMO.VC(Rodrigo Borges), Empresa Paulista de Televisão, Rede Otica Bahia, Spectra Investments, StaminaVC</t>
  </si>
  <si>
    <t>213164-47T</t>
  </si>
  <si>
    <t>Construtor de Vendas</t>
  </si>
  <si>
    <t>Provider of real estate services based in Pinheiro, Brazil. The company provides various real estate services that handle customer relationship management for the selling and buying of property.</t>
  </si>
  <si>
    <t>171759-61T</t>
  </si>
  <si>
    <t>Hiperdados</t>
  </si>
  <si>
    <t>Developer of cloud-based real-estate software designed to enhance the profitability and efficiency of real estate development and civil construction companies. The company's software integrates data science and management activities across all phases of a real estate development cycle to improve project profitability, enabling developers and construction companies to make data-driven decisions throughout the entire development process, from land acquisition to project handover.</t>
  </si>
  <si>
    <t>172641-43T</t>
  </si>
  <si>
    <t>Manufacturer and retailer of apparel based in Araraquara, Brazil. The company designs and produces socks, underwear, women's lingerie, tops, t-shirts, and shorts for both men and women and retails them through multi-brand stores, franchises, and e-commerce websites all over the world.</t>
  </si>
  <si>
    <t>123762-34T</t>
  </si>
  <si>
    <t>Cloe (Educational Software)</t>
  </si>
  <si>
    <t>Operator of a learning platform designed to provide access to education. The company's platform specializes in producing tools with the help of students, teachers, schools, families, communities, and organizations as well as providing schools with a collaborative educational model, enabling schools and educators around the world to follow their path toward education and to guide and educate their students.</t>
  </si>
  <si>
    <t>Kaszek(Hernan Kazah), SoftBank Latin America Fund, Spectra Investments</t>
  </si>
  <si>
    <t>172453-87T</t>
  </si>
  <si>
    <t>Cognitivo.ai</t>
  </si>
  <si>
    <t>Developer of a data intelligence platform designed to help solve various business challenges. The company's platform leverages technology to provide services like data engineering, report automation, business insights, crawler development, fraud detection, data integration, NLP services and marketing campaigns, enabling clients to solve challenges and increase their profits.</t>
  </si>
  <si>
    <t>A&amp;M, Allievo Capital, Empiricus Research(Agapito Troina), Guilherme Queiroz(Guilherme Queiroz), Leonardo Machado(Leonardo Machado), Matheus Baldi(Matheus Baldi), Rodolfo Amstalden(Rodolfo Amstalden)</t>
  </si>
  <si>
    <t>192242-71T</t>
  </si>
  <si>
    <t>FII Mogno CRI High (BVMF: MGCR11)</t>
  </si>
  <si>
    <t>FII Mogno CRI High Grade is an independent investment manager. The fund is focused on the acquisition of real estate receivable certificates, aimed at high-grade structures, with an emphasis on composition of real guarantees and level of collateral. The fund invests both directly in CRIs and via quotas of receivables FIIs, expanding the space for capturing opportunities.</t>
  </si>
  <si>
    <t>223559-92T</t>
  </si>
  <si>
    <t>VIP BR Telecom</t>
  </si>
  <si>
    <t>Provider of a telecommunications service based in Mauá, Brazil. The company offers telecom, fiber optic and communications technology services.</t>
  </si>
  <si>
    <t>Alloha Fibra(Felipe Matsunaga)</t>
  </si>
  <si>
    <t>139114-00T</t>
  </si>
  <si>
    <t>Abalone Group, Absoluto Partners(Gustavo Hungria), Armyn Capital, Base10 Partners, Bedrock (Financial Services)(Geoff Lewis), Berkshire Hathaway (NYS: BRK.A), CPP Investments, Dragoneer Investment Group(Christian Jensen), FJ Labs, GHC Capital, GIC Private, Invesco (NYS: IVZ), Invus Opportunities, MSA Capital, Ribbit Capital(Meyer Malka), Rivercrest Global, Sands Capital, Sequoia Capital(Douglas Leone), SM Capital (San Marino), SoftBank Latin America Fund, Spectra Investments, Sunley House Capital Management, SVB Financial Group, Tarsadia Capital, TeleSoft Partners, Tencent Holdings (HKG: 00700), Tess Ventures, Verde Asset Management(Luis Stuhlberger), Whale Rock Capital Management, Yolo Investments</t>
  </si>
  <si>
    <t>181502-47T</t>
  </si>
  <si>
    <t>Interplayers Soluções Integradas(Arnaldo Sá Filho), KPTL</t>
  </si>
  <si>
    <t>224077-51T</t>
  </si>
  <si>
    <t>Firebolt Ventures</t>
  </si>
  <si>
    <t>172283-50T</t>
  </si>
  <si>
    <t>172480-60T</t>
  </si>
  <si>
    <t>172711-81T</t>
  </si>
  <si>
    <t>Supermassa do Brasil</t>
  </si>
  <si>
    <t>Manufacturer of mortar and related products catering to the civil construction sector. The company's offering includes basic mortars, adhesive mortars, technical mortars, grouting mortars, additions, waterproofing products, paints and complementing and cleaning products for post-construction residues based on cement on porcelain, marble and natural stones.</t>
  </si>
  <si>
    <t>Sika Group (SWX: SIKA)(Christoph Ganz)</t>
  </si>
  <si>
    <t>286389-82T</t>
  </si>
  <si>
    <t>Empresa de Transmissao Timoteo-Mesquita</t>
  </si>
  <si>
    <t>Provider of electric utilities services based in Brazil.</t>
  </si>
  <si>
    <t>TS Infraestrutura</t>
  </si>
  <si>
    <t>177086-44T</t>
  </si>
  <si>
    <t>Canary (Brazil)(Marcos Leite), Graph Ventures, Gustavo Caetano(Gustavo Caetano), Israel Salmen(Israel Salmen), Marcela Rezende(Marcela Rezende)</t>
  </si>
  <si>
    <t>254583-91T</t>
  </si>
  <si>
    <t>Manda Pro Financeiro</t>
  </si>
  <si>
    <t>Developer of a financial management system designed to offer accounting services to small businesses. The company's system takes over all financial operations, including issuing invoices and payments, sending information to the accountant, bank reconciliation and keeping track of all relevant information and reports, enabling companies to manage their financial routines easily by bringing together people, technology and security to take care of finances.</t>
  </si>
  <si>
    <t>Alexandre Rocha(Alexandre Rocha), Angelica NKyn(Angelica NKyn), Anjos do Brasil</t>
  </si>
  <si>
    <t>179881-75T</t>
  </si>
  <si>
    <t>AcNext Capital, Donato Ramos(Donato Ramos), Eduardo Chalita(Eduardo Chalita), Olivier Grinda(Olivier Grinda), Stephano Gabriel(Stephano Gabriel), Vasco Luce(Vasco Luce)</t>
  </si>
  <si>
    <t>209199-97T</t>
  </si>
  <si>
    <t>Base ERP</t>
  </si>
  <si>
    <t>Provider of cloud-based business management systems catering to small and medium enterprises. The company offers technologies in the field of sales, services, production, purchasing, finance, and accounting, thereby simplifying business management at a lower cost.</t>
  </si>
  <si>
    <t>182692-90T</t>
  </si>
  <si>
    <t>Indigosoft</t>
  </si>
  <si>
    <t>Developer of technology platforms designed to focus on robotization and artificial Intelligence. The company's platforms provide bot multichannel, service dest digital facility, sales automation, virtual agent, digital bill system, consultancy, and many more services, enabling businesses to outsource information technology-related work.</t>
  </si>
  <si>
    <t>Bertha Capital(Arnaldo Faissol Mendes), ScalexOpen(João Pimentel)</t>
  </si>
  <si>
    <t>174466-27T</t>
  </si>
  <si>
    <t>Melhor Plano</t>
  </si>
  <si>
    <t>Developer of price comparison tools designed for services offered by third parties, such as telephone plans, broadband internet and pay television. The company offers a suite of services that include broadband internet, cellphone plans, cable television and residential internet combos, thereby helping customers choose the best plan and save money on their home bills.</t>
  </si>
  <si>
    <t>Meliuz (BVMF: CASH3)(Israel Salmen)</t>
  </si>
  <si>
    <t>180256-51T</t>
  </si>
  <si>
    <t>J2L Partners, Motiva Infraestrutura de Mobilidade (BVMF: MOTV3)</t>
  </si>
  <si>
    <t>213232-15T</t>
  </si>
  <si>
    <t>Rádio Itatiaia</t>
  </si>
  <si>
    <t>Operator of a radio station based in Belo Horizonte, Brazil. The company offers news and programs focused on journalism, sports, services and entertainment.</t>
  </si>
  <si>
    <t>186062-68T</t>
  </si>
  <si>
    <t>Complexo Educacional FMU</t>
  </si>
  <si>
    <t>Operator of an education university based in Sao Paulo, Brazil. The university provides higher education programs by creating new courses in different areas of knowledge, adopting new teaching technologies, training teachers, expanding laboratories and clinics reorganizing its administrative procedures and strengthening its ties with the community, thereby enabling the student to understand this process of transformation and to be an active participant in a changing world.</t>
  </si>
  <si>
    <t>172061-11T</t>
  </si>
  <si>
    <t>Alumni Ventures, Balaji Vijayan(Balaji Vijayan), Basecamp Fund, Better Tomorrow Ventures(Jacob Gibson), Burch Creative Capital, Clocktower Ventures, Daniel Simon(Daniel Simon), Gilgamesh Ventures, Jenny Johnston(Jenny Johnston), Joshua Abramowitz(Joshua Abramowitz), Karim Atiyeh(Karim Atiyeh), Magma Partners, Maya Capital (Brazil), Rally Cap VC, Sebastian Mejia(Sebastian Mejia), Tayo Oviosu(Tayo Oviosu), Udayan Pandey(Udayan Pandey), Village Global</t>
  </si>
  <si>
    <t>213229-99T</t>
  </si>
  <si>
    <t>172098-10T</t>
  </si>
  <si>
    <t>Promobit</t>
  </si>
  <si>
    <t>Developer of an online platform designed to aggregate deals and coupons. The company's platform combines promo codes and coupons from different platform thereby generating commission from the sales, enabling customers to enjoy the benefit of coupons and deals on their choice of platforms.</t>
  </si>
  <si>
    <t>176086-45T</t>
  </si>
  <si>
    <t>Clocktower Ventures, Gaingels, Goodwater Capital, Homebrew(Satya Patel), Mantis VC, Rebel Fund, Soma Capital, The Chainsmokers</t>
  </si>
  <si>
    <t>258855-40T</t>
  </si>
  <si>
    <t>Core360</t>
  </si>
  <si>
    <t>Developer of a health coaching platform designed to connect personal trainers. The company's platform allows access to coaching sessions through a virtual setup, with customized training plans, and free assessment sessions to understand needs and goals, providing users with personalized training and a healthy lifestyle.</t>
  </si>
  <si>
    <t>188567-65T</t>
  </si>
  <si>
    <t>171968-50T</t>
  </si>
  <si>
    <t>Sensedia</t>
  </si>
  <si>
    <t>Developer of an application programming interface (API) management platform intended to manage and expose APIs with more security, speed and engaging partners. The company's platform uses powerful data sources to offer services such as strategy, design and operation of APIs for enforcing security policies, control volume invocations, the developer portal to advertise the API and allow the onboarding partners to set up and engage developers and the analytics API panels for viewing and analysis of key indicators for the APIs, enabling companies to become digital, connected and open through a technology platform and expertise in APIs and microservices.</t>
  </si>
  <si>
    <t>Ricardo Normand(Ricardo Normand), Riverwood Capital(Francisco Alvarez-Demalde), Spectra Investments</t>
  </si>
  <si>
    <t>174467-80T</t>
  </si>
  <si>
    <t>Boa Supermercados</t>
  </si>
  <si>
    <t>Operator of the supermarket chain based in Jundiai, Sao Paulo. The company provides dairy products, groceries, meat and cold cuts, bakery products, personal care products and pet products to its customers.</t>
  </si>
  <si>
    <t>181255-33T</t>
  </si>
  <si>
    <t>Indicator Capital(Fabio Iunis de Paula), San Marino Ônibus e Implementos (BVMF: POMO3)(Joao Ledur), Telefónica Ventures</t>
  </si>
  <si>
    <t>172024-48T</t>
  </si>
  <si>
    <t>Hashdex</t>
  </si>
  <si>
    <t>Operator of a crypto asset management platform intended to bring crypto mainstream with secure products, key partnerships and crypto index ETF. The company's platform provides access to investment products with minimal management fees, daily subscriptions and redemptions, enabling investors to conveniently gain exposure to blockchain assets within compliant structures.</t>
  </si>
  <si>
    <t>Alexia Ventures, Canary (Brazil), Coinbase Ventures, Finality Capital Partners, Fuse Capital (Brazil), Globo Ventures, Graph Ventures, Igah Ventures, Norte Ventures, SoftBank Latin America Fund, Spectra Investments, Valor Capital Group(Scott Sobel)</t>
  </si>
  <si>
    <t>194459-23T</t>
  </si>
  <si>
    <t>Ana Ventura(Ana Ventura), Bossa Invest, Camila Gradim(Camila Gradim), Camila Santos(Camila Santos), Caroline Fiolli(Caroline Fiolli), FEA Angels, Gabi Sierra(Gabi Sierra), Nicolas Fraga(Nicolas Fraga), Poli Angels Group, Sophia Agnelli(Sophia Agnelli), Vinicius Tiseo(Vinicius Tiseo)</t>
  </si>
  <si>
    <t>224358-85T</t>
  </si>
  <si>
    <t>171905-23T</t>
  </si>
  <si>
    <t>178345-18T</t>
  </si>
  <si>
    <t>Canary (Brazil), Ithaca Investments, Lupa Capital, Verve Capital</t>
  </si>
  <si>
    <t>261999-01T</t>
  </si>
  <si>
    <t>172577-80T</t>
  </si>
  <si>
    <t>264025-63T</t>
  </si>
  <si>
    <t>173002-69T</t>
  </si>
  <si>
    <t>Anbioton Group</t>
  </si>
  <si>
    <t>Distributor of medicines, drugs, nutritional, cosmetics and related products intended for the healthcare sector. The company's wide range of products include adsorbents and intestinal antiphysetics, antacids, glucocorticoids, antiacnes, platelet antiaggregants, antilipemics and cholesterol reducers, antiasthmatics and bronchodilators, anesthetics and more, with specialization in oncology and nutrition, enabling its clients in both public and private sector to avail ensured healthcare.</t>
  </si>
  <si>
    <t>Elfa Group, Patria Investments (NAS: PAX)</t>
  </si>
  <si>
    <t>Distributors (Healthcare)</t>
  </si>
  <si>
    <t>171843-13T</t>
  </si>
  <si>
    <t>Carlyle (Brazil Operations)</t>
  </si>
  <si>
    <t>Provider of private equity investment services based in Brazil. The company offers corporate private equity, real assets, global market strategies and fund of funds solutions.</t>
  </si>
  <si>
    <t>210854-44T</t>
  </si>
  <si>
    <t>Ioasys</t>
  </si>
  <si>
    <t>Provider of information technology services focused on accelerating the digital transformation of businesses. The company specializes in design thinking, launch and iteration, interface and experience design as well as mobile and web development services.</t>
  </si>
  <si>
    <t>258858-82T</t>
  </si>
  <si>
    <t>Futurum Capital, Henrique Portugal, Konrad Dantas(Konrad Dantas)</t>
  </si>
  <si>
    <t>183336-58T</t>
  </si>
  <si>
    <t>Came Nepos</t>
  </si>
  <si>
    <t>Manufacturer and developer of parking automation equipment catering to airports, malls, supermarkets, hospitals, and other sites. The company offers automation equipment solutions to clients.</t>
  </si>
  <si>
    <t>Came Italia(Andrea Menuzzo)</t>
  </si>
  <si>
    <t>171768-25T</t>
  </si>
  <si>
    <t>Moraes Neto(Moraes Neto), Neide Neto(Neide Neto), Stoller Group</t>
  </si>
  <si>
    <t>171754-48T</t>
  </si>
  <si>
    <t>2bCapital, Inovabra Ventures, Wayra</t>
  </si>
  <si>
    <t>171582-76T</t>
  </si>
  <si>
    <t>8VC, Canary (Brazil), Dragoneer Investment Group, Lupa Capital, Norte Ventures, Quartz (Brazil), Rainfall Ventures(Ron Rofé)</t>
  </si>
  <si>
    <t>249930-73T</t>
  </si>
  <si>
    <t>Edulabzz</t>
  </si>
  <si>
    <t>Developer of educational games, simulators and play materials for schools and companies intended to promote socio-emotional skills in children, youth and adults. The company creates classes in virtual and augmented reality turning content or handout into narratives, dialogues, quizzes and other learning mechanics, providing clients with engaging educational experiences and passionate interfaces.</t>
  </si>
  <si>
    <t>210976-48T</t>
  </si>
  <si>
    <t>Bemol</t>
  </si>
  <si>
    <t>171894-97T</t>
  </si>
  <si>
    <t>171530-29T</t>
  </si>
  <si>
    <t>Accial Capital, E3 Negócios, G2 Capital, Leonite Capital, Mouro Capital(Manuel Martinez), West Quad Ventures</t>
  </si>
  <si>
    <t>134231-50T</t>
  </si>
  <si>
    <t>Anthemis, Repeat Ventures, SquareOne Capital, Union Square Ventures(John Buttrick)</t>
  </si>
  <si>
    <t>213230-44T</t>
  </si>
  <si>
    <t>Prêmio eSports Brasil</t>
  </si>
  <si>
    <t>Operator of esports awards intended to recognize excellence in electronic sports. The company offers categories for various game genres, expert jury panels, public voting, live event coverage, and special editions, enabling the esports community to celebrate achievements and gain recognition.</t>
  </si>
  <si>
    <t>V3A</t>
  </si>
  <si>
    <t>171650-62T</t>
  </si>
  <si>
    <t>QH Consult</t>
  </si>
  <si>
    <t>Provider of insurance and financial solutions for schools and higher education institutions. The company offers insurance solutions related to default reduction, student capture, students stay, stimulation to default, valuation of the institutional image and social responsibility, thereby helping institutions in guaranteed receipt of tuition fees, preventing default and evasion.</t>
  </si>
  <si>
    <t>171734-59T</t>
  </si>
  <si>
    <t>Acesso Soluções de Pagamento</t>
  </si>
  <si>
    <t>Developer of prepaid card instruments intended to facilitate secure online transactions. The company offers password-protected prepaid cards to purchase and make transactions online as well as offline, enabling non-banked or under-banked segments of the population to use digital financial solutions.</t>
  </si>
  <si>
    <t>211838-41T</t>
  </si>
  <si>
    <t>Meliuz (BVMF: CASH3)(Leandro Alves)</t>
  </si>
  <si>
    <t>213223-51T</t>
  </si>
  <si>
    <t>Fator Corretora</t>
  </si>
  <si>
    <t>Provider of financial services based in Sao Paulo, Brazil. The company offers asset management, securities brokerage, insurance, and investment banking services enabling clients to manage their wealth.</t>
  </si>
  <si>
    <t>215911-45T</t>
  </si>
  <si>
    <t>Pet Anjo</t>
  </si>
  <si>
    <t>Operator of a pet care platform intended to ensure the well-being of pets. The company's marketplace has a trained team of pet caregivers, true guardian angels that connect pet owners with pet care service providers and qualified independent professionals and offers veterinary insurance, enabling pet owners to find a professional pet sitter prepared to host, visit, or walk their pets.</t>
  </si>
  <si>
    <t>Cobasi</t>
  </si>
  <si>
    <t>171606-79T</t>
  </si>
  <si>
    <t>Raccoon.Monks</t>
  </si>
  <si>
    <t>Provider of digital marketing and performance services serving retail, corporate, real estate and government sectors in Brazil. The company specializes in digital marketing services, inbound marketing, market intelligence and infrastructure solutions such as consulting, programmatic media, brandformance, applications and e-commerce development on the VTEX platform.</t>
  </si>
  <si>
    <t>S4 Capital (LON: SFOR)(Martin Sorrell)</t>
  </si>
  <si>
    <t>168214-15T</t>
  </si>
  <si>
    <t>171484-48T</t>
  </si>
  <si>
    <t>Nexoos</t>
  </si>
  <si>
    <t>Developer of an online lending platform designed to offer affordable credit for businesses and attractive returns for investors. The company's platform offers a peer-to-peer lending model that connects companies that need loans with investors, without bureaucracy and high fees, enabling small and medium-sized companies to access cheap interest credit while making the process faster, efficient, and fair.</t>
  </si>
  <si>
    <t>Ame Digital (Brazil)</t>
  </si>
  <si>
    <t>241842-34T</t>
  </si>
  <si>
    <t>c-lig Telecom</t>
  </si>
  <si>
    <t>Desktop (BVMF: DESK3), H.I.G. Capital(Marcelo de Albuquerque)</t>
  </si>
  <si>
    <t>210784-60T</t>
  </si>
  <si>
    <t>190419-40T</t>
  </si>
  <si>
    <t>179450-29T</t>
  </si>
  <si>
    <t>Gasola</t>
  </si>
  <si>
    <t>Developer of a fuel management platform intended to automate the payment process for fleet refuelling. The company's platform allows drivers to refuel using a mobile application, automates payments, collects all invoices for streamlined fiscal reconciliation and provides real-time consumption reports, enabling fleet managers to monitor performance and optimize fuel usage while reducing costs associated with traditional fuel cards.</t>
  </si>
  <si>
    <t>Rio Venture Capital, Smart Money Ventures(Fábio Póvoa)</t>
  </si>
  <si>
    <t>278334-55T</t>
  </si>
  <si>
    <t>Kognitus</t>
  </si>
  <si>
    <t>Developer of cloud-native AI platform designed for subsurface data analysis and modeling. The company's platform offers features such as marketing strategies and subsurface intelligence to provide specialized geoscience consulting and research and development cooperation with academics, quickly analyze large-volume datasets, enabling geoscientists to easily prepare subsurface data, select features, build and deploy ML models, and automate workflows without coding.</t>
  </si>
  <si>
    <t>178532-38T</t>
  </si>
  <si>
    <t>Litroz</t>
  </si>
  <si>
    <t>Operator of a fuel supply management company intended to reduce costs and processes for suppliers. The company's platform provides supply metrics with accurate information about who supplies, how much, and at what station which allows supply management and expense control, enabling clients to optimize their processes and increase their savings.</t>
  </si>
  <si>
    <t>189323-02T</t>
  </si>
  <si>
    <t>ScalexOpen(João Pimentel)</t>
  </si>
  <si>
    <t>178537-24T</t>
  </si>
  <si>
    <t>Trace Pack</t>
  </si>
  <si>
    <t>Developer of an electronic tracking device designed to improve logistics and security of agricultural inputs and assets with high added value. The company's device embedded with IoT technology facilitates the managing of non-energized assets and the productivity and efficiency of machines in the field, enabling clients to track and locate agricultural products.</t>
  </si>
  <si>
    <t>Bossa Invest, Sai do Papel</t>
  </si>
  <si>
    <t>292856-41T</t>
  </si>
  <si>
    <t>SEED - Startups and Entrepreneurship Ecosystem Development</t>
  </si>
  <si>
    <t>194482-36T</t>
  </si>
  <si>
    <t>WeUse</t>
  </si>
  <si>
    <t>Developer of an online rental platform intended to offer apparel on subscription for men and women. The company's platform offers dresses, coats, jackets, shirts, cardigans, t-shirts, sweatshirts, hoodies, pants, blouses, jumpsuits, kimonos, and tops, through a mobile application, enabling customers to rent fashion products online.</t>
  </si>
  <si>
    <t>Bossa Invest, Rodrigo Simonato(Rodrigo Simonato)</t>
  </si>
  <si>
    <t>221421-07T</t>
  </si>
  <si>
    <t>213162-58T</t>
  </si>
  <si>
    <t>Companhia Paulista de Ferroligas</t>
  </si>
  <si>
    <t>Operator of the oil and gas company is based in Rio de Janeiro, Brazil.</t>
  </si>
  <si>
    <t>Valesul Aluminio</t>
  </si>
  <si>
    <t>166532-95T</t>
  </si>
  <si>
    <t>DTI Digital</t>
  </si>
  <si>
    <t>Provider of digital innovation and software engineering services based in Belo Horizont, Brazil. The company' services include agile development, data science and oblique actions, thereby helping become more efficient, digitalized and fully connected to their customers - from the development of back-office support systems such as supply automation and data collection software to consumer-facing applications and platforms including e-commerce marketplaces and customer service interfaces.</t>
  </si>
  <si>
    <t>WPP (LON: WPP)(Mark Read)</t>
  </si>
  <si>
    <t>176716-36T</t>
  </si>
  <si>
    <t>Alter Global(Jesse Sullivan), Banana Capital, Delivery Hero Ventures, Gelt Venture Capital, Glade Brook Capital Partners, Hill House Capital, Tiger Global Management, Tru Arrow Partners</t>
  </si>
  <si>
    <t>211895-20T</t>
  </si>
  <si>
    <t>Onclick</t>
  </si>
  <si>
    <t>Developer of software and business management systems intended for small and medium-sized companies. The company specializes in the enterprise resource planning industry, services, e-commerce, software factories, operational intelligence, cloud enterprise resource planning, consulting, management software, and management tools, enabling clients to automate business processes and achieve results per business requirements.</t>
  </si>
  <si>
    <t>176462-83T</t>
  </si>
  <si>
    <t>Provider of brokerage services intended to generate financial freedom for people. The company's services are offered through an online platform that allows users to trade securities and invest in the market, enabling investors to find investment opportunities on the market and invest in an easy, safe way and with zero brokerage.</t>
  </si>
  <si>
    <t>209220-67T</t>
  </si>
  <si>
    <t>Wibx</t>
  </si>
  <si>
    <t>Developer of a mass usability utility token designed as a reward for digital engagement. The company strategically connects brands and consumers
through referral marketing using blockchain and artificial intelligence technology to prove process efficiency and transparency, enabling consumers to increase exchange power for goods and services.</t>
  </si>
  <si>
    <t>Futurum Capital(Guilherme Stocco), Shibata Supermercados(Eric Shibata)</t>
  </si>
  <si>
    <t>212118-94T</t>
  </si>
  <si>
    <t>Assessoria FozCobra</t>
  </si>
  <si>
    <t>Provider of financial services based in Foz do Iguacu, Brazil. The company specializes in the recovery of financial assets throughout the national territory.</t>
  </si>
  <si>
    <t>Liderança Serviços Financeiros(Gustavo Antunes)</t>
  </si>
  <si>
    <t>222914-98T</t>
  </si>
  <si>
    <t>Caixa Seguridade Participacoes (BVMF: CXSE3)</t>
  </si>
  <si>
    <t>Caixa Seguridade Participacoes SA is engaged in the structuring and marketing of a broad range of insurance products, private pension plans, and premium bonds, management, marketing, and offering of private medical and dental care plans, rendering of brokerage services for these products, It has three operating segments; Run-off / Open sea (insurance businesses), Insurance (investment in insurance businesses established as a result of the competitive process of choosing strategic partners to operate the CAIXA branch) and Distribution (businesses related to the management of access to the distribution network and use of the CAIXA brand and the brokerage and intermediation of insurance products).</t>
  </si>
  <si>
    <t>191353-78T</t>
  </si>
  <si>
    <t>Recharge Capital</t>
  </si>
  <si>
    <t>172171-00T</t>
  </si>
  <si>
    <t>185074-84T</t>
  </si>
  <si>
    <t>Capital Lab Ventures</t>
  </si>
  <si>
    <t>224476-84T</t>
  </si>
  <si>
    <t>ITDN</t>
  </si>
  <si>
    <t>Provider of information technology and data solutions based out of Brazil.</t>
  </si>
  <si>
    <t>Avelacom(Aleksey Larichev)</t>
  </si>
  <si>
    <t>173037-97T</t>
  </si>
  <si>
    <t>Altvest, BlackDragon (Zagreb), Blockstar Technologies, Catena Venture Capital, Chain Ridge Capital, Chainstride Capital, Consensys Mesh(Gabriel Anderson), CSP DAO, DAO Capital, Dots Capital, Magnus Capital, Moonwhale Ventures, Nodeseeds, Nxstudios, Part One Capital, Poolz Ventures, Protocol Labs, TAG Ventures (Vietnam), Three M Capital</t>
  </si>
  <si>
    <t>184627-90T</t>
  </si>
  <si>
    <t>Ariel Lambrecht(Ariel Lambrecht), Christopher Schroeder(Christopher Schroeder), Israel Salmen(Israel Salmen), Maya Capital (Brazil), Norte Ventures, Sergio Furio(Sergio Furio), Village Global</t>
  </si>
  <si>
    <t>171225-91T</t>
  </si>
  <si>
    <t>Chromo Invest, GIC Private, Kaszek(Nicolas Berman), Quartz (Brazil), Ribbit Capital</t>
  </si>
  <si>
    <t>219142-54T</t>
  </si>
  <si>
    <t>DevApi</t>
  </si>
  <si>
    <t>Apax Partners(Jason Wright), TIVIT</t>
  </si>
  <si>
    <t>194466-16T</t>
  </si>
  <si>
    <t>DRIC</t>
  </si>
  <si>
    <t>Developer of a data privacy and storage platform designed to promote storage and access of large amounts of data. The company's platform is based on two-dimensional code that provides a revolution in the transmission, preservation, storage and privacy of data, making them accessible and instantaneous, enabling customers to improve the performance and availability of data.</t>
  </si>
  <si>
    <t>Alec Oxenford(Alec Oxenford), FJ Labs</t>
  </si>
  <si>
    <t>251755-03T</t>
  </si>
  <si>
    <t>CA Indosuez Wealth (Brazil)</t>
  </si>
  <si>
    <t>Provider of wealth management services catering to high-net-worth clients. The company offers brokerage services, fund management and securitization products.</t>
  </si>
  <si>
    <t>Banco Safra(Silvio Carvalho)</t>
  </si>
  <si>
    <t>171189-73T</t>
  </si>
  <si>
    <t>Cia. Hering</t>
  </si>
  <si>
    <t>Operator of textile and retail clothing stores intended to offer casual apparel and accessories. The company offers clothing and accessories for women, men, and kids.</t>
  </si>
  <si>
    <t>Grupo De Moda Soma(Roberto Goncalves)</t>
  </si>
  <si>
    <t>174313-00T</t>
  </si>
  <si>
    <t>181370-80T</t>
  </si>
  <si>
    <t>General Atlantic, Kaszek, Lupa Capital</t>
  </si>
  <si>
    <t>225404-56T</t>
  </si>
  <si>
    <t>Navi Capital (BVMF: NAVT11)</t>
  </si>
  <si>
    <t>Navi Imobiliario Total Return Fundos DE Investimento Imobiliario is an asset management company. The company is focused on managing stocks, infrastructure, and real estate assets.</t>
  </si>
  <si>
    <t>171516-43T</t>
  </si>
  <si>
    <t>Sallve</t>
  </si>
  <si>
    <t>Operator of a beauty company intended to focus on catering to the discerning needs of consumers. The company offers a range of personal care products, including cleansers, antioxidant moisturizers, and scrubs, among others, through its online platform, enabling customers to access skin care products that are designed for the digital consumer, making it a go-to choice for young customers.</t>
  </si>
  <si>
    <t>Astella Investimentos(Daniel Chalfon), Atlantico Partners(Julio Vasconcellos), Canary (Brazil)(Julio Vasconcellos), Canary Ventures, Endeavor Catalyst, Kaszek(Hernan Kazah), Lupa Capital, Quartz (Brazil), Red Swan Ventures(Andrew Dunn), Waldencast Ventures</t>
  </si>
  <si>
    <t>204760-09T</t>
  </si>
  <si>
    <t>Pag Condominio</t>
  </si>
  <si>
    <t>Developer of payment platform designed for condominium payment. The company's platform provides credit card payments for a building or complex of buildings containing several individually owned apartments or houses, helping both condominiums and residents by facilitating the process of paying condominium fees.</t>
  </si>
  <si>
    <t>Goldstreet Venture Capital(Gustavo Ipolito)</t>
  </si>
  <si>
    <t>172480-15T</t>
  </si>
  <si>
    <t>Brain.AG</t>
  </si>
  <si>
    <t>Provider of a big data analytics platform designed for monitoring risks in agribusinesses based in São Paulo, Brazil. The company's platform offers powerful data enrichment tools to monitor financial and socio-environmental risks, enabling agricultural and rural businesses to evaluate risks and make informed decisions.</t>
  </si>
  <si>
    <t>212049-64T</t>
  </si>
  <si>
    <t>Colégio Magnum</t>
  </si>
  <si>
    <t>Operator of a school based in São Gonçalo, Brazil. The company provides kindergarten, elementary school, final years, and high school levels of education.</t>
  </si>
  <si>
    <t>171048-88T</t>
  </si>
  <si>
    <t>Elleve</t>
  </si>
  <si>
    <t>Developer of an educational credit platform designed to connect students to educational institutions and the labor market. The company's platform allows access to young people, regardless of their socio-economic situation in professionalization courses, generating employment and income in the future, enabling educational institutions to increase their cash flow and increase the conversion of students with the help of educational credit.</t>
  </si>
  <si>
    <t>170767-45T</t>
  </si>
  <si>
    <t>Grupo Uni.co</t>
  </si>
  <si>
    <t>Operator of a chain of retail stores based in São Paulo, Brazil.</t>
  </si>
  <si>
    <t>Americanas (Brazil)</t>
  </si>
  <si>
    <t>170752-51T</t>
  </si>
  <si>
    <t>Canary (Brazil), Globo Ventures, Kaszek, QED Investors, Tom Stafford(Tom Stafford)</t>
  </si>
  <si>
    <t>189510-67T</t>
  </si>
  <si>
    <t>Alberta Investment Management(Ben Hawkins), CPP Investments(Scott Lawrence)</t>
  </si>
  <si>
    <t>171062-83T</t>
  </si>
  <si>
    <t>IOUU</t>
  </si>
  <si>
    <t>Developer of a peer-to-peer lending platform designed to reinvent financial services. The company's platform connects companies looking for credit with investors with money to borrow, leading to efficient and transparent financial services and transactions compared to traditional loans, thus making access to credit simple and digital and enabling businesses and corporations to access credit and convenient digital banking services.</t>
  </si>
  <si>
    <t>217926-37T</t>
  </si>
  <si>
    <t>Laticinios Carolina</t>
  </si>
  <si>
    <t>Producer of dairy products based in Ribeirao Claro, Brazil. The company's product offerings include flavored and greek yogurt, fermented milk, cream cheese, cheese and desserts.</t>
  </si>
  <si>
    <t>Grupo Pereira(Osmar Pereira)</t>
  </si>
  <si>
    <t>168878-62T</t>
  </si>
  <si>
    <t>Monarca Máquinas e Implementos Agrícolas</t>
  </si>
  <si>
    <t>Operator of a dealership that sells machines, agricultural implements and parts in Sinop, Mato Grosso, Brazil. The company also provides maintenance services with an aim to be close to its customers in support of their needs and to offer products with customized agricultural solutions.</t>
  </si>
  <si>
    <t>188974-00T</t>
  </si>
  <si>
    <t>Cadonau Investimentos, QMS Capital Management</t>
  </si>
  <si>
    <t>188577-73T</t>
  </si>
  <si>
    <t>Casa Magalhães</t>
  </si>
  <si>
    <t>Developer of software intended to simplify the management of retail and food service businesses. The company develops storefront, management systems, enterprise management software and retail-focused mobile apps, helping its customers to streamline their operations.</t>
  </si>
  <si>
    <t>O Boticário</t>
  </si>
  <si>
    <t>172181-53T</t>
  </si>
  <si>
    <t>Health For Pet</t>
  </si>
  <si>
    <t>Provider of health plans brokerage services intended for pets. The company offers hospital and outpatient care health plans covering a range of medical services including general consultations, vaccines, laboratory tests, surgery and physiotherapy, enabling clients to provide a healthier life for their pets.</t>
  </si>
  <si>
    <t>L Catterton, PetLove(Márcio Waldman), Tarpon Capital(Pedro de Andrade Faria)</t>
  </si>
  <si>
    <t>170630-92T</t>
  </si>
  <si>
    <t>Mandic</t>
  </si>
  <si>
    <t>Provider of cloud computing and IT-managed services intended to help companies of all sizes and segments boost their businesses digitally and make them increasingly strategic. The company's offerings include cloud computing, cyber security, DevOps, multi-cloud and managed services, enabling clients to create an intelligent and scalable cloud strategy for overcoming their business challenges.</t>
  </si>
  <si>
    <t>Claranet(António Ferreira), Oria Capital, Tikehau Capital (PAR: TKO)(Emmanuel Laillier)</t>
  </si>
  <si>
    <t>170755-39T</t>
  </si>
  <si>
    <t>172180-72T</t>
  </si>
  <si>
    <t>Banco Porto Seguro(Marcos Loução)</t>
  </si>
  <si>
    <t>170594-74T</t>
  </si>
  <si>
    <t>Thirteen Robotics</t>
  </si>
  <si>
    <t>Developer of robotics technology intended to optimize operations in harsh environments. The company uses engineering research to create robotic solutions for the energy Rio de Janeiro, industries in Brazil.</t>
  </si>
  <si>
    <t>Kraken Robotics (TSX: PNG)(Karl Kenny)</t>
  </si>
  <si>
    <t>170562-61T</t>
  </si>
  <si>
    <t>UBS Consenso</t>
  </si>
  <si>
    <t>Operator of an asset management company. The company provides asset management services with wide access to leading financial market analysis and information, offering clients accurate advice and impartial guidance.</t>
  </si>
  <si>
    <t>UBS Group (SWX: UBSG)</t>
  </si>
  <si>
    <t>189780-67T</t>
  </si>
  <si>
    <t>Cliquefarma</t>
  </si>
  <si>
    <t>Operator of health product price comparison platform intended to help consumers save time, money and find the best health products. The company operates a private website of public utility for researching medicines and offers free information on generic, ethical, similar and non-drug drugs, free of cost tool for the users to compare prices between health products.</t>
  </si>
  <si>
    <t>171647-65T</t>
  </si>
  <si>
    <t>170551-99T</t>
  </si>
  <si>
    <t>Rupee</t>
  </si>
  <si>
    <t>Developer of accountancy platform designed to monitor accounting through methodologies and an algorithm based on information. The company's platform offers cloud management with security and accessibility, a dashboard with quick and practical visualization, a consolidated database, flow monitoring, and fiscal compliance, enabling organizations to improve financial management.</t>
  </si>
  <si>
    <t>170554-33T</t>
  </si>
  <si>
    <t>170545-06T</t>
  </si>
  <si>
    <t>Daniel Correa(Daniel Correa), General Catalyst, Kaszek, Pierpaolo Barbieri(Pierpaolo Barbieri), Simon Last(Simon Last)</t>
  </si>
  <si>
    <t>179649-46T</t>
  </si>
  <si>
    <t>206596-18T</t>
  </si>
  <si>
    <t>252180-37T</t>
  </si>
  <si>
    <t>Sj Au Logistica (BVMF: SJAU11)</t>
  </si>
  <si>
    <t>Sj Au Logistica Fundo DE Investimento Imobiliario is Brazil-based company that operates as a Real estate investment trust.</t>
  </si>
  <si>
    <t>183134-53T</t>
  </si>
  <si>
    <t>209987-56T</t>
  </si>
  <si>
    <t>Jovem Nerd</t>
  </si>
  <si>
    <t>Operator of podcast portal catering throughout Brazil. The company offers a large entertainment portal, home to podcasts, videocasts and a news hub.</t>
  </si>
  <si>
    <t>177858-64T</t>
  </si>
  <si>
    <t>201950-56T</t>
  </si>
  <si>
    <t>Duo Gourmet</t>
  </si>
  <si>
    <t>Operator of a dining subscription service intended that allow members to enjoy two-for-one meals at top restaurants across Brazil. The service includes a wide variety of dining options, from fine dining to casual eateries, ensuring members can explore and enjoy diverse culinary experiences while saving money.</t>
  </si>
  <si>
    <t>251545-15T</t>
  </si>
  <si>
    <t>Fundo DE Invest Imobiliario Nch EQI High Yield Recebiveis Imobiliarios (BVMF: NCHB11)</t>
  </si>
  <si>
    <t>Fundo DE Invest Imobiliario Nch EQI High Yield Recebiveis Imobiliarios a real estate investment fund .</t>
  </si>
  <si>
    <t>213168-88T</t>
  </si>
  <si>
    <t>Dataminer (Big data and Analytics Company)</t>
  </si>
  <si>
    <t>Operator of a big data and analytics company intended to serve the technology market. The company provides information management solutions, tax solutions, risk, fraud prevention and other related solutions.</t>
  </si>
  <si>
    <t>170230-69T</t>
  </si>
  <si>
    <t>Khomp</t>
  </si>
  <si>
    <t>Developer of telecommunications and Internet of Things (IoT) integration systems designed for infrastructure, communication, and data automation purposes. The company's platform includes session border controllers, media gateways, telephony devices, and IoT sensors with analytics and protocol compatibility features, enabling enterprise, telecom, and industrial markets to unify communications, optimise network performance, and automate operational processes through centralised monitoring, interoperability, and data-driven control.</t>
  </si>
  <si>
    <t>173183-23T</t>
  </si>
  <si>
    <t>170280-46T</t>
  </si>
  <si>
    <t>Opea Securitizadora</t>
  </si>
  <si>
    <t>Provider of securitization services and facilitates credit with a focus on real estate, agricultural and financial receivables. The company actively monitors obligations, rating renewals, covenants and payments as well as offers tools and information for investors, including an emissions calculator and unit prices, thereby transforming relatively illiquid individual assets into liquid securities.</t>
  </si>
  <si>
    <t>Jaguar Growth Partners(Mario De Barros)</t>
  </si>
  <si>
    <t>224345-08T</t>
  </si>
  <si>
    <t>Carteira Global</t>
  </si>
  <si>
    <t>Operator of a multi-financial institution investment portfolio consolidation platform intended for both investors and financial advisors. The company offers a portfolio simulator, investment study, portfolio comparator and investment comparator features, enabling users to compare their portfolios and learn about financial products.</t>
  </si>
  <si>
    <t>Banco Modal, Credit Suisse(Marco Abrahão)</t>
  </si>
  <si>
    <t>213259-42T</t>
  </si>
  <si>
    <t>Evo Telecom</t>
  </si>
  <si>
    <t>Provider of telecommunication services catering to corporate clients. the company offers fiber optic networks, landlines and unified extensions.</t>
  </si>
  <si>
    <t>Megatelecom Telecomunicacoes</t>
  </si>
  <si>
    <t>170146-45T</t>
  </si>
  <si>
    <t>Refinaria de Dados</t>
  </si>
  <si>
    <t>Developer of data analytics software for large public and private organizations. The company's software specialises in collecting and processing large volumes of digital data, focusing on predictive analysis, network monitoring, artificial intelligence and micro-segmented communication techniques, enabling public managers to measure precisely the popularity and impact of public policies based on the digital behaviour of citizens.</t>
  </si>
  <si>
    <t>170827-12T</t>
  </si>
  <si>
    <t>170223-67T</t>
  </si>
  <si>
    <t>C2 Capital Partners (Portugal), COREangels, LC Ventures, OW Ventures, Savvy Capital Partners, Shilling (Portugal)</t>
  </si>
  <si>
    <t>155464-48T</t>
  </si>
  <si>
    <t>Accion, Blackrock Innovation Capital Group(William Abecassis), Cercano Management(Rafael Costa), Endeavor Catalyst, Flourish Ventures, General Atlantic(Luiz Ribeiro), Monashees(Marcelo Lima), PayPal Ventures, Propel Venture Partners(Jay Reinemann), Spectra Investments</t>
  </si>
  <si>
    <t>167802-22T</t>
  </si>
  <si>
    <t>Pollux Automation</t>
  </si>
  <si>
    <t>Provider of industrial automation machinery intended to optimize manufacturing and logistics processes. The company designs, engineers and deploys fully functional assembly lines that include robots and other hardware, plus the software that controls them, as well as offers visual analytics inspection solutions, autonomous mobile robots and robots as a service for shopfloors and warehouses.</t>
  </si>
  <si>
    <t>Accenture (NYS: ACN)(Nigel Stacey)</t>
  </si>
  <si>
    <t>170045-83T</t>
  </si>
  <si>
    <t>Booster AgTech</t>
  </si>
  <si>
    <t>Operator of weather forecast application intended for farmers. The company's application views and compares multiple weather forecasts at exact field locations, monitors the development and health of your crops through satellite images and vegetation indices and collects and analyses data available from various sources, thereby enabling farmers to make better decisions and improve efficiency with digital tools and content.</t>
  </si>
  <si>
    <t>Agrosmart(Mariana Vasconcelos)</t>
  </si>
  <si>
    <t>300924-01T</t>
  </si>
  <si>
    <t>Manioca</t>
  </si>
  <si>
    <t>Producer of natural foods intended to transform traditional Amazonian culinary ingredients into seasonings. The company's product offering include sauces, jams, granola, flours, peppers, broths, and farofa, enabling consumers to experience flavors of Amazonian spices and make their meals healthier.</t>
  </si>
  <si>
    <t>Mirova, Vox Capital</t>
  </si>
  <si>
    <t>170179-66T</t>
  </si>
  <si>
    <t>Shipp</t>
  </si>
  <si>
    <t>Provider of delivery services in Brazil. The company will help users find restaurants, pharmacies, markets, petshops and other types of establishments and deliver it to the customers within an hour to reduce their shopping stress and by providing them with fresh goods.</t>
  </si>
  <si>
    <t>217920-34T</t>
  </si>
  <si>
    <t>500 Global, Andre Farber(Andre Farber), Canary (Brazil)(Marcos Leite), Flavio Dias(Flavio Dias)</t>
  </si>
  <si>
    <t>169248-52T</t>
  </si>
  <si>
    <t>170127-55T</t>
  </si>
  <si>
    <t>SmartHint</t>
  </si>
  <si>
    <t>Developer of a product recommendation platform designed to elevate the online shopping experience. The company's platform promotes the presentation of products that fit the navigation profile of each consumer, offers custom behavioral pop-ups and assists by e-mail, chat or WhatsApp, enabling clients to reduce the need for manual customization of shop windows made by people.</t>
  </si>
  <si>
    <t>211862-89T</t>
  </si>
  <si>
    <t>Banco Pan SA is a Brazil-based company engaged in operating in the banking industry. It is principally engaged in the business activity of providing financial services such as vehicle financing, consumer lending, debts renegotiation, insurance services, credit card and others.</t>
  </si>
  <si>
    <t>169750-81T</t>
  </si>
  <si>
    <t>Greenoaks Capital Partners, Kaszek, QED Investors, Ribbit Capital</t>
  </si>
  <si>
    <t>169889-95T</t>
  </si>
  <si>
    <t>Atlant Fonder, Dunross &amp; Co, Investment Holding Avenir, VEF (STO: VEFAB)(David Nangle)</t>
  </si>
  <si>
    <t>210818-98T</t>
  </si>
  <si>
    <t>179730-46T</t>
  </si>
  <si>
    <t>GAVB Consulting</t>
  </si>
  <si>
    <t>Provider of consulting and business development services focused on artificial intelligence and big data. The company specializes in artificial intelligence, big data, cloud and DevOps as well as offers consultancy, licensing and subscription, outsourcing, architecture and digital transformation services, helping clients accelerate the digital transformation to make better decisions and profitability.</t>
  </si>
  <si>
    <t>292483-45T</t>
  </si>
  <si>
    <t>GoMoov</t>
  </si>
  <si>
    <t>Provider of shared electric vehicle service intended to provide easy mobility. The company offers the service of sharing electric mode vehicles with zero carbon dioxide and shared gas emissions, avoiding overloading roads and the environment, enabling people to have a convenient, safe travel with zero environmental impact.</t>
  </si>
  <si>
    <t>177925-69T</t>
  </si>
  <si>
    <t>Google for Startups(Francisco Solsona)</t>
  </si>
  <si>
    <t>158368-60T</t>
  </si>
  <si>
    <t>Necton Investimentos</t>
  </si>
  <si>
    <t>Provider of investment management services based in Sao Paulo, Brazil. The company offers direct treasury, fixed income, real estate, stock and future investment options, combining research and market analysis, structured evaluation and selection, technological platforms and personalized relationships to provide clients with fiduciary guidance.</t>
  </si>
  <si>
    <t>211759-75T</t>
  </si>
  <si>
    <t>Tovese</t>
  </si>
  <si>
    <t>Operator of an insurance brokerage company intended to offer private agricultural insurance policies for grains. The company's services include agribusiness insurance, business insurance, personal insurance, and property insurance, thus enabling clients to prevent themselves from financial losses.</t>
  </si>
  <si>
    <t>191406-61T</t>
  </si>
  <si>
    <t>Agrosmart</t>
  </si>
  <si>
    <t>Developer of a farming management application designed to monitor irrigation and agricultural data. The company's application manages and mitigates financial risks, helping food systems and nature thrive by being monitored in environmental conditions in real-time with the use of sensors, meteorological data, image processing, satellite imaging, and weather forecasts based on cloud computing, enabling farmers to make informed decisions and sustainably achieve productive yield.</t>
  </si>
  <si>
    <t>Bradesco Seguros, Inovabra Ventures, LemanVentures(Stefano Rettore), Opera Ventures, Positivo Tecnologia (Venture Arm)(Graciete Lima), SP Ventures(Francisco Jardim), Sucafina(Nicolas Tamari), Swiss Pampa(Gonzalo Martiarena)</t>
  </si>
  <si>
    <t>284396-50T</t>
  </si>
  <si>
    <t>CBA Sementes</t>
  </si>
  <si>
    <t>Developer of aeroponic control system intended to automate and optimize production and give resources to farmers. The company's platform provides phytosanitary benefits and increases productivity generated by seeds using aeroponic method control systems, machine learning and AI to produce and plant healthy seeds in the field and improve yields, enabling potato growers to increase their profitability and the safety of their cultivation.</t>
  </si>
  <si>
    <t>Gavea Angels, HBS Alumni Angels of Brazil</t>
  </si>
  <si>
    <t>169886-17T</t>
  </si>
  <si>
    <t>Delivery Much</t>
  </si>
  <si>
    <t>Provider of food delivery services, located in Santa Maria, Brazil. The company operates a food delivery application, that enables the customers to get food at their doorstep.</t>
  </si>
  <si>
    <t>Stone Participações</t>
  </si>
  <si>
    <t>167474-89T</t>
  </si>
  <si>
    <t>Barn Investimentos(Flavio Zaclis), Continental Grain Company, Provence Partners, SP Ventures(Alexandre Stephan)</t>
  </si>
  <si>
    <t>170889-85T</t>
  </si>
  <si>
    <t>Bacio di Latte</t>
  </si>
  <si>
    <t>Operator of ice cream stores based in Sao Paulo. Brazil. The company offers products that are made using traditional methods and are dairy-free, gluten-free and sugar-free options, providing consumers with a range of Italian gelato flavors.</t>
  </si>
  <si>
    <t>QVT Family Office</t>
  </si>
  <si>
    <t>251452-81T</t>
  </si>
  <si>
    <t>ClickCash</t>
  </si>
  <si>
    <t>Provider of digitalized financing services intended to facilitate the automation of loans. The company's system combines artificial intelligence, mobile data, and traditional credit information services to assess the consumer's credit capacity, enabling users to get easy access to microloans and small-scale financing options.</t>
  </si>
  <si>
    <t>Tolaram Group</t>
  </si>
  <si>
    <t>202545-82T</t>
  </si>
  <si>
    <t>Tagus Investimentos</t>
  </si>
  <si>
    <t>211875-49T</t>
  </si>
  <si>
    <t>FEPWeb</t>
  </si>
  <si>
    <t>Developer of digital signature formalization software designed to safeguard the integrity of information with full legal validity. The company offers digital signatures, online forms, corporate registration, outsourcing and BPO services, thereby managing and authorizing transactions via electronic signature, with full legal validity, increasing customers' and partners' security, productivity and operational efficiency.</t>
  </si>
  <si>
    <t>213218-47T</t>
  </si>
  <si>
    <t>Gold Soluções</t>
  </si>
  <si>
    <t>Operator of a fintech company intended to serve individuals and businesses. The company specializes in financial BPO in means of card payments and security services.</t>
  </si>
  <si>
    <t>268119-64T</t>
  </si>
  <si>
    <t>Hapvida Participacoes Investimento SA is the medical-hospital and dental care company. The company and its subsidiaries are mainly engaged in the sale of health insurance plans and delivering the majority of medical assistance at its own hospitals, clinics, imaging diagnostics and laboratories; and the sale of dental insurance plans for services provided by an accredited network.</t>
  </si>
  <si>
    <t>124733-17T</t>
  </si>
  <si>
    <t>Bossa Invest, Poli Angels Group</t>
  </si>
  <si>
    <t>188348-68T</t>
  </si>
  <si>
    <t>174297-34T</t>
  </si>
  <si>
    <t>Alter Global(Jesse Sullivan), Maya Capital (Brazil), NXTP Ventures, ONEVC, Pear (California), Soma Capital</t>
  </si>
  <si>
    <t>187900-66T</t>
  </si>
  <si>
    <t>It Brands Participacoes Empresariais</t>
  </si>
  <si>
    <t>Operator of a holding company with interests in the retail industry.</t>
  </si>
  <si>
    <t>169725-34T</t>
  </si>
  <si>
    <t>Luxor Group, SoftBank Latin America Fund(Carlos Medeiros), Spectra Investments</t>
  </si>
  <si>
    <t>205305-22T</t>
  </si>
  <si>
    <t>166489-93T</t>
  </si>
  <si>
    <t>Bossa Invest, DOMO.VC(Franco Pontillo), FEA Angels, Hélice investment group, Prana Capital, Urca Angels</t>
  </si>
  <si>
    <t>215265-07T</t>
  </si>
  <si>
    <t>Nexa Telecom</t>
  </si>
  <si>
    <t>Provider of internet services based in Centro, Brazil. The company offers optical fiber connections to households and businesses.</t>
  </si>
  <si>
    <t>178539-22T</t>
  </si>
  <si>
    <t>169702-21T</t>
  </si>
  <si>
    <t>Seal Telecom</t>
  </si>
  <si>
    <t>Provider of systems integration services intended for engineering, supervision, control and operational execution of a project. The company offers audio &amp; video integration, unified communication, smart building projects, broadcast, fire &amp; security solutions that are customized to the needs of each customer, enabling customers to anticipate problems, shorten the execution time and customize the services according to theirs needs.</t>
  </si>
  <si>
    <t>Ares Management (NYS: ARES)(Matthew Cwiertnia), Convergint Technologies(Ken Lochiatto)</t>
  </si>
  <si>
    <t>210823-03T</t>
  </si>
  <si>
    <t>Sencon</t>
  </si>
  <si>
    <t>Operator of a financial platform intended for calculating amounts for paying taxes with shares and issuing the DARF. The company offers an income tax calculator, income tax for crypto assets, income tax on variable income and income tax returns, thereby helping investors with optimizing the work of accountants.</t>
  </si>
  <si>
    <t>210056-14T</t>
  </si>
  <si>
    <t>SimplesVet Tecnologia</t>
  </si>
  <si>
    <t>Developer of veterinary software intended for hospitals and veterinary clinics. The company provides a pet shop and veterinary clinic system along with veterinary care, veterinary hospitalization, financial control, stock management and sales analysis, thereby enabling doctors to access their patients' pet data anytime.</t>
  </si>
  <si>
    <t>209250-28T</t>
  </si>
  <si>
    <t>Simply Tecnologia</t>
  </si>
  <si>
    <t>Operator of a process automation company catering to businesses. The company engages in Artificial Intelligence, OCR, Cloud Computing, process automation, and RPA, thereby helping clients from onboarding to internal operational processes, reducing manual activities, and increasing productivity.</t>
  </si>
  <si>
    <t>226794-79T</t>
  </si>
  <si>
    <t>219368-44T</t>
  </si>
  <si>
    <t>Zee.Dog Kitchen</t>
  </si>
  <si>
    <t>Producer of pet food intended to serve only dogs. The company produces frozen and nutritious food which are considered human-grade, thus fulfilling the healthy dietary requirements of the pet.</t>
  </si>
  <si>
    <t>Atmos Capital Gestao de Recursos, Charles River Capital (Brazil), Quartz (Brazil), Spectra Investments, Treecorp Investimentos (BVMF: TCPF11)(Luis Lomonaco), Zee.Dog</t>
  </si>
  <si>
    <t>169970-59T</t>
  </si>
  <si>
    <t>Astella Investimentos(Edson Rigonatti), Spectra Investments, Torq (Brazil)</t>
  </si>
  <si>
    <t>212167-63T</t>
  </si>
  <si>
    <t>GrandChef</t>
  </si>
  <si>
    <t>Operator of a food delivery application platform catering to restaurants, bars and pizzerias. The company specializes in business management and allows its clients to get control of tables, inventory and consumption, thereby helping customers to place orders on android phones and save time.</t>
  </si>
  <si>
    <t>213260-50T</t>
  </si>
  <si>
    <t>Guaimbe Solar Holding</t>
  </si>
  <si>
    <t>Operator of solar-holding wind and solar farms located in Brazil.</t>
  </si>
  <si>
    <t>259702-12T</t>
  </si>
  <si>
    <t>Flybridge (New York)(Jeffrey Bussgang), Iguatemi Empresa de Shopping Centers, WP Capital</t>
  </si>
  <si>
    <t>251570-26T</t>
  </si>
  <si>
    <t>More Recebiveis</t>
  </si>
  <si>
    <t>More Recebiveis Imobiliarios Fii Fdo Inv Imob is a real estate investment trust.</t>
  </si>
  <si>
    <t>251091-64T</t>
  </si>
  <si>
    <t>Tishman Speyer Renda (BVMF: TSER11)</t>
  </si>
  <si>
    <t>Tishman Speyer Renda Corporativa Fundo DE Investimento Imobiliario acquires, repositions, develops, and operates office, retail, and residential projects. The company focuses on prime assets located in the central business districts of major metropolitan areas in the United States, Europe, Brazil, China, and India.</t>
  </si>
  <si>
    <t>212370-40T</t>
  </si>
  <si>
    <t>ToNoLucro Franchising</t>
  </si>
  <si>
    <t>Provider of food delivery services intended to serve Brazil. The company offers punctual withdrawals and careful transport of food packages as well as offers discount coupons or some unmissable promotions.</t>
  </si>
  <si>
    <t>169867-09T</t>
  </si>
  <si>
    <t>Stone Pagamentos (NAS: STNE), TM3 Capital</t>
  </si>
  <si>
    <t>250315-03T</t>
  </si>
  <si>
    <t>Colégio Marília Mattoso</t>
  </si>
  <si>
    <t>Operator of an educational institute committed to promoting sociocultural, intellectual, emotional and logical reasoning development. The company specializes in offering child education, elementary school early and final years and high school services along with extracurricular activities, ensuring its students contribute to social integration, discipline, responsibility, initiative and organization effectively.</t>
  </si>
  <si>
    <t>242016-22T</t>
  </si>
  <si>
    <t>Inove (IT Consulting and Outsourcing)</t>
  </si>
  <si>
    <t>Provider of information technology consultancy services intended to improve business performance. The company provides implementation, training, and support for the Microsoft platform, enabling businesses to leverage technology to enhance operational efficiency, productivity, and customer satisfaction.</t>
  </si>
  <si>
    <t>Nexer(Jonas Steffensson)</t>
  </si>
  <si>
    <t>211216-60T</t>
  </si>
  <si>
    <t>224039-53T</t>
  </si>
  <si>
    <t>Pitang</t>
  </si>
  <si>
    <t>Developer of digital transformation software programs intended for information and communication technology. The company's products include develops services and solutions in information and communication technology, focusing on market demands in an innovative way, through the development of exclusive projects that support the digital transformation of its clients based on competences in cognitive computing, experience platforms digital, analytics, cloud computing, mobile apps, UX, agility and testing, enabling its clients to avail ways to make their business enhanced and competitive.</t>
  </si>
  <si>
    <t>300600-46T</t>
  </si>
  <si>
    <t>Conselho Nacional de Desenvolvimento Científico e Tecnológico</t>
  </si>
  <si>
    <t>169778-44T</t>
  </si>
  <si>
    <t>169415-56T</t>
  </si>
  <si>
    <t>CSU Digital (BVMF: CSUD3)(Ricardo José Leite)</t>
  </si>
  <si>
    <t>170301-34T</t>
  </si>
  <si>
    <t>VX Pavarini DTVM</t>
  </si>
  <si>
    <t>Provider of fiduciary services intended to serve the financial industry in Rio de Janeiro, Brazil. The company specializes in issues of all kinds, involving the control of receivables, monitoring of linked accounts and covenants, control and release of financial values, sale of assets and rights in favor of investors, daily monitoring of the value of guarantees, calculation and disclosure of unit prices, preparation of legal reports and registration of vehicle titles and liens, thereby protecting rights of the investors and represent Non-Resident Investors with the provisions of bookkeeping services.</t>
  </si>
  <si>
    <t>277188-49T</t>
  </si>
  <si>
    <t>Meu Replay</t>
  </si>
  <si>
    <t>Developer of a sports recording platform designed to enhance the sports experience by providing access to recorded highlights. The company offers an automated recording system that allows users to capture gameplay moments by pressing a button, access their saved replays through an online platform, and download or share their recorded clips on social media, enabling players to relive their moments.</t>
  </si>
  <si>
    <t>Softville</t>
  </si>
  <si>
    <t>251548-30T</t>
  </si>
  <si>
    <t>Rb Capital Logastico (BVMF: RBLG11)</t>
  </si>
  <si>
    <t>Rb Capital Logistico Fundo DE Investimento Imobiliario is focused on the logistics and industrial real estate market. The objective of the company is to obtain income and capital gains, to be obtained through investment directly or indirectly, including through the acquisition of shares in other real estate investment funds, in Real Estate, and/or in real rights over real estate (Target Assets ), preferably in the logistics and/or industrial segment, through acquisition for subsequent sale, rental, leasing or exploitation of surface rights, including assets and rights related to them.</t>
  </si>
  <si>
    <t>251581-06T</t>
  </si>
  <si>
    <t>Suno Log Fundo De Investimento Imobiliario (BVMF: SNLG11)</t>
  </si>
  <si>
    <t>Suno Log Fundo De Investimento Imobiliario is an income fund, with active management, which aims to obtain income and capital gains, through investment in target properties.</t>
  </si>
  <si>
    <t>295564-60T</t>
  </si>
  <si>
    <t>Pontifícia Universidade Católica do Rio Grande do Sul, Ventiur</t>
  </si>
  <si>
    <t>169084-72T</t>
  </si>
  <si>
    <t>Y Combinator(Michael Seibel)</t>
  </si>
  <si>
    <t>169960-42T</t>
  </si>
  <si>
    <t>E3 Negócios(Bruno dos Santos)</t>
  </si>
  <si>
    <t>194458-51T</t>
  </si>
  <si>
    <t>Legalbot</t>
  </si>
  <si>
    <t>Developer of a regulatory compliance platform designed for financial entities and regulators. The company offers a series of tools for the interpretation of rules and classification of obligations that provide efficiency so that companies inserted in regulated markets can operate in full compliance, enabling businesses to operate with productivity, innovation, and sophistication in regulatory analysis in compliance in a dynamic environment.</t>
  </si>
  <si>
    <t>169173-19T</t>
  </si>
  <si>
    <t>Chromo Invest, International Finance (Washington D.C.)(Carlos Pinto), LTS Investments, Monashees(Marcelo Lima), Raiz Investimentos, Sampa Partners, The Goldman Sachs Group (NYS: GS)</t>
  </si>
  <si>
    <t>209548-27T</t>
  </si>
  <si>
    <t>BrScan</t>
  </si>
  <si>
    <t>Developer of intelligent management solutions intended for telecom, fintech, banks and retail segments. The company specializes in fraud detection and compliance and also works with documentary risk, information, security, and organizational process management solutions helping the clients' operations and generating a fair return on the capital employed.</t>
  </si>
  <si>
    <t>Serasa Experian(Valdemir Bertolo)</t>
  </si>
  <si>
    <t>169192-99T</t>
  </si>
  <si>
    <t>Dialog (Communication Software)</t>
  </si>
  <si>
    <t>Developer of an internal communication platform designed to improve office communication services. The company's platform is available in web and corporate TV versions which can be integrated with other HR systems and internal esteemed social channels, enabling organizations to improve their internal communication and integration of human resources services.</t>
  </si>
  <si>
    <t>Antonio Salvador(Antonio Salvador), BR Angels, EquityRio, Gávea Angel Group(Cecília Andreucci), Meta Ventures(Marcio Flôres), Urca Angels</t>
  </si>
  <si>
    <t>179417-80T</t>
  </si>
  <si>
    <t>Eindom (Real Estate Services (B2C))</t>
  </si>
  <si>
    <t>Operator of a real estate development company intended to focus on the development of multi-property. The company focuses on the Brazilian real estate market, specializing in property rentals, enabling clients to rent properties in Brazil.</t>
  </si>
  <si>
    <t>218610-28T</t>
  </si>
  <si>
    <t>Oasis Resortwear</t>
  </si>
  <si>
    <t>Distributor of clothing items based in Itajaí, Brazil. The company specializes in sales of women clothing, accessories, through its online platform as well as its stores.</t>
  </si>
  <si>
    <t>AMC Textil</t>
  </si>
  <si>
    <t>168978-25T</t>
  </si>
  <si>
    <t>Voe Tranquilo</t>
  </si>
  <si>
    <t>Operator of a consumer empowerment platform intended for solving problems with air transport. The platform allows passengers to submit claims for air travel issues such as flight delays, cancellations, lost luggage, and other disruptions and guides users through the process, enabling air travelers to seek compensation for inconveniences caused by airlines and simplifying the claim process.</t>
  </si>
  <si>
    <t>Big Bets, Iporanga Ventures(Renato Valente), Spectra Investments</t>
  </si>
  <si>
    <t>169067-44T</t>
  </si>
  <si>
    <t>FTV Capital(Kyle Griswold), NVA Capital(Marcelo Maisonnave)</t>
  </si>
  <si>
    <t>169019-65T</t>
  </si>
  <si>
    <t>BB DTVM</t>
  </si>
  <si>
    <t>Provider of asset management services for retail, high income, private, corporate, foreign, government and institutional investors. The company specializes in the distribution of securities, administration and safekeeping of portfolios and establishes, organizes, administers and manages funds, helping all kinds of investors increase investment income.</t>
  </si>
  <si>
    <t>195667-21T</t>
  </si>
  <si>
    <t>Datarisk</t>
  </si>
  <si>
    <t>Developer of a predictive modeling platform designed to identify customers with a high probability of financial risk. The company's platform is focused on credit, collection, and fraud serving and automates the document-checking process, enabling clients to decrease bad debts by analyzing internal data to increase their efficiency.</t>
  </si>
  <si>
    <t>199759-15T</t>
  </si>
  <si>
    <t>170584-03T</t>
  </si>
  <si>
    <t>Fix</t>
  </si>
  <si>
    <t>Operator of professional service delivery platform serving in São Paulo, Curitiba and Porto Alegre. The company's platform processes the needs of maintenance services, minor renovations, installations, hydraulic services, general repair by connecting service providers and customers, thereby serving homeowners with all possible maintenance and repair services at their doorstep.</t>
  </si>
  <si>
    <t>The Carlyle Group (NAS: CG)(Alex Stirling), USS Solucoes Gerenciadas(Roberto Rittes)</t>
  </si>
  <si>
    <t>213215-68T</t>
  </si>
  <si>
    <t>FW Group</t>
  </si>
  <si>
    <t>Manufacturer of personal hygiene products intending to create technologically differentiated hygiene products. The company specializes in manufacturing environmentally friendly products while applying microbiological control applied processes in its wet wipes and wipes line of products.</t>
  </si>
  <si>
    <t>Viveo'</t>
  </si>
  <si>
    <t>195665-95T</t>
  </si>
  <si>
    <t>206978-95T</t>
  </si>
  <si>
    <t>165197-26T</t>
  </si>
  <si>
    <t>Alberta Investment Management, BNDESpar, CPP Investments(Scott Lawrence), IG4 Capital</t>
  </si>
  <si>
    <t>195666-22T</t>
  </si>
  <si>
    <t>195667-12T</t>
  </si>
  <si>
    <t>173074-33T</t>
  </si>
  <si>
    <t>195668-29T</t>
  </si>
  <si>
    <t>169666-30T</t>
  </si>
  <si>
    <t>Smarket</t>
  </si>
  <si>
    <t>Developer of a promotion management platform designed to organize complex retail data. The company's platform helps in redesigning the way promotions are created and launched, by helping with the management and organization of physical spaces and creating posters without price errors, enabling clients to conduct promotions efficiently without wasting time by avoiding the need for rework.</t>
  </si>
  <si>
    <t>Neogrid Europe(Eduardo Ragasol)</t>
  </si>
  <si>
    <t>173043-28T</t>
  </si>
  <si>
    <t>194437-18T</t>
  </si>
  <si>
    <t>Bossa Invest, Carol Paifer, Janguie Diniz</t>
  </si>
  <si>
    <t>164659-69T</t>
  </si>
  <si>
    <t>Centennial Towers</t>
  </si>
  <si>
    <t>Developer and operator of communication towers. The company's communication towers enable wireless operators to accelerate deployments for reaching new customers through multi-tenant communications sites with speed and quality, and operate them well, in locations needed for better wireless coverage and improve their service for existing ones, thus saving on time-to-market and capital costs in Latin America.</t>
  </si>
  <si>
    <t>British International Investment, EG Capital Advisors, Emerging Capital Partners(Bryce Fort), IHS Towers (NYS: IHS), International Finance (Washington D.C.), Luxempart (LUX: LXMPR), Man Capital, Massena Partners, Peugeot Invest (PAR: PEUG), Sofina (BRU: SOF), The Goldman Sachs Group (NYS: GS), Wendel Group (PAR: MF)</t>
  </si>
  <si>
    <t>179510-32T</t>
  </si>
  <si>
    <t>169412-50T</t>
  </si>
  <si>
    <t>BoostLAB, Darwin Startups(Marcos Buson), Headline(Romero Rodrigues), Igah Ventures, Redpoint eventures(Romero Rodrigues), Stone Pagamentos (NAS: STNE)</t>
  </si>
  <si>
    <t>194456-26T</t>
  </si>
  <si>
    <t>Keepz</t>
  </si>
  <si>
    <t>Developer of an IT-based platform designed to transform businesses through sales optimization. The company's platform connects people to a huge diversity of businesses all over Brazil, promoting the local economy, preserving work, and generating income for many families, enabling stores to save time and money on their purchases.</t>
  </si>
  <si>
    <t>168833-44T</t>
  </si>
  <si>
    <t>MZK Investimentos</t>
  </si>
  <si>
    <t>Operator of an asset management company in São Paulo, Brazil. The company specializes in macro strategies and offers differentiated asset management strategies to maximize risk-adjusted returns.</t>
  </si>
  <si>
    <t>168936-76T</t>
  </si>
  <si>
    <t>Passei Direto</t>
  </si>
  <si>
    <t>Developer of a platform designed to offer online study materials. The company's peer-to-peer study platform offers an academic network that connects students with each other and helps them to follow specific courses, share study materials, and ask questions, enabling students to get content and tools that help them improve their grades.</t>
  </si>
  <si>
    <t>171128-08T</t>
  </si>
  <si>
    <t>Lauf Sports</t>
  </si>
  <si>
    <t>Operator of sports fashion company intended to help athletes provide better performance. The company's proposal is to offer high-performance sports clothing with a strong fashion appeal, always keeping the concern with functionality and comfort, and presents a varied range for the practice of sports, from swimming to cycling, passing through ballet and yoga, thereby enabling athletes to accompany them in the most diverse activities.</t>
  </si>
  <si>
    <t>Soma Ventures</t>
  </si>
  <si>
    <t>187412-14T</t>
  </si>
  <si>
    <t>Canary (Brazil), Caravela Capital, Global Founders Capital</t>
  </si>
  <si>
    <t>215361-01T</t>
  </si>
  <si>
    <t>PM3</t>
  </si>
  <si>
    <t>Provider of digital learning products and associated services intended to prepare leaders and entrepreneurs for day-to-day challenges. The company offers a wide range of project management courses with in-depth content, live activities, study groups, meetups and practical projects covering leadership, marketing, designing and analytics domains, delivering collaborative and continuous learning for all levels with a safe space for hands-on activities and networking.</t>
  </si>
  <si>
    <t>170264-08T</t>
  </si>
  <si>
    <t>Ramper</t>
  </si>
  <si>
    <t>Developer of a digital prospecting platform intended to automate prospecting in B2B sales and generate more qualified leads. The company's platform specializes in helping the company to scale B2B lead generation and automate end-to-end prospecting by building lists of ideal customers, going through approaches until the lead is ready to go to CRM, enabling clients to improve their sales personally without undermining efficiency.</t>
  </si>
  <si>
    <t>DOMO.VC, EquityRio, Rio Venture Capital, Smart Money Ventures</t>
  </si>
  <si>
    <t>176069-53T</t>
  </si>
  <si>
    <t>174974-41T</t>
  </si>
  <si>
    <t>Vitalicia</t>
  </si>
  <si>
    <t>Operator of a mobile messaging platform intended to empower and organize the health data of patients. The company's platform permits patient and doctor conversation outside of the clinic and integrates patient health data so doctors have all the relevant information, enabling doctors to talk to patients, ask questions, resolve medical situations, and make appointments.</t>
  </si>
  <si>
    <t>Carioca Da Gema, Iporanga Ventures, Lucas Carneiro, Pedro Vieira, Rodrigo Xavier</t>
  </si>
  <si>
    <t>190443-34T</t>
  </si>
  <si>
    <t>CSN Inova Ventures(Gabriela Toribio), Latitud, Norte Ventures</t>
  </si>
  <si>
    <t>170376-13T</t>
  </si>
  <si>
    <t>Bradesco Seguros, David Vélez(David Vélez), DNA Capital (Investor)(Mario Ribeiro), Endeavor Catalyst, Valor Capital Group, Wormhole Capital</t>
  </si>
  <si>
    <t>211138-12T</t>
  </si>
  <si>
    <t>Casa Mineira</t>
  </si>
  <si>
    <t>Operator of a real estate brokerage company intended to offers sale and rental of real estate properties. The company specializes in in buying, selling, leasing and renting real estate properties.</t>
  </si>
  <si>
    <t>GRPQA(Gabriel Braga Vieira)</t>
  </si>
  <si>
    <t>224116-12T</t>
  </si>
  <si>
    <t>G5 Cidade Nova Fdo Invest Imob (BVMF: TCIN11)</t>
  </si>
  <si>
    <t>G5 Cidade Nova Fundo Investimento Imobiliario objective is to invest in real estate projects, primarily through the acquisition of a commercial or residential real estate. The objective of the Fund is investment in real estate projects, primarily through the acquisition of commercial real estate or residential including but not limited to autonomous units object of residential and commercial real estate development, participation in company whose sole purpose falls within the activities allowed to the Fund.</t>
  </si>
  <si>
    <t>168860-71T</t>
  </si>
  <si>
    <t>Kinvo</t>
  </si>
  <si>
    <t>Developer of an investment platform intended to track and analyze investments in one place. The company's platform offers features that help to check how investments are divided, risk and return, product sensitivity, dividend notifications and more, enabling users to organize their investment portfolio and receive financial advice.</t>
  </si>
  <si>
    <t>172354-51T</t>
  </si>
  <si>
    <t>Angel Ventures Mexico</t>
  </si>
  <si>
    <t>215536-33T</t>
  </si>
  <si>
    <t>261307-27T</t>
  </si>
  <si>
    <t>Tribuzana</t>
  </si>
  <si>
    <t>Developer of an artificial intelligence platform intended to improve workplace safety through technological applications. The company's system automatically captures deviations and near misses data and identifies causes and trends via data analytics, enabling firms to reduce accidents and increase productivity.</t>
  </si>
  <si>
    <t>124758-28T</t>
  </si>
  <si>
    <t>Nvoip</t>
  </si>
  <si>
    <t>Developer of a cloud-based telecom management platform designed to help businesses save time and money on their telecom spending. The company's platform offers a view of all telecoms services, including chatbot and other tools, which allow managing contracts, tracking usage and troubleshooting problems, enabling companies to reduce costs, extend their presence and improve customer service quality.</t>
  </si>
  <si>
    <t>Bossa Invest, BR Angels, Cedro Capital(Alessandro Machado), Pierre Schurmann(Pierre Schurmann)</t>
  </si>
  <si>
    <t>185206-69T</t>
  </si>
  <si>
    <t>168717-79T</t>
  </si>
  <si>
    <t>Clinica SIM</t>
  </si>
  <si>
    <t>Provider of healthcare services intended to create a retail clinic network for the less fortunate. The company offers a range of reliable diagnoses and healthcare services by adopting a low-cost and fee-for-service strategy, enabling low-income patients to get treatment at affordable prices.</t>
  </si>
  <si>
    <t>Bewater(Carlos Filgueiras), Ecoa Capital, Green Rock (Brazil)</t>
  </si>
  <si>
    <t>180265-69T</t>
  </si>
  <si>
    <t>Jigstack</t>
  </si>
  <si>
    <t>Developer of a decentralized autonomous organization designed for governing a portfolio of Ethereum network assets and protocols. The company offers a suite of valuable flagship Defi products governed as DAO and features an all-in-one platform that covers the whole range of services, enabling users to experience a new ecosystem focused on equality of opportunity for holders of various tokens.</t>
  </si>
  <si>
    <t>BlackDragon (Zagreb), Block Films, Blocksync Ventures, CSP DAO, DeltaHub Capital, DHC Capital, Exnetwork Capital, Follow [the] Seed, Global Key Investment (Dubai), Moonwhale Ventures, Part One Capital, UAB Gains Associates, X21 Digital</t>
  </si>
  <si>
    <t>247515-13T</t>
  </si>
  <si>
    <t>Monteiro Aranha (BVMF: MOAR3)</t>
  </si>
  <si>
    <t>Monteiro Aranha SA, through its subsidiaries is engaged in financial, real estate and industrial sectors. The company's subsidiaries produce pulp and paper, petrochemicals, glass containers, and telecommunication equipments. It is involved in the manufacture, export, and recycling of paper; and production and sale of wood in logs, as well as offers packaging papers, corrugated packaging, and industrial bags. The company also distributes fuel and LPG; produces ethylene oxide and its derivatives, specialty chemicals, fatty alcohols, and co-products.</t>
  </si>
  <si>
    <t>187470-73T</t>
  </si>
  <si>
    <t>Nexpe Participacoes (BVMF: NEXP3)</t>
  </si>
  <si>
    <t>Nexpe Participacoes SA provides real estate brokerage and consulting services.</t>
  </si>
  <si>
    <t>Cerberus Capital Management</t>
  </si>
  <si>
    <t>228339-28T</t>
  </si>
  <si>
    <t>Energética Camaçari Muricy</t>
  </si>
  <si>
    <t>Operator of power plant projects and operations intended to serve the energy industry. The company's services include power project operations and development of thermoelectric power plants, enabling customers with energy solutions in the State of Bahia, Brazil.</t>
  </si>
  <si>
    <t>New Fortress Energy (NAS: NFE)(Wesley Edens)</t>
  </si>
  <si>
    <t>215127-37T</t>
  </si>
  <si>
    <t>Hemos</t>
  </si>
  <si>
    <t>Provider of laboratory testing and diagnostic services based in Blumenau, Brazil. The company is engaged in providing laboratory services for all types of tests including toxicological and blood examination and also provides exam guidance services.</t>
  </si>
  <si>
    <t>213415-84T</t>
  </si>
  <si>
    <t>Mercanet</t>
  </si>
  <si>
    <t>Provider of commercial management and CRM solutions focused on capturing, controlling and managing sales. The company's software helps in the control and management of numerous daily order entries and mobility for large sales teams thus helping in automating the commercial management of large and medium-sized companies.</t>
  </si>
  <si>
    <t>EMS (Pharmaceuticals)</t>
  </si>
  <si>
    <t>213267-88T</t>
  </si>
  <si>
    <t>N1 IT</t>
  </si>
  <si>
    <t>Provider of IT consulting services intended to connect people, processes and technologies. The company offers cloud migration consulting, digital security consulting, people and professional development programs and Microsoft solutions catering to companies that have a national and international scope.</t>
  </si>
  <si>
    <t>Stefanini Scala</t>
  </si>
  <si>
    <t>263494-54T</t>
  </si>
  <si>
    <t>228339-82T</t>
  </si>
  <si>
    <t>168272-83T</t>
  </si>
  <si>
    <t>Ariel Lambrecht(Ariel Lambrecht), Canary (Brazil), FJ Labs, Floating Point(John Loser), Jose Gallo(Jose Gallo), Juscelino Martins(Juscelino Martins), Minerva Foods (BVMF: BEEF3), Quartz (Brazil)</t>
  </si>
  <si>
    <t>168359-86T</t>
  </si>
  <si>
    <t>Sled</t>
  </si>
  <si>
    <t>Developer of a digital financial platform designed to reduce losses due to the unavailability of change when payments are received. The company's platform lets businesses deposit change in digital format directly to customers' central provident fund (CPF) and withdraw at the point of sale, enabling businesses to reduce cash breakdowns and avoid losses due to missing change coins.</t>
  </si>
  <si>
    <t>Astella Investimentos(Laura Constantini), Curitiba Angels, Honey Island Capital, Leonardo Jianoti</t>
  </si>
  <si>
    <t>260369-74T</t>
  </si>
  <si>
    <t>168255-46T</t>
  </si>
  <si>
    <t>Adapt Ventures, Canary (Brazil), Canary Ventures, General Catalyst, Global Founders Capital, JAM Fund, Picus Capital, Soma Capital, SV Angel, VentureSouq</t>
  </si>
  <si>
    <t>185922-82T</t>
  </si>
  <si>
    <t>Canary (Brazil)(Marcos Leite), Fabien Mendez(Fabien Mendez), Lupa Capital, Marcelo Sampaio(Marcelo Sampaio), Paulo Silveira(Paulo Silveira), Sergio Souza(Sergio Souza)</t>
  </si>
  <si>
    <t>169016-86T</t>
  </si>
  <si>
    <t>Effecti</t>
  </si>
  <si>
    <t>Operator of a software platform intended to transform public procurement in Brazil. The company.'s platform provides a complete bidding service such as finding, registering, competing, and monitoring processes, enabling clients to avail efficient and error-free earning.</t>
  </si>
  <si>
    <t>168416-65T</t>
  </si>
  <si>
    <t>Healthbit (Business/Productivity Software)</t>
  </si>
  <si>
    <t>Developer of a healthcare support and analytics platform for corporate institutions designed to offer assistance in data analysis and health management. The company's platform provides simplified data model, spot health mapping, health calendar using cutting-edge concepts and technologies, enabling clients to better manage internal employee health data and reduce costs.</t>
  </si>
  <si>
    <t>Raia Drogasil (BVMF: RADL3)(Marcílio Pousada)</t>
  </si>
  <si>
    <t>257132-17T</t>
  </si>
  <si>
    <t>Leoa</t>
  </si>
  <si>
    <t>Developer of tax planning software based in Camboriu. Brazil. The company's software allows the declaration of income tax, estimate refunds, filing tax returns and other related activities using artificial intelligence, enabling clients to apply income tax advance quickly, easily and without bureaucracy.</t>
  </si>
  <si>
    <t>168495-31T</t>
  </si>
  <si>
    <t>Me Salva!</t>
  </si>
  <si>
    <t>Developer of an online test preparation platform designed to improve the scores of students. The company's platform offers recorded and live video classes, comprehensive exercises, essay writing tools, assessment tests, one-on-one tutoring and personalized study plans, thereby enabling students to prepare for higher education subjects in engineering, health sciences and business.</t>
  </si>
  <si>
    <t>177788-53T</t>
  </si>
  <si>
    <t>264024-10T</t>
  </si>
  <si>
    <t>225117-82T</t>
  </si>
  <si>
    <t>134694-10T</t>
  </si>
  <si>
    <t>El Tejar</t>
  </si>
  <si>
    <t>Producer and distributor of grains and fibers based in Primavera do Leste, Brazil. The company is engaged in the production of oilseeds and grains such as corn and wheat on owned and leased agricultural land in South America, thus offering high quality and healthy agricultural products to its clients throughout Brazil, Uruguay and Peru with an eye on the well-being of the environment.</t>
  </si>
  <si>
    <t>176630-23T</t>
  </si>
  <si>
    <t>André Street, David Vélez(David Vélez), EXOR Seeds, Guilherme Benchimol(Guilherme Benchimol), Owl Ventures</t>
  </si>
  <si>
    <t>179025-85T</t>
  </si>
  <si>
    <t>Klink (Business/Productivity Software)</t>
  </si>
  <si>
    <t>Developer of machine learning and artificial intelligence solutions for e-commerce and logistics companies. The company's platform uses robotization techniques to eliminate simple and repetitive tasks.</t>
  </si>
  <si>
    <t>Connectcom (Brazil)(Sergio Marques)</t>
  </si>
  <si>
    <t>168223-15T</t>
  </si>
  <si>
    <t>Caravela Capital, DGF Investimentos(Frederico Greve), Honey Island Capital</t>
  </si>
  <si>
    <t>241752-43T</t>
  </si>
  <si>
    <t>Magnesium do Brasil</t>
  </si>
  <si>
    <t>Miner of Magnesium in the Amazon region based in Fortaleza, Brazil. The company engages in the activity of Magnesium in the exploration of the Magnesita deposits and its processing.</t>
  </si>
  <si>
    <t>Roullier Group(Olivier Julienne)</t>
  </si>
  <si>
    <t>224103-52T</t>
  </si>
  <si>
    <t>SocialBase (Business/Productivity Software)</t>
  </si>
  <si>
    <t>Developer of a corporate social network intended to empower people to overcome challenges and accomplish more. The company's application enhances internal communication which makes teams more productive, engaged, and collaborative, helping companies improve the organizational climate, stimulate the culture of innovation and increase customer satisfaction.</t>
  </si>
  <si>
    <t>Hyper (Sydney)(Sasha Reid)</t>
  </si>
  <si>
    <t>194903-65T</t>
  </si>
  <si>
    <t>Quiet Capital</t>
  </si>
  <si>
    <t>177680-08T</t>
  </si>
  <si>
    <t>AoCubo</t>
  </si>
  <si>
    <t>Developer of an online real estate platform intended to find ideal homes or properties. The company's platform allows users to rent or buy houses, apartments, flats, townhouses, studios, land, townhouses, commercial real estate, and toppings, enabling property owners to compare and get deals that match their budget and preferences.</t>
  </si>
  <si>
    <t>Aurea Finvest Climate, Brian Requarth(Brian Requarth), InfoCasas, Ipanema Ventures, Net Ventures(Benjamin Neve), Shaun Di Gregorio(Shaun Di Gregorio), Simon Baker(Simon Baker)</t>
  </si>
  <si>
    <t>224756-65T</t>
  </si>
  <si>
    <t>253831-78T</t>
  </si>
  <si>
    <t>Mob Target</t>
  </si>
  <si>
    <t>Developer of new tools to limit the spread of antibiotic resistance genes and eradicate resistance genes from bacterial communities.</t>
  </si>
  <si>
    <t>Imagination Unwired Serviços Digitais Ltda</t>
  </si>
  <si>
    <t>242043-58T</t>
  </si>
  <si>
    <t>StarWeb Internet</t>
  </si>
  <si>
    <t>Provider of internet services intended for the telecommunication sector. The company operates in more than 32 locations providing internet connectivity services along with offering installation and maintenance, thereby providing fast and reliable speed to their clients.</t>
  </si>
  <si>
    <t>ACON Investments(Andre Bhatia), Conexão Group(Gilbert Minionis Delia)</t>
  </si>
  <si>
    <t>183462-04T</t>
  </si>
  <si>
    <t>Tubo-Tec</t>
  </si>
  <si>
    <t>Manufacturer of cardboard tubes for weaving and packaging based in Pedras de Fogo, Brazil. The company specializes in making cardboard cones and tubes with different paintings and patterns for differentiation as well as open-end tubes for cotton spinning and tubes for texturing synthetic or mixed yarns.</t>
  </si>
  <si>
    <t>251348-41T</t>
  </si>
  <si>
    <t>Genial Logistica Fundo (BVMF: GLOG11)</t>
  </si>
  <si>
    <t>Genial Logistica Fundo De Investimento Imobiliario aims to obtain income through the acquisition of real estate assets and the commercial exploitation, through leasing, of properties in the logistics segment located throughout the national territory. The company invests more than two thirds of its Net Equity in properties already built or in real rights over properties already built, which are aimed at logistics or industrial operations.</t>
  </si>
  <si>
    <t>173513-62T</t>
  </si>
  <si>
    <t>Medicinae Solutions</t>
  </si>
  <si>
    <t>Developer of a financial management platform designed to improve receipt for professionals and payment for patients. The company's platform organizes finance and manages medical receivables, tracks real-time billing, payments and gloss and balances cash flow and consolidates payments for various invoices and plans.</t>
  </si>
  <si>
    <t>167984-92T</t>
  </si>
  <si>
    <t>Millenium Soluções em Tecnologia</t>
  </si>
  <si>
    <t>Provider of technology consultation and services based in Sao Caetano do Sul, Brazil. The company offers services relating to the installation and configuration of systems and network environments, hardware maintenance, providing clients with all kinds of technology-related solutions at competitive prices.</t>
  </si>
  <si>
    <t>Taxweb</t>
  </si>
  <si>
    <t>168365-80T</t>
  </si>
  <si>
    <t>Base Partners(Fernando Spnola), Crankstart Foundation(Michael Moritz), David Vélez(David Vélez), Michael Moritz(Michael Moritz), Tiger Global Management(Griffin Schroeder), Tom Stafford(Tom Stafford)</t>
  </si>
  <si>
    <t>251638-48T</t>
  </si>
  <si>
    <t>Xp Hoteis FII</t>
  </si>
  <si>
    <t>Xp Hoteis - Fundo DE Investimento Imobiliario - FII is a real estate investment trust.</t>
  </si>
  <si>
    <t>251330-68T</t>
  </si>
  <si>
    <t>Performa Real Estate (BVMF: PEMA11)</t>
  </si>
  <si>
    <t>Performa Real Estate - Fundo DE Investimento Imobiliario is a real estate investment trust.</t>
  </si>
  <si>
    <t>167846-41T</t>
  </si>
  <si>
    <t>REBEL (Lending Platform)</t>
  </si>
  <si>
    <t>Provider of credit and financial literacy tools intended to offer no personal guarantee credit at low interest rates by leveraging technology (big data) to perform precise assessments of each consumer's financial behavior. The company's platform offers unsecured personal loans of up to 25,000 reais (US$7,500) for 24 months at interest rates as low as 2.9% per month by utilizing large data sets and AI-powered algorithms in order to make better underwriting decisions, enabling users to get fairly-priced personal loan.</t>
  </si>
  <si>
    <t>168007-24T</t>
  </si>
  <si>
    <t>Shopping Leblon</t>
  </si>
  <si>
    <t>Operator of a shopping mall in Rio de Janeiro, Brazil.</t>
  </si>
  <si>
    <t>Aliansce Shopping Centers</t>
  </si>
  <si>
    <t>199766-89T</t>
  </si>
  <si>
    <t>Byond</t>
  </si>
  <si>
    <t>Developer of supply chain management system designed to provide automated operations and logistics visibility. The company specializes in contemporary technologies and business models, aligned with the digital strategy for tracking, locating, and monitoring items, people, and assets, providing businesses with logistical solutions.</t>
  </si>
  <si>
    <t>Right Side Capital Management</t>
  </si>
  <si>
    <t>163941-94T</t>
  </si>
  <si>
    <t>209520-82T</t>
  </si>
  <si>
    <t>VipCommerce</t>
  </si>
  <si>
    <t>Operator of e-commerce supermarket company catering to convenience stores. The company's software offers a virtual store, back-office, order management, logistics, erp integration to manage the entire process of the order cycle, including purchase and delivery thereby, enabling traditional stores to sell online.</t>
  </si>
  <si>
    <t>167873-50T</t>
  </si>
  <si>
    <t>Agrícola Famosa</t>
  </si>
  <si>
    <t>Distributor and Producer of fruits based in Brazil. The company produces melons, watermelons, papayas and hot fruits and ships them to customers worldwide.</t>
  </si>
  <si>
    <t>Cítrico Global(Carlos Blanc)</t>
  </si>
  <si>
    <t>169525-54T</t>
  </si>
  <si>
    <t>Geru</t>
  </si>
  <si>
    <t>Operator of an online lending platform designed to offer Brazilians the possibility of taking out a loan without leaving home, in a fast, transparent and secure way. The company's platform features cutting-edge technology with a high level of security and intelligence, allowing financial institutions to provide money for those who want a loan at the same time investors finance these loans through the same financial institutions and its also captures proposals from borrowers who have appropriate ratings to credit policies of the financial institutions, acting as a correspondent bank for them, enabling borrowers to get financing with attractive interest rates.</t>
  </si>
  <si>
    <t>Open Co Tecnologia(Rafael Pereira)</t>
  </si>
  <si>
    <t>181294-03T</t>
  </si>
  <si>
    <t>42K Investimentos, Bruno Licht(Bruno Licht), Chromo Invest, FinTech Collective, Fued Sadala(Fued Sadala), J. Malucelli Seguradora, João Guerra(João Guerra), Julio Capua(Julio Capua), Monashees, Point Break Capital, XP Investimentos (NAS: XP)</t>
  </si>
  <si>
    <t>181499-32T</t>
  </si>
  <si>
    <t>Agrisolus</t>
  </si>
  <si>
    <t>Developer of a farm management technology intended to increase the global production scale. The company's technology focuses on managing costs, organizing processes, and connecting sensors to its software to provide real-time information about the current status of production, enabling poultry producers to increase production rates affordably.</t>
  </si>
  <si>
    <t>215802-01T</t>
  </si>
  <si>
    <t>Baita, Facebook Community Accelerator</t>
  </si>
  <si>
    <t>195463-99T</t>
  </si>
  <si>
    <t>207557-47T</t>
  </si>
  <si>
    <t>EquitasVC</t>
  </si>
  <si>
    <t>204129-91T</t>
  </si>
  <si>
    <t>Eunerd</t>
  </si>
  <si>
    <t>Provider of on-demand IT field support services intended to accelerate transformation by outsourcing support operations. The company orchestrates teams of experts and machines, lowering the time spent on administrative tasks such as accessing, hiring, reviewing, and paying technicians, enabling business managers to generate reports and track service-level agreements.</t>
  </si>
  <si>
    <t>Positivo Tecnologia (BVMF: POSI3)(Hélio Rotenberg)</t>
  </si>
  <si>
    <t>168483-52T</t>
  </si>
  <si>
    <t>Feito</t>
  </si>
  <si>
    <t>Developer of a corporate productivity software designed to synchronize tasks with remote teams. The company's software offers a simple tool that helps organizations' teams stay aligned and focused on delivering goals, enabling businesses and corporations with a simplified process to create and manage their operations.</t>
  </si>
  <si>
    <t>211078-63T</t>
  </si>
  <si>
    <t>174313-63T</t>
  </si>
  <si>
    <t>186715-45T</t>
  </si>
  <si>
    <t>204712-93T</t>
  </si>
  <si>
    <t>KOORTimativa</t>
  </si>
  <si>
    <t>Developer of a real estate appraisal tool designed to redefine real estate valuation through big data, machine learning (ML) and artificial intelligence (AI). The company's tool combines the methodological discipline of econometrics with the algorithmic power of AI to set aside large samples for testing to prove its predictive ability and automate most of the repetitive tasks necessary to produce evaluations and reports, enabling users to get an estimate of the property's value.</t>
  </si>
  <si>
    <t>178562-44T</t>
  </si>
  <si>
    <t>224235-46T</t>
  </si>
  <si>
    <t>Netion</t>
  </si>
  <si>
    <t>Provider of internet services intended for commercial and residential clients. The company offers fiber internet based on the subscription model, offering various plans as per the requirements of customers, catering to the market in São Paulo, Brazil.</t>
  </si>
  <si>
    <t>216041-50T</t>
  </si>
  <si>
    <t>245115-82T</t>
  </si>
  <si>
    <t>PrimaSea Holdings</t>
  </si>
  <si>
    <t>Producer of animal feed and plant fertilizer products intended to cater to the needs of plant and animal nutrition market. The company offers supplements for livestock and substitutes for chemical fertilizers, based on seaweed, thereby ensuring its clients meet the needs of the global population while reducing the impact on the environment, rural producers and the agribusiness industry.</t>
  </si>
  <si>
    <t>Solum Capital</t>
  </si>
  <si>
    <t>175729-69T</t>
  </si>
  <si>
    <t>Flavio Litterio(Flavio Litterio), Grão (São Paulo), NXTP Ventures, Victor Santos(Victor Santos)</t>
  </si>
  <si>
    <t>169592-86T</t>
  </si>
  <si>
    <t>207559-90T</t>
  </si>
  <si>
    <t>Suridata Technology</t>
  </si>
  <si>
    <t>Developer of a health management platform designed to manage the supplementary healthcare sector. The company's platform offers services using data technology so that brokers can view and compare all of their clients in one place, regardless of the operator, to reduce and control the costs of corporate health plans to recover undue charges and recommend preventive programs with guidelines to control expenses, enabling brokers to increase the health and improve quality of life.</t>
  </si>
  <si>
    <t>EquitasVC, Norte Ventures</t>
  </si>
  <si>
    <t>170935-66T</t>
  </si>
  <si>
    <t>Greg Greeley(Greg Greeley), Grão (São Paulo), Guilherme Weege(Guilherme Weege), Rodrigo Osmo(Rodrigo Osmo), VentureFriends</t>
  </si>
  <si>
    <t>167692-78T</t>
  </si>
  <si>
    <t>Zimobi</t>
  </si>
  <si>
    <t>Developer of real estate services software designed to solve problems by the intelligent chatbot. The company's software specializes in distribution of leads according to the real estate agency's criteria with roulette and on-call rules, provides a customized dashboard for business with valuable insights into the performance of the team and sales funnel, enabling real estate agencies and all their employees to provide their customers with real-time access, smart notifications and mobile compatibility, and always at hand with optimize results.</t>
  </si>
  <si>
    <t>188792-38T</t>
  </si>
  <si>
    <t>Ipe Tecnologia Digital</t>
  </si>
  <si>
    <t>Developer of management system platform intended to serve opticians. The company offers services via SaaS specific to opticians and aimed at facilitating business management, such as cash control and organization, after-sales services and online marketing, billing via applications, cash flow notes, complete consumer history and information on best-selling products.</t>
  </si>
  <si>
    <t>274135-06T</t>
  </si>
  <si>
    <t>183302-92T</t>
  </si>
  <si>
    <t>Mistral Agroflorestal</t>
  </si>
  <si>
    <t>Operator of a holding company engaged in the management of forestry assets. The company provides consulting and advisory services on reforestation, project implementation as well as the sourcing and supply of raw materials derived from woodlands.</t>
  </si>
  <si>
    <t>164899-36T</t>
  </si>
  <si>
    <t>Pimaco Autoadesivos</t>
  </si>
  <si>
    <t>Manufacturer of stationery products intended to serve customers in Brazil. The company offers inkjet and laser printers, adhesive notes, notebooks and handout cabinets and other products.</t>
  </si>
  <si>
    <t>Beontag Participações, BTG Pactual (BVMF: BPAC3)</t>
  </si>
  <si>
    <t>Business Equipment and Supplies</t>
  </si>
  <si>
    <t>251331-22T</t>
  </si>
  <si>
    <t>Sequoia III Renda (BVMF: SEQR11)</t>
  </si>
  <si>
    <t>Sequoia Iii Renda Imobiliaria - Fundo DE Investimento Imobiliario is a real estate investment trust engaged in the logistics/industrial segments, slabs or commercial buildings, or retail properties outside shopping centers.</t>
  </si>
  <si>
    <t>194464-81T</t>
  </si>
  <si>
    <t>273737-26T</t>
  </si>
  <si>
    <t>217246-15T</t>
  </si>
  <si>
    <t>3778</t>
  </si>
  <si>
    <t>Developer of corporate healthcare management technology intended to take care of corporate health needs. The company's technology operates throughout the employee care cycle and offers assistance in occupational health, workplace safety, primary health care, mental health, outpatient management, and labor outsourcing, enabling companies to provide assistance to employees, optimize resources, and get health consultations.</t>
  </si>
  <si>
    <t>LTS Investments(Jorge Lemann), Randal Zanetti(Randal Zanetti), StaminaVC, Trigger Participações, UV Gestora de Investimentos</t>
  </si>
  <si>
    <t>167449-69T</t>
  </si>
  <si>
    <t>Blue Impact Supply Chain Ventures, Randon Ventures</t>
  </si>
  <si>
    <t>168016-15T</t>
  </si>
  <si>
    <t>Asset1 Investment Company</t>
  </si>
  <si>
    <t>Operator of an asset management firm located in Sao Paolo, Brazil. The company has robust investment structures, research, customer service, risks and operations focused on the management of active strategies and manage multimarket investment funds including hedge funds, intended to generate surplus (alpha) returns.</t>
  </si>
  <si>
    <t>169063-48T</t>
  </si>
  <si>
    <t>Kiwify</t>
  </si>
  <si>
    <t>Developer of an online course platform intended to create and sell online courses. The company's platform offers payment processing, video streaming, and student management, enabling users to host and manage their courses online.</t>
  </si>
  <si>
    <t>167588-92T</t>
  </si>
  <si>
    <t>Loggi</t>
  </si>
  <si>
    <t>Operator of an online shipping logistics platform designed to connect couriers to shippers. The company's platform helps to manage the logistics and connects delivery requests with the people without having to leave their homes and with more savings, enabling users to get easy, agile, and secure deliveries.</t>
  </si>
  <si>
    <t>1289 Capital, ARC Capital (Brazil), Atman Capital Partners, CapSur Capital, Luxor Group, M12, Marcello Goncalves(Marcello Goncalves), Microsoft (NAS: MSFT), Monashees, Next Billion Ventures, Nicolas Gautier(Nicolas Gautier), Notable Capital(Hans Tung), Rodrigo Borges(Rodrigo Borges), SoftBank Investment Advisers, SoftBank Latin America Fund, Spectra Investments, Sunley House Capital Management, Verde Asset Management</t>
  </si>
  <si>
    <t>172462-15T</t>
  </si>
  <si>
    <t>Mobfiq</t>
  </si>
  <si>
    <t>Provider of e-commerce solution in Brazil. The company offers a platform for mobile technology for e-commerce that provides access to virtual stores via mobile app.</t>
  </si>
  <si>
    <t>CoreBiz Participacoes(Renan Mota)</t>
  </si>
  <si>
    <t>213039-19T</t>
  </si>
  <si>
    <t>Meu Q</t>
  </si>
  <si>
    <t>Operator of a personalized hair care brand intended to provide people with hair care products for their individual needs. The company offers a quiz that helps customers create a personalized hair care routine that is based on hair type, goals, and preferences, enabling customers to take proper care of their hair.</t>
  </si>
  <si>
    <t>GB Ventures</t>
  </si>
  <si>
    <t>158877-01T</t>
  </si>
  <si>
    <t>203191-75T</t>
  </si>
  <si>
    <t>Trademaster</t>
  </si>
  <si>
    <t>Provider of credit and lending services intended for small retailers and the B2B market. The company's payment platform allows the industry to increase the purchasing power of its distribution and sales channels and mitigate risks, enabling clients to make their businesses profitable and organized.</t>
  </si>
  <si>
    <t>167339-44T</t>
  </si>
  <si>
    <t>Vox Mundi Audiovisual</t>
  </si>
  <si>
    <t>Provider of audiovisual services catering to OTT platforms, channel operators and film companies. The company offers dubbing, subtitling, casting and mixing of documentary versions, animations, films, series, magazines and commercials, audio-post production and music effects.</t>
  </si>
  <si>
    <t>VSI Civisa</t>
  </si>
  <si>
    <t>167804-74T</t>
  </si>
  <si>
    <t>Agromakers</t>
  </si>
  <si>
    <t>Developer of autonomous fertigation system intended to provide precision and efficiency in the use of resources by crops. The company's platform provides online monitoring of fertigation, provides technology for sustainable and rational use of fertilizers and agricultural inputs, and also provides monitoring of agriculture by specialized technicians, enabling the agricultural industry to make irrigation management autonomous.</t>
  </si>
  <si>
    <t>267954-67T</t>
  </si>
  <si>
    <t>Comuta</t>
  </si>
  <si>
    <t>Operator of a social impact business intended to assist in building qualitative housing. The company develops business-to-business (B2B) solutions that allow companies to make a significant contribution to improving housing conditions in vulnerable communities and get involved in social impact projects, benefiting both their employees and the communities where they operate, enabling clients to contribute to reforming slum areas.</t>
  </si>
  <si>
    <t>167773-69T</t>
  </si>
  <si>
    <t>Esalqtec(Sergio Barbosa)</t>
  </si>
  <si>
    <t>265328-92T</t>
  </si>
  <si>
    <t>234346-15T</t>
  </si>
  <si>
    <t>Fundo De Investi (BVMF: TRBL11)</t>
  </si>
  <si>
    <t>Fundo De Investi Imobiliario Tellus Rio Bravo Renda Logistica - Fii is a real estate investment fund constituted in the form of a closed condominium. The purpose of the Fund is to make investments in long-term real estate projects, through the acquisition and subsequent asset management of properties of a logistical and industrial nature, notably logistical warehouses, preferably in the states of Sao Paulo and/or Rio de Janeiro.</t>
  </si>
  <si>
    <t>225302-68T</t>
  </si>
  <si>
    <t>More Real Estate Fof Fundo DE Investimento Imobiliario</t>
  </si>
  <si>
    <t>More Real Estate Fof Fundo DE Investimento Imobiliario is a real estate investment trust. The fund is intended for individuals and legal entities, residents domiciled in Brazil, institutional investors and investment funds, as well as non-Brazilian investors residents.</t>
  </si>
  <si>
    <t>173035-18T</t>
  </si>
  <si>
    <t>Pontue</t>
  </si>
  <si>
    <t>Developer of intelligent educational platform designed for writing and learning practices for students. The company's platform facilitates the management of online classes and speeds the correction of essays and assignments, enabling students to develop their writing skills.</t>
  </si>
  <si>
    <t>Patio ( Business/Productivity Software)(Maria Campos), WE Impact(Lícia Souza), WIM Angels</t>
  </si>
  <si>
    <t>211083-31T</t>
  </si>
  <si>
    <t>Biocontrol Sistema de Controle Biológico</t>
  </si>
  <si>
    <t>Manufacturer of biological pest control products intended to increase the production capacity of the farmers. The company offers a range of biological products such as insecticides, pesticides and sprays thereby helping farmers and improving performance, effectiveness, shelf life and suitability for organic farming requirements.</t>
  </si>
  <si>
    <t>Nitro Química(Marcos Cruz)</t>
  </si>
  <si>
    <t>243063-64T</t>
  </si>
  <si>
    <t>Escola Santi</t>
  </si>
  <si>
    <t>Operator of an elementary school based in Sao Paulo, Brazil. The company specializes in providing early childhood education to kids, thereby helping kids to develop a taste for knowledge through learning concepts, attitudes and procedures.</t>
  </si>
  <si>
    <t>185071-06T</t>
  </si>
  <si>
    <t>Cerralv Capital, Oca Capital(Anna Bianchi), Pacific Lake</t>
  </si>
  <si>
    <t>180649-81T</t>
  </si>
  <si>
    <t>Distrito Ventures(Gustavo Gierun), Eduardo Guimarães(Eduardo Guimarães), KPTL, Plug and Play Tech Center(Andrea Sanchez)</t>
  </si>
  <si>
    <t>174793-24T</t>
  </si>
  <si>
    <t>Quansa</t>
  </si>
  <si>
    <t>Developer of an online financial management and savings platform intended to help workers and employees with their finances. The company's platform provides services including financial advisory, earned wages, personal credit lines, and customized plans to settle debts and overcome financial challenges, enabling workers to save money on financial products and work free of stress about their finances.</t>
  </si>
  <si>
    <t>Ariel Lambrecht(Ariel Lambrecht), Bruna Guimaraes(Bruna Guimaraes), Canary (Brazil)(Marcos Leite), Mada Seghete(Mada Seghete), Magma Partners, Mariana Dias(Mariana Dias), Mauricio Feldman(Mauricio Feldman), Norte Ventures, Pear (California), Sequoia Capital, Spectra Investments, Valor Capital Group(Antoine Colaço)</t>
  </si>
  <si>
    <t>251054-02T</t>
  </si>
  <si>
    <t>Rec Fundo DE Fundos (BVMF: RECX11)</t>
  </si>
  <si>
    <t>Rec Fundo DE Fundos - FII Fundo DE Investimento Imobiliario aims to invest, primarily, in shares of other real estate investment funds.</t>
  </si>
  <si>
    <t>167115-25T</t>
  </si>
  <si>
    <t>Credisfera</t>
  </si>
  <si>
    <t>Provider of online lending services intended to build an alternative for individuals and businesses having surplus funds. The company offers personal loans online and over the internet.</t>
  </si>
  <si>
    <t>Locaweb Internet Services (BVMF: LWSA3)(Fernando Cirne)</t>
  </si>
  <si>
    <t>188932-60T</t>
  </si>
  <si>
    <t>CSN Mineracao (BVMF: CMIN3)</t>
  </si>
  <si>
    <t>CSN Mineracao SA is engaged in the steelmaking business. The company operates in steel, mining, cement, logistics, and energy segments. The product portfolio includes flat, long, steel packaging, steel cutting services, and others. The company operates in Asia, Europe and Domestic Country, with majority of revenue from Asia.</t>
  </si>
  <si>
    <t>169026-40T</t>
  </si>
  <si>
    <t>6th Man Ventures, Bitscale Capital, Boost VC, Framework Ventures, NXTP Ventures, P2P Capital, The LAO, Zee Prime Capital</t>
  </si>
  <si>
    <t>167045-14T</t>
  </si>
  <si>
    <t>Amadeus Capital Partners(Patrick Burtis), Bossa Invest, Chan Zuckerberg Initiative, Intercorp Peru, Invus Opportunities(David Kahane), Peninsula Participacoes(Abilio Dos Santos Diniz), SoftBank Latin America Fund(Paulo Passoni), The Edge, The Invus Group, Valor Capital Group(Antoine Colaço), Vineet Madan(Vineet Madan)</t>
  </si>
  <si>
    <t>167117-86T</t>
  </si>
  <si>
    <t>Dooca Commerce</t>
  </si>
  <si>
    <t>Developer of a e-commerce platform software intended to offer sale of online sales. The company's platform offers advanced appearance editor, marketplace hubs, simplified checkout and optimized smartphone transactions.</t>
  </si>
  <si>
    <t>173042-38T</t>
  </si>
  <si>
    <t>Faber-Castell</t>
  </si>
  <si>
    <t>172463-50T</t>
  </si>
  <si>
    <t>Arlon Group(Bruno Silva), Fitpart Capital Partners</t>
  </si>
  <si>
    <t>172466-38T</t>
  </si>
  <si>
    <t>169433-11T</t>
  </si>
  <si>
    <t>Orizon Valorizacao De Residuos SA is a waste treatment and recovery company. The company offers solid waste treatment services, treatment of gases, processing and industrialization of waste, monitoring groundwater, and environmental remediation services.</t>
  </si>
  <si>
    <t>156760-39T</t>
  </si>
  <si>
    <t>Companhia de Locacao Americas SA provides car rental services. It provides customized car rental fleets for businesses as well as a full line of vehicles including motorcycles, economy cars, executives, armored vehicles, commercial vehicles, and trucks. The company's segment includes Fleet; rent-a-car and Acelero. It generates maximum revenue from the Fleet segment.</t>
  </si>
  <si>
    <t>168921-64T</t>
  </si>
  <si>
    <t>168007-15T</t>
  </si>
  <si>
    <t>Y Combinator(Aaron Epstein)</t>
  </si>
  <si>
    <t>278327-53T</t>
  </si>
  <si>
    <t>Vela Bikes</t>
  </si>
  <si>
    <t>Manufacturer of electric bikes designed for urban commuting. The company offers lightweight, stylish, and affordable e-bikes that help reduce carbon emissions, providing a convenient and eco-friendly transportation system for both personal and commercial use in Brazil and the United States.</t>
  </si>
  <si>
    <t>166786-57T</t>
  </si>
  <si>
    <t>PSafe Tecnologia</t>
  </si>
  <si>
    <t>Developer of internet security software designed to protect mobile devices. The company's platform offers antivirus and other security software that protects mobile devices from hacking, malware, identity theft, and other such malpractices, enabling users to securely browse the internet through their devices.</t>
  </si>
  <si>
    <t>CyberLabs</t>
  </si>
  <si>
    <t>169224-31T</t>
  </si>
  <si>
    <t>Lavemcasa</t>
  </si>
  <si>
    <t>Provider of laundry services intended to help users get clean clothes. The company's services collect and deliver washed and ironed clothes, in the comfort of their home and at an agreed time, enabling users to avoid wasting time in washing and ironing clothes.</t>
  </si>
  <si>
    <t>169224-04T</t>
  </si>
  <si>
    <t>167427-55T</t>
  </si>
  <si>
    <t>OceanPact (BVMF: OPCT3)</t>
  </si>
  <si>
    <t>Oceanpact Servicos Maritimos SA specialized in the management and response to emergency situations occurring in marine and coastal environments. It develops and implements safe, efficient and innovative solutions in the areas of the environment, subsea operations and logistical and engineering support. The company offers services for the study, protection, monitoring and sustainable use of the sea, the coast and marine resources for customers from different sectors of the economy, such as oil and gas, energy, mining, telecommunications, port, navigation, tourism, fishing and aquaculture.</t>
  </si>
  <si>
    <t>166069-54T</t>
  </si>
  <si>
    <t>Synergy Capital</t>
  </si>
  <si>
    <t>167119-57T</t>
  </si>
  <si>
    <t>Westwing Comércio Varejista (BVMF: WEST3)</t>
  </si>
  <si>
    <t>Westwing Comercio Varejista SA is engaged in the business of providing home decor and furnishing products. The Company's corporate purpose is to sell furniture, decorative items and clothing and accessories in general, mostly through its website and platforms for mobile applications and physical stores. It offers sofas, dining table, bookcases, beds, bar trolleys, pet furniture, towels sets, garden accessories, carpets, crockery, lighting products, and related products.</t>
  </si>
  <si>
    <t>158367-25T</t>
  </si>
  <si>
    <t>Bemobi Mobile Tech SA, formerly Bemobi Tech SA is a mobile media and entertainment company. It provides OTT media subscription services and distribution platforms.</t>
  </si>
  <si>
    <t>167115-70T</t>
  </si>
  <si>
    <t>Cruzeiro do Sul Educacional SA is engaged in the business of providing education services. It provides higher education, graduate programs, postgraduate courses, childhood education, and technical education.</t>
  </si>
  <si>
    <t>203054-41T</t>
  </si>
  <si>
    <t>Daycoval Real Estate Multiestrategia Fundo De Invest Imob De Respo (BVMF: DAYM11)</t>
  </si>
  <si>
    <t>Daycoval Real Estate Multiestrategia Fundo De Invest Imob De Respo Ltd is a real estate investment fund whose main objective is to earn income from rentals and capital gains based on the appreciation of its assets. The fund invests in commercial properties in the main urban regions of Brazil.</t>
  </si>
  <si>
    <t>133217-11T</t>
  </si>
  <si>
    <t>Bossa Invest, DOMO.VC(Felipe Andrade), TheVentureCity(Ricardo Sangion)</t>
  </si>
  <si>
    <t>218989-63T</t>
  </si>
  <si>
    <t>Escola Villare</t>
  </si>
  <si>
    <t>Opeartor of early childhood education and elementary schools based in Sao Caetano Do Sul, Brazil. The company offers a comprehensive and complete curriculum and provides schooling from early childhood education to high school including sports and cultural space, thereby providing students in all segments with learning experiences in a safe and comfortable environment.</t>
  </si>
  <si>
    <t>BDT &amp; Company (Private Equity)(Björn Robens), Cognita Schools(Josep Caubet), Jacobs Holding Family Office(Patrick De Maeseneire), Sofina (BRU: SOF)(Victor Casier), Teak Capital (Portugal)</t>
  </si>
  <si>
    <t>166711-42T</t>
  </si>
  <si>
    <t>FVO Alimentos</t>
  </si>
  <si>
    <t>Producer of pet food intended to bring health, joy and well-being to companion animals. The company offers extruded and complete wet food and snacks for pets through well-known brands in the standard and premium segments for dogs and cats, thereby providing food at a fair price so that customers' pets are long-lived and healthy and provide them with maximum joy.</t>
  </si>
  <si>
    <t>H.I.G. Capital(Marcelo de Albuquerque)</t>
  </si>
  <si>
    <t>251209-54T</t>
  </si>
  <si>
    <t>Panorama Properties Fundo (BVMF: PNPR11)</t>
  </si>
  <si>
    <t>Panorama Properties Fundo De Investimento Imobiliario engaged in investment in real estate assets in the logistics and corporate segments.</t>
  </si>
  <si>
    <t>141130-27T</t>
  </si>
  <si>
    <t>Renova Energia (305 MW Wind Project in Bahia)</t>
  </si>
  <si>
    <t>The wind power project is based in Bahia, Brazil. The project is part of a 743-MW wind power complex and has an installed capacity of 305-MW.</t>
  </si>
  <si>
    <t>182946-07T</t>
  </si>
  <si>
    <t>Facilit Tecnologia</t>
  </si>
  <si>
    <t>Developer of a governance software designed to assist in the areas of management and monitoring of strategic planning. The company's software offers features such as project communication management, report management, dashboard overview, meetings and presentations management, geolocation and maps management, performance indicator management and various other things, enabling businesses to get a systematic approach to their strategic planning, project management and indicators.</t>
  </si>
  <si>
    <t>180874-99T</t>
  </si>
  <si>
    <t>200374-75T</t>
  </si>
  <si>
    <t>Romero Carlos Tonini(Romero Tonini)</t>
  </si>
  <si>
    <t>168368-50T</t>
  </si>
  <si>
    <t>Petrobras (511.56 km2 Albacora Leste Field in Brazil)</t>
  </si>
  <si>
    <t>511.56 km2 oilfields based out of Brazil. The field is located in the northern area of the Campos Basin, in water depths ranging from 1,000 to 2,150 m, at a distance of about 120 km from Cabo de São Tomé and has an average daily production of 25.4 thousand barrels of oil per day and 615.3 thousand m3/day of gas.</t>
  </si>
  <si>
    <t>168726-34T</t>
  </si>
  <si>
    <t>PRIO SA is engaged in the exploration and production of oil and gas in Brazil and abroad. The company is engaged in oil and gas exploration and production in Brazil and overseas. Its exploration assets comprise Polvo field, Tubarao Martelo field, Campo de Frade, East Albacora field, and Wahoo block.</t>
  </si>
  <si>
    <t>166701-79T</t>
  </si>
  <si>
    <t>Vee (Brazil)</t>
  </si>
  <si>
    <t>Provider of flexible benefits cards intended to help organizations provide a better working environment for employees. The company offers incentive cards, food stamps, transportation vouchers and multi-benefit cards, thereby increasing employee satisfaction and autonomy.</t>
  </si>
  <si>
    <t>Swile</t>
  </si>
  <si>
    <t>166501-72T</t>
  </si>
  <si>
    <t>Poliplas</t>
  </si>
  <si>
    <t>Manufacturer of hybrid adhesives and sealants intended to serve civil construction, industrial and automotive sectors. The company offers silicones, sealants - hybrid adhesives and waterproofing with specific products.</t>
  </si>
  <si>
    <t>Bostik(Fabrício Buzeto)</t>
  </si>
  <si>
    <t>166472-20T</t>
  </si>
  <si>
    <t>Airborne Ventures, Good Karma Partners, Indico Capital Partners(Stephan de Moraes), SK Tarpon(Pedro Faria), Tarpon Capital(Pedro de Andrade Faria), Valutia</t>
  </si>
  <si>
    <t>167546-98T</t>
  </si>
  <si>
    <t>Brasilagro - Cia Bras de Prop Agricolas is a Brazil-based company, engaged in the acquisition, development, operation, and sale of rural properties suitable for agricultural activities. The business activity of the firm is operated through Real estate, Grains, Sugarcane, Cattle rising, Cotton, and Other segments. The Grains segment is involved in the production and sale of soybean and corn. The Sugarcane segment includes the sale of raw product. The Real Estate segment presents the P&amp;L from operations carried out in the company's subsidiaries. The Cattle Raising segment consists of producing and selling beef calves after weaning, which characterizes the activity as breeding and the Other segment engages in other corporate activities. The majority of revenue is earned from Grain Segment.</t>
  </si>
  <si>
    <t>185348-26T</t>
  </si>
  <si>
    <t>224660-80T</t>
  </si>
  <si>
    <t>Jalles Machado SA is engaged in the in the production of sugar and ethanol, cogeneration of electricity and production of cleaning products, yeast and latex.</t>
  </si>
  <si>
    <t>159765-67T</t>
  </si>
  <si>
    <t>MadeiraMadeira Comércio Eletrônico</t>
  </si>
  <si>
    <t>Operator of an online retail platform intended to offer house furnishing products. The company's online retail platform provides a range of products for home decorations including bathtubs, wooden doors, steel windows, wooden flooring and lighting products, enabling people to get all home decor products on a single platform.</t>
  </si>
  <si>
    <t>Avila Venture Capital, Brasil Capital, Claridge Venture Partners, Dynamo Ventures, Flybridge (New York)(Charles Hazard), Lakewood Capital, Monashees(Eric Acher), SoftBank Latin America Fund, Spectra Investments, VELT Partners</t>
  </si>
  <si>
    <t>166499-38T</t>
  </si>
  <si>
    <t>Poli Angels Group(Cláudio Cohen)</t>
  </si>
  <si>
    <t>167168-17T</t>
  </si>
  <si>
    <t>Grupo Toky SA is engaged in the operation of an online furniture and decoration store. The store offers sofas, wardrobes, office chairs, racks and panels, sofa beds, dinner tables and chairs, bed sheets, blankets, comforters, towels, bathrobes, curtains, decorative mirrors, kitchen appliances, bath accessories, lighting products, and housewares. The Group sells mainly through its categories: Furniture, Children's, Household Utilities, Garden and Leisure, Renovation and Garage, Electronics, and Others. Its brands are Mobly, Guldi, and Tok&amp;Stok.</t>
  </si>
  <si>
    <t>213973-21T</t>
  </si>
  <si>
    <t>179751-52T</t>
  </si>
  <si>
    <t>Phosfaz</t>
  </si>
  <si>
    <t>Manufacturer of phosphate fertilizers catering to producers from all cultures and regions in Brazil. The company utilizes a calcination process that solubilizes phosphorus only with heat, without the addition of chemicals, thereby enabling customers to avail agronomic efficient phosphate fertilizer at competitive prices.</t>
  </si>
  <si>
    <t>Scheffer Participações(Guilherme Scheffer)</t>
  </si>
  <si>
    <t>174609-82T</t>
  </si>
  <si>
    <t>Mobills</t>
  </si>
  <si>
    <t>Developer of a financial management application designed to assist in the financial control and management of users. The company's mobile application helps in controlling expenses and revenues, assists in spending targets by category tracks the evolution of expenses during the month, and also keeps track of every financial transaction with proper reports and graphs, enabling users to keep track of their expenses in a month and save accordingly.</t>
  </si>
  <si>
    <t>Toro Investimentos(Gabriel Kallas)</t>
  </si>
  <si>
    <t>166237-21T</t>
  </si>
  <si>
    <t>Accion, Kinea Investimentos (BVMF: KNHY11)(Philippe Schlumpf), NVA Capital(Marcelo Maisonnave), Quona Capital(Jonathan Whittle)</t>
  </si>
  <si>
    <t>198849-79T</t>
  </si>
  <si>
    <t>Apex Partners (Brazil), timenow</t>
  </si>
  <si>
    <t>140136-94T</t>
  </si>
  <si>
    <t>EasyDeco</t>
  </si>
  <si>
    <t>Operator of an online home decoration platform designed to connect interior designers with customers. The company's platform helps users decorate their homes as per their tastes by connecting them with architects, trusted contractors and vendors and allows for the review of images of the finished product and the cost of the project before making a final selection, enabling users to find reliable contractors that they can afford.</t>
  </si>
  <si>
    <t>Mario Lins Estevam De Barros(Mario Lins Estevam De Barros)</t>
  </si>
  <si>
    <t>166111-48T</t>
  </si>
  <si>
    <t>Jotaerre</t>
  </si>
  <si>
    <t>Provider of taxation and tax calculation services based in Sao Paulo, Brazil. The company offers differentiated ISS tax services with a technology solution, which interfaces directly with multiple Brazilian Services Tax submission systems, thereby helping clients in tax reporting experience.</t>
  </si>
  <si>
    <t>Vistra(Scott Kraemer)</t>
  </si>
  <si>
    <t>Accounting, Audit and Tax Services (B2C)</t>
  </si>
  <si>
    <t>166479-94T</t>
  </si>
  <si>
    <t>MindMiners</t>
  </si>
  <si>
    <t>Developer of an automated digital survey platform intended to enable users to conduct surveys and questionnaires. The company's platform provides predesigned survey templates for customer satisfaction surveys, consumer behavior research, human resources research, and education course evaluations, it also provides a social network for sharing opinions and experiences, enabling diverse brands to develop and launch products successfully, create memorable campaigns, strengthen the brand and provide an unforgettable experience for their customers.</t>
  </si>
  <si>
    <t>BR Angels, Darwin Startups, KPTL(Eduardo Sperling)</t>
  </si>
  <si>
    <t>213617-44T</t>
  </si>
  <si>
    <t>UNESC</t>
  </si>
  <si>
    <t>Provider of educational and training services intended to offer the youth of the 60s the opportunity of a university course. The company specializes in providing community services which include medical care, nutritional service, wound clinic, legal aid, and more they also provide free courses on food and hygiene and understanding dysphagia along with their graduate and post-graduate programs.</t>
  </si>
  <si>
    <t>Ser Educacional (BVMF: SEER3)</t>
  </si>
  <si>
    <t>165789-19T</t>
  </si>
  <si>
    <t>221446-63T</t>
  </si>
  <si>
    <t>213238-36T</t>
  </si>
  <si>
    <t>Alcis (IT Consulting and Outsourcing)</t>
  </si>
  <si>
    <t>Developer of logistic software intended to simplify the operation. The company offers solutions for warehouse management systems, vehicle routing and product scheduling, tax module and patio management for logistics under one software.</t>
  </si>
  <si>
    <t>166482-19T</t>
  </si>
  <si>
    <t>Alvaro Taiar(Alvaro Taiar), Bossa Invest, DOMO.VC(Mario Letelier), Poli Angels Group, Urca Angels, Ventiur</t>
  </si>
  <si>
    <t>212091-85T</t>
  </si>
  <si>
    <t>CPnet</t>
  </si>
  <si>
    <t>Provider of internet broadband services intended to serve the residential market. The company offers contracted speed packages, telephone support and fiber optics.</t>
  </si>
  <si>
    <t>Proxxima Telecommunications(Leonardo Gomes)</t>
  </si>
  <si>
    <t>212070-43T</t>
  </si>
  <si>
    <t>Dataconnection</t>
  </si>
  <si>
    <t>Provider of communications and networking services based in Campina Grande, Brazil.</t>
  </si>
  <si>
    <t>212110-75T</t>
  </si>
  <si>
    <t>EnterIW</t>
  </si>
  <si>
    <t>Provider of internet broadband services located in São João do Rio do Peixe, Brazil. The company offers internet packages ranging from 512 kbps to 1mbps.</t>
  </si>
  <si>
    <t>210632-23T</t>
  </si>
  <si>
    <t>Meu Acerto</t>
  </si>
  <si>
    <t>Operator of a fintech company based in Belo Horizonte, Brazil. The company offers an innovative and digital debt negotiation solution, which guarantees the consumer's role in the process.</t>
  </si>
  <si>
    <t>Banco Inter (NAS: INTR)(Helena Caldeira)</t>
  </si>
  <si>
    <t>212088-43T</t>
  </si>
  <si>
    <t>Net Online</t>
  </si>
  <si>
    <t>Provider of internet broadband services located in Caico, Brazil.</t>
  </si>
  <si>
    <t>212095-45T</t>
  </si>
  <si>
    <t>Netjat</t>
  </si>
  <si>
    <t>Provider of internet broadband services intended for businesses and the residential market. The company offers telephone support, contracted speed packages, fiber optics bands and local service.</t>
  </si>
  <si>
    <t>212080-42T</t>
  </si>
  <si>
    <t>Netmark (Internet Service Providers)</t>
  </si>
  <si>
    <t>Provider of broadband internet services located in Paraiba, Brazil.</t>
  </si>
  <si>
    <t>186134-23T</t>
  </si>
  <si>
    <t>212076-91T</t>
  </si>
  <si>
    <t>Ondanet</t>
  </si>
  <si>
    <t>Provider of fiber optics broadband services intended to serve residential and businesses. The company offers internet services ranging from 50 mega per year, 200 mega per year to unlimited packs, thereby offering customers stability of the signal along with enhanced speed.</t>
  </si>
  <si>
    <t>212071-06T</t>
  </si>
  <si>
    <t>Provider of broadband services intended for the business and residential market. The company offers internet plans ranging from 70 MB and 600 MB to unlimited packs thereby offering customers high-capacity, low-latency transmission systems for a fast, stable connection.</t>
  </si>
  <si>
    <t>170126-92T</t>
  </si>
  <si>
    <t>Samurai Experts Holding</t>
  </si>
  <si>
    <t>Operator of a web application development platform intended to serve the e-commerce industry. The company specializes in the development of e-commerce operations platforms for selling, drop shipping, live commerce, logistics and checkout, thereby offering its customers optimized results of virtual stores.</t>
  </si>
  <si>
    <t>GrowthX Capital, Tray</t>
  </si>
  <si>
    <t>213436-72T</t>
  </si>
  <si>
    <t>Targus Energia</t>
  </si>
  <si>
    <t>Provider of energy generation service focused on offering solutions for the commercialization and management of electricity. The company offers power generation through the distributed generation model.</t>
  </si>
  <si>
    <t>211861-09T</t>
  </si>
  <si>
    <t>Tax4All</t>
  </si>
  <si>
    <t>Developer of a cloud based tax software based in Sao Paulo, Brazil. The company is focused on cloud solutions integrated with ERP solutions and provides tax software services.</t>
  </si>
  <si>
    <t>212098-87T</t>
  </si>
  <si>
    <t>ToolsNET</t>
  </si>
  <si>
    <t>Provider of broadband services located in Laredo, Brazil.</t>
  </si>
  <si>
    <t>209181-88T</t>
  </si>
  <si>
    <t>TROC (Internet Retail)</t>
  </si>
  <si>
    <t>Operator of an online thrift shop intended to promote the purchase and sale of second-hand clothing and accessories in excellent condition. The company offers premium and luxury fashion brands clothes, bags, shoes, and accessories, offering a selection that specializes in quality secondhand clothes, enabling customers to buy secondhand pieces from premium and luxury fashion brands.</t>
  </si>
  <si>
    <t>134146-90T</t>
  </si>
  <si>
    <t>Wavy (Brazil)</t>
  </si>
  <si>
    <t>Provider of customer services based in Sao Paulo, Brazil. The company is engaged in offering technological solutions to the customers using multiple conversational channels such as SMS, WhatsApp, Apple Business Chat and Google RCS by utilizing AI technology for some of its solutions.</t>
  </si>
  <si>
    <t>Sinch (STO: SINCH)(Oscar Werner)</t>
  </si>
  <si>
    <t>194464-72T</t>
  </si>
  <si>
    <t>213448-15T</t>
  </si>
  <si>
    <t>Conecta Reforma</t>
  </si>
  <si>
    <t>Developer of a construction platform based in São Paulo, Brazil. The company's platform offers work monitoring, payment centralization, schedules, checklists, forecasts and tranquility, thereby helping customers with project creation, management and execution.</t>
  </si>
  <si>
    <t>172468-36T</t>
  </si>
  <si>
    <t>Editora Mediação</t>
  </si>
  <si>
    <t>Publisher of teacher training books based in Porto Alegre, Brazil.</t>
  </si>
  <si>
    <t>FTD Educação</t>
  </si>
  <si>
    <t>170720-47T</t>
  </si>
  <si>
    <t>EquityRio, Fuse Capital (Brazil)</t>
  </si>
  <si>
    <t>178111-00T</t>
  </si>
  <si>
    <t>Lucas Medola(Lucas Medola)</t>
  </si>
  <si>
    <t>165458-35T</t>
  </si>
  <si>
    <t>193842-82T</t>
  </si>
  <si>
    <t>Gr8 Ventures</t>
  </si>
  <si>
    <t>166838-41T</t>
  </si>
  <si>
    <t>Banco BTG Pactual S.A. is a Brazil-based banking firm. It offers financial products and services regarding commercial, investments, credit, financing, capital leases, insurance, and foreign exchange portfolios, among others, in the country and several locations abroad.</t>
  </si>
  <si>
    <t>166784-59T</t>
  </si>
  <si>
    <t>Alex Gálvez(Alex Gálvez), Atman Capital Partners, Brazil Venture Capital, CapitalX, Claude Ricci(Claude Ricci), Devise, EGR Partners, FJ Labs, FundersClub, Hugo Blum C(Hugo Blum C), Igah Ventures, Iporanga Ventures, Leonardo Teixeira(Leonardo Teixeira), Martin Schrimpff(Martin Schrimpff), Sergio Furio(Sergio Furio), Seth Weinstein(Seth Weinstein), Yaron Samid(Yaron Samid)</t>
  </si>
  <si>
    <t>214783-39T</t>
  </si>
  <si>
    <t>Cia Sulamericana de Cerâmica</t>
  </si>
  <si>
    <t>Manufacturer of sanitary ware and ceramic products based in Fortaleza, Brazil. The company offers products like fiber cement tiles, chinaware products, toilet seats and water tanks.</t>
  </si>
  <si>
    <t>Roca Sanitario(Albert Magrans)</t>
  </si>
  <si>
    <t>213471-82T</t>
  </si>
  <si>
    <t>Cncs - Industria Metalurgica</t>
  </si>
  <si>
    <t>Manufacturer of railroad equipment based in Rio de Janeiro, Brazil.</t>
  </si>
  <si>
    <t>Randoncorp (BVMF: RAPT3)</t>
  </si>
  <si>
    <t>251749-00T</t>
  </si>
  <si>
    <t>duLocal</t>
  </si>
  <si>
    <t>Operator of a catering company intended to focus on sustainability and social impact. The company creates delicious and healthy food while promoting environmental regeneration and income generation for vulnerable communities by the locally sourced organic ingredients, empowering women, plant-based, creative cuisine and multiple service options, enabling customers to enjoy good food with a positive social and environmental impact.</t>
  </si>
  <si>
    <t>170125-30T</t>
  </si>
  <si>
    <t>ConnectPlug Software Development</t>
  </si>
  <si>
    <t>Developer of a system and management platform catering to the food service and retail markets. The company offers to utilize cloud technology, thereby offering tools for the integration of orders in different marketplaces, self-service platforms and solutions for menus and digital orders which are fully integrated with the kitchen management system, thereby optimizing inventory controls, sales, purchases and other routines.</t>
  </si>
  <si>
    <t>286831-09T</t>
  </si>
  <si>
    <t>224363-80T</t>
  </si>
  <si>
    <t>HBR Realty Empreendimentos Imobiliarios (BVMF: HBRE3)</t>
  </si>
  <si>
    <t>HBR Realty Empreendimentos Imobiliarios SA operates in the real estate development and management division. The company's business is focused on urban properties, distributed over four main platforms that house the developed and developing asset classes. These platforms are ComVem, HBR3A, HBR Malls, and HBR Opportunities. ComVem is a platform dedicated towards the development and administration of convenience centers; the HBR 3A platform is dedicated to the development and management of corporate buildings; the HBR Malls platform is dedicated to the acquisition, development, and management of shopping centers and HBR Opportunities platform brings together assets of various classes, such as built to suits, development, and management of hotels, parking lots, among others.</t>
  </si>
  <si>
    <t>177094-18T</t>
  </si>
  <si>
    <t>Plataforma Semente</t>
  </si>
  <si>
    <t>Developer of a learning program intended to provide socio-emotional learning in children. The company offers an online education program for schools and covers topics like empathy, self-awareness naming emotions, knowing how to modulate them, and maintaining curiosity, enthusiasm focus, and determination, providing students with educational resources for training and support for school and parents.</t>
  </si>
  <si>
    <t>Grão (São Paulo)</t>
  </si>
  <si>
    <t>286835-14T</t>
  </si>
  <si>
    <t>Operator of a digital investment banking platform designed to connect entrepreneurs with investors for business growth. The company offers a comprehensive platform for real-time matchmaking, investor preparation, and negotiation management, enabling medium-sized businesses and startups to efficiently find and engage with investors, ensuring transparency and increased chances of successful transactions in a streamlined, cost-effective process.</t>
  </si>
  <si>
    <t>Bossa Invest(João Bezerra)</t>
  </si>
  <si>
    <t>213725-89T</t>
  </si>
  <si>
    <t>Agriholding, Agrofel Agro Comercial, Ventiur</t>
  </si>
  <si>
    <t>194460-40T</t>
  </si>
  <si>
    <t>166238-11T</t>
  </si>
  <si>
    <t>WeCancer</t>
  </si>
  <si>
    <t>Developer of an oncology treatment platform designed for cancer patient management. The company's platform combines technology and care to connect patients, medical teams, and market agents, offering tools like digital media, diagnostic testing, automated alert centers, risk stratification, and patient engagement models throughout diagnosis and treatment, enabling patients to have improved treatment outcomes.</t>
  </si>
  <si>
    <t>Vox Capital(Daniel Izzo)</t>
  </si>
  <si>
    <t>199442-17T</t>
  </si>
  <si>
    <t>Acordo Certo</t>
  </si>
  <si>
    <t>Developer of a mobile application intended to offer debt negotiation facilities. The company's platform provides debt-oriented services, including debt consolidation and management, online debt approval, bank installments, registrations, digital billings, and other related services, enabling users to handle their debts virtually without extra fees.</t>
  </si>
  <si>
    <t>165495-43T</t>
  </si>
  <si>
    <t>Patria Investments Ltd is an alternative asset management firm specializing in resilient sectors across select regions. It seeks to provide world-wide and Latin American investors with attractive investment products that allows portfolio diversification and consistent returns. The group promotes inclusive and sustainable development in the Asset Classes: Private Equity, Private Equity Solutions, Credit, Real Estate, Infrastructure, and Public Equities Main sectors: Agribusiness, Power &amp; Energy, Healthcare, Logistics &amp; Transportations, Food &amp; Beverage and Digital &amp; Tech Services Investment Regions.</t>
  </si>
  <si>
    <t>174488-59T</t>
  </si>
  <si>
    <t>224287-30T</t>
  </si>
  <si>
    <t>Agroflorestal Verde Sul</t>
  </si>
  <si>
    <t>Provider of animal husbandry services based in Rosario do Sul, Brazil. The company specializes in breeding cattle as well as offers beef cattle semen for future reproduction.</t>
  </si>
  <si>
    <t>Copa Investimentos</t>
  </si>
  <si>
    <t>213337-72T</t>
  </si>
  <si>
    <t>FDS Cultivo Florestal</t>
  </si>
  <si>
    <t>Operator of a eucalyptus development and harvesting firm based in Pedro Osório, Brazil.</t>
  </si>
  <si>
    <t>CMPC Celulose Riograndense</t>
  </si>
  <si>
    <t>165476-17T</t>
  </si>
  <si>
    <t>Barra Malls Fundo De Investimento Imobiliario (BVMF: BTML11), Evora Fund, G2D Investments (BVMF: G2DI33), Gear Ventures(Arnaldo Rocha), GPS Investimentos Financeiros e Participações, Hemisferio Sul Investimentos (BVMF: HSML11), Parallax Ventures</t>
  </si>
  <si>
    <t>165510-91T</t>
  </si>
  <si>
    <t>OmniChat</t>
  </si>
  <si>
    <t>Developer of an omnichannel commerce platform designed to create a single chat channel for an organization. The company uses chatbots to connect customers with salespeople who specialize in the products or services they want to purchase, as well as provides a payment channel that can be integrated with an enterprise resource planning platform, enabling businesses to have a centralized service and order management.</t>
  </si>
  <si>
    <t>EBANX, Kaszek(Hernan Kazah), Spectra Investments, The Goodz Company, TM3 Capital</t>
  </si>
  <si>
    <t>211162-51T</t>
  </si>
  <si>
    <t>Segfy SA</t>
  </si>
  <si>
    <t>Operator of agency management platform intended for insurance brokers. The company platform offers services that include lead generation, proposal management, policy management, insurance renewals, sales and marketing services, task management customer management, knowledge and information services for brokers, enabling insurance brokers with complete services on one platform.</t>
  </si>
  <si>
    <t>Porto Seguro Capital (BVMF: PSSA3)</t>
  </si>
  <si>
    <t>165370-06T</t>
  </si>
  <si>
    <t>Guilherme Avila(Guilherme Avila), Leonardo Pereira(Leonardo Pereira), Paulo Camargo(Paulo Camargo), Rafael Furlanetti(Rafael Furlanetti), Wilson Amaral(Wilson Amaral)</t>
  </si>
  <si>
    <t>165363-76T</t>
  </si>
  <si>
    <t>224122-15T</t>
  </si>
  <si>
    <t>Galapagos Fdo De Fdo Fii Fdo Inv Imob</t>
  </si>
  <si>
    <t>272482-03T</t>
  </si>
  <si>
    <t>Gastromotiva</t>
  </si>
  <si>
    <t>Operator of a non-governmental organization provides education related to food and gastronomy intended to promote social transformation. The company offers free vocational training in culinary skills, helps in starting their food businesses, and nutrition education, enabling individuals to become professionals in the food segment.</t>
  </si>
  <si>
    <t>165787-57T</t>
  </si>
  <si>
    <t>Kuke</t>
  </si>
  <si>
    <t>Developer of an online recipe platform intended to provide cooking recipes and products. The company's platform helps users get access and decide between the available recipes, signed by professional and branded chefs, and then receive all the ingredients with a consistent and detailed step-by-step guide at home, enabling users to cook food of their choice at home with ease.</t>
  </si>
  <si>
    <t>256757-95T</t>
  </si>
  <si>
    <t>Hospital do Coração de Natal</t>
  </si>
  <si>
    <t>Provider of health care services based in Natal, Brazil. The company offers clinical laboratory, surgeries, executive check-ups, and immunobiology services intended to provide hospital medical services in the country.</t>
  </si>
  <si>
    <t>Athena Saude, Patria Investments (NAS: PAX)(Ricardo Scavazza)</t>
  </si>
  <si>
    <t>165232-36T</t>
  </si>
  <si>
    <t>Century Oak Ventures, GVAngels, Maya Capital (Brazil), WE Impact</t>
  </si>
  <si>
    <t>243899-47T</t>
  </si>
  <si>
    <t>165058-39T</t>
  </si>
  <si>
    <t>KPTL(Leandro Pereira)</t>
  </si>
  <si>
    <t>164920-60T</t>
  </si>
  <si>
    <t>Sergey Solonin(Sergey Solonin)</t>
  </si>
  <si>
    <t>210965-05T</t>
  </si>
  <si>
    <t>Seguro Com Você</t>
  </si>
  <si>
    <t>Developer of an insurance contracting platform based in São José, Brazil. The company's digital platform offers life, auto, smartphone, home, travel and health plan and pet health plan insurance services, thereby protecting clients' assets and families.</t>
  </si>
  <si>
    <t>123Seguro(Martin Ferrari)</t>
  </si>
  <si>
    <t>157364-47T</t>
  </si>
  <si>
    <t>164885-23T</t>
  </si>
  <si>
    <t>Checklist Fácil</t>
  </si>
  <si>
    <t>Provider of electronic checklist software catering to companies off all segments. The company's digital checklist platform optimizes and standardizes verification, inspection, auditing and monitoring processes, thereby enabling clients to focus on automating, facilitating, reducing costs, manual activities and paperwork and achieving better results.</t>
  </si>
  <si>
    <t>Softplan(Guilherme Tossulino)</t>
  </si>
  <si>
    <t>216300-97T</t>
  </si>
  <si>
    <t>Folks</t>
  </si>
  <si>
    <t>Provider of digital transformation services intended to accelerate technology management in healthcare. The company offers transformation plans, process reviews, adaptation to best practice requirements, implementation plans, and maturity index to assess digital maturity, enabling the healthcare industry with consulting, training, and automation of procedures to ease the task.</t>
  </si>
  <si>
    <t>Apus Capital (Brazil)</t>
  </si>
  <si>
    <t>165431-62T</t>
  </si>
  <si>
    <t>Vérios</t>
  </si>
  <si>
    <t>Provider of a robot advisor platform intended to facilitate investment portfolio management. The company's platform uses machine learning and artificial intelligence algorithms to provide individual, cost-competitive financial advice on various investment portfolios, enabling investors and domestic customers to make informed decisions prior to making investments in markets.</t>
  </si>
  <si>
    <t>Nu Invest Corretora de Valores(Fernando Miranda)</t>
  </si>
  <si>
    <t>138201-67T</t>
  </si>
  <si>
    <t>BBM Logística</t>
  </si>
  <si>
    <t>BBM Logistica SA is a Brazil based company involved in providing TMS ( Tranportation Management System ) system as well as monitoring and training tools that allow control of operations, such as steering simulators, internal and external cameras on trucks and the monitoring technology. tires with sensors. The services offered by the company include Integrated Logistics, Road Transport and Storage. Its operating segments include Dedicated Contract Carriage and Transportation Management.</t>
  </si>
  <si>
    <t>165036-16T</t>
  </si>
  <si>
    <t>HedgePoint Global Markets</t>
  </si>
  <si>
    <t>Developer of financial risk management and investment software intended to help clients turn financial risks into opportunities. The company provides access to futures exchanges, over-the-counter trade, and foreign exchange markets to facilitate seamless transactions for the agricultural and energy commodities markets, thereby enabling clients with 60 different commodities, diverse currencies (FX), and 450 hedging products.</t>
  </si>
  <si>
    <t>Albright Capital Management(Gregory Bowes), De Jong Capital(Brent de Jong)</t>
  </si>
  <si>
    <t>164965-42T</t>
  </si>
  <si>
    <t>Agro Ven, BR Angels</t>
  </si>
  <si>
    <t>165025-81T</t>
  </si>
  <si>
    <t>Bossa Invest, DOMO.VC(Franco Pontillo), Silver Angels (Angel Group)</t>
  </si>
  <si>
    <t>165959-65T</t>
  </si>
  <si>
    <t>158462-38T</t>
  </si>
  <si>
    <t>Vindi</t>
  </si>
  <si>
    <t>Developer of a recurring billing and payment platform designed to create and transform business through the economy of recurrence. The company's platform integrates with enterprise resource planning systems and invoice issuance systems to manage subscriptions, automatically bill subscribers, and renew them, to reduce the amount of time wasted on administrative tasks, enabling businesses to scale their enterprise, regardless of billing or payment method.</t>
  </si>
  <si>
    <t>156923-74T</t>
  </si>
  <si>
    <t>Banco Santander Brasil (BVMF: SANB3)(Angel Martell)</t>
  </si>
  <si>
    <t>168930-19T</t>
  </si>
  <si>
    <t>Real Protect</t>
  </si>
  <si>
    <t>Provider of managed security and cyber defense services based in Brazil. The company specializes in providing threat monitoring, detection, and incident response services, thereby helping businesses reduce their cyber risks and optimize their security investments.</t>
  </si>
  <si>
    <t>Accenture (NYS: ACN)(Kelly Bissell)</t>
  </si>
  <si>
    <t>194844-61T</t>
  </si>
  <si>
    <t>Fundação de Amparo à Pesquisa no Estado de São Paulo, Fundepar</t>
  </si>
  <si>
    <t>185295-34T</t>
  </si>
  <si>
    <t>A.B.Seed Ventures(Geraldo Melzer), Bertha Capital(Ravi Gama), Caravela Capital, ScalexOpen(João Pimentel)</t>
  </si>
  <si>
    <t>185035-51T</t>
  </si>
  <si>
    <t>Alexia Ventures, Mandi Ventures(Antonio Salles), Spectra Investments, Valor Capital Group</t>
  </si>
  <si>
    <t>251549-83T</t>
  </si>
  <si>
    <t>Versalhes Recebiveis (BVMF: VSLH11)</t>
  </si>
  <si>
    <t>Versalhes Recebiveis Imobiliarios - Fundo DE Investimento Imobiliario invests primarily in real estate-backed securities (CRI) always seeking asymmetry between risk and return. The fund evaluates investments in equities and/or other real estate funds that have complementary strategies.</t>
  </si>
  <si>
    <t>165982-60T</t>
  </si>
  <si>
    <t>Aminoagro</t>
  </si>
  <si>
    <t>Manufacturer of bio-stimulants and specialty fertilizers for all key Brazilian crops, including soybeans, corn, sugarcane, cotton, coffee, fruits and vegetables. The company specializes in liquid biostimulants and fertilizers as well as offers a complete portfolio of plant life-cycle solutions for plant nutrition and stimulation, soil revitalization, seed treatment and plant health and carries out research for the same in its laboratories that provide high returns in the cultivation of grains, vegetables and fruits.</t>
  </si>
  <si>
    <t>212381-74T</t>
  </si>
  <si>
    <t>BankOne</t>
  </si>
  <si>
    <t>Operator of an innovative fintech company based in Sao Paulo, Brazil. The company acts as a tool for social change, whose purpose is to democratize and simplify access to credit and financial services for individuals and companies and offers products such as DigitalOne account, TokenOne, Financial EducationOne and PayrollOne.</t>
  </si>
  <si>
    <t>213473-80T</t>
  </si>
  <si>
    <t>Ferfi</t>
  </si>
  <si>
    <t>Provider of insurance brokerage services based in Brazil. The company specializes in specializing in planning, elaborating, implementing, and managing projects aimed across all consumer industries.</t>
  </si>
  <si>
    <t>188499-61T</t>
  </si>
  <si>
    <t>FEA Angels, Sororité</t>
  </si>
  <si>
    <t>250220-26T</t>
  </si>
  <si>
    <t>Skysites Holdings</t>
  </si>
  <si>
    <t>Provider of telecommunication services intended to provide wireless connectivity. The company specializes in providing small cells and urban telecommunications infrastructure, thus helping to improve network coverage and capacity in urban areas.</t>
  </si>
  <si>
    <t>African Infrastructure Investment Managers, British International Investment, EG Capital Advisors, Emerging Capital Partners(Bryce Fort), Ethos Private Equity, IHS Towers (NYS: IHS)(Sam Darwish), International Finance (Washington D.C.), Invus Opportunities, Luxempart (LUX: LXMPR), Man Capital, Peugeot Invest (PAR: PEUG), Singularity Investments, Sofina (BRU: SOF), The Goldman Sachs Group (NYS: GS), Wendel Group (PAR: MF)</t>
  </si>
  <si>
    <t>251679-79T</t>
  </si>
  <si>
    <t>Guardian Logistica</t>
  </si>
  <si>
    <t>Guardian Logistica Fundo DE Investimento Imobiliario is a Brazil-based company. its objective is to acquire and lease commercial properties, predominantly in the logistics segment.</t>
  </si>
  <si>
    <t>164489-77T</t>
  </si>
  <si>
    <t>Poppin (Social/Platform Software)</t>
  </si>
  <si>
    <t>Developer of a mobile dating platform intended to connect users to other users with similar social and music event interests. The company's platform allows users to set up the first date and see what places and activities they have in common with their potential partners by integrating with social media profiles and alerts, enabling users to comfortably transition from digital relationships to in-person meetings at a higher rate than traditional dating apps.</t>
  </si>
  <si>
    <t>Espanha Sociedade</t>
  </si>
  <si>
    <t>251093-35T</t>
  </si>
  <si>
    <t>BB Fundos DE Fundos (BVMF: BBFO11)</t>
  </si>
  <si>
    <t>BB Fundos DE Fundos - Fundo DE Investimento Imobiliario seeks to compose a diversified portfolio of Real estate funds traded on the Brazilian stock exchange, selected based on quantitative methodologies and qualitative assessments.</t>
  </si>
  <si>
    <t>164754-55T</t>
  </si>
  <si>
    <t>Bcredi</t>
  </si>
  <si>
    <t>Developer of an online mortgage platform designed to provide investments, property warranty credit, and real estate financing. The company's platform is specialized in the origination and management of loans with property guarantees, enabling small and medium business owners to connect and monetize the relationship with their customers.</t>
  </si>
  <si>
    <t>164419-03T</t>
  </si>
  <si>
    <t>BitcoinTrade</t>
  </si>
  <si>
    <t>Developer of a digital currency platform based in Rio de Janeiro, Brazil. The company offers an encrypted and protected platform and a mobile application allowing its users to purchase and sell cryptocurrencies, such as Bitcoin, Bitcoin Cash, Ethereum and Litecoin.</t>
  </si>
  <si>
    <t>Ripio</t>
  </si>
  <si>
    <t>164454-76T</t>
  </si>
  <si>
    <t>196157-26T</t>
  </si>
  <si>
    <t>165855-52T</t>
  </si>
  <si>
    <t>Fifty 5</t>
  </si>
  <si>
    <t>220047-85T</t>
  </si>
  <si>
    <t>@Tech</t>
  </si>
  <si>
    <t>Developer of a precision agriculture platform designed to enhance sustainable food production through data-driven decision-making in livestock management. The company's platform offers software that integrates AI, computer vision, and real-time animal monitoring, enabling beef, poultry, and fish producers to optimize operational timing, maximize profits, and improve resource efficiency.</t>
  </si>
  <si>
    <t>São Salvador Alimentos S/A, Wolfman.One</t>
  </si>
  <si>
    <t>179133-04T</t>
  </si>
  <si>
    <t>270455-59T</t>
  </si>
  <si>
    <t>165497-95T</t>
  </si>
  <si>
    <t>Adimplere</t>
  </si>
  <si>
    <t>Developer of a financial management platform intended to clear debts, and work toward economic stability. The company's platform allows one to log in using a Brazilian identification number to check for any registered debts, and offers negotiation tools and a variety of payment methods to settle liabilities, enabling individuals to understand and handle their current financial situation better.</t>
  </si>
  <si>
    <t>258428-71T</t>
  </si>
  <si>
    <t>257701-15T</t>
  </si>
  <si>
    <t>Agrovenci</t>
  </si>
  <si>
    <t>Distributor of agricultural inputs company based in Campo Verde, Brazil.</t>
  </si>
  <si>
    <t>169537-33T</t>
  </si>
  <si>
    <t>Allied Tecnologia SA is a technology company. It provides multichannel solutions suitable for all business models.</t>
  </si>
  <si>
    <t>266330-62T</t>
  </si>
  <si>
    <t>The Hospital Israelita Albert Einstein</t>
  </si>
  <si>
    <t>252261-28T</t>
  </si>
  <si>
    <t>Alura (São Paulo)</t>
  </si>
  <si>
    <t>Provider of educational services intended to develop of courses for enterprises. The company offers technology courses for students, including front- and back-end programming, user experience (UX) design, data science and mobile app development, enabling its customers to improve their skills as technology professionals efficiently.</t>
  </si>
  <si>
    <t>243908-02T</t>
  </si>
  <si>
    <t>Amachains</t>
  </si>
  <si>
    <t>Developer of a blockchain carbon traceability and accounting platform designed for supply chains. The company's platform offers to measure the carbon footprint of agribusiness suppliers to industries and cooperatives using blockchain compliance, to build transparent and trustworthy relationships for agribusiness and family farms, enabling businesses to have a platform for tracking production chains, using blockchain technology to ensure transparency and data reliability.</t>
  </si>
  <si>
    <t>201173-77T</t>
  </si>
  <si>
    <t>Ambev is the largest brewer in Latin America and the Caribbean and is Anheuser-Busch InBev's subsidiary in the region. It produces, distributes, and sells beer and PepsiCo products in Brazil and other Latin American countries and owns Argentina's largest brewer, Quinsa. Ambev was formed in 1999 through the merger of Brazil's two largest beverage companies, Brahma and Antarctica. In 2004, Ambev combined with Canadian brewer Labatt, giving AB InBev a controlling interest of 62%.</t>
  </si>
  <si>
    <t>ZX Ventures (Other Capital Markets/Institutions)(Benjamin Williams)</t>
  </si>
  <si>
    <t>192572-02T</t>
  </si>
  <si>
    <t>Joao Mokdissi(Joao Mokdissi), João Figueira(João Figueira), Marcelo Marques(Marcelo Marques), Mario Fernandes(Mario Fernandes), Rafaela Andrade(Rafaela Andrade), Victor Noda(Victor Noda)</t>
  </si>
  <si>
    <t>269966-08T</t>
  </si>
  <si>
    <t>294422-14T</t>
  </si>
  <si>
    <t>Tivio Capital</t>
  </si>
  <si>
    <t>286520-59T</t>
  </si>
  <si>
    <t>Mentor Capital Network</t>
  </si>
  <si>
    <t>202794-85T</t>
  </si>
  <si>
    <t>285617-71T</t>
  </si>
  <si>
    <t>BitCake Studio</t>
  </si>
  <si>
    <t>Developer of two-dimensional games designed to provide online multiplayer games that aim to bring people together. The company offers art outsourcing, multiplayer game development, and general game development work services, enabling gamers with engaging games and game developers to create games for PC, browsers, and mobile.</t>
  </si>
  <si>
    <t>Global Top Round</t>
  </si>
  <si>
    <t>233210-89T</t>
  </si>
  <si>
    <t>232690-60T</t>
  </si>
  <si>
    <t>Bitrust</t>
  </si>
  <si>
    <t>Provider of digital custody services designed to provide a secure way to store cryptocurrency assets. The company's platform offers a suite of features that include multi-signature authorization, secret sharing algorithms, and dedicated hardware for private key storage, enabling institutional investors and individuals to protect digital assets.</t>
  </si>
  <si>
    <t>Gear Ventures</t>
  </si>
  <si>
    <t>207053-92T</t>
  </si>
  <si>
    <t>Alfa Collab, FEA Angels</t>
  </si>
  <si>
    <t>181834-03T</t>
  </si>
  <si>
    <t>Brasilflex Industria E Comercio</t>
  </si>
  <si>
    <t>Manufacturer of children's toys and related products intended to serve Latin America. The company offers a range of toys including soap bubble makers, yo-yos, whistles, tops, bugles, trumpets and Halloween kits among others along with promotional products for businesses, allowing individuals to entertain themselves.</t>
  </si>
  <si>
    <t>Gala Group</t>
  </si>
  <si>
    <t>207068-95T</t>
  </si>
  <si>
    <t>Buddy.vet</t>
  </si>
  <si>
    <t>Developer of a pet care platform designed to book appointments for pets' health at home. The company has professionals who come for consultations, exams, vaccines, and training of pets, all at home, with technology and safety, helping pet owners to schedule online through the application or website and receive the professional on the day and time, without waiting rooms and stress for the pet.</t>
  </si>
  <si>
    <t>245253-61T</t>
  </si>
  <si>
    <t>Buzz Editora</t>
  </si>
  <si>
    <t>Publisher of inspiring and transformative books intended for readers seeking change and growth. The company's platform curates a diverse collection of stories that challenge perspectives and empower readers and expand their horizons and make a positive impact on the world, thereby enabling readers a unique blend of entertainment and insight.</t>
  </si>
  <si>
    <t>Kinea Investimentos (BVMF: KNHY11), Wise Up chain</t>
  </si>
  <si>
    <t>282420-73T</t>
  </si>
  <si>
    <t>Operator of a financial services marketplace intended to serve small and medium-sized companies. The company uses algorithms to find financing options and facilitate credit transactions, thereby reducing contracting time, increasing the number of concessions, and simplifying the credit-taking process.</t>
  </si>
  <si>
    <t>213226-30T</t>
  </si>
  <si>
    <t>257703-67T</t>
  </si>
  <si>
    <t>Central Agrícola</t>
  </si>
  <si>
    <t>Provider of agricultural chemicals based in Vilhena, Brazil. The company offers agricultural pesticides, seeds, fertilizers, specialties and biologicals for the main crops.</t>
  </si>
  <si>
    <t>292619-08T</t>
  </si>
  <si>
    <t>Cogni Group</t>
  </si>
  <si>
    <t>Provider of digital energy management services intended for optimizing utility consumption and performance efficiency. The company offers a combination of smart metering, internet of things, and artificial intelligence-driven analytics, and cloud infrastructure, enabling clients to improve operational visibility and reduce energy-related costs</t>
  </si>
  <si>
    <t>262013-23T</t>
  </si>
  <si>
    <t>Coletando</t>
  </si>
  <si>
    <t>Developer of green fintech platform designed to get control over financial life. The company's platform aims to offer mobile points that promote an ecological circular economy, exchanging garbage for money in vulnerable communities, enabling customers with immediate income and banking to access the offer of various services, and local entrepreneurs to set up businesses through their system.</t>
  </si>
  <si>
    <t>259513-84T</t>
  </si>
  <si>
    <t>223167-07T</t>
  </si>
  <si>
    <t>Construlab</t>
  </si>
  <si>
    <t>Operator of a training and intermediation program designed to empower women and reduce gender inequality in civil construction. The company offers free training and intermediation of a workforce of women, enabling women with quick repairs in electrical, plumbing, painting, construction inspection and pre- or post-leasing of real estate exclusively by women.</t>
  </si>
  <si>
    <t>Raja Ventures</t>
  </si>
  <si>
    <t>196870-15T</t>
  </si>
  <si>
    <t>248772-25T</t>
  </si>
  <si>
    <t>Diaspora.Black</t>
  </si>
  <si>
    <t>Developer of a travel tech platform designed to appreciate the black culture and promote racial equality. The company's platform gathers accommodation, cultural experiences, travel itineraries and other tourist services along with training for hosts and operators and certification and consultancy for tourist spaces and companies, enabling clients and hosts to connect qualifying services for the promotion of racial diversity in the sector.</t>
  </si>
  <si>
    <t>232306-57T</t>
  </si>
  <si>
    <t>215678-35T</t>
  </si>
  <si>
    <t>BMG Uptech, Capital Empreendedor</t>
  </si>
  <si>
    <t>187376-95T</t>
  </si>
  <si>
    <t>Old Fashion Research</t>
  </si>
  <si>
    <t>284283-82T</t>
  </si>
  <si>
    <t>185190-85T</t>
  </si>
  <si>
    <t>Lead Edge Capital, LTS Investments, Spectra Investments</t>
  </si>
  <si>
    <t>183738-61T</t>
  </si>
  <si>
    <t>Empório Seletto</t>
  </si>
  <si>
    <t>Operator of retail stores intended for residential and commercial condominiums. The company provides self-service retail stores that are self-sustainable with reforested wood and no energy consumption, enabling individuals to do their shopping using a credit or debit card anytime and anywhere.</t>
  </si>
  <si>
    <t>Albatross Investment, Innovations Fund</t>
  </si>
  <si>
    <t>269774-11T</t>
  </si>
  <si>
    <t>Envolve Bioembalagens</t>
  </si>
  <si>
    <t>Developer of sustainable bio-packaging products intended to impact the balance between responsible consumption and reducing food waste. The company offers wax cloth kit wraps made from cotton fabric treated with wax, enabling customers to preserve the food and increase its longevity and also avoiding the use of packaging from non-renewable sources.</t>
  </si>
  <si>
    <t>295705-81T</t>
  </si>
  <si>
    <t>Cocreation Lab DF</t>
  </si>
  <si>
    <t>209233-90T</t>
  </si>
  <si>
    <t>Evermind Cloud Computing</t>
  </si>
  <si>
    <t>Provider of information technology services catering to technology areas and industries. The company specializes in business transformation of several salesforce platforms and offers services to deliverable projects, quickstart and AMS to energy and consumer goods.</t>
  </si>
  <si>
    <t>195889-15T</t>
  </si>
  <si>
    <t>272537-47T</t>
  </si>
  <si>
    <t>Fertifar Fertilizantes</t>
  </si>
  <si>
    <t>Producer of agricultural products intended for enhancing crop productivity. The company specializes in phosphate fertilizers developed based on natural inputs, produced from a source of phosphorus, manure from laying hens, with the addition of microorganisms that act in the solubilization of phosphorus and in other processes that benefit the soil and plants, enabling farmers to improve soil health, increase yield and ensure sustainable farming practices.</t>
  </si>
  <si>
    <t>Granja Faria (BVMF: EGGY3)(Ricardo Faria)</t>
  </si>
  <si>
    <t>272372-41T</t>
  </si>
  <si>
    <t>Fervura</t>
  </si>
  <si>
    <t>Operator of a news and information platform intended to focus on climate change. The company's platform features in-depth articles, infographics, and video content on various climate issues, including extreme weather events, policy changes, and city adaptation strategies, allowing people to stay informed about the urgency of the climate crisis and potential resolutions.</t>
  </si>
  <si>
    <t>215826-94T</t>
  </si>
  <si>
    <t>Finpec</t>
  </si>
  <si>
    <t>Developer of a fintech application designed for investment opportunities in livestock. The company's platform helps with investments, monitors income, and views statements, enabling investors to track and monitor livestock constantly, and convert their investments into the purchase of cattle, and generate value for cattle ranchers at the same time.</t>
  </si>
  <si>
    <t>294791-95T</t>
  </si>
  <si>
    <t>FlowBiz (Brazil)</t>
  </si>
  <si>
    <t>Developer of a SaaS software intended for e-commerce companies. The company monitors the behaviour of store visitors and develops a recovery strategy with email marketing and text automation, thereby helping clients increase repurchases and loyalty rates.</t>
  </si>
  <si>
    <t>234252-73T</t>
  </si>
  <si>
    <t>211098-70T</t>
  </si>
  <si>
    <t>Cotidiano Aceleradora</t>
  </si>
  <si>
    <t>206658-10T</t>
  </si>
  <si>
    <t>194455-63T</t>
  </si>
  <si>
    <t>177136-75T</t>
  </si>
  <si>
    <t>189166-69T</t>
  </si>
  <si>
    <t>Outcast Capital</t>
  </si>
  <si>
    <t>292626-28T</t>
  </si>
  <si>
    <t>Greening Hub</t>
  </si>
  <si>
    <t>Developer of environmental infrastructure and engineering tools designed for regulatory and sustainability purposes. The company's platform integrates commercial representation with data analytics and compliance-focused services, enabling businesses in regulated industries to meet environmental standards and improve their market positioning.</t>
  </si>
  <si>
    <t>207424-27T</t>
  </si>
  <si>
    <t>Grupo Flamboyant</t>
  </si>
  <si>
    <t>Provider of funeral services based in São Paulo, Brazil. The company offers family funeral assistance and cemetery services, thereby providing customers with the needed tranquility and support.</t>
  </si>
  <si>
    <t>Crescera Capital(Jaime Cardoso), Grupo Zelo, Spectra Investments</t>
  </si>
  <si>
    <t>269575-66T</t>
  </si>
  <si>
    <t>Esag Ventures</t>
  </si>
  <si>
    <t>270013-96T</t>
  </si>
  <si>
    <t>166634-74T</t>
  </si>
  <si>
    <t>Investo (Private Equity)</t>
  </si>
  <si>
    <t>210800-35T</t>
  </si>
  <si>
    <t>CSN Inova Ventures(Gabriela Toribio), Provence Partners</t>
  </si>
  <si>
    <t>277119-91T</t>
  </si>
  <si>
    <t>PortXL World Port Innovator</t>
  </si>
  <si>
    <t>243900-01T</t>
  </si>
  <si>
    <t>ICE Educação</t>
  </si>
  <si>
    <t>Developer of a course streaming platform designed to connect young people with the world of work. The company's platform develops valuable skills to prepare for professional careers, enabling students to become future leaders and contribute to the company's growth and success.</t>
  </si>
  <si>
    <t>243900-64T</t>
  </si>
  <si>
    <t>288634-87T</t>
  </si>
  <si>
    <t>Discoveries</t>
  </si>
  <si>
    <t>264219-22T</t>
  </si>
  <si>
    <t>ScaleUp Endeavor</t>
  </si>
  <si>
    <t>248320-90T</t>
  </si>
  <si>
    <t>186254-74T</t>
  </si>
  <si>
    <t>ISPM Servicos de Tecnologia</t>
  </si>
  <si>
    <t>Developer of service assurance and management software catering to telecommunications and IT infrastructure. The company specializes in delivering service assurance and management solutions and optimizes service performance, thereby enhancing customer experience and creating new revenue opportunities.</t>
  </si>
  <si>
    <t>Taperoa Participacoes</t>
  </si>
  <si>
    <t>218656-81T</t>
  </si>
  <si>
    <t>191791-45T</t>
  </si>
  <si>
    <t>179121-34T</t>
  </si>
  <si>
    <t>Lara</t>
  </si>
  <si>
    <t>Developer of an online financial platform designed to provide access to healthcare and wellness services via installment plans. The company's platform allows consumers to make acquisitions at merchant partners by paying installments, enabling e-retailers to boost sales volumes and conversion rates.</t>
  </si>
  <si>
    <t>216081-37T</t>
  </si>
  <si>
    <t>Laundry</t>
  </si>
  <si>
    <t>Developer of laundry application intended to provide wash and iron services with all the care. The company's application offers a subscription-based model in various plans for ironing and washing along with delivery time, helping customers to choose from a range of plans according to their needs.</t>
  </si>
  <si>
    <t>7Stars Ventures</t>
  </si>
  <si>
    <t>301459-15T</t>
  </si>
  <si>
    <t>184023-64T</t>
  </si>
  <si>
    <t>Lejour</t>
  </si>
  <si>
    <t>Developer of wedding planning website based in Sao Paulo, Brazil. The company's platform specializes in simplifying the organization of weddings by finding and matching the supplier that's right for the users, using smart search filters and wedding calculator.</t>
  </si>
  <si>
    <t>Fastshop</t>
  </si>
  <si>
    <t>221094-19T</t>
  </si>
  <si>
    <t>210820-15T</t>
  </si>
  <si>
    <t>LionX (Brazil)</t>
  </si>
  <si>
    <t>Provider of financial services intended for the development of solutions and automation for the financial market. The company through Machine Learning processes thousands of data and news, empowering organizations and investors in their decision-making.</t>
  </si>
  <si>
    <t>J&amp;F Investimentos</t>
  </si>
  <si>
    <t>245887-30T</t>
  </si>
  <si>
    <t>Livix</t>
  </si>
  <si>
    <t>Developer of a payment software designed to democratize access to secure transaction processing. The company's software processes transactions through an accredited network with digital-physical capture through the Internet or offline telephone channels, enabling users to provide resource savings and increased sales for their business.</t>
  </si>
  <si>
    <t>Life Changing Labs</t>
  </si>
  <si>
    <t>200510-65T</t>
  </si>
  <si>
    <t>Brognoli Imóveis</t>
  </si>
  <si>
    <t>201126-43T</t>
  </si>
  <si>
    <t>Lohn Bier</t>
  </si>
  <si>
    <t>Operator of a brewery firm intended to provide crafted beers. The company houses a shop whose glass wall divides it from the fermentation tanks, providing visitors with a beautiful display of the beer-making process and serving them craft beers.</t>
  </si>
  <si>
    <t>ZX Ventures (Other Capital Markets/Institutions)</t>
  </si>
  <si>
    <t>262019-44T</t>
  </si>
  <si>
    <t>183575-89T</t>
  </si>
  <si>
    <t>204652-45T</t>
  </si>
  <si>
    <t>185413-51T</t>
  </si>
  <si>
    <t>185413-60T</t>
  </si>
  <si>
    <t>218941-39T</t>
  </si>
  <si>
    <t>Memovip</t>
  </si>
  <si>
    <t>Provider of information management services focused on business, education, health and construction sectors. The company offers personalized services for information management, storage of documents, technical drawings, and organization of documents as well as offers consultation for document management, digitalization and microfilming of documents and storage of media thereby enabling access to sustainable products and low maintenance while being in line with the global quality standards.</t>
  </si>
  <si>
    <t>Access Information Protected, Berkshire Partners(Edward Whelan), GI Partners(Hoon Cho)</t>
  </si>
  <si>
    <t>270012-88T</t>
  </si>
  <si>
    <t>Milênio Bus</t>
  </si>
  <si>
    <t>Developer of a fleet management platform designed to assist in real-time passenger flow calculation on buses. The company's platform aims to generate increased passenger functionality, fleet optimization, and information generation for public transport companies, enabling customers to better plan their routes.</t>
  </si>
  <si>
    <t>212029-66T</t>
  </si>
  <si>
    <t>Gávea Investimentos, Mogno Capital</t>
  </si>
  <si>
    <t>215414-29T</t>
  </si>
  <si>
    <t>215618-14T</t>
  </si>
  <si>
    <t>Devas Invest, Plug and Play Tech Center</t>
  </si>
  <si>
    <t>181984-87T</t>
  </si>
  <si>
    <t>215586-10T</t>
  </si>
  <si>
    <t>Netrin</t>
  </si>
  <si>
    <t>Developer of a risk management platform designed to offer compliance solutions and risk and fraud prevention. The company's platform provides automated ways for risk and compliance engines and connects information about markets, businesses, customers, and suppliers by using data cleaning and big data APIS, enabling clients to get valuable business data in real-time via API and eliminate tax and fraud risks.</t>
  </si>
  <si>
    <t>Meta Ventures</t>
  </si>
  <si>
    <t>201530-71T</t>
  </si>
  <si>
    <t>221427-19T</t>
  </si>
  <si>
    <t>Novida</t>
  </si>
  <si>
    <t>Developer of a productivity software designed to provide an operational management system. The company's software offers a digital and automatic platform that helps to increase operational teams' performance, enabling clients to make leadership powerful, agile, and inclusive.</t>
  </si>
  <si>
    <t>265137-76T</t>
  </si>
  <si>
    <t>192959-56T</t>
  </si>
  <si>
    <t>Oktoplus</t>
  </si>
  <si>
    <t>Operator of an online loyalty programs platform designed to manage and monitor loyalty points. The company's platform offers to view balance points, and expiration dates and also receive alerts, related to airlines, grocery stores, gas stations, and hotels, enabling users to track the loyalty programs of friends and relatives and track the balance, statement points to win and redeem tickets.</t>
  </si>
  <si>
    <t>188431-30T</t>
  </si>
  <si>
    <t>207460-99T</t>
  </si>
  <si>
    <t>Orsati Distribuicao e Logistica</t>
  </si>
  <si>
    <t>Distributor of pet products and services based in São Paulo, Brazil.</t>
  </si>
  <si>
    <t>Supermix Vale Distribuidora</t>
  </si>
  <si>
    <t>190118-26T</t>
  </si>
  <si>
    <t>Entrée Capital, Founder Collective, OIF Ventures</t>
  </si>
  <si>
    <t>179765-83T</t>
  </si>
  <si>
    <t>Paladin You Inc JV</t>
  </si>
  <si>
    <t>Developer of middle-income housing properties based in São Paulo, Brazil.</t>
  </si>
  <si>
    <t>212306-86T</t>
  </si>
  <si>
    <t>Pantys</t>
  </si>
  <si>
    <t>Operator of a lingerie and undergarments manufacturing company based in Sao Paulo, Brazil. The company is a pioneer in women's healthy intimates with apparel solutions for menstruation and maternity and offers menstrual panties, shorts, swimwear and nursing bras, thereby offering its clients leakproof apparel for menstruation and incontinence</t>
  </si>
  <si>
    <t>266754-07T</t>
  </si>
  <si>
    <t>Pareto (Business /Productivity Software)</t>
  </si>
  <si>
    <t>Developer of an artificial intelligence marketing assistant intended to automate repetitive marketing tasks. The company's platform, featuring AI-powered data and system integration through end-to-end automation, allows marketers to reclaim their time and focus on more strategic initiatives, ultimately, enabling businesses to achieve greater results with less manual effort.</t>
  </si>
  <si>
    <t>257504-68T</t>
  </si>
  <si>
    <t>Paulifértil</t>
  </si>
  <si>
    <t>Supplier of fertilizers intended to serve the agribusiness sector. The company's products include fertilizer, chemicals, livestock, and organic inputs, and also offers physical and chemical analysis services carried out in its own laboratory.</t>
  </si>
  <si>
    <t>Nitro Química</t>
  </si>
  <si>
    <t>284387-68T</t>
  </si>
  <si>
    <t>Link Lab (ACATE)</t>
  </si>
  <si>
    <t>216037-72T</t>
  </si>
  <si>
    <t>Cadonau Investimentos</t>
  </si>
  <si>
    <t>284450-32T</t>
  </si>
  <si>
    <t>Startups Connected</t>
  </si>
  <si>
    <t>168600-07T</t>
  </si>
  <si>
    <t>Plural Care</t>
  </si>
  <si>
    <t>Provider of home health care services intended for patients who are clinically stable and do not need the conventional hospital structure. The company offers long-term home care, home hospitalization, emergency care with mobile intensive care units (ICUs) as well as skilled nursing services that include infusions, rehabilitative therapies and wound management, providing the necessary infrastructure for personalized and careful treatment that enables adults and elderly patients to continue their recuperation at home.</t>
  </si>
  <si>
    <t>Crescera Capital, Spectra Investments</t>
  </si>
  <si>
    <t>Elder and Disabled Care</t>
  </si>
  <si>
    <t>215444-26T</t>
  </si>
  <si>
    <t>Prema car</t>
  </si>
  <si>
    <t>Developer of customer relationship automation platform designed to increase sales and profit margin of auto centers and workshops. The company's platform offers to manage customer satisfaction and relationships and follow up on their auto center's growth indicators. enabling clients to track customers' engagement and satisfaction automatically.</t>
  </si>
  <si>
    <t>212187-43T</t>
  </si>
  <si>
    <t>Privally Global</t>
  </si>
  <si>
    <t>Developer of a software platform to develop tools for privacy and security management. The company specializes in automating, monitoring and managing processes in compliance with data privacy laws, thereby enhancing privacy and mapping data in an integrated single platform.</t>
  </si>
  <si>
    <t>258529-96T</t>
  </si>
  <si>
    <t>Alexandre Liuzzi(Alexandre Liuzzi), João Jönk(João Jönk), João Pedro Perpétuo(João Pedro Perpétuo), Juliana Bechara(Juliana Bechara), Juliana Felmanas Marques(Juliana Felmanas Marques), Rodrigo Bezerra, Rodrigo Marsili(Rodrigo Marsili), Roger Rohlfs(Roger Rohlfs), Stefano Masini(Stefano Masini)</t>
  </si>
  <si>
    <t>292625-11T</t>
  </si>
  <si>
    <t>Revex (Business/Productivity Software)</t>
  </si>
  <si>
    <t>Developer of a workforce management platform designed for optimized work schedule planning and execution. The company's platform offers features such as demand forecasting, employee allocation, overtime analysis, and compliance monitoring, enabling businesses to reduce labor liabilities, improve productivity, and enhance operational efficiency.</t>
  </si>
  <si>
    <t>215923-24T</t>
  </si>
  <si>
    <t>RuaDois</t>
  </si>
  <si>
    <t>Developer of a prop-tech platform designed to digitize the operations of Brazilian real estate agencies. The company's platform assists clients in the digital transformation process by covering everything from capturing and managing real estate inventory to closing transactions, along with automating the scheduling of visits, enabling small brokers and managers to compete on equal footing with larger players in the real estate market.</t>
  </si>
  <si>
    <t>Garan Ventures</t>
  </si>
  <si>
    <t>274787-02T</t>
  </si>
  <si>
    <t>São Paulo para Crianças</t>
  </si>
  <si>
    <t>Operator of an online events and places discovery platform intended to encourage play in childhood and the connection between parents and children. The company specializes in promoting events, tours and trips for babies, children and teenagers with up-to-date and complete information, allowing users to find different places, compare options, choose different tours, and organize the family's leisure schedule easily.</t>
  </si>
  <si>
    <t>274790-53T</t>
  </si>
  <si>
    <t>B2Mamy</t>
  </si>
  <si>
    <t>258321-79T</t>
  </si>
  <si>
    <t>267686-20T</t>
  </si>
  <si>
    <t>Seaworthy Collective</t>
  </si>
  <si>
    <t>276768-28T</t>
  </si>
  <si>
    <t>sisHABI</t>
  </si>
  <si>
    <t>Provider of a specialized management platform intended to support housing policy implementation for government entities. The company offers features such as beneficiary and family registration, document management, automated report generation, and compliance with current legislation, enabling municipalities to efficiently manage housing programs while providing transparency and improved service delivery for low-income populations.</t>
  </si>
  <si>
    <t>215831-71T</t>
  </si>
  <si>
    <t>202400-92T</t>
  </si>
  <si>
    <t>Grupo Bittencourt</t>
  </si>
  <si>
    <t>178859-80T</t>
  </si>
  <si>
    <t>Caio Castro(Caio Castro), Camila Farani(Camila Farani)</t>
  </si>
  <si>
    <t>202271-50T</t>
  </si>
  <si>
    <t>202537-45T</t>
  </si>
  <si>
    <t>Lever VC, Norte Ventures</t>
  </si>
  <si>
    <t>209212-93T</t>
  </si>
  <si>
    <t>295344-46T</t>
  </si>
  <si>
    <t>Triim</t>
  </si>
  <si>
    <t>Developer of electronic device rentals designed to expand access to high-end technology. The company offers short- and long-term smartphone rentals with a reuse and recycling model, enabling cost-conscious consumers in world to access devices while reducing electronic waste.</t>
  </si>
  <si>
    <t>204787-36T</t>
  </si>
  <si>
    <t>174632-59T</t>
  </si>
  <si>
    <t>264289-87T</t>
  </si>
  <si>
    <t>289202-77T</t>
  </si>
  <si>
    <t>Vita Investimentos</t>
  </si>
  <si>
    <t>Provider of independent financial asset management services intended to deliver conflict-free and consolidated wealth management services. The company's wealth management services include financial planning, risk management, succession planning, and global investment strategies, offering clients a tailored approach to protect and grow their assets, allowing clients to choose their preferred banks or brokers and consolidating investments from multiple institutions into a single platform, ensures transparency and personalized service, thereby providing financial services to a diverse clientele.</t>
  </si>
  <si>
    <t>298002-70T</t>
  </si>
  <si>
    <t>296065-72T</t>
  </si>
  <si>
    <t>Amaz.</t>
  </si>
  <si>
    <t>243898-21T</t>
  </si>
  <si>
    <t>Voit</t>
  </si>
  <si>
    <t>Developer of a marketplace application designed for buying and selling secondhand sports equipment and apparel. The company's application aims to democratize access to sports through content, services and new and second-hand products, enabling users to interact through the application.</t>
  </si>
  <si>
    <t>214702-30T</t>
  </si>
  <si>
    <t>Agasus, Anacapa Partners(Gregory Matthews), Applied Equity Partners, JB46 Partners(Miguel Albero), Milk Street Ventures, Relay Investments, Spectra Investments, WSC &amp; Company</t>
  </si>
  <si>
    <t>191854-09T</t>
  </si>
  <si>
    <t>Volutech</t>
  </si>
  <si>
    <t>Developer of a monitoring application designed to track the volume and temperature of the milk. The company's platform allows users to monitor the volume, temperature, and texture of milk with sensors, enabling clients with real-time sensing information about the volume and temperature of the milk, and preventing storage failures.</t>
  </si>
  <si>
    <t>10b - Gestora de Recursos</t>
  </si>
  <si>
    <t>232567-21T</t>
  </si>
  <si>
    <t>201689-83T</t>
  </si>
  <si>
    <t>169123-69T</t>
  </si>
  <si>
    <t>274804-03T</t>
  </si>
  <si>
    <t>Nazca Group</t>
  </si>
  <si>
    <t>252627-31T</t>
  </si>
  <si>
    <t>Zene Afro Estilo</t>
  </si>
  <si>
    <t>Operator of a beauty salon intended to provide skin and haircare services. The company operates a style studio and provides a training and qualification course for the new demand, enabling customers to take care of their hair and skin and black women to get trained to earn a living.</t>
  </si>
  <si>
    <t>261612-46T</t>
  </si>
  <si>
    <t>Cheap2Ship</t>
  </si>
  <si>
    <t>Developer of a freight quote platform designed to improve logistics efficiency. The company's platform helps to submit requests for freight quotes on national and international shipments and provides standardized quote formats, comparison tools, and previous history, enabling businesses to reduce their costs and save their time in freight management.</t>
  </si>
  <si>
    <t>164736-28T</t>
  </si>
  <si>
    <t>Ischolar</t>
  </si>
  <si>
    <t>Developer of educational management software designed for educational institutions. The company offers an online system that offers class diaries, management of classes and students, billing, library, school schedule and student and teacher portal, thereby helping schools to ensure agility in school routines and enhance results.</t>
  </si>
  <si>
    <t>e-Schooling(Marco Coelho)</t>
  </si>
  <si>
    <t>224144-92T</t>
  </si>
  <si>
    <t>Unihosp Grupo</t>
  </si>
  <si>
    <t>Operator of clinics and hospitals based in São Luís, Brazil. The company offers emergency health services including pulmonology, hematology, otorhinolaryngology, radiology and other related diagnosis and treatment as well as health and dental care plans.</t>
  </si>
  <si>
    <t>224219-62T</t>
  </si>
  <si>
    <t>Beepay</t>
  </si>
  <si>
    <t>Developer of a software-as-a-service platform intended to make retail smart and human for everyone. The company provides a multichannel solution in the form of an application to buy in the store by scanning bar codes of the desired products and making payments through a mobile application, enabling customers with no queues and no time wasted and businesses with more flow, increased tickets, and customer loyalty.</t>
  </si>
  <si>
    <t>Spin Capital (Jaraguá do Sul)</t>
  </si>
  <si>
    <t>164751-85T</t>
  </si>
  <si>
    <t>BTD Digital</t>
  </si>
  <si>
    <t>Provider of digital payments solutions catering to the cryptocurrency industry. The company specializes in cryptocurrency exchange, crypto tokenization, trading exchange, electronic payments relating to cryptocurrencies, cashback services in cryptocurrencies and other cryptocurrencies related services.</t>
  </si>
  <si>
    <t>167424-49T</t>
  </si>
  <si>
    <t>Carupi</t>
  </si>
  <si>
    <t>Operator of a peer-to-peer marketplace intended to facilitate the sale of used vehicles. The company's marketplace offers professional photoshoots of cars, selects suitable buyers based on the seller's preferred cost, and filters offers, enabling users to streamline the entire transaction from end to end.</t>
  </si>
  <si>
    <t>Gutbrain Ventures, Streamlined Ventures(Ullas Naik), Ullas Naik(Ullas Naik), Zentani Capital</t>
  </si>
  <si>
    <t>284286-43T</t>
  </si>
  <si>
    <t>164412-10T</t>
  </si>
  <si>
    <t>Loopa</t>
  </si>
  <si>
    <t>Developer of an integrated financial management platform designed to track business transactions. The company's platform facilitates transparency by auditing each transaction, optimizing fees, and recovering the due amounts, enabling small and medium entrepreneurs to control all card receivables and the company's cash flow ensuring more transparency and reliability for business.</t>
  </si>
  <si>
    <t>Spectra Investments, Valor Capital Group</t>
  </si>
  <si>
    <t>164969-02T</t>
  </si>
  <si>
    <t>PontoMais Tecnologia</t>
  </si>
  <si>
    <t>Developer and provider of digital point registration solution intended to avoid unnecessary bureaucracy. The company offers journey management, management report, security and technology and integration services, thereby availing clients with a complete tool to manage the point intelligently.</t>
  </si>
  <si>
    <t>224346-52T</t>
  </si>
  <si>
    <t>S3ND</t>
  </si>
  <si>
    <t>Developer of a communication platform that focused on improving customer engagement and interaction. The company offers inbound response flows, outbound messaging, centralized management of customer databases, and integration across messaging channels such as SMS, voice, web chat, and social media, enabling organizations to streamline and enhance their customer outreach and relationship management.</t>
  </si>
  <si>
    <t>Neobpo (Sao Paulo)(Eraldo Dante de Paola), Sharpen Capital</t>
  </si>
  <si>
    <t>164749-60T</t>
  </si>
  <si>
    <t>Tradeback Digital</t>
  </si>
  <si>
    <t>Developer of cryptocurrency exchange platform based in Rio de Janeiro, Brazil. The company's platform can be used as a desktop extension for crypto tokenization, trading exchange, electronic payments relating to cryptocurrencies and availing cashback in cryptocurrencies.</t>
  </si>
  <si>
    <t>164319-22T</t>
  </si>
  <si>
    <t>Next Marka</t>
  </si>
  <si>
    <t>Provider of an agricultural and corporate insurance broker in Porto Alegre, Rio Grande do Sul. The company specializes in business, property, residential, agricultural, light and heavy vehicles, agricultural machinery, guarantee, civil liability, equipment.</t>
  </si>
  <si>
    <t>Alper Consultoria</t>
  </si>
  <si>
    <t>156273-22T</t>
  </si>
  <si>
    <t>Centro Universitário dos Guararapes</t>
  </si>
  <si>
    <t>Provider of higher education training processes based in Jaboatao Dos Guararapes, Brazil. The company provides teaching on research, culture, science, technology and arts.</t>
  </si>
  <si>
    <t>213472-63T</t>
  </si>
  <si>
    <t>Datalab Mobile</t>
  </si>
  <si>
    <t>Developer of mobile applications intended for the corporate market. The company provides solutions that have a high capacity for integration with the best ERP, CRM and BI players available in the world market, among which stand out: SAP, MICROSOFT, TOTVS, ORACLE, SENIOR, SANKYA and ERPFlex</t>
  </si>
  <si>
    <t>251575-21T</t>
  </si>
  <si>
    <t>Fundo DE Investimento Imobiliario Caixa Imoveis Corporativos (BVMF: CXCO11)</t>
  </si>
  <si>
    <t>Fundo DE Investimento Imobiliario Caixa Imoveis Corporativos is a Real estate investment fund.</t>
  </si>
  <si>
    <t>251546-68T</t>
  </si>
  <si>
    <t>Hedge Aaa Fundo (BVMF: HAAA11)</t>
  </si>
  <si>
    <t>Hedge Aaa Fundo DE Investimento Imobiliario is a Real Estate Fund incorporated in Brazil. The company's objective is to achieve capital growth while offering its investors monthly liquidity.</t>
  </si>
  <si>
    <t>175523-95T</t>
  </si>
  <si>
    <t>Forever Liss</t>
  </si>
  <si>
    <t>Manufacturer and retailer of cosmetics products intended for the hair professionals. The company offers a wide range of hair care products including shampoo, hair masks, conditioner, toner as well as kits for makeup, health and beauty, enabling professionals to offer hair care to their customers.</t>
  </si>
  <si>
    <t>Concept Investimentos(Rafael Goncalez), Spectra Investments</t>
  </si>
  <si>
    <t>164336-86T</t>
  </si>
  <si>
    <t>Blue Sol Energia Solar</t>
  </si>
  <si>
    <t>Operator of a solar energy company intended to distribute, transmit, and commercialize renewable energy. The company integrates and installs photovoltaic solar systems in the distributed generation segment through its workforce and network of partners, enabling customers to avail of sustainable electricity that complies with national quality standards.</t>
  </si>
  <si>
    <t>127320-94T</t>
  </si>
  <si>
    <t>Copagaz Distribuidora De Gas</t>
  </si>
  <si>
    <t>Distributor of liquefied petroleum gas based in Sao Paulo, Brazil.</t>
  </si>
  <si>
    <t>Itaúsa (BVMF: ITSA3)</t>
  </si>
  <si>
    <t>194844-97T</t>
  </si>
  <si>
    <t>Fundepar</t>
  </si>
  <si>
    <t>294381-01T</t>
  </si>
  <si>
    <t>TheVentureCity(Laura González-Estéfani)</t>
  </si>
  <si>
    <t>219627-10T</t>
  </si>
  <si>
    <t>Riza Asset Management</t>
  </si>
  <si>
    <t>164383-93T</t>
  </si>
  <si>
    <t>123272-74T</t>
  </si>
  <si>
    <t>Canary (Brazil), Citius, Monashees, Quartz (Brazil), Quona Capital(Jonathan Whittle), Spectra Investments, Tru Arrow Partners</t>
  </si>
  <si>
    <t>215336-08T</t>
  </si>
  <si>
    <t>Jaleko</t>
  </si>
  <si>
    <t>Developer of an online education platform designed for medical students. The company's platform offers users online recorded courses for medicine from different subject experts, enabling medical students to better learn medicine and pass college exams.</t>
  </si>
  <si>
    <t>+A Educação(Guilherme Dias), Kinea Investimentos (BVMF: KNHY11)(Matheus Lino)</t>
  </si>
  <si>
    <t>203575-60T</t>
  </si>
  <si>
    <t>Yuool</t>
  </si>
  <si>
    <t>Operator of a retail apparel and fashion platform intended to offer comfortable shoes and other footwear products. The company manufactures comfortable shoes made with sustainable materials such as certified wool, cotton, and recycled plastic bottles, enabling people to get footwear in various colors and types.</t>
  </si>
  <si>
    <t>Eduardo Galanternik(Eduardo Galanternik), NVA Capital(Eduardo Glitz)</t>
  </si>
  <si>
    <t>251351-20T</t>
  </si>
  <si>
    <t>BTG Pactual Agro Logistica (BVMF: BTAL11)</t>
  </si>
  <si>
    <t>Fundo DE Investimento Imobiliario BTG Pactual Agro Logistica is a real estate investment trust engaged in the logistical and industrial segment.</t>
  </si>
  <si>
    <t>216160-03T</t>
  </si>
  <si>
    <t>Landix Sistemas</t>
  </si>
  <si>
    <t>Developer of sales automation software for medium and small companies. The company offers development for mobility, sales force automation, work orders, inventory control and enterprise mobility services, enabling clients to streamline and simplify processes and deliver better results in less time.</t>
  </si>
  <si>
    <t>MC1 Tecnologia(Marcos Póvoa), Spectra Investments(Ana Donato), Treecorp Investimentos (BVMF: TCPF11)(Luis Lomonaco)</t>
  </si>
  <si>
    <t>164388-97T</t>
  </si>
  <si>
    <t>Darwin Capital, Marcelo Sampaio(Marcelo Sampaio), Roberto Nishikawa, WP Capital</t>
  </si>
  <si>
    <t>213486-04T</t>
  </si>
  <si>
    <t>Instituto Avançado de Ensino Superior de Barreiras</t>
  </si>
  <si>
    <t>Operator of a higher educational institute based in Barreiras, Brazil.</t>
  </si>
  <si>
    <t>211760-38T</t>
  </si>
  <si>
    <t>UNIFASB</t>
  </si>
  <si>
    <t>Provider of higher education based in Barreiras, Brazil. The company offers courses in the areas of health and human sciences, with undergraduate and graduate higher education courses, such as: law, agronomy, administration, accounting, biomedicine, psychology and nursing.</t>
  </si>
  <si>
    <t>166163-95T</t>
  </si>
  <si>
    <t>Tail Digital</t>
  </si>
  <si>
    <t>Provider of data management and analytics solutions intended for the digital media market in Brazil. The company has developed a platform and specializes in data engineering, database enrichment, marketing, machine learning, data intelligence, CRM databases and digital transformation, thereby helping businesses know their audience in-depth and optimize their strategies.</t>
  </si>
  <si>
    <t>234818-29T</t>
  </si>
  <si>
    <t>Rocket Capital</t>
  </si>
  <si>
    <t>210311-74T</t>
  </si>
  <si>
    <t>Beduka</t>
  </si>
  <si>
    <t>Operator of an educational platform intended to provide their services to the students with study materials. The company's service offerings include entrance exam preparation, vocational test, writing course for the students.</t>
  </si>
  <si>
    <t>243190-81T</t>
  </si>
  <si>
    <t>Casa Suíca</t>
  </si>
  <si>
    <t>Producer of food products based in São Paulo, Brazil. The company offers a wide range of products ranging from cakes, gingerbreads, panettone, trifle, cheesecake, fruit cheesecake, sugar-free cakes and pastry to many other products to its clients.</t>
  </si>
  <si>
    <t>Marilan Alimentos(Sergio Tavares)</t>
  </si>
  <si>
    <t>226831-42T</t>
  </si>
  <si>
    <t>161860-24T</t>
  </si>
  <si>
    <t>Advent International, Amadeus Capital Partners(Patrick Burtis), Headline(Mathias Schilling), Kaszek(Nicolas Szekasy), Lightrock(Marcos Pereira), Naspers (JSE: NPN), SoftBank Investment Advisers, Sunley House Capital Management, Tarsadia Capital, VEF (STO: VEFAB)(David Nangle), Wellington Management</t>
  </si>
  <si>
    <t>191928-25T</t>
  </si>
  <si>
    <t>164020-42T</t>
  </si>
  <si>
    <t>Social Bank</t>
  </si>
  <si>
    <t>Developer of a digital banking platform intended to connect people and companies by transforming the way they deal with money without intermediaries in Uberlandia, Brazil. The company's platform provides smart financial services in a complete financial ecosystem that focuses on automating business and people management, enabling users to make easy deposits and fast transfers through a single mobile application.</t>
  </si>
  <si>
    <t>166161-43T</t>
  </si>
  <si>
    <t>158419-54T</t>
  </si>
  <si>
    <t>251358-04T</t>
  </si>
  <si>
    <t>HSI Logistica Fundo (BVMF: HSLG11)</t>
  </si>
  <si>
    <t>Hsi Logistica Fundo De Investimento Imobiliario aims to obtain income and capital gains, through investment in real estate or real rights over ready made properties in the Logistics segment.</t>
  </si>
  <si>
    <t>163997-02T</t>
  </si>
  <si>
    <t>Pottencial Seguradora</t>
  </si>
  <si>
    <t>Provider of real estate services brokerage and contract management services intended for landlords and property owners. The company offers a range of property listings along with information on their services and expertise in the real estate industry and personalized assistance to clients seeking to buy or sell properties as well as acts both as the granting of credit letters of guarantee for bank guarantees competition and guarantee contracts.</t>
  </si>
  <si>
    <t>173033-29T</t>
  </si>
  <si>
    <t>Congonhas Lab</t>
  </si>
  <si>
    <t>161013-43T</t>
  </si>
  <si>
    <t>Melhor Envio</t>
  </si>
  <si>
    <t>Operator of an online logistics platform intended to provide online stores with deliveries at exclusive prices with carriers. The company's platform leverages technology to reduce the costs for delivery and gives logistic competitiveness to small and medium-sized virtual stores, enabling clients to compare prices between several carriers and get shipping services for their requirements at affordable prices.</t>
  </si>
  <si>
    <t>203801-41T</t>
  </si>
  <si>
    <t>Network Participacoes</t>
  </si>
  <si>
    <t>Operator of holding companies focused on sports channels based in Sao Paulo, Brazil.</t>
  </si>
  <si>
    <t>164180-26T</t>
  </si>
  <si>
    <t>América Móvil (MEX: AMXB), Telecom Italia (MIL: TIT), Telefónica (MAD: TEF)</t>
  </si>
  <si>
    <t>167486-32T</t>
  </si>
  <si>
    <t>Opentech</t>
  </si>
  <si>
    <t>Developer of risk and transport management software for logistic operators, freight and insurance companies. The company's software captures signals from third parties and integrates them into its monitoring database with the use of a business variable, enabling clients to reduce their cost of damage due to accidents or theft and monitor their vehicles in an efficient manner.</t>
  </si>
  <si>
    <t>160874-74T</t>
  </si>
  <si>
    <t>2bCapital, Inovabra Ventures</t>
  </si>
  <si>
    <t>265215-43T</t>
  </si>
  <si>
    <t>168088-24T</t>
  </si>
  <si>
    <t>Geocom</t>
  </si>
  <si>
    <t>Developer of geotechnology and radio communication technologies for the agricultural sector. The company specializes in image geoprocessing, remote sensing, precision agriculture and applications of biological agents via drones, allowing businesses to optimize activities and increase the productivity of their farms.</t>
  </si>
  <si>
    <t>Koppert(Martin Koppert)</t>
  </si>
  <si>
    <t>271402-93T</t>
  </si>
  <si>
    <t>GITEX Future Stars</t>
  </si>
  <si>
    <t>211946-68T</t>
  </si>
  <si>
    <t>166733-29T</t>
  </si>
  <si>
    <t>4ward Serviços e Comércio de Equipamentos</t>
  </si>
  <si>
    <t>Developer of payment software based in Sao Paulo, Brazil. The company's platform offers automation of marketplace and e-commerce payment solutions with optimization of dispute handling processes, thereby helping clients to identify and solve problems with payment integrations.</t>
  </si>
  <si>
    <t>Bitz(Curt Zimmermann)</t>
  </si>
  <si>
    <t>166165-03T</t>
  </si>
  <si>
    <t>Canary (Brazil), Y Combinator</t>
  </si>
  <si>
    <t>160799-68T</t>
  </si>
  <si>
    <t>Temasek Holdings</t>
  </si>
  <si>
    <t>284559-58T</t>
  </si>
  <si>
    <t>SentiMonitor</t>
  </si>
  <si>
    <t>Developer an artificial intelligence-based social and research platform intended to provide insights and social media monitoring services. The company's platform uses cutting-edge technology, research, analytics and intelligence services to understand customers' behavior from spontaneous conversations and understand how customers spontaneously mention the brand on social media to measure social efforts and compare the strategies with the competitors, enabling members to understand language, compare brand engagement and anticipate trends and demands.</t>
  </si>
  <si>
    <t>218873-89T</t>
  </si>
  <si>
    <t>195789-16T</t>
  </si>
  <si>
    <t>Delta Global</t>
  </si>
  <si>
    <t>Developer of fleet management technology intended to provide services for the insurance and transport market. The company offers a wide range of services such as road assistance, maintenance, fleet management, tracking, and software development to reduce bureaucracy and simplify processes, all in a transparent, agile, and ethical manner, enabling businesses with security, simplicity, and tranquillity in their daily lives.</t>
  </si>
  <si>
    <t>Randon Ventures</t>
  </si>
  <si>
    <t>160739-11T</t>
  </si>
  <si>
    <t>Intelipost Consultoria e Tecnologia de Logística</t>
  </si>
  <si>
    <t>Developer of a fleet management platform designed to integrate the comparison and quotation of various transportation options as well as delivery tracking. The company's platform assists users in hiring carriers and facilitates the approach to getting freight quotes in real-time and rules adapted to each business as well as tracking deliveries and generating insights through automated intelligence services for each delivery, enabling shippers to handle the entire shipping process by reducing costs, increasing control, and improving results.</t>
  </si>
  <si>
    <t>Riverwood Capital(Joe De Pinho), Spectra Investments</t>
  </si>
  <si>
    <t>213522-49T</t>
  </si>
  <si>
    <t>Bexpo</t>
  </si>
  <si>
    <t>Operator of a technology platform intended to provide facial recognition product. The company offers an application that performs the entire proof of life and re-registration process for retirees and pensioners online using facial recognition and artificial intelligence technologies.</t>
  </si>
  <si>
    <t>Gateware</t>
  </si>
  <si>
    <t>160758-64T</t>
  </si>
  <si>
    <t>Bit Capital</t>
  </si>
  <si>
    <t>Developer of an open banking platform designed to help customers to deliver their own digital financial products. The company's blockchain-based open banking platform reduces the number of counterparties and uses a layer of APIs for transaction processing, thereby delivering clients a frictionless open banking platform and offer blockchain as a service for transaction processing.</t>
  </si>
  <si>
    <t>139239-91T</t>
  </si>
  <si>
    <t>Carflix</t>
  </si>
  <si>
    <t>Operator of a car dealing platform intended to help customers in buying and selling cars. The company's platform connects buyers and sellers and sends professionals to inspect the cars, take photos, and make announcements while also negotiating and helping with the paperwork, enabling customers to save money, and time while ensuring the safety and quality of the vehicles.</t>
  </si>
  <si>
    <t>Banco BV(Guilherme Horn), Mercado Libre Fund</t>
  </si>
  <si>
    <t>164168-74T</t>
  </si>
  <si>
    <t>Fusion DMS</t>
  </si>
  <si>
    <t>Developer of a delivery management system platform catering to cargo transporting wholesalers. The company engages in routing and delivery management to control the journey and productivity of drivers, thereby reducing the possibilities of cross-selling.</t>
  </si>
  <si>
    <t>169072-39T</t>
  </si>
  <si>
    <t>163942-30T</t>
  </si>
  <si>
    <t>Agile</t>
  </si>
  <si>
    <t>Developer of a routing platform that optimizes delivery processes to simplify the logistics process. The company offers complete integration with the management system, facilitating the implantation of the product speeding up your saving process, and separating the load according to the capacity of each vehicle, providing clients with agility and security in each delivery and collection.</t>
  </si>
  <si>
    <t>Intelipost Consultoria e Tecnologia de Logística(Gabriel Drummond)</t>
  </si>
  <si>
    <t>156745-90T</t>
  </si>
  <si>
    <t>Companhia Energética de Brasília (BVMF: CEBR3)</t>
  </si>
  <si>
    <t>Companhia Energetica de Brasilia - CEB through its subsidiaries and holdings is engaged in generation, transmission, marketing and distribution of electricity as well as related services. It also constructs electric power stations and distribution network; and produces and distributes gas through pipelines.</t>
  </si>
  <si>
    <t>Neoenergia (BVMF: NEOE3)</t>
  </si>
  <si>
    <t>194616-91T</t>
  </si>
  <si>
    <t>RankMyApp</t>
  </si>
  <si>
    <t>Developer of a digital marketing tool designed to assist application stakeholders in attracting new users and retaining them. The company's platform improves the visibility of the application in the app stores by achieving improved rankings for strategic and strong keywords, enabling clients to get enhanced visibility and organic downloads on the app stores simply and smartly.</t>
  </si>
  <si>
    <t>160635-34T</t>
  </si>
  <si>
    <t>Simple Organic Beauty</t>
  </si>
  <si>
    <t>Manufacturer of skin care products intended to increasingly democratize access to natural beauty by offering products that are free of synthetic and harmful ingredients. The company offers natural and organic products including beauty and wellness oil, moisturizers and soaps, also offers skin-friendly makeup.</t>
  </si>
  <si>
    <t>156785-77T</t>
  </si>
  <si>
    <t>Barn Investimentos(Flavio Zaclis), Bulb Capital, Quasar Builders, TF Ventures, Wayra Brazil</t>
  </si>
  <si>
    <t>160279-12T</t>
  </si>
  <si>
    <t>166678-39T</t>
  </si>
  <si>
    <t>161084-89T</t>
  </si>
  <si>
    <t>Denver Impermeabilizantes</t>
  </si>
  <si>
    <t>Manufacture and supplier of waterproofing solutions intended to provide construction materials. The company offers bitumen-based waterproofing membranes, modified asphalt, application primers, polymeric and elastomeric mortars, acrylic-based waterproofing paints and non-reinforced bituminous self-adhesive membranes and tapes, thereby helping clients with safe, healthy and happy environment.</t>
  </si>
  <si>
    <t>Soprema USA(Paulo Oliveira)</t>
  </si>
  <si>
    <t>270043-48T</t>
  </si>
  <si>
    <t>166986-19T</t>
  </si>
  <si>
    <t>168028-57T</t>
  </si>
  <si>
    <t>Alan Yong(Alan Yong), Bossa Invest, DOMO.VC(Gabriel Vieira), Fernando Moreira(Fernando Moreira), Guilherme Valle(Guilherme Valle), Guto Almeida(Guto Almeida), Joel Kos(Joel Kos), José Pereira(José Pereira), Luiz Viotti(Luiz Viotti), Marco Bertoni(Marco Bertoni), Michel Dubernet(Michel Dubernet), Rodrigo Batista(Rodrigo Batista)</t>
  </si>
  <si>
    <t>219061-72T</t>
  </si>
  <si>
    <t>Boa Vista Comércio de Produtos Agropecuários</t>
  </si>
  <si>
    <t>Producer and distributor of agricultural products based in Maracaju, Brazil. The company provides goods such as agricultural pesticides, manures, fertilizers, seeds and soil amendments at wholesale along with soybean and corn crops, thereby operating stores and representing several brands of pesticides, seeds and fertilizers.</t>
  </si>
  <si>
    <t>AgroGalaxy, Aqua Capital</t>
  </si>
  <si>
    <t>178296-94T</t>
  </si>
  <si>
    <t>Escola De Inteligencia Cursos Educacionais</t>
  </si>
  <si>
    <t>Provider of social and emotional learning services intended to serve the education industry. The company's program offers self-management of emotions, development of cognitive functions, improvement of school performance and development of skills to build healthy relationships as well as manage conflicts along with entrepreneurial posture and creativity.</t>
  </si>
  <si>
    <t>165234-97T</t>
  </si>
  <si>
    <t>Crestone Venture Capital, Grupo PH</t>
  </si>
  <si>
    <t>163985-50T</t>
  </si>
  <si>
    <t>Piratininga Bandeirantes Transmissora de Energia</t>
  </si>
  <si>
    <t>Operator of an energy transmission company based in Sao Paulo, Brazil.</t>
  </si>
  <si>
    <t>Isa Energia Brasil (BVMF: ISAE3)</t>
  </si>
  <si>
    <t>166488-85T</t>
  </si>
  <si>
    <t>Zeeng</t>
  </si>
  <si>
    <t>Developer of a big data analytics platform designed for monitoring the positioning and digital presence of brands and competitors. The company's platform collects all the information about the brand and its competitors within various digital channels and provides a single, centralized repository for generating insights, enabling clients to improve their online performance with market insights and a competitive environment.</t>
  </si>
  <si>
    <t>Bossa Invest, DOMO.VC(Franco Pontillo)</t>
  </si>
  <si>
    <t>207135-01T</t>
  </si>
  <si>
    <t>Abrace uma Causa</t>
  </si>
  <si>
    <t>Operator of a crowdfunding platform intended to connect companies and people with the third sector to promote social impact. The company aims to engage society in high-impact social causes, disseminate and expand the donation culture, enabling the community to engage in relevant social projects and thus transform the country through solidarity.</t>
  </si>
  <si>
    <t>194455-45T</t>
  </si>
  <si>
    <t>165793-15T</t>
  </si>
  <si>
    <t>Globalbot</t>
  </si>
  <si>
    <t>Developer of artificial intelligence-based chatbot platform designed to access automated services through messaging and bots. The company's platform allows the user to structure a flow of dialogue where the chatbot will engage and capture the information, enabling brands to increase their audiences, e-retailers to increase sales, and service companies to improve their client support.</t>
  </si>
  <si>
    <t>211678-84T</t>
  </si>
  <si>
    <t>JB Biotecnologia</t>
  </si>
  <si>
    <t>Producer of macrobiological agents intended for the integrated management of pests in agricultural and forestry crops, contributing to crop protection and agribusiness sustainability. The company specializes in biotechnological capacity to implement ecological pest management programs in different cultures, they also implement parasites and predators in agriculture for efficient results thereby providing efficiency in pest management, profitability, and protecting human health and the environment, thus making agribusiness more competitive.</t>
  </si>
  <si>
    <t>Vittia (BVMF: VITT3)(José Castro)</t>
  </si>
  <si>
    <t>165934-45T</t>
  </si>
  <si>
    <t>Christian Pensa(Christian Pensa), Gabriel Gomes(Gabriel Gomes), Marcelo Rocha(Marcelo Rocha), Michelle Michelle(Michelle Michelle), Paulo Stark(Paulo Stark)</t>
  </si>
  <si>
    <t>224092-72T</t>
  </si>
  <si>
    <t>Original Capital</t>
  </si>
  <si>
    <t>165815-65T</t>
  </si>
  <si>
    <t>DOMO.VC, Oracle (NYS: ORCL)</t>
  </si>
  <si>
    <t>242452-81T</t>
  </si>
  <si>
    <t>Vertex Administradora e Corretora de Seguros</t>
  </si>
  <si>
    <t>Provider of insurance services intended to serve personal and corporate purposes. The company offers automobile insurance, residential insurance, miscellaneous risk management, nautical insurance and aircraft insurance.</t>
  </si>
  <si>
    <t>215704-54T</t>
  </si>
  <si>
    <t>Wivo (Business/Productivity Software)</t>
  </si>
  <si>
    <t>Developer of marketing software designed for businesses to get sales growth. The company's software offers sales team monitoring, leads to connect, and data analysis, enabling businesses to utilize their marketing team and work easily.</t>
  </si>
  <si>
    <t>205079-86T</t>
  </si>
  <si>
    <t>Wayra Brazil</t>
  </si>
  <si>
    <t>205853-68T</t>
  </si>
  <si>
    <t>F123</t>
  </si>
  <si>
    <t>Operator of an assistive technology company intended to improve opportunities for education and employment for the visually impaired. The company offers multi-lingual software and portable computers with training services to ensure that users can effectively utilize the digital tools they offer, enabling educational institutions and employers to provide accessible technology for the blind.</t>
  </si>
  <si>
    <t>Louder Pages</t>
  </si>
  <si>
    <t>139425-04T</t>
  </si>
  <si>
    <t>Angel Ventures Mexico(Camilo Kejner), Artfo Holdings, Dux Capital(José Luis Silva Vazquez), F-Prime Capital, Foundation Capital, Hetz Ventures, John Farrell(John Farrell), Secocha Ventures, VentureSouq, Y Combinator</t>
  </si>
  <si>
    <t>167495-77T</t>
  </si>
  <si>
    <t>RisKnow</t>
  </si>
  <si>
    <t>Operator of a credit underwriting platform intended to offer residential mortgage services to clients. The company's platform uses risk management and predictive cash flow with specialized analysis for the real estate market, enabling clients to easily get unbiased credit scores and risk management analytics through online methods.</t>
  </si>
  <si>
    <t>Iporanga Ventures(Renato Valente), Rafael Abreu(Rafael Abreu)</t>
  </si>
  <si>
    <t>256849-75T</t>
  </si>
  <si>
    <t>Santa Vitória do Palmar Holding</t>
  </si>
  <si>
    <t>Manufacturer of electricity based in Belo Horizonte, Brazil.</t>
  </si>
  <si>
    <t>Serena Energia</t>
  </si>
  <si>
    <t>160237-99T</t>
  </si>
  <si>
    <t>Operator of a veterinary laboratory based in Savassi, Brazil.</t>
  </si>
  <si>
    <t>161034-76T</t>
  </si>
  <si>
    <t>Bipbop</t>
  </si>
  <si>
    <t>Provider of web crawling and Machine Learning services intended to generate knowledge from the capture of data from websites, portals, public and private systems. Provider of web crawling services. The company's services use Information Technology and Computer Science in efforts to align strategy and processes with security and agility in the respective decision-making, enabling clients to capture information from the internet so they can have better means to handle their business.</t>
  </si>
  <si>
    <t>224367-58T</t>
  </si>
  <si>
    <t>BEYOUNG (Itapevi)</t>
  </si>
  <si>
    <t>Manufacturer of personal care products to help people achieve their skin goals by providing them with high-quality products and services at an affordable price. The company offers a variety of products and services, including skincare products for all skin types, makeup products, kits and bundles, educational resources and loyalty programs.</t>
  </si>
  <si>
    <t>XP Private</t>
  </si>
  <si>
    <t>160212-43T</t>
  </si>
  <si>
    <t>Developer of advanced financial applications designed to cater to the financial market. The company offers various analysis, monitoring, and asset trading systems along with news on the current market conditions, enabling investors and companies to make secure and informed decisions while giving access to a wide range of financial instruments.</t>
  </si>
  <si>
    <t>Across Capital Partners(Rafael Costa), Cercano Management(Rafael Costa), Crescera Capital, Endeavor Catalyst, Spectra Investments</t>
  </si>
  <si>
    <t>219208-06T</t>
  </si>
  <si>
    <t>UPI Torres</t>
  </si>
  <si>
    <t>Operator of a network of mobile towers across Brazil.</t>
  </si>
  <si>
    <t>Alberta Investment Management, DigitalBridge Group (NYS: DBRG)(Steven Sonnenstein), Highline do Brasil</t>
  </si>
  <si>
    <t>184322-44T</t>
  </si>
  <si>
    <t>Cacao Capital, EquityRio, Garan Ventures, GVAngels</t>
  </si>
  <si>
    <t>224309-89T</t>
  </si>
  <si>
    <t>Fromtis Serviços de Tecnologia</t>
  </si>
  <si>
    <t>Developer of software intended to serve investment funds in credit rights. The company offers custom web applications, cloud solutions, project management and investment fund advising , thereby providing its customers with registration, processing, control and management of receivables.</t>
  </si>
  <si>
    <t>181907-47T</t>
  </si>
  <si>
    <t>Greenpeople</t>
  </si>
  <si>
    <t>Producer of cold-pressed fruit juices intended to serve supermarket chains and retailers. The company utilizes a hydraulic press system to extract juices from fruits and vegetables to preserve the nutrients and flavor of food while omitting the pasteurization process entirely, enabling consumers to enjoy natural, fresh and healthy products.</t>
  </si>
  <si>
    <t>DXA Invest(Oscar Decotelli)</t>
  </si>
  <si>
    <t>251580-16T</t>
  </si>
  <si>
    <t>Rb Capital Recebiveis (BVMF: RRCI11)</t>
  </si>
  <si>
    <t>Rb Capital Recebiveis Imobiliarios Fundo DE Inv Imob - FII is a Brazil based company. It objective of the Fund is to provide Shareholders with the appreciation of their Shares, through the exclusive application of Fund resources in the acquisition of Target Assets, these being CRI, LCI, and FII, without prejudice to Liquidity Assets.</t>
  </si>
  <si>
    <t>166513-15T</t>
  </si>
  <si>
    <t>Trocados</t>
  </si>
  <si>
    <t>Developer of a financial application designed to make individuals get access to financial services. The company's application offers digital exchange and provides an avenue for financial connection between retailers and consumers so that the sellers can reduce their cash-front losses, enhance their profit margins, and sell more, enabling consumers to manage their financial transactions in just a click.</t>
  </si>
  <si>
    <t>DOMO.VC(Franco Pontillo)</t>
  </si>
  <si>
    <t>160706-62T</t>
  </si>
  <si>
    <t>160622-11T</t>
  </si>
  <si>
    <t>DigitalBridge Group (NYS: DBRG)(Steven Sonnenstein), Highline do Brasil(Fernando Viotti)</t>
  </si>
  <si>
    <t>211789-00T</t>
  </si>
  <si>
    <t>iTer Telemetria</t>
  </si>
  <si>
    <t>The company operates in tracking, telemetry and internet of things (IoT) solutions and provide other companies with the provision of monitoring, tracking, telemetry and IOT services.</t>
  </si>
  <si>
    <t>Unidas(Luis Porto)</t>
  </si>
  <si>
    <t>160093-81T</t>
  </si>
  <si>
    <t>Todo Cartões</t>
  </si>
  <si>
    <t>Developer of a gift card processing platform based in Porto Alegre, Brazil. The company's platform processes closed-loop gift cards for retailers, both in-store and online, and supports bulk gift card purchases for businesses.</t>
  </si>
  <si>
    <t>Blackstone (NYS: BX), InComm Payments(Ricardo Olivieri)</t>
  </si>
  <si>
    <t>213787-09T</t>
  </si>
  <si>
    <t>Crediativos</t>
  </si>
  <si>
    <t>Provider of credit recovery services based in Sao Paulo, Brazil. The company specializes in negotiating debts, collection and recovery of non-performing loans, defaulted portfolios, and other recovery management services.</t>
  </si>
  <si>
    <t>MGC Holding</t>
  </si>
  <si>
    <t>158965-39T</t>
  </si>
  <si>
    <t>Bread &amp; Butter Ventures(Brett Brohl), SP Ventures(Francisco Jardim)</t>
  </si>
  <si>
    <t>199934-74T</t>
  </si>
  <si>
    <t>Aoca Game Lab</t>
  </si>
  <si>
    <t>Developer of story-based games intended to offer an immersive gaming experience. The company's games appeal to a wide range of players, including those who enjoy story-driven games, challenging games, and games with good graphics, enabling gamers to enjoy their favorite genres.</t>
  </si>
  <si>
    <t>160931-26T</t>
  </si>
  <si>
    <t>Meritt</t>
  </si>
  <si>
    <t>Developer of a digital assessment platform designed to impact education and help schools, networks and businesses organize and use assessment data. The company's platform prioritizes what to teach using official exam data, compares progress with competing schools, gathers data and assists students in choosing courses and universities with simulated grades, enabling education institutions to make evaluation easy, accessible and relevant.</t>
  </si>
  <si>
    <t>Vasta Platform (NAS: VSTA)</t>
  </si>
  <si>
    <t>160868-53T</t>
  </si>
  <si>
    <t>Saladorama</t>
  </si>
  <si>
    <t>Operator of an organic food delivery platform dedicated to democratizing access to healthy and quality food among poorer communities. The company's offerings include the production and distribution of meals to low-income communities along with offering access to nutritional training and entrepreneurship, providing the population living in the peripheral regions and their surroundings with safe, healthy, sustainable and affordable food.</t>
  </si>
  <si>
    <t>251987-50T</t>
  </si>
  <si>
    <t>Treinus</t>
  </si>
  <si>
    <t>Developer of sports management software designed for business enterprises in the sports industry. The company's software allows sports mentors to schedule training sessions, monitor the training of students, receive payments, and athletes to browse through coaches' profiles and connect over the platform, enabling users to connect with people and practice healthy living.</t>
  </si>
  <si>
    <t>158308-12T</t>
  </si>
  <si>
    <t>Banco Modal (Fund Administration Business)</t>
  </si>
  <si>
    <t>Operator of an alternative fund administration business in Brazil. The company offers its services to clients representing institutional funds (FIPs, FIDCs and FIIs) for both international and Brazilian asset managers.</t>
  </si>
  <si>
    <t>Apex Group(Peter Hughes), Genstar Capital(Anthony Salewski)</t>
  </si>
  <si>
    <t>159883-57T</t>
  </si>
  <si>
    <t>Clickspace</t>
  </si>
  <si>
    <t>Developer of Saas solutions based in Sao Paulo, Brazil. The company develops SaaS solutions for building and managing marketplaces, thereby enabling clients to automate processes and allow integration with any platform.</t>
  </si>
  <si>
    <t>160737-67T</t>
  </si>
  <si>
    <t>ArpexCapital, Coatue Management, DST Global, FIS Ventures, Light Capital Group, Plug and Play Tech Center(Alireza Masrour), The Hive, Valor Capital Group</t>
  </si>
  <si>
    <t>208094-05T</t>
  </si>
  <si>
    <t>Consiga+</t>
  </si>
  <si>
    <t>Provider of private payroll credit intended to cater to workers of Brazilian private companies. The company helps clients balance their accounts through private payroll loans with the lowest rates in the market for workers with a formal contract. helping clients simulate, hire and monitor their contracts.</t>
  </si>
  <si>
    <t>Neon(Jean Sigrist)</t>
  </si>
  <si>
    <t>251673-49T</t>
  </si>
  <si>
    <t>Hectare Student Housing (BVMF: HCST11)</t>
  </si>
  <si>
    <t>Hectare Student Housing I - Fundo DE Inv Em Particip Multiestrategia is a fund which aims to aim to apply its resources to the development of residential developments focused on income.</t>
  </si>
  <si>
    <t>189916-48T</t>
  </si>
  <si>
    <t>Hytron Energy &amp; Gas</t>
  </si>
  <si>
    <t>Provider of gas and energy services intended to serve mechanical and engineering sectors. The company specializes in engineering projects, prototypes, supervisory services, automation, systems integration and commissioning, thereby helping clients in planning, integration, supervision and execution, up to assembling and completing commission of energy systems.</t>
  </si>
  <si>
    <t>Neuman &amp; Esser(Alexander Peters)</t>
  </si>
  <si>
    <t>209994-94T</t>
  </si>
  <si>
    <t>MedRoom</t>
  </si>
  <si>
    <t>Developer of health education application based on virtual reality technology designed for colleges and educational institutes. The company's virtual reality health training platform along with gamification strategies helps to improve health education and learning, enabling students to analyze the anatomy and physiology of the human body, visualizing each organ or structure to understand the correlations between them through a digital space.</t>
  </si>
  <si>
    <t>Anima Educação (BVMF: ANIM3)(Daniel Castanho)</t>
  </si>
  <si>
    <t>171637-48T</t>
  </si>
  <si>
    <t>Nuveo</t>
  </si>
  <si>
    <t>Developer of an artificial Intelligence-based platform designed to automate the processes of capturing, interpreting and managing documents. The company's platform helps in the automation of financing contract processing, invoice payments and tax analysis, enabling businesses to automate complex business processes.</t>
  </si>
  <si>
    <t>EDP Energias de Portugal (LIS: EDP), Grão (São Paulo), Inovabra Ventures, Plug and Play Tech Center</t>
  </si>
  <si>
    <t>212007-43T</t>
  </si>
  <si>
    <t>159764-23T</t>
  </si>
  <si>
    <t>Gabriel Braga Vieira(Gabriel Braga Vieira), Igor Marchesini(Igor Marchesini), Michael Seibel(Michael Seibel), Monashees(Marcelo Lima), ONEVC, Y Combinator</t>
  </si>
  <si>
    <t>194457-34T</t>
  </si>
  <si>
    <t>Developer of a social content platform designed to have personalized videos from public figures. The company's platform offers video on a subscription basis in the field of music, sports and humor and allows users to personally request video shoutouts for friends and family, enabling public figures to connect with their fans digitally through one single platform.</t>
  </si>
  <si>
    <t>159904-81T</t>
  </si>
  <si>
    <t>Respirare Equipamentos Respiratórios</t>
  </si>
  <si>
    <t>Provider of equipment for the treatment of sleep disorders as well as oxygen therapy based in Campo Grande, Brazil. The company offers products such as CPAP, mask accessories, connectors and valves, humidifier parts and oxygen therapy accessories.</t>
  </si>
  <si>
    <t>VitalAire Canada</t>
  </si>
  <si>
    <t>171331-84T</t>
  </si>
  <si>
    <t>166105-81T</t>
  </si>
  <si>
    <t>Fertilid Participacoes</t>
  </si>
  <si>
    <t>The company is currently operating in Stealth mode.</t>
  </si>
  <si>
    <t>251571-70T</t>
  </si>
  <si>
    <t>Fundo De Investimento Mint Educacional</t>
  </si>
  <si>
    <t>Fundo De Investimento Imobiliario Mint Educacional aims to obtain income and capital gains through the acquisition of properties in the education sector.</t>
  </si>
  <si>
    <t>176569-93T</t>
  </si>
  <si>
    <t>42K Investimentos, Kviv Ventures</t>
  </si>
  <si>
    <t>213432-31T</t>
  </si>
  <si>
    <t>Plural Saúde</t>
  </si>
  <si>
    <t>Provider of insurance service catering to professionals and students. The company offers subscription health plans, thereby enabling individual micro-entrepreneurs and for small and medium enterprises a complete insurance solution.</t>
  </si>
  <si>
    <t>Qualicorp Consultoria e Corretora de Seguros (BVMF: QUAL3)(Bruno Blatt)</t>
  </si>
  <si>
    <t>161120-80T</t>
  </si>
  <si>
    <t>166780-99T</t>
  </si>
  <si>
    <t>211068-19T</t>
  </si>
  <si>
    <t>GlooPay</t>
  </si>
  <si>
    <t>Developer of a payment software designed to offer purchasing powers to those who lack access to a bank account or credit card. The company's platform acts as a marketplace where users with similar desires or preferences about a basket of goods and services can buy the same and pay together month by month, enabling customers to achieve their consumption goals through the prospect of shared payments.</t>
  </si>
  <si>
    <t>159902-20T</t>
  </si>
  <si>
    <t>Loja do Mecânico</t>
  </si>
  <si>
    <t>Operator of an e-commerce platform intended for tools and machines. The company offers products like hand tools, gardening accessories, motorcycle tools, automotive tools, jet wash and electronic injection and pneumatic tools.</t>
  </si>
  <si>
    <t>213422-05T</t>
  </si>
  <si>
    <t>Oxcorp Corretora</t>
  </si>
  <si>
    <t>Provider of consultancy and brokerage firm based in Rio de Janeiro, Brazil. The company provides health plans, meal vouchers, life insurance, dental plan, private pension and customized solutions for benefits and insurance management.</t>
  </si>
  <si>
    <t>159926-41T</t>
  </si>
  <si>
    <t>159860-89T</t>
  </si>
  <si>
    <t>Farallon Capital Management</t>
  </si>
  <si>
    <t>188794-54T</t>
  </si>
  <si>
    <t>Mercadapp</t>
  </si>
  <si>
    <t>Developer of a cloud-based e-commerce platform designed for small and medium-sized supermarkets. The company's platform offers features such as a custom app, website, digital booklet, management and analysis, enabling clients to expose their products and prices through this application so that users can place orders.</t>
  </si>
  <si>
    <t>208527-76T</t>
  </si>
  <si>
    <t>Mintegra</t>
  </si>
  <si>
    <t>Operator of an e-commerce integration platform intended to provide enterprise management solutions to online marketplace and e-commerce websites. The company's platform offers features such as integrated ERP software, inventory control, price adjustment, ad publishing, free shipping, and order generation.</t>
  </si>
  <si>
    <t>Omie(Rafael Olmos)</t>
  </si>
  <si>
    <t>166949-11T</t>
  </si>
  <si>
    <t>The Yield Lab Latam</t>
  </si>
  <si>
    <t>158285-89T</t>
  </si>
  <si>
    <t>Fifty 5, Ventiur</t>
  </si>
  <si>
    <t>133041-61T</t>
  </si>
  <si>
    <t>Vidya</t>
  </si>
  <si>
    <t>Developer of an asset integrity management platform designed for the diagnosis, prevention, control, and monitoring of corrosion of equipment and other industrial assets.The company's tool provides software, hardware, and a corrosion monitoring system which is a cloud-based tool used to manage the industrial coating of complex plants through the use of three-dimensional model computations and artificial intelligence, enabling clients to manage coating costs, coating liabilities, annual budget planning, and other necessary functions for maintaining the integrity of industrial assets.</t>
  </si>
  <si>
    <t>188728-03T</t>
  </si>
  <si>
    <t>2Metric</t>
  </si>
  <si>
    <t>Developer of IoT technology designed to monitor the behavior of parameters. The company's technology offers real-time telemetrized environmental monitoring using sensors and generates alerts when certain conditions are reached, enabling companies to generate information for decision-making and mitigating any hidden risks.</t>
  </si>
  <si>
    <t>161119-63T</t>
  </si>
  <si>
    <t>Aeris Energy (Brazil) (BVMF: AERI3)</t>
  </si>
  <si>
    <t>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t>
  </si>
  <si>
    <t>266570-56T</t>
  </si>
  <si>
    <t>BMS Tecnologia</t>
  </si>
  <si>
    <t>Developer of a factory floor management system designed to implement digitalization and process transformation in business operations. The company's platform features integrated management of the production process, production planning and control, document management, integration, calendar management, generation of attendance and control lists, and more, enabling businesses to optimize their processes and resources efficiently.</t>
  </si>
  <si>
    <t>264285-91T</t>
  </si>
  <si>
    <t>264282-22T</t>
  </si>
  <si>
    <t>218574-73T</t>
  </si>
  <si>
    <t>Conta Mínima</t>
  </si>
  <si>
    <t>Developer of telecom management software based in São José, Brazil. The company specializes in telecom expense management system, which enables control, visibility and optimization of telecom expenses, device management, equipment maintenance, financial, corporate management and auditing, thereby providing practical solutions to its clients to reduce their telecom expenses.</t>
  </si>
  <si>
    <t>VC-X</t>
  </si>
  <si>
    <t>164167-30T</t>
  </si>
  <si>
    <t>AirAngels(Daniel Rumennik), Bossa Invest, CapSur Capital, Jonathan Neman(Jonathan Neman), Monashees, Norte Ventures, Order VC, ScaleUP Ventures, Shift Capital (São Paulo)</t>
  </si>
  <si>
    <t>158925-97T</t>
  </si>
  <si>
    <t>211715-92T</t>
  </si>
  <si>
    <t>Premium Saúde</t>
  </si>
  <si>
    <t>Operator of health plans based in Nova Lima, Brazil. The company engages in managing collective and individual healthcare plans.</t>
  </si>
  <si>
    <t>Managed Care</t>
  </si>
  <si>
    <t>159893-11T</t>
  </si>
  <si>
    <t>DM10</t>
  </si>
  <si>
    <t>Provider of insurance services based in Rio de Janeiro, Brazil. The company specializes in private pensions, life insurance and corporate health insurance, thereby enabling working with innovative tools and professionals committed to the growth of its partners' businesses.</t>
  </si>
  <si>
    <t>165912-40T</t>
  </si>
  <si>
    <t>Sankhya Gestão de Negócios</t>
  </si>
  <si>
    <t>Developer of business management software intended for the retail, wholesale, and service industries. The company provides enterprise resource planning, business intelligence, and people management and performs performance assessments, thus helping clients maximize their assertiveness in the hiring process.</t>
  </si>
  <si>
    <t>GIC Private</t>
  </si>
  <si>
    <t>156674-35T</t>
  </si>
  <si>
    <t>Time Energy</t>
  </si>
  <si>
    <t>Developer of energy electronic equipment designed to control energy consumption. The company's equipment uses artificial intelligence and offers energy monitoring, a simplified environment for energy analysis, cables, gateways, and accessories, enabling clients to save energy expenses and greater access to information of interest.</t>
  </si>
  <si>
    <t>EDP Ventures(Rosario Cannata)</t>
  </si>
  <si>
    <t>210738-43T</t>
  </si>
  <si>
    <t>MedPhone</t>
  </si>
  <si>
    <t>Operator of a clinical decision and leaflet consultation app intended to serve physicians, medical students and other healthcare professionals. The company operates a digital medical information app that allows healthcare professionals to access the process of medicines, search for any medication, access international disease code, also has a score calculators to assist medical professionals in the decision-making process for dilutions and infusions required for clinical needs along with other information related to vaccinations, nutrition and antibiotic guide.</t>
  </si>
  <si>
    <t>158700-79T</t>
  </si>
  <si>
    <t>Meliuz SA provides online discount coupons and cashback offers. The company provides cash rebates and even returns part of the amount spent on the purchases.</t>
  </si>
  <si>
    <t>175520-89T</t>
  </si>
  <si>
    <t>Sellbie</t>
  </si>
  <si>
    <t>Developer of a marketing automation platform designed to integrate the customer relationship cycle. The company specializes in providing physical and digital data on buying behavior and browsing habits creating a trigger and tracking social media campaigns as well as generating analytical reports, enabling its clients to make quick decisions and increase conversion rate by boosting communication channels.</t>
  </si>
  <si>
    <t>211756-24T</t>
  </si>
  <si>
    <t>Sponte</t>
  </si>
  <si>
    <t>Developer of school management system intended to serve colleges and institutes. The company offers enrollment optimization, student portal, personalization, financial and administrative management, thereby providing a solution that reduces cost and manual work and increases productivity.</t>
  </si>
  <si>
    <t>174488-41T</t>
  </si>
  <si>
    <t>160882-84T</t>
  </si>
  <si>
    <t>Barrah Investimentos, FEA Angels, Fundobr startups, Insper Angels, Microsoft (NAS: MSFT), Verve Capital, Vinnie Rodrigues(Vinnie Rodrigues)</t>
  </si>
  <si>
    <t>190143-64T</t>
  </si>
  <si>
    <t>164165-41T</t>
  </si>
  <si>
    <t>Shawee</t>
  </si>
  <si>
    <t>Developer of an online hackathon platform intended to make coding marathons more accessible to everyone. The company specializes in bringing companies closer to the innovation market with hackathons - events in which programmers and designers are challenged to build new technology products in exchange for a prize.</t>
  </si>
  <si>
    <t>RocketSeat(Diego Fernandes)</t>
  </si>
  <si>
    <t>155882-98T</t>
  </si>
  <si>
    <t>Wirecard Brazil</t>
  </si>
  <si>
    <t>Developer of digital financial software designed for outsourcing and white-label solutions for payment processing and issuing products. The company offers services in the multi-channel platform that bundles international payment acceptances and methods, flanked by fraud prevention solutions, thereby helping companies in accepting electronic payments from all sales channels.</t>
  </si>
  <si>
    <t>183482-20T</t>
  </si>
  <si>
    <t>DataPolicy</t>
  </si>
  <si>
    <t>Developer of regulatory risk management software designed to extract and organize data with the help of artificial intelligence. The company's software gives easier access to regulations with a dashboard that offers review and analytics of stakeholders with daily social media alerts, enabling clients with social-political control and better participation in the democratic process.</t>
  </si>
  <si>
    <t>252225-91T</t>
  </si>
  <si>
    <t>Jfl Living Fundo DE Inv (BVMF: JFLL11)</t>
  </si>
  <si>
    <t>Jfl Living Fundo DE Investimento Imobiliario is a real estate investment trust.</t>
  </si>
  <si>
    <t>186137-65T</t>
  </si>
  <si>
    <t>156176-11T</t>
  </si>
  <si>
    <t>156179-89T</t>
  </si>
  <si>
    <t>156178-18T</t>
  </si>
  <si>
    <t>156178-99T</t>
  </si>
  <si>
    <t>156179-53T</t>
  </si>
  <si>
    <t>156181-42T</t>
  </si>
  <si>
    <t>165819-07T</t>
  </si>
  <si>
    <t>Biopalma</t>
  </si>
  <si>
    <t>Producer palm oil. The company's production poles are in Acará valley region and low Tocantins in Pará.</t>
  </si>
  <si>
    <t>Brasil Bio Fuels</t>
  </si>
  <si>
    <t>159972-67T</t>
  </si>
  <si>
    <t>215580-34T</t>
  </si>
  <si>
    <t>Hospital Vila da Serra</t>
  </si>
  <si>
    <t>Provider of health care services focused on the health of women, children and the whole family. The company operates a multi-specialty hospital that specializes in urology, pediatrics, gynecology, obstetrics and associated services, delivering the benefits of easy access and better comfort.</t>
  </si>
  <si>
    <t>Alothon Group, FIR Capital, Goldman Sachs Asset Management(Justin Betzen), Oncoclínicas (BVMF: ONCO3)</t>
  </si>
  <si>
    <t>217360-54T</t>
  </si>
  <si>
    <t>Innovate UK</t>
  </si>
  <si>
    <t>241647-04T</t>
  </si>
  <si>
    <t>160660-90T</t>
  </si>
  <si>
    <t>169068-07T</t>
  </si>
  <si>
    <t>4Z, Shift Capital (São Paulo)(João Paulo Sanches Maia)</t>
  </si>
  <si>
    <t>250714-36T</t>
  </si>
  <si>
    <t>180090-64T</t>
  </si>
  <si>
    <t>Cauê Passos</t>
  </si>
  <si>
    <t>277303-15T</t>
  </si>
  <si>
    <t>Veever</t>
  </si>
  <si>
    <t>Developer of a mobile application designed for people with visual impairments. The company offers real-time audio descriptions, offline functionality, and micro mapping, enabling blind and low-vision individuals to navigate urban spaces with confidence and security.</t>
  </si>
  <si>
    <t>258065-11T</t>
  </si>
  <si>
    <t>Inti</t>
  </si>
  <si>
    <t>Operator of a ticketing platform intended for ticket sales and implementation of membership programs. The company's portal helps in the management and sales of tickets and registration of various events and works as a white-label payment gateway that can be customized with the customer's identity and embedded in its digital environment, enabling clients with full control and autonomy.</t>
  </si>
  <si>
    <t>T4F Entretenimento (BVMF: SHOW3)</t>
  </si>
  <si>
    <t>158652-01T</t>
  </si>
  <si>
    <t>Araucária Nitrogenados</t>
  </si>
  <si>
    <t>Manufacturer of industrial chemicals catering to the fertilizer industry.</t>
  </si>
  <si>
    <t>158484-52T</t>
  </si>
  <si>
    <t>Sunley House Capital Management, Viking Global Investors</t>
  </si>
  <si>
    <t>261380-89T</t>
  </si>
  <si>
    <t>160889-50T</t>
  </si>
  <si>
    <t>190818-91T</t>
  </si>
  <si>
    <t>285080-32T</t>
  </si>
  <si>
    <t>Alma Preta</t>
  </si>
  <si>
    <t>Operator of a news agency intended to present the public with the complexity of everyday life and the contradictions of a given event. The company offers news articles and journalism on Brazilian reality from the perspective of black journalists and produces content in different formats on a variety of subjects, such as security, human rights, culture, behavior, politics and various others along with advertising and sale content services, enabling clients with reality that is accurate than the daily lives of the majority of the population.</t>
  </si>
  <si>
    <t>223860-07T</t>
  </si>
  <si>
    <t>Parallel18</t>
  </si>
  <si>
    <t>213860-08T</t>
  </si>
  <si>
    <t>i9XP Tecnologia e Participações</t>
  </si>
  <si>
    <t>Developer of retail business software designed for the eCommerce industry. The company's software manages the business, products, prices, category, credit card processing, risk analysis and product integration, thereby extracting all the strategic data to make informed decisions.</t>
  </si>
  <si>
    <t>Grupo Casas Bahia (BVMF: BHIA3)(Roberto Fulcherberguer)</t>
  </si>
  <si>
    <t>255482-02T</t>
  </si>
  <si>
    <t>213106-15T</t>
  </si>
  <si>
    <t>BuzzFeed do Brasil Internet</t>
  </si>
  <si>
    <t>Operator of a content platform based in Sao Paulo, Brazil. The company operates a digital media platform that delivers news and entertainment content to a global audience.</t>
  </si>
  <si>
    <t>Flagcx(Roberto Martini)</t>
  </si>
  <si>
    <t>190688-41T</t>
  </si>
  <si>
    <t>Qualicitrus</t>
  </si>
  <si>
    <t>Supplier and distributor of agricultural products and equipment based in Limeira, Brazil. The company's distribution portfolio includes agricultural pesticides, seeds, fertilizers, specialties and biological products, thereby helping farmers with production and development of various crops with optimum cost-benefit.</t>
  </si>
  <si>
    <t>211868-92T</t>
  </si>
  <si>
    <t>CRH Brasil Participaçoes</t>
  </si>
  <si>
    <t>Manufacturer of cement products based in Cantagalo, Brazil.</t>
  </si>
  <si>
    <t>Cimento Nacional</t>
  </si>
  <si>
    <t>164022-22T</t>
  </si>
  <si>
    <t>EasyQasa</t>
  </si>
  <si>
    <t>Operator of online digital facility management designed to provide professional cleaning and maintenance services. The company's platform facilitates the contracting of cleaning and repair services, enabling the user to book and schedule services and facilitate their maintenance operations at reduced costs.</t>
  </si>
  <si>
    <t>Zeal Group</t>
  </si>
  <si>
    <t>207092-89T</t>
  </si>
  <si>
    <t>AZPOP</t>
  </si>
  <si>
    <t>Developer of information and services platform designed to connect people for various services. The company's platform specializes in finding companies and freelancers in their region and making direct contact via social media, enabling users to contract and get professional services.</t>
  </si>
  <si>
    <t>Hustle Fund, James Beshara(James Beshara), Moshe Lifschitz(Moshe Lifschitz), Nick Cantino(Nick Cantino), Product Club, Ryan Hoover(Ryan Hoover), Weekend Fund</t>
  </si>
  <si>
    <t>248879-71T</t>
  </si>
  <si>
    <t>BlinDog</t>
  </si>
  <si>
    <t>Developer of smart collars for visually impaired dogs designed to facilitate independent movement and improve their quality of life. The company uses vibration alerts and obstacle detection technology to warn dogs of approaching hazards, enabling users to navigate their environment more confidently and safely.</t>
  </si>
  <si>
    <t>João Appolinário(John Appolinário)</t>
  </si>
  <si>
    <t>158170-06T</t>
  </si>
  <si>
    <t>DogHero</t>
  </si>
  <si>
    <t>Developer of a peer-to-peer pet-sitting marketplace designed to connect pet owners with sitters. The company's marketplace features dog hosts and walkers to provide dog boarding, sitting, walking and day care among other services, enabling dog owners find hosts to take care of their pets while they are away.</t>
  </si>
  <si>
    <t>L Catterton, PetLove(Márcio Waldman), SoftBank Group (TKS: 9984)(Paulo Passoni), Tarpon Capital(Pedro de Andrade Faria)</t>
  </si>
  <si>
    <t>227412-28T</t>
  </si>
  <si>
    <t>Track &amp; Field (BVMF: TFCO4)</t>
  </si>
  <si>
    <t>Track &amp; Field Co SA is a sports apparel retailer. The company's portfolio consists of Sportswear, Beachwear, Sports accessories, and Sports shoes (footwear). Its products are sold exclusively at physical stores and through e-commerce platforms. The company's offering also includes the TFSports platform, which offers free classes and online runs.</t>
  </si>
  <si>
    <t>138241-27T</t>
  </si>
  <si>
    <t>42K Investimentos, Accion, Chromo Invest, DEG, Jaime de Paula(Jaime de Paula), Mercado Libre Fund, Monashees, Oikocredit Ecumenical Development Cooperative Society(Nicolás Arrosa), Quona Capital, Sandro Reiss(Sandro Reiss), Sergio Furio(Sergio Furio)</t>
  </si>
  <si>
    <t>251637-31T</t>
  </si>
  <si>
    <t>Estoque Residencial (BVMF: ERCR11)</t>
  </si>
  <si>
    <t>Estoque Residencial E Comercial Rio DE Janeiro Fundo DE Investimento I is a real estate investment fund.</t>
  </si>
  <si>
    <t>284442-40T</t>
  </si>
  <si>
    <t>Meu Entrevistador</t>
  </si>
  <si>
    <t>Developer of an online platform intended to offer short videos of simulations of job interviews carried out by the main executives in Brazil. The company prepares complete material with the biggest managers and HR representatives in the country to guide candidates on how to position themselves in a job interview and in the job market, enabling candidates to improve and develop their skills.</t>
  </si>
  <si>
    <t>BrazilLAB(Letícia Piccolotto Ferreira)</t>
  </si>
  <si>
    <t>158808-43T</t>
  </si>
  <si>
    <t>Reserva</t>
  </si>
  <si>
    <t>Operator of an e-commerce portal aimed to provide apparel and accessories for men. The company offers clothing, footwear, accessories and cosmetics from multiple brands, thereby providing men with a shopping portal for their shopping needs.</t>
  </si>
  <si>
    <t>158103-46T</t>
  </si>
  <si>
    <t>Astella Investimentos(Marcelo Sato), Gustavo Souza(Gustavo Souza), Headline, MIT Alumni Angels of Northern California, Redpoint eventures</t>
  </si>
  <si>
    <t>158314-33T</t>
  </si>
  <si>
    <t>Even3</t>
  </si>
  <si>
    <t>Developer of an events platform designed to plan, manage, and execute technical and scientific events. The company's platform facilitates registration, programming, online transmissions, submissions, and publication of works and articles coupled with accreditation and issuance of certificates, enabling clients to connect with people to spread and leverage combined knowledge and experiences.</t>
  </si>
  <si>
    <t>165814-93T</t>
  </si>
  <si>
    <t>Pix Mídia</t>
  </si>
  <si>
    <t>Developer of content management software designed to optimize the flow of information, promote engagement, and align employees with strategic goals. The company's platform features the ability to let users insert ads, videos, images, and other media in the terminal's programming to streamline information flow and enhance employee engagement, enabling companies to improve internal communication with corporate TV and foster a more informed and cohesive work environment.</t>
  </si>
  <si>
    <t>Bossa Invest, DOMO.VC(Franco Pontillo), Feevale Techpark, Poli Angels Group</t>
  </si>
  <si>
    <t>226697-77T</t>
  </si>
  <si>
    <t>158489-11T</t>
  </si>
  <si>
    <t>Transfero</t>
  </si>
  <si>
    <t>Operator of a crypto assets platform intended to facilitate and promote access and adoption to the universe of digital assets. The company's platform offers private services including asset management, digital assets brokerage and custody and the tokenization of real alternative assets, enabling clients a safe transition to a decentralized global financial system based on freedom and autonomy.</t>
  </si>
  <si>
    <t>Alameda Ventures</t>
  </si>
  <si>
    <t>165804-04T</t>
  </si>
  <si>
    <t>Bossa Invest, DOMO.VC(Mario Letelier)</t>
  </si>
  <si>
    <t>157640-77T</t>
  </si>
  <si>
    <t>251579-53T</t>
  </si>
  <si>
    <t>Solarium FII Fundo DE Investimento Imobiliario (BVMF: SOLR11)</t>
  </si>
  <si>
    <t>Solarium FII Fundo DE Investimento Imobiliario is a real estate investment trust.</t>
  </si>
  <si>
    <t>165019-33T</t>
  </si>
  <si>
    <t>Operator of an esports studio intended to provide esports services. The company's studio offers playing stations, an esports training center and various accessories, mobile platforms and arcade machines, enabling players to train and improve their play.</t>
  </si>
  <si>
    <t>Componente(João Diniz)</t>
  </si>
  <si>
    <t>158248-99T</t>
  </si>
  <si>
    <t>Vivant Wines</t>
  </si>
  <si>
    <t>Producer of alcoholic beverages intended to make natural wine available anytime and anywhere. The company's beverages are gluten-free with no added sugar including an internal coating of the can that prevents the liquid from contacting the metal and preserves its properties, enabling customers to taste original wines.</t>
  </si>
  <si>
    <t>Luiz Nogueira(Luiz Nogueira), Nelson Teich(Nelson Teich)</t>
  </si>
  <si>
    <t>174938-50T</t>
  </si>
  <si>
    <t>Pear (California)</t>
  </si>
  <si>
    <t>138773-26T</t>
  </si>
  <si>
    <t>Credit Suisse(Marco Abrahão)</t>
  </si>
  <si>
    <t>174216-25T</t>
  </si>
  <si>
    <t>Kirchner Food Fellowship</t>
  </si>
  <si>
    <t>159767-92T</t>
  </si>
  <si>
    <t>Big Bets, Guilherme Bastos, Kaszek, Kevin Efrusy(Kevin Efrusy), Y Combinator</t>
  </si>
  <si>
    <t>164252-80T</t>
  </si>
  <si>
    <t>Kaszek</t>
  </si>
  <si>
    <t>166909-51T</t>
  </si>
  <si>
    <t>Agres Sistemas Eletronicos</t>
  </si>
  <si>
    <t>Provider of technology solutions to the agriculture sector in Pinhais, Brazil. The company is focused on precision agriculture and agricultural automation and offers a virtual guide, automatic pilot, pulverization, fertilization and planting monitor, thereby automating agricultural processes, including navigation systems, automatic pilots and control systems for spraying and fertilization.</t>
  </si>
  <si>
    <t>Tecomec</t>
  </si>
  <si>
    <t>185301-19T</t>
  </si>
  <si>
    <t>167391-46T</t>
  </si>
  <si>
    <t>Finnovista</t>
  </si>
  <si>
    <t>285699-25T</t>
  </si>
  <si>
    <t>134221-78T</t>
  </si>
  <si>
    <t>International Paper (Corrugated Packaging Business in Brazil)</t>
  </si>
  <si>
    <t>Manufacturer of corrugated packaging products based in Brazil. The company offers corrugated sheets, general packaging, protein packaging, bulk packaging, bag in box packaging and produce packaging material.</t>
  </si>
  <si>
    <t>Klabin (BVMF: KLBN3)</t>
  </si>
  <si>
    <t>251374-33T</t>
  </si>
  <si>
    <t>Riza Akin Fundo (BVMF: RZAK11)</t>
  </si>
  <si>
    <t>Riza Akin Fundo DE Investimento Imobiliario - FII is Brazil based company. It gets returns by investing in a diversified portfolio of structured credit. It invests in Real estate CRI's, FII, and FIDCs, Diversification across sectors, Instruments, and Structures.</t>
  </si>
  <si>
    <t>195664-69T</t>
  </si>
  <si>
    <t>Developer of cybersecurity technologies designed to attend real necessities of the market. The company offers an enterprise security platform that uses artificial intelligence to block cyberattacks that can cause data leaks, and digital security applications offering real-time protection against cyber scams, enabling businesses and customers to stay protected on the internet.</t>
  </si>
  <si>
    <t>155973-79T</t>
  </si>
  <si>
    <t>FarmaDelivery</t>
  </si>
  <si>
    <t>Operator of a drug and care e-commerce company in Santo André, Brazil. The company is an online delivery pharmacy that provides necessary medical and pharmaceutical aids like medicines, health &amp; wellness products, derma cosmetics, diabetes devices, baby care products and more to its customers.</t>
  </si>
  <si>
    <t>Poupafarma(Marcelo Vienna), Stratus (Investor)(Alvaro Goncalves)</t>
  </si>
  <si>
    <t>180248-77T</t>
  </si>
  <si>
    <t>Grupo Mateus (BVMF: GMAT3)</t>
  </si>
  <si>
    <t>Grupo Mateus SA which which operate in the wholesale and retail, electro, mix, and industry segments through the subsidiary. The company has its operations in the supermarket, wholesale, appliance, furniture, bakery, slicing, and portioning. The business's product portfolio consists of maetus, mix atacarejo, camino supermercados, electro mateus among others.</t>
  </si>
  <si>
    <t>157407-94T</t>
  </si>
  <si>
    <t>Investimentos e Participacoes &amp; Infra-Estrutura SA- Invepar operates in the transportation infrastructure segment. It is focused on the management and operation of toll roads, urban mobility systems, and airports. Geographically activities are carried out in Brazil; however, it also holds presence internationally.</t>
  </si>
  <si>
    <t>195489-91T</t>
  </si>
  <si>
    <t>164624-68T</t>
  </si>
  <si>
    <t>Mangos</t>
  </si>
  <si>
    <t>Operator of a cashback application intended to facilitate industry-to-shopper activation and direct engagement. The company offers a platform that provides offers and promotions returning money from purchases in supermarkets and pharmacies, enabling customers to earn cashback on everyday transactions.</t>
  </si>
  <si>
    <t>199815-76T</t>
  </si>
  <si>
    <t>164625-22T</t>
  </si>
  <si>
    <t>164625-85T</t>
  </si>
  <si>
    <t>PowerOfData</t>
  </si>
  <si>
    <t>Developer of a data engineering and analytics platform designed to help effectively use data analytics, redesign technological processes, and develop proprietary tools. The company's tool uses technology to monetize data and analytics, transforming them into valid results in a scalable way to aid agile and data-driven decision-making, enabling companies to improve efficiency and focus on the customer in an automated way and achieve success.</t>
  </si>
  <si>
    <t>195664-60T</t>
  </si>
  <si>
    <t>195664-78T</t>
  </si>
  <si>
    <t>Trakto</t>
  </si>
  <si>
    <t>Developer of design software designed to help users create and organize all their marketing materials. The company's software is complete, and simple, and allows the creation of marketing and sales material such as eBooks, business cards, flyers, posts, and presentations with just a few clicks and provides editable templates with a professional designer to customize according to the needs or to create from scratch, enabling designers and non-designers to do the whole process of creation in an easier and faster manner.</t>
  </si>
  <si>
    <t>259610-14T</t>
  </si>
  <si>
    <t>Qatar FinTech Hub Wave(Abdulaziz Al-Khalifa)</t>
  </si>
  <si>
    <t>169068-34T</t>
  </si>
  <si>
    <t>Norte Ventures, Shift Capital (São Paulo)(Fernando Jamra)</t>
  </si>
  <si>
    <t>160684-39T</t>
  </si>
  <si>
    <t>KPTL, Wayra Brazil</t>
  </si>
  <si>
    <t>160183-72T</t>
  </si>
  <si>
    <t>Gove</t>
  </si>
  <si>
    <t>Developer of a public finance management platform designed to transform the public sector and improve the decision-making process. The company's platform consolidates, organizes and makes necessary data and information available for governments, enabling municipalities to make decisions to positively impact the lives of people.</t>
  </si>
  <si>
    <t>226830-16T</t>
  </si>
  <si>
    <t>Canary (Brazil), Indie Capital, True Equity</t>
  </si>
  <si>
    <t>165086-92T</t>
  </si>
  <si>
    <t>2Morrow Sports</t>
  </si>
  <si>
    <t>Developer of sports data analytics software designed to provide better business intelligence in sports clubs. The company's platform is focused on engagement and analyzing consumer behavior using customer relationship management software and applied data management systems, enabling sports clubs to get data insight and to keep track of supporters, share information with them, and collect data to better serve their fan base.</t>
  </si>
  <si>
    <t>OutField Capital</t>
  </si>
  <si>
    <t>165924-19T</t>
  </si>
  <si>
    <t>Alphaville (BVMF: AVLL3)</t>
  </si>
  <si>
    <t>Alphaville SA is a real estate development company. The company develops and invests in residential projects and other properties.</t>
  </si>
  <si>
    <t>213984-28T</t>
  </si>
  <si>
    <t>168427-18T</t>
  </si>
  <si>
    <t>Redisul Informática</t>
  </si>
  <si>
    <t>Provider of information technology consultancy services based in Curitiba, Brazil. The company offers various services including infrastructure consulting, performance assessment, LAN and WLAN networks, application load balancing, helping its customers maintain their IT environments with confidentiality and availability.</t>
  </si>
  <si>
    <t>Samuel Presley International</t>
  </si>
  <si>
    <t>159548-05T</t>
  </si>
  <si>
    <t>YVY</t>
  </si>
  <si>
    <t>Retailer of natural household cleaning products intended to reduce the ecological footprint of cleaning products. The company offers subscription-based cleaning kits that replace harmful chemicals with vegetable ingredients and minimize the use of plastic, enabling households to clean in a healthy, environmentally friendly way and without waste.</t>
  </si>
  <si>
    <t>224472-79T</t>
  </si>
  <si>
    <t>Ativa Wealth Management</t>
  </si>
  <si>
    <t>Provider of wealth management services based in Sao Paulo, Brazil. The company has developed a perceptive and intelligent personality, which combines a perspective on par with its experience and reveals scenes that translate the tranquility of financial security</t>
  </si>
  <si>
    <t>157280-68T</t>
  </si>
  <si>
    <t>Warburg Pincus(Piero Minardi)</t>
  </si>
  <si>
    <t>158184-19T</t>
  </si>
  <si>
    <t>Mtel Tecnologia</t>
  </si>
  <si>
    <t>Provider of technology and telecommunication network services and equipment in Brazil. The company provides services for LAN, WAN, satellite, radio and the security telecommunications operators and service providers, with the rental model - rent a network.</t>
  </si>
  <si>
    <t>Yssy</t>
  </si>
  <si>
    <t>288476-92T</t>
  </si>
  <si>
    <t>160318-09T</t>
  </si>
  <si>
    <t>157411-09T</t>
  </si>
  <si>
    <t>Compufour</t>
  </si>
  <si>
    <t>Developer of software for businesses based in Concórdia, Brazil. The company's software applications for managing micro and small businesses with more than 7,500 reseller partners and more than 290 thousand companies using the system, enabling clients to increase their earnings.</t>
  </si>
  <si>
    <t>Zucchetti</t>
  </si>
  <si>
    <t>213477-31T</t>
  </si>
  <si>
    <t>Flexicotton</t>
  </si>
  <si>
    <t>Manufacturer of personal care products catering to supermarket chains, wholesalers, pharmacies and industries. The company products include waterproof bandages, cotton squares and balls, baby flexible rods, breast absorbent, microporous phyta and children's eye protectors.</t>
  </si>
  <si>
    <t>157496-23T</t>
  </si>
  <si>
    <t>Astella Investimentos(Daniel Chalfon), Bruno Nardon(Bruno Nardon), Gabriel Benarros, Igah Ventures(Alexander Guimarães), IgniteXL Ventures, Matheus Goyas(Matheus Goyas), Norte Ventures</t>
  </si>
  <si>
    <t>251052-04T</t>
  </si>
  <si>
    <t>Fundo de Investimento Imobiliario Riza Terrax (BVMF: RZTR11)</t>
  </si>
  <si>
    <t>Fundo De Investimento Imobiliario Riza Terrax aims to invest exclusively in Agricultural Land in Brazil. The operations proposed by the company bring a new type of long-term financing for Brazilian rural producers.</t>
  </si>
  <si>
    <t>190859-86T</t>
  </si>
  <si>
    <t>Preambulo Tech</t>
  </si>
  <si>
    <t>Developer of legal management software designed to enhance mass or boutique legal operations. The company's software specializes in helping to empower skills, better management, mastery of time, and clear decisions, enabling professionals to bring productivity and agility to their legal teams.</t>
  </si>
  <si>
    <t>262385-65T</t>
  </si>
  <si>
    <t>160184-98T</t>
  </si>
  <si>
    <t>Tree Solution (Brazil)</t>
  </si>
  <si>
    <t>Provider of business consulting, process reengineering, systems support and support intended to serve banks and financial industries. The company offers systems support services, based and built based on ITIL, RUP, agile SCRUM, PMP methodologies, guaranteeing the availability and constant evolution of the systems, helping businesses to adapt them to the demands of business growth and extending the solution life cycle.</t>
  </si>
  <si>
    <t>171529-66T</t>
  </si>
  <si>
    <t>133841-80T</t>
  </si>
  <si>
    <t>BT ( Latin America operations in 16 countries)</t>
  </si>
  <si>
    <t>Provider of telecommunication services based in Sao Paulo, Brazil.</t>
  </si>
  <si>
    <t>CIH Technology Holdings LLC(George Kappaz)</t>
  </si>
  <si>
    <t>211207-87T</t>
  </si>
  <si>
    <t>Chacon | Consultoria Ilimitada</t>
  </si>
  <si>
    <t>Operator of an IT consultancy based in Sao Paulo, Brazil. The company offers consulting services and solutions, operations focused solutions, technological solutions and is experienced and certified in best practices of Governance and Management of IT Services.</t>
  </si>
  <si>
    <t>160008-40T</t>
  </si>
  <si>
    <t>TheVentureCity(Ricardo Sangion)</t>
  </si>
  <si>
    <t>158321-71T</t>
  </si>
  <si>
    <t>Configr</t>
  </si>
  <si>
    <t>Developer of cloud computing platform intended to help people automatically configure and manage, sites and emails. The company's online platform deploys applications and servers in the cloud and create robots to take care of servers to automatically optimize websites, enabling firms to manage the applications in an intuitive web interface.</t>
  </si>
  <si>
    <t>Garan Ventures, GVAngels, Invest Tech(Viviane Radiuk), KPTL(Christiane Bechara)</t>
  </si>
  <si>
    <t>129537-73T</t>
  </si>
  <si>
    <t>C2 Capital Partners (Portugal)(Nuno Ribeiro), Endeavor Catalyst, Redpoint eventures(Rodrigo Baer), Riverwood Capital(Joaquim Lima), SoftBank Group (TKS: 9984), SoftBank Latin America Fund(Maria Tereza Peixoto de Azevedo)</t>
  </si>
  <si>
    <t>160885-18T</t>
  </si>
  <si>
    <t>Global Founders Capital, Norte Ventures, Provence Partners, Valor Capital Group</t>
  </si>
  <si>
    <t>158148-28T</t>
  </si>
  <si>
    <t>Suzano SA produces and sells pulp and a variety of paper products. The company organizes itself into two segments based on product type: Pulp and Paper. The Pulp segment generates the majority of revenue. The firm's product portfolio includes printing and writing paper, paperboard, diapers, and sanitary napkins. The company owns forest land and plants in Brazil, where it harvests timber and turns the timber into pulp and paper in its plants.</t>
  </si>
  <si>
    <t>174651-31T</t>
  </si>
  <si>
    <t>Kaszek, Lupa Capital, Maya Capital (Brazil), Propel Venture Partners(David Mort)</t>
  </si>
  <si>
    <t>165156-13T</t>
  </si>
  <si>
    <t>207049-06T</t>
  </si>
  <si>
    <t>Diário Escola</t>
  </si>
  <si>
    <t>Developer of an electronic calendar designed for direct communication between the school and parents, replacing the paper calendar. The company's application is a single platform for school communication, financial, and pedagogical management, providing educational institutions with technology and innovation for smarter management processes.</t>
  </si>
  <si>
    <t>FEA Angels, GVAngels</t>
  </si>
  <si>
    <t>160255-36T</t>
  </si>
  <si>
    <t>DuTrigo</t>
  </si>
  <si>
    <t>Producer of baked products based in Maringá, Brazil. The company offers products like baked bread, confectioneries, calabrian bread, ham and cheese croissants.</t>
  </si>
  <si>
    <t>Actis(Paul Fletcher), Grupo Amigão</t>
  </si>
  <si>
    <t>158132-98T</t>
  </si>
  <si>
    <t>Gestaum Lab</t>
  </si>
  <si>
    <t>Developer of people management software designed to connect service providers in the people management area with companies and professionals seeking training. The company's platform offers performance development, leadership training and executive coaching, enabling professionals to reduce challenges with resource management and corporate education.</t>
  </si>
  <si>
    <t>157214-53T</t>
  </si>
  <si>
    <t>Advent International(Wilson Rosa)</t>
  </si>
  <si>
    <t>133011-46T</t>
  </si>
  <si>
    <t>Grupo ZAP</t>
  </si>
  <si>
    <t>Developer of a real estate platform intended to facilitate the market to generate more assertive gains. The company's platform offers a portfolio of services for the real estate market through its product offerings, data intelligence, services, and credibility information, enabling users to make a substantial profit through deals.</t>
  </si>
  <si>
    <t>188348-41T</t>
  </si>
  <si>
    <t>Edson Lopes(Edson Lopes), Fabio Barra(Fabio Barra), Jose Almeida(Jose Almeida)</t>
  </si>
  <si>
    <t>158298-22T</t>
  </si>
  <si>
    <t>213335-47T</t>
  </si>
  <si>
    <t>Leigado</t>
  </si>
  <si>
    <t>Developer of a cloud-based platform designed for livestock management. The company's tool provides the dairies with a way to manage customer subscriptions, including analytics, distribution, subscriptions, route management payments, and delivery right from the farm to customers' glass daily, enabling clients to manage their dairy farmers' business.</t>
  </si>
  <si>
    <t>207680-77T</t>
  </si>
  <si>
    <t>Alfredo Villela(Alfredo Villela)</t>
  </si>
  <si>
    <t>179002-99T</t>
  </si>
  <si>
    <t>Manufacturer and supplier of specialty chemicals intended to serve the various industrial sectors and inputs for agribusiness. The company specializes in offering a range of products including nitrocellulose, sulfuric acid, magnesium sulfate, copper sulfate, zinc sulfate and other related chemicals, providing clients with customized solutions according to their needs and improve people's lives and their business.</t>
  </si>
  <si>
    <t>178942-69T</t>
  </si>
  <si>
    <t>157246-03T</t>
  </si>
  <si>
    <t>Tessera Ventures(Guilherme Pacheco)</t>
  </si>
  <si>
    <t>130322-17T</t>
  </si>
  <si>
    <t>Daphni, DuF Investments, Empire Angels, Fine Day Ventures(Claude Wasserstein), Silicon Gardens, Yadh Yaich(Yadh Yaich)</t>
  </si>
  <si>
    <t>214788-70T</t>
  </si>
  <si>
    <t>Provider of vocational education courses intended to develop employability skills through training. The company specializes in a range of technical courses, training courses, and improvement courses, providing students with necessary job skills in nursing, aesthetics, computing, marketing, business administration, and other sectors.</t>
  </si>
  <si>
    <t>211754-53T</t>
  </si>
  <si>
    <t>Developer of accounting and business management software designed to improve productivity and streamline processes. The company's platform offers a wide range of services including a fully integrated web-based accounting system, tax management tools, enterprise resource planning (ERP), and payroll processing, enabling clients to optimize operations, automate tasks, and ensure compliance with regulatory requirements.</t>
  </si>
  <si>
    <t>Stone Pagamentos (NAS: STNE)(Thiago dos Santos Piau)</t>
  </si>
  <si>
    <t>165021-40T</t>
  </si>
  <si>
    <t>Alexia Ventures, Astella Investimentos(Laura Constantini), Bossa Invest, Spectra Investments, Telefónica Ventures</t>
  </si>
  <si>
    <t>165825-28T</t>
  </si>
  <si>
    <t>Bossa Invest, Godz Capital fund, Honey Island Capital, iLab Collective</t>
  </si>
  <si>
    <t>191289-61T</t>
  </si>
  <si>
    <t>175674-88T</t>
  </si>
  <si>
    <t>AIO (Educational Software)</t>
  </si>
  <si>
    <t>Developer of a guidance tool designed to help students prepare for entrance exams with personalized guidance and real-time grade tracking. The company's tool uses artificial intelligence to help students and schools achieve their goals, provides performance forecasts, and enhances decision-making based on data from the student's own performance, on what to prioritize in the planning of studies, enabling students to increase their grades for university entrance exams.</t>
  </si>
  <si>
    <t>Fuse Capital (Brazil), West Quad Ventures</t>
  </si>
  <si>
    <t>157950-10T</t>
  </si>
  <si>
    <t>Chlorum Solutions</t>
  </si>
  <si>
    <t>Developer of chlor-alkali technology designed to focus on building, owning, and operating small-scale chlorine plants. The company develops modular plant designs with a flexible layout making it possible to install in almost any industrial location and is based on a standard membrane plant model in a small-scale design and the plant has the possibility of being disassembled and moved to a different location if ever necessary, enabling diverse industries to install and operate chlorine plants around the world in locations where its small scale capabilities can provide benefits to local consumers of chlorine products.</t>
  </si>
  <si>
    <t>Klaff Realty(Hersch Klaff)</t>
  </si>
  <si>
    <t>160186-33T</t>
  </si>
  <si>
    <t>Onyo</t>
  </si>
  <si>
    <t>Developer of a food pickup platform intended to facilitate people's mealtime. The company's platform uses artificial intelligence (AI) to process orders and allows to choose their favorite establishments and pay online, either by credit card or with meal vouchers, enabling consumers to save time and money to get their food.</t>
  </si>
  <si>
    <t>232193-08T</t>
  </si>
  <si>
    <t>Panorama Desenvolvimento (BVMF: PNDL11)</t>
  </si>
  <si>
    <t>Panorama Desenvolvimento Logistico - Fundo De Investimento Imobiliario is a real estate investment fund. The group offers an extensive and well-established network for the origination and structuring of assets, such as brokers, construction companies, architects, and legal advisors, among others.</t>
  </si>
  <si>
    <t>157365-73T</t>
  </si>
  <si>
    <t>Maya Capital (Brazil)</t>
  </si>
  <si>
    <t>199452-16T</t>
  </si>
  <si>
    <t>Unik</t>
  </si>
  <si>
    <t>Provider of corporate payment services intended for under-banked, lower-income Brazilian workers and pensioners. The company specializes in corporate payment services, payroll cards and smart card services used in purchasing drugs in pharmacies and working capital financing to commercial establishments that sell basic necessities to consumers, thereby reducing the company's operating costs and improving cash flow.</t>
  </si>
  <si>
    <t>Vila Rica Capital</t>
  </si>
  <si>
    <t>168077-71T</t>
  </si>
  <si>
    <t>DinDin</t>
  </si>
  <si>
    <t>Developer of a social payment application designed to charge, pay, transfer and control money. The company's application offers services through their digital account, prepaid card and business support services, enabling users to manage their finances and get a secured and easy transaction platform.</t>
  </si>
  <si>
    <t>251683-57T</t>
  </si>
  <si>
    <t>FII Mogno Real Estate (BVMF: MGIM11)</t>
  </si>
  <si>
    <t>Fundo DE Inv Imobiliario Mogno Real Estate Impact Development Fund-FII has the objective to invest in real estate projects, through the acquisition of ready-made and properly constructed real estate projects, land or properties under construction, intended for use of any nature, whether by acquiring the entirety or an ideal fraction of each asset., for subsequent sale or lease through a typical or "atypical" contract, in the "built to suit" or "sale and leaseback.</t>
  </si>
  <si>
    <t>180254-08T</t>
  </si>
  <si>
    <t>Melnick Even Desenvolvimento Imobiliario (BVMF: MELK3)</t>
  </si>
  <si>
    <t>Melnick Desenvolvimento Imobiliario SA formerly Melnick Even Desenvolvimento Imobiliario SA operates in the real estate industry. The company is engaged in the business of real estate development and management in Brazil.</t>
  </si>
  <si>
    <t>223306-03T</t>
  </si>
  <si>
    <t>Mizuno (Footwear)</t>
  </si>
  <si>
    <t>Manufacturer and retailer of footwear products based in Sao Paulo, Brazil. The company manufactures footwear for races, volleyball, soccer, tennis, trail running and slipper for men, women, kids.</t>
  </si>
  <si>
    <t>Vulcabras Azaleia (BVMF: VULC3)</t>
  </si>
  <si>
    <t>155486-17T</t>
  </si>
  <si>
    <t>NXTP Ventures(Ariel Arrieta)</t>
  </si>
  <si>
    <t>213472-00T</t>
  </si>
  <si>
    <t>ByNV</t>
  </si>
  <si>
    <t>Provider of women's apparel and clothing based in Sao Paulo, Brazil. The company offers bodysuits, coats, jackets, shorts, t-shirts and accessories, offering customers classic, timeless and trendy clothing.</t>
  </si>
  <si>
    <t>197373-97T</t>
  </si>
  <si>
    <t>Geriba Investimentos</t>
  </si>
  <si>
    <t>163942-03T</t>
  </si>
  <si>
    <t>Boaconsulta</t>
  </si>
  <si>
    <t>Operator of an online medical appointment platform designed to assist patients in connecting with health experts. The company's platform offers to read reviews and schedule appointments In-person and video consultation, enabling patients to find a health practitioner nearby and schedule appointments anytime and from anywhere.</t>
  </si>
  <si>
    <t>Pixeon(Armando Buchina)</t>
  </si>
  <si>
    <t>131086-45T</t>
  </si>
  <si>
    <t>Caravela Capital, Flybridge (New York)(Jeffrey Bussgang), Maya Capital (Brazil), Mercado Libre Fund, Monashees, Next Billion Ventures, Pear (California), Spectra Investments(Gustavo Vaz)</t>
  </si>
  <si>
    <t>121547-35T</t>
  </si>
  <si>
    <t>Grupo Dislub Equador</t>
  </si>
  <si>
    <t>Operator of fuel service station network based in Recife, Brazil. The company has been operating in the liquid, solid and gaseous fuels segments, thereby serving clients by distributing energy with supply solutions.</t>
  </si>
  <si>
    <t>135390-07T</t>
  </si>
  <si>
    <t>160187-77T</t>
  </si>
  <si>
    <t>Sinestesia Participações</t>
  </si>
  <si>
    <t>153865-36T</t>
  </si>
  <si>
    <t>Rio Ventura Cluster</t>
  </si>
  <si>
    <t>The eight onshore fields in the Bahia, Brazil. The assets comprise of onshore fields of Água Grande, Bonsucesso, Fazenda Alto das Pedras, Pedrinhas, Pojuca, Rio Pojuca, Tapiranga and Tapiranga Norte, located in the municipalities of Catu, Mata de São João, Pojuca and São Sebastião do Passé. The average production of the onshore fields from January to June 2020 was approximately 1,050 barrels of oil and 33,000 cubic meters of natural gas per day.</t>
  </si>
  <si>
    <t>Brava Energia (BVMF: BRAV3), Starboard Restructuring Partners</t>
  </si>
  <si>
    <t>196998-31T</t>
  </si>
  <si>
    <t>Polsky Center for Entrepreneurship and Innovation at the University of Chicago</t>
  </si>
  <si>
    <t>223297-39T</t>
  </si>
  <si>
    <t>Invest Mais</t>
  </si>
  <si>
    <t>Provider of real estate financing services intending to serve residential and commercial property owners. The company provides services home equity services along with offering credit to companies and financing land and areas.</t>
  </si>
  <si>
    <t>156625-57T</t>
  </si>
  <si>
    <t>FieldLink</t>
  </si>
  <si>
    <t>Developer of a sales management platform designed to track team performance in the field in real-time. The company's platform offers checklists, proper workflow definition, and the generation of automated reports, as well as an assistant for every salesperson, enabling businesses to manage sales teamwork.</t>
  </si>
  <si>
    <t>42K Investimentos, Hangar8 Capital, Iporanga Ventures(Leonardo Teixeira)</t>
  </si>
  <si>
    <t>156653-38T</t>
  </si>
  <si>
    <t>Qflash</t>
  </si>
  <si>
    <t>Developer of credit management platform designed to generate gains for customers through the intensive use of technology. The company's platform evaluates the balance sheet of a business and pulls data from other sources like credit bureaus to determine eligibility and the amount to be granted along with using artificial intelligence, enabling small and medium-sized companies to improve the chances of accessing credit through third parties.</t>
  </si>
  <si>
    <t>128339-56T</t>
  </si>
  <si>
    <t>Upcon</t>
  </si>
  <si>
    <t>Designer and developer of real estate properties intended to operate its business in Brooklin, Brazil. The company offers design thinking, construction designing, and construction of commercial, residential, and hotel properties.</t>
  </si>
  <si>
    <t>254554-30T</t>
  </si>
  <si>
    <t>Árvore Educação</t>
  </si>
  <si>
    <t>Operator of a digital reading platform intended for enhancing education and training among elementary and high school students. The company offers a wide range of titles, including books, newspapers, and magazines from around the world, thereby enabling access to engaging education with a dynamic way of teaching.</t>
  </si>
  <si>
    <t>156736-18T</t>
  </si>
  <si>
    <t>White Lake (Footwear)</t>
  </si>
  <si>
    <t>Manufacturer of high-performance footwear intended for industry and construction professionals, as well as for firefighters and the military. The company offers 
 shoe products used in technical activities, such as climbing, military tactical actions and security, thereby satisfying and providing security to its customers in their sports and professional activities.</t>
  </si>
  <si>
    <t>Delta Plus Group (PAR: ALDLT)(Jérôme Benoit)</t>
  </si>
  <si>
    <t>156521-80T</t>
  </si>
  <si>
    <t>Darwin Capital, Movile(Patrick Hruby)</t>
  </si>
  <si>
    <t>223340-77T</t>
  </si>
  <si>
    <t>Cury Construtora E (BVMF: CURY3)</t>
  </si>
  <si>
    <t>Cury Construtora E Incorporadora SA is engaged in the real estate business. It develops commercial, residential buildings, condominiums and housing complexes.</t>
  </si>
  <si>
    <t>254189-98T</t>
  </si>
  <si>
    <t>Alliance (Accelerator)</t>
  </si>
  <si>
    <t>178299-73T</t>
  </si>
  <si>
    <t>Studos Software</t>
  </si>
  <si>
    <t>Operator of an educational platform designed to make life easier for teachers, students and coordinators. The company's technology provides personalized student assessment, data-based academic performance diagnostics and AI-powered adaptive learning and test prep, thereby helping teachers and students with study orientation.</t>
  </si>
  <si>
    <t>156459-34T</t>
  </si>
  <si>
    <t>General Atlantic</t>
  </si>
  <si>
    <t>172147-78T</t>
  </si>
  <si>
    <t>University Center of Juazeiro do Norte</t>
  </si>
  <si>
    <t>Provider of higher education based in Juazeiro do Norte, Brazil. The company offers courses in architecture and urbanism, accounting, law, nursing, pharmacy, gastronomy, veterinary medicine, nutrition, safety at work and information systems, thereby encouraging graduates to cultivate universal knowledge and to know the regional problems inserted in the various professional sectors to transform the reality of the country.</t>
  </si>
  <si>
    <t>256152-88T</t>
  </si>
  <si>
    <t>Wpensar</t>
  </si>
  <si>
    <t>Developer of school management software designed to help simplify day-to-day school operations. The company's platform provides features like automated fee collection, performance monitoring of students and teachers, disciplinary occurrence registration, and library management, enabling school authorities to administer the institution efficiently.</t>
  </si>
  <si>
    <t>164166-22T</t>
  </si>
  <si>
    <t>214087-42T</t>
  </si>
  <si>
    <t>Colégio Cultural Módulo</t>
  </si>
  <si>
    <t>Provider of college education services based in Rua Tito, Brazil. The college offers elementary education and various courses such as art and crafts, creative thinking, life, business, digital life, tech and maker, thereby helping students to have access to tools and knowledge that go beyond basic education.</t>
  </si>
  <si>
    <t>160182-01T</t>
  </si>
  <si>
    <t>AmBev (BVMF: ABEV3), Capitale Energia, Garan Ventures, Lowercarbon Capital, Z-Tech Brasil</t>
  </si>
  <si>
    <t>211715-29T</t>
  </si>
  <si>
    <t>Plamheg</t>
  </si>
  <si>
    <t>Provider of insurance services based in Annapolis, Brazil. The company provides insurance services to companies, beneficiaries and individuals.</t>
  </si>
  <si>
    <t>160182-91T</t>
  </si>
  <si>
    <t>Pull Up Tecnologia</t>
  </si>
  <si>
    <t>Provider of information technology consulting services based in Sao Paulo, Brazil. The company offers various services including programming, bootstrap, SQL, website development, system integration, outsourcing, API and assistance with technological and programming projects.</t>
  </si>
  <si>
    <t>Vport Participações</t>
  </si>
  <si>
    <t>226901-26T</t>
  </si>
  <si>
    <t>Simpar SA is a holding company, through its subsidiaries is engaged in road logistics services; rental and sale of trucks, machinery and equipment; public sector and mixed economy services; dealership of light vehicles; leasing, freight payment and financial services; and car rental of light vehicles. The group operates in seven reportable segments JSL, Movida, Vamos, CS Brasil, CS Infra, Automob, and BBC.</t>
  </si>
  <si>
    <t>284353-30T</t>
  </si>
  <si>
    <t>Taqe</t>
  </si>
  <si>
    <t>Developer of recruitment and selection software designed to empower and recommend young people to the job market. The company's software offers interactive games and classes that use an intelligent algorithm to understand the profile of the candidates and the companies' culture through a scorecard, enabling customers to explore employment opportunities and get employed.</t>
  </si>
  <si>
    <t>185925-25T</t>
  </si>
  <si>
    <t>165808-81T</t>
  </si>
  <si>
    <t>Bossa Invest, DOMO.VC(Franco Pontillo), Green Rock (Brazil), Lupa Capital</t>
  </si>
  <si>
    <t>213984-10T</t>
  </si>
  <si>
    <t>156311-83T</t>
  </si>
  <si>
    <t>Quanto (Sao Paulo)</t>
  </si>
  <si>
    <t>Operator of an open banking platform intended to provide customized and automated financial services. The company's platform offers a standardized bank data interface that is based on the concept of data sharing with user consent and shares tools to distribute products on third-party platforms such as retailers and marketplaces, enabling financial institutions to securely access and manage their bank account data.</t>
  </si>
  <si>
    <t>2bCapital, Bank Bradesco (BVMF: BBDC3), Coatue Management(Michael Gilroy), Inovabra Ventures, Itaú Unibanco Holding (BVMF: ITUB3), Kaszek(Santiago Fossatti), Spectra Investments</t>
  </si>
  <si>
    <t>211755-43T</t>
  </si>
  <si>
    <t>Sercomtel</t>
  </si>
  <si>
    <t>Provider of telecommunication services based in Londrina, Brazil. The company offers prepaid and postpaid plans, configure modems, device blocking, internet packages, credit card recharge and landline services.</t>
  </si>
  <si>
    <t>160226-47T</t>
  </si>
  <si>
    <t>Sindiconet</t>
  </si>
  <si>
    <t>Developer of a communication and services portal intended for liquidators and condominium administrators. The company's platform provides content and business events along with a marketplace for quotations for maintenance, building management services and liquidator training services, helping residential and commercial condominium managers with resources, support and technical and administrative support.</t>
  </si>
  <si>
    <t>156385-54T</t>
  </si>
  <si>
    <t>SiteMercado</t>
  </si>
  <si>
    <t>Operator of an online e-commerce platform designed for supermarkets and grocery stores. The company offers e-commerce solutions and integrates with a supermarket's front and back-end systems to guarantee price and product availability when shopping online.</t>
  </si>
  <si>
    <t>iFood.com Agencia de Restaurantes Online(Henrique Iwamoto), Prosus Ventures</t>
  </si>
  <si>
    <t>203792-68T</t>
  </si>
  <si>
    <t>251672-77T</t>
  </si>
  <si>
    <t>Cf2 Fundo De Investimento (BVMF: CFHI11)</t>
  </si>
  <si>
    <t>Cf2 Fundo De Investimento Imobiliario is a Real estate investment trust.</t>
  </si>
  <si>
    <t>158098-60T</t>
  </si>
  <si>
    <t>224421-22T</t>
  </si>
  <si>
    <t>Petrobras (Three Shallow Water Fields in Potiguar Basin)</t>
  </si>
  <si>
    <t>Shallow water oil fields in Potiguar Basin in Rio Grande do Norte, Brazil. The fields consist of three clusters which are Pescada, Arabaiana and Dentão which produce barrels of oil for distribution.</t>
  </si>
  <si>
    <t>Brava Energia (BVMF: BRAV3), Crescera Capital, EIG, Spectra Investments, Starboard Restructuring Partners, Turim</t>
  </si>
  <si>
    <t>181649-35T</t>
  </si>
  <si>
    <t>158144-23T</t>
  </si>
  <si>
    <t>Alan Rutledge(Alan Rutledge), Bossa Invest, FEA Angels, First Check Ventures, Hack VC, Infinite Road, K50 Ventures, Liquid 2 Ventures, Lynett Capital, MIT Alumni Angels of Northern California, Streamlined Ventures(Ullas Naik), Wharton Alumni Angels</t>
  </si>
  <si>
    <t>203791-78T</t>
  </si>
  <si>
    <t>206056-09T</t>
  </si>
  <si>
    <t>Gas Bridge</t>
  </si>
  <si>
    <t>Operator of an investment company intended to promote the development of the Brazilian gas market. The company invests in midstream infrastructure and integrated projects throughout the natural gas value chain, thereby generating an attractive return for its customers and investors.</t>
  </si>
  <si>
    <t>155999-80T</t>
  </si>
  <si>
    <t>Goldman Sachs Asset Management(David Castelblanco), Indicator Capital, Smart Money Ventures(Fábio Póvoa)</t>
  </si>
  <si>
    <t>251672-50T</t>
  </si>
  <si>
    <t>Jbfo Fof Fundo DE Investimento Imobiliario</t>
  </si>
  <si>
    <t>Jbfo Fof Fundo DE Investimento Imobiliario is a real estate investment trust.</t>
  </si>
  <si>
    <t>156688-48T</t>
  </si>
  <si>
    <t>BoostLAB, Canary (Brazil), Chromo Invest, Kaszek, Mercado Libre Fund, Monashees, Norte Ventures, Qualcomm Ventures</t>
  </si>
  <si>
    <t>171425-98T</t>
  </si>
  <si>
    <t>JR1 Informática</t>
  </si>
  <si>
    <t>Provider of used computers and monitors intended to update and make businesses more competitive. The company, along with computer parts, offers services like outsourcing, helping simplify the transition of hardware smooth and hassle-free.</t>
  </si>
  <si>
    <t>220 Capital(João Luis Lima), Agasus(João Luis Lima), Spectra Investments, WSC &amp; Company</t>
  </si>
  <si>
    <t>156005-74T</t>
  </si>
  <si>
    <t>Nu Invest Corretora de Valores</t>
  </si>
  <si>
    <t>Developer of online and mobile platforms designed for investment. The company's online and mobile technology platform enables self-directed individuals to evaluate, compare and invest in various financial instruments, including public securities, private securities and mutual funds as well as trade in equities, options and futures, thereby helping to eliminate bureaucracy from financial services.</t>
  </si>
  <si>
    <t>Nu Holdings (NYS: NU)(David Osorno)</t>
  </si>
  <si>
    <t>187603-03T</t>
  </si>
  <si>
    <t>Agibank</t>
  </si>
  <si>
    <t>Operator of an omnichannel digital bank intended to serve the public and INSS beneficiaries. The company offers a range of banking products including upkeep charge-free checking accounts, credit and debit cards, credit facilities, investments, purchase pools and insurance as well as internet banking services, thereby enabling clients with digitalized banking services through proprietary digital channels and physical networks.</t>
  </si>
  <si>
    <t>160181-02T</t>
  </si>
  <si>
    <t>DocWorking</t>
  </si>
  <si>
    <t>Operator of a co-working space finder intended to search for offices according to specialty and choose the one that best suits their needs. The company's services include renting clinics and offices by defining times, periods, services, and equipment safely and without bureaucracy, enabling doctors to choose the office of their liking, register their payment, and rent as long as they require.</t>
  </si>
  <si>
    <t>MF Holdings</t>
  </si>
  <si>
    <t>156053-35T</t>
  </si>
  <si>
    <t>Qualicorp Consultoria e Corretora de Seguros SA provides insurance brokerage, consulting and management services, and holds equity interests in other companies. The company operates through its subsidiaries in segments that include private health plans, the sale and management of other health insurance and supplementary services, medical billing, insurance brokerage, authorization of client access to the health plan's network, and specialized care management services.</t>
  </si>
  <si>
    <t>251091-28T</t>
  </si>
  <si>
    <t>Inter Teva Indice DE (BVMF: ITIP11)</t>
  </si>
  <si>
    <t>Inter Teva Indice DE Papel Fundo DE Investimento Imobiliario is a real estate investment trust.</t>
  </si>
  <si>
    <t>155778-94T</t>
  </si>
  <si>
    <t>Panthro Tech</t>
  </si>
  <si>
    <t>Provider of self-service software intended to offer QR code self-service to bars and restaurants. The company's software offers order management and 
real-time viewing of tables and mobile access, thereby enabling users to view the menu, order, and pay all by the cell phone without downloading an application.</t>
  </si>
  <si>
    <t>165799-00T</t>
  </si>
  <si>
    <t>Serena Energia SA is engaged in the generation of renewable energy. Its portfolio includes wind, hydro, and solar operational assets.</t>
  </si>
  <si>
    <t>199447-03T</t>
  </si>
  <si>
    <t>Wealth High Governance Holding de Participacoes</t>
  </si>
  <si>
    <t>Provider of Financial and wealth management services based in Sao Paulo, Brazil. The company offers wealth planning, investment advisory and product selection along with various funds focused on equities, global and real estate, thereby ensuring clients are given multiple options to choose from for investment purposes.</t>
  </si>
  <si>
    <t>298014-67T</t>
  </si>
  <si>
    <t>Cíngulo</t>
  </si>
  <si>
    <t>Provider of an emotional well-being service intended to offer self-knowledge to improve self-esteem, mood, and attitude. The company's service aims to reduce stress, increase emotional balance and productivity by addressing anxiety, irritability, self-esteem, motivation, and proactivity, enabling consumers to have a quality emotional care at low cost, in an accessible and scalable way.</t>
  </si>
  <si>
    <t>215497-54T</t>
  </si>
  <si>
    <t>138825-64T</t>
  </si>
  <si>
    <t>Bossa Invest, Cadonau Investimentos, Redpoint eventures(Romero Rodrigues)</t>
  </si>
  <si>
    <t>211062-79T</t>
  </si>
  <si>
    <t>DroneStore</t>
  </si>
  <si>
    <t>Operator of an e-commerce platform intended to sell and provide maintenance of drones. The company sells a variety of spare parts and accessories for drones, multi-rotors, unmanned aerial vehicles, and aircraft remotely piloted drones along with equipment servicing and technical assistance, enabling customers to receive the drones with ease.</t>
  </si>
  <si>
    <t>155608-66T</t>
  </si>
  <si>
    <t>Humanus</t>
  </si>
  <si>
    <t>Developer of payroll management software intended for sheet and human resources management. The company offers Humanus essential, Humanus facility, e-social e-book, training centers and webinars.</t>
  </si>
  <si>
    <t>212118-67T</t>
  </si>
  <si>
    <t>Developer of an online food delivery app based in Maringa, Brazil. The company provides food delivery services.</t>
  </si>
  <si>
    <t>209622-16T</t>
  </si>
  <si>
    <t>Autonomy Edificios Corporativos Fund Inv Imob (BVMF: AIEC11)</t>
  </si>
  <si>
    <t>Autonomy Edificios Corporativos Fundo DE Investimento Imobiliario is a Real Estate Investment Fund (FII) that operates in the Income area, in the Lajes Corporativas segment. The Fund is intended for the general public, and has an indefinite term.</t>
  </si>
  <si>
    <t>154992-07T</t>
  </si>
  <si>
    <t>Empreendimentos Pague Menos (BVMF: PGMN3)</t>
  </si>
  <si>
    <t>Empreendimentos Pague Menos SA operates a pharmacy chain in Brazil. It engaged in the retail trade of medicines, perfumes, personal hygiene, and beauty products. It revenues arises mainly from the sale of medicines, perfumes, and several self-service products to the end consumer.</t>
  </si>
  <si>
    <t>294246-01T</t>
  </si>
  <si>
    <t>Higident do Brasil</t>
  </si>
  <si>
    <t>Manufacturer of soap products and industrial bases based in Itajubá, Brazil.</t>
  </si>
  <si>
    <t>Ypê</t>
  </si>
  <si>
    <t>266538-34T</t>
  </si>
  <si>
    <t>4way</t>
  </si>
  <si>
    <t>Operator of an online platform for learning english language intended to develop socioeconomic people. The company offers outdoor teaching, course materials, online speaking classes, other courses, enabling students and employees to develop there personal and professional life.</t>
  </si>
  <si>
    <t>Artemisia(Maure Pessanha)</t>
  </si>
  <si>
    <t>206247-61T</t>
  </si>
  <si>
    <t>Konkero</t>
  </si>
  <si>
    <t>Operator of a financial portal intended to compare a range of financial products on a real-time basis. The company' offers informative content and knowledge-based insights on a variety of financial products and services in real-time through dashboard analytics and insight-based reports, thereby enabling customers to make informed decisions while investing and purchasing financial products, online or offline.</t>
  </si>
  <si>
    <t>MercadoJá</t>
  </si>
  <si>
    <t>210813-13T</t>
  </si>
  <si>
    <t>Seller Ink Industria e Comercio de Tintas e Vernizes</t>
  </si>
  <si>
    <t>Manufacturer of specialty inks and coatings intended to be ahead of the innovations in the graphics market. The company makes labels, semi-rigid cardboard packaging, metallography, editorial products, security inks and sublimation.</t>
  </si>
  <si>
    <t>Sun Chemical(Felipe Mellado)</t>
  </si>
  <si>
    <t>211050-91T</t>
  </si>
  <si>
    <t>194977-54T</t>
  </si>
  <si>
    <t>Amyi</t>
  </si>
  <si>
    <t>Operator of a direct-to-consumer (DNVB) perfumery brand intended to contribute to the education of Brazilians in the field of perfumery. The company offers a questionnaire to the customers on their preferences, their profile and behavior and based on these answers, artificial intelligence suggests a trial kit consisting of miniatures, test strips and online access for a training session to finalize the choice of the perfume, enabling consumers to educate themselves in the art of perfumery and make conscious olfactory choices.</t>
  </si>
  <si>
    <t>196498-00T</t>
  </si>
  <si>
    <t>MG Tech.</t>
  </si>
  <si>
    <t>190709-47T</t>
  </si>
  <si>
    <t>181063-00T</t>
  </si>
  <si>
    <t>Clique One</t>
  </si>
  <si>
    <t>Operator of a multi-service booking platform intended to provide on-demand assistance at home. The company offers services such as laundry, shoe repair, locksmith, sewing, electronics repair, photo development and pharmacy, enabling users with convenience and efficiency in their day-to-day lives.</t>
  </si>
  <si>
    <t>165160-63T</t>
  </si>
  <si>
    <t>Communy</t>
  </si>
  <si>
    <t>Developer of condominium management software designed to provide a technology for the management of financial and administrative processes. The company's software provides safety management and collection management also facilitates the execution of daily tasks optimizes time and provides management of condominium slips with an anti-fraud system, enabling landlords and tenants to get a tool for administrative convenience.</t>
  </si>
  <si>
    <t>Bertha Capital, Bossa Invest(Olavo Bevilaqua)</t>
  </si>
  <si>
    <t>128896-30T</t>
  </si>
  <si>
    <t>Headline, Redpoint eventures(Anderson Thees), Volpini Ventures</t>
  </si>
  <si>
    <t>155442-97T</t>
  </si>
  <si>
    <t>Luxor Group, Monashees, Spectra Investments, Yunus Social Business</t>
  </si>
  <si>
    <t>157822-66T</t>
  </si>
  <si>
    <t>Fazendas São Marcelo</t>
  </si>
  <si>
    <t>Operator of a livestock farm based in Mato Grosso, Brazil. The company specializes in sustainable cattle breeding and animal breeding techniques to optimize productivity and precocity.</t>
  </si>
  <si>
    <t>Agropecuária Jacarezinho</t>
  </si>
  <si>
    <t>155684-26T</t>
  </si>
  <si>
    <t>Joint Venture (CPP Investments / Cyrela)</t>
  </si>
  <si>
    <t>Operator of a multifamily real estate investment platform based in Sao Paulo, Brazil. The company develops, owns and operates purpose-built multifamily rental housing assets across Sao Paulo with each community having distinctive design elements and exceptional amenities, enabling real estate developers to appeal to a variety of tenants who seek convenience, comfort, security and an active urban lifestyle.</t>
  </si>
  <si>
    <t>Greystar Real Estate Partners(Robert Faith)</t>
  </si>
  <si>
    <t>164193-13T</t>
  </si>
  <si>
    <t>Eretz.Bio</t>
  </si>
  <si>
    <t>284242-06T</t>
  </si>
  <si>
    <t>Caldeira Institute</t>
  </si>
  <si>
    <t>159713-74T</t>
  </si>
  <si>
    <t>247221-01T</t>
  </si>
  <si>
    <t>241758-10T</t>
  </si>
  <si>
    <t>110857-78T</t>
  </si>
  <si>
    <t>Bossa Invest, Capital Lab Ventures</t>
  </si>
  <si>
    <t>251990-38T</t>
  </si>
  <si>
    <t>Unicainstancia</t>
  </si>
  <si>
    <t>Developer of mediation platform designed for resolving various consumer issues with companies. The company's platform offers features such as evaluating submitted cases, and monetary compensation and handles cases related to mobile operators, online purchases, and travel issues, enabling users with a hassle-free process and timely compensation, ultimately enhancing consumer satisfaction in the market.</t>
  </si>
  <si>
    <t>160984-36T</t>
  </si>
  <si>
    <t>FJ Labs, General Catalyst(Joel Cutler), IG Internet Brazilian Investments, Jose Marin(Jose Marin), Jose Silva(Jose Silva), Pinnacle Ventures(Kenneth Pelowski), Pueo Keffer(Pueo Keffer), Redpoint eventures(Jeffrey Brody), Redpoint Ventures(Jeffrey Brody)</t>
  </si>
  <si>
    <t>156690-19T</t>
  </si>
  <si>
    <t>Becommerce</t>
  </si>
  <si>
    <t>Provider of a platform for sales management in marketplaces in Brazil. The company's features include managing inventory, products, marketing campaigns, ads and orders; performance panel, financial reports and market intelligence; create rules to automate question responses and ad pricing, enabling the sale to millions of buyers in Mercado Livre, B2W, Amazon and Via Varejo, automating the entire operation and increasing their efficiency.</t>
  </si>
  <si>
    <t>Ideris Tecnologia(Alessandro Silveira)</t>
  </si>
  <si>
    <t>272415-34T</t>
  </si>
  <si>
    <t>CDS Serviços Financeiros</t>
  </si>
  <si>
    <t>Regional Banks</t>
  </si>
  <si>
    <t>157749-40T</t>
  </si>
  <si>
    <t>Oi Telecommunications (Satellite TV Business)</t>
  </si>
  <si>
    <t>Provider of satellite television channels in Rio de Janeiro, Brazil. The business operates digital content platform which offers films, series, cartoons and sports.</t>
  </si>
  <si>
    <t>Cable Service Providers</t>
  </si>
  <si>
    <t>133397-92T</t>
  </si>
  <si>
    <t>Tubex Industria E Comercio de Embalagens</t>
  </si>
  <si>
    <t>Provider of aluminium aerosol packaging services based in Itupeva, Sau Paolo, Brazil. The company specializes in aluminium tubes, plastic tubes, aluminium cartridges along with other similar products, thereby helping clients to meet their requirement.</t>
  </si>
  <si>
    <t>Ball (NYS: BALL)(John Hayes)</t>
  </si>
  <si>
    <t>255332-71T</t>
  </si>
  <si>
    <t>Agrobiológica</t>
  </si>
  <si>
    <t>Provider of a platform for biological services designed to maintain sustainable productivity across Latin America. The company provides innovative solutions for crops, technology for the production of bio-inputs for rural producers, and biological pesticide solutions intended to increase profitability with more sustainable products.</t>
  </si>
  <si>
    <t>262950-40T</t>
  </si>
  <si>
    <t>Prolam Termolaminações</t>
  </si>
  <si>
    <t>Manufacturer of plastic intended to serve clients located in Brazil. The company offers graphic thermolamination Bopp and pet films for its client's projects with personalized and sustainable offering a wide variety of colors for you to choose from with versatility and guarantee quality in every detail.</t>
  </si>
  <si>
    <t>I2L Participação e Intermediação de Negócios</t>
  </si>
  <si>
    <t>188278-75T</t>
  </si>
  <si>
    <t>Siemens Financial Services(David Taff)</t>
  </si>
  <si>
    <t>217746-19T</t>
  </si>
  <si>
    <t>Neuron Ventures(Paulo Braga)</t>
  </si>
  <si>
    <t>251053-48T</t>
  </si>
  <si>
    <t>Urca Prime Renda Fundo (BVMF: URPR11)</t>
  </si>
  <si>
    <t>Urca Prime Renda Fundo DE Investimento Imobiliario-FII is a real estate fund focused on purchasing Certificates of Real Estate Receivables (CRI) dispersed from residential real estate projects (subdivisions, buildings, and houses) and purchase of residential real estate receivables.</t>
  </si>
  <si>
    <t>216345-43T</t>
  </si>
  <si>
    <t>Viver Incorporadora &amp; Construtora (BVMF: VIVR3)</t>
  </si>
  <si>
    <t>Viver Incorporadora e Construtora SA is engaged in the development of real estate ventures, particularly in the residential and commercial segments, as well as the provision of real estate development management services. The Company's primary focus is on the residential market, in the middle and mid-high segments. The Company's and its subsidiaries and joint ventures' main revenue is generated by real estate development operations.</t>
  </si>
  <si>
    <t>157493-26T</t>
  </si>
  <si>
    <t>Coin DTVM</t>
  </si>
  <si>
    <t>Operator of a securities brokerage firm located in Sao Paulo, Brazil. The company operates a department specialized in Real Estate Investment Funds and is focused on structuring, administration and management of real estate funds.</t>
  </si>
  <si>
    <t>Avenue (Financial Software)(Roberto Lee)</t>
  </si>
  <si>
    <t>177923-44T</t>
  </si>
  <si>
    <t>209121-31T</t>
  </si>
  <si>
    <t>164192-68T</t>
  </si>
  <si>
    <t>219139-12T</t>
  </si>
  <si>
    <t>Wasys</t>
  </si>
  <si>
    <t>Provider of tech-enabled business integration services intended for workflow management. The company specializes in software for payment processing, data management, and logistics management, documents platform ai (artificial intelligence) as a product support discipline, providing its clients with solutions for business productivity.</t>
  </si>
  <si>
    <t>140631-31T</t>
  </si>
  <si>
    <t>FJ Labs, Y Combinator(Dalton Caldwell)</t>
  </si>
  <si>
    <t>160180-30T</t>
  </si>
  <si>
    <t>Credere</t>
  </si>
  <si>
    <t>Developer of a business platform intended to streamline the sales of auto dealerships. The company's platform provides reports such as approval rates, the performance of banks, team performance, characteristics of the proposals registered, and the database of interested customers where dealers can pre-analyze and approve customers' credit in real time, enabling automobile businesses to reduce costs and increase revenue.</t>
  </si>
  <si>
    <t>Bossa Invest, DOMO.VC(Gabriel Vieira)</t>
  </si>
  <si>
    <t>214070-77T</t>
  </si>
  <si>
    <t>Stoq Tecnologia</t>
  </si>
  <si>
    <t>Devloper of commercial management software intended to help the retail industry to embrace digital transformation and accelerate innovation. The company offers cloud-based point-of-sale systems that create better customer service experiences for physical retailers and employees thereby drastically reducing lines and eliminating friction from the purchasing process.</t>
  </si>
  <si>
    <t>294759-19T</t>
  </si>
  <si>
    <t>eComanda</t>
  </si>
  <si>
    <t>Operator of restaurant management software catering to restaurant and bar owners. The company specializes in automation systems, e-commerce services, delivery systems, restaurant management, cash flow, inventory management, and digital menus.</t>
  </si>
  <si>
    <t>iFood.com Agencia de Restaurantes Online(Lucas Lorenzato)</t>
  </si>
  <si>
    <t>284293-36T</t>
  </si>
  <si>
    <t>251685-91T</t>
  </si>
  <si>
    <t>Even Ii Kinea Fundo De Investimento Imobiliario (BVMF: KEVE11)</t>
  </si>
  <si>
    <t>Even Ii Kinea Fundo De Investimento Imobiliario is a Brazil based company. It focused on the development of residential projects in partnership with Even Construtora e Incorporadora S/A.</t>
  </si>
  <si>
    <t>153796-42T</t>
  </si>
  <si>
    <t>Koin</t>
  </si>
  <si>
    <t>Developer of post-pay application designed for the purchase of products online through tickets. The company's application offers security by requiring payment in money only after receiving the product, thereby enabling users to have confidence in online stores and companies to ensure consumer satisfaction.</t>
  </si>
  <si>
    <t>Decolar</t>
  </si>
  <si>
    <t>215953-75T</t>
  </si>
  <si>
    <t>Lighthouse Invest(Alexandre Darzé)</t>
  </si>
  <si>
    <t>192960-64T</t>
  </si>
  <si>
    <t>Gbit Telecomunicações</t>
  </si>
  <si>
    <t>Provider of internet and telecommunication services located in Garopaba, Brazil. The company specializes in offering fiber optic plans, website hosting and internet to radio plans.</t>
  </si>
  <si>
    <t>Mais Internet(Everson Mai)</t>
  </si>
  <si>
    <t>153644-14T</t>
  </si>
  <si>
    <t>287391-70T</t>
  </si>
  <si>
    <t>233968-33T</t>
  </si>
  <si>
    <t>Ultrapar Participacoes SA engages in the investment of its own capital in services, commercial, and industrial activities, through the subscription or acquisition of shares of other companies. The Company has three business segments: Ultragaz distributes LPG in the segments: bulk, comprising condominiums, trade, services, industries, and agribusiness; and bottled, mainly comprising residential consumers. The Ipiranga engages in the distribution and sale of oil-related products, biofuels, and similar products to service stations that operate under the Ipiranga brand throughout Brazil and to consumers and carrier-reseller-retailer. The Ultracargo operates in specialized liquid bulk storage solutions in the main logistics centers of Brazil.</t>
  </si>
  <si>
    <t>Patria Investments (NAS: PAX)(Peter Estermann)</t>
  </si>
  <si>
    <t>211075-75T</t>
  </si>
  <si>
    <t>160505-92T</t>
  </si>
  <si>
    <t>Grupo Sabin, José Setubal</t>
  </si>
  <si>
    <t>155520-73T</t>
  </si>
  <si>
    <t>Natura Cosmeticos</t>
  </si>
  <si>
    <t>Natura Cosmeticos SA is operating mainly in the cosmetics, fragrance, and personal hygiene segments, through the development, manufacture, distribution, and commercialization of its products. The brands managed by the company include the following: Natura, The Body Shop, Avon, and Aesop. In addition to using the retail market, e-commerce, business-to-business (B2B), and franchises as sales channels for the products, the company and its subsidiaries highlight the performance of the direct sales channel carried out by Natura and The Body Shop brands' consultants. Geographically, the group operates in Brazil and also maintains a presence in international markets.</t>
  </si>
  <si>
    <t>165102-04T</t>
  </si>
  <si>
    <t>Pontte</t>
  </si>
  <si>
    <t>Developer of a financial platform designed to provide property-backed loans. The company's platform provides credit loans for mortgages with payment flexibility and allows approved borrowers to choose the payday for making an installment with the facility to skip any installment without any additional charges, enabling customers to get flexible interest rates on loans and choose their own paydays for each installment.</t>
  </si>
  <si>
    <t>153689-41T</t>
  </si>
  <si>
    <t>Bitumina</t>
  </si>
  <si>
    <t>224898-94T</t>
  </si>
  <si>
    <t>Lavvi Empreendimentos Imobiliarios (BVMF: LAVV3)</t>
  </si>
  <si>
    <t>Lavvi Empreendimentos Imobiliarios SA is engaged in purchase and sale of finished properties or the build, residential and commercial, ideal land and fractions, the lease and management of real estate; the construction of real estate; the rental of own or third party properties; the break up or allotment of own land; planning, promotion, development under real estate development, the sale and purchase of housing and / or commercial units; the provision of services in matters relating to the real estate market.</t>
  </si>
  <si>
    <t>226715-23T</t>
  </si>
  <si>
    <t>140499-28T</t>
  </si>
  <si>
    <t>Allya</t>
  </si>
  <si>
    <t>Developer of a partnership network and benefits application designed to generate value in the connections between people, companies, and partners. The company's tools connect employees to relevant establishments, benefits, and financial advantages, all in a personalized way on a single platform, and help them to acquire new financial habits, enabling businesses to digitize their human resources, promote financial well-being for employees, and grow sales without hindering margins.</t>
  </si>
  <si>
    <t>Bossa Invest, DOMO.VC(Felipe Andrade)</t>
  </si>
  <si>
    <t>160189-39T</t>
  </si>
  <si>
    <t>Beleaf_Brazil</t>
  </si>
  <si>
    <t>Provider of plant-based meals intended to give a balanced nutritional diet. The company offers various vegetarian meals using deep-freezing technology to retain flavors, enabling customers to get meals rich in nutrients and antioxidants to help them stay healthy.</t>
  </si>
  <si>
    <t>166096-72T</t>
  </si>
  <si>
    <t>Dengo</t>
  </si>
  <si>
    <t>Operator of an online brand intended to promote a healthier and more sustainable way of producing chocolate. The company's chocolates come directly from domestic producers and candies are stuffed with Brazilian fruits, cajá, and jabuticaba, enabling consumers to purchase local chocolates with natural flavors.</t>
  </si>
  <si>
    <t>URBIS</t>
  </si>
  <si>
    <t>153647-83T</t>
  </si>
  <si>
    <t>Fazenda Belém Cluster</t>
  </si>
  <si>
    <t>Onshore fields in Ceará, Brazil. The average production of the Fazenda Belém Cluster was about 800 barrels of oil per day (bpd).</t>
  </si>
  <si>
    <t>210578-68T</t>
  </si>
  <si>
    <t>Brazilian Development Bank, Invisto(Marcelo Wolowski), Malte Huffmann(Malte Huffmann), Marcel Malczewski(Marcel Malczewski), Marcel Oost(Marcel Oost), Pennington Partners &amp; Co, Philipp Povel(Philipp Povel), Sergio bassan</t>
  </si>
  <si>
    <t>165800-80T</t>
  </si>
  <si>
    <t>Joycar</t>
  </si>
  <si>
    <t>Developer of an artificial intelligence platform designed for carpool services. The company's platform includes reliable hardware and software to manage fleet, users, bookings, payments and reports, enabling businesses that want to reduce their fleets, for rental companies to innovate, or for people who want to share the car with more people.</t>
  </si>
  <si>
    <t>146268-73T</t>
  </si>
  <si>
    <t>Wildlife Studios</t>
  </si>
  <si>
    <t>Operator of a gaming studio intended to develop and publish mobile games. The company's studio offers different kinds of games such as arcade, battle royales and various other games that are compatible with different types of devices, enabling game enthusiasts to get access to a wide range of quality games.</t>
  </si>
  <si>
    <t>Across Capital Partners, Aliya Capital Partners, Ascolta Ventures, Cercano Management(Rafael Costa), GE32 Capital, Human Capital, Lanx Capital, Northstar.VC</t>
  </si>
  <si>
    <t>166677-85T</t>
  </si>
  <si>
    <t>161001-10T</t>
  </si>
  <si>
    <t>Lexio</t>
  </si>
  <si>
    <t>Developer of a contract management platform designed to create, sign, manage, and share all the contracts and documents efficiently. The company's platform facilitates filters, advanced search, electronic signatures, and report generation, enabling companies to increase team productivity, minimize errors, and expedite document preparation.</t>
  </si>
  <si>
    <t>156651-13T</t>
  </si>
  <si>
    <t>Bossa Invest, DOMO.VC(Marcello Goncalves), Invisto, Terracotta Ventures</t>
  </si>
  <si>
    <t>146236-33T</t>
  </si>
  <si>
    <t>MKT Bank</t>
  </si>
  <si>
    <t>Developer of a digital financial platform designed for the marketing and communication market. The company's platform advances on receivables, digital accounts, national and international prepaid cards, bank transfers, and other relevant credit products focused on the events and advertising sector, enabling professionals to transact and enhance their business in a hassle-free manner.</t>
  </si>
  <si>
    <t>Circle Aceleradora</t>
  </si>
  <si>
    <t>140816-71T</t>
  </si>
  <si>
    <t>149077-90T</t>
  </si>
  <si>
    <t>Distrito Ventures, Franklin Resources (NYS: BEN), Itaú Unibanco Holding (BVMF: ITUB3), Navi Capital (BVMF: NAVT11), Navient (NAS: NAVI), Verde Asset Management, XP Investimentos (NAS: XP)</t>
  </si>
  <si>
    <t>153796-06T</t>
  </si>
  <si>
    <t>Developer of business management software and solutions for business optimization, as well as tools for the e-commerce market. The company's software offers inventory management, customer relationship management, financial management, and supply chain management modules as well as its products are geared toward the retail market, including apparel, footwear, supermarkets, electronics and appliances, perfumes and cosmetics, automobiles and motorcycles, and agricultural machinery.</t>
  </si>
  <si>
    <t>278499-16T</t>
  </si>
  <si>
    <t>Terna (Electric Utilities) (MIL: TRN)</t>
  </si>
  <si>
    <t>175619-26T</t>
  </si>
  <si>
    <t>Ten Four (Brazil)</t>
  </si>
  <si>
    <t>Producer of chemical products based in Valinhos, Brazil. The company offers white label production outsourcing, storage, warehousing, reverse logistic, business consulting and software development services.</t>
  </si>
  <si>
    <t>Fluidra (MAD: FDR)(Bruce Brooks)</t>
  </si>
  <si>
    <t>167120-83T</t>
  </si>
  <si>
    <t>Lojas Quero-Quero (BVMF: LJQQ3)</t>
  </si>
  <si>
    <t>Lojas Quero-Quero SA is engaged in providing integrated solutions to customers, with a comprehensive portfolio of construction materials, home appliances, and furniture, to meet their needs in the household goods and construction segment. It currently has stores distributed in the states of Rio Grande do Sul, Santa Cataria, Parana, Mato Grosso do Sul, and Sao Paulo, in addition to three distribution centers. The company has one operating segment, which consists of revenues obtained from retail activities, financial services, and credit cards on a segregated basis.</t>
  </si>
  <si>
    <t>141089-23T</t>
  </si>
  <si>
    <t>Organize Cloud Labs</t>
  </si>
  <si>
    <t>Provider of IT services based in São Paulo/SP, Brasil. The company specializes in process automation and application development running on ServiceNow platform.</t>
  </si>
  <si>
    <t>Accenture (NYS: ACN)(Leonardo Framil)</t>
  </si>
  <si>
    <t>192974-32T</t>
  </si>
  <si>
    <t>Outcenter</t>
  </si>
  <si>
    <t>Provider of broadband services based in Minas Gerais, Brazil. The company offers internet services through fiber optics, helping customers to stay connected through flexible and economical plans that suit their specific requirements.</t>
  </si>
  <si>
    <t>141396-76T</t>
  </si>
  <si>
    <t>Singu</t>
  </si>
  <si>
    <t>Developer of an online beauty care platform designed to offer customers a wide range of beauty and wellness services at their residences. The company's platform lets users choose and schedule their desired beauty services which include manicure, makeup, massage and hair removal at a convenient time, enabling clients to directly communicate with their beauty experts and receive beauty and wellness services from the comfort of their homes.</t>
  </si>
  <si>
    <t>Natura Brasil</t>
  </si>
  <si>
    <t>166162-33T</t>
  </si>
  <si>
    <t>T.B.B Vila Olímpia Restaurante LTDA</t>
  </si>
  <si>
    <t>Provider of undisclosed products and services in Sao Paulo, Brazil.</t>
  </si>
  <si>
    <t>Malc Participações LTDA</t>
  </si>
  <si>
    <t>175575-61T</t>
  </si>
  <si>
    <t>VisãoPLAY</t>
  </si>
  <si>
    <t>Provider of internet and telecommunication services in Santo Cristo - RS, Brazil,</t>
  </si>
  <si>
    <t>Sygo Internet(Charles Thiele)</t>
  </si>
  <si>
    <t>146260-90T</t>
  </si>
  <si>
    <t>Alude Atlas</t>
  </si>
  <si>
    <t>Operator of a real estate database software intended to transform traditional real estate brokers and agencies into digital businesses. The company's platform features comprehensive property document analysis, instant CPF/CNPJ assessments, automated collection and disbursement processes, report generation for all transactions, and legally valid digital signatures, enabling traditional real estate brokers and agencies to streamline operations, reduce manual tasks, to become more efficient and improve overall productivity.</t>
  </si>
  <si>
    <t>99 Startups, Arthur Lazarte(Arthur Lazarte), Brian Requarth(Brian Requarth), Eduardo Pontes(Eduardo Pontes), Global Founders Capital, Henrique Dubugras(Henrique Dubugras), Hugo Barra(Hugo Barra), Maya Capital (Brazil), Norte Ventures(Gabriel Benarros), Ribbit Capital, William Hockey(William Hockey), Y Combinator</t>
  </si>
  <si>
    <t>141079-60T</t>
  </si>
  <si>
    <t>284354-11T</t>
  </si>
  <si>
    <t>220365-73T</t>
  </si>
  <si>
    <t>Botoclinic</t>
  </si>
  <si>
    <t>Provider of an aesthetic procedures intended to offer facial and body harmonization treatments. The company offers filling, collagen biostimulator, skin booster, hair therapy, peeling, micro needling, hydra gloss, golden mask, gluteal filling, laser hair removal, tattoo removal and micropigmentation</t>
  </si>
  <si>
    <t>165155-68T</t>
  </si>
  <si>
    <t>140955-13T</t>
  </si>
  <si>
    <t>Kumulus (Systems and Information Management)</t>
  </si>
  <si>
    <t>Provider of IT and managed services, located in Sao Paulo, Brazil. The company specializes in business analytics, communication networks, IT service automation, cloud computing, data center infrastructure, data center services, cloud services and managed services.</t>
  </si>
  <si>
    <t>Logicalis Group</t>
  </si>
  <si>
    <t>202474-18T</t>
  </si>
  <si>
    <t>Mettzer</t>
  </si>
  <si>
    <t>Developer of content editing platform designed to democratize access to research and enable more people to contribute to the advancement of science. The company's platform automatically formats academic and research papers in ABNT standards along with providing online guidance, task scheduling, and cloud-based encryption, enabling students and researchers to effectively make their work in ABNT format and assist them in developing research and academic work.</t>
  </si>
  <si>
    <t>264024-46T</t>
  </si>
  <si>
    <t>168060-34T</t>
  </si>
  <si>
    <t>211730-05T</t>
  </si>
  <si>
    <t>Unilogic Media Group</t>
  </si>
  <si>
    <t>Operator of the multimedia platform focused on the production of technology content. The company provides content in text, audio and video, including product reviews, podcasts, corporate topics and daily news coverage.</t>
  </si>
  <si>
    <t>140902-30T</t>
  </si>
  <si>
    <t>Arcadis Logos Energia</t>
  </si>
  <si>
    <t>Operator of a renewable energy asset based in Sao Paulo, Brazil. The company provides project management, consulting and engineering services.</t>
  </si>
  <si>
    <t>Porto de Cima Concessões</t>
  </si>
  <si>
    <t>141036-22T</t>
  </si>
  <si>
    <t>Ariel Lambrecht(Ariel Lambrecht), Canary (Brazil), Lupa Capital, Valor Capital Group</t>
  </si>
  <si>
    <t>177016-06T</t>
  </si>
  <si>
    <t>Bossa Invest, HiPartners Capital &amp; Work, Invisto(Marcelo Wolowski), StaminaVC</t>
  </si>
  <si>
    <t>200826-91T</t>
  </si>
  <si>
    <t>251577-37T</t>
  </si>
  <si>
    <t>Trx Real Estate Ii Fundo DE Investimento Imobiliario-FII (BVMF: TRXB11)</t>
  </si>
  <si>
    <t>Trx Real Estate Ii Fundo DE Investimento Imobiliario-FII is a real estate investment trust.</t>
  </si>
  <si>
    <t>264290-86T</t>
  </si>
  <si>
    <t>155829-07T</t>
  </si>
  <si>
    <t>GP Investments (LUX: GPINA), Torq (Brazil), Valor Capital Group</t>
  </si>
  <si>
    <t>140769-64T</t>
  </si>
  <si>
    <t>CorpFlex</t>
  </si>
  <si>
    <t>Provider of IT integration and cloud computing services intended to serve clients in healthcare, transportation and agro-business. The company's corporate private cloud platform is robust and exclusively hosts mission-critical systems such as ERP, CRM BI and E-commerce, enabling businesses to eliminate communication redundancy and improve infrastructure management as well as the excellence of access to mission-critical applications.</t>
  </si>
  <si>
    <t>Claranet(Charles Nasser), Tikehau Capital (PAR: TKO)(Emmanuel Laillier)</t>
  </si>
  <si>
    <t>156905-11T</t>
  </si>
  <si>
    <t>Aqua Capital(Sebastian Popik), Spectra Investments</t>
  </si>
  <si>
    <t>158605-21T</t>
  </si>
  <si>
    <t>CSC Brasil</t>
  </si>
  <si>
    <t>Provider of IT services intended to help businesses with digital transformation. The company offers analytics platforms, business intelligence, digital operation, process optimization, security and compliance and data science services, thereby helping businesses to be efficient and innovative.</t>
  </si>
  <si>
    <t>Qintess Holding E Participacoes(Nana Baffour)</t>
  </si>
  <si>
    <t>210015-46T</t>
  </si>
  <si>
    <t>Meerkat (IT Consulting and Outsourcing)</t>
  </si>
  <si>
    <t>Developer of software solutions intended to offer computer vision solutions. The company provides a range of computer vision solutions for image and video analysis, such as facial recognition, identification document reading, license plate reading and object detection, enabling clients to avail quality technical solutions.</t>
  </si>
  <si>
    <t>215900-38T</t>
  </si>
  <si>
    <t>156366-10T</t>
  </si>
  <si>
    <t>160655-14T</t>
  </si>
  <si>
    <t>Carrefour Brasil (17 Supermarkets)</t>
  </si>
  <si>
    <t>Operator of supermarkets located in Belo Horizonte, Brazil.</t>
  </si>
  <si>
    <t>Grupo Super Nosso(Euler Nejm)</t>
  </si>
  <si>
    <t>160663-51T</t>
  </si>
  <si>
    <t>Enacom</t>
  </si>
  <si>
    <t>Developer of a computational technology platform designed to advance engineering methods through multiobjective optimization, machine learning, data mining, computational geometry, and numerical techniques. The company offers innovative algorithm development, support for academic research, and technology transfer, enabling research institutions and industrial partners to bridge scientific advancements with real-world applications.</t>
  </si>
  <si>
    <t>216144-28T</t>
  </si>
  <si>
    <t>Gett (Business/Productivity Software)</t>
  </si>
  <si>
    <t>Operator of process management system catering to importers, exporters, trading companies and import distributors. The company engages in issuing import invoices, distribution management, foreign trade and import sales.</t>
  </si>
  <si>
    <t>188498-98T</t>
  </si>
  <si>
    <t>190864-99T</t>
  </si>
  <si>
    <t>Inter Teva Indice de Tijolo Fundo de Investimento Imobiliário (BVMF: ITIT11)</t>
  </si>
  <si>
    <t>Inter Teva Indice De Tijolo Fundo De Investimento formerly IFI-E Inter Fundo DE Investimento Imobiliario - FII is a real estate investment trust. The funds participate in the investment of real estate projects.</t>
  </si>
  <si>
    <t>224335-18T</t>
  </si>
  <si>
    <t>ISSO Internet e Telecomunicações</t>
  </si>
  <si>
    <t>Provider of internet services based in Caieiras, Brazil.</t>
  </si>
  <si>
    <t>213986-89T</t>
  </si>
  <si>
    <t>Livakovic Participacoes</t>
  </si>
  <si>
    <t>Operator of a sugarcane mill located in Sao Paulo, Brazil.</t>
  </si>
  <si>
    <t>Companhia Mineira de Açúcar e Álcool</t>
  </si>
  <si>
    <t>178270-84T</t>
  </si>
  <si>
    <t>The Next Company</t>
  </si>
  <si>
    <t>134899-30T</t>
  </si>
  <si>
    <t>Protesto Direto</t>
  </si>
  <si>
    <t>Developer of a debt management software designed to recover outstanding loans. The company's platform provides full oversight of securities protest processes, including creation and monitoring, and digitizes documentation typically restricted to in-person access at public notary offices, enabling lenders to oversee financial obligations, streamline administrative tasks, and maintain comprehensive control over debt recovery workflows.</t>
  </si>
  <si>
    <t>Ikove(Flavio Lobato), Monte Carlo Capital</t>
  </si>
  <si>
    <t>185393-98T</t>
  </si>
  <si>
    <t>Quero Frete</t>
  </si>
  <si>
    <t>Developer of a logistics application designed for companies, customers or truck drivers who look for affordable and faster alternatives to transport cargo. The company provides a system that connects shippers and carriers to autonomous truck drivers where the contracting party registers its cargo and finds truck drivers available to outsource its freight, enabling customers to improve their profitability and autonomous truckers to increase their revenue.</t>
  </si>
  <si>
    <t>Expresso Nepomuceno</t>
  </si>
  <si>
    <t>167447-26T</t>
  </si>
  <si>
    <t>Reboque.me</t>
  </si>
  <si>
    <t>Developer of a roadside assistance application designed to focus on solving emergency problems for drivers and vehicles. The company's application provides digital service to drivers with or without insurance which offers service in an average time less than the traditional model, enabling customers to find a nearby professional and track the location and estimated time of arrival of their tow truck.</t>
  </si>
  <si>
    <t>166051-09T</t>
  </si>
  <si>
    <t>Bernardo Fonseca(Bernardo Fonseca), Carlos Galvao(Carlos Galvao), Guilherme Bonifácio(Guilherme Bonifácio), Mario Roma(Mario Roma), OutField Capital</t>
  </si>
  <si>
    <t>140770-00T</t>
  </si>
  <si>
    <t>Solstar (Alternative Energy Equipment)</t>
  </si>
  <si>
    <t>Manufacturer of photovoltaic solar plates designed to generate solar energy. The company's plates are designed to capture and transform photovoltaic energy for various locations and environments, enabling users to save on electricity bills and to help preserve the environment.</t>
  </si>
  <si>
    <t>Venture Initiation Program</t>
  </si>
  <si>
    <t>160666-57T</t>
  </si>
  <si>
    <t>Vitória Agro</t>
  </si>
  <si>
    <t>Manufacturer of organic fertilizers intended to transform organic waste into nutrients for the soil. The company offers pelleted and powdered organic mineral fertilizers along with technical assistance and laboratory analysis services, helping producers with recommendations according to the needs of each crop.</t>
  </si>
  <si>
    <t>160177-51T</t>
  </si>
  <si>
    <t>Canary (Brazil), Caravela Capital, FJ Labs, Norte Ventures</t>
  </si>
  <si>
    <t>156917-62T</t>
  </si>
  <si>
    <t>Zipp (Internet Retail)</t>
  </si>
  <si>
    <t>Operator of a digital marketplace intended to offer groceries and staples. The company's platform offers organic fruits, organic vegetables, supplements, sweets, desserts, snacks, beverages, pet care products, household cleaning products, meat and fish products, beauty products, and dairy products, enabling customers to place orders from the convenience of their home.</t>
  </si>
  <si>
    <t>Rafael Duton, Vinicius Panisset</t>
  </si>
  <si>
    <t>224281-63T</t>
  </si>
  <si>
    <t>210819-52T</t>
  </si>
  <si>
    <t>Hubsales</t>
  </si>
  <si>
    <t>Operator of an IT platform that provides a digital platform and e-commerce solutions to manage the store and products on the marketplace.The company is involved in a range of services such as documentation, accreditation, integration, monitoring, support, advice as well as performance improvement tools, thereby helping businesses to enter into online retail.</t>
  </si>
  <si>
    <t>140812-84T</t>
  </si>
  <si>
    <t>Muxi</t>
  </si>
  <si>
    <t>Provider of an intelligent payment platform intended to assist businesses that manage electronic transactions. The company's platform develops unique and smart services for electronic transactions-based businesses, thereby enabling businesses to have a reduction in development and operational costs.</t>
  </si>
  <si>
    <t>Dock (Sao Paulo), Riverwood Capital(Francisco Alvarez-Demalde), Visa Ventures(Neal Kapur)</t>
  </si>
  <si>
    <t>160890-94T</t>
  </si>
  <si>
    <t>Ocean Drop</t>
  </si>
  <si>
    <t>Producer of natural supplements intended to enhance health and wellness through plant-based products. The company offers capsule and tablet-shaped products made from microalgae to provide nutrients and bioactive compounds to support various health and wellness needs and enhance energy levels, immune function, and overall vitality through plant-based nutrition, enabling consumers to enrich their diet quickly and efficiently.</t>
  </si>
  <si>
    <t>Caravela Capital(Frederico Guesser), Neuron Ventures</t>
  </si>
  <si>
    <t>251334-10T</t>
  </si>
  <si>
    <t>Parque Anhanguera Fundo (BVMF: PQAG11)</t>
  </si>
  <si>
    <t>Parque Anhanguera Fundo DE Investimento Imobiliario - FII is a real estate investment trust engaged in the logistics warehouse segment.</t>
  </si>
  <si>
    <t>159767-29T</t>
  </si>
  <si>
    <t>129517-57T</t>
  </si>
  <si>
    <t>Julius Baer Group (SWX: BAER), Redpoint eventures(Anderson Thees), Sergio Furio(Sergio Furio), VEF (STO: VEFAB)(Alexis Koumoudos)</t>
  </si>
  <si>
    <t>251086-69T</t>
  </si>
  <si>
    <t>VBI Prime Properties Fundo</t>
  </si>
  <si>
    <t>Fundo DE Investimento Imobiliario VBI Prime Properties is a real estate investment trust in the commercial buildings segment.</t>
  </si>
  <si>
    <t>189127-81T</t>
  </si>
  <si>
    <t>La Guapa</t>
  </si>
  <si>
    <t>Operator of a chain of restaurants located in Sao Paulo, Brazil. The company offers a variety of food menus such as salad, chicken, snacks, drinks, and desserts, enabling customers to experience differentiated products handcrafted safely.</t>
  </si>
  <si>
    <t>Concept Investimentos(Rafael Goncalez)</t>
  </si>
  <si>
    <t>153810-55T</t>
  </si>
  <si>
    <t>Allievo Capital, Ariel Lambrecht(Ariel Lambrecht), Caravela Capital, David Vélez(David Vélez), Fundação Estudar, Renato Freitas(Renato Freitas), Tom Stafford(Tom Stafford)</t>
  </si>
  <si>
    <t>140855-41T</t>
  </si>
  <si>
    <t>Brazilian Development Bank, KPTL</t>
  </si>
  <si>
    <t>211608-73T</t>
  </si>
  <si>
    <t>Athenas Grupo Educacional</t>
  </si>
  <si>
    <t>Operator of educational institutions based in Porto Velho, Brazil. The institution offers undergraduate, graduate and higher education courses across domains including science, technology, economy and business.</t>
  </si>
  <si>
    <t>YDUQS Participações (BVMF: YDUQ3)(Eduardo Haiama)</t>
  </si>
  <si>
    <t>161005-87T</t>
  </si>
  <si>
    <t>Magliano Invest</t>
  </si>
  <si>
    <t>Provider of stock brokerage service based in Sao Paulo, Brazil. The company specializes in providing advice on asset management and offering customized solutions, thereby helping clients in building more efficient portfolios.</t>
  </si>
  <si>
    <t>176641-21T</t>
  </si>
  <si>
    <t>166818-16T</t>
  </si>
  <si>
    <t>BTG Pactual (BVMF: BPAC3)(Leonardo Felix)</t>
  </si>
  <si>
    <t>251534-53T</t>
  </si>
  <si>
    <t>Loft Ii Fundo De (BVMF: LFTT11)</t>
  </si>
  <si>
    <t>Loft Ii Fundo De Investimento Imobiliario is a Real Estate Investment Fund invest in residential properties ready for eventual renovation and subsequent sale.</t>
  </si>
  <si>
    <t>140868-55T</t>
  </si>
  <si>
    <t>Barn Investimentos(Thiago Mendes)</t>
  </si>
  <si>
    <t>154982-80T</t>
  </si>
  <si>
    <t>Unike Technologies</t>
  </si>
  <si>
    <t>Developer of a frictionless identification technology designed for authentication and authorization. The company's technology offers facial recognition for physical and online stores in the world along with identification data analytics that can be customized and tools that eliminate friction, enabling companies from industries including education, entertainment, shops and other commercial sectors to avail digital access, authentication, payment and other biometric systems.</t>
  </si>
  <si>
    <t>Reussite Participações(Isaac Lazera)</t>
  </si>
  <si>
    <t>140320-54T</t>
  </si>
  <si>
    <t>Adianta</t>
  </si>
  <si>
    <t>Operator of an online platform built for invoice factoring and credit evaluation. The company's platform offers a unique digital experience in anticipating receivables and obtaining working capital through state-of-the-art technology while analyzing operations automatically, enabling small businesses to benefit from required credit access.</t>
  </si>
  <si>
    <t>Liber Capital(Victor Stabile)</t>
  </si>
  <si>
    <t>174943-54T</t>
  </si>
  <si>
    <t>Akredito</t>
  </si>
  <si>
    <t>Provider of debt management technologies intended to pay, consolidate, and refinance all debts of a defaulter individual. The company's platform technology allows a user to pay the debt installments via the platform with credit and debit cards or bank transfers and subsidizes debts of a non-payer whose registration at credit bureaus prevents him from getting a job or requesting additional credit, enabling individuals to get free from their debt repayments through a personalized financial technology.</t>
  </si>
  <si>
    <t>MetLife Foundation(Dennis White), Village Capital(Daniel Cossío)</t>
  </si>
  <si>
    <t>146286-91T</t>
  </si>
  <si>
    <t>Pathfind</t>
  </si>
  <si>
    <t>Developer of route optimization technology intended to offer the market to optimize the logistics operation The company's technology provides optimization in the distribution of charges and facilitates logistics operations to make decisions based on data and a reliable dashboard thus increasing efficiency, reducing costs, and gaining productivity.</t>
  </si>
  <si>
    <t>Pedro Eleuterio Albuquerque</t>
  </si>
  <si>
    <t>142566-76T</t>
  </si>
  <si>
    <t>Zygo (Business/Productivity Software)</t>
  </si>
  <si>
    <t>Developer of a customer loyalty tool intended to help restaurants retain their customers. The company offers a specialized consultancy and technology for creating campaigns and a benefits club, enabling restaurant owners to create their own customer base and generate increasing returns on investment in marketing.</t>
  </si>
  <si>
    <t>PagSeguro Digital (NYS: PAGS)(Ricardo Dutra)</t>
  </si>
  <si>
    <t>167060-08T</t>
  </si>
  <si>
    <t>Interface (Brazil)</t>
  </si>
  <si>
    <t>Developer of software systems that assist in the control of the production process. The company develops manufacturing systems, that manage information and optimize production activities from the beginning of the production order to the finished products.</t>
  </si>
  <si>
    <t>SYSTEMA Systementwicklung(Manfred Austen)</t>
  </si>
  <si>
    <t>202229-29T</t>
  </si>
  <si>
    <t>Astella Investimentos(Daniel Chalfon), Cadonau Investimentos, Spectra Investments</t>
  </si>
  <si>
    <t>140303-80T</t>
  </si>
  <si>
    <t>Bertha Capital, TM3 Capital, We Ventures</t>
  </si>
  <si>
    <t>140100-94T</t>
  </si>
  <si>
    <t>Valor Capital Group(Scott Sobel)</t>
  </si>
  <si>
    <t>165861-46T</t>
  </si>
  <si>
    <t>Visto.bio</t>
  </si>
  <si>
    <t>Manufacturer of natural and hypoallergenic sprays intended to eliminate the stench of sweat and protect against harmful viruses. The company's biotechnology platform provides natural deodorant for clothing and textile articles, it acts as a protective shield in the fibers of the fabrics, preventing the development of bacteria and fungi that cause bad odor, enabling individuals to reduce washing their clothes while also protecting them from the proliferation of microorganisms.</t>
  </si>
  <si>
    <t>173472-22T</t>
  </si>
  <si>
    <t>10b - Gestora de Recursos(Marcelo Lopo Lima)</t>
  </si>
  <si>
    <t>155834-83T</t>
  </si>
  <si>
    <t>Holistix</t>
  </si>
  <si>
    <t>Manufacturer of wellness products intended to empower active women to create healthier habits with accessible, everyday products. The company offers a variety of wellness products, from tongue cleaners and essential oils to beauty kits, enabling women to care for their skin and body naturally and affordably.</t>
  </si>
  <si>
    <t>Ana Barbosa(Ana Barbosa), Andréia Rocha(Andréia Rocha), Aurelio Ribeiro(Aurelio Ribeiro), Daniel de Faria(Daniel de Faria), Daniel Magalhães(Daniel Magalhães), David Becher(David Becher), Francisco Deppermann(Francisco Deppermann), Francisco Millarch(Francisco Millarch), Juliana Noronha(Juliana Noronha), Luiz Rossi(Luiz Rossi), Marcella Ceva(Marcella Ceva), Paulo Mariotto(Paulo Mariotto), The Next Company(Andre de Escobar), Vicente Cunto(Vicente Cunto)</t>
  </si>
  <si>
    <t>159882-58T</t>
  </si>
  <si>
    <t>159890-59T</t>
  </si>
  <si>
    <t>Dom Rock</t>
  </si>
  <si>
    <t>Developer of an operational intelligence and analytics platform designed to generate simplified visualization for business areas. The company's platform uses big data, cognitive technology, and machine learning based on its algorithms to capture insights from various sources of data, including text, audio, sensors, and images, enabling businesses to avail unified business data alternatives and make informed decisions.</t>
  </si>
  <si>
    <t>165248-65T</t>
  </si>
  <si>
    <t>FEA Angels, Google for Startups(Rodrigo Carraresi)</t>
  </si>
  <si>
    <t>195486-94T</t>
  </si>
  <si>
    <t>Mediacao Online - Assessoria Administrativa e Tecnologia</t>
  </si>
  <si>
    <t>Developer of an online mediation platform intended to assist in solving extrajudicial legal conflicts. The company's platform allows its users to resolve disputes between two or more parties by being connected to legal counsels and assists them in drawing up an agreement with an automated, binding mediation process, enabling Brazilian corporations and consumers to resolve legal disputes quickly and inexpensively without having to rely on third-party legal contractors, making the process fast and effective.</t>
  </si>
  <si>
    <t>195490-72T</t>
  </si>
  <si>
    <t>195496-12T</t>
  </si>
  <si>
    <t>195495-85T</t>
  </si>
  <si>
    <t>139882-15T</t>
  </si>
  <si>
    <t>WDG Automation</t>
  </si>
  <si>
    <t>Developer of robotic process automation software based in Sao Paulo, Brazil. The company specializes in unified automation platform comprised of robotic process automation, robotic desktop automation and intelligent virtual agents, thereby enabling users to orchestrate and automate processes and interactions with end-users.</t>
  </si>
  <si>
    <t>International Business Machines (NYS: IBM)(Denis Kennelly)</t>
  </si>
  <si>
    <t>254647-72T</t>
  </si>
  <si>
    <t>Inovabra Ventures, Parallax Ventures</t>
  </si>
  <si>
    <t>200582-83T</t>
  </si>
  <si>
    <t>160238-71T</t>
  </si>
  <si>
    <t>Accion(Vikas Raj), Maya Capital (Brazil)(Lara Lemann), ONEVC(Bruno Yoshimura), Shift Capital (São Paulo)</t>
  </si>
  <si>
    <t>180486-46T</t>
  </si>
  <si>
    <t>EQI Investimentos</t>
  </si>
  <si>
    <t>Provider of financial and wealth management services based in Sao Paulo, Brazil. The company offers financial instruments such as fixed income, pension and investment funds, trading accounts, variable incomes funds as wells as portfolio management services, thus helping people in financial planning for a brighter and prosperous future.</t>
  </si>
  <si>
    <t>224419-06T</t>
  </si>
  <si>
    <t>Integra Agri Business</t>
  </si>
  <si>
    <t>Operator of an agricultural business of raw materials intended for agro-industrial sector. The company's services include multi temperature storage, cold recovery, cross docking, shopping vegetal origin byproduct, commodities, animal nutrition, selling them externally and on internet, production of additives for the food industry, live chicken and collective protection equipment, soybeans, corn, soy meal, and other related products, enabling its clients to avail quality agro-products in day to day business.</t>
  </si>
  <si>
    <t>Patria Investments (NAS: PAX), Produtec Comercio E Representacoes</t>
  </si>
  <si>
    <t>158363-11T</t>
  </si>
  <si>
    <t>251783-29T</t>
  </si>
  <si>
    <t>184304-71T</t>
  </si>
  <si>
    <t>258045-40T</t>
  </si>
  <si>
    <t>180104-05T</t>
  </si>
  <si>
    <t>Pet Booking</t>
  </si>
  <si>
    <t>Operator of an online pet booking marketplace intended to cater to the requirements of pet caring services. The company's marketplace manages, promotes and makes appointments and payments for various services and companies in the pet segment to increase the sale of existing services and facilitate the daily lives of pet owners, enabling clients to promote and foster the pet market, bringing innovation, ease, and practicality to the entire production chain of the sector.</t>
  </si>
  <si>
    <t>Grupo Brasil Pet(Rodrigo Albuquerque)</t>
  </si>
  <si>
    <t>139195-63T</t>
  </si>
  <si>
    <t>Atmos Capital Gestao de Recursos, Charles River Capital (Brazil), Quartz (Brazil), Spectra Investments, Treecorp Investimentos (BVMF: TCPF11)(Luis Lomonaco)</t>
  </si>
  <si>
    <t>199327-24T</t>
  </si>
  <si>
    <t>IVIA Servios de Informtica</t>
  </si>
  <si>
    <t>Provider of IT solutions catering to financial services, transportation, retail, healthcare, consumer goods and manufacturing sector. The company offers various services including system development, maintenance, consulting, outsourcing and project management, thereby enabling clients to facilitate and expand their businesses through cost reduction, productivity increase and innovation generation.</t>
  </si>
  <si>
    <t>Wipro (BOM: 507685)(Mukund Seetharaman)</t>
  </si>
  <si>
    <t>170223-58T</t>
  </si>
  <si>
    <t>Indico Capital Partners</t>
  </si>
  <si>
    <t>146272-15T</t>
  </si>
  <si>
    <t>Cora Sistemas</t>
  </si>
  <si>
    <t>Provider of business management solution in Curitiba, Brazil. The company offers ERP solutions accelerates the company from acquisition to production, inventory, sales, customer service and financial management providing faster information on costs and performance at each stage, on a global scale.</t>
  </si>
  <si>
    <t>Widepartner(Carlos Neves)</t>
  </si>
  <si>
    <t>139543-03T</t>
  </si>
  <si>
    <t>J.P. Morgan</t>
  </si>
  <si>
    <t>216158-86T</t>
  </si>
  <si>
    <t>MITRA Sistemas</t>
  </si>
  <si>
    <t>Developer of integrated systems solutions designed to digitally manage the health, education, mobility and security sectors for municipalities and local governments. The company specializes in the development, implementation and licensing of application software along with providing consulting, advisory, administrative and project management, audit, modernization and strategic planning services, enabling clients to manage their operations in a simple and effective way, simplify the paperwork and take the entire process online.</t>
  </si>
  <si>
    <t>Valid (IT Services and Consulting) (BVMF: VLID3)(Carlos Affonso)</t>
  </si>
  <si>
    <t>139968-82T</t>
  </si>
  <si>
    <t>MN Investimentos</t>
  </si>
  <si>
    <t>Operator of a financial consulting and advisory firm based in Sao Paulo, Brazil. The company offers fixed income analysis, investment funds and real estate solutions, fund analysis and fundamental analysis, aiming to help investors from Brazil to achieve and manage their financial independence.</t>
  </si>
  <si>
    <t>Monte Bravo Corretora De Titulos e Valores Mobiliarios(Pier Mattei)</t>
  </si>
  <si>
    <t>122522-68T</t>
  </si>
  <si>
    <t>Sul America (Auto and Property Insurance Business Unit)</t>
  </si>
  <si>
    <t>Provider of insurance services based in Brazil. The company offers automobile and property insurance services.</t>
  </si>
  <si>
    <t>Allianz (ETR: ALV)</t>
  </si>
  <si>
    <t>135968-86T</t>
  </si>
  <si>
    <t>Chromo Invest, Kaszek, Mercado Libre Fund, QED Investors(Lauren Morton), Qualcomm Ventures, Quartz (Brazil), Ribbit Capital, Spectra Investments</t>
  </si>
  <si>
    <t>223465-06T</t>
  </si>
  <si>
    <t>223557-22T</t>
  </si>
  <si>
    <t>Athos (Real Estate Services)</t>
  </si>
  <si>
    <t>Provider of asset and real estate management services intended to serve the condominium clients and suppliers. The company's solutions include asset management, real estate management, capital management and condominium management using mordern technology,
enabling customers to find solutions regarding their real estate issues.</t>
  </si>
  <si>
    <t>223561-36T</t>
  </si>
  <si>
    <t>GoSoft</t>
  </si>
  <si>
    <t>Developer of automation software intended for condominium and property management routines. The company offers process manager, document control and sms service thereby providing easy-to-apply solutions and efficiency.</t>
  </si>
  <si>
    <t>Athos (Real Estate Services)(Marcelo Okuma)</t>
  </si>
  <si>
    <t>194845-42T</t>
  </si>
  <si>
    <t>Logpyx</t>
  </si>
  <si>
    <t>Developer of an intralogistics management platform designed for logistics and industrial optimization and prevention of work accidents. The company's platform focuses on optimizing and improving the logistical flows of people, inventory management, identification and prevention of work accidents vehicles, or goods with real-time visibility, using mechanisms such as UWB (Ultra Wideband), LPS (Local Position System), and AI (Artificial Intelligence) to accurately measure the distance between machines and people, enabling clients to make logistic yard management viable.</t>
  </si>
  <si>
    <t>193260-70T</t>
  </si>
  <si>
    <t>217210-15T</t>
  </si>
  <si>
    <t>155751-04T</t>
  </si>
  <si>
    <t>EDP Ventures(Rosario Cannata), KPTL, Luminate Group(Felipe Estefan), Media Development Investment Fund(Harlan Mandel)</t>
  </si>
  <si>
    <t>165807-19T</t>
  </si>
  <si>
    <t>139262-68T</t>
  </si>
  <si>
    <t>Rapidoo</t>
  </si>
  <si>
    <t>Developer of a digital platform designed to issue slips, anticipate receivables, and revolutionize financial management. The company's platform imports invoices to generate and anticipates payment slips in a simple and transparent way and provides information on how much the company will receive each day to keep cash flow always positive, thereby enabling small and medium-sized businesses to increase their sales, their financial control, and their overall success.</t>
  </si>
  <si>
    <t>One7(João Fiuza)</t>
  </si>
  <si>
    <t>139786-30T</t>
  </si>
  <si>
    <t>Xconn</t>
  </si>
  <si>
    <t>Developer of electric circuit monitoring system designed to help check for network topology problems at an early stage. The company's system offers a range of services including measurements, alarm systems, analysis through formatted reports, and general engineering analysis, enabling companies to use their energy equipment for long life.</t>
  </si>
  <si>
    <t>Xinchao Technology</t>
  </si>
  <si>
    <t>155899-63T</t>
  </si>
  <si>
    <t>Geekie</t>
  </si>
  <si>
    <t>Operator of a personalized educational platform designed to facilitate easy learning. The company's platform offers innovative pedagogical learning methods, enabling teachers to formulate lessons according to the specific needs and learning styles of individual students.</t>
  </si>
  <si>
    <t>165812-95T</t>
  </si>
  <si>
    <t>Pin People</t>
  </si>
  <si>
    <t>Developer of an climate and engagement survey software designed to track and improve workers' experience. The company's platform allow to understand their employee's experience from entry to exit through flexible surveys and people analytics, enabling businesses to increase productivity and retention in the team by using climate data to create strategic actions.</t>
  </si>
  <si>
    <t>140482-36T</t>
  </si>
  <si>
    <t>175673-53T</t>
  </si>
  <si>
    <t>Pink App</t>
  </si>
  <si>
    <t>Operator of a communication platform designed to manage customer communications in a centralized manner. The company's platform helps to organize internal communications between teams via videoconference meetings, sends private or group messages, and creates communities that facilitate communication and sharing, enabling businesses to scale and optimize operations with stability.</t>
  </si>
  <si>
    <t>213464-80T</t>
  </si>
  <si>
    <t>Âmbito Negócios Sustentáveis</t>
  </si>
  <si>
    <t>Developer of environmental management software intended for businesses that aim at ethical, human, economic, social, and environmental values. The company software offers transport and waste management, non-compliance treatment, document control, supplier management and third-party employees features, thereby understanding the customer's need to create a specific legal and environmental management system.</t>
  </si>
  <si>
    <t>157722-04T</t>
  </si>
  <si>
    <t>21212</t>
  </si>
  <si>
    <t>233800-93T</t>
  </si>
  <si>
    <t>Conseg Consorcios</t>
  </si>
  <si>
    <t>Operator of a consortium intended for the acquisition of movable and immovable properties. The company's raffle system manages the financial resources of groups with a choice of various payment plans and without charge of interest, enabling contributors to receive pooled credit for the acquisition of assets.</t>
  </si>
  <si>
    <t>Ademicon</t>
  </si>
  <si>
    <t>155723-14T</t>
  </si>
  <si>
    <t>ACE Ventures (Commercial Services)(Arthur Garutti), Daniel Goldsztein(Daniel Goldsztein), Diego Gomes(Diego Gomes), SaaSholic, Sirius Venture Capital, TM3 Capital</t>
  </si>
  <si>
    <t>214183-27T</t>
  </si>
  <si>
    <t>FG University Center</t>
  </si>
  <si>
    <t>Operator of an educational university based in Guanambi, Brazil.</t>
  </si>
  <si>
    <t>178108-12T</t>
  </si>
  <si>
    <t>Claudemir Cocoa(Claudemir Cocoa), Pablo Teixeira(Pablo Teixeira)</t>
  </si>
  <si>
    <t>243466-84T</t>
  </si>
  <si>
    <t>156078-10T</t>
  </si>
  <si>
    <t>Kryptus</t>
  </si>
  <si>
    <t>Provider of information technology consulting services intended to assist financial institutions, private companies, and governments around the globe. The company's services develop, integrate, and deploy a wide array of services for hardware, firmware, and software, ranging from semiconductors to complex digital certificate management systems, enabling clients to get security and meet their requirements.</t>
  </si>
  <si>
    <t>Fundo Aeroespacial</t>
  </si>
  <si>
    <t>168997-24T</t>
  </si>
  <si>
    <t>Queima Diária</t>
  </si>
  <si>
    <t>Operator of an online platform dedicated to physical activity and well-being. The company offers online exercise and weight loss programs, thereby helping people lose weight, increase self-esteem and cultivate a healthier lifestyle.</t>
  </si>
  <si>
    <t>184679-83T</t>
  </si>
  <si>
    <t>155065-87T</t>
  </si>
  <si>
    <t>Tempest Security Intelligence</t>
  </si>
  <si>
    <t>Provider of security intelligence services intended to help secure businesses from cyber threats and digital frauds. The company's offerings include security monitoring, asset recovery, administration of security devices and security hardening amongst others, thereby helping enterprises protect their confidential data and recover data after cyber attacks.</t>
  </si>
  <si>
    <t>Embraer (BVMF: EMBR3)</t>
  </si>
  <si>
    <t>139269-97T</t>
  </si>
  <si>
    <t>Vetta Technologies</t>
  </si>
  <si>
    <t>Provider of automation and digitalization of processes intended to promote the maximization of energy efficiency and cost reduction in your business. The company offers software, big analytics, the internet of things, process automation, IT consultancy, custom development, application integration, industrial analytics, power management and shop floor integration services, thus providing its clients with a package of customized solutions enabling them to expand their business and performance.</t>
  </si>
  <si>
    <t>SMS Group</t>
  </si>
  <si>
    <t>140860-09T</t>
  </si>
  <si>
    <t>Viridis Energy Solutions</t>
  </si>
  <si>
    <t>Developer of end-to-end energy management software intended to help energy improve the efficiency of operations. The company's platform offers features like a multiplatform web interface, configuration scalability, real-time data management through IoT, and customizable displays reports, enabling companies to optimize their power consumption efficiently.</t>
  </si>
  <si>
    <t>268123-60T</t>
  </si>
  <si>
    <t>196717-51T</t>
  </si>
  <si>
    <t>138867-76T</t>
  </si>
  <si>
    <t>164037-52T</t>
  </si>
  <si>
    <t>Facebook Reader Revenue Accelerator</t>
  </si>
  <si>
    <t>153574-39T</t>
  </si>
  <si>
    <t>Congresse.me</t>
  </si>
  <si>
    <t>Developer of an online event digitalization platform designed to make online conferences easier. The company's platform integrates several tools necessary to facilitate the creation of websites for the events, registration of speakers, live-streaming rooms, issuance of certificates, sending of email marketing, ticket, and disclosure, enabling users to create their online congresses in a hassle-free way.</t>
  </si>
  <si>
    <t>Gávea Angel Group(Luiz Eduardo Moreira Caio), Investidores.vc</t>
  </si>
  <si>
    <t>276319-36T</t>
  </si>
  <si>
    <t>Estuda.com</t>
  </si>
  <si>
    <t>Developer of a knowledge management and assessment platform designed to improve schooling education via online tools. The company's platform provides a database of questions, quizzes, simulations and tools like charts, statistics and exercise lists to prepare for education evaluation, enabling students to enhance their performance and teachers to improve their knowledge management and delivery.</t>
  </si>
  <si>
    <t>FTD Educação(Ricardo Tavares)</t>
  </si>
  <si>
    <t>182134-81T</t>
  </si>
  <si>
    <t>Kestraa (Business/Productivity Software)</t>
  </si>
  <si>
    <t>Developer of cloud-based business-to-business software designed to transform foreign trade management. The company's software simplifies import and export chain processes, connecting partners in a single ecosystem and generating real-time operational visibility, enabling businesses to connect on a single platform, improving communication, eliminating parallel controls, and reducing costs along with improving productivity and efficiency of the team.</t>
  </si>
  <si>
    <t>186316-57T</t>
  </si>
  <si>
    <t>Suzantur</t>
  </si>
  <si>
    <t>Provider of passenger transport services based in Suzano, Brazil. The company engages in operating in the field of passenger transport through intercity buses, thus providing a synergistic transportation network between the two main parts of the cities.</t>
  </si>
  <si>
    <t>Grupo Comporte</t>
  </si>
  <si>
    <t>140505-94T</t>
  </si>
  <si>
    <t>FindUP</t>
  </si>
  <si>
    <t>Operator of a cloud platform designed to provide complete and secure technological aid for IT support demands. The company's platform offers activating, monitoring, and evaluating company calls with detailed scope and tracks reports and dashboards with real-time data, enabling businesses to eliminate costs with unproductive calls and technological interruptions in their IT operations.</t>
  </si>
  <si>
    <t>214183-72T</t>
  </si>
  <si>
    <t>FIT Network</t>
  </si>
  <si>
    <t>Provider of security and thermal imaging cameras based in Brazil.</t>
  </si>
  <si>
    <t>Agora Telecom(Severino Sanches)</t>
  </si>
  <si>
    <t>138823-93T</t>
  </si>
  <si>
    <t>Vitrine</t>
  </si>
  <si>
    <t>Developer of a visual communication platform designed to ensure visual merchandising and retail branding is in sync throughout the entire franchise or chain. The company's platform organizes and controls the flow of store standardization in less than half the time with the use of real-time key performance indicators (KPIs), team interaction, operation visibility, and quality, enabling businesses to measure turnaround time and optimize network sales.</t>
  </si>
  <si>
    <t>BMG Uptech, Bossa Invest, MG Tech.</t>
  </si>
  <si>
    <t>140885-56T</t>
  </si>
  <si>
    <t>e.bricks Ventures(Thiago Maluf), General Atlantic, Guilherme Fraga(Guilherme Fraga), Igah Ventures, Luiz Fraga(Luiz Fraga)</t>
  </si>
  <si>
    <t>158004-37T</t>
  </si>
  <si>
    <t>OCP Group</t>
  </si>
  <si>
    <t>214184-71T</t>
  </si>
  <si>
    <t>Transbroker Insurance Broker</t>
  </si>
  <si>
    <t>Provider of insurance brokerage services based in Sao Paulo, Brazil. The company specializes in providing customized solutions along with others which include cargo transport insurance, fleet insurance, property insurance, civil liability insurance, guarantee insurance and more.</t>
  </si>
  <si>
    <t>224495-29T</t>
  </si>
  <si>
    <t>MKA Telecom</t>
  </si>
  <si>
    <t>Provider of telecom services based Sao Miguel do Oeste, Brazil.</t>
  </si>
  <si>
    <t>167477-68T</t>
  </si>
  <si>
    <t>Samsung Creative Startups(Paulo Quirino)</t>
  </si>
  <si>
    <t>158580-64T</t>
  </si>
  <si>
    <t>MVISIA</t>
  </si>
  <si>
    <t>Developer of an industrial vision software designed to improve productivity and efficiency in various industries. The company's platform offers a variety of products including hand-held and fixed code readers, industrial vision systems with integrated central processing units, and artificial intelligence software, enabling manufacturers to automate tasks such as object detection, defect detection, and quality inspection, ultimately generating gains for their business.</t>
  </si>
  <si>
    <t>WEG (BVMF: WEGE3)(Carlos Grillo)</t>
  </si>
  <si>
    <t>140539-87T</t>
  </si>
  <si>
    <t>7 Waves</t>
  </si>
  <si>
    <t>Developer of an artificial intelligence-driven educational application designed to plan and achieve personal and corporate goals. The company helps to set deadlines and offers personalized tips for each objective by including links, photos, and videos to step-manage ambitions, enabling elementary and high school students to have a simple-to-use application to plan their future and achieve their goals.</t>
  </si>
  <si>
    <t>130263-67T</t>
  </si>
  <si>
    <t>Avante Produtos Inteligentes E Solucoes Se Pagamentos</t>
  </si>
  <si>
    <t>Provider of online financial services intended to empower the massive, underserved sector of micro-entrepreneurs across South America. The company's services offer an advanced suite of financial advice and recommend suitable products, including microcredit, micro insurance, POS, credit card, prepaid card, health care, and consortium for micro-businesses, enabling audiences suffering from financial exclusion, rapidly gearing up with new technologies, and disrupting the financial landscape.</t>
  </si>
  <si>
    <t>Gilberto Ribeiro de Oliveira Filho(Gilberto Ribeiro de Oliveira Filho), Vox Capital</t>
  </si>
  <si>
    <t>138553-75T</t>
  </si>
  <si>
    <t>A.B.Seed Ventures, Brad Flora(Brad Flora), Canary (Brazil), Cherry Ventures, FJ Labs, Flourish Ventures, Global Founders Capital, Hustle Fund, ONEVC, Patrick Sigrist(Patrick Sigrist), Rhombuz Ventures, Soma Capital</t>
  </si>
  <si>
    <t>165841-12T</t>
  </si>
  <si>
    <t>BMG Uptech, Bossa Invest</t>
  </si>
  <si>
    <t>138415-33T</t>
  </si>
  <si>
    <t>Acerte Group</t>
  </si>
  <si>
    <t>Operator of chain of 123 franchised laundromats based in Brazil.</t>
  </si>
  <si>
    <t>Unilever (LON: ULVR)(Eduardo Campanella)</t>
  </si>
  <si>
    <t>173495-26T</t>
  </si>
  <si>
    <t>Advent International, The Goldman Sachs Group (NYS: GS)</t>
  </si>
  <si>
    <t>138446-92T</t>
  </si>
  <si>
    <t>BRQ Solucoes em Informatica (BVMF: BRQB3), Conrado Engel, Darwin Startups, HBS Alumni Angels of Brazil</t>
  </si>
  <si>
    <t>187410-79T</t>
  </si>
  <si>
    <t>Global Founders Capital, Guilherme Bonifácio(Guilherme Bonifácio), Patrick Sigrist(Patrick Sigrist), Rodrigo Dias(Rodrigo Dias)</t>
  </si>
  <si>
    <t>138350-08T</t>
  </si>
  <si>
    <t>Bewater, Kaszek(Hernan Kazah), Kevin Efrusy(Kevin Efrusy), Maromar Investimentos, OneValley</t>
  </si>
  <si>
    <t>265377-88T</t>
  </si>
  <si>
    <t>138083-77T</t>
  </si>
  <si>
    <t>Ariel Lambrecht(Ariel Lambrecht)</t>
  </si>
  <si>
    <t>138129-76T</t>
  </si>
  <si>
    <t>156255-67T</t>
  </si>
  <si>
    <t>Sundhed Foods</t>
  </si>
  <si>
    <t>Producer of plant-based food products based in Pinhais, Brazil. The company specializes in handmade pasta and gluten-free products which include artisanal pasta, flours, brownie mixes, pancakes, wraps and vegan proteins, thereby providing its customers with healthy food products.</t>
  </si>
  <si>
    <t>Romanha Indústria de Alimentos</t>
  </si>
  <si>
    <t>192125-17T</t>
  </si>
  <si>
    <t>SkyDrones</t>
  </si>
  <si>
    <t>Manufacturer of remotely piloted aircraft systems intended for the engineering and agriculture markets for their operational training. The company develops custom products, and provides operational training, technical assistance, spare parts, support, warranty and more, enabling clients to help with search and rescue missions, inspections and mining.</t>
  </si>
  <si>
    <t>Heriberto Saldivar(Heriberto Saldivar), Ricardo Silva(Ricardo Silva)</t>
  </si>
  <si>
    <t>242954-47T</t>
  </si>
  <si>
    <t>Discovery Ventures (Berlin)(Stefan Jeschonnek)</t>
  </si>
  <si>
    <t>124498-27T</t>
  </si>
  <si>
    <t>Alexander Bleyleben(Alexander Bleyleben), David Vélez(David Vélez), Kaszek, Lupa Capital, Monashees(Caio Bolognesi), ONEVC(Arthur Brennand), Spectra Investments</t>
  </si>
  <si>
    <t>224496-46T</t>
  </si>
  <si>
    <t>Argo Capital (Brazil)</t>
  </si>
  <si>
    <t>Provider of asset management services based in Sao Paulo, Brazil. The company offers to provide clients with a differentiated investment alternative, through a long and short stock strategy that seeks returns uncorrelated to market variations, enabling a high level of risk control and transparency.</t>
  </si>
  <si>
    <t>Neo Investimentos</t>
  </si>
  <si>
    <t>243881-92T</t>
  </si>
  <si>
    <t>138823-39T</t>
  </si>
  <si>
    <t>Ozllo</t>
  </si>
  <si>
    <t>Provider of luxury products and brands intended to provide a conscious choice of fashionable goods. The company sells clothes, footwear, kidswear, fitness, beach clothing, bags, and other accessories that are designed by national and international brands, enabling customers to purchase stylish apparel in an easier way.</t>
  </si>
  <si>
    <t>Bossa Invest, Joao Silva(Joao Silva)</t>
  </si>
  <si>
    <t>138824-65T</t>
  </si>
  <si>
    <t>139922-20T</t>
  </si>
  <si>
    <t>SOSV(Arvind Gupta)</t>
  </si>
  <si>
    <t>256044-34T</t>
  </si>
  <si>
    <t>197307-73T</t>
  </si>
  <si>
    <t>Resinas AG</t>
  </si>
  <si>
    <t>Manufacturer of resins intended for industrial, woodworking, flooring and craft applications. The company offers resins, liquid porcelains, industrial paints, tools and pigments as well as polyethylene terephthalate recycling services.</t>
  </si>
  <si>
    <t>Indorama Ventures (BKK: IVL)(Yashovardhan Lohia)</t>
  </si>
  <si>
    <t>140872-24T</t>
  </si>
  <si>
    <t>Spark</t>
  </si>
  <si>
    <t>Operator of an influencer marketing platform intended to make brands become successful in the markets. The company's platform offers the development and management of brand activation projects through social networks of digital influencers and is assisted by its own technological platform, enabling brands to extend their reach and business results.</t>
  </si>
  <si>
    <t>APEX Partners (South Africa)</t>
  </si>
  <si>
    <t>153856-63T</t>
  </si>
  <si>
    <t>Operator of an e-commerce shopping portal intended to serve customers across Brazil. The company offers electronics, home appliances, furniture, cell phones, small appliances and other products.</t>
  </si>
  <si>
    <t>264543-49T</t>
  </si>
  <si>
    <t>138609-82T</t>
  </si>
  <si>
    <t>Grupo SBF (BVMF: SBFG3)</t>
  </si>
  <si>
    <t>Grupo SBF SA is a sports retailing company based in Brazil. It operates through omnichannel and multichannel platforms, with operations integrated into various channels such as physical stores, desktop and mobile applications.</t>
  </si>
  <si>
    <t>137746-18T</t>
  </si>
  <si>
    <t>SDFLC Brasil Indústria E Comércio</t>
  </si>
  <si>
    <t>Producer of sweet flavor solution based in Sete Lagoas, Brazil. The sweetening solutions are intended for ice creams and desserts and are supplied all over Brazil.</t>
  </si>
  <si>
    <t>NovaTaste Austria(Ori Yehudai)</t>
  </si>
  <si>
    <t>139038-04T</t>
  </si>
  <si>
    <t>Brian Requarth(Brian Requarth), Canary (Brazil)(Marcos Leite), Julian Toniol(Julian Toniol), Norte Ventures</t>
  </si>
  <si>
    <t>224048-71T</t>
  </si>
  <si>
    <t>Fundo De Investimento Imobiliario Athena I (BVMF: FATN11)</t>
  </si>
  <si>
    <t>Fundo De Investimento Imobiliario Athena I is a real estate investment fund focused on acquiring and generating income from leasing of slabs.</t>
  </si>
  <si>
    <t>228509-29T</t>
  </si>
  <si>
    <t>Semp TCL</t>
  </si>
  <si>
    <t>Manufacturer of consumer electronics based in Sao Paulo, Brazil. The company specializes in the production of televisions, small appliances, home theatres and other consumer electronic products for the Brazilian market.</t>
  </si>
  <si>
    <t>TCL (SHE: 000100)</t>
  </si>
  <si>
    <t>137488-24T</t>
  </si>
  <si>
    <t>Headline(Romero Rodrigues), International Finance (Washington D.C.)(Carlos Pinto), Joa Investimentos, Redpoint eventures(Romero Rodrigues), Valor Capital Group(Scott Sobel), Wayra</t>
  </si>
  <si>
    <t>170456-86T</t>
  </si>
  <si>
    <t>Avocado (Brazil)</t>
  </si>
  <si>
    <t>Developer of an online retail platform designed to sell products for children. The company's platform offers diapers, baby food, ointments and other related products, enabling customers to get their products at their doorstep without leaving the comfort of home.</t>
  </si>
  <si>
    <t>Rappi</t>
  </si>
  <si>
    <t>211729-24T</t>
  </si>
  <si>
    <t>Banco Digimais</t>
  </si>
  <si>
    <t>Operator of a financial services bank intended to serve individual and corporate clients in Brazil. The company specializes in offering a variety of financial products, including traditional banking services, vehicle financing and consigned credit, currency exchange and international transactions.</t>
  </si>
  <si>
    <t>138824-20T</t>
  </si>
  <si>
    <t>186136-93T</t>
  </si>
  <si>
    <t>134779-69T</t>
  </si>
  <si>
    <t>L Catterton, Monashees, SoftBank Latin America Fund(Paulo Passoni), Tarpon Capital(Pedro de Andrade Faria)</t>
  </si>
  <si>
    <t>176795-02T</t>
  </si>
  <si>
    <t>Santher</t>
  </si>
  <si>
    <t>Manufacturer of sanitary goods catering to industries, commercial establishments, companies and hotels. The company offers toilet paper, tissues, napkins, paper towels, feminine pads, absorbents, diapers and baby wipes, thereby providing personal care products that improve people's lives.</t>
  </si>
  <si>
    <t>Daio Paper (TKS: 3880), Marubeni (TKS: 8002)</t>
  </si>
  <si>
    <t>213960-07T</t>
  </si>
  <si>
    <t>BeeCap, SMU Investimentos</t>
  </si>
  <si>
    <t>212091-22T</t>
  </si>
  <si>
    <t>Ariel Lambrecht(Ariel Lambrecht), FJ Labs, George Reider, Juscelino Martins(Juscelino Martins), Quartz (Brazil)</t>
  </si>
  <si>
    <t>224492-50T</t>
  </si>
  <si>
    <t>Andrade Gutierrez (Hospital in Belo Horizonte, Brazil)</t>
  </si>
  <si>
    <t>Operator of a hospital based in Belo Horizonte, Brazil.</t>
  </si>
  <si>
    <t>IG4 Capital(Helcio Tokeshi), Opy Health</t>
  </si>
  <si>
    <t>224495-11T</t>
  </si>
  <si>
    <t>Abengoa SA (Hospital in Manaus, Brazil)</t>
  </si>
  <si>
    <t>135119-71T</t>
  </si>
  <si>
    <t>BRL Trust, HDI Seguros México(Vagner Guzella), Redpoint eventures(Rodrigo Baer)</t>
  </si>
  <si>
    <t>139646-08T</t>
  </si>
  <si>
    <t>Harmo Desenvolvimento De Software</t>
  </si>
  <si>
    <t>Developer of a marketing platform designed to provide local search engine optimization, online reputation management, and multimetric searches. The company's platform is developed especially for physical store chains, integrating review management, local search engine optimization, and multimetric research, enabling clients to create a powerful machine that transforms into the main channel for acquiring new customers.</t>
  </si>
  <si>
    <t>137721-25T</t>
  </si>
  <si>
    <t>Solbras Energia solar do Brazil</t>
  </si>
  <si>
    <t>Provider of solar energy equipment based in São João da Boa Vista, Brazil. The company also offers other services including distributed or centralized generation of PV energy; approval, design, and engineering of detailed technical projects; and consulting on new PV plants focusing on agri-business.</t>
  </si>
  <si>
    <t>Valmont Industries (NYS: VMI)(Leonard Adams)</t>
  </si>
  <si>
    <t>137179-09T</t>
  </si>
  <si>
    <t>E3 Negócios, Mouro Capital(Manuel Martinez), TM3 Capital</t>
  </si>
  <si>
    <t>158805-37T</t>
  </si>
  <si>
    <t>137333-08T</t>
  </si>
  <si>
    <t>Seidor Exakta</t>
  </si>
  <si>
    <t>Provider of human capital management services focused on the implementation and maintenance of the people management module (HCM) of SAP. The company specializes in consultancy, outsourcing, training and innovation, enabling businesses to implement and maintain the people management module of SAP.</t>
  </si>
  <si>
    <t>256769-38T</t>
  </si>
  <si>
    <t>Vert Hotéis</t>
  </si>
  <si>
    <t>Operator of the hotel management platform based in Brazil. The company provides concierge services, non-smoking rooms, a fitness center, free WiFi, a restaurant, and other related services.</t>
  </si>
  <si>
    <t>Atlantica Hospitality International, Soros Fund Management</t>
  </si>
  <si>
    <t>262701-73T</t>
  </si>
  <si>
    <t>Convenia</t>
  </si>
  <si>
    <t>Developer of a cloud-based corporate engagement platform designed to simplify the human resources management system. The company's platform facilitates streamlining of everyday tasks in personnel management, such as admission, employee management, vacation, and payroll, enabling organizations to increase operational and administrative efficiency.</t>
  </si>
  <si>
    <t>209552-23T</t>
  </si>
  <si>
    <t>Cobmax</t>
  </si>
  <si>
    <t>Provider of telemarketing services intended to connect partner brands to new consumers. The company utilizes technology and data intelligence to create unique, innovative, disruptive and super-personalized shopping experiences, thereby helping clients in the conversion and retention of new customers.</t>
  </si>
  <si>
    <t>Escale(Matthew Kligerman)</t>
  </si>
  <si>
    <t>141001-84T</t>
  </si>
  <si>
    <t>199063-99T</t>
  </si>
  <si>
    <t>Looplex</t>
  </si>
  <si>
    <t>Developer of a digital transformation platform designed to automate and enhance various aspects of legal practice. The company's platform offers document generation, data analysis, legal logic components, task automation, and an ecosystem of application integrations, enabling legal professionals to digitize their content and modernize their workflows.</t>
  </si>
  <si>
    <t>Bossa Invest, Norte Ventures</t>
  </si>
  <si>
    <t>214204-69T</t>
  </si>
  <si>
    <t>Infoway (Internet Service Providers)</t>
  </si>
  <si>
    <t>Provider of internet services based out of Nova Veneza, Brazil. The company offers broadband internet service via radio, broadband and high-speed wireless, thereby enabling its customers to be provided with solutions to their internet signal demands effectively, providing good quality products and services.</t>
  </si>
  <si>
    <t>168105-70T</t>
  </si>
  <si>
    <t>136731-16T</t>
  </si>
  <si>
    <t>200M Fund, Acurio Ventures(Hugo Fernández-Mardomingo), IKJ Capital, Indico Capital Partners, Lupa Capital</t>
  </si>
  <si>
    <t>155137-69T</t>
  </si>
  <si>
    <t>UNESCO</t>
  </si>
  <si>
    <t>137073-97T</t>
  </si>
  <si>
    <t>Estapar (BVMF: ALPK3)</t>
  </si>
  <si>
    <t>Allpark Empreendimentos Participacoes Servicos SA is engaged in the management, exploration, and/or control of vehicle parking activity, provision of technical services, administration, advisory, and planning related to vehicle parking, for private or public companies, including in special areas for rotating vehicle parking, located on public roads or streets; and execution of projects, implementation and maintenance of signaling vertical and horizontal for the transport system.</t>
  </si>
  <si>
    <t>262701-10T</t>
  </si>
  <si>
    <t>215357-86T</t>
  </si>
  <si>
    <t>138036-88T</t>
  </si>
  <si>
    <t>Combudata</t>
  </si>
  <si>
    <t>Developer of a fuel purchase management platform designed to manage fuel purchases of businesses in an automated way. The company's platform 
offers divergence between cost and price adjustments, analyzing past purchases to guide future purchases in a different way, quoting with the suppliers and deciding who to buy at the effective price or negotiating with them and winning the price, enabling clients to get calculated and analyzed historical diesel price change data to define the price for the future purchases.</t>
  </si>
  <si>
    <t>Canary (Brazil), RD2 Ventures</t>
  </si>
  <si>
    <t>158004-64T</t>
  </si>
  <si>
    <t>136839-52T</t>
  </si>
  <si>
    <t>Meubank</t>
  </si>
  <si>
    <t>Developer of a financial software intended to offer an emphasis on cryptocurrency. The company's software facilitates investment into cryptocurrency and alternative assets and functions as a digital wallet, enabling clients to invest and keep track of their financials.</t>
  </si>
  <si>
    <t>262952-83T</t>
  </si>
  <si>
    <t>Pangea Capital Serviços Ambientais</t>
  </si>
  <si>
    <t>Provdier of capital services based in Brazil.</t>
  </si>
  <si>
    <t>CSG Assesoria e Projetos Ambientais e Agrícolas</t>
  </si>
  <si>
    <t>251569-81T</t>
  </si>
  <si>
    <t>Patria Logistica Fundo De (BVMF: PATL11)</t>
  </si>
  <si>
    <t>Patria Logistica Fundo De Investimento Imobiliario is a real estate investment trust. The company's objective is to obtain income through the acquisition of logistical or industrial properties.</t>
  </si>
  <si>
    <t>214198-30T</t>
  </si>
  <si>
    <t>Banrisul (Card Business)</t>
  </si>
  <si>
    <t>Owner and operator of card business based out of Porto Alegre, Brazil.</t>
  </si>
  <si>
    <t>118281-52T</t>
  </si>
  <si>
    <t>BoostLAB, Michael Esrubilsky(Michael Esrubilsky), Vox Capital(Daniel Izzo)</t>
  </si>
  <si>
    <t>138037-60T</t>
  </si>
  <si>
    <t>Iporanga Ventures(Renato Valente), Telefonica Vivo, Wayra Brazil</t>
  </si>
  <si>
    <t>140729-23T</t>
  </si>
  <si>
    <t>Classpert</t>
  </si>
  <si>
    <t>Developer of a project-based learning school designed to teach fundamental and complex subjects in a structured classroom environment. The company offers hands-on programs, expert-led live sessions, and course materials, enabling students to work on real-world projects from day one, collaborate with peers, and learn directly from subject matter experts.</t>
  </si>
  <si>
    <t>Canary (Brazil), Eduardo Wurzmann(Eduardo Wurzmann), Iporanga Ventures(Leonardo Teixeira), Mario Pinheiro(Mario Pinheiro)</t>
  </si>
  <si>
    <t>270514-18T</t>
  </si>
  <si>
    <t>Prefeitura de São Paulo</t>
  </si>
  <si>
    <t>133056-19T</t>
  </si>
  <si>
    <t>André Narciso(André Narciso), Atlantico Partners, Big Bets, Bruno Nardon(Bruno Nardon), Canary (Brazil), Renato Freitas(Renato Freitas), Ronaldo Iabrudi dos Santos Pereira(Ronaldo Iabrudi dos Santos Pereira)</t>
  </si>
  <si>
    <t>137278-36T</t>
  </si>
  <si>
    <t>Developer of a restaurant management platform designed to provide convenient, agile, and intelligent financial and point-of-sales control. The company's platform provides client management, menu management, order control, financial management, electronic consumer invoices, inventory control, table attendance, and others, enabling restaurant owners to enhance their revenues and manage the business in a hassle-free manner.</t>
  </si>
  <si>
    <t>136026-10T</t>
  </si>
  <si>
    <t>Lone Star Funds</t>
  </si>
  <si>
    <t>210362-32T</t>
  </si>
  <si>
    <t>Centro Universitário São Lucas</t>
  </si>
  <si>
    <t>Provider of educational and training services intending to encourage the development of knowledge, skills, talents and attitudes of its students. The company has management courses, architecture and urbanism, biomedicine, biological sciences, civil engineering, nutrition, and dentistry few of the courses among others offered by the university thereby helping the students to achieve professional, personal and social fulfillment, in addition to preparing them for the full exercise of citizenship.</t>
  </si>
  <si>
    <t>139548-43T</t>
  </si>
  <si>
    <t>Inversiones Tenería Energia do Brasil</t>
  </si>
  <si>
    <t>Provider of measurement services of electricity, gas and water consumption intended to serve the energy sector.</t>
  </si>
  <si>
    <t>Darby Overseas Investments, Servtec Energy</t>
  </si>
  <si>
    <t>139547-35T</t>
  </si>
  <si>
    <t>Darby Overseas Investments</t>
  </si>
  <si>
    <t>211729-60T</t>
  </si>
  <si>
    <t>Banqi Payment Institution</t>
  </si>
  <si>
    <t>Provider of financial services intended to serve Brazilians. The company provides lending services along with banking services.</t>
  </si>
  <si>
    <t>215804-08T</t>
  </si>
  <si>
    <t>Allievo Capital, Bossa Invest, Goodz Capital, Honey Island Capital</t>
  </si>
  <si>
    <t>172935-73T</t>
  </si>
  <si>
    <t>Retailer of pet products intended to serve customers in Brazil. The company offers food items, clothes, medicine, and other related goods as well as services such as bathing, grooming, pet nanny, and educational tours for pets.</t>
  </si>
  <si>
    <t>136825-21T</t>
  </si>
  <si>
    <t>196227-01T</t>
  </si>
  <si>
    <t>199758-70T</t>
  </si>
  <si>
    <t>178492-87T</t>
  </si>
  <si>
    <t>Genoa Performance</t>
  </si>
  <si>
    <t>Provider of customer analytics services intended to improve companies' operational intelligence. The company offers technological services built with artificial intelligence, machine learning, big data, and other neuroscience models of consumer behavior, and actionable insights techniques with autonomous components, such as bots, to proactively interact with the consumer, enabling clients to improve the consumer experience.</t>
  </si>
  <si>
    <t>Cassio Spina, Gr8 Ventures, Natalie Witte(Natalie Witte), Verus Group</t>
  </si>
  <si>
    <t>220390-84T</t>
  </si>
  <si>
    <t>136841-32T</t>
  </si>
  <si>
    <t>Growth Tech</t>
  </si>
  <si>
    <t>Developer of a blockchain-based platform designed to enable the management and monitoring of credit transactions via smart contracts. The company offers real-time event tracking through blockchain technology, enabling businesses to operate with increased agility, security, transparency, and traceability while reducing costs and improving operational efficiency.</t>
  </si>
  <si>
    <t>139587-40T</t>
  </si>
  <si>
    <t>Bridge One (Warsaw), Dave Choe(Dave Choe), International Finance (Washington D.C.), Mercado Libre Fund, Monashees, Qualcomm Ventures, Rabih Asmar(Rabih Asmar), Ramzi Asmar(Ramzi Asmar)</t>
  </si>
  <si>
    <t>211884-49T</t>
  </si>
  <si>
    <t>Maria Filó</t>
  </si>
  <si>
    <t>Operator of a fashion brand catering to women's clothing. The company offers shirts, trousers, jackets, coats, shorts, bermuda and accessories.</t>
  </si>
  <si>
    <t>140553-28T</t>
  </si>
  <si>
    <t>mLabs</t>
  </si>
  <si>
    <t>Developer of a social networking management platform designed to schedule posts on various social media platforms. The company's platform generates and customizes performance reports, monitors competition, social SAC through direct and interaction with followers in the feed and timeline, enabling users to increase effectiveness and manage time all in one place.</t>
  </si>
  <si>
    <t>136843-12T</t>
  </si>
  <si>
    <t>Polvo Technologies</t>
  </si>
  <si>
    <t>Developer and provider of quantitative investment strategies with an emphasis on bitcoin derivatives. The company develops predictive signals of supply and demand and the signals are converted into investment strategies using machine learning algorithms, helping funds and exchanges invest in cryptocurrencies.</t>
  </si>
  <si>
    <t>167977-36T</t>
  </si>
  <si>
    <t>TotalCross</t>
  </si>
  <si>
    <t>Developer of an open-source cross-platform designed to build a graphical user interface for embedded devices. The company's platform offers a convenient way to build user interfaces for embedded, IoT, mobile, and desktop, enabling clients to get mobile-grade user experience even for low-end memory protection units.</t>
  </si>
  <si>
    <t>LC Ventures</t>
  </si>
  <si>
    <t>136844-20T</t>
  </si>
  <si>
    <t>TTura</t>
  </si>
  <si>
    <t>Operator of a real estate receivable management platform intended to offer efficiency in the management, security, and liquidity of real estate receivables. The company's platform helps the users to first register contracts and receivables on a digital blockchain network which enables them to have more operational control and access to receivables data they also receive an assessment of the quality of the receivables and use the platform to continuously monitor risks, enabling users to certify their operations and receivables, helping to increase clients liquidity in the real estate financial market.</t>
  </si>
  <si>
    <t>295461-46T</t>
  </si>
  <si>
    <t>Cappta</t>
  </si>
  <si>
    <t>Operator of a mobile payment application intended to assist in digital and online transactions. The company's software captures payment directly from the payment application, ensures proper fees, and reconciles sales made from acquirers, enabling businesses to secure and quicken cashless and cardless transactions, while facilitating merchant payment services anytime, from across any device.</t>
  </si>
  <si>
    <t>295470-46T</t>
  </si>
  <si>
    <t>Data Machina</t>
  </si>
  <si>
    <t>Developer of geospatial and artificial intelligence-based analytics systems designed for operational optimization and business decision-making purposes. The company integrates public and proprietary data sources, applies machine learning models, and delivers spatial insights through interactive mapping tools and data visualizations, enabling businesses in sectors such as retail, utilities, and healthcare to identify underserved areas, optimize service networks, assess risks, and support strategic planning with location-intelligent insights and automated analytical processes.</t>
  </si>
  <si>
    <t>138825-01T</t>
  </si>
  <si>
    <t>Bossa Invest, Rosely Cruz(Rosely Cruz)</t>
  </si>
  <si>
    <t>270512-56T</t>
  </si>
  <si>
    <t>295480-45T</t>
  </si>
  <si>
    <t>Future Ideas</t>
  </si>
  <si>
    <t>Operator of an educational technology platform intended for youth professional development. The company offers online, gamified content on entrepreneurship, programming, and innovation, enabling students from eighth grade to high school to access career-preparatory tools and skills.</t>
  </si>
  <si>
    <t>139585-60T</t>
  </si>
  <si>
    <t>Anshul Ruparell(Anshul Ruparell), Antonio Osio, Dominik Vacikar(Dominik Vacikar), FJ Labs, KI Capital, Lumia Capital, Marco Valta(Marco Valta), Pili Drangert-Hveding(Pili Drangert-Hveding), Richard Chen(Richard Chen), Rise Capital</t>
  </si>
  <si>
    <t>295534-99T</t>
  </si>
  <si>
    <t>295647-22T</t>
  </si>
  <si>
    <t>183299-59T</t>
  </si>
  <si>
    <t>MVarandas Tecnologia Serviços</t>
  </si>
  <si>
    <t>Developer of foodservice management system designed to optimize day-to-day and service management. The company's solutions include control over food service operations, centralization of orders for multiple units in bars, restaurants, cafeterias and hotels, thereby controlling the business operations for clients.</t>
  </si>
  <si>
    <t>210816-91T</t>
  </si>
  <si>
    <t>Biggy</t>
  </si>
  <si>
    <t>Provider of e-commerce website development services intended to provide personalization and recommendation systems. The company provides intelligent search, recommendation and personalization storefronts and behavioral emails to engage their customers' experience and improve performance results.</t>
  </si>
  <si>
    <t>VTEX (NYS: VTEX)(Santiago Naranjo)</t>
  </si>
  <si>
    <t>211699-63T</t>
  </si>
  <si>
    <t>Medical Cooperativa</t>
  </si>
  <si>
    <t>Operator of an insurance cooperative in Limeira, Brazil.</t>
  </si>
  <si>
    <t>136042-84T</t>
  </si>
  <si>
    <t>Developer of tax determination software for enterprises operating in Brazil. The company's software can be connected to any ERP system and validate any online, real-time transaction to make sure that the taxes applied to that specific operation are correct as well as alert users when taxes informed are different from the software calculation, providing a real-time transaction audit to make sure that customers are buying and selling using the right tax at the exact moment that the operation is running while reducing operational costs and the risk of tax liabilities.</t>
  </si>
  <si>
    <t>Hg(Edward Wielechowski), HgCapital Trust (LON: HGT), Noble Rock Software, Sovos Compliance(Andrew Hovancik)</t>
  </si>
  <si>
    <t>135723-61T</t>
  </si>
  <si>
    <t>Maya Capital (Brazil), Oria Capital, ScaleUP Ventures, Spectra Investments, Wayra Brazil</t>
  </si>
  <si>
    <t>252585-28T</t>
  </si>
  <si>
    <t>Ciclo Orgânico</t>
  </si>
  <si>
    <t>Provider of residential organic waste collection and composting services intended to collect and transform domestic organic waste. The company offers a subscription-based organic waste collection service for composting, along with other products such as garbage bags, buckets, compost material, liquid biofertilizer, and more, enabling customers to contribute to the social cause and turn their organic waste into biologically stable soil amendment.</t>
  </si>
  <si>
    <t>252571-51T</t>
  </si>
  <si>
    <t>Geo sem Fronteiras</t>
  </si>
  <si>
    <t>Developer of a geoprocessing education platform designed to support spatial analysis learning across disciplines. The company offers online courses, AI-powered tutoring, and a professional learning community, enabling learners to build geospatial skills, access expert guidance, and apply spatial analysis methods to real-world decision-making through a flexible and recognized certification program.</t>
  </si>
  <si>
    <t>252596-26T</t>
  </si>
  <si>
    <t>Personalizou.com</t>
  </si>
  <si>
    <t>Developer of official platform intended for selling personalized products. The company is currently operating in stealth mode.</t>
  </si>
  <si>
    <t>211603-42T</t>
  </si>
  <si>
    <t>Adtalem Educacional do Brasil</t>
  </si>
  <si>
    <t>Operator of educational institutions intended to provide global access to knowledge. The company through its institutes offers undergraduate, graduate and preparatory courses across subjects and specialties, thereby providing global access to knowledge.</t>
  </si>
  <si>
    <t>191088-82T</t>
  </si>
  <si>
    <t>MG Tech., SaaSholic</t>
  </si>
  <si>
    <t>136965-61T</t>
  </si>
  <si>
    <t>136510-57T</t>
  </si>
  <si>
    <t>DigitalBridge Group (NYS: DBRG)(Jonathan Mauck)</t>
  </si>
  <si>
    <t>137400-04T</t>
  </si>
  <si>
    <t>139412-62T</t>
  </si>
  <si>
    <t>153673-84T</t>
  </si>
  <si>
    <t>153858-43T</t>
  </si>
  <si>
    <t>Fullface</t>
  </si>
  <si>
    <t>Operator of a facial biometrics platform designed to facilitate the use of facial recognition to ensure personal protection in various scenarios. The company offers custom platform development, encompassing process consulting, software customization, implementation, and training, alongside facial recognition application programming interface, single sign-on, access control, and locker systems, providing multifaceted biometric security, enabling businesses and public sectors with capabilities like digital identification, data protection, controlled access, and secure delivery management.</t>
  </si>
  <si>
    <t>165242-62T</t>
  </si>
  <si>
    <t>224497-18T</t>
  </si>
  <si>
    <t>Laticínio Fazenda Sesmaria</t>
  </si>
  <si>
    <t>Operator of a cattle farm intended for dairy production. The company engages in the production of cheese such as parmesan and other specialized types of cheese and other milk products.</t>
  </si>
  <si>
    <t>140767-12T</t>
  </si>
  <si>
    <t>RIO analytics</t>
  </si>
  <si>
    <t>Developer of an artificial intelligence application platform intended to predict mechanical inefficiencies and unpredictable downtime in any business. The company's platform uses artificial intelligence (AI) algorithms that are made available in an application to follow up the operations in real-time and also informs about deviations in the operation, enabling clients to increase the overall operational efficiency in business.</t>
  </si>
  <si>
    <t>127710-64T</t>
  </si>
  <si>
    <t>Astella Investimentos(Laura Constantini), Caravela Capital</t>
  </si>
  <si>
    <t>166829-50T</t>
  </si>
  <si>
    <t>284435-29T</t>
  </si>
  <si>
    <t>Inteceleri</t>
  </si>
  <si>
    <t>Operator of an online education platform intended to learn maths. The company offers neurolinguistic activities, chromotherapy, and games that use VR technology, enabling users to learn basic mathematical operations efficiently.</t>
  </si>
  <si>
    <t>284441-32T</t>
  </si>
  <si>
    <t>Metamaker Education</t>
  </si>
  <si>
    <t>Manufacturer of creative products intended to educate students to see themselves as scientists, inventors, and small innovators. The company combines the construction of simple circuits made with recyclable materials and easy access, enabling children to develop transformative, innovative, creative, and curious spirits but also fundamental to education which is socio-emotional skills.</t>
  </si>
  <si>
    <t>136810-54T</t>
  </si>
  <si>
    <t>Padtec</t>
  </si>
  <si>
    <t>Provider of optic communication systems created to provide superior internet connectivity to people and businesses. The company engages in the development, manufacturing and sale of optic communication systems as well as provides services for long-distance networks and metropolitan access networks, enabling its clients to meet the end-to-end demands in transmission, optical amplification and route protection.</t>
  </si>
  <si>
    <t>Ideiasnet (BVMF: PDTC3)</t>
  </si>
  <si>
    <t>221381-56T</t>
  </si>
  <si>
    <t>Sensr (Systems and Information Management)</t>
  </si>
  <si>
    <t>Provider of information technology management services and integrated business processes intended to support the digital evolution in businesses. The company specializes in digital business, management of projects, digital payments infrastructure and management of risk and compliance and technology platforms, helping clients to get high availability and information security, evolve their business and get flexibility and robustness to their business operations.</t>
  </si>
  <si>
    <t>135149-95T</t>
  </si>
  <si>
    <t>Vertentis</t>
  </si>
  <si>
    <t>Operator of a fintech company based in Rio De Janeiro, Brazil. The company is focused on the development of cybersecurity and robotic trading solutions intended for the capital market.</t>
  </si>
  <si>
    <t>Piemonte (Asset Management)(Alessandro Lombardi)</t>
  </si>
  <si>
    <t>210589-12T</t>
  </si>
  <si>
    <t>Agropro Monitor</t>
  </si>
  <si>
    <t>Developer of agricultural technology platform designed for the agriculture industry to control pests and diseases. The company offers a digital environment that collects pest and disease data from the farms, analyzes the collected data, and provides necessary recommendations and decisions, helping farming businesses maximize the effectiveness of the pesticides.</t>
  </si>
  <si>
    <t>135039-07T</t>
  </si>
  <si>
    <t>Tec Agro</t>
  </si>
  <si>
    <t>Provider of agricultural services to farmers based in Rio Verde, Goiás, Brazil. The company specializes in grain storage, soybean seeds, corn hybrids, industrial Seed Treatment, pesticides and plant protection along with consulting services, thereby helping farmers with sustainable agricultural solutions.</t>
  </si>
  <si>
    <t>137069-20T</t>
  </si>
  <si>
    <t>180874-18T</t>
  </si>
  <si>
    <t>194626-99T</t>
  </si>
  <si>
    <t>FEA Angels, KPTL</t>
  </si>
  <si>
    <t>135898-57T</t>
  </si>
  <si>
    <t>140534-11T</t>
  </si>
  <si>
    <t>169894-99T</t>
  </si>
  <si>
    <t>Wealth Systems Informatica</t>
  </si>
  <si>
    <t>Developer of sales and management software based in Cascavel, Brazil. The company offers in the development of customer relationship software and sales force automation, operating in different segments of the industrial, distribution and service market.</t>
  </si>
  <si>
    <t>137146-87T</t>
  </si>
  <si>
    <t>Eletrobras (Transmission Line)</t>
  </si>
  <si>
    <t>The transmission line in the North of Brazil.</t>
  </si>
  <si>
    <t>Evoltz Participações(Joao Batista), TPG (NAS: TPG)(David Bonderman)</t>
  </si>
  <si>
    <t>135001-00T</t>
  </si>
  <si>
    <t>Kurier Tecnologia em Informação</t>
  </si>
  <si>
    <t>Developer of a legal software company based in Recife, Brazil. The company software offers to monitor, analyze and manage information from all phases of a legal process, activities, team performance, deadlines and lawyer's agenda, customizing according to the specific needs of the business intended to improve operational efficiency and cost reduction.</t>
  </si>
  <si>
    <t>210975-49T</t>
  </si>
  <si>
    <t>171795-52T</t>
  </si>
  <si>
    <t>122135-14T</t>
  </si>
  <si>
    <t>135802-81T</t>
  </si>
  <si>
    <t>170812-45T</t>
  </si>
  <si>
    <t>Vira Lata Vira Amigo, Wagner Aguado(Wagner Aguado)</t>
  </si>
  <si>
    <t>138684-61T</t>
  </si>
  <si>
    <t>Adhemar Milani, Alex Szapiro, Claudia Zeisberger, Rayan Khoury, Sebastian Gunningham, View Different</t>
  </si>
  <si>
    <t>157847-68T</t>
  </si>
  <si>
    <t>Zoox Smart Data</t>
  </si>
  <si>
    <t>Developer of a data qualification platform designed to simplify the process of business intelligence and hyper-segmented media monetization. The company's platform provides data protection and real-time information, and facilitates automatic traffic distribution, enabling businesses to create targeted marketing campaigns, improve customer satisfaction, and increase conversions.</t>
  </si>
  <si>
    <t>2A Investimentos, HDI Seguros México</t>
  </si>
  <si>
    <t>134931-52T</t>
  </si>
  <si>
    <t>Laborclin</t>
  </si>
  <si>
    <t>Manufacturer of chemical products intended for use in clinical analysis laboratories, biological research and products for veterinary medical use. The company offers culture media, reagents, detection kits and dyes for the food, cosmetics, dairy, beverage and third-party laboratory industries.</t>
  </si>
  <si>
    <t>Solabia Group(Gerard Josset), TA Associates Management(Ruben Amar)</t>
  </si>
  <si>
    <t>134641-63T</t>
  </si>
  <si>
    <t>Laminor</t>
  </si>
  <si>
    <t>Provider of tube laminates intended for oral care applications.</t>
  </si>
  <si>
    <t>Huhtamäki (HEL: HUH1V)</t>
  </si>
  <si>
    <t>136093-33T</t>
  </si>
  <si>
    <t>Letters4KIDS</t>
  </si>
  <si>
    <t>Provider of a digital platform intended to safely send, organize and preserve the daily memories of their children's childhood. The company's platform permits parents to save audio files, texts, videos and photographs of their children, enabling users to reminiscence their childhood.</t>
  </si>
  <si>
    <t>129901-87T</t>
  </si>
  <si>
    <t>Sage (Brazilian Business)</t>
  </si>
  <si>
    <t>Developer of business cloud software for day-to-day processes. The company specializes in solutions for accounting and management services allowing entrepreneurs to remain focused on their business and add on revenue.</t>
  </si>
  <si>
    <t>136319-68T</t>
  </si>
  <si>
    <t>WE Impact</t>
  </si>
  <si>
    <t>Operator of a venture builder company intended to offer acceleration services to make startup ventures profitable. The company's services include technical and financial support to ventures led by women entrepreneurs by investing strategic and financial capital for a significant stake in their startups and also provides a network of mentors and large corporations that work on improving technology products, building teams, and preparing for the next round of investment, enabling startups to receive funding and expertise to grow their businesses.</t>
  </si>
  <si>
    <t>Flex (, Grupo Sabin(Lídia Abdalla), Pacto Energia(Rodrigo Pedroso), We Ventures</t>
  </si>
  <si>
    <t>226873-09T</t>
  </si>
  <si>
    <t>136954-72T</t>
  </si>
  <si>
    <t>GoEpik</t>
  </si>
  <si>
    <t>Developer of a process management platform intended to provide technological autonomy, productivity, and reduction of costs to organizations. The company's platform uses machine learning and analytics to augment industrial guidelines for setting, installing, and maintaining machines or processes, enabling clients to use digital technologies to grow and develop everyone who makes up their process.</t>
  </si>
  <si>
    <t>138825-46T</t>
  </si>
  <si>
    <t>Bossa Invest, Claudia Trotta</t>
  </si>
  <si>
    <t>135442-00T</t>
  </si>
  <si>
    <t>251090-02T</t>
  </si>
  <si>
    <t>180649-36T</t>
  </si>
  <si>
    <t>267995-35T</t>
  </si>
  <si>
    <t>Digna Engenharia</t>
  </si>
  <si>
    <t>Operator of an engineering company intended to revitalize the homes of humble and disadvantaged people. The company is currently operating in stealth mode.</t>
  </si>
  <si>
    <t>178207-21T</t>
  </si>
  <si>
    <t>Union Square Ventures(John Buttrick)</t>
  </si>
  <si>
    <t>135962-29T</t>
  </si>
  <si>
    <t>Bradesco Seguros, Chan Zuckerberg Initiative, David Vélez(David Vélez), Endeavor Catalyst, Inovabra Ventures, Valor Capital Group</t>
  </si>
  <si>
    <t>138674-17T</t>
  </si>
  <si>
    <t>Boomerang (Other Services (B2C Non-Financial))</t>
  </si>
  <si>
    <t>Operator of an online rental platform intended to provide different consumer products at rent rather than buying them in the market. The company's platform provides access to different products and can be paid online during the time of use, enabling customers to get their choice of products at affordable prices.</t>
  </si>
  <si>
    <t>Ariel Lambrecht(Ariel Lambrecht), Canary (Brazil), Ricardo Antonio Pires(Ricardo Antonio Pires), Total Carpediem, VFCY</t>
  </si>
  <si>
    <t>214028-38T</t>
  </si>
  <si>
    <t>Hedge Office Income Fundo (BVMF: HOFC11)</t>
  </si>
  <si>
    <t>Hedge Office Income Fundo De Investimento Imobiliario operates as a corporate Real Estate Fund .The objective of the Fund is to obtain income and capital gains to be obtained through the exploration of a or more real estate projects, aimed at the office segment including slabs and corporate buildings being certain that in such office developments there may be certain properties intended for commercial, retail activities.</t>
  </si>
  <si>
    <t>135714-97T</t>
  </si>
  <si>
    <t>135714-70T</t>
  </si>
  <si>
    <t>Google for Startups(Rodrigo Carraresi)</t>
  </si>
  <si>
    <t>135715-33T</t>
  </si>
  <si>
    <t>135716-50T</t>
  </si>
  <si>
    <t>135717-04T</t>
  </si>
  <si>
    <t>135717-85T</t>
  </si>
  <si>
    <t>157316-41T</t>
  </si>
  <si>
    <t>R2U</t>
  </si>
  <si>
    <t>Developer of augmented reality and computer-generated imagery platform designed to enhance the online commerce shopping experience. The company's platform offers models, optimizes, and texturizes diversified consumer products which allow three-dimensional visualization of a product as well as creates unique scenes to fit any retail product into a typical environment, enabling businesses to enhance their customer experiences.</t>
  </si>
  <si>
    <t>Canary (Brazil), EquitasVC, Norte Ventures</t>
  </si>
  <si>
    <t>135719-29T</t>
  </si>
  <si>
    <t>Real Valor</t>
  </si>
  <si>
    <t>Operator of a digital financial management platform intended for portfolio analytics. The company's platform helps users take control of their investment portfolio by providing consolidated investments, comparison with the market, and profits on each closed transaction among other things entirely on the cloud, enabling users to have full visibility of what is happening with their investments.</t>
  </si>
  <si>
    <t>224266-60T</t>
  </si>
  <si>
    <t>Sterlite Power (Arcoverde, Novo Estado and Pampa Project)</t>
  </si>
  <si>
    <t>Portfolio of 3 power transmission assets based in Brazil. The portfolio includes power transmission units in Arcoverde, Novo Estado and Pampa in Brazil.</t>
  </si>
  <si>
    <t>Cymi Construcoes e Participacoes, Vinci Compass Investments (NAS: VINP)</t>
  </si>
  <si>
    <t>135714-52T</t>
  </si>
  <si>
    <t>140220-64T</t>
  </si>
  <si>
    <t>Cabana Burger</t>
  </si>
  <si>
    <t>Operator of a restaurant chain based in São Paulo, Brazil. The company specializes in a variety of smash burgers, hot dogs, starters, hamburgers, frozen custard and other handcrafted desserts.</t>
  </si>
  <si>
    <t>Spectra Investments, Treecorp Investimentos (BVMF: TCPF11)(Danilo Just Soares)</t>
  </si>
  <si>
    <t>211301-56T</t>
  </si>
  <si>
    <t>Caravela Capital, Honey Island Capital(João Del Valle)</t>
  </si>
  <si>
    <t>137617-75T</t>
  </si>
  <si>
    <t>Caravela Capital(Frederico Guesser), Invest Tech(Viviane Radiuk), Telefónica Ventures</t>
  </si>
  <si>
    <t>227528-65T</t>
  </si>
  <si>
    <t>Valora Cri Indice DE Preco Fundo (BVMF: VGIP11)</t>
  </si>
  <si>
    <t>Valora Cri Indice DE Preco Fundo DE Investimento Imobiliario, formerly Valora CRI Indice de Preco FII is a real estate investment trust. The fund's objective is to earn income and capital gain, as well as to provide shareholders with the appreciation.</t>
  </si>
  <si>
    <t>138193-48T</t>
  </si>
  <si>
    <t>155452-78T</t>
  </si>
  <si>
    <t>133880-68T</t>
  </si>
  <si>
    <t>133005-52T</t>
  </si>
  <si>
    <t>CVB Produtos Industriais</t>
  </si>
  <si>
    <t>Manufacturer of steel cable conveyor belts based in Belenzinho, Brazil. The company manufactures flexsteel belts, splice kits, fabric belts and sensor guards, thereby expanding to international markets by offering broader services and developing innovative belt technologies.</t>
  </si>
  <si>
    <t>Groupe Michelin (PAR: ML)(Alexandre Taisne)</t>
  </si>
  <si>
    <t>138211-48T</t>
  </si>
  <si>
    <t>157487-41T</t>
  </si>
  <si>
    <t>Cliffbrake</t>
  </si>
  <si>
    <t>133961-77T</t>
  </si>
  <si>
    <t>211007-80T</t>
  </si>
  <si>
    <t>Benfeitoria</t>
  </si>
  <si>
    <t>Developer of a crowdfunding platform designed for the collaborative realization of projects. The company's platform provides various tools and content to carry out projects with a social impact and connects projects with voluntary contributions, enabling people to build out their campaigns.</t>
  </si>
  <si>
    <t>134242-57T</t>
  </si>
  <si>
    <t>Tintas Hidracor</t>
  </si>
  <si>
    <t>Manufacturer of paint intended for houses and real estate based in Brazil. The company offers acrylic, synthetic enamels, acrylic textures, dyes, powder and lime paints</t>
  </si>
  <si>
    <t>Tintas Iquine(Eduardo Moretti)</t>
  </si>
  <si>
    <t>249771-79T</t>
  </si>
  <si>
    <t>Mobi7 Tecnologia em Mobilidade</t>
  </si>
  <si>
    <t>Operator of fleet management and telemetry platform focused on IoT solutions for the mobility market. The company offers online, via computer or cell phone, and was developed with a functional, clean and intuitive interface, created to modernize the customer experience, thereby providing a system that can monitor and optimize the use of light and heavy commercial vehicles, making life easier for fleet managers and entrepreneurs.</t>
  </si>
  <si>
    <t>135974-35T</t>
  </si>
  <si>
    <t>FJ Labs, Maya Capital (Brazil), Y Combinator</t>
  </si>
  <si>
    <t>131817-43T</t>
  </si>
  <si>
    <t>Brian Requarth(Brian Requarth), CAV Investment Group, Net Ventures, Shaun Di Gregorio(Shaun Di Gregorio), Simon Baker(Simon Baker)</t>
  </si>
  <si>
    <t>133932-43T</t>
  </si>
  <si>
    <t>Grow Mobility</t>
  </si>
  <si>
    <t>Provider of electric bikes and scooters intended to provide mobility. The company currently operates in stealth mode.</t>
  </si>
  <si>
    <t>Peixe Urbano</t>
  </si>
  <si>
    <t>265235-77T</t>
  </si>
  <si>
    <t>Conciliadora</t>
  </si>
  <si>
    <t>Developer of card reconciliation platform intended to offer the best experience for customers. The company's platform automates the process of comparing sales data with bank statements, identifying any discrepancies, enabling businesses to save time and money, and helping to ensure the accuracy of their financial records.</t>
  </si>
  <si>
    <t>138826-09T</t>
  </si>
  <si>
    <t>Framefy</t>
  </si>
  <si>
    <t>Developer of a cloud platform designed to create personalized videos based on dynamic data. The company's platform offers templates that have variable fields that are automatically modified by robots, insert texts, photos, and colors, the option to create a bespoke video that fits your brand and communication goals and to download and share videos, enabling companies to scale business by creating data-driven video variations.</t>
  </si>
  <si>
    <t>264004-12T</t>
  </si>
  <si>
    <t>211600-63T</t>
  </si>
  <si>
    <t>Sterlite Novo Estado Energia</t>
  </si>
  <si>
    <t>Provider of electricity transmission and distribution services in Brazil.</t>
  </si>
  <si>
    <t>Engie Brasil Energia (BVMF: EGIE3)</t>
  </si>
  <si>
    <t>133466-86T</t>
  </si>
  <si>
    <t>Cerrado Nutrição Animal</t>
  </si>
  <si>
    <t>Producer of dairy and beef products based in Itaberaí, Brazil. The company produces and offers mineral supplements, protein, concentrates, nuclei and specialized consultancy services to its clients.</t>
  </si>
  <si>
    <t>De Heus Voeders(Rinus Donkers)</t>
  </si>
  <si>
    <t>135046-36T</t>
  </si>
  <si>
    <t>Planus</t>
  </si>
  <si>
    <t>Provider of enterprise network, service care, cloud, printing and device management services based in Sao Paulo, Brazil. The company offers services such as data center cloud, disaster recovery, backup, hardware and software maintenance and printing services.</t>
  </si>
  <si>
    <t>VINCI Energies(Jean-Michel Lang)</t>
  </si>
  <si>
    <t>133804-72T</t>
  </si>
  <si>
    <t>Tecverde Engenharia</t>
  </si>
  <si>
    <t>Manufacturer of building materials. The company specializes in the designing and construction of wood frame houses with the goal of making life easier for people, simplify the process of designing, acquiring and building a property through a process of intelligent design and industrialized production by generating value for its customers.</t>
  </si>
  <si>
    <t>Arauco(Matías Domeyko), Etex (Belgium) (BRU: ETEX)(Paul Van Oyen)</t>
  </si>
  <si>
    <t>203189-59T</t>
  </si>
  <si>
    <t>Tietê Agroindustrial</t>
  </si>
  <si>
    <t>Manufacturer of sugar located in Paraiso, Brazil. The company engages in sugar and ethanol production.</t>
  </si>
  <si>
    <t>FKS Group</t>
  </si>
  <si>
    <t>137277-01T</t>
  </si>
  <si>
    <t>Endeavor Promessas(Eduardo Afonso)</t>
  </si>
  <si>
    <t>160996-33T</t>
  </si>
  <si>
    <t>Enjoy.it</t>
  </si>
  <si>
    <t>Developer of a beer control and analytics platform designed to make decisions about businesses. The company's platform offers inventory management, provides beer consumption reports, data analytics, and sales management, enabling entrepreneurs to work efficiently and make informed decisions based on data.</t>
  </si>
  <si>
    <t>140997-79T</t>
  </si>
  <si>
    <t>Grupo RPH</t>
  </si>
  <si>
    <t>Provider of health care technology designed for the nuclear medicine market. The company's technology includes pharmaceuticals injectable medication, medical imaging, and nuclear medicine, enabling doctors, clinics, and hospitals to get access to reliable treatment and diagnosis resulting in a better quality of life.</t>
  </si>
  <si>
    <t>Opus Capital</t>
  </si>
  <si>
    <t>226395-91T</t>
  </si>
  <si>
    <t>RB Capital Desenvolvimento Residencial IV FII (BVMF: RBIR11)</t>
  </si>
  <si>
    <t>Rb Capital Desenvolvimento Residencial Iv Fundo DE Inv Imob - FII is a real estate investment trust. The company invests in real estate assets in form of closed condominium.</t>
  </si>
  <si>
    <t>133406-56T</t>
  </si>
  <si>
    <t>União de Lojas Leader</t>
  </si>
  <si>
    <t>Operator of a department store based in Niteroi, Brazil. The company operates a retail chain offering fashion, small appliances, electronics, games, sportswear, bed and bath products, and toys.</t>
  </si>
  <si>
    <t>133009-39T</t>
  </si>
  <si>
    <t>DNA Capital (Investor), e.bricks Ventures(Camila Sangali), Green Rock (Brazil), Spectra Investments, Valor Capital Group, Vox Capital(Gilberto Ribeiro de Oliveira Filho)</t>
  </si>
  <si>
    <t>253262-71T</t>
  </si>
  <si>
    <t>Autopass (Sao Paulo)</t>
  </si>
  <si>
    <t>Operator of a mobility and electronic ticketing service management company based in Sao Paulo, Brazil. The company provides card issuance, and facial biometrics services, thereby providing services for public transportation.</t>
  </si>
  <si>
    <t>Mondo Holding, Via Nova (Transpotation)</t>
  </si>
  <si>
    <t>268162-66T</t>
  </si>
  <si>
    <t>213130-00T</t>
  </si>
  <si>
    <t>Coopercarga</t>
  </si>
  <si>
    <t>140628-79T</t>
  </si>
  <si>
    <t>Big Bets, Bossa Invest, Brazil Venture Capital, Diego Gomes(Diego Gomes), DOMO.VC, Dorival Dourado(Dorival Dourado), FEA Angels, Rodrigo Dantas(Rodrigo Dantas), SaaSholic, Y Combinator</t>
  </si>
  <si>
    <t>265208-95T</t>
  </si>
  <si>
    <t>139490-92T</t>
  </si>
  <si>
    <t>284199-49T</t>
  </si>
  <si>
    <t>Promip</t>
  </si>
  <si>
    <t>Manufacturer and distributor of biological pest control products based in Piracicaba, Brazil. The company's products include mass-produced predatory mites, parasite wasps, and stingless bees containing for pest control, enabling farmers to get long-term pest prevention that is more friendly to the environment than synthetic insecticides.</t>
  </si>
  <si>
    <t>206809-75T</t>
  </si>
  <si>
    <t>165802-87T</t>
  </si>
  <si>
    <t>Clocktower Ventures, Gaingels, Maya Capital (Brazil), Rebel Fund, Soma Capital</t>
  </si>
  <si>
    <t>203150-80T</t>
  </si>
  <si>
    <t>Azuma Kirin</t>
  </si>
  <si>
    <t>Operator of a brewer intended to expand the high-quality gastronomic culture to the Brazilian market. The company is engaged in the production of food and beverages.</t>
  </si>
  <si>
    <t>Kikkoman (TKS: 2801)</t>
  </si>
  <si>
    <t>201136-69T</t>
  </si>
  <si>
    <t>Greentech</t>
  </si>
  <si>
    <t>Provider of logistics handling services based in Sao Paulo, Brazil. The company offers heavy-load logistics services and focuses on technological development in industry work efficiency as well as offers equipment on rental, enabling clients to have reduced costs on production, percentage of reworks, defects and increased productivity.</t>
  </si>
  <si>
    <t>Danica Capital, Spectra Investments</t>
  </si>
  <si>
    <t>119971-63T</t>
  </si>
  <si>
    <t>Bossa Invest, NB Capital (Brazil)</t>
  </si>
  <si>
    <t>226396-63T</t>
  </si>
  <si>
    <t>RB Capital I (BVMF: RFOF11)</t>
  </si>
  <si>
    <t>Fundo DE Investimento Imobiliario RB Capital I Fundo DE Fundos, formerly RB Capital I Fundo de Fundos FII is a real estate investment trust.</t>
  </si>
  <si>
    <t>155041-30T</t>
  </si>
  <si>
    <t>Superdigital</t>
  </si>
  <si>
    <t>Provider of digital banking services in São Paulo, Brazil. The company enables its customers to use up to 5 virtual cards to buy on websites and apps with no annual fee, no limit on purchases and with no interest.</t>
  </si>
  <si>
    <t>132989-50T</t>
  </si>
  <si>
    <t>Vai</t>
  </si>
  <si>
    <t>Operator of a car rental platform intended to simplify car rental and make it possible for a large portion of society to have access to the service. The company's platform provides cars along with valet services, unlimited mileage, insurance, round-the-clock roadside assistance, and regular check-ups, enabling users to experience the freedom of having a car without any obligations.</t>
  </si>
  <si>
    <t>Banco BMG (BVMF: BMGB4), Bossa Invest, BTG Pactual (BVMF: BPAC3), Guga Stocco(Guga Stocco), XP Investimentos (NAS: XP)</t>
  </si>
  <si>
    <t>132929-65T</t>
  </si>
  <si>
    <t>Morcote Holdings, Telor</t>
  </si>
  <si>
    <t>175532-77T</t>
  </si>
  <si>
    <t>Fibervita</t>
  </si>
  <si>
    <t>Manufacturer of starch byproducts intended to provide sustainable, healthy, and clean label ingredients out of cassava. The company's product is a non-GMO fibrous vegetable compound that can up the fiber content, act as a thickening or binding agent, extend shelf life, and replace proteins in products and is suitable for a wide range of applications from food to pharmaceuticals, enabling customers to avail multifunctional healthy ingredients based on non-transgenic fibrous plant compounds and complex carbohydrates with a low glycemic index.</t>
  </si>
  <si>
    <t>245355-94T</t>
  </si>
  <si>
    <t>MaisValdir</t>
  </si>
  <si>
    <t>Operator of a departmental store intended to provide ecommerce retail services. The company provides retail services with a wide variety of products such as electronic goods, stationary, toys, personal products and appliances, enabling customers to shop from a wide range of products.</t>
  </si>
  <si>
    <t>Lojasmel</t>
  </si>
  <si>
    <t>165881-44T</t>
  </si>
  <si>
    <t>Canary (Brazil), Caravela Capital, StaminaVC</t>
  </si>
  <si>
    <t>136404-37T</t>
  </si>
  <si>
    <t>Distrito Ventures(Gustavo Gierun), Plug and Play Tech Center</t>
  </si>
  <si>
    <t>224456-41T</t>
  </si>
  <si>
    <t>Imobiliario Housi (BVMF: HOSI11)</t>
  </si>
  <si>
    <t>Fundo DE Investimento Imobiliario Housi is a real estate investment trust. Its objective is to provide shareholders with the valuation and profitability of their quotas, by investing in real estate investments, direct or indirect, consistent with the acquisition of the real estate assets.</t>
  </si>
  <si>
    <t>170475-04T</t>
  </si>
  <si>
    <t>Localcave</t>
  </si>
  <si>
    <t>Developer of an online communication platform designed to improve the interaction between hotels and guests. The company's platform aims to enhance service quality and increase hotel and hostel revenue and provide valuable feedback by gathering information, automated communication, online customized check-ins and sales service in one single platform, enabling hotel owners to improve their services generate increased profit.</t>
  </si>
  <si>
    <t>Madeira Startup Retreat(Carlos Lopes)</t>
  </si>
  <si>
    <t>136570-15T</t>
  </si>
  <si>
    <t>Altitude (Sao Paulo), Bossa Invest, Endeavor Catalyst, Peninsula Participacoes, Redpoint eventures(Manoel Lemos)</t>
  </si>
  <si>
    <t>227651-68T</t>
  </si>
  <si>
    <t>Vinci Instrumentos Financeiros FII (BVMF: VIFI11)</t>
  </si>
  <si>
    <t>Vinci Instrumentos Financeiros Fundo DE Investimento Imobiliario is a real estate investment trust.</t>
  </si>
  <si>
    <t>213334-66T</t>
  </si>
  <si>
    <t>251581-87T</t>
  </si>
  <si>
    <t>Rbr Desenvolvimento (BVMF: RCFF11)</t>
  </si>
  <si>
    <t>Rbr Desenvolvimento Comercial Feeder Fof Fundo DE Inv Imob is Brazil based company. It is a real estate investment fund.</t>
  </si>
  <si>
    <t>138655-54T</t>
  </si>
  <si>
    <t>Monashees, ONEVC, Soma Capital, Y Combinator</t>
  </si>
  <si>
    <t>138840-49T</t>
  </si>
  <si>
    <t>Bossa Invest, Verve Capital</t>
  </si>
  <si>
    <t>129319-48T</t>
  </si>
  <si>
    <t>Cell Site Solutions</t>
  </si>
  <si>
    <t>Provider of telecommunications infrastructure services based in Sao Paulo, Brazil. The company offers cell macro sites that are both towers and rooftops, Distributed Antenna Systems (DAS) for indoor and outdoor coverage, Small Cells and other wireless services that are built-to-suit (BTS) for clients, with a focus on co-location potential for additional clients.</t>
  </si>
  <si>
    <t>African Infrastructure Investment Managers, British International Investment, EG Capital Advisors, Emerging Capital Partners(Bryce Fort), IHS Towers (NYS: IHS)(Sam Darwish), International Finance (Washington D.C.), Investec (LON: INVP), Luxempart (LUX: LXMPR), Man Capital, Massena Partners, Peugeot Invest (PAR: PEUG), Sofina (BRU: SOF), Wendel Group (PAR: MF)</t>
  </si>
  <si>
    <t>140885-20T</t>
  </si>
  <si>
    <t>e.bricks Ventures(Pedro Melzer)</t>
  </si>
  <si>
    <t>199879-21T</t>
  </si>
  <si>
    <t>Mitsui Alimentos (Roast and Ground Coffee Business in Brazil)</t>
  </si>
  <si>
    <t>Retailer of coffee business in São Paulo, Brazil. The business division offers capsule coffee, chocolate milk, filter coffee and coffee beans.</t>
  </si>
  <si>
    <t>Grupo 3corações</t>
  </si>
  <si>
    <t>132571-81T</t>
  </si>
  <si>
    <t>André Jereissati(André Jereissati), Arbor Capital (Rio), Kaszek, Renato Ribeiro(Renato Ribeiro)</t>
  </si>
  <si>
    <t>132465-70T</t>
  </si>
  <si>
    <t>Armínio Fraga(Armínio Fraga), Atlantico Partners, Canary (Brazil), e.bricks Ventures, Global Founders Capital, Maya Capital (Brazil), Norte Ventures, Ronaldo Lemos(Ronaldo Lemos)</t>
  </si>
  <si>
    <t>160816-15T</t>
  </si>
  <si>
    <t>Faro Energy</t>
  </si>
  <si>
    <t>Provider of solar energy financing and installation services focused on the democratization of solar energy in Brazil. The company constructs, operates, develops and maintains solar energy projects without any upfront investment from the client, enabling commercial and industrial users to control their energy costs.</t>
  </si>
  <si>
    <t>Modern Energy(Mark Laabs)</t>
  </si>
  <si>
    <t>136691-92T</t>
  </si>
  <si>
    <t>227754-55T</t>
  </si>
  <si>
    <t>XP Selection Fundo de Fundos FII (BVMF: XPSF11)</t>
  </si>
  <si>
    <t>XP Selection Fundo de Fundos FII is a real estate investment trust. Its services include corporate trust, funds trust, clearing agent, and others. The firm's securities are mortgage-backed securities, agribusiness backed securities, debenture, funds investment, and other assets.</t>
  </si>
  <si>
    <t>155435-68T</t>
  </si>
  <si>
    <t>Banco Votorantim Empreendimentos e Participacoes</t>
  </si>
  <si>
    <t>299807-20T</t>
  </si>
  <si>
    <t>Embrapa, Venture Hub</t>
  </si>
  <si>
    <t>166047-31T</t>
  </si>
  <si>
    <t>10b - Gestora de Recursos(Pedro Peixoto), Tarpon Capital(Marcelo Lopo Lima)</t>
  </si>
  <si>
    <t>118601-74T</t>
  </si>
  <si>
    <t>ATW Partners(Antonio Ruiz-Giménez), Experian Ventures, Fuel Venture Capital, IDC Ventures, Vesuvio Ventures</t>
  </si>
  <si>
    <t>211194-91T</t>
  </si>
  <si>
    <t>Tas Gastronomia</t>
  </si>
  <si>
    <t>Provider of food buffet services catering to small and medium size events. The company also provides online classes and recipes for its dishes.</t>
  </si>
  <si>
    <t>132145-75T</t>
  </si>
  <si>
    <t>AgroBrasil</t>
  </si>
  <si>
    <t>Provider of crop insurance services intended to support producers from planting to harvest, including in rainy or dry weather. The company offers insurance to cover fruits and vegetables, grains, and coverage against losses and damage for agricultural machinery and equipment.</t>
  </si>
  <si>
    <t>SCOR (PAR: SCR)(Laurent Rousseau)</t>
  </si>
  <si>
    <t>129758-23T</t>
  </si>
  <si>
    <t>Canary (Brazil), Gerdau Next Ventures, Kaszek, ONEVC, Spectra Investments, Valor Capital Group, Wayra, Wayra Brazil</t>
  </si>
  <si>
    <t>155812-42T</t>
  </si>
  <si>
    <t>Hypermarcas (Beauty &amp; Personal Care Business)</t>
  </si>
  <si>
    <t>Operator of personal and beauty care business based in Sao Paulo, Brazil. The company offers products including shampoo, deodorant and razor blades.</t>
  </si>
  <si>
    <t>211746-16T</t>
  </si>
  <si>
    <t>Mind Makers</t>
  </si>
  <si>
    <t>Operator of an online education and training services platform intended to serve students and educational institutions. The company provides training and organizes educational programs for the student's growth.</t>
  </si>
  <si>
    <t>225263-35T</t>
  </si>
  <si>
    <t>Moura Dubeux Engenharia (BVMF: MDNE3)</t>
  </si>
  <si>
    <t>Moura Dubeux Engenharia SA is a real estate developer and builder. The company has two operating segments which include Development and Construction administration services.</t>
  </si>
  <si>
    <t>171153-10T</t>
  </si>
  <si>
    <t>134626-51T</t>
  </si>
  <si>
    <t>136150-30T</t>
  </si>
  <si>
    <t>Astella Investimentos(Edson Rigonatti), Bossa Invest, Spectra Investments, WP Capital</t>
  </si>
  <si>
    <t>123522-67T</t>
  </si>
  <si>
    <t>Astral Capital(Jon Karlen), Endeavor Catalyst, Flybridge (New York), Light Street Capital Management, SoftBank Latin America Fund</t>
  </si>
  <si>
    <t>211106-98T</t>
  </si>
  <si>
    <t>Rent Style</t>
  </si>
  <si>
    <t>Operator of an e-commerce platform intended for renting designer clothes. The company offers a subscription platform where dresses are let out for a limited days and can be returned after use, enabling customers to choose clothes depending on usage.</t>
  </si>
  <si>
    <t>165896-20T</t>
  </si>
  <si>
    <t>Viação Itapemirim</t>
  </si>
  <si>
    <t>Operator of bus transport agency based in Sao Paulo, Brazil. The company offers a range of fleet options including conventions, executive, semi-bed and bed to its customers, ensuring comfortable travel at an affordable price.</t>
  </si>
  <si>
    <t>216056-26T</t>
  </si>
  <si>
    <t>SuperJobs Venture Capital</t>
  </si>
  <si>
    <t>138841-39T</t>
  </si>
  <si>
    <t>138210-31T</t>
  </si>
  <si>
    <t>131668-12T</t>
  </si>
  <si>
    <t>MOZAIKO</t>
  </si>
  <si>
    <t>Developer of analytics software based in São Paulo, Brazil. The company provides solutions such as analytics software and RFID equipment and tags, which can be implemented throughout the supply chain, from the factory to the store, enabling industry, logistics and retail clients to avail software solutions.</t>
  </si>
  <si>
    <t>Informática y Tecnología Stefanini(Guilherme Stefanini)</t>
  </si>
  <si>
    <t>172363-60T</t>
  </si>
  <si>
    <t>Positivo Tecnologia SA is a technology company. It activities include the manufacturing, commercialization and development of projects in the field of information technology; manufacturing, commercialization and leasing of software and hardware; commercialization of IT equipment, pedagogical application systems and school administration systems, as well as planning and technical-pedagogical support. Its current portfolio includes computers, servers, monitors, smartphones, tablets, solutions for smart homes and offices, residential security and automation, as well as products for educational technology.</t>
  </si>
  <si>
    <t>São Pedro Capital(Alexandre Dias)</t>
  </si>
  <si>
    <t>227536-21T</t>
  </si>
  <si>
    <t>VBI REIT Fof VII (BVMF: RVBI11)</t>
  </si>
  <si>
    <t>Vbr Reits Fof Fundo DE Investimento Imobiliario is a real estate investment trust focused on the real estate sector. The firm is focused on international investors such as American, European and Asian institutional investors, sovereign wealth funds, private equity firms, large conglomerates, and financial institutions, as well as resource managers, single and multi-family offices, banks, insurance companies, and other professional investors.</t>
  </si>
  <si>
    <t>131297-59T</t>
  </si>
  <si>
    <t>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t>
  </si>
  <si>
    <t>123761-53T</t>
  </si>
  <si>
    <t>135012-52T</t>
  </si>
  <si>
    <t>Headline, Redpoint eventures(Rodrigo Baer)</t>
  </si>
  <si>
    <t>241127-92T</t>
  </si>
  <si>
    <t>A Tal da Castanha</t>
  </si>
  <si>
    <t>Producer of plant-based food products headquartered in Fortaleza, Brazil. The company produces vegetable drinks, cashew nut pastes, mini snacks and coffee products that are made from real and non-artificial ingredients and are cruelty-free, providing individuals a nutritious diet full of calcium, fiber and proteins.</t>
  </si>
  <si>
    <t>Grupo 3corações(Pedro Lima)</t>
  </si>
  <si>
    <t>302159-17T</t>
  </si>
  <si>
    <t>Flybridge (New York)(Jeffrey Bussgang)</t>
  </si>
  <si>
    <t>211193-65T</t>
  </si>
  <si>
    <t>Lux Energy</t>
  </si>
  <si>
    <t>Operator of an energy project development company intended to serve commercial and residential sectors. The company provides a wide range of energy-efficient and photovoltaic solar energy products, enabling clients to avail of quality energy product installation services.</t>
  </si>
  <si>
    <t>135250-48T</t>
  </si>
  <si>
    <t>Nike Brasil</t>
  </si>
  <si>
    <t>Operator of nike brand stores based out of Sao Paulo, Brazil. The company engages in the retail of shoes and accessories.</t>
  </si>
  <si>
    <t>265455-82T</t>
  </si>
  <si>
    <t>Subiter</t>
  </si>
  <si>
    <t>Developer of computer vision infrared technology designed to inspect and monitor materials and processes, detecting anomalies and unwanted changes. The company's technology allows scanning of the entire hull structure through a non-destructive, fast, and non-contact method and can detect manufacturing defects and structural and aesthetic damage, helping nautical companies optimize production processes and reduce maintenance costs.</t>
  </si>
  <si>
    <t>132940-45T</t>
  </si>
  <si>
    <t>iFut</t>
  </si>
  <si>
    <t>Operator of a tournament management platform intended to link grassroots athletes with professional football. The company offers an electronic game summary collecting and analyzing game data which goes to gamers, scouts, and everyone involved through a gamified app, enabling tournament organizers to increase the selection of new players for professional teams.</t>
  </si>
  <si>
    <t>Penalty</t>
  </si>
  <si>
    <t>127867-15T</t>
  </si>
  <si>
    <t>225253-18T</t>
  </si>
  <si>
    <t>Mitre Realty Empreendimentos E Participacoes (BVMF: MTRE3)</t>
  </si>
  <si>
    <t>Mitre Realty Empreendimentos E Participacoes SA is a real estate developer and builder. The company builds residential and commercial real estate properties. Its property portfolio includes Haus Miter Perdizes, Roots Freguesia do O, Haus Miter Alto Butanta, Haus Miter Pinheiros, Roots Vila Prudente, Haus Miter Brooklin, Guilhermina Esperanca Roots, Haus Miter Butanta, Haus Miter Vl. Mariana, MaxMiter, Les Champs, Vila Matilde Roots, and Livepark.</t>
  </si>
  <si>
    <t>274798-36T</t>
  </si>
  <si>
    <t>Moond</t>
  </si>
  <si>
    <t>Manufacturer and retailer of kid's wear intended to serve and bring the best to the end customer. The company features the ability to provide comfortable clothes that help avoid discomfort and itchiness, enabling kids to freely play, jump, run, dance, fly, and imagine.</t>
  </si>
  <si>
    <t>174097-81T</t>
  </si>
  <si>
    <t>Búfalo Dourado</t>
  </si>
  <si>
    <t>Producer of dairy products intended to offer premium buffalo milk cheese. The company offers cheese, yogurt, ricotta, cream cheese, and butter.</t>
  </si>
  <si>
    <t>Aqua Capital(Fabio Medeiros), Laticínios São João(Maikel Grasel), Spectra Investments</t>
  </si>
  <si>
    <t>270497-71T</t>
  </si>
  <si>
    <t>Financiadora de Estudos e Projetos(Waldemar Barroso)</t>
  </si>
  <si>
    <t>131480-56T</t>
  </si>
  <si>
    <t>PGS Consultoria E Servicos</t>
  </si>
  <si>
    <t>Owner and operator of a chain of restaurants. The company's chain of restaurants operates Outback Steakhouse's restaurants in Brazil.</t>
  </si>
  <si>
    <t>134352-01T</t>
  </si>
  <si>
    <t>284628-07T</t>
  </si>
  <si>
    <t>127603-63T</t>
  </si>
  <si>
    <t>Itibanyl Produtos Especiais</t>
  </si>
  <si>
    <t>Manufacturer of biocidal ingredients and formulations based in Jarinu, Brazil.</t>
  </si>
  <si>
    <t>Lanxess Deutschland (ETR: LXS)(Rainier van Roessel)</t>
  </si>
  <si>
    <t>284643-46T</t>
  </si>
  <si>
    <t>Meta (IT Consulting and Outsourcing)</t>
  </si>
  <si>
    <t>Provider of digital transformation services intended to optimize resources, simplify processes, reduce times, generate better results, and greater growth. The company offers tools and consultancy services in digital strategy and solutions, management platforms, performance improvement, and support, automation, and process optimization through SAP solutions.</t>
  </si>
  <si>
    <t>284448-88T</t>
  </si>
  <si>
    <t>131200-84T</t>
  </si>
  <si>
    <t>10b - Gestora de Recursos, Banco Itaú BBA, Circularis Partners, Endeavor Promessas, TPG Alternative &amp; Renewable Technologies, Unbox Capital(Patricia Moraes)</t>
  </si>
  <si>
    <t>133893-82T</t>
  </si>
  <si>
    <t>213271-57T</t>
  </si>
  <si>
    <t>RRA Ferreira ME</t>
  </si>
  <si>
    <t>Provider of delivery solutions based in Sao Paulo, Brazil. The company specializes in providing customized delivery solutions through the integration of the delivery application and its e-commerce platform, thereby enabling restaurants and their consumers to pick up orders at the store and place orders at the table using quick response codes and messaging services.</t>
  </si>
  <si>
    <t>210576-43T</t>
  </si>
  <si>
    <t>176608-63T</t>
  </si>
  <si>
    <t>216036-37T</t>
  </si>
  <si>
    <t>Neopag</t>
  </si>
  <si>
    <t>Operator of a digital store card platform intended to serve various businesses. The company's platform is a tool for managing its own credit in retail stores, which performs intelligent credit analysis, management, and automated collection, eliminates intermediaries, and strengthens the local market, enabling businesses to have efficiency and security for both payers and recipients.</t>
  </si>
  <si>
    <t>167818-42T</t>
  </si>
  <si>
    <t>Vitopel</t>
  </si>
  <si>
    <t>Manufacturer of bi-axially oriented polypropylene films. The company specializes in metallic, opaque, matte, transparent films and synthetic paper which are used for snack foods, fresh produce and confectionery products packaging.</t>
  </si>
  <si>
    <t>224537-41T</t>
  </si>
  <si>
    <t>Zenvia Omni Chat</t>
  </si>
  <si>
    <t>Operator of a customer service platform based in Sao Paulo, Brazil. The platform offers multichannel communication services through various means like chat, voice, WhatsApp, email, Messenger, Telegram and other channels, thereby enabling customers to answer in real-time via. a single tool.</t>
  </si>
  <si>
    <t>Oria Capital(Piero Rosatelli), Sarona Asset Management, Zenvia (NAS: ZENV)(Cassio Bobsin)</t>
  </si>
  <si>
    <t>134237-62T</t>
  </si>
  <si>
    <t>Negotio Magni</t>
  </si>
  <si>
    <t>167299-39T</t>
  </si>
  <si>
    <t>Clorent</t>
  </si>
  <si>
    <t>Operator of an apparel rental platform intended to promote conscious consumption of clothing. The company's platform allows users to rent clothes accessories and other fashion wear based on subscriptions and packages, enabling users to rent the products on a non-subscription basis and get access to a variety of fashion products.</t>
  </si>
  <si>
    <t>133034-50T</t>
  </si>
  <si>
    <t>SCOO</t>
  </si>
  <si>
    <t>Provider of electric scooter rental services intended to offer urban mobility for a short-distance commute. The company's services can be used to access electric scooters and bikes and pay a certain fee depending on the usage which reduces the dependence on personal cars for short-distance transportation, enabling customers to get scooters and bicycles for rent and reduce pollution.</t>
  </si>
  <si>
    <t>287921-62T</t>
  </si>
  <si>
    <t>UniRedentor</t>
  </si>
  <si>
    <t>Operator of an educational university located in Rio de Janeiro, Brazil. The company offers graduation, post-graduation, and specialized courses.</t>
  </si>
  <si>
    <t>133313-68T</t>
  </si>
  <si>
    <t>Estante Virtual</t>
  </si>
  <si>
    <t>Operator of an online book marketplace based in Rio de Janeiro, Brazil. The company engages in operating an e-commerce platform for a wide variety of new, used, rare and sold-out books and gives access to the books through its registered portal, thereby enabling readers to receive books at a fair price.</t>
  </si>
  <si>
    <t>214201-00T</t>
  </si>
  <si>
    <t>PinPag</t>
  </si>
  <si>
    <t>Provider of installment services catering to dispatchers and driving schools. The company specializes in customized and disruptive installment services.</t>
  </si>
  <si>
    <t>Linx (Business/Productivity Software)(Alberto Menache)</t>
  </si>
  <si>
    <t>155451-34T</t>
  </si>
  <si>
    <t>Foundation Capital, Investo (Private Equity), Iporanga Ventures</t>
  </si>
  <si>
    <t>132243-04T</t>
  </si>
  <si>
    <t>Barry Sternlicht(Barry Sternlicht), Creditas Soluções Financeiras, Monashees, Montage Ventures, ONEVC, Spectra Investments</t>
  </si>
  <si>
    <t>207330-76T</t>
  </si>
  <si>
    <t>Brazilian Energhias</t>
  </si>
  <si>
    <t>227535-94T</t>
  </si>
  <si>
    <t>Vectis Juros Real Fundo DE Investimento Imobiliario (BVMF: VCJR11)</t>
  </si>
  <si>
    <t>Vectis Juros Real Fundo DE Investimento Imobiliario-FII is a real estate investment trust.</t>
  </si>
  <si>
    <t>135176-41T</t>
  </si>
  <si>
    <t>Agrifirma Brasil Holding</t>
  </si>
  <si>
    <t>Provider of agricultural services based in Rua Tabapuã, Brazil. The company is a holding company.</t>
  </si>
  <si>
    <t>190299-88T</t>
  </si>
  <si>
    <t>138843-28T</t>
  </si>
  <si>
    <t>134587-54T</t>
  </si>
  <si>
    <t>A.B.Seed Ventures, Sauber Participações S/A</t>
  </si>
  <si>
    <t>221086-54T</t>
  </si>
  <si>
    <t>CM Capital (sao Paulo)</t>
  </si>
  <si>
    <t>AF Invest Recebiveis Imobiliarios FII is a real estate investment fund. It invests in certificates of real estate receivables, mortgage bills, real estate bills of exchange, guaranteed real estate bills and quotas of other real estate investment funds.</t>
  </si>
  <si>
    <t>133039-36T</t>
  </si>
  <si>
    <t>e.bricks Ventures(Pedro Melzer), Igah Ventures</t>
  </si>
  <si>
    <t>174881-71T</t>
  </si>
  <si>
    <t>Hekima</t>
  </si>
  <si>
    <t>Operator of IT company based in Belo Horizonte, Brazil. The company operates in the areas of artificial intelligence, data science and big data.</t>
  </si>
  <si>
    <t>FIR Capital, iFood.com Agencia de Restaurantes Online(Fabricio Bloisi), Prosus Ventures</t>
  </si>
  <si>
    <t>132711-94T</t>
  </si>
  <si>
    <t>São Lucas Saúde</t>
  </si>
  <si>
    <t>Operator of a chain of medical care centers. The company's chain of general hospitals, outpatient and medical-hospital offer diagnostic medicine support services.</t>
  </si>
  <si>
    <t>Bain Capital(T. Devin O'Reilly), Grupo NotreDame Intermédica</t>
  </si>
  <si>
    <t>156949-12T</t>
  </si>
  <si>
    <t>222633-01T</t>
  </si>
  <si>
    <t>Brazil Real Estate Victory Fund I FII</t>
  </si>
  <si>
    <t>Brazil Real Estate Victory Fund I Fundo DE Investimento Imobiliario is a real estate investment fund. It invests in real estate funds.</t>
  </si>
  <si>
    <t>131851-63T</t>
  </si>
  <si>
    <t>Bossa Invest, Devas Invest, DOMO.VC(Felipe Andrade), Indicator Capital</t>
  </si>
  <si>
    <t>136319-41T</t>
  </si>
  <si>
    <t>KlickPages</t>
  </si>
  <si>
    <t>Developer of landing pages based in Brasília, Brazil. The company enables its clients to create a page template from scratch or use ready-made themes that other customers have already tested and validated, all with the same freedom as a brand new page.</t>
  </si>
  <si>
    <t>127571-86T</t>
  </si>
  <si>
    <t>Base Partners, Benchmark Capital Holdings(Peter Fenton), Bessemer Venture Partners(Brian Feinstein), Divesh Makan(Divesh Makan), Hugo Barra(Hugo Barra), Human Capital, Javier Olivan(Javier Olivan), Micky Malka(Micky Malka), Next Play Ventures, Ricardo Elias(Ricardo Elias)</t>
  </si>
  <si>
    <t>243853-57T</t>
  </si>
  <si>
    <t>Perfin Apollo Energia (SAO: PFIN 11)</t>
  </si>
  <si>
    <t>Operator of an closed-end private equity fund based in Sao Paulo, Brazil. The company offers investment in the energy sector, primarily in the transmission sector, with a minimum allocation of 70% and in renewable generation (wind and solar) a maximum of 30% exposure.</t>
  </si>
  <si>
    <t>135330-13T</t>
  </si>
  <si>
    <t>SND distributor</t>
  </si>
  <si>
    <t>Provider of technology solutions in Brazil. The company is the computer distributor and offers hardware, games, software, cloud and CSP, provides an e-commerce platform to ensure better shopping experience and offers financial products, thus serves the corporate and transactional customers.</t>
  </si>
  <si>
    <t>130315-24T</t>
  </si>
  <si>
    <t>Twilio Brazil</t>
  </si>
  <si>
    <t>Developer of smart voice products intended for transforming the voice attendance of companies into something simple and easy. The company's Virtual PABX provides call recording, service queues, customer service menu, number identification, high-quality calls with low cost, and prepaid credit service and mobility, enabling clients to reduce their call cost and experience high-quality voice calls.</t>
  </si>
  <si>
    <t>167704-66T</t>
  </si>
  <si>
    <t>Supermercado Now</t>
  </si>
  <si>
    <t>Operator of an online supermarket platform intended to offer daily groceries based in Sao Paulo, Brazil. The company's store operates as a neighborhood chain marketplace and uses freelance shoppers who shop and deliver to a customer's home within two hours, enabling users to enjoy the benefit of fast deliveries of their goods.</t>
  </si>
  <si>
    <t>B2W Companhia Global do Varejo(Marcio Cruz Meirelles)</t>
  </si>
  <si>
    <t>284138-92T</t>
  </si>
  <si>
    <t>Rodrigo Vieira</t>
  </si>
  <si>
    <t>167497-66T</t>
  </si>
  <si>
    <t>eCondos</t>
  </si>
  <si>
    <t>Developer of a condominium platform designed to create a collaborative and complete network for liquidators, employees, and all customers. The company's platform has integrated applications, web systems, and access control hardware that allows users to easily interact, make requests, and resolve issues, enabling trustees and administrators to get rid of bureaucratic processes, manuals, and paper usage and save money and time.</t>
  </si>
  <si>
    <t>Iporanga Ventures(Leonardo Teixeira)</t>
  </si>
  <si>
    <t>210830-41T</t>
  </si>
  <si>
    <t>Andre Mortari(Andre Mortari), Daniel Alvarez(Daniel Alvarez), Miquéias Silva(Miquéias Silva)</t>
  </si>
  <si>
    <t>226682-11T</t>
  </si>
  <si>
    <t>Santander Renda de (BVMF: SARE11)</t>
  </si>
  <si>
    <t>Santander Renda DE Alugueis Fundo Investimento Imobiliarios is a real estate investment trust. It invests majorly in real estate funds.</t>
  </si>
  <si>
    <t>136399-33T</t>
  </si>
  <si>
    <t>199148-95T</t>
  </si>
  <si>
    <t>Mutant, Permira(Phil Guinand), TCV</t>
  </si>
  <si>
    <t>164293-39T</t>
  </si>
  <si>
    <t>129427-21T</t>
  </si>
  <si>
    <t>Otimis</t>
  </si>
  <si>
    <t>Developer of supply chain management software in Brazil. The company specializes in cloud and on-premise warehouse management systems (WMS) and other solutions to enhance and automate fulfillment in today's complex supply chain landscape.</t>
  </si>
  <si>
    <t>Körber(Stephan Seifert)</t>
  </si>
  <si>
    <t>209306-98T</t>
  </si>
  <si>
    <t>Plataformatec</t>
  </si>
  <si>
    <t>Operator of an IT consulting company intended to offer software development, training and consulting services. The company provides technology consulting, mobile and web-based software development along with project assistance, coaching and training services, enabling businesses to engage directly with customers through digital innovation and web presence, thereby accelerating sales and generating a larger revenue.</t>
  </si>
  <si>
    <t>256299-85T</t>
  </si>
  <si>
    <t>Saber em Rede</t>
  </si>
  <si>
    <t>Operator of a student recruitment network company intended to promote the dissemination of education and financial empowerment. The company promotes connections between the educational institutions in the country, people interested in selling courses and students looking to study such courses.</t>
  </si>
  <si>
    <t>+A Educação, Kinea Investimentos (BVMF: KNHY11)(Matheus Lino)</t>
  </si>
  <si>
    <t>129327-04T</t>
  </si>
  <si>
    <t>Yerbalatina Phytoactives</t>
  </si>
  <si>
    <t>Producer of food products based in Colombo, Brazil. the company engages in using cool-drying technology to create extracts and ingredients.</t>
  </si>
  <si>
    <t>Archer Daniels Midland (NYS: ADM)(Vikram Luthar)</t>
  </si>
  <si>
    <t>216195-49T</t>
  </si>
  <si>
    <t>Canoas Net</t>
  </si>
  <si>
    <t>Provider of internet and telephony services based in Canoas, Brazil. The company through its fiber optic equipment offers internet and telecom data services to the neighborhood of Fátima and Rio Branco.</t>
  </si>
  <si>
    <t>Gaúcha TecPar</t>
  </si>
  <si>
    <t>124740-28T</t>
  </si>
  <si>
    <t>129364-57T</t>
  </si>
  <si>
    <t>DealerNet (Business/Productivity Software)</t>
  </si>
  <si>
    <t>Provider of dealer management solutions to the automotive sector in Bahia. The company offers dealer management software solutions to car dealers and OEMs throughout Brazil intended to help transform automotive dealers business management along with consulting services.</t>
  </si>
  <si>
    <t>Volaris Group(Kim Emmerson)</t>
  </si>
  <si>
    <t>129278-71T</t>
  </si>
  <si>
    <t>Citius, FJ Labs, Magic Fund, Monashees(Carlo Dapuzzo), Notable Capital(Hans Tung), Pear (California), SoftBank Latin America Fund, Spectra Investments, Tiger Global Management</t>
  </si>
  <si>
    <t>158701-96T</t>
  </si>
  <si>
    <t>Canary (Brazil), Geraldo Thomaz(Geraldo Thomaz), Globo Ventures, Jose Lacerda(Jose Lacerda), Konrad Dantas(Konrad Dantas), Renato Freitas(Renato Freitas)</t>
  </si>
  <si>
    <t>252815-32T</t>
  </si>
  <si>
    <t>Maiojama Empreendimentos</t>
  </si>
  <si>
    <t>Provider of property and project development services based in Porto Alegre, Brazil. The company specializes in the design, development and maintenance of residential and commercial real estate properties.</t>
  </si>
  <si>
    <t>122948-92T</t>
  </si>
  <si>
    <t>PROSUMIR</t>
  </si>
  <si>
    <t>Developer of pressure-reducing turbines created to turn industrial wastes into usable electrical energy. The company's system valves harness heat waste in electricity generation, enabling the energy use market to develop innovative services to transform energy waste into opportunities for energy efficiency, renewable energy, and cogeneration, sustainably creating value for society.</t>
  </si>
  <si>
    <t>160999-66T</t>
  </si>
  <si>
    <t>129205-00T</t>
  </si>
  <si>
    <t>Agrosema Comercial Agricola</t>
  </si>
  <si>
    <t>Retailer of agricultural inputs based in Sao Paulo, Brazil. The company offers fertilizers, solution extractors, and technical assistance to its clients.</t>
  </si>
  <si>
    <t>207135-10T</t>
  </si>
  <si>
    <t>129100-33T</t>
  </si>
  <si>
    <t>Andreessen Horowitz(Alastair Rampell), Caffeinated Capital, Cercano Management(Rafael Costa), Daintree.VC, Fifth Wall(Brendan Wallace), Monashees, Open Doors Partners, QED Investors, SciFi VC, Spectra Investments, Thrive Capital, Valor Capital Group(Clifford Sobel), Wollef(Cristobal Perdomo), Zigg Capital</t>
  </si>
  <si>
    <t>136146-16T</t>
  </si>
  <si>
    <t>BC2 Construtora</t>
  </si>
  <si>
    <t>Provider of repairs and maintenance services of large infrastructures. The company's multi-functional services such as maintenance, conservation works and intelligent traffic systems (ITS) emphasizes on engineering, in the area of infrastructure, mainly in the modalities of highways, railways, airports, ports and in specific urban areas, enabling real estate developers, private and public asset managers to generate values for society, organizations and individuals.</t>
  </si>
  <si>
    <t>Top Service Servicos e Sistemas</t>
  </si>
  <si>
    <t>222918-67T</t>
  </si>
  <si>
    <t>Capitania Reit FOF (BVMF: CPFF11)</t>
  </si>
  <si>
    <t>Capitania Reit FOF - Fundo DE Investimento Imobiliario is a fund of funds.</t>
  </si>
  <si>
    <t>165151-36T</t>
  </si>
  <si>
    <t>Fricasa Alimentos</t>
  </si>
  <si>
    <t>Producer of food products based in Canoinhas, Brazil. The company specializes in pork meat and offers other products such as hams, frozen cuts, smoked meats, sausages, mortadella, bacon, snacks, seasonings and salami.</t>
  </si>
  <si>
    <t>Pif Paf Alimentos(Rodrigo Coelho)</t>
  </si>
  <si>
    <t>210986-11T</t>
  </si>
  <si>
    <t>284374-09T</t>
  </si>
  <si>
    <t>191737-18T</t>
  </si>
  <si>
    <t>Acordo Online</t>
  </si>
  <si>
    <t>Developer of online agreement platform designed for credit recovery. The company's platform facilitates users to settle their debt and the creditor and collection companies' tools to improve processes with convenience and security, enabling clients to reduce costs and improve debtors' experience in resolving their outstanding financial obligations.</t>
  </si>
  <si>
    <t>284167-18T</t>
  </si>
  <si>
    <t>256954-69T</t>
  </si>
  <si>
    <t>Agily Telecom</t>
  </si>
  <si>
    <t>Provider of internet services intends to serve people and companies. The company offers commercialized technological services, thereby offering various internet plans for customers.</t>
  </si>
  <si>
    <t>ACON Investments(Andre Bhatia), Conexão Group</t>
  </si>
  <si>
    <t>244903-60T</t>
  </si>
  <si>
    <t>Agrojem (Fertilizer Business)</t>
  </si>
  <si>
    <t>Provider of agricultural products and services based in Palmas, Brazil. The company specializes distribution of fertilizer products, thereby helping farmers and the agricultural industry.</t>
  </si>
  <si>
    <t>EuroChem Group</t>
  </si>
  <si>
    <t>282766-51T</t>
  </si>
  <si>
    <t>Grow NY</t>
  </si>
  <si>
    <t>226412-65T</t>
  </si>
  <si>
    <t>292625-83T</t>
  </si>
  <si>
    <t>AI Consult</t>
  </si>
  <si>
    <t>Developer of an AI-powered platform designed for enhancing customer engagement and operational efficiency. The company's platform offers personalized AI assistants, automation tools, and predictive analytics, enabling businesses to optimize workflows and improve decision-making processes.</t>
  </si>
  <si>
    <t>292606-30T</t>
  </si>
  <si>
    <t>Ai Robots</t>
  </si>
  <si>
    <t>Developer of a robotic process automation platform company intended to seek to take partners and customers on a data-driven journey. The company uses artificial intelligence to increase industrial productivity, optimizing the management of industrial assets with a focus on optimization, efficiency and prediction, enabling businesses to make smart decisions, reduce costs, and maximize performance.</t>
  </si>
  <si>
    <t>292611-88T</t>
  </si>
  <si>
    <t>Aiko (Business/Productivity Software)</t>
  </si>
  <si>
    <t>Developer of an industrial operational platform designed to enhance the efficiency, productivity, and sustainability of industrial processes. The company's platform offers features such as equipment fleet monitoring, optimization tools, fuel control, and fatigue monitoring systems, enabling large operation businesses to achieve efficiency, reduce fuel consumption, increase productivity, and improve overall operational management through an integrated and intuitive digital environment that provides real-time insights and facilitates better decision-making.</t>
  </si>
  <si>
    <t>215658-19T</t>
  </si>
  <si>
    <t>Unbox Capital</t>
  </si>
  <si>
    <t>178212-25T</t>
  </si>
  <si>
    <t>196714-81T</t>
  </si>
  <si>
    <t>266329-09T</t>
  </si>
  <si>
    <t>243907-93T</t>
  </si>
  <si>
    <t>211354-93T</t>
  </si>
  <si>
    <t>Arara Seed</t>
  </si>
  <si>
    <t>Operator of an equity crowdfunding platform intended to invest in small businesses. The company provides collective structured investment in startups in the agriculture business and the food and beverage sector, along with investor relations support, enabling investors to find investment opportunities to generate exponential returns.</t>
  </si>
  <si>
    <t>BLB Ventures, Rural Ventures (Sao Paulo)(Fernando Rodrigues)</t>
  </si>
  <si>
    <t>292616-83T</t>
  </si>
  <si>
    <t>282868-39T</t>
  </si>
  <si>
    <t>166309-39T</t>
  </si>
  <si>
    <t>Autaza</t>
  </si>
  <si>
    <t>Developer of a computer vision technology intended for quality inspection of industrial products. The company's technology eliminates subjectivity in the identification and classification of defects, enabling businesses to reduce rework, minimize cost, and ensure the quality of the final product.</t>
  </si>
  <si>
    <t>Industry 4.0 Accelerator</t>
  </si>
  <si>
    <t>252516-88T</t>
  </si>
  <si>
    <t>210816-73T</t>
  </si>
  <si>
    <t>Banco Vipal</t>
  </si>
  <si>
    <t>Operator of a financial institution company intended to serve Vipal Borrachas customers and suppliers. The company offers vendor, receivables discount, CDC, and Billing Services to meet all the needs of the business with Vipal and participate in this production chain of the company.</t>
  </si>
  <si>
    <t>202261-33T</t>
  </si>
  <si>
    <t>Beca (Application Software)</t>
  </si>
  <si>
    <t>Operator of an online wellness platform intended to connect beauty professionals to clients seeking home care. The company offers an application available on iOS platforms through which people can schedule beauty services such as manicures, pedicures, haircuts, brush, relaxing massages, lymphatic drainage, makeup, jet bronze, and be attended at home and at work, enabling customers to enjoy beauty services of their choice from the comfort of their own houses.</t>
  </si>
  <si>
    <t>227722-87T</t>
  </si>
  <si>
    <t>Beniccio</t>
  </si>
  <si>
    <t>Operator of a glass company intended to provide designer glasses. The company offers prescription glass frames in premium acetate or metal, enabling its clients to democratize fashion.</t>
  </si>
  <si>
    <t>Zell Fellows</t>
  </si>
  <si>
    <t>208814-41T</t>
  </si>
  <si>
    <t>Beontag Participações</t>
  </si>
  <si>
    <t>Manufacturer of self-adhesive labels and radio frequency identification (RFID) related products intended to serve the retail, industrial and services sector. The company offers products that are used for managing radio frequency conversion and identification with RFID technology to improve and optimize information reading processes of the items, equipment and packaging, ensuring its clients promote their brands, manage information and share fundamental data generating value for the society.</t>
  </si>
  <si>
    <t>242511-67T</t>
  </si>
  <si>
    <t>256803-13T</t>
  </si>
  <si>
    <t>BlueDigital</t>
  </si>
  <si>
    <t>Developer of software development and operations software based in Sao Paulo, Brazil. The company assists companies in developing their digital strategy, advising on technology, culture, and people by conducting digital due diligence, evaluating mergers and investments, and assessing opportunities for sustainable business growth through digital practices.</t>
  </si>
  <si>
    <t>DEAL Technologies</t>
  </si>
  <si>
    <t>218539-90T</t>
  </si>
  <si>
    <t>208142-56T</t>
  </si>
  <si>
    <t>Buonny</t>
  </si>
  <si>
    <t>Developer of risk management software intended to serve carriers and shippers from different segments throughout Brazil. The company's platform offers risk management in the area of transport and logistics, thereby increasing the efficiency and safety of road freight transport.</t>
  </si>
  <si>
    <t>Greenbridge Partners, Niche Partners, Niche Supply Technologies, Tarpon Capital</t>
  </si>
  <si>
    <t>228847-69T</t>
  </si>
  <si>
    <t>209726-74T</t>
  </si>
  <si>
    <t>183806-74T</t>
  </si>
  <si>
    <t>Darwin Startups, Sinqia</t>
  </si>
  <si>
    <t>138395-80T</t>
  </si>
  <si>
    <t>216456-94T</t>
  </si>
  <si>
    <t>Coliiv</t>
  </si>
  <si>
    <t>Operator of a home-sharing platform intended to connect roommates. The company's platform offers to find rooms, roommates, and different types of shared housing, including co-living, co-housing, and republics, enabling room seekers to save money and have a collaborative lifestyle.</t>
  </si>
  <si>
    <t>219814-93T</t>
  </si>
  <si>
    <t>200120-41T</t>
  </si>
  <si>
    <t>166818-07T</t>
  </si>
  <si>
    <t>250677-01T</t>
  </si>
  <si>
    <t>Lambarin</t>
  </si>
  <si>
    <t>192859-21T</t>
  </si>
  <si>
    <t>São Paulo Research Foundation</t>
  </si>
  <si>
    <t>269868-61T</t>
  </si>
  <si>
    <t>Delfia (IT Consulting and Outsourcing)</t>
  </si>
  <si>
    <t>Provider of information technology services focused on monitoring trends and identifying the relevant solutions for the market. The company specializes in full-stack observability, secure digital transformation, professional service and more.</t>
  </si>
  <si>
    <t>259052-05T</t>
  </si>
  <si>
    <t>Dimensão TI</t>
  </si>
  <si>
    <t>Provider of IT services based intended to increase company's productivity and return on investment. The company offers services in development of tailor-made systems, business intelligence, portals, business processes and collaboration, thereby providing tools and solutions to enhance collaboration within organizations.</t>
  </si>
  <si>
    <t>227572-48T</t>
  </si>
  <si>
    <t>266748-58T</t>
  </si>
  <si>
    <t>219572-11T</t>
  </si>
  <si>
    <t>ElixirAI</t>
  </si>
  <si>
    <t>Developer of AI-based synchronization platform designed to connect brands and retailers. The company's platform offers features that include synchronization of the chain, predictability, product availability, market information, demand forecast, and management of actions promoted by the industry directly at the point of sale, enabling clients to customize the customer experience and deliver higher revenue.</t>
  </si>
  <si>
    <t>274520-98T</t>
  </si>
  <si>
    <t>215644-42T</t>
  </si>
  <si>
    <t>193585-42T</t>
  </si>
  <si>
    <t>Evollo</t>
  </si>
  <si>
    <t>Developer of analytical technology software designed to analyze the interaction of social networks and application channels with customers. The company utilizes artificial intelligence, machine learning and data mining technologies to capture, treat and extract value from the means of communication with customers, thereby helping clients in taking their business further by uniting data technology with human acumen.</t>
  </si>
  <si>
    <t>Z3 Participações</t>
  </si>
  <si>
    <t>266586-85T</t>
  </si>
  <si>
    <t>262960-03T</t>
  </si>
  <si>
    <t>Extrativa Mineral</t>
  </si>
  <si>
    <t>Operator of a mining company based in Nova Lima, Brazil. The company engages in nonmetallic mineral, coal, metal ore, quarry mining and oil and gas extraction.</t>
  </si>
  <si>
    <t>cedromineracao.</t>
  </si>
  <si>
    <t>193174-12T</t>
  </si>
  <si>
    <t>F360</t>
  </si>
  <si>
    <t>Developer of a comprehensive financial management platform designed to streamline operations for retailers and franchise networks. The company's platform offers centralized financial dashboards, automated reconciliation, and multi-entity integration, enabling franchise operators and retail chains to enhance financial visibility, reduce errors, and make data-driven decisions.</t>
  </si>
  <si>
    <t>HiPartners Capital &amp; Work, HIX Capital, InovaBRA</t>
  </si>
  <si>
    <t>243909-64T</t>
  </si>
  <si>
    <t>Faaro</t>
  </si>
  <si>
    <t>Developer of a digital management platform intended for managing works of art, collectibles, and luxury assets. The company's platform offers specialized services like cataloging, insurance, evaluation, and advice on the purchase and sale of goods including cars, aircraft, jewelry, works of art, antiques, and bottles, enabling users to organize and manage collectibles easily, safely and in a personalized way.</t>
  </si>
  <si>
    <t>179945-47T</t>
  </si>
  <si>
    <t>278908-57T</t>
  </si>
  <si>
    <t>Angra Partners</t>
  </si>
  <si>
    <t>194896-90T</t>
  </si>
  <si>
    <t>273124-45T</t>
  </si>
  <si>
    <t>Falconi(André Chaves)</t>
  </si>
  <si>
    <t>194277-52T</t>
  </si>
  <si>
    <t>182401-48T</t>
  </si>
  <si>
    <t>215398-45T</t>
  </si>
  <si>
    <t>HelpBell</t>
  </si>
  <si>
    <t>Provider of business processes automation services intended to improve the speed, accuracy, and efficiency of business operations. The company provides robotic process automation, cognitive automation, business process outsourcing, Internet of Things (IoT) based data collection devices, data integration via application programming interface, real-time dashboards, and emergency monitoring, enabling clients to automate repetitive tasks and reduce operational costs.</t>
  </si>
  <si>
    <t>292606-03T</t>
  </si>
  <si>
    <t>Hence Analytics</t>
  </si>
  <si>
    <t>Provider of data analytics and AI-powered insights intended to provide business optimization. The company combines statistical analysis, predictive modeling, and interdisciplinary expertise, enabling organizations to accelerate innovation, improve decision-making, and enhance operational efficiency through tailored data strategies.</t>
  </si>
  <si>
    <t>183722-77T</t>
  </si>
  <si>
    <t>215591-77T</t>
  </si>
  <si>
    <t>Inchurch</t>
  </si>
  <si>
    <t>Operator of an engagement and management platform intended for managing, communicating, and expanding the church. The company's platform offers self-service totems for members to sign up for events, donations prayer requests, personalized functions, financial management, cell management, and membership management, helping churches to improve day-to-day processes and manage growth.</t>
  </si>
  <si>
    <t>Eduzz, Smart Money Ventures</t>
  </si>
  <si>
    <t>133313-95T</t>
  </si>
  <si>
    <t>InstaAgro</t>
  </si>
  <si>
    <t>Developer of an online agricultural platform designed to bring attractive promotions for producers. The company's platform offers a wide portfolio of products with various features including guarantee of origin, delivery options, and simplicity of purchase while offering direct supply from first-line manufacturers, enabling clients to have access to authentic Brazilian rural products and fertilizers.</t>
  </si>
  <si>
    <t>Rolesis Holdings</t>
  </si>
  <si>
    <t>174409-84T</t>
  </si>
  <si>
    <t>Isabela Flores</t>
  </si>
  <si>
    <t>Retailer of flowers and flower products intended to serve customers across Rio-de-Janeiro, Curitiba, Santos, Campinas, and Sao Paulo. The company offers natural flowers, bouquets, potted flowers, and gift baskets for various occasions through its online platform, enabling consumers with access to fresh flowers from the comfort of their homes.</t>
  </si>
  <si>
    <t>261992-44T</t>
  </si>
  <si>
    <t>ISGAME - International School of Game</t>
  </si>
  <si>
    <t>Developer of a brain training program intended to promote the life quality and mental health of people. The company's program helps to keep the brain active and includes in-person or online workshops, and a mobile application, enabling people to improve their cognitive function or memory.</t>
  </si>
  <si>
    <t>261994-24T</t>
  </si>
  <si>
    <t>217657-36T</t>
  </si>
  <si>
    <t>JCR Group</t>
  </si>
  <si>
    <t>292941-28T</t>
  </si>
  <si>
    <t>Juridoc</t>
  </si>
  <si>
    <t>Developer of a cloud-based content management platform designed to manage contracts and legal documents. The company's platform helps to create, control, negotiate, organize, and monitor legal documents and compliances, enabling clients to reduce the time required for the documentation process.</t>
  </si>
  <si>
    <t>COMEUP STARS</t>
  </si>
  <si>
    <t>207698-32T</t>
  </si>
  <si>
    <t>Justamente</t>
  </si>
  <si>
    <t>Developer of an online productivity platform intended to provide legal marketing services. The company's platform helps to set up digital campaigns, manage web traffic, and create landing pages along with a dashboard of metrics to track the performance, enabling businesses to increase online conversions and set up digital marketing strategies.</t>
  </si>
  <si>
    <t>Big Bets, Iporanga Ventures(Leonardo Teixeira)</t>
  </si>
  <si>
    <t>210558-16T</t>
  </si>
  <si>
    <t>225018-73T</t>
  </si>
  <si>
    <t>Kornerz</t>
  </si>
  <si>
    <t>Operator of a social platform intended to provide reliable and customized services for well-being. The company's platform specializes in facilitating the management of online events-line, receiving payments, the client portfolio, and completing schedules, and providing agility in the process, enabling users to connect with social impact leaders and addressing specific needs through video calls.</t>
  </si>
  <si>
    <t>243881-47T</t>
  </si>
  <si>
    <t>292633-21T</t>
  </si>
  <si>
    <t>Laticin</t>
  </si>
  <si>
    <t>Developer of a business management platform designed for optimizing operations from milk collection to product distribution. The company's platform centralizes operational data, provides real-time monitoring, supports compliance with regulatory standards, and generates intelligent reports through a user-friendly interface, enabling dairy producers to streamline workflows, improve route and resource efficiency, enhance quality control, and make data-driven decisions that support business growth and sustainability.</t>
  </si>
  <si>
    <t>213389-02T</t>
  </si>
  <si>
    <t>Levpay</t>
  </si>
  <si>
    <t>Operator of a payment platform intended to provide new payment options for consumers. The company operates a platform that provides main payment solutions through transfers, bank deposits, and slips, enabling customers to make and receive payments online.</t>
  </si>
  <si>
    <t>Pagsmile Intermediacao E Agenciamento De Negociosv</t>
  </si>
  <si>
    <t>243898-48T</t>
  </si>
  <si>
    <t>262517-77T</t>
  </si>
  <si>
    <t>264025-27T</t>
  </si>
  <si>
    <t>267831-82T</t>
  </si>
  <si>
    <t>Livox (Communication Software)</t>
  </si>
  <si>
    <t>Developer of communication software designed to help non-verbal people with disabilities to communicate. The company offers an application used in schools to help people with disabilities and learning impairments learn how to read, write, and understand complex concepts, enabling customers to act as a source of educational content and providing tools for teachers and professionals to evaluate the user's improvement over time through advanced algorithms that adjust to a wide range of disabilities.</t>
  </si>
  <si>
    <t>WISE (Doha)</t>
  </si>
  <si>
    <t>297542-89T</t>
  </si>
  <si>
    <t>Visa Accelerator</t>
  </si>
  <si>
    <t>243915-31T</t>
  </si>
  <si>
    <t>264297-88T</t>
  </si>
  <si>
    <t>188155-63T</t>
  </si>
  <si>
    <t>Marlin Navegação</t>
  </si>
  <si>
    <t>Provider of maritime support services based in Rio de Janeiro, Brazil. The company's management services include offshore logistics and shipping, enabling its oil and gas market clients to operate support vessels.</t>
  </si>
  <si>
    <t>210352-87T</t>
  </si>
  <si>
    <t>Healthplus (Rio Grande do Sul ), The Hospital Israelita Albert Einstein</t>
  </si>
  <si>
    <t>256951-18T</t>
  </si>
  <si>
    <t>Mega (São Paulo)</t>
  </si>
  <si>
    <t>Provider of broadband services intended for residential and businesses. The company offers broadband internet services, enabling consumers to have fiber-optic networks and efficient connectivity services as per their requirements.</t>
  </si>
  <si>
    <t>234204-04T</t>
  </si>
  <si>
    <t>202258-36T</t>
  </si>
  <si>
    <t>Mobart</t>
  </si>
  <si>
    <t>Developer of an augmented reality application designed to bring collections of works through augmented reality to the collectors' homes, in real-time, in the desired environment. The company's application helps the artists to create and showcase their collections with augmented reality integrating other marketplaces into different systems, enabling users to easily simulate artwork in different environments</t>
  </si>
  <si>
    <t>202268-44T</t>
  </si>
  <si>
    <t>Moda Online</t>
  </si>
  <si>
    <t>Operator of a B2B platform designed to connect the apparel, accessories, and footwear industries with their resellers. The company's platform only charges a commission per sale and has no monthly fee or membership fee, enabling users to take care of the delivery of their orders so they can focus on selling.</t>
  </si>
  <si>
    <t>266606-11T</t>
  </si>
  <si>
    <t>183302-02T</t>
  </si>
  <si>
    <t>MySide</t>
  </si>
  <si>
    <t>Provider of real estate services intended to provide a portal for buying a property. The company focuses on the buying experience and not on the speed and profitability of the sale and is based on the inversion of the current logic of the real estate purchase chain, enabling customers to access concrete information, real prices and transparency.</t>
  </si>
  <si>
    <t>Darwin Startups, Potato Valley Ventures</t>
  </si>
  <si>
    <t>295813-36T</t>
  </si>
  <si>
    <t>274798-99T</t>
  </si>
  <si>
    <t>263499-31T</t>
  </si>
  <si>
    <t>175574-35T</t>
  </si>
  <si>
    <t>Nex Fibra</t>
  </si>
  <si>
    <t>Provider of telecom services based in Porto Alegre, Brazil. The company offers business, dedicated, temporary services as well as lan-to-lan data service through its fiber optic infrastructure, providing internet services to carry on with the day-to-day business.</t>
  </si>
  <si>
    <t>224356-51T</t>
  </si>
  <si>
    <t>Evoltz Participações, TPG (NAS: TPG)(David Bonderman)</t>
  </si>
  <si>
    <t>219570-04T</t>
  </si>
  <si>
    <t>262518-76T</t>
  </si>
  <si>
    <t>Oncase</t>
  </si>
  <si>
    <t>Developer of business analytics software created to integrate, clean, and enhance data from any source. The company's software focuses on harnessing the power of business analytics, big data, and business intelligence to provide end-to-end analytical methods for solving problems with the execution of large masses of data, enabling clients to acquire a detailed analysis of the information to create reports with consistent information and publish the same within the corporation in multiple panels.</t>
  </si>
  <si>
    <t>215855-65T</t>
  </si>
  <si>
    <t>227042-47T</t>
  </si>
  <si>
    <t>209161-72T</t>
  </si>
  <si>
    <t>292636-81T</t>
  </si>
  <si>
    <t>Photon Tic</t>
  </si>
  <si>
    <t>Manufacturer of energy management and telemetry conductors designed to support sustainability and internal efficiency programs. The company offers integrated advanced information and communication technology with environmental and social responsibility features, enabling clients to optimize resource usage while maintaining productivity, safety, and product quality.</t>
  </si>
  <si>
    <t>178977-61T</t>
  </si>
  <si>
    <t>263336-14T</t>
  </si>
  <si>
    <t>261625-96T</t>
  </si>
  <si>
    <t>219548-44T</t>
  </si>
  <si>
    <t>266593-06T</t>
  </si>
  <si>
    <t>128354-86T</t>
  </si>
  <si>
    <t>Garan Ventures, Global Founders Capital</t>
  </si>
  <si>
    <t>207233-74T</t>
  </si>
  <si>
    <t>268765-21T</t>
  </si>
  <si>
    <t>RedeHost</t>
  </si>
  <si>
    <t>Operator of a hosting company intended to offer hosting and cloud computing services for applications, emails, and websites of the organization. The company offers products related to hosting resellers, domain registration, email exchange, e-mail marketing, cloud storage, and email solutions, thereby enabling businesses with high architecture and technology park redundancy to guarantee a high level of service level agreement.</t>
  </si>
  <si>
    <t>Umbler(Flavio Cardoso)</t>
  </si>
  <si>
    <t>185219-56T</t>
  </si>
  <si>
    <t>Brognoli, Softplan(Guilherme Tossulino)</t>
  </si>
  <si>
    <t>269534-44T</t>
  </si>
  <si>
    <t>Sadia</t>
  </si>
  <si>
    <t>Producer of processed and frozen food products intended to provide people antibiotics free meat. The company is engaged in the production of beef, poultry, swine, margarine, pasta and pastries, soybean meal and other processed food, enabling customers to get great quality and taste for any meal of the day.</t>
  </si>
  <si>
    <t>F&amp;B Innovation Lab</t>
  </si>
  <si>
    <t>266769-37T</t>
  </si>
  <si>
    <t>264450-25T</t>
  </si>
  <si>
    <t>267685-84T</t>
  </si>
  <si>
    <t>266705-29T</t>
  </si>
  <si>
    <t>Skeelo</t>
  </si>
  <si>
    <t>Operator of an online books marketplace intended to access ebooks, audiobooks, and mini books anytime. The company's platform allows online reading, comic books, and clubs, enabling users to receive new books every month, free of charge.</t>
  </si>
  <si>
    <t>175576-06T</t>
  </si>
  <si>
    <t>Smart6 Tecnologia em Internet</t>
  </si>
  <si>
    <t>Provider of internet and telecommunication services intended to serve corporate and residential clients in Porto Alegre, Brazil. The company offers business internet, wifi, telephone and cloud computing services.</t>
  </si>
  <si>
    <t>207584-56T</t>
  </si>
  <si>
    <t>292170-25T</t>
  </si>
  <si>
    <t>Sobix</t>
  </si>
  <si>
    <t>Operator of a workflow automation tool platform intended to assist in structuring and managing operational tasks across teams. The company's platform supports task tracking, checklists, and action plans, enabling businesses to manage quality, safety, maintenance, inspections, and customer service.</t>
  </si>
  <si>
    <t>256067-29T</t>
  </si>
  <si>
    <t>292613-68T</t>
  </si>
  <si>
    <t>184336-57T</t>
  </si>
  <si>
    <t>189682-21T</t>
  </si>
  <si>
    <t>Christian Wolthers(Christian Wolthers), Juliana Wolthers(Juliana Wolthers)</t>
  </si>
  <si>
    <t>185938-21T</t>
  </si>
  <si>
    <t>202252-06T</t>
  </si>
  <si>
    <t>264284-20T</t>
  </si>
  <si>
    <t>172151-56T</t>
  </si>
  <si>
    <t>Unifacimed Centro Universitario</t>
  </si>
  <si>
    <t>Provider of graduation courses and post-graduation modalities of distance education services based in Rondonia, Brazil. The company offers undergraduate and pedagogical training courses specializing in collective health, education and professional training and the analysis of human behavior, thereby giving learners the opportunities to be imaginative and critical thinkers.</t>
  </si>
  <si>
    <t>284382-19T</t>
  </si>
  <si>
    <t>266834-62T</t>
  </si>
  <si>
    <t>Usina Rio Pardo</t>
  </si>
  <si>
    <t>Producer of common ethanol based in Sao Paulo, Brazil. The company specializes in sugarcane-hydrated fuel ethanol, bagasse, filter cake and vinasse which are completely consumed in the process.</t>
  </si>
  <si>
    <t>268087-69T</t>
  </si>
  <si>
    <t>Valhalla Burger</t>
  </si>
  <si>
    <t>Operator of a burger joint based in Rio de Janeiro, Brazil.</t>
  </si>
  <si>
    <t>292865-23T</t>
  </si>
  <si>
    <t>270364-96T</t>
  </si>
  <si>
    <t>Abstartups</t>
  </si>
  <si>
    <t>274755-52T</t>
  </si>
  <si>
    <t>Wicar Brasil</t>
  </si>
  <si>
    <t>Provider of car washing services intended to clean the car with convenience and sustainability. The company offers a range of services including eco-friendly washing, upholstery cleaning, cleaning of linings, ceilings, and columns, air conditioning sanitation, polishing, crystallization and glazing of paint, waxing, technical engine cleaning, and leather seat hydration, enabling customers to get their cars cleaned at home without the risk of contamination.</t>
  </si>
  <si>
    <t>189130-60T</t>
  </si>
  <si>
    <t>Grupo Avista</t>
  </si>
  <si>
    <t>224995-33T</t>
  </si>
  <si>
    <t>Luggo FII (BVMF: INRD11)</t>
  </si>
  <si>
    <t>Inter Residence Fundo DE Investimento Imobiliario -FII formerly Luggo Fundo DE Investimento Imobiliario - FII is a real estate investment fund which focuses its investments in the residential construction sector.</t>
  </si>
  <si>
    <t>156950-11T</t>
  </si>
  <si>
    <t>Nucont</t>
  </si>
  <si>
    <t>Operator of a consultative accounting platform designed for accountants to manage their entire portfolio. The company's platform offers accountants to be able to manage all investments in one place, value accounting deliveries, customize the dashboard according to each client, and create new indicators and graphs to enhance the decision-making of their clients, enabling accountants to offer consultative accounting for all client profiles.</t>
  </si>
  <si>
    <t>Cedro Capital, FC Partners</t>
  </si>
  <si>
    <t>126157-78T</t>
  </si>
  <si>
    <t>AGV Logística</t>
  </si>
  <si>
    <t>Provider of logistics services in Brazil. The company focuses on the storage and transportation of finished goods and related materials by operating a network of delivery points and distribution centers located across Brazil, providing warehousing, transportation, cold storage, inventory control and other value added services of products to the food and beverages, chemicals and integrated logistics industries.</t>
  </si>
  <si>
    <t>Solistica</t>
  </si>
  <si>
    <t>133374-43T</t>
  </si>
  <si>
    <t>Alpargatas (Argentina Topper Operations)</t>
  </si>
  <si>
    <t>Manufacturer of branded footwear. The company is engaged in manufacturing footwear products in Argentina.</t>
  </si>
  <si>
    <t>169894-00T</t>
  </si>
  <si>
    <t>Consinco</t>
  </si>
  <si>
    <t>Developer of corporate management systems intended for supermarkets and self-service wholesalers in the Brazilian market. The company offers retail, warehouse, and front management solutions, thereby covering all customer management demands from end to end and managing operational and administrative needs, from the purchase and receipt of goods to checkout.</t>
  </si>
  <si>
    <t>131356-54T</t>
  </si>
  <si>
    <t>225425-89T</t>
  </si>
  <si>
    <t>Newport Real Estate (BVMF: NEWL11)</t>
  </si>
  <si>
    <t>Newport Logistica Fundo DE Investimento Imobiliario is a real estate investment company. It invests in industrial and logistic properties.</t>
  </si>
  <si>
    <t>224571-61T</t>
  </si>
  <si>
    <t>Inter Titulos Imobiliarios Fundo DE Investimento Imobiliario</t>
  </si>
  <si>
    <t>Alianza Titulos Imobiliarios Fundo De Investimento Imobiliario formerly Inter Titulos Imobiliarios Fundo DE Investimento Imobiliario is engaged in investing in real estate funds.</t>
  </si>
  <si>
    <t>194494-24T</t>
  </si>
  <si>
    <t>Joao Kepler Braga(Joao Kepler Braga), Kaka Diniz(Kaka Diniz), Thiago Nigro(Thiago Nigro)</t>
  </si>
  <si>
    <t>114740-29T</t>
  </si>
  <si>
    <t>Baita, InovaBRA, Inovabra Ventures, Positivo Tecnologia (Venture Arm)(Graciete Lima), SP Ventures(Francisco Jardim), SVG Ventures|THRIVE(John Hartnett)</t>
  </si>
  <si>
    <t>224369-65T</t>
  </si>
  <si>
    <t>Hedge Logistica FII (BVMF: HLOG11)</t>
  </si>
  <si>
    <t>Hedge Logistica Fundo Investimento Imobiliario is a real estate investment trust. It is a real estate fund that holds a portfolio of logistic properties.</t>
  </si>
  <si>
    <t>155791-00T</t>
  </si>
  <si>
    <t>Cadonau Investimentos, Igah Ventures(Thiago Maluf)</t>
  </si>
  <si>
    <t>224977-24T</t>
  </si>
  <si>
    <t>216198-91T</t>
  </si>
  <si>
    <t>Telecomunicacoes Nordeste</t>
  </si>
  <si>
    <t>Provider of telecommunications services based in São Francisco, Brazil. The company offers television, broadband internet and telephony services.</t>
  </si>
  <si>
    <t>131777-65T</t>
  </si>
  <si>
    <t>Ingram Micro Brasil</t>
  </si>
  <si>
    <t>214211-80T</t>
  </si>
  <si>
    <t>Frigorífico Marba</t>
  </si>
  <si>
    <t>Provider of cold meat and sausage products based in Sao Paulo, Brazil. The company's products include ham, jerked beef and sausages</t>
  </si>
  <si>
    <t>224370-28T</t>
  </si>
  <si>
    <t>Hedge Shopping Parque Dom (BVMF: HPDP11)</t>
  </si>
  <si>
    <t>Hedge Shopping Parque Dom Pedro Fundo DE Investimento Imobliario is a real estate investment trust. Its objective is to invest in Shopping Parque Dom Pedro, located in Campinas, Sao Paulo.</t>
  </si>
  <si>
    <t>133811-20T</t>
  </si>
  <si>
    <t>Over Colégio e Curso Eireli</t>
  </si>
  <si>
    <t>Provider of educational services located in Lagoa Nova, Brazil. The company offers online and offline classes to students especially related to physics subject.</t>
  </si>
  <si>
    <t>213480-46T</t>
  </si>
  <si>
    <t>A5 Capital Partners</t>
  </si>
  <si>
    <t>Operator of a venture capital management company based in Sao Paulo, Brazil. The company engages in capital investment in startup businesses.</t>
  </si>
  <si>
    <t>KPTL(Gustavo Junqueira)</t>
  </si>
  <si>
    <t>130848-13T</t>
  </si>
  <si>
    <t>Ally (Business/Productivity Software)</t>
  </si>
  <si>
    <t>Developer of an online education management platform designed to provide tools that connect education agencies and international schools with students. The company's platform simplifies the administration process dealing with international travel education around the world, enabling customers to manage all information in just one place.</t>
  </si>
  <si>
    <t>Ingram Micro (NYS: INGM), Microsoft (NAS: MSFT)</t>
  </si>
  <si>
    <t>131498-56T</t>
  </si>
  <si>
    <t>Argo Energia</t>
  </si>
  <si>
    <t>Operator of energy transmission assets intended to contribute to the development of the electric sector. The company's projects include construction and operation of substations and transmission lines located throughout Brazil, enabling wind power generation projects throughout the country to improve the quality and reliability of the electrical system.</t>
  </si>
  <si>
    <t>Grupo Energia Bogota (BOG: GEB), Redeia Corporacion (MAD: RED)</t>
  </si>
  <si>
    <t>128644-30T</t>
  </si>
  <si>
    <t>Fiat Chrysler Automobiles (Teksid Global Cast Iron Automotive Components Business)</t>
  </si>
  <si>
    <t>Manufacturer of automobile components.</t>
  </si>
  <si>
    <t>214212-07T</t>
  </si>
  <si>
    <t>GuiaBolso (Just)</t>
  </si>
  <si>
    <t>Operator of an online personal loan platform based in Sao Paulo, Brazil. The business unit offers unsecured personal credit using, among its analysis tools, the crossing of the bank account information provided by borrowers.</t>
  </si>
  <si>
    <t>136765-45T</t>
  </si>
  <si>
    <t>Operator of a resource management company focused on early-stage companies. The company acts as a partner, investor, manager and entrepreneur and offers specialized technology-driven investment services to various types of companies, investors and entrepreneurs.</t>
  </si>
  <si>
    <t>128604-07T</t>
  </si>
  <si>
    <t>133045-66T</t>
  </si>
  <si>
    <t>Involves Solucoes Tecnologicas</t>
  </si>
  <si>
    <t>Developer of a trade marketing platform designed to increase the visibility and availability of products at the point of sale. The company's platform manages the exposure pattern of brands and their products by incorporating artificial intelligence, smart routing, and image recognition technology, enabling businesses to earn revenue and increase sales.</t>
  </si>
  <si>
    <t>Bridge One (Warsaw)</t>
  </si>
  <si>
    <t>185066-20T</t>
  </si>
  <si>
    <t>TBG Investimentos(Tulio Gomes)</t>
  </si>
  <si>
    <t>117517-15T</t>
  </si>
  <si>
    <t>Nextel Brazil</t>
  </si>
  <si>
    <t>Provider of telecommunication services in Brazil. The company creates powerful solutions and tools that allow clients to reach further and provides differentiated, uncomplicated and reliable service, bringing together people, businesses and communities, reinventing the way people communicate and keep in touch.</t>
  </si>
  <si>
    <t>América Móvil (MEX: AMXB)</t>
  </si>
  <si>
    <t>216197-83T</t>
  </si>
  <si>
    <t>BluPay (Financial Software)</t>
  </si>
  <si>
    <t>Developer of a payment software designed to specialize in financial transactions based on blockchain technology. The company uses anti-fraud blockchain technology to make and receive payments, enabling users to get instant payment with security and reduced fees.</t>
  </si>
  <si>
    <t>187062-13T</t>
  </si>
  <si>
    <t>Natura &amp; Co Holding (BVMF: NTCO3)</t>
  </si>
  <si>
    <t>Natura &amp;Co Holding SA is a multinational cosmetics, hygiene, and beauty company. It operates in Asia, Europe, North America, &amp; South America under the Natura and Avon brands. It has two operating segments; the Natura &amp; Co LATAM segment, which accounts for the majority portion of operating revenues; and the Avon International segment.</t>
  </si>
  <si>
    <t>128301-94T</t>
  </si>
  <si>
    <t>Rondobras</t>
  </si>
  <si>
    <t>Operator of retail auto parts store based in Rio Branco, Brazil. The company offers various nondurable and durable goods operating in the commercialization of auto parts, tires and the provision of specialized services of vehicle mechanics.</t>
  </si>
  <si>
    <t>227751-31T</t>
  </si>
  <si>
    <t>XP Credito Imobiliario FII (BVMF: XPCI11)</t>
  </si>
  <si>
    <t>Xp Credito Imobiliario-Fundo DE Investimento Imobiliario is a real estate investment trust. Its services include corporate trust, funds trust, clearing agent, and others. The firm's securities are mortgage-backed securities, agribusiness backed securities, debenture, funds investment, and other assets.</t>
  </si>
  <si>
    <t>128285-56T</t>
  </si>
  <si>
    <t>Oria Capital(Piero Rosatelli), Sarona Asset Management, Spectra Investments</t>
  </si>
  <si>
    <t>128904-94T</t>
  </si>
  <si>
    <t>Astella Investimentos(Daniel Chalfon), Bossa Invest, IgniteXL Ventures, Norte Ventures</t>
  </si>
  <si>
    <t>226403-47T</t>
  </si>
  <si>
    <t>RBR Desenvolvimento FII</t>
  </si>
  <si>
    <t>Fundo DE Investimento Imobiliario FII RBR Desenvolvimento, formerly RBR Desenvolvimento FII is a real estate investment trust. It invests in real estate projects.</t>
  </si>
  <si>
    <t>133058-62T</t>
  </si>
  <si>
    <t>211729-15T</t>
  </si>
  <si>
    <t>Zoo Care Hospital Veterinário</t>
  </si>
  <si>
    <t>Operator of a veterinary clinic intended for the treatment of domestic and wild animals. The company provides veterinary and ICU emergencies and the unit works as a teaching hospital and offers postgraduate courses in various courses such as intensive care, urgencies and emergencies.</t>
  </si>
  <si>
    <t>138711-25T</t>
  </si>
  <si>
    <t>ACE Ventures (Commercial Services), Bossa Invest, GVAngels(Ricardo Fogaça), PUCTec</t>
  </si>
  <si>
    <t>194628-07T</t>
  </si>
  <si>
    <t>BluePex</t>
  </si>
  <si>
    <t>Developer of IT security products designed to provide integrated and intelligent productive management of internet infrastructure. The company's products offer integrated security tools to protect and gain the agility of enterprise network customers with optimization, availability, and security for critical business processes, enabling clients to get control and security of corporate networks.</t>
  </si>
  <si>
    <t>KPTL(Joao Pirola)</t>
  </si>
  <si>
    <t>203072-50T</t>
  </si>
  <si>
    <t>Libra Terminal Rio</t>
  </si>
  <si>
    <t>Operator and developer of port terminals based out of Rio de Janeiro, Brazil.</t>
  </si>
  <si>
    <t>International Container Terminal Services (PHS: ICT)</t>
  </si>
  <si>
    <t>128519-38T</t>
  </si>
  <si>
    <t>Global Founders Capital(Alex Anton)</t>
  </si>
  <si>
    <t>133779-70T</t>
  </si>
  <si>
    <t>Pratí</t>
  </si>
  <si>
    <t>Operator of an online platform focused on offering delicious and nutritious meals to consumer's homes or offices. The company offers frozen foods including beef, chicken, fish, low carb, vegetarian, pasta, pancakes, risotto, soups, fit sweets, snacks, juices and drinks, thus providing its customers with meals for all profiles and tastes.</t>
  </si>
  <si>
    <t>Sapore(Daniel Mendez)</t>
  </si>
  <si>
    <t>224534-89T</t>
  </si>
  <si>
    <t>Voltalia (206 MW Wind Farm Portfolio)</t>
  </si>
  <si>
    <t>Portfolio of wind farms located in Serra Branca, Brazil. The asset includes 206 megawatts that will be used for infrastructural development.</t>
  </si>
  <si>
    <t>Actis(Barry Lynch), Echoenergia</t>
  </si>
  <si>
    <t>127936-54T</t>
  </si>
  <si>
    <t>124278-58T</t>
  </si>
  <si>
    <t>FH</t>
  </si>
  <si>
    <t>Provider of technology for business processes and software services based in Curitiba, Brazil. The company offers business solutions including tax projects, digital strategy consulting and outsourcing services such as business process outsourcing, SAP application governance, cloud management and hybris process monitoring.</t>
  </si>
  <si>
    <t>198677-89T</t>
  </si>
  <si>
    <t>Finansinos</t>
  </si>
  <si>
    <t>Dm Financeira SA Credito Financiamento e Investimento provides credit intermediation services in Brazil. Its offerings include consumer lending, working capital financing, vehicle financing, discount securities, as well as personal and payroll credit services.</t>
  </si>
  <si>
    <t>135088-39T</t>
  </si>
  <si>
    <t>Canary (Brazil), Monashees</t>
  </si>
  <si>
    <t>127911-79T</t>
  </si>
  <si>
    <t>Suaposta</t>
  </si>
  <si>
    <t>Operator of online betting and payment platform based in Brazil. The company offers licensed horserace betting services to its clients.</t>
  </si>
  <si>
    <t>Betsson (STO: BETS B)</t>
  </si>
  <si>
    <t>126502-66T</t>
  </si>
  <si>
    <t>125311-87T</t>
  </si>
  <si>
    <t>170583-58T</t>
  </si>
  <si>
    <t>Cyrela (BVMF: CYRE3)(Juliano Bello)</t>
  </si>
  <si>
    <t>225079-12T</t>
  </si>
  <si>
    <t>Maua Capital Recebiveis Imobiliarios FII (BVMF: MCCI11)</t>
  </si>
  <si>
    <t>Fundo DE Investimento Imobiliario Maua Capital Recebiveis Imobiliarios is a real estate investment fund.</t>
  </si>
  <si>
    <t>127859-23T</t>
  </si>
  <si>
    <t>Developer of a web and mobile-based ticket booking application designed for users to buy tickets for events in local areas. The company's application provides reviews, commentary, celebrity interviews, and trailers and offers users the ability to buy tickets in advance, enabling customers to decide and choose tickets for events and plays that suit their interests.</t>
  </si>
  <si>
    <t>Bedy Yang(Bedy Yang), e.bricks Ventures(Pedro Melzer), Endurance Fund, G2 Capital, Galapagos Capital, Igah Ventures, Mercado Libre Fund, Qualcomm Ventures, Rival Entertainment, RK Partners</t>
  </si>
  <si>
    <t>153852-31T</t>
  </si>
  <si>
    <t>Freudenberg (South American Hygiene Business)</t>
  </si>
  <si>
    <t>Operator of hygiene nonwoven business in Brazil.</t>
  </si>
  <si>
    <t>Fitesa(Silverio Baranzano)</t>
  </si>
  <si>
    <t>295569-37T</t>
  </si>
  <si>
    <t>227755-63T</t>
  </si>
  <si>
    <t>XP Properties FII (BVMF: VPPR11)</t>
  </si>
  <si>
    <t>V2 Prime Properties Fundo De Investimento Imobiliario - FII formerly XP Properties FII is a real estate investment trust.</t>
  </si>
  <si>
    <t>133779-16T</t>
  </si>
  <si>
    <t>Devas Invest, Distrito Ventures, MG Tech.</t>
  </si>
  <si>
    <t>224552-53T</t>
  </si>
  <si>
    <t>Universidade Positivo</t>
  </si>
  <si>
    <t>Operator of an university based in Curitiba, Brazil. The company offers courses for graduation, post graduation, medicine, in-company, distance learning and other courses.</t>
  </si>
  <si>
    <t>Cruzeiro do Sul Educacional (BVMF: CSED3), GIC Private(Wolfgang Schwerdtle)</t>
  </si>
  <si>
    <t>166858-84T</t>
  </si>
  <si>
    <t>Balko</t>
  </si>
  <si>
    <t>Developer of an illiquid assets trading application intended to provide a platform to transact in legal claims, litigation finance, and NPLs. The company's platform offers an online auction run through proprietary technology and also offers an advisory service, enabling customers to connect the universe of investors with potential sellers through a credible and transparent competitive process, fostering liquidity, at the same time as converging pricing to fair value.</t>
  </si>
  <si>
    <t>127522-72T</t>
  </si>
  <si>
    <t>Kaszek, Ribbit Capital</t>
  </si>
  <si>
    <t>138519-64T</t>
  </si>
  <si>
    <t>Exame (Publishing)</t>
  </si>
  <si>
    <t>Publisher of a business magazine based in Sao Paulo, Brazil. The company's business magazine is published biweekly and provides news about economics, business, finance, politics and technology.</t>
  </si>
  <si>
    <t>123286-33T</t>
  </si>
  <si>
    <t>Base10 Partners, Canary (Brazil), David Osorno(David Osorno), Devas Invest, Fernando Gadotti(Fernando Gadotti), Jose Gallo(Jose Gallo), Monashees, Renato Freitas(Renato Freitas), Shift Capital (São Paulo), Spectra Investments, Valor Capital Group, Vinicius Ferriani(Vinicius Ferriani)</t>
  </si>
  <si>
    <t>133775-20T</t>
  </si>
  <si>
    <t>Original Software (Brazil)</t>
  </si>
  <si>
    <t>Provider of software solutions for taxi cooperatives in Brazil. The company develops Softwares for taxi management and dispatch market for radio taxis, thereby helping its clients with modern technology and meeting their needs.</t>
  </si>
  <si>
    <t>iCabbi</t>
  </si>
  <si>
    <t>276703-30T</t>
  </si>
  <si>
    <t>Se Vira, Mulher!</t>
  </si>
  <si>
    <t>Provider of coaching services intended to combat gender inequality in social roles The company offers services such as how to do small repairs, installations, mini-courses, learning about home equipment, electrical, carpentry, gardening and other related services, enabling womens to find job opportunities by ensuring equality in social and economic rights.</t>
  </si>
  <si>
    <t>130995-64T</t>
  </si>
  <si>
    <t>133777-45T</t>
  </si>
  <si>
    <t>Zaitt</t>
  </si>
  <si>
    <t>Developer of food tech application based in Espírito Santo, Brazil. The company offers delivery via application along with a user guide for the users to choose and buy food items.</t>
  </si>
  <si>
    <t>134592-49T</t>
  </si>
  <si>
    <t>Perfect Pro</t>
  </si>
  <si>
    <t>Supplier of cleaning products intended to improve people's lives by transforming the cleaning segment. The company offers functional cars, multipurpose cloths, cables and squeegees, buckets and squeezers, mops and brooms and trash and containers.</t>
  </si>
  <si>
    <t>Condor (Brazil)</t>
  </si>
  <si>
    <t>132330-70T</t>
  </si>
  <si>
    <t>300262-69T</t>
  </si>
  <si>
    <t>JoyPay (Brazil)</t>
  </si>
  <si>
    <t>Developer of a financial service intended to streamline digital payment processes for businesses and consumers. The company offers integrated payment management, receivables tracking, and installment-based sales capabilities, enabling businesses in the fintech and financial services sectors to enhance transaction efficiency and customer accessibility.</t>
  </si>
  <si>
    <t>Bossa Invest, EBANX(João Del Valle), Endeavor Catalyst, FTV Capital</t>
  </si>
  <si>
    <t>224965-54T</t>
  </si>
  <si>
    <t>Litela Participacoes (BVMF: LTLA3B)</t>
  </si>
  <si>
    <t>Litela Participacoes SA is a holding company. The company through its subsidiaries, engages in research, production and marketing of iron ore and pellets, nickel, fertilizers, copper, coal, manganese, ferroalloys, cobalt, platinum group metals and precious metals.</t>
  </si>
  <si>
    <t>215489-17T</t>
  </si>
  <si>
    <t>O amor é simples</t>
  </si>
  <si>
    <t>Operator of an online marketplace intended to offer simple, beautiful and affordable wedding dresses. The company offers products that have a modern and lightweight design, enabling customers to get dresses at fair prices.</t>
  </si>
  <si>
    <t>257862-34T</t>
  </si>
  <si>
    <t>Stock &amp; Info</t>
  </si>
  <si>
    <t>Provider of software, services, consultancy and solutions based in Florianópolis, Brazil. The company offers technology for the financial system, consultant's electronic proposal, automated management of pension plans.</t>
  </si>
  <si>
    <t>120024-10T</t>
  </si>
  <si>
    <t>CVentures, Escala.vc, Grão (São Paulo), Parallax Ventures, The Hive</t>
  </si>
  <si>
    <t>213521-86T</t>
  </si>
  <si>
    <t>137354-68T</t>
  </si>
  <si>
    <t>172102-06T</t>
  </si>
  <si>
    <t>130088-62T</t>
  </si>
  <si>
    <t>Decorati Building Tech</t>
  </si>
  <si>
    <t>Operator of a multimedia and design portal intended to provide interior designing services. The company's portal allows families to design their homes by consulting an architect in order to develop customized furniture and structure for the site within a stipulated deadline, thereby allowing consumers to get their homes renovated in a hassle-free manner.</t>
  </si>
  <si>
    <t>191088-19T</t>
  </si>
  <si>
    <t>Rodrigo Stoqui(Rodrigo Stoqui), SaaSholic</t>
  </si>
  <si>
    <t>121515-58T</t>
  </si>
  <si>
    <t>EDP Renováveis (Onshore Wind Farm in Bahia, Brazil)</t>
  </si>
  <si>
    <t>A 137-megawatt onshore wind farm located in Bahia, Brazil.</t>
  </si>
  <si>
    <t>128573-02T</t>
  </si>
  <si>
    <t>139038-85T</t>
  </si>
  <si>
    <t>173476-99T</t>
  </si>
  <si>
    <t>Kepler Weber (BVMF: KEPL3)</t>
  </si>
  <si>
    <t>Kepler Weber SA manufactures equipment for the storage, processing and bulk handling as well as develops storage solutions. It offers steel silos, grain dryers, grain cleaning and pre-cleaning machines, grain conveyors, horizontal and vertical conveyors, and farm lines, as well as special storage systems, such as port terminals and malt storage systems.</t>
  </si>
  <si>
    <t>Machinery (B2B)</t>
  </si>
  <si>
    <t>164736-01T</t>
  </si>
  <si>
    <t>138398-50T</t>
  </si>
  <si>
    <t>Maquigeral industria e Comercio de Máquinas</t>
  </si>
  <si>
    <t>Manufacturer of generators based in Brazil. The company is engaged in the production and distribution of generator sets and related systems in Brazil.</t>
  </si>
  <si>
    <t>Electrical Equipment</t>
  </si>
  <si>
    <t>216055-90T</t>
  </si>
  <si>
    <t>Marta Intelligence Imobiliária</t>
  </si>
  <si>
    <t>Developer of a real estate platform designed to transform data into knowledge and intelligence for taking strategic action by developers and builders. The company offers artificial intelligence to optimize sales, collect and analyze data, and monitor the activities of customers interested in real estate, enabling developers and builders to have a complete view of how customers access their developments and identify the right customers for their business.</t>
  </si>
  <si>
    <t>140328-55T</t>
  </si>
  <si>
    <t>Pedala</t>
  </si>
  <si>
    <t>Provider of bicycle-based urban delivery services intended to promote the quality of life. The company's services include the option of environmentally friendly delivery among the shipping options on the websites along with custom stickers to stick to the packages, enabling businesses to benefit from the delivery services at reasonable prices.</t>
  </si>
  <si>
    <t>129521-17T</t>
  </si>
  <si>
    <t>Pegue Fretado</t>
  </si>
  <si>
    <t>Provider of a mass transit service intended to improve the quality of commute. The company's service lists various charter lines on its search engine, enabling users to find a suitable mode of transport and make a request for it.</t>
  </si>
  <si>
    <t>Redpoint eventures(Rodrigo Baer)</t>
  </si>
  <si>
    <t>131224-60T</t>
  </si>
  <si>
    <t>System Interact</t>
  </si>
  <si>
    <t>Provider of credit recovery services to its clients based in Osasco, Brazil. The company offers sales solutions, customer retention, sales and solutions through its software designed to meet specific needs.</t>
  </si>
  <si>
    <t>SerComm (TAI: 5388)</t>
  </si>
  <si>
    <t>171115-21T</t>
  </si>
  <si>
    <t>Teewa</t>
  </si>
  <si>
    <t>Developer of a mobile application designed for online local purchases. The company's application makes the process of contracting products and services more pleasant and efficient by creating a communication channel between clients and suppliers, enabling users to buy locally produced products easily.</t>
  </si>
  <si>
    <t>124586-20T</t>
  </si>
  <si>
    <t>Quimisa</t>
  </si>
  <si>
    <t>Manufacturer of industrial and specialty chemicals based in Sao Paulo, Brazil. The company offers chemicals for a variety of industries, including agriculture, animal nutrition, home care, beauty and food and nutrition industries, including acetic acid, sulphuric acid, cetyl alcohol, acetone, critic acid and other chemicals.</t>
  </si>
  <si>
    <t>Brenntag (ETR: BNR)(German Torres)</t>
  </si>
  <si>
    <t>210996-28T</t>
  </si>
  <si>
    <t>Smart Outlets</t>
  </si>
  <si>
    <t>Operator of the thematic environment platform intended for family entertainment. The company's platform specializes in an entertainment complex that brings together shopping, attractions, and varied activities for all ages, providing visitors with the option to rent a car, outpatient clinic services, and free internal transfer services.</t>
  </si>
  <si>
    <t>127284-94T</t>
  </si>
  <si>
    <t>Headline(Romero Rodrigues), Redpoint eventures(Romero Rodrigues)</t>
  </si>
  <si>
    <t>216197-29T</t>
  </si>
  <si>
    <t>Jurubatech Participações</t>
  </si>
  <si>
    <t>Provider of construction services based in Sao Paulo, Brazil. The company is focused on the purchase and sale of residential and commercial properties.</t>
  </si>
  <si>
    <t>Econ Construtora</t>
  </si>
  <si>
    <t>133772-23T</t>
  </si>
  <si>
    <t>Brafin Technology Holdings</t>
  </si>
  <si>
    <t>212081-23T</t>
  </si>
  <si>
    <t>Unio Digital</t>
  </si>
  <si>
    <t>Operator of a technology company based in Vitoria, Brazil. The company provides a wide range of IT solutions such as NucleOS, mobile platform and automating tools, enabling programmers to avail quality IR solutions that make application development faster and cheaper.</t>
  </si>
  <si>
    <t>Holding Laçador Participações</t>
  </si>
  <si>
    <t>177039-19T</t>
  </si>
  <si>
    <t>227651-77T</t>
  </si>
  <si>
    <t>Vinci Offices FII (BVMF: VINO11)</t>
  </si>
  <si>
    <t>Vinci Offices Fundo DE Investimento Imobiliario is a real estate investment trust.</t>
  </si>
  <si>
    <t>156769-12T</t>
  </si>
  <si>
    <t>CPP Investments(Tania Chocolat)</t>
  </si>
  <si>
    <t>127270-90T</t>
  </si>
  <si>
    <t>Fishtag</t>
  </si>
  <si>
    <t>Developer of a platform designed to bring producers closer to buyers in a supply chain. The company's portal allows a producer to connect with the restaurant and restaurants also get access to the information about its where, when and by whom this fish was delivered, enabling their clients to ensuring product quality through traceability.</t>
  </si>
  <si>
    <t>Bossa Invest, GVAngels, INSEAD Business Angels</t>
  </si>
  <si>
    <t>276493-24T</t>
  </si>
  <si>
    <t>Programaria</t>
  </si>
  <si>
    <t>Operator of a training program intended for women to feel confident and motivated about technology The company offers classroom instruction in cutting-edge web technologies in which women learn the most up-to-date development skills, enabling women to get jobs according to their skill levels</t>
  </si>
  <si>
    <t>132386-77T</t>
  </si>
  <si>
    <t>Dr. Hato Veterinary Hospitals</t>
  </si>
  <si>
    <t>Owner and operator of veterinary hospitals based out of Sao Bernardo Do Campo, Brazil. The company offers 24-hour veterinary care, surgeries, stem cell treatment, tomography, semi Intensive hospitalization and microchipping services, thereby enabling its customers pets to be provided with quality veterinary services at an affordable price.</t>
  </si>
  <si>
    <t>PetCare</t>
  </si>
  <si>
    <t>276029-92T</t>
  </si>
  <si>
    <t>Trinks Serviços De Internet</t>
  </si>
  <si>
    <t>Provider of online scheduling and management systems for beauty and wellness services across Brazil. The company offers integrated financial control, online booking, and payment systems, helping over 40,000 entrepreneurs streamline their operations and enhance customer satisfaction.</t>
  </si>
  <si>
    <t>224695-90T</t>
  </si>
  <si>
    <t>JPP Allocation Mogno FII (BVMF: JPPA11)</t>
  </si>
  <si>
    <t>Jpp Capital Recebiveis Imobiliarios Fundo De Investimento Imobiliario formerly Jpp Allocation Mogno - Fundo DE Investimento Imobiliario is a real estate investment trust. Its objective is to make investments in target assets and liquidity assets seeking to provide shareholders, under efforts, profitability higher than the target profitability, fundamentally from the gains resulting from the profitability of target assets and liquidity assets. Its target assets are certificates of real estate receivables; real estate credit bills; mortgage bills; real estate investment fund quotas; quotas of credit rights investment fund; debentures; guaranteed real estate bill; and any other assets permitted under the regulations in force.</t>
  </si>
  <si>
    <t>126993-97T</t>
  </si>
  <si>
    <t>122274-55T</t>
  </si>
  <si>
    <t>Liquigás Distribuidora (LIQDISP)</t>
  </si>
  <si>
    <t>Distributor of LPG gas in Brazil. The company's services include bottling, distribution and commercialization of liquefied petroleum gas and also oil refining bi-products.</t>
  </si>
  <si>
    <t>Copagaz Distribuidora De Gas, Itaúsa (BVMF: ITSA3), Nacional Gás Butano</t>
  </si>
  <si>
    <t>126684-64T</t>
  </si>
  <si>
    <t>Banco Votorantim Empreendimentos e Participacoes, Endeavor Catalyst, Flourish Ventures, General Atlantic(Luiz Ribeiro), Monashees(Marcelo Lima), Omidyar Network, Propel Venture Partners(Jay Reinemann), Quona Capital(Jonathan Whittle)</t>
  </si>
  <si>
    <t>180846-73T</t>
  </si>
  <si>
    <t>Canary (Brazil), Norte Ventures</t>
  </si>
  <si>
    <t>158074-75T</t>
  </si>
  <si>
    <t>Feba Capital(Bill Madeira)</t>
  </si>
  <si>
    <t>173264-68T</t>
  </si>
  <si>
    <t>135932-59T</t>
  </si>
  <si>
    <t>Novare (Sao Paulo)</t>
  </si>
  <si>
    <t>Provider of portfolio management SaaS based in São Paulo, Brazil. The company specializes in customization and automation of startup performance and financial metrics in an integrated lean analytics dashboard, enhancing governance for investor relations management.</t>
  </si>
  <si>
    <t>Investory.io</t>
  </si>
  <si>
    <t>130213-81T</t>
  </si>
  <si>
    <t>Global Founders Capital, Iporanga Ventures, Kaszek, Norte Ventures, Picus Capital, Spectra Investments</t>
  </si>
  <si>
    <t>226371-70T</t>
  </si>
  <si>
    <t>211727-08T</t>
  </si>
  <si>
    <t>UniToledo</t>
  </si>
  <si>
    <t>Operator of an educational institution based in Araçatuba, Brazil. The company offers postgraduate, undergraduate and graduation courses via on-campus and online mediums, enabling students to enlighten themselves and find jobs of their choice.</t>
  </si>
  <si>
    <t>124742-98T</t>
  </si>
  <si>
    <t>Bossa Invest, EquityRio</t>
  </si>
  <si>
    <t>181887-49T</t>
  </si>
  <si>
    <t>221244-94T</t>
  </si>
  <si>
    <t>Atrio REIT Recebiveis (BVMF: ARRI11)</t>
  </si>
  <si>
    <t>Fundo DE Investimento Imobiliario Atrio Reit Recebiveis Imobiliarios, formely Atrio REIT Recebiveis Imobiliarios FII is a real estate investment fund. It invests in real estate receivables certificates, mortgage bonds, mortgage bonds, guaranteed real estate.</t>
  </si>
  <si>
    <t>251978-50T</t>
  </si>
  <si>
    <t>Dexco (BVMF: DXCO3)(Daniel Franco)</t>
  </si>
  <si>
    <t>227468-44T</t>
  </si>
  <si>
    <t>Plural Recebiveis (BVMF: PLCR11)</t>
  </si>
  <si>
    <t>Plural Recebiveis Imobiliarios Fundo DE Investimento Imobiliario, formely Plural Recebiveis Imobiliarios FII is a closed-ended real estate fund.</t>
  </si>
  <si>
    <t>126718-66T</t>
  </si>
  <si>
    <t>Fabio Iunis de Paula(Fabio Iunis de Paula), Fifty 5, Gávea Angel Group(Luiz Eduardo Moreira Caio), Indicator Capital(Fabio Iunis de Paula), NB Capital (Brazil), Rio Venture Capital</t>
  </si>
  <si>
    <t>193344-76T</t>
  </si>
  <si>
    <t>COREangels, Newzone Venture Capital</t>
  </si>
  <si>
    <t>126129-34T</t>
  </si>
  <si>
    <t>Blend Coberturas</t>
  </si>
  <si>
    <t>Provider of confectionery and sweet products based in Sao Paulo, Brazil. The company designs and supplies innovative products and solutions for the market of sugar-free confectionery, sweets, ice cream, and desserts.</t>
  </si>
  <si>
    <t>Charterhouse Capital Partners(Giuseppe Prestia), Mec3</t>
  </si>
  <si>
    <t>133763-41T</t>
  </si>
  <si>
    <t>Natural Energia</t>
  </si>
  <si>
    <t>Developer of cleantech power generation projects intended for sustainable development. The company generates energy by increasing the participation of three types of clean energy in the global energy mix: wind, solar and natural gas power plants, enabling clients with the least impact on the surrounding environment.</t>
  </si>
  <si>
    <t>200035-90T</t>
  </si>
  <si>
    <t>Melhor Escola</t>
  </si>
  <si>
    <t>Developer of an online school reviews platform designed to discover schools across Brazil. The company offers a web-based marketplace that allows discovering and finding reviews or rankings, researching, choosing, registering and enrolling in a school, enabling parents to find the appropriate educational hub for their children.</t>
  </si>
  <si>
    <t>Quero Educação(Roger Garcia)</t>
  </si>
  <si>
    <t>158778-64T</t>
  </si>
  <si>
    <t>Modiax</t>
  </si>
  <si>
    <t>Developer of a cryptocurrency exchange platform designed to build the future of investments, in a global and tokenized way. The company's platform intends to be more than a connection channel between the investor and the investment, providing all the support and tools for anyone to make an investment, enabling clients to access faster, cheaper, more secure transactions, greater freedom, privacy while doing blockchain transactions.</t>
  </si>
  <si>
    <t>Foxbit(João Canhada)</t>
  </si>
  <si>
    <t>184776-31T</t>
  </si>
  <si>
    <t>125774-56T</t>
  </si>
  <si>
    <t>Kimball Thomas, Lupa Capital, QED Investors(Bill Cilluffo), Thrive Capital, Valiant Capital Partners</t>
  </si>
  <si>
    <t>135110-71T</t>
  </si>
  <si>
    <t>Checkplant</t>
  </si>
  <si>
    <t>Developer of agricultural management software designed to optimize the management of fruit production and traceability of products. The company's platform helps to optimize integrated management and offers mechanisms for planning, accurate assessments of employees and field activities, improvement of work orders, and pest monitoring and online traceability systems to facilitate instant recording and identification of production batches integrating quality assessments, logistics movements, and stocks, enabling agricultural producers and packing houses to make smarter decisions that save inputs, reduce environmental impacts and protect crops from pests and diseases.</t>
  </si>
  <si>
    <t>CRP Companhia de Participacoes, CVentures, Siagri(Carlos Barbosa)</t>
  </si>
  <si>
    <t>130324-51T</t>
  </si>
  <si>
    <t>Nutribrands</t>
  </si>
  <si>
    <t>Provider of health and nutrition products based in Curitiba, Brazil. The company owns, imports, and distributes more than 150 trademarked "Made in USA" products for the Brazilian market.</t>
  </si>
  <si>
    <t>Verus Foods (PINX: VRUS)</t>
  </si>
  <si>
    <t>300265-12T</t>
  </si>
  <si>
    <t>OnBlox</t>
  </si>
  <si>
    <t>Developer of logistics software based in Goiania, Brazil. The company software provides services like warehouse management, fleet management and packages.</t>
  </si>
  <si>
    <t>MaximaTek(Rafael Martins)</t>
  </si>
  <si>
    <t>125642-26T</t>
  </si>
  <si>
    <t>Maya Capital (Brazil)(Lara Lemann)</t>
  </si>
  <si>
    <t>268193-98T</t>
  </si>
  <si>
    <t>Banco do Brasil (BVMF: BBAS3)</t>
  </si>
  <si>
    <t>Banco do Brasil SA BB Brasil is a Brazilian financial services company present in several countries. The business segments are Banking, Investments, Fund Management, Insurance, Electronic payments, and others. Majority of the revenue is generated from its Banking segment. Banco do Brasil serves retail clients (small and midsize enterprises and individuals), wholesale clients (corporations), and public institutions. The products and services portfolio includes accounts, Loans, cards, financing, and others.</t>
  </si>
  <si>
    <t>216195-76T</t>
  </si>
  <si>
    <t>Belem Bioenergia Brasil</t>
  </si>
  <si>
    <t>Operator of a vegetable oil producing company based in Belém, Brazil. The company is specialized in the production of palm oil, palm kernel oil and their refined counterparts and also produces biofuel.</t>
  </si>
  <si>
    <t>Galp Bioenergy</t>
  </si>
  <si>
    <t>121443-76T</t>
  </si>
  <si>
    <t>Advent International</t>
  </si>
  <si>
    <t>156722-05T</t>
  </si>
  <si>
    <t>EDK (Brazil)</t>
  </si>
  <si>
    <t>Producer of ground calcium carbonate which is used in construction, paint and coating markets.</t>
  </si>
  <si>
    <t>Imerys (PAR: NK)</t>
  </si>
  <si>
    <t>125959-51T</t>
  </si>
  <si>
    <t>Ellebank</t>
  </si>
  <si>
    <t>Developer of a digital financial platform intended to provide digital banking services. The company's platform offers customized cards with low rates and payment terms, life, car, travel, home, and pension insurance, investment options, and financial management reports, enabling customers to make payments, transfer funds, and digitally manage their finances.</t>
  </si>
  <si>
    <t>San Francisco Venture Capital Fund</t>
  </si>
  <si>
    <t>127710-73T</t>
  </si>
  <si>
    <t>Astella Investimentos(Laura Constantini), Bossa Invest, CVentures</t>
  </si>
  <si>
    <t>123095-53T</t>
  </si>
  <si>
    <t>Exceda</t>
  </si>
  <si>
    <t>Developer of content acceleration software based in Sao Paulo, Brazil. The company develops and deploys application optimization service, web application accelerator and dynamic site accelerator for delivering interactive web applications for finance, commerce, enterprise or entertainment sectors.</t>
  </si>
  <si>
    <t>Akamai Technologies (NAS: AKAM)(Rick Mcconnell)</t>
  </si>
  <si>
    <t>125968-78T</t>
  </si>
  <si>
    <t>Igglu Consórcio</t>
  </si>
  <si>
    <t>Developer of a digital real estate platform designed to facilitate property buying on credit. The company's platform provides credit analysis and then finds the ideal property for each buyer, and serves to purchase quotas, automobiles, and real estate, enabling users to find property needs at the one-stop platform.</t>
  </si>
  <si>
    <t>246255-04T</t>
  </si>
  <si>
    <t>Irricontrol</t>
  </si>
  <si>
    <t>Provider irrigation technology services intended to ensure increasingly efficient irrigated agriculture. The company offers irrigation automation, water resource management, farm digitalization and platform integration services, helping its customers reduce operational costs and sustainably increase safety and productivity.</t>
  </si>
  <si>
    <t>Alpine Equity Management, Invest Unternehmensbeteiligungs, IPO Beteiligungs-Management, Röhren- und Pumpenwerk Bauer</t>
  </si>
  <si>
    <t>284411-26T</t>
  </si>
  <si>
    <t>It Fast</t>
  </si>
  <si>
    <t>Developer of an AI-based platform designed to give focus on the development of systems for analysis and inspection of specialist systems. The company captures and interprets high-level information from digital images or videos, develops customized systems that optimize hardware performance, develops applications for mobile systems to perform specific tasks on demand and helps in vulnerability testing, incident response and forensic analysis, enabling users to get tailor-made solutions based on information technology and research and development for their company.</t>
  </si>
  <si>
    <t>Incubaero</t>
  </si>
  <si>
    <t>125975-62T</t>
  </si>
  <si>
    <t>Kipstone</t>
  </si>
  <si>
    <t>Developer of a financial platform intended to transform the experience of structured finance through blockchain. The company's services include offering complete coordination of ICO / STO operations, integration of means of payment, and sophisticated financial services platform to distribute financial products from leading banks and revolutionizes the financial market by investing in digital processes for investment banking products, reducing bureaucracy and streamlining the entire process for the parties involved, enabling companies, financial institutions, investment funds to get assistance for ICO / STO projects.</t>
  </si>
  <si>
    <t>183907-00T</t>
  </si>
  <si>
    <t>Distrito Ventures</t>
  </si>
  <si>
    <t>128904-76T</t>
  </si>
  <si>
    <t>DOMO.VC, Headline, Redpoint eventures(Anderson Thees)</t>
  </si>
  <si>
    <t>124760-71T</t>
  </si>
  <si>
    <t>Abel Dias(Abel Dias), Bossa Invest, Emanuel Cordioli(Emanuel Cordioli)</t>
  </si>
  <si>
    <t>123546-79T</t>
  </si>
  <si>
    <t>Raízen Energia (Raizen Conveniencias)</t>
  </si>
  <si>
    <t>Operator of convenience stores based in Brazil.</t>
  </si>
  <si>
    <t>Fomento Economico Mexicano (MEX: FEMSAUBD)(Daniel Cofre)</t>
  </si>
  <si>
    <t>197233-75T</t>
  </si>
  <si>
    <t>RCMA Commodities Do Brasil Importacao E Exportacao</t>
  </si>
  <si>
    <t>Producer and supplier of white sugar based in Sao Paulo, Brazil. The company is engaged in the production and trading of white sugar.</t>
  </si>
  <si>
    <t>Golden Agri-Resources (SES: E5H)</t>
  </si>
  <si>
    <t>160684-12T</t>
  </si>
  <si>
    <t>196156-54T</t>
  </si>
  <si>
    <t>Sao Firmino Comercial E Magazine</t>
  </si>
  <si>
    <t>Operator of a book store based in Sao Paulo, Brazil.</t>
  </si>
  <si>
    <t>Paraíso da Leitura</t>
  </si>
  <si>
    <t>178300-36T</t>
  </si>
  <si>
    <t>Sistema Positivo de Ensino</t>
  </si>
  <si>
    <t>Provider of educational and training services based in Curitiba, Brazil. The company offers school management, consulting and training services along with education technology as well as didactic resources, helping schools educate positive, ethical and responsible citizens.</t>
  </si>
  <si>
    <t>Arco Educação(Ari de Sa Neto), General Atlantic</t>
  </si>
  <si>
    <t>213238-63T</t>
  </si>
  <si>
    <t>Uninorte</t>
  </si>
  <si>
    <t>Operator of an educational institute intended to provide higher educational courses. The company offers undergraduate and postgraduate courses, distance learning, career coaching, and international exchange programs, enabling students with practical training, and global opportunities for personal and professional growth.</t>
  </si>
  <si>
    <t>213441-58T</t>
  </si>
  <si>
    <t>University of Southern Santa Catarina</t>
  </si>
  <si>
    <t>Provider of educational services based on Santa Catarina, Brazil. The company's course includes MBA, master's degree, bachelor's degree, enabling students to develop their knowledge and skills.</t>
  </si>
  <si>
    <t>128394-82T</t>
  </si>
  <si>
    <t>Zup IT Solutions</t>
  </si>
  <si>
    <t>Developer of a systems integration and application program interface designed to solve information technology challenges. The company's systems integration and application program interface provides technologies to connect and automate the process of system integration, thereby enabling companies to handle the entire complexity of systems integration and outsourcing services.</t>
  </si>
  <si>
    <t>121260-79T</t>
  </si>
  <si>
    <t>Becker S Indústria de Nutrição Animal</t>
  </si>
  <si>
    <t>Producer of swine feed based in Quatro Pontes, Brazil. The company offers pork rations, focusing on new technologies and innovations in the animal production sector.</t>
  </si>
  <si>
    <t>Cargill(Chuck Warta)</t>
  </si>
  <si>
    <t>274933-18T</t>
  </si>
  <si>
    <t>SOLARSOU Soluções em Energia</t>
  </si>
  <si>
    <t>Provider of solar energy services catering to businesses and homeowners. The company offers comprehensive services, including project development, equipment sales, and installation of photovoltaic systems, enabling clients to reduce their carbon footprint and achieve energy independence.</t>
  </si>
  <si>
    <t>2bCapital, Refrigello Climatização de Ambientes(Tiziano Filho)</t>
  </si>
  <si>
    <t>227806-39T</t>
  </si>
  <si>
    <t>Caracol Chocolates</t>
  </si>
  <si>
    <t>Producer of food products based in Gramado, Brazil. The company offers handmade chocolates made up of cocoa butter and milk and without the use of any other source of fat.</t>
  </si>
  <si>
    <t>Florestal Alimentos(Mauricio Weiand)</t>
  </si>
  <si>
    <t>132579-10T</t>
  </si>
  <si>
    <t>Spectra Investments, Valor Capital Group, William Tunstall-Pedoe(William Tunstall-Pedoe)</t>
  </si>
  <si>
    <t>181496-44T</t>
  </si>
  <si>
    <t>Neurobots Research And Development</t>
  </si>
  <si>
    <t>Developer of portable muscle biofeedback designed to make accessible neurotechnology. The company develops medical equipment that teaches advanced control over muscles (neuromuscular training). The technology uses sensors to measure the electrical activity of muscles in real-time in an objective, safe and non-invasive way, helping customers to self-regulate the body and learn effective contraction or relaxation strategies.</t>
  </si>
  <si>
    <t>KPTL, Vox Capital</t>
  </si>
  <si>
    <t>128604-70T</t>
  </si>
  <si>
    <t>Canary (Brazil), Dorival Dourado(Dorival Dourado), Fernando Manfio(Fernando Manfio), Guilherme Horn(Guilherme Horn), Headline(Anderson Thees), Pedro Yue(Pedro Yue), Redpoint eventures(Flavio Pripas), WP Capital</t>
  </si>
  <si>
    <t>178239-61T</t>
  </si>
  <si>
    <t>Nave à Vela</t>
  </si>
  <si>
    <t>Provider of education and training services intended to teach new generations through maker culture. The company specializes in developing a curriculum of technological literacy and skills related to creative problem-solving and project realization and offers to learn through curriculum content in an exploratory and thought-provoking way, providing students with skills to build and reinvent the world around them.</t>
  </si>
  <si>
    <t>226394-20T</t>
  </si>
  <si>
    <t>RB Capital Desenvolvimento 3 (BVMF: RSPD11)</t>
  </si>
  <si>
    <t>Rb Capital Desenvolvimento Residencial Iii Fundo DE Inv Imob FII is a real estate investment trust. The company invests in real estate assets in form of closed condominium.</t>
  </si>
  <si>
    <t>133760-17T</t>
  </si>
  <si>
    <t>Setta</t>
  </si>
  <si>
    <t>Developer of a wellness application platform intended to optimize routine with healthy habits and increase productivity. The company's platform helps to set challenges, introduce different rituals, and understand the moods and thoughts of users, all for their pursuit of personal development and well-being, enabling users to get motivated and lift themselves up in times of stress.</t>
  </si>
  <si>
    <t>130413-52T</t>
  </si>
  <si>
    <t>Supplier Administradora de Cartões</t>
  </si>
  <si>
    <t>Provider of financial services intended to offer credit services. The company's credit card services offer payment-processing between businesses and customers through issuance of private-label payment cards with credit limits and additional financial terms focused on private label cards for business-to-business purchases.</t>
  </si>
  <si>
    <t>134593-48T</t>
  </si>
  <si>
    <t>Banco Bmg SA formerly is a Brazilian company that operates as a multiple-service bank with commercial and credit, financing and investment portfolios. The company operates in three segments: Retail Banking, Wholesale Banking and Insurance. offers as retail products: payroll credit card, payroll loan, personal credit and mass market insurance via partnership. It also provides a full range of retail products and services available to its clients through its digital bank. Wholesale customers are offered financing, structured financial services, derivative instruments and collateral insurance.</t>
  </si>
  <si>
    <t>157809-79T</t>
  </si>
  <si>
    <t>Cea Modas (BVMF: CEAB3)</t>
  </si>
  <si>
    <t>C &amp; A Modas SA is a fashion retail brand company in Brazil. The Group sells its merchandise in approximately 332 stores, which are supplied by 3 distribution centers in the states of Sao Paulo, Rio de Janeiro, and Santa Catarina and 1 logistics operation. The Group also sells its goods through e-commerce services. The company has two segments retail and Financial products and services. The retail segment consists sale of apparel, perfumery, cosmetics, watches, and cell phones in B&amp;M stores and e-commerce. The Financial products and services segment consists of consumer credit operations and intermediation of insurance sales through its partners or own operations with the C&amp;A Pay card. The majority of revenue is derived from the retail segment.</t>
  </si>
  <si>
    <t>166491-73T</t>
  </si>
  <si>
    <t>Ventiur(Sandro Cortezia), WOW Aceleradora de Startups</t>
  </si>
  <si>
    <t>125801-47T</t>
  </si>
  <si>
    <t>212022-37T</t>
  </si>
  <si>
    <t>ClimateLaunchpad</t>
  </si>
  <si>
    <t>125362-09T</t>
  </si>
  <si>
    <t>172981-90T</t>
  </si>
  <si>
    <t>124540-57T</t>
  </si>
  <si>
    <t>TWW do Brasil</t>
  </si>
  <si>
    <t>Provider of business messaging services based in Sao Paulo, Brazil. The company offers various services including zero-cost implementation, real-time tracking, SMS marketing, training, and integration, enabling its customers to access fast, user-friendly web platform in their desired language and methods.</t>
  </si>
  <si>
    <t>199582-39T</t>
  </si>
  <si>
    <t>125646-31T</t>
  </si>
  <si>
    <t>Axen Capital, North Star Capital</t>
  </si>
  <si>
    <t>123288-58T</t>
  </si>
  <si>
    <t>Bruno Yoshimura(Bruno Yoshimura), Canary (Brazil), Grupo Globo, Gustavo Monteiro(Gustavo Monteiro), Hans Tung(Hans Tung), Justin Mateen(Justin Mateen), Monashees, ONEVC(Eduardo Middle Brennand Campos), Paulo Silveira(Paulo Silveira), Qualcomm Ventures(Alexandre Villela), Rodrigo Dantas(Rodrigo Dantas)</t>
  </si>
  <si>
    <t>251547-04T</t>
  </si>
  <si>
    <t>Faria Lima Capital FII (BVMF: FLCR11)</t>
  </si>
  <si>
    <t>Faria Lima Capital Recebiveis Imobiliarios I FII is a Real estate Investment Fund.</t>
  </si>
  <si>
    <t>125479-45T</t>
  </si>
  <si>
    <t>Bossa Invest, FTV Capital(Robert Anderson)</t>
  </si>
  <si>
    <t>205265-89T</t>
  </si>
  <si>
    <t>Munddi</t>
  </si>
  <si>
    <t>Developer of an online social connectivity platform designed to connect brands and stores to consumers. The company's platform helps to find and buy products from retailers in their region online, in addition to generating strategic information and business opportunities for manufacturers and retailers, enabling brands and stores to boost sales and help customers find the nearest stores with the desired products.</t>
  </si>
  <si>
    <t>213269-95T</t>
  </si>
  <si>
    <t>SetaDigital Sistemas Gerenciais</t>
  </si>
  <si>
    <t>Developer of a business productivity application intended for shoe stores. The company specializes in software that features conditional sales
discount coupon, promotions, and relationship engine, seta credit, e-commerce module, and inventory turnover accelerator, helping businesses reduce costs and increase store efficiency through their easy payment option and analytical dashboards.</t>
  </si>
  <si>
    <t>124818-04T</t>
  </si>
  <si>
    <t>Sunset Brew</t>
  </si>
  <si>
    <t>Operator of a brewery intended to produce various types of beers. The company manufactures seasonal, line, limited-edition and collaboration beers and focuses on sustainability and safety with its waste management system, providing customers with a variety of fresh beers.</t>
  </si>
  <si>
    <t>130092-13T</t>
  </si>
  <si>
    <t>133045-03T</t>
  </si>
  <si>
    <t>Astella Investimentos(Laura Constantini), Bossa Invest, Catalyst Fund, DOMO.VC, Spectra Investments, Vox Capital</t>
  </si>
  <si>
    <t>189063-82T</t>
  </si>
  <si>
    <t>Raks Agricultural Technology</t>
  </si>
  <si>
    <t>Developer of automated water management system designed for irrigation management purposes. The company's platform integrates data from soil, crops, weather, and irrigation systems, enabling farmers to make informed decisions about when and how much to irrigate, ultimately leading to more efficient water usage and increased crop yields.</t>
  </si>
  <si>
    <t>Iowa AgriTech Accelerator(Kerty Levy)</t>
  </si>
  <si>
    <t>136845-46T</t>
  </si>
  <si>
    <t>BBNK</t>
  </si>
  <si>
    <t>Developer of a white-label banking platform designed to optimize the day-to-day profitability of businesses. The company's platform allows offering customized services with the face of business from where customers can open accounts, deposits, transfers, investments, foreign exchange transactions, and scheduling, enabling non-financial companies to offer recognition and credibility of their brand, directly to customers, suppliers, service providers, and employees.</t>
  </si>
  <si>
    <t>Gear Ventures, Parallax Ventures</t>
  </si>
  <si>
    <t>132251-14T</t>
  </si>
  <si>
    <t>Cafe Pacaembu</t>
  </si>
  <si>
    <t>Retailer and wholesaler of coffee-based products based in São Paulo, Brazil. The company offers products under the category of cappuccinos, roasted &amp; ground, soluble coffee, grain roasted thereby providing customers with moments of pleasure.</t>
  </si>
  <si>
    <t>Massimo Zanetti Beverage(Massimo Zanetti)</t>
  </si>
  <si>
    <t>124869-43T</t>
  </si>
  <si>
    <t>Centrais Eletricas Brasileiras SA is engaged in the generation, transmission, and commercialization of electricity in Brazil. The company operates a portfolio of wind, thermal, hydro, and nuclear power plants located throughout the country. Its segments are Generation which consists of the generation of electric energy and the sale of energy to distribution companies and free consumers, and commercialization; Transmission which consists of the transmission of electric energy; and Administration activities mainly represent the Company's cash management, the management of the compulsory loan, and the management of business in SPEs, and others.</t>
  </si>
  <si>
    <t>133104-25T</t>
  </si>
  <si>
    <t>125594-65T</t>
  </si>
  <si>
    <t>Angela Antony(Angela Antony), Christopher Chang(Christopher Chang), Daniel Dubois(Daniel Dubois), Daniel Rumennik(Daniel Rumennik), Fifth Wall(Andriy Mykhaylovskyy), Frank Fumarola(Frank Fumarola), GLP, Hans Tung(Hans Tung), Jimmy Sopko(Jimmy Sopko), Lupa Capital, Nicholas Hinrichsen(Nicholas Hinrichsen), Nuo Yan(Nuo Yan), NXTP Ventures(Ariel Arrieta), Qualcomm Ventures, Roman Fuchs(Roman Fuchs), Sheel Tyle, Valor Capital Group</t>
  </si>
  <si>
    <t>124655-23T</t>
  </si>
  <si>
    <t>Resolvvi</t>
  </si>
  <si>
    <t>Provider of a consumer dispute platform intended to resolve compensation issues. The company's platform records problems with airlines such as flight delays, cancellations, and overbookings digitally to eliminate manual user problem-checking processes, enabling passengers to monitor their disputes and claim compensation grievances.</t>
  </si>
  <si>
    <t>Bossa Invest(João Kepler), DOMO.VC(Rodrigo Borges), GVAngels(Patricia Osorio)</t>
  </si>
  <si>
    <t>140902-75T</t>
  </si>
  <si>
    <t>Robobiz</t>
  </si>
  <si>
    <t>Developer of robotic process automation based in Sao Paulo, Brazil. The company offers technology that allows the construction of robot software that simulates human operation in the execution of tasks, especially repetitive ones that destroy productivity and professional motivation.</t>
  </si>
  <si>
    <t>223969-42T</t>
  </si>
  <si>
    <t>FOF Integral BREI FII (BVMF: IBFF11)</t>
  </si>
  <si>
    <t>Fundo DE Investimento Imobiliario FOF Integral Brei is a real estate investment trust. Its objective is to invest in shares of other real estate investment funds (FII) admitted to trading on organized markets managed by B3 SA - Brasil, Bolsa Balcao (B3), and certificates real estate receivables (CRI); mortgage bills; real estate credit bills; and guaranteed real estate bills.</t>
  </si>
  <si>
    <t>268064-47T</t>
  </si>
  <si>
    <t>EntregAli</t>
  </si>
  <si>
    <t>Manufacturer of smart lockers intended to improve package delivery and retrieval. The company offers secure, convenient, and contactless delivery for individuals, businesses, and residential complexes, enabling customers to manage their packages efficiently and independently.</t>
  </si>
  <si>
    <t>130546-45T</t>
  </si>
  <si>
    <t>Altitude Investment Management, Canary (Brazil), Positive Ventures(Fábio Kestenbaum), Potencia Ventures</t>
  </si>
  <si>
    <t>129505-60T</t>
  </si>
  <si>
    <t>Lowko</t>
  </si>
  <si>
    <t>Producer of low-calorie ice creams intended to serve as healthy substitutes for their traditional counterpart. The company's ice creams are vegan, made from natural ingredients and devoid of artificial sweeteners, enabling customers to have access to fat-free desserts at reasonable prices.</t>
  </si>
  <si>
    <t>Global Founders Capital</t>
  </si>
  <si>
    <t>124757-29T</t>
  </si>
  <si>
    <t>A.B.Seed Ventures, Bossa Invest</t>
  </si>
  <si>
    <t>127517-50T</t>
  </si>
  <si>
    <t>Archon.Capital, Bruno Licht(Bruno Licht), FinTech Collective, Fued Sadala(Fued Sadala), João Guerra(João Guerra), Julio Capua(Julio Capua), Monashees, Point Break Capital</t>
  </si>
  <si>
    <t>212269-60T</t>
  </si>
  <si>
    <t>AMcom Sistemas de Informação</t>
  </si>
  <si>
    <t>Operator of a technology and information system firm intended to co-create digital products with clients. The company specializes in technological solutions, building and deployment of applications, acceleration of strategic projects and maintenance of critical systems, enabling companies to focus on their operations and get their infotech demands met.</t>
  </si>
  <si>
    <t>126205-12T</t>
  </si>
  <si>
    <t>126198-82T</t>
  </si>
  <si>
    <t>Himarket</t>
  </si>
  <si>
    <t>Developer of a communication platform designed to offer a direct channel between retailers and their customers. The company's platform provides access to tailored business and gains valuable insights about the customers, how much each customer spends, what and how often, and creates digital tabloids, generates personalized promotions, and integrates with loyalty clubs, enabling businesses to get a personalized communication platform to integrate customers with their brand.</t>
  </si>
  <si>
    <t>126199-09T</t>
  </si>
  <si>
    <t>Google for Startups, Polaris Investimentos</t>
  </si>
  <si>
    <t>126195-67T</t>
  </si>
  <si>
    <t>124790-41T</t>
  </si>
  <si>
    <t>Canary (Brazil), Grupo Globo, Monashees, SoftBank Group (TKS: 9984), SoftBank Latin America Fund, Spectra Investments, Valor Capital Group</t>
  </si>
  <si>
    <t>224368-66T</t>
  </si>
  <si>
    <t>Hedge Realty Development FII (BVMF: HRDF11)</t>
  </si>
  <si>
    <t>Hedge Realty Development Fundo Investimento Imobiliario FII is a real estate fund. The fund's objective is to invest in real estate projects and enterprises in the segments of corporate buildings, shopping centers and industrial logistics properties.</t>
  </si>
  <si>
    <t>128804-68T</t>
  </si>
  <si>
    <t>Crescera Capital, Criatec 2(Fernando Silva), Nilson Gouvêa(Nilson Gouvêa), Triaxis Capital</t>
  </si>
  <si>
    <t>226577-26T</t>
  </si>
  <si>
    <t>Kit International</t>
  </si>
  <si>
    <t>Provider of international business solutions based in Cascavel, Brazil. The company produces food products like chicken , beef, pork, lamb and also offers global trading solutions and aims to provide solutions for companies that are willing to do business around the world, establishing long-term relationships and partnerships abroad.</t>
  </si>
  <si>
    <t>Garra International(Ali Mossalem)</t>
  </si>
  <si>
    <t>130758-13T</t>
  </si>
  <si>
    <t>Brazil Venture Capital, Drone Fund(Soki Ohmae), Francisco Forbes(Francisco Forbes), MOR Capital</t>
  </si>
  <si>
    <t>120131-20T</t>
  </si>
  <si>
    <t>Aware Logistics</t>
  </si>
  <si>
    <t>Developer of logistics management platform designed to robotize and automate the entire logistics process. The company's platform uses artificial intelligence for route optimization, process and productivity management, contract management, online trading, and real-time operation control, providing shippers with a transportation automation system to automate processes, optimize, reduce errors, facilitate logistics, and monitor modules to transform operations.</t>
  </si>
  <si>
    <t>124884-01T</t>
  </si>
  <si>
    <t>Fisher (Aquaculture)</t>
  </si>
  <si>
    <t>Producer of fish products intended for the professionalization of fish farming management and technological development. The company's systems reservoirs combine good growing temperatures with very high oxygen levels, leading to a highly suitable environment for fish farming, enabling aqua farmers to be provided with a significant decrease in labor costs, less handling and stress for the fish, and very good production parameters in a profitable and safe manner.</t>
  </si>
  <si>
    <t>Aqua-Spark(Michael Velings)</t>
  </si>
  <si>
    <t>284441-59T</t>
  </si>
  <si>
    <t>127318-60T</t>
  </si>
  <si>
    <t>V2COM Participações</t>
  </si>
  <si>
    <t>Developer of intelligent systems solutions to eliminate the complexity of the internet of things ecosystem. The company offers multi-access edge computing, 5G and private networks, wireless M2M solutions, IoT, hardware, software and smart systems, thereby enabling its clients with more speed and security for specific applications.</t>
  </si>
  <si>
    <t>124723-54T</t>
  </si>
  <si>
    <t>126517-51T</t>
  </si>
  <si>
    <t>Ewally</t>
  </si>
  <si>
    <t>Developer of a digital payment platform designed to simplify paying bills, transferring money, and collecting and recharging cell phones. The company's platform utilizes blockchain technology for payments, issues credit cards, and also provides a statement for expenses incurred by the application, enabling the unbanked and underbanked population with limited access to financial services to have cash in hand.</t>
  </si>
  <si>
    <t>Grupo Carrefour Brasil(Sébastien Durchon)</t>
  </si>
  <si>
    <t>191923-21T</t>
  </si>
  <si>
    <t>Famyle</t>
  </si>
  <si>
    <t>Operator of an online job search platform intended to assist people in searching for the ideal home professional. The company helps to securely contact maids, nannies, cleaners, day laborers, elderly caregivers, washerwomen, and ironmongers, enabling users to hire and find work by describing their needs.</t>
  </si>
  <si>
    <t>192598-57T</t>
  </si>
  <si>
    <t>160677-73T</t>
  </si>
  <si>
    <t>Funeraria Santo Antonio</t>
  </si>
  <si>
    <t>Provider of funeral services based in Samdu Norte, Brazil. The company offers cremation service, floral arrangements and air and land transfer to Brazil and abroad.</t>
  </si>
  <si>
    <t>122964-67T</t>
  </si>
  <si>
    <t>Glebba Investimentos</t>
  </si>
  <si>
    <t>Operator of a crowdfunding platform intended to serve the real estate market. The company's platform lets individuals make investments in a real estate portfolio that was previously restricted only to large investors, enabling users to efficiently and securely invest in real estate ventures.</t>
  </si>
  <si>
    <t>125963-11T</t>
  </si>
  <si>
    <t>Accion, Broadhaven Capital Partners(Michael Sidgmore), Global Founders Capital(Fabricio Pettena), Justin Mateen(Justin Mateen), Kevin Efrusy(Kevin Efrusy), Maya Capital (Brazil), Monashees, ONEVC(Pedro Sorrentino), Quona Capital(Jonathan Whittle), Shift Capital (São Paulo), Y Combinator</t>
  </si>
  <si>
    <t>170493-49T</t>
  </si>
  <si>
    <t>Markel Seguradora</t>
  </si>
  <si>
    <t>Provider of insurer services based in Rio de Janeiro, Brazil. The company offers local and admitted reinsurance along with damage as well as life insurance services.</t>
  </si>
  <si>
    <t>134594-92T</t>
  </si>
  <si>
    <t>MetroFit Self Storage</t>
  </si>
  <si>
    <t>Operator of self-storage facilities in Brazil. The company offers leasing space and storage units for personal belongings and corporate items, enabling flexible access, security and practicality for its clients.</t>
  </si>
  <si>
    <t>GoodStorage</t>
  </si>
  <si>
    <t>124167-79T</t>
  </si>
  <si>
    <t>Darby International Capital</t>
  </si>
  <si>
    <t>124167-07T</t>
  </si>
  <si>
    <t>Reforma Feita</t>
  </si>
  <si>
    <t>Developer of a platform intended to manage condominium preventive maintenance and repairs. The company's platform offers delegate activities to the caretaker or service provider via whatsapp, receive reminders of mandatory and important changes and photographic records of the areas under maintenance, enabling liquidators to have greater efficiency and productivity.</t>
  </si>
  <si>
    <t>Construtech Ventures</t>
  </si>
  <si>
    <t>226372-51T</t>
  </si>
  <si>
    <t>133133-14T</t>
  </si>
  <si>
    <t>UmHelp</t>
  </si>
  <si>
    <t>Developer of a mobile application intended to end the difficulties of finding a daily cleaner. The company's application features a network of trained day laborers and cleaners for home cleaning, enabling users to get their houses cleaned by professionals at their convenience.</t>
  </si>
  <si>
    <t>157847-41T</t>
  </si>
  <si>
    <t>132651-01T</t>
  </si>
  <si>
    <t>Armínio Fraga(Armínio Fraga), Canary (Brazil), Daniel Goldberg(Daniel Goldberg), David Feffer(David Feffer), Luiz Figueiredo(Luiz Figueiredo), Spectra Investments, Valor Capital Group, Wolff Klabin(Wolff Klabin)</t>
  </si>
  <si>
    <t>225240-40T</t>
  </si>
  <si>
    <t>Imaginable Futures Services, MSW Capital(Richard Zeiger), Potencia Ventures</t>
  </si>
  <si>
    <t>126829-90T</t>
  </si>
  <si>
    <t>Beleza Na Web</t>
  </si>
  <si>
    <t>Operator of an online retail marketplace intended to feature and sell beauty products. The company's online retail marketplace offers hair and skin care products as well as perfumes and accessories such as dryers, tweezers and scissors, thereby enabling customers to connect with top beauty experts and selective brands through quality curated digital content and buy the products of their choice.</t>
  </si>
  <si>
    <t>194821-12T</t>
  </si>
  <si>
    <t>GS Inima Environment</t>
  </si>
  <si>
    <t>131687-11T</t>
  </si>
  <si>
    <t>Nufarm (South american Business)</t>
  </si>
  <si>
    <t>Supplier of crop protection and seed treatment products in Brazil, Argentina, Colombia and Chile.</t>
  </si>
  <si>
    <t>Sumitomo Chemical Company (TKS: 4005)</t>
  </si>
  <si>
    <t>227220-58T</t>
  </si>
  <si>
    <t>Tellus Properties FII (BVMF: TEPP11)</t>
  </si>
  <si>
    <t>Tellus Properties Fundo DE Investimento Imobiliario is a real estate investment trust. It invests real estate funds.</t>
  </si>
  <si>
    <t>289456-48T</t>
  </si>
  <si>
    <t>AnubisTrade</t>
  </si>
  <si>
    <t>Provider of automated trading solutions based in Brazil. The company's platform utilizes technical analysis, price action, and tape reading to execute real-time buy and sell operations on supported exchanges, enabling cryptocurrency investors to automate trading activities.</t>
  </si>
  <si>
    <t>Atlas Quantum</t>
  </si>
  <si>
    <t>130888-36T</t>
  </si>
  <si>
    <t>Perfin Wealth Management, Starboard Restructuring Partners</t>
  </si>
  <si>
    <t>241997-23T</t>
  </si>
  <si>
    <t>Árbore Engenharia</t>
  </si>
  <si>
    <t>Provider of real estate development services intended to combine construction with housing projects. The company provides engineering and construction of real estate projects for third parties along with incorporation and own construction of projects from economic lines to high standards, providing clients with quality projects, from project development to the delivery of works.</t>
  </si>
  <si>
    <t>Global Asset Capital</t>
  </si>
  <si>
    <t>216221-95T</t>
  </si>
  <si>
    <t>Rialma Transmissora de Energia 1</t>
  </si>
  <si>
    <t>Provider of energy transmission services based in Rio de Janeiro, Brazil.</t>
  </si>
  <si>
    <t>Transmissora Alianca de Energia Eletrica (BVMF: TAEE3)</t>
  </si>
  <si>
    <t>227535-49T</t>
  </si>
  <si>
    <t>VBI CRI FII (BVMF: CVBI11)</t>
  </si>
  <si>
    <t>Fundo DE Investimento Imobiliario - Vbi Cri is a real estate investment fund. It aims to obtain income and capital gain through the investment of at least two thirds of equity directly in fixed income assets Real estate, specifically Certificates of Real Estate Receivables; Mortgage Bonds; Mortgage Bonds; Real Estate Letters Guaranteed; Fund shares FII real estate investment; and (SAW).</t>
  </si>
  <si>
    <t>124712-20T</t>
  </si>
  <si>
    <t>LAR.app</t>
  </si>
  <si>
    <t>Developer of a prop-tech platform designed to eliminate bureaucracy and ensure transparency in condominium management. The company's platform provides financial management services and takes care of the entire financial flow of the condominium in an automated way and forecasts revenue and expenses, enabling condominium owners to receive a suite of services at a fraction of cost.</t>
  </si>
  <si>
    <t>Brian Requarth(Brian Requarth), Bruno Nardon(Bruno Nardon), Global Founders Capital</t>
  </si>
  <si>
    <t>122591-80T</t>
  </si>
  <si>
    <t>Moinho Sul Mineiro</t>
  </si>
  <si>
    <t>Producer of wheat flour, mixtures and pasta market based in Varginha, Brazil. The company produces flour, baking mix, cake mix, cheese bread, chipa for potato bread, flour cookies and pasta.</t>
  </si>
  <si>
    <t>J. Macêdo</t>
  </si>
  <si>
    <t>124800-76T</t>
  </si>
  <si>
    <t>Bossa Invest, Bridge One (Warsaw), DGF Investimentos, Spectra Investments</t>
  </si>
  <si>
    <t>127368-55T</t>
  </si>
  <si>
    <t>Industria Vidreira do Nordeste</t>
  </si>
  <si>
    <t>Manufacturer of glass containers located in Estancia, Brazil. The company produces glass packaging materials including bottles and glass jars for the food and beverage industries.</t>
  </si>
  <si>
    <t>123658-03T</t>
  </si>
  <si>
    <t>Astella Investimentos(Daniel Chalfon), Canary (Brazil), Canary Ventures, Fundo de Investimento em Participações, Kaszek, Spectra Investments, Waldencast Ventures</t>
  </si>
  <si>
    <t>211914-28T</t>
  </si>
  <si>
    <t>Summer Empreendimentos</t>
  </si>
  <si>
    <t>Provider of real estate services based in Sao Paulo, Brazil.</t>
  </si>
  <si>
    <t>Santander US</t>
  </si>
  <si>
    <t>133805-98T</t>
  </si>
  <si>
    <t>Brink's Security And Transportation Of Valuables</t>
  </si>
  <si>
    <t>124676-74T</t>
  </si>
  <si>
    <t>XLabs Security</t>
  </si>
  <si>
    <t>Developer of a SaaS-based cybersecurity platform designed to facilitate organizations in managing all types of security issues on their websites. The company's cybersecurity platform offers a web application firewall, and website security vulnerability tracking, detection, and troubleshooting services, enabling clients to prevent a cyber attack by modifying, altering, or deleting information on a website.</t>
  </si>
  <si>
    <t>123699-79T</t>
  </si>
  <si>
    <t>Invest Tech(Viviane Radiuk), Telefónica Ventures</t>
  </si>
  <si>
    <t>125687-89T</t>
  </si>
  <si>
    <t>Beetools</t>
  </si>
  <si>
    <t>Operator of a virtual reality (VR) based language learning company intended to transform language teaching through the use of technology. The company provides a new learning method using VR, artificial intelligence, adaptive learning, and gamification, enabling students to have an improved language learning experience.</t>
  </si>
  <si>
    <t>LearnLaunch Fund + Accelerator</t>
  </si>
  <si>
    <t>180256-06T</t>
  </si>
  <si>
    <t>124064-47T</t>
  </si>
  <si>
    <t>Founders Fund, Kaszek(Nicolas Berman), QED Investors(Bill Cilluffo), Redpoint eventures(Manoel Lemos), VEF (STO: VEFAB)(Alexis Koumoudos)</t>
  </si>
  <si>
    <t>137030-95T</t>
  </si>
  <si>
    <t>Kekanto</t>
  </si>
  <si>
    <t>Developer of a consumer guide software designed to exchange reviews and recommendations on places and services. The company's software is a city guide that helps people to find everything in the city through a social discovery engine sourced by locals, enabling users to receive updates on attractions and venues, as well as commenting, reviewing, and connecting with other users on the platform.</t>
  </si>
  <si>
    <t>125916-22T</t>
  </si>
  <si>
    <t>XMobots</t>
  </si>
  <si>
    <t>Manufacturer of unmanned aerial vehicles and drones based in Sao Paulo, Brazil. The company specializes in the development and manufacture of remotely piloted aircraft (RPAs) and technologies, thereby assisting in security, agriculture, geotechnology, and logistics markets.</t>
  </si>
  <si>
    <t>Confrapar Administração e Gestão de Recursos(Rodrigo Esteves)</t>
  </si>
  <si>
    <t>133135-84T</t>
  </si>
  <si>
    <t>Caffeex</t>
  </si>
  <si>
    <t>Developer of an independent trading platform designed to green trade coffee between companies in an efficient and safe way. The company's platform permits buyers and sellers to do business in a simple way while providing firm and binding offers as well as resolving any disagreements in an arbitration chamber, enabling clients and traders to participate without restriction on a number of simultaneous trades.</t>
  </si>
  <si>
    <t>Claude Ricci(Claude Ricci), Paulo Piccini(Paulo Piccini), Rafael Coelho(Rafael Coelho)</t>
  </si>
  <si>
    <t>204583-51T</t>
  </si>
  <si>
    <t>Colégio Maxi</t>
  </si>
  <si>
    <t>Operator of a chain of schools intended to contribute to the formation of ethical and committed citizens. The company offers a variety of academic and co-curricular programs early childhood education, elementary school, high school, pre-university, high school, and bilingual projects, enabling students to fully develop their physical, moral, and intellectual capacities.</t>
  </si>
  <si>
    <t>126652-78T</t>
  </si>
  <si>
    <t>Fractal (Environmental Services)</t>
  </si>
  <si>
    <t>Developer of a water resource management system designed to systematize hydroclimatic data to support decision-making and mitigate risks to businesses and society. The company's system assimilates data from satellites and telemetric stations, applying data science techniques and transforming the data into alternatives for water planning, enabling clients to carry out hydraulic and hydrological studies and dam supervision activities.</t>
  </si>
  <si>
    <t>EDP Ventures(Rosario Cannata), KPTL(Diego Bertolin)</t>
  </si>
  <si>
    <t>121340-17T</t>
  </si>
  <si>
    <t>Endeavor Catalyst, Kaszek(Santiago Fossatti), Spectra Investments, ThornTree Capital Partners</t>
  </si>
  <si>
    <t>124660-99T</t>
  </si>
  <si>
    <t>Kviv Ventures, Vox Capital(Daniel Izzo)</t>
  </si>
  <si>
    <t>123289-84T</t>
  </si>
  <si>
    <t>Canary (Brazil), Iporanga Ventures, Monashees, Ribbit Capital, Spectra Investments</t>
  </si>
  <si>
    <t>123187-69T</t>
  </si>
  <si>
    <t>Dragoneer Investment Group, Florian Hagenbuch(Florian Hagenbuch), General Atlantic(Martin Escobari), Iram Yuji(Iram Yuji), Kaszek, Lupa Capital, Marcelo Sampaio(Marcelo Sampaio), Matthew Wyndowe(Matthew Wyndowe), Rodrigo Barros(Rodrigo Barros), SoftBank Latin America Fund, Spectra Investments</t>
  </si>
  <si>
    <t>134951-41T</t>
  </si>
  <si>
    <t>Professores de Plantão</t>
  </si>
  <si>
    <t>Developer of a virtual tutoring platform intended to provide online classes with private tutors from all over Brazil. The company's platform facilitates classes through the site itself, which provides audio, chat, and whiteboard tools, enabling students to get personalized help both in schools and colleges.</t>
  </si>
  <si>
    <t>251970-40T</t>
  </si>
  <si>
    <t>Construtech Angels, Gavea Angels</t>
  </si>
  <si>
    <t>125637-40T</t>
  </si>
  <si>
    <t>LiveHere</t>
  </si>
  <si>
    <t>Operator of an online apartment search marketplace intended to help university students find rental properties near their campuses. The company's platform streamlines the rental process by eliminating guarantor requirements, insurance, and deposit checks, enabling students to browse listings, schedule visits, and finalize lease agreements efficiently while ensuring accessibility and affordability in housing.</t>
  </si>
  <si>
    <t>Barrah Investimentos, Maya Capital (Brazil), Norte Ventures</t>
  </si>
  <si>
    <t>227756-80T</t>
  </si>
  <si>
    <t>Yaguara Capital High (BVMF: YCHY11)</t>
  </si>
  <si>
    <t>Yaguara Capital High Yield FII is a real estate investment trust.</t>
  </si>
  <si>
    <t>261616-69T</t>
  </si>
  <si>
    <t>169354-72T</t>
  </si>
  <si>
    <t>Hindiana, Mercado Bitcoin Serviços Digitais, Parallax Ventures</t>
  </si>
  <si>
    <t>302210-38T</t>
  </si>
  <si>
    <t>261621-82T</t>
  </si>
  <si>
    <t>124769-44T</t>
  </si>
  <si>
    <t>Yazo Tecnologia</t>
  </si>
  <si>
    <t>Developer of an event management platform designed to increase the engagement of audiences with gamification. The company's platform helps generate leads for sponsors, organize programming in broadcast rooms, and promote digital engagement via live and recorded online events, content portals, and networking, enabling brands to improve their marketing campaigns and ideas.</t>
  </si>
  <si>
    <t>127684-72T</t>
  </si>
  <si>
    <t>Axxon Group(Antonio Bulcão), Spectra Investments</t>
  </si>
  <si>
    <t>132390-37T</t>
  </si>
  <si>
    <t>Big Bets, Canary (Brazil)</t>
  </si>
  <si>
    <t>131052-25T</t>
  </si>
  <si>
    <t>Confrapar Administração e Gestão de Recursos(Thiago Domenici de Morais)</t>
  </si>
  <si>
    <t>128633-41T</t>
  </si>
  <si>
    <t>125686-18T</t>
  </si>
  <si>
    <t>Confrapar Administração e Gestão de Recursos(Thiago Domenici de Morais), Criatec 2</t>
  </si>
  <si>
    <t>124754-77T</t>
  </si>
  <si>
    <t>129512-71T</t>
  </si>
  <si>
    <t>220066-03T</t>
  </si>
  <si>
    <t>Deswik(Matt Chilcott)</t>
  </si>
  <si>
    <t>121145-95T</t>
  </si>
  <si>
    <t>Nadir Figueiredo</t>
  </si>
  <si>
    <t>Manufacturer of glassware products intended for restaurants, bars and homes. The company manufactures glassware and ceramic products like crystal, stemware, tumblers, tableware, dessert sets, ovenware and accessories and crockery products, thereby offering their products in homes and businesses all over Brazil.</t>
  </si>
  <si>
    <t>H.I.G. Capital(Fernando Oliveira)</t>
  </si>
  <si>
    <t>211775-86T</t>
  </si>
  <si>
    <t>PPI-Multitask</t>
  </si>
  <si>
    <t>Developer of manufacturing execution system catering to food, beverage, automotive, plastic, rubber, mechanical metal and electronics industries. The company's software offers automation of data collection, online monitoring of machines and production order as well as control of the movement of materials and inventory in process and lifetime management and tool location to clients, thereby helping companies with planning, management and control of industrial activities.</t>
  </si>
  <si>
    <t>175411-81T</t>
  </si>
  <si>
    <t>Apdata do Brasil Software</t>
  </si>
  <si>
    <t>Developer of human resource management platform designed to optimize the implementation of processes and routines of human capital management. The company's platform offers payroll, time and attendance, access control as well as HR modules such as benefits, personnel management, recruitment, job positions and salaries, skills management, performance management, objective management, organizational behavior, training and development, occupational safely and lawsuits, enabling organizations to increase flexibility, automate processes and improve productivity.</t>
  </si>
  <si>
    <t>Volaris Group</t>
  </si>
  <si>
    <t>124760-53T</t>
  </si>
  <si>
    <t>1M2</t>
  </si>
  <si>
    <t>Provider of real estate services intended for land sale in Brazil. The company specializes in connecting land developers and people looking for a place for their future home and empowers its agents with cutting-edge technology to offer a frictionless and transparent service, thereby enabling customers to negotiate directly with developers.</t>
  </si>
  <si>
    <t>RLJ Equity Partners(Jerry Johnson), Spectra Investments, The Carlyle Group (NAS: CG)(Daniel Sterenberg), Tok &amp; Stok</t>
  </si>
  <si>
    <t>125647-39T</t>
  </si>
  <si>
    <t>Headline, Redpoint eventures(Rodrigo Baer), Telefónica Ventures</t>
  </si>
  <si>
    <t>225193-15T</t>
  </si>
  <si>
    <t>137356-21T</t>
  </si>
  <si>
    <t>Edson Fantini(Edson Fantini), Laercio José de Lucena Cosentino(Laercio José de Lucena Cosentino)</t>
  </si>
  <si>
    <t>97235-29T</t>
  </si>
  <si>
    <t>Fabio Palioff(Fabio Palioff), Food Angels (Germany), Tomas Pena(Tomas Pena), Wolf Nietzer(Wolf Nietzer), Wolfman.One</t>
  </si>
  <si>
    <t>216118-18T</t>
  </si>
  <si>
    <t>114646-87T</t>
  </si>
  <si>
    <t>Coteaqui</t>
  </si>
  <si>
    <t>Provider of construction quotation services intended to negotiate the price of building materials. The company offers various purchase and selling options for construction items for commercial projects along with price listings, enabling construction engineers to find a suitable price for their materials and increase their profit margin.</t>
  </si>
  <si>
    <t>216059-32T</t>
  </si>
  <si>
    <t>Firgun</t>
  </si>
  <si>
    <t>Operator of a fintech microcredit services company intended to provide services for companies, NGOs (Non-Governmental Organizations), and governments. The company provides services such as the creation of ESG (Environmental, Social, and Governance ) microcredit projects, financial analysis, borrower profile analysis, providing clients with support through investment, and allowing these investors to earn income through interest.</t>
  </si>
  <si>
    <t>191925-19T</t>
  </si>
  <si>
    <t>262700-74T</t>
  </si>
  <si>
    <t>124747-21T</t>
  </si>
  <si>
    <t>128385-55T</t>
  </si>
  <si>
    <t>Grupo Radium</t>
  </si>
  <si>
    <t>Provider of post-secondary vocational courses based in Rio de Janeiro, Brazil. The company offers courses such as medical radiology, nursing technician, nursing technician complementation, clinical analysis, and free courses.</t>
  </si>
  <si>
    <t>United Healthcare Services</t>
  </si>
  <si>
    <t>125100-46T</t>
  </si>
  <si>
    <t>Roots to Go</t>
  </si>
  <si>
    <t>Producer of snacks intended to offer a healthy alternative to common snack options. The company's products are made from Brazilian root vegetables and are natural and non-genetically modified organisms (non-GMO), thereby providing consumers with a flavorful and natural chip.</t>
  </si>
  <si>
    <t>Bela Vista Investimentos</t>
  </si>
  <si>
    <t>245686-33T</t>
  </si>
  <si>
    <t>BLB Ventures(Henrique Galvani)</t>
  </si>
  <si>
    <t>122985-55T</t>
  </si>
  <si>
    <t>Voltalia (2 wind farms)</t>
  </si>
  <si>
    <t>2 wind farms in Rio Grande do Norte state, Brazil. The two independent Brazilian wind farms generate electricity for the Brazilian electricity sector.</t>
  </si>
  <si>
    <t>Bpifrance, Peugeot Invest (PAR: PEUG), Salvepar, Tikehau Capital (PAR: TKO), Total Eren</t>
  </si>
  <si>
    <t>166002-40T</t>
  </si>
  <si>
    <t>Fyber (Paracuru)</t>
  </si>
  <si>
    <t>Manufacturer of buggy cars based in Paracuru, Brazil.</t>
  </si>
  <si>
    <t>Axxola(Dirk Wittenborg)</t>
  </si>
  <si>
    <t>123559-93T</t>
  </si>
  <si>
    <t>Gebram</t>
  </si>
  <si>
    <t>Provider of insurance brokerage services based in Brazil. The company offers insurance products like car insurance, life insurance, motorcycle insurance, business insurance and residential insurance.</t>
  </si>
  <si>
    <t>Actis(Chu Kong), It'sSeg(Thomaz de Menezes)</t>
  </si>
  <si>
    <t>214197-13T</t>
  </si>
  <si>
    <t>The Balance</t>
  </si>
  <si>
    <t>Developer of video games based in Brasília, Brazil. The company operates a game development studio creating multiplayer games for all consoles.</t>
  </si>
  <si>
    <t>Modus Games(Christina Seelye)</t>
  </si>
  <si>
    <t>222834-16T</t>
  </si>
  <si>
    <t>BRLProp FII</t>
  </si>
  <si>
    <t>Fundo DE Investimento Imobiliario FII Brlprop is a real estate investment fund. Its object is to invest in real estate developments, through the acquisition of the real rights over real estate for construction, necessarily under the global contract regime, real estate development.</t>
  </si>
  <si>
    <t>169991-83T</t>
  </si>
  <si>
    <t>Inovabra Ventures</t>
  </si>
  <si>
    <t>223303-87T</t>
  </si>
  <si>
    <t>Cshg Imobiliario FOF - Fundo DE Investimento Imobiliario - FII (BVMF: HGFF11)</t>
  </si>
  <si>
    <t>Cshg Imobiliario FOF - Fundo DE Investimento Imobiliario - FII is a real estate investment fund that actively manages the securities segment.</t>
  </si>
  <si>
    <t>123548-68T</t>
  </si>
  <si>
    <t>Navarra Tech</t>
  </si>
  <si>
    <t>Developer of a centralized over-the-counter trading platform intended for energy traders in emerging markets. The company's platform is dedicated to high-frequency trading, specializing in Brazilian futures and equity markets and focused mostly on proprietary strategy design and providing liquidity through algorithmic trading, enabling users to trade futures, equities, and cryptocurrency and providing over-the-counter (OTC) market analysis.</t>
  </si>
  <si>
    <t>155950-48T</t>
  </si>
  <si>
    <t>Nazar</t>
  </si>
  <si>
    <t>Developer of a cloud-based application designed to help in database performance monitoring. The company's cloud-based application specializes in agentless database performance monitoring to keep applications running fast and reduce infrastructure costs, enabling businesses to perform database analysis and quality monitoring for all tasks.</t>
  </si>
  <si>
    <t>LAUNCH Fund</t>
  </si>
  <si>
    <t>128325-34T</t>
  </si>
  <si>
    <t>185938-12T</t>
  </si>
  <si>
    <t>Caito Maia(Caito Maia)</t>
  </si>
  <si>
    <t>165830-68T</t>
  </si>
  <si>
    <t>Camila Farani(Camila Farani), João Appolinário(John Appolinário)</t>
  </si>
  <si>
    <t>210738-61T</t>
  </si>
  <si>
    <t>Mypbx</t>
  </si>
  <si>
    <t>Operator of a digital voice service platform based in Sao Caetano do Sul, Brazil. The company's platform provides services such as voice answering, digital voice, cloud, CRM and ERP, enabling clients to avail quality software services.</t>
  </si>
  <si>
    <t>122381-65T</t>
  </si>
  <si>
    <t>Stanley Ventures(Michael Mahan)</t>
  </si>
  <si>
    <t>122505-13T</t>
  </si>
  <si>
    <t>122281-39T</t>
  </si>
  <si>
    <t>Americanas SA is an e-commerce company that is principally engaged in business in Latin America. It aims to connect consumers, businesses, products, and services through a digital platform. It operates a business through the brands Americanas.com, Submarino, Shoptime, SouBarato, Digital Finance, Submarino Finance, and B2W Services. It also has certain channels, including the Internet, telesales, catalogs, TV, and kiosks. Through multichannel and multi-brand, the company provides a broad range of merchandise and services, including consumer electronics, computers, books, entertainment products, and smartphones and cellphones.</t>
  </si>
  <si>
    <t>164083-06T</t>
  </si>
  <si>
    <t>João Guetter(João Guetter)</t>
  </si>
  <si>
    <t>205222-24T</t>
  </si>
  <si>
    <t>Dryve ( Financial Software)</t>
  </si>
  <si>
    <t>Developer of a digital vehicle financing platform intended to provide second-hand motors at affordable rates. The company's platform provides financing for purchasing old vehicles with a completely digital process and instant approval method, enabling users to get all services related to buying and selling in one place.</t>
  </si>
  <si>
    <t>7Stars Ventures, Devas Invest, Fegik Investimentos</t>
  </si>
  <si>
    <t>251564-14T</t>
  </si>
  <si>
    <t>Legatus Shoppings (BVMF: LASC11)</t>
  </si>
  <si>
    <t>Legatus Shoppings Fundo DE Investimento Imobiliario - FII is a Brazil-based company. Its objective is to obtain income through the real estate exploration of Real Estate Assets, as well as capital gains, through the purchase and sale of Real Estate Assets and the investment of resources, predominantly in Real Estate Assets.</t>
  </si>
  <si>
    <t>122748-22T</t>
  </si>
  <si>
    <t>122214-43T</t>
  </si>
  <si>
    <t>Cia Energetica DE Minas Gerais - Cemig, formerly Energy Company of Minas Gerais, is a Brazilian power company that generates, transmits, and distributes electricity. As one of the power companies in Brazil, the firm operates across Brazilian states and Chile. The company has various subsidiaries and operates chiefly through its generation, transmission, distribution, and gas segments. The majority of the company's revenue is derived from electricity sales to consumers. The company generates power through hydroelectric resources and, secondarily, through thermal and wind resources.</t>
  </si>
  <si>
    <t>140426-11T</t>
  </si>
  <si>
    <t>Vox Capital</t>
  </si>
  <si>
    <t>220842-01T</t>
  </si>
  <si>
    <t>Hemisferio Sul Investimentos (BVMF: HSML11)</t>
  </si>
  <si>
    <t>Hsi Malls Fundo DE Investimento Imobiliario is a Brazil-based company engaged in real estate and credit business. Its real estate holdings include Cipasa Urbanismo, GoodStorage, Saphyr Shopping Centers, and office and logistics properties in Brazil.</t>
  </si>
  <si>
    <t>242025-67T</t>
  </si>
  <si>
    <t>Nubem Soluções em Software</t>
  </si>
  <si>
    <t>Provider of software and licensing intended to aid storage, productivity, customer relations, databases. The company's offerings include software licensing, modern work place, azure cloud platform, power platform.</t>
  </si>
  <si>
    <t>123290-56T</t>
  </si>
  <si>
    <t>Pleni ( Other Services (B2C Non-Financial))</t>
  </si>
  <si>
    <t>Developer of a mineral water delivery application designed to connect distributors and consumers. The company's application helps people to order mineral water in various quantities, enabling users to easily choose the water that suits them.</t>
  </si>
  <si>
    <t>242450-20T</t>
  </si>
  <si>
    <t>Six Tech Tecnologia e Participações</t>
  </si>
  <si>
    <t>Provider of software development services based out of Brazil. The company also offers licensing of non-customizable computer programs.</t>
  </si>
  <si>
    <t>124673-68T</t>
  </si>
  <si>
    <t>Potencia Ventures</t>
  </si>
  <si>
    <t>211146-76T</t>
  </si>
  <si>
    <t>Bossa Invest, Pierre Schurmann(Pierre Schurmann)</t>
  </si>
  <si>
    <t>211149-73T</t>
  </si>
  <si>
    <t>SSOIL Energy</t>
  </si>
  <si>
    <t>Operator of a mini-refinery intended to produce petroleum derivatives for distributors, chemical, and paint industries. The company's platform uses modern technology for high operational efficiency and energy efficiency, with modern industrial safety and total environmental respect, enabling businesses to have access to quality products and gain high profits.</t>
  </si>
  <si>
    <t>224646-40T</t>
  </si>
  <si>
    <t>Instituto Paraense de Educação e Cultura</t>
  </si>
  <si>
    <t>Operator of the educational institution based in Marara, Brazil. The company offers on-campus, post-secondary undergraduate courses in medicine.</t>
  </si>
  <si>
    <t>242402-41T</t>
  </si>
  <si>
    <t>211945-24T</t>
  </si>
  <si>
    <t>261411-58T</t>
  </si>
  <si>
    <t>Interaxa</t>
  </si>
  <si>
    <t>Provider of customer engagement technology services intended to serve the Latin American market. The company offers expertise in cloud-based solutions and strong partnerships, enabling businesses to provide a more empathetic and engaging experience for their clients.</t>
  </si>
  <si>
    <t>Mutant(Alexandre Bichir), Permira(Phil Guinand), TCV</t>
  </si>
  <si>
    <t>155459-80T</t>
  </si>
  <si>
    <t>Xodó App</t>
  </si>
  <si>
    <t>Developer of a fuel discount and benefit payments platform designed to support the transportation and insurance industry. The company's platform integrates payment and all the procedures for its supply are carried out in an agile and systematic way through the customer's vehicle license plate along with various fuel benefits, enabling businesses to offer their customers and associates discounts on supplies.</t>
  </si>
  <si>
    <t>Cedro Capital</t>
  </si>
  <si>
    <t>136886-05T</t>
  </si>
  <si>
    <t>Guten</t>
  </si>
  <si>
    <t>Developer of an interactive reading platform intended to integrate global news with elementary school education. The company's platform offers weekly news content along with gamified pedagogical activities, assists in the development of critical vision, stimulates knowledge and expands cultural repertoire, enabling students to go beyond the texts and read the world.</t>
  </si>
  <si>
    <t>216295-12T</t>
  </si>
  <si>
    <t>Yamí</t>
  </si>
  <si>
    <t>Operator of a software company intended to serve ecommerce marketplace. The company operates software as a service platform.</t>
  </si>
  <si>
    <t>257466-34T</t>
  </si>
  <si>
    <t>Aloha (Personal Products)</t>
  </si>
  <si>
    <t>Operator of a natural cosmetics company intended to serve the region of Brazil. The company offers essential oils, facials, fragrances, personal care and nutrition, thereby enabling customers with products aimed at health.</t>
  </si>
  <si>
    <t>Mundo Verde(Charles Martins)</t>
  </si>
  <si>
    <t>127142-11T</t>
  </si>
  <si>
    <t>Canary (Brazil), SoftBank Latin America Fund, The Yield Lab Latam</t>
  </si>
  <si>
    <t>275043-52T</t>
  </si>
  <si>
    <t>Western Growers Center for Innovation &amp; Technology</t>
  </si>
  <si>
    <t>177082-12T</t>
  </si>
  <si>
    <t>Joy (Real Estate Services (B2C))</t>
  </si>
  <si>
    <t>Operator of an online platform intended to provide rental solutions to young people. The company's platform offers private rooms in fully furnished and professionally managed apartments with weekly cleaning and uses a matchmaking algorithm to help find a suitable roommate, allowing young people to live easily in shared homes in their comfort.</t>
  </si>
  <si>
    <t>Canary (Brazil), Upshift Capital</t>
  </si>
  <si>
    <t>125266-42T</t>
  </si>
  <si>
    <t>Village Capital(Daniel Cossío)</t>
  </si>
  <si>
    <t>216226-09T</t>
  </si>
  <si>
    <t>Anapro</t>
  </si>
  <si>
    <t>Developer of a customer relationship management solutions platform serving developers, land developers, and urban planners. The company's platform covers all stages of the property sales process from start to finish, such as credit analysis, proposal review, lead organization, optimization of marketing investments, and much more as well as offers products related to support, consulting, intelligence, management, and decision-making.</t>
  </si>
  <si>
    <t>123773-23T</t>
  </si>
  <si>
    <t>168077-17T</t>
  </si>
  <si>
    <t>126516-97T</t>
  </si>
  <si>
    <t>123768-28T</t>
  </si>
  <si>
    <t>209313-01T</t>
  </si>
  <si>
    <t>Sepac</t>
  </si>
  <si>
    <t>Manufacturer of tissue and diapers intended to provide hygiene products to consumers and individuals. The company offers double and single-ply toilet paper, paper towels, and napkins, as well as disposable diapers, thereby delivering resistant and safe products.</t>
  </si>
  <si>
    <t>125643-61T</t>
  </si>
  <si>
    <t>Armínio Fraga(Armínio Fraga), Canary (Brazil), e.bricks Ventures, Igah Ventures, Joa Investimentos, Maya Capital (Brazil), Ronaldo Lemos(Ronaldo Lemos)</t>
  </si>
  <si>
    <t>123290-29T</t>
  </si>
  <si>
    <t>Canary (Brazil), Kaszek, Monashees, SoftBank Group (TKS: 9984), SoftBank Latin America Fund, Spectra Investments</t>
  </si>
  <si>
    <t>119600-56T</t>
  </si>
  <si>
    <t>ALLOS SA Formerly Aliansce Sonae Shopping Centers SA is a full-service company engaged in investing, directly or indirectly in commercial centers, shopping malls, and similar ventures, and in other companies as a partner or stockholder, as well as rendering commercial advisory services, and management of shopping malls and condominiums. It has three operating segments; Rent refers to the operating leases of the shopping malls that include rent, assignment of the right of use, and transfer fee revenue, Parking lot refers to the operation of the parking lot of the shopping mall, and Rendering of services involves the trading, rental, and condominium management and development/planning services carried out in shopping malls owned by the Company and third parties.</t>
  </si>
  <si>
    <t>Aliansce Shopping Centers(Renato Rique)</t>
  </si>
  <si>
    <t>125334-73T</t>
  </si>
  <si>
    <t>Spectra Investments, Starboard Restructuring Partners</t>
  </si>
  <si>
    <t>121923-64T</t>
  </si>
  <si>
    <t>Micropower-Comerc</t>
  </si>
  <si>
    <t>Provider of electricity storage services based in Sao Paulo, Brazil. The company offers time and load shifting, demand control and backup power, enabling its customers to save energy bills.</t>
  </si>
  <si>
    <t>Siemens (ETR: SIE)(David Taff)</t>
  </si>
  <si>
    <t>227228-41T</t>
  </si>
  <si>
    <t>TG Core Asset Management (BVMF: HABT11)</t>
  </si>
  <si>
    <t>TG Core Asset Ltda is an independent asset manager focused on the real estate market.</t>
  </si>
  <si>
    <t>113174-02T</t>
  </si>
  <si>
    <t>Tijoá Participações e Investimentos</t>
  </si>
  <si>
    <t>Provider of hydroelectric power generation services intended for the management, operation and maintenance of power plants. The company offers operation and maintenance of hydropower plants, locks and operation of the channel and electricity generation service, enabling clients to facilitate energy distribution.</t>
  </si>
  <si>
    <t>209181-97T</t>
  </si>
  <si>
    <t>123291-28T</t>
  </si>
  <si>
    <t>Creditoo</t>
  </si>
  <si>
    <t>Developer of an online platform designed to offer low-interest payroll loans quickly and simply. The company's platform provides payroll loans to those employees who do not have access to payroll loans or have bureaucratic access with high-interest rates, enabling companies to offer their employees a simple and fast mode of credit.</t>
  </si>
  <si>
    <t>123745-87T</t>
  </si>
  <si>
    <t>Fluxx (Consumer Finance)</t>
  </si>
  <si>
    <t>Operator of a payment gateway platform intended to offer credit for online purchases. The company's platform provides credit analysis using big data and artificial intelligence to analyze a wide range of behavioral and social data by connecting through technology, enabling consumers to shop using personal credit received through financial institutions.</t>
  </si>
  <si>
    <t>121658-41T</t>
  </si>
  <si>
    <t>Industria Grafica Foroni</t>
  </si>
  <si>
    <t>Manufacturer of stationery products based in Sao Paulo, Brazil. The company offers notebooks, backpacks, cases, binders, envelopes, planners and office materials in a variety of designs.</t>
  </si>
  <si>
    <t>ACCO Brands (NYS: ACCO)(Boris Elisman)</t>
  </si>
  <si>
    <t>102619-00T</t>
  </si>
  <si>
    <t>4Legacy, ACE Ventures (Commercial Services)</t>
  </si>
  <si>
    <t>122952-52T</t>
  </si>
  <si>
    <t>155287-54T</t>
  </si>
  <si>
    <t>Revista W3</t>
  </si>
  <si>
    <t>Publisher of a lifestyle magazine and online content in Brazil. The company specializes in content on economy, culture, sports, safety and entertainment.</t>
  </si>
  <si>
    <t>123277-33T</t>
  </si>
  <si>
    <t>99 Startups, Canary (Brazil), Caravela Capital, Hummingbird Ventures, Soma Capital, Twenty Two Ventures, Zillionize</t>
  </si>
  <si>
    <t>263032-21T</t>
  </si>
  <si>
    <t>Adtalem Global Education (NYS: ATGE)</t>
  </si>
  <si>
    <t>155687-77T</t>
  </si>
  <si>
    <t>SoftBank Latin America Fund</t>
  </si>
  <si>
    <t>128690-74T</t>
  </si>
  <si>
    <t>Alec Oxenford(Alec Oxenford), Crescera Capital, FJ Labs, Inovabra Ventures, Rafael Steinhauser(Rafael Steinhauser)</t>
  </si>
  <si>
    <t>160629-76T</t>
  </si>
  <si>
    <t>Cemiterio Belo Vale</t>
  </si>
  <si>
    <t>Provider of funeral services in Santa Luzia, Brazil. The company offers memorial services, ornamentation, cremation and burial facilities.</t>
  </si>
  <si>
    <t>121424-23T</t>
  </si>
  <si>
    <t>Dragoneer Investment Group(Christian Jensen), DST Global, Fortress Investment Group, Ribbit Capital, Sequoia Capital(Douglas Leone), TCV(Christopher Marshall), Tencent Holdings (HKG: 00700), Thrive Capital, Wollef(Luis Garza)</t>
  </si>
  <si>
    <t>123809-68T</t>
  </si>
  <si>
    <t>Ariel Lambrecht(Ariel Lambrecht), Canary (Brazil), Grupo Martins(Grupo Martins), Jose Gallo(Jose Gallo), Juscelino Martins(Juscelino Martins)</t>
  </si>
  <si>
    <t>122329-81T</t>
  </si>
  <si>
    <t>Monomyto Studio</t>
  </si>
  <si>
    <t>Developer of a digital games development studio intended to create multiplayer fun games. The company's games are designed to bring empowerment for players and teach data-driven decisions, enabling users to have unique and creative experiences.</t>
  </si>
  <si>
    <t>122195-26T</t>
  </si>
  <si>
    <t>Orube Game Studio</t>
  </si>
  <si>
    <t>Operator of a gaming studio intended to develop electronic games for various platforms. The company's studio develops action and role-playing games for mobiles, enabling gamers to have an immersive gaming experience.</t>
  </si>
  <si>
    <t>122310-28T</t>
  </si>
  <si>
    <t>Pixodust Games</t>
  </si>
  <si>
    <t>Developer of video games designed for casual and mid-core players. The company's platform offers an addictive space tycoon game where users bring talent to work in the rocket factory and are hired for challenging missions traveling to the Moon, Mars, Jupiter, and other planets, enabling users to enjoy the space exploration race.</t>
  </si>
  <si>
    <t>122379-94T</t>
  </si>
  <si>
    <t>Webcore Interactive</t>
  </si>
  <si>
    <t>Developer of a website development platform designed to offer engaging experiences in the real world. The company's services include strategy and website development for different purposes, UX and UI designing including wireframe, art direction and usability tests, enabling clients to get quality automation services.</t>
  </si>
  <si>
    <t>216263-44T</t>
  </si>
  <si>
    <t>ATE VIII Transmissora de Energia</t>
  </si>
  <si>
    <t>A 108 km energy transmission concessionaire line in Pará. The energy transmission concessionaire passes through a 108 km transmission line that crosses three municipalities in Pará.</t>
  </si>
  <si>
    <t>Evoltz Participações, Ontario Teachers' Pension Plan(Dale Burgess)</t>
  </si>
  <si>
    <t>222868-72T</t>
  </si>
  <si>
    <t>BTG Pactual Shopping FII (BVMF: BPML11)</t>
  </si>
  <si>
    <t>Fundo DE Investimento Imobiliario BTG Pactual Shoppings, formely BTG Pactual Shopping FII invests in enterprises real estate characterized as Shopping Centers, for exploration commercial via rental or subsequent sale. Its object is to invest in real estate developments, through the acquisition of ready and properly built real estate developments, land or properties under construction, aimed at institutional or commercial use, whether through the acquisition of the total or ideal fraction of each asset, for subsequent sale or lease by means of a contract, in the built to suit or sale and leaseback modality.</t>
  </si>
  <si>
    <t>124672-24T</t>
  </si>
  <si>
    <t>A.B.Seed Ventures, Redpoint eventures(Rodrigo Baer)</t>
  </si>
  <si>
    <t>133800-40T</t>
  </si>
  <si>
    <t>OnFarm</t>
  </si>
  <si>
    <t>Developer of a medical platform designed to improve the health of cattle and the quality of milk. The company's platform offers assertiveness in treatments and corrective management measures while locating mastitis in cattle to make livestock more productive, profitable, and sustainable, enabling farmers to take care of their cattle and reduce their costs with antibiotics and milk waste.</t>
  </si>
  <si>
    <t>10b - Gestora de Recursos(Marcelo Lopo Lima), Tarpon Capital(Marcelo Lopo Lima)</t>
  </si>
  <si>
    <t>215811-73T</t>
  </si>
  <si>
    <t>Monitorar</t>
  </si>
  <si>
    <t>Developer of an energy platform designed to audit bills through intelligent and remote management. The company's platform sustainably provides access to resources, preserving them and optimizing use, enabling businesses to meet the needs in energy and reduce its wastage.</t>
  </si>
  <si>
    <t>121974-67T</t>
  </si>
  <si>
    <t>MultiQSR</t>
  </si>
  <si>
    <t>Operator of fast food franchises based in Brazil. The company manages and operates franchises for Pizza Hut, KFC and Taco Bell.</t>
  </si>
  <si>
    <t>Advent International(Antonio Moya-Angeler), Advent-Morro Equity Partners, British Columbia Investment Management, GIC Private, International Meal Company Alimentação</t>
  </si>
  <si>
    <t>125271-46T</t>
  </si>
  <si>
    <t>Paraiso Nutrição Animal</t>
  </si>
  <si>
    <t>Producer of animal food products intended to meet the nutritional needs of cattle and horses. The company offers products indicated for mineral supplementation of various phases such as transition, pasture, bulk, rearing, bulk, rainy and lactation.</t>
  </si>
  <si>
    <t>Premix</t>
  </si>
  <si>
    <t>122936-05T</t>
  </si>
  <si>
    <t>161142-94T</t>
  </si>
  <si>
    <t>Redpoint eventures(Romero Rodrigues)</t>
  </si>
  <si>
    <t>138254-50T</t>
  </si>
  <si>
    <t>Indústria De Produtos Alimentícios Mavalério</t>
  </si>
  <si>
    <t>Producer of confectionery products based in São Paulo, Brazil. The company offers products such as compounds, fillings, chocolates, sprinkles, flakes, nonpareils, dragées, powder mixes, bases, colored sugars, flavors and delis, thereby enabling its customers to be provided with diverse products at an economical price.</t>
  </si>
  <si>
    <t>Dr. Oetker(Albert Christmann)</t>
  </si>
  <si>
    <t>124020-64T</t>
  </si>
  <si>
    <t>Loud Voice Services</t>
  </si>
  <si>
    <t>Developer of artificial intelligence-based voice systems designed to humanize the conversations between machines and humans. The company operates a marketplace where people can buy, plug, and create entire voice experiences by uniting various players in a single experience, enabling customers to have a long and sustainable conversation.</t>
  </si>
  <si>
    <t>Oracle (NYS: ORCL)</t>
  </si>
  <si>
    <t>120061-90T</t>
  </si>
  <si>
    <t>242016-85T</t>
  </si>
  <si>
    <t>LOG Curitiba I SPE</t>
  </si>
  <si>
    <t>Provider of real estate services based in Curitiba, Brazil. The company offers development, construction, sales and retrofit services.</t>
  </si>
  <si>
    <t>JMP Imóveis</t>
  </si>
  <si>
    <t>199436-32T</t>
  </si>
  <si>
    <t>Ourinvest Distribuidora de Títulos e Valores Mobiliários</t>
  </si>
  <si>
    <t>Provider of brokerage services for securities focusing on high net worth individuals. The company is engaged in custody, distribution and intermediation services for securities and structured and real estate products.</t>
  </si>
  <si>
    <t>126465-85T</t>
  </si>
  <si>
    <t>Padtec (OTN Technology)</t>
  </si>
  <si>
    <t>Developer of an optical transport network based in Campinas, Brazil. The business unit offers a platform used to switch data traffic over optical fibers, significantly optimizing network bandwidth utilization.</t>
  </si>
  <si>
    <t>Ekinops (PAR: EKI)(Jean-Luc Pamart)</t>
  </si>
  <si>
    <t>129982-96T</t>
  </si>
  <si>
    <t>Alameda (Home Furnishings)</t>
  </si>
  <si>
    <t>Operator of an online marketplace intended to offer home furnishing products. The company offers a wide range of products such as furniture, home decor, tables, desks, chairs, illuminations, mirrors and frames, cushions, rugs, cookware, and other kitchen and dining goods, enabling consumers to get various kinds of furnishing products under a single platform.</t>
  </si>
  <si>
    <t>Angel Ventures Mexico(Hernán Fernández), DILA Capital, University of Chicago</t>
  </si>
  <si>
    <t>241958-26T</t>
  </si>
  <si>
    <t>Butia Participacoes</t>
  </si>
  <si>
    <t>Provider of investment management services based in Nova Lima, Brazil. The company offers management of fixed and variable income funds.</t>
  </si>
  <si>
    <t>119985-76T</t>
  </si>
  <si>
    <t>300264-13T</t>
  </si>
  <si>
    <t>S Cosméticos do Bem</t>
  </si>
  <si>
    <t>Manufacturer of skincare products intended to help skin look younger and healthier using safe and natural products. The company offers products such as facial serum, facial cream and facial foam, enabling clients to have nourished, regenerated, and well-protected skin through natural formulations.</t>
  </si>
  <si>
    <t>118737-37T</t>
  </si>
  <si>
    <t>Smart Networks</t>
  </si>
  <si>
    <t>Provider of telecommunications services based in Recife, Brazil. The company provides data transmission, data delivery, and website content delivery services, enabling exclusive, high-quality connection with proactive monitoring for its clients.</t>
  </si>
  <si>
    <t>134600-23T</t>
  </si>
  <si>
    <t>Yourviews</t>
  </si>
  <si>
    <t>Developer of business development platform for online stores based in Sao Paulo, Brazil. The company offers store reviews, product reviews which enables its clients to increase their conversion rates and earn the trust of prospective buyers.</t>
  </si>
  <si>
    <t>1188 Investimentos, Hi Platform(Marcelo Pugliesi)</t>
  </si>
  <si>
    <t>125440-75T</t>
  </si>
  <si>
    <t>195673-87T</t>
  </si>
  <si>
    <t>Norival Bonamichi(Norival Bonamichi)</t>
  </si>
  <si>
    <t>128692-63T</t>
  </si>
  <si>
    <t>Capital Lab Ventures, Grão (São Paulo)(Sung Lim), SP Ventures(Francisco Jardim)</t>
  </si>
  <si>
    <t>216169-30T</t>
  </si>
  <si>
    <t>Seventh</t>
  </si>
  <si>
    <t>Developer of video surveillance software designed for advanced systems for the security market. The company's software offers surveillance software, VMS, video monitoring, software development, software, d-guard, CCTV, monitoring center, projects and security, thereby providing efficient and intelligent solutions and putting the customers in first place</t>
  </si>
  <si>
    <t>Intelbras (BVMF: INTB3)</t>
  </si>
  <si>
    <t>284431-69T</t>
  </si>
  <si>
    <t>295384-51T</t>
  </si>
  <si>
    <t>Intcom Solutions</t>
  </si>
  <si>
    <t>Developer of human resource management and operations planning software designed to offer real-time monitoring of operations by managers. The company's software centralizes data, optimizes processes and flows, and gives autonomy to employees, enabling businesses to operate offshore and onshore operations efficiently.</t>
  </si>
  <si>
    <t>119426-41T</t>
  </si>
  <si>
    <t>Marfrig Global Foods SA is a Processing of products (formed by cattle slaughter facilities in operation, which are also used in beef processing, and for the manufacture of animal nutrition products) and sale of animal-based (beef, pork, lamb, fish, and poultry) and plant-based proteins. The company organizes itself into four main segments: Beef - North America, Beef - South America, Poultry, Pork and Processed Products - BRF, and Corporate. The company earns more than half of its revenue through its operations in Beef - North America.</t>
  </si>
  <si>
    <t>198721-90T</t>
  </si>
  <si>
    <t>120995-83T</t>
  </si>
  <si>
    <t>Geraldiscos</t>
  </si>
  <si>
    <t>Manufacturer of closure liner based in Brazil. The company produces induction seals and cap liners for a wide variety of container types for the food, beverage, personal care, healthcare, agriculture and chemical industry.</t>
  </si>
  <si>
    <t>Genstar Capital(Robert Rutledge), Tekni-Plex(Paul Young)</t>
  </si>
  <si>
    <t>224366-50T</t>
  </si>
  <si>
    <t>Hectare Capital (BVMF: HCTR11)</t>
  </si>
  <si>
    <t>Fundo DE Investimento Imobiliario Hectare CE develops and invests in solutions for alternative investments. It designs investment structures to real estate projects in all development stages. It also offers advisory services which focus on financial solutions to real estate project development in Brazil.</t>
  </si>
  <si>
    <t>120403-27T</t>
  </si>
  <si>
    <t>Light (BVMF: LIGT3)</t>
  </si>
  <si>
    <t>Light SA is a Brazilian private-public utility of which the state-owned power company, CEMIG, wields a controlling stake. The company generates, distributes, and trades energy. To do this, the company owns and operates a portfolio of hydroelectric power plants that serve the Brazilian state of Rio de Janeiro. Light derives maximum of its revenue from the supplying of energy, with network usage and the construction of assets also bringing in substantial amounts of revenue. The vast majority of the company's customers are residential consumers. The company operates in three segments namely: Distribution, Generation and Trading, out of which maximum revenue is generated from Distribution segment.</t>
  </si>
  <si>
    <t>199430-65T</t>
  </si>
  <si>
    <t>ICC Brazil</t>
  </si>
  <si>
    <t>Manufacturer of animal nutrition products intended to support the production of healthy, affordable, and available food, in a scientific and disruptive way, for a growing world population constantly fighting hunger. The company undertakes scientific research that proves the benefits of yeast additives to several animal species including poultry, pig, cattle, dairy cows, pets and aquaculture, enabling farmers to raise healthier animals, with productivity equal to and greater than conventional production practices.</t>
  </si>
  <si>
    <t>Lallemand</t>
  </si>
  <si>
    <t>214046-65T</t>
  </si>
  <si>
    <t>Sumá</t>
  </si>
  <si>
    <t>Developer of a family farming and marketing platform designed to link cooperatives, farmer associations, and companies in order to shorten the food distribution channels in the country. The company's platform uses customized mobile technologies such as online learning and chat-bots, social networks, supply-demand curation data, optimized routes, and database analysis to train, assist, encourage, and support family farmers in their development and alignment with the demands of regular food buyers, helping family farmers with fair trade practices and empowerment.</t>
  </si>
  <si>
    <t>123289-03T</t>
  </si>
  <si>
    <t>Canary (Brazil), Valor Capital Group</t>
  </si>
  <si>
    <t>120154-33T</t>
  </si>
  <si>
    <t>Cinven(Thomas Railhac), Ufinet Latam(Iñigo García del Cerro Prieto)</t>
  </si>
  <si>
    <t>111295-45T</t>
  </si>
  <si>
    <t>Brookfield Business Partners (TSE: BBU.UN)(Alexandre Thiollier)</t>
  </si>
  <si>
    <t>137266-03T</t>
  </si>
  <si>
    <t>ClosetBoBags</t>
  </si>
  <si>
    <t>Developer of an online bag-selling and renting marketplace designed to sell books, decorations and desired items. The company's platform offers branded bags, accessories and clothes for women, men and kids to rent and sell, enabling customers to use products and accessories from trending brands at a fraction of the cost.</t>
  </si>
  <si>
    <t>G2 Capital, Visagio</t>
  </si>
  <si>
    <t>124744-78T</t>
  </si>
  <si>
    <t>Eskolare</t>
  </si>
  <si>
    <t>Developer of a digital educational platform designed to simplify commercial and financial relationships between educational institutions and student guardians. The company's platform offers a completely customizable marketplace to purchase school products and services, enabling clients to boost sales, manage inventory, and commissions, and control payments all in one place.</t>
  </si>
  <si>
    <t>125337-43T</t>
  </si>
  <si>
    <t>118284-94T</t>
  </si>
  <si>
    <t>Mineração Maraca Indústria e Comércio</t>
  </si>
  <si>
    <t>Producer of copper concentrate and gold in Goias, Brazil. The company engages in the exploration, production, and sale of copper concentrate and gold.</t>
  </si>
  <si>
    <t>Lundin Mining (TSE: LUN)(Marie Inkster)</t>
  </si>
  <si>
    <t>140782-87T</t>
  </si>
  <si>
    <t>Energy Starter</t>
  </si>
  <si>
    <t>127260-91T</t>
  </si>
  <si>
    <t>Bread &amp; Butter Ventures(Brett Brohl), Marcelo Escorel Filho(Marcelo Escorel Filho)</t>
  </si>
  <si>
    <t>124825-42T</t>
  </si>
  <si>
    <t>ARA Agricola</t>
  </si>
  <si>
    <t>Operator of a farming company intended to cultivate a diverse selection of fine table grapes. The company has been a transformative force in the agricultural sector, dedicated to the production of seedless table grapes with a quality standard that meets the markets globally, committed to promoting sustainability, social responsibility and economic development in the communities, enabling Brazilian and international markets to be recognized globally in the table grape market.</t>
  </si>
  <si>
    <t>Bobby Pelz(Bobby Pelz)</t>
  </si>
  <si>
    <t>122223-88T</t>
  </si>
  <si>
    <t>Bossa Invest, The Next Company</t>
  </si>
  <si>
    <t>242218-36T</t>
  </si>
  <si>
    <t>QMS Capital Management</t>
  </si>
  <si>
    <t>123800-41T</t>
  </si>
  <si>
    <t>B1 (Pedro Sirotsky's investment vehicle), Guilherme Horn, Headline, Redpoint eventures(Manoel Lemos), Renato Freitas(Renato Freitas), SaaSholic</t>
  </si>
  <si>
    <t>140863-60T</t>
  </si>
  <si>
    <t>104867-29T</t>
  </si>
  <si>
    <t>Embraco</t>
  </si>
  <si>
    <t>Manufacturer of compressor product and devices based in Joinville, Brazil. The company's products and devices include air compressor, household refrigeration and commercial refrigeration products.</t>
  </si>
  <si>
    <t>Nidec (TKS: 6594)(Masahiro Nagayasu)</t>
  </si>
  <si>
    <t>187549-30T</t>
  </si>
  <si>
    <t>125313-58T</t>
  </si>
  <si>
    <t>#adm Ventures, Acurio Ventures, J Ventures</t>
  </si>
  <si>
    <t>118412-56T</t>
  </si>
  <si>
    <t>Andreessen Horowitz(Alastair Rampell), Canary (Brazil), Cercano Management(Rafael Costa), Fifth Wall(Brendan Wallace), Greyhound Capital, Hugo Barra(Hugo Barra), Mike Krieger(Mike Krieger), Nigel Morris(Nigel Morris), QED Investors, SoftBank Latin America Fund, Valor Capital Group(Clifford Sobel), Zigg Capital</t>
  </si>
  <si>
    <t>160625-98T</t>
  </si>
  <si>
    <t>Parque da Colina Cemetery</t>
  </si>
  <si>
    <t>Provider of funeral services based in Belo Horizonte, Brazil. The company offers decoration, assistance, inhumation, cremation, body conservation, coffin design and other related services.</t>
  </si>
  <si>
    <t>216241-84T</t>
  </si>
  <si>
    <t>Setis (Industrial Supplies and Parts)</t>
  </si>
  <si>
    <t>Developer of software components used in electronic payment systems based in Sao Paulo, Brazil. The company specializes in developing and integrating chip card solutions, certification tools and authorization systems used in specific drivers, systems, proprietary platforms and PC systems.</t>
  </si>
  <si>
    <t>PayGo (Financial Software)</t>
  </si>
  <si>
    <t>125268-76T</t>
  </si>
  <si>
    <t>Flormel</t>
  </si>
  <si>
    <t>Producer of healthy foods intended to offer tasty and nutritious desserts. The company's products include chocolates, snacks, bars, honey, and other packaged food products, enabling health-conscious consumers to avail of nutritious and functional confectionery snacks.</t>
  </si>
  <si>
    <t>165838-42T</t>
  </si>
  <si>
    <t>Ed+</t>
  </si>
  <si>
    <t>Developer of an online teaching platform intended to bring a change in people's lives through education. The company offers a range of courses, including security, finance, business management, motorcycle mechanics, and bicycle mechanics, through its portal, enabling users to achieve greater potential through education.</t>
  </si>
  <si>
    <t>124192-36T</t>
  </si>
  <si>
    <t>216243-01T</t>
  </si>
  <si>
    <t>Millennium Network</t>
  </si>
  <si>
    <t>Developer of erp software catering to the clothing, apparel and footwear sector.</t>
  </si>
  <si>
    <t>97946-20T</t>
  </si>
  <si>
    <t>5xmais, Big Sur Ventures, Bossa Invest, FJ Labs(Güimar Sittic), FundersClub, Global Founders Capital, Hummingbird Ventures, Lumia Capital, Rise Capital, Tekton Ventures(Jai Choi)</t>
  </si>
  <si>
    <t>123438-79T</t>
  </si>
  <si>
    <t>120411-19T</t>
  </si>
  <si>
    <t>Oxygen Systems</t>
  </si>
  <si>
    <t>Developer of NetSuite cloud management system based in Brazil. The company provides localization services to address the complex tax and reporting requirements for companies with operations, enabling clients to grow their small and medium enterprises.</t>
  </si>
  <si>
    <t>Oracle (NYS: ORCL)(Rodrigo Galvão)</t>
  </si>
  <si>
    <t>216235-18T</t>
  </si>
  <si>
    <t>SPC Uirapuru Transmissora de Energia</t>
  </si>
  <si>
    <t>Operator of an energy utility company based in Brazil.</t>
  </si>
  <si>
    <t>Copel Geração e Transmissão</t>
  </si>
  <si>
    <t>124767-82T</t>
  </si>
  <si>
    <t>Wolpac Sistemas de Controle</t>
  </si>
  <si>
    <t>Manufacturer of access control devices catering to the security and transport sectors. The company is engaged in the manufacturing and handling of production and distribution of pedestrian access control solutions, thereby providing businesses and clients with more safety, comfort and well-being.</t>
  </si>
  <si>
    <t>Magnetic Autocontrol</t>
  </si>
  <si>
    <t>221305-87T</t>
  </si>
  <si>
    <t>216236-62T</t>
  </si>
  <si>
    <t>Nuance (Brazil SRS Operations)</t>
  </si>
  <si>
    <t>Operator of a subscription revenue services operations based in Brazil. The company provides services to mobile consumers in emerging markets.</t>
  </si>
  <si>
    <t>133658-92T</t>
  </si>
  <si>
    <t>Bulb Capital</t>
  </si>
  <si>
    <t>224106-85T</t>
  </si>
  <si>
    <t>Fundo Investimento Imobiliario Green Towers (BVMF: GTWR11)</t>
  </si>
  <si>
    <t>Fundo Investimento Imobiliario Green Towers is a brick-type real estate fund. Its investments are directed at commercial properties in the office segment. The objective of the fund is to provide the quoters with income monthly by means of the location of the corporate offices of Green Towers enterprise.</t>
  </si>
  <si>
    <t>123769-45T</t>
  </si>
  <si>
    <t>Holding RPX</t>
  </si>
  <si>
    <t>Developer of a bank digitization platform designed to help companies deploy digital banking. The company's platform offers services like intrabank and interbank transfers, magnetic cards, creating a digital account, and consulting services, enabling global corporations, large retail companies, and franchisees to educational institutions with virtual account services, card management, and payment services.</t>
  </si>
  <si>
    <t>Redlions Capital(Fernando Oliveira)</t>
  </si>
  <si>
    <t>157727-35T</t>
  </si>
  <si>
    <t>Laticnios Porto Alegre</t>
  </si>
  <si>
    <t>Producer and supplier of dairy products intended to serve the food industry. The company offers cream, cheese, yoghurt, butter and milk enabling its customers to get standard safe products.</t>
  </si>
  <si>
    <t>Emmi (Switzerland) (SWX: EMMN)</t>
  </si>
  <si>
    <t>123988-78T</t>
  </si>
  <si>
    <t>124643-35T</t>
  </si>
  <si>
    <t>Tacerto</t>
  </si>
  <si>
    <t>Developer of an online insurance brokering platform designed to simplify financial planning and manage all the insurance in one place. The company offers a platform for quoting, contracting, and managing real estate insurance, enabling real estate clients to find reliable and suited products without spending precious time comparing prices and service levels.</t>
  </si>
  <si>
    <t>119758-42T</t>
  </si>
  <si>
    <t>Caleta Gaming</t>
  </si>
  <si>
    <t>Developer of online gaming content platform designed to provide engaging and culturally relevant experiences. The company's platform offers a diverse portfolio of plays including slots, video bingo, keno, scratchcards, and crash games all developed using its in-house GP5 engine, providing players with certified games for compliance with regulatory standards and accessible through API integration.</t>
  </si>
  <si>
    <t>Yolo Investments(Timothy Heath)</t>
  </si>
  <si>
    <t>122938-93T</t>
  </si>
  <si>
    <t>125472-34T</t>
  </si>
  <si>
    <t>Octabank</t>
  </si>
  <si>
    <t>Developer of financial blockchain technologies designed to provide cryptocurrency in the Brazilian finance market. The company's technologies offer cryptocurrency investment vehicle along with a multi-purpose browser based blockchain, enabling users to trade in cryptocurrency in a safe controlled manner.</t>
  </si>
  <si>
    <t>118511-47T</t>
  </si>
  <si>
    <t>NS2.com Internet</t>
  </si>
  <si>
    <t>Netshoes (Cayman) Ltd is a sports and lifestyle online retailer in Latin America. It operates in Brazil, Argentina, and Mexico. The company through its desktop and mobile websites and applications, deliver customers a convenient and intuitive online shopping experience across its two core brands, Netshoes and Zattini. The company has two geographical segments, Brazil and Argentina. Brazil consists of retail sales of consumer products from sales of sporting goods and related garments as well as fashion and beauty goods carried out through sites Netshoes.com.br and Zattini.com.br as well as third-party sites. Argentina consists of retail sales of consumer products mainly sporting goods and related garments from its sites Netshoes.com.ar and Netshoes.com.mx in Argentina and Mexico.</t>
  </si>
  <si>
    <t>123288-13T</t>
  </si>
  <si>
    <t>Canary (Brazil), Innogen Capital Ventures</t>
  </si>
  <si>
    <t>122148-01T</t>
  </si>
  <si>
    <t>Terra Brasis Resseguros</t>
  </si>
  <si>
    <t>Provider of reinsurance services to insurance companies across Brazilian and Latin America market. The company's services include reinsurance and investment &amp; risk management.</t>
  </si>
  <si>
    <t>Austral Participações(Bruno Freire), International Finance (Washington D.C.)(Hector Ang), Spectra Investments, Vinci Compass Investments (NAS: VINP)</t>
  </si>
  <si>
    <t>224972-83T</t>
  </si>
  <si>
    <t>Loft I FII (BVMF: LOFT11B)</t>
  </si>
  <si>
    <t>Loft I FII is a real estate investment fund in Brazil.</t>
  </si>
  <si>
    <t>218272-78T</t>
  </si>
  <si>
    <t>Criatec 2(Rodrigo Comazzetto), NTAgro</t>
  </si>
  <si>
    <t>176162-68T</t>
  </si>
  <si>
    <t>R/GA Ventures(Stephen Plumlee)</t>
  </si>
  <si>
    <t>135722-89T</t>
  </si>
  <si>
    <t>BRQ Solucoes em Informatica (BVMF: BRQB3), HBS Alumni Angels of Brazil</t>
  </si>
  <si>
    <t>119569-78T</t>
  </si>
  <si>
    <t>AME Planos de Saúde</t>
  </si>
  <si>
    <t>Provider of health plans and insurance services based in Goiania, Brazil. The company offers personal and employee health insurance, providing customers access to healthcare and medicine with low costs and quality care and operates a range of hospitals, clinical analysis laboratories and
support units.</t>
  </si>
  <si>
    <t>Hapvida Participacoes (BVMF: HAPV3)(Jorge Lima)</t>
  </si>
  <si>
    <t>139436-38T</t>
  </si>
  <si>
    <t>Resource (IT Consulting and Outsourcing)</t>
  </si>
  <si>
    <t>Provider of Information Technology integration services based in Sao Paulo, Brazil. The company offers development and maintenance of systems and applications and new solutions to add value to business as well as digital performance monitoring and SAP for businesses and industries including financial, health, retail, automotive, transport, engineering, pharma and many more.</t>
  </si>
  <si>
    <t>123440-77T</t>
  </si>
  <si>
    <t>140655-79T</t>
  </si>
  <si>
    <t>OKI Brasil Indústria e Comércio de Produtos e Tecnologia em Automação</t>
  </si>
  <si>
    <t>Provider of banking automation services based in São Paulo, Brazil. The company offers networking, commercial automation, business automation, cabling, IT infrastructure development and other related services.</t>
  </si>
  <si>
    <t>NCR Voyix (NYS: VYX)</t>
  </si>
  <si>
    <t>119965-69T</t>
  </si>
  <si>
    <t>Fifth Wall, Microsoft (NAS: MSFT), Notable Capital(Hans Tung), ONEVC, SoftBank Investment Advisers, VELT Partners</t>
  </si>
  <si>
    <t>100921-87T</t>
  </si>
  <si>
    <t>Braskem SA manufactures and sells chemicals, petrochemicals, fuels, and utilities. The company's geographical segments include Brazil; the United States and Europe and Mexico. It derives a majority of its revenue from Brazil. It produces olefins, such as ethylene, polymer and chemical-grade propylene, butadiene, and butene-1; fuels, such as automotive gasoline, liquefied petroleum gas, or LPG, ethyl tertiary-butyl ether, or ETBE, and methyl tertiary-butyl ether, or MTBE; intermediates, such as cumene and others.</t>
  </si>
  <si>
    <t>119562-04T</t>
  </si>
  <si>
    <t>Amadeus Capital Partners, Mouro Capital, Siesta Ventures, SoftBank Investment Advisers, VEF (STO: VEFAB)(David Nangle)</t>
  </si>
  <si>
    <t>212898-97T</t>
  </si>
  <si>
    <t>Edools</t>
  </si>
  <si>
    <t>Developer of an online learning platform designed to offer distance learning courses. The company delivers an online platform that takes care of management videos and documents, student management, electronic commerce (e-commerce) integration, scalability, and customization of appearance, enabling clients to manage and operate online courses.</t>
  </si>
  <si>
    <t>HeroSpark(Rafael Carvalho)</t>
  </si>
  <si>
    <t>136647-28T</t>
  </si>
  <si>
    <t>Escola Em Movimento</t>
  </si>
  <si>
    <t>Developer of a communication platform designed to improve communication with parents. The company's platform offers secure communication through smartphones, tablets, and computers, as well as creates different types of calendars in the system and share events, meetings, activities, test dates and work deliveries, enabling schools to increase parent and student satisfaction, as well as improve the productivity of employees.</t>
  </si>
  <si>
    <t>124746-22T</t>
  </si>
  <si>
    <t>Gear Up</t>
  </si>
  <si>
    <t>Developer of an enterprise platform designed to facilitate sales and marketing operations. The company's platform specializes in a cloud-based database that can generate prospecting lists with information from all companies in Brazil that can be used to start outbound qualifications and generate new business, enabling companies to multiply the number of leads generated, maximize their results, and predictably increase their revenue.</t>
  </si>
  <si>
    <t>292156-12T</t>
  </si>
  <si>
    <t>HTS Global</t>
  </si>
  <si>
    <t>Developer of a compliance management platform intended to generate information integration and decision-making traceability. The company's platform has no limits on users, modules, and hourly cost flexibility, with features such as governance tools to track and manage risks through a systemic view that connects company objectives to risks, enabling clients to manage compliance information strategically.</t>
  </si>
  <si>
    <t>215571-70T</t>
  </si>
  <si>
    <t>Nextcode</t>
  </si>
  <si>
    <t>Developer of a digital onboarding platform designed to facilitate registration validation processes for customer acquisition. The company's platform provides classification and analysis, data extraction, and background checks using artificial intelligence, enabling clients to prevent fraud embedded in technology by making identity verification fully automated.</t>
  </si>
  <si>
    <t>264294-19T</t>
  </si>
  <si>
    <t>165598-57T</t>
  </si>
  <si>
    <t>131063-50T</t>
  </si>
  <si>
    <t>Ciashop</t>
  </si>
  <si>
    <t>Provider of a platform intended to offer e-commerce services. The company's platform is a software as service cloud platform that offers online trading, virtual store, hosting, infrastructure and payment gateway services, enabling people to get a single platform for all the varied e-commerce needs.</t>
  </si>
  <si>
    <t>157498-12T</t>
  </si>
  <si>
    <t>Home Shave Club</t>
  </si>
  <si>
    <t>Operator and provider of a razor club and razors intended to simplify life and bathroom of man. The company offers plans that fit the needs of men and delivers quality and performance razors to the customer's doorstep, enabling them to have a pleasant shaving experience for their monthly subscriptions.</t>
  </si>
  <si>
    <t>Dr. JONES(Guilherme Campos)</t>
  </si>
  <si>
    <t>124756-57T</t>
  </si>
  <si>
    <t>Meu Atendimento</t>
  </si>
  <si>
    <t>Developer of store management software intended to assist businesses in recovering their lost sales. The company's software aids in identifying the reason for reduced sales and sets daily goals for the stores while providing reports, customer satisfaction surveys, registering and analyzing calls, enabling businesses and store owners to understand the bottlenecks and address them effectively.</t>
  </si>
  <si>
    <t>Bossa Invest(Pierre Schurmann)</t>
  </si>
  <si>
    <t>124727-23T</t>
  </si>
  <si>
    <t>Automobi</t>
  </si>
  <si>
    <t>Operator of relationship marketing platform intended to establish a bond between customer and dealer. The company's platform offers web scheduling of services and valuable information about customer relationship actions to generate communications personality that includes white-label consumer app, tailor-made campaigns, customer analysis, and reports, enabling companies to track their customer engagement level, opportunities generated and weekly deals closed.</t>
  </si>
  <si>
    <t>160682-59T</t>
  </si>
  <si>
    <t>AVG Mineração</t>
  </si>
  <si>
    <t>Operator of a mineral exploration company catering to energy, mining, metallurgy, automotive and silviculture industries. The company engages in pig iron production, the extraction and processing of iron ore and drilling services.</t>
  </si>
  <si>
    <t>125978-86T</t>
  </si>
  <si>
    <t>Clube do Malte</t>
  </si>
  <si>
    <t>Distributor of craft beer intended to provide leisurely alcoholic beverages. The company's platform offers crafted beers, promotional kits, imported beers, and exclusive souvenirs, enabling beer drinkers to learn much more about the millennial drink and make beer lovers' day increasingly aromatic, tasty, and fun.</t>
  </si>
  <si>
    <t>122299-03T</t>
  </si>
  <si>
    <t>Coalize</t>
  </si>
  <si>
    <t>Developer of a performance management platform committed to helping companies focus on what matters and eliminate wasted resources with manual processes. The company's platform offers several features including electronic points without errors or fraud, a full digital employee admission process and automatic time bank control and calculations, enabling clients to transform their work environments into inspiring and healthy places effectively.</t>
  </si>
  <si>
    <t>243417-52T</t>
  </si>
  <si>
    <t>123802-03T</t>
  </si>
  <si>
    <t>Justa (Financial Software)</t>
  </si>
  <si>
    <t>Operator of an end-to-end financial ecosystem platform intended to simplify payments. The company's platform allows the creation of a digital business account and offers real-time sales statements, payment, and collection management schedules, enabling business owners with security and ease of use in the financial lives.</t>
  </si>
  <si>
    <t>A5 Capital Partners(Renato Pavan)</t>
  </si>
  <si>
    <t>119971-54T</t>
  </si>
  <si>
    <t>120430-27T</t>
  </si>
  <si>
    <t>Open Vista</t>
  </si>
  <si>
    <t>Provider of mutual funds services through a proprietary digital platform intended to serve wealth advisory. The company operates as a licensed asset manager and investment advisor, authorized to distribute its funds directly to the general public, enabling individuals to reduce country-risk exposure and short-term volatility by targeting consistent long-term results through effective allocations.</t>
  </si>
  <si>
    <t>125610-04T</t>
  </si>
  <si>
    <t>Resource's South American operations</t>
  </si>
  <si>
    <t>Provider of IT services based in ao Paulo, Brazil. The business unit focusses on system integration and application development.</t>
  </si>
  <si>
    <t>Getronics</t>
  </si>
  <si>
    <t>130245-04T</t>
  </si>
  <si>
    <t>Semente Campeã</t>
  </si>
  <si>
    <t>Producer of genetically modified seeds. The company makes a wide variety of seeds such as champion seeds, monsoy, syngenta and nidera.</t>
  </si>
  <si>
    <t>Aqua Capital(Tomas Romero), Rural Brasil, Spectra Investments</t>
  </si>
  <si>
    <t>160768-36T</t>
  </si>
  <si>
    <t>123247-00T</t>
  </si>
  <si>
    <t>Smartlike</t>
  </si>
  <si>
    <t>Developer of an artificial intelligence marketing platform designed to help find the best way to sell through social media. The company's platform finds a social network audience using artificial intelligence and interacts with the people automatically and helps build a large customer base and create a consultive relationship, helping small entrepreneurs to sell more by garnering a larger and more engaged follower base.</t>
  </si>
  <si>
    <t>158248-72T</t>
  </si>
  <si>
    <t>Paris Wine Cup</t>
  </si>
  <si>
    <t>212075-47T</t>
  </si>
  <si>
    <t>156768-85T</t>
  </si>
  <si>
    <t>Patria Investments (NAS: PAX)(Daniel Sorrentino)</t>
  </si>
  <si>
    <t>153773-02T</t>
  </si>
  <si>
    <t>Melhor Compra</t>
  </si>
  <si>
    <t>Developer of a mobile application designed to facilitate grocery purchases and make it possible to compare and purchase products available on the market. The company's application offers a user-friendly interface, scheduled deliveries and various payment methods, enabling users to make grocery purchases on their cell phones.</t>
  </si>
  <si>
    <t>PUCTec</t>
  </si>
  <si>
    <t>220981-51T</t>
  </si>
  <si>
    <t>Treecorp Real Estate Fundo Investimento Imobiliario I formerly Treecorp Partners Gestoras Ltda is an investment management company focused in emerging companies through financial support and intellectual capital. The ocmpany's business area unit consists of Private equity, financial advisory, and alternative investments.</t>
  </si>
  <si>
    <t>216225-10T</t>
  </si>
  <si>
    <t>EDP Transmissão Litoral Sul</t>
  </si>
  <si>
    <t>Provider of electricity transmission services based in Tôrres, Brazil.</t>
  </si>
  <si>
    <t>295802-74T</t>
  </si>
  <si>
    <t>Brazil Accelerate 2030</t>
  </si>
  <si>
    <t>207255-70T</t>
  </si>
  <si>
    <t>Mude</t>
  </si>
  <si>
    <t>Developer of an on-demand fitness content service designed to combine outdoor media placement and create a free wellness ecosystem. The company has combined outdoor media placement with its functional furniture, which is patented and produced in-house, thereby providing users with a complete and diverse library of Yoga, Fitness, Meditation, Sports, Dance, and more.</t>
  </si>
  <si>
    <t>124762-51T</t>
  </si>
  <si>
    <t>119971-72T</t>
  </si>
  <si>
    <t>136344-52T</t>
  </si>
  <si>
    <t>Aurum</t>
  </si>
  <si>
    <t>Developer of legal software intended to provide the resources to improve management and increase the productivity of lawyers. The company offers artificial intelligence to leverage the results and manage processes and deadlines, thereby allowing customers to process costs and determine budgets accurately</t>
  </si>
  <si>
    <t>277966-90T</t>
  </si>
  <si>
    <t>Novalis Tecnologia</t>
  </si>
  <si>
    <t>Developer of business management software intended to serve small, medium and big enterprises. The company specializes in providing consulting and software development services using information technology, including integrated business management software, website development, digital marketing and enterprise resource planning, with the aim of creating modern and innovative solutions that enhance client outcomes.</t>
  </si>
  <si>
    <t>256456-72T</t>
  </si>
  <si>
    <t>Pluvi.On</t>
  </si>
  <si>
    <t>Developer of artificial intelligence-based weather sensors designed to improve weather forecasting accuracy in Brazil. The company focuses on enhancing weather prediction in Brazil through dense sensor networks, focusing on affordability and AI-powered models, enabling clients to make informed decisions and be better prepared for extreme weather events.</t>
  </si>
  <si>
    <t>216237-25T</t>
  </si>
  <si>
    <t>TecCloud</t>
  </si>
  <si>
    <t>Provider of cloud hosting and data colocation services aimed at enhancing clients' business operations. The company's service offerings include infrastructure maintenance, storage, cloud computing, data migration, telecommunications and connectivity, enabling businesses to scale up their operations.</t>
  </si>
  <si>
    <t>Informática y Tecnología Stefanini(Rogério Vinícius)</t>
  </si>
  <si>
    <t>119491-57T</t>
  </si>
  <si>
    <t>DocPar</t>
  </si>
  <si>
    <t>Provider of management and protection of information and documents services based in Sao Jose dos Pinhais, Brazil. The company services include document storage, destruction of documents, documents scanning and file organization.</t>
  </si>
  <si>
    <t>Access Information Protected(Rob Alston), Berkshire Partners(Edward Whelan), GI Partners(Hoon Cho)</t>
  </si>
  <si>
    <t>127512-64T</t>
  </si>
  <si>
    <t>Comet (Paris)</t>
  </si>
  <si>
    <t>103058-92T</t>
  </si>
  <si>
    <t>SuperVia</t>
  </si>
  <si>
    <t>Provider of rail transportation services in Brazil. The company operates a service of urban trains in Rio de Janeiro and 11 municipalities in the state of Rio de Janeiro, through a railway network stretching 270 kilometers (km).</t>
  </si>
  <si>
    <t>116018-56T</t>
  </si>
  <si>
    <t>Yellow Mobility Solutions</t>
  </si>
  <si>
    <t>Provider of an urban mobility service platform designed to make bike transportation affordable. The company's platform with bike and e-scooter sharing models offers on-demand bike hiring and bike-sharing services, enabling users to hire a bicycle anytime and anywhere.</t>
  </si>
  <si>
    <t>123770-17T</t>
  </si>
  <si>
    <t>EDP Ventures(Rosario Cannata), Gr8 Ventures, KPTL</t>
  </si>
  <si>
    <t>295804-09T</t>
  </si>
  <si>
    <t>Brazil Accelerate 2030(Andre Maciel)</t>
  </si>
  <si>
    <t>267510-16T</t>
  </si>
  <si>
    <t>Joaquina Brasil</t>
  </si>
  <si>
    <t>Manufacturer of fashionable dresses and clothing products intended to encourage sustainable fashion. The company's products are created with ethical workmanship without harming the environment or people by using only existing raw materials, enabling customers to get a brand with a positive social and environmental impact.</t>
  </si>
  <si>
    <t>Accelerate2030(André Maciel)</t>
  </si>
  <si>
    <t>253783-45T</t>
  </si>
  <si>
    <t>295825-69T</t>
  </si>
  <si>
    <t>295803-64T</t>
  </si>
  <si>
    <t>295786-27T</t>
  </si>
  <si>
    <t>SmartSindico</t>
  </si>
  <si>
    <t>Developer of a property management application designed to simplify the administration of social housing and affordable condominiums. The company offers an intuitive platform with tools for financial oversight, communication, and multi-device compatibility, enabling property managers to effectively handle operations, lower expenses, and improve resident interaction.</t>
  </si>
  <si>
    <t>216245-08T</t>
  </si>
  <si>
    <t>Softpar (Financial Software)</t>
  </si>
  <si>
    <t>Developer of financial software designed to serve financial institutions. The company through its software offers a suite for purchases, accounts payable and receivable, leasing and risk as well as develops internal and external training programs, thereby ensuring greater productivity when they are integrated into project teams.</t>
  </si>
  <si>
    <t>295789-60T</t>
  </si>
  <si>
    <t>122379-40T</t>
  </si>
  <si>
    <t>124759-54T</t>
  </si>
  <si>
    <t>Polen</t>
  </si>
  <si>
    <t>Developer of a sales conversion platform designed to transform e-commerce into a business with social impact. The company's platform carries out impactful actions in a simple, secure, and transparent way, eases the connection between companies and social causes, and gets corporate impact projects off the ground, enabling companies to have an automated, measurable, and transparent cause marketing strategy.</t>
  </si>
  <si>
    <t>Bossa Invest, GVAngels, Honey Island Capital</t>
  </si>
  <si>
    <t>133141-24T</t>
  </si>
  <si>
    <t>222911-92T</t>
  </si>
  <si>
    <t>Caixa (BVMF: CRFF11)</t>
  </si>
  <si>
    <t>Caixa Rio Bravo Fundo DE Fundos DE Investimento Imobiliario II is a real estate investment fund. Its objective is to carry out real estate investments through the acquisition of assets, with a focus on FII shares, in order to provide shareholders with remuneration for the investment made, through the flow of income generated by the assets and the increase in the value equity of its shares.</t>
  </si>
  <si>
    <t>225815-59T</t>
  </si>
  <si>
    <t>Ourinvest Asset Gestora (BVMF: OUFF11)</t>
  </si>
  <si>
    <t>Fundo DE Investimento Imobiliario Ourinvest Fundo DE Fundos DE Inv Imb operates as a real estate investment fund.</t>
  </si>
  <si>
    <t>224422-57T</t>
  </si>
  <si>
    <t>KingHost</t>
  </si>
  <si>
    <t>Operator of a web hosting platform designed to help businesses of all sizes create and manage their online presence. The company offers a wide range of features and services including shared hosting, WordPress hosting, cloud hosting, dedicated hosting, email hosting, domain registration and website building to provide businesses with a reliable and affordable web hosting platform that helps them succeed online.</t>
  </si>
  <si>
    <t>Locaweb Internet Services (BVMF: LWSA3), Silver Lake, Sumeru Equity Partners(Kyle Ryland)</t>
  </si>
  <si>
    <t>123308-74T</t>
  </si>
  <si>
    <t>220 Capital(João Luis Lima), M2O, Relay Investments</t>
  </si>
  <si>
    <t>140285-71T</t>
  </si>
  <si>
    <t>Bematech</t>
  </si>
  <si>
    <t>Provider of automation systems and services intended to serve the retail and hospitality industries in Brazil. The company offers hardware and software solutions for kitchen display systems (KDS), all-in-one systems, retail-hardened computers and POS (point of sale) peripherals and touch monitors, providing businesses with solutions that will automate business processes and improve their bottom line.</t>
  </si>
  <si>
    <t>Elgin(Eduardo Neubern)</t>
  </si>
  <si>
    <t>196387-21T</t>
  </si>
  <si>
    <t>121379-14T</t>
  </si>
  <si>
    <t>Stone Age (IT Consulting and Outsourcing)</t>
  </si>
  <si>
    <t>Developer of data analysis systems designed for companies in finance, insurance, credit, retail, services, government and telecommunications segments. The company offers big data and analytical intelligence services, thereby enabling its clients to be provided with innovative, flexible, data-driven decision-making systems through a personalized, responsive, durable, cost-effective service.</t>
  </si>
  <si>
    <t>Apax Partners(Jason Wright), TIVIT(Luiz Mattar)</t>
  </si>
  <si>
    <t>212482-27T</t>
  </si>
  <si>
    <t>SKU</t>
  </si>
  <si>
    <t>263138-95T</t>
  </si>
  <si>
    <t>Be Trendy</t>
  </si>
  <si>
    <t>Designer of jewelry products intended to provide stylish, elegant, and affordable jewelry. The company offers trendy products such as bracelets, earrings, necklaces, and rings, which are coated with rhodium that protects them from tarnishing, enabling customers to access a variety of jewelry options at a reasonable price.</t>
  </si>
  <si>
    <t>120389-86T</t>
  </si>
  <si>
    <t>BuscaPe Company Informacao e Techologia</t>
  </si>
  <si>
    <t>Operator of an online price comparison platform based in Rio de Janeiro, Brazil. The company's platform allows its users to search and compare products and prices for categorized products from different merchants, thereby enabling its clients to buy products at the best price after a thorough study.</t>
  </si>
  <si>
    <t>Zoom (Brazil)</t>
  </si>
  <si>
    <t>125612-92T</t>
  </si>
  <si>
    <t>Rede D'Or São Luiz (BVMF: RDOR3), SulAmérica</t>
  </si>
  <si>
    <t>126466-12T</t>
  </si>
  <si>
    <t>ACE Ventures (Commercial Services), Google for Startups</t>
  </si>
  <si>
    <t>124743-79T</t>
  </si>
  <si>
    <t>Bossa Invest, FEA Angels, GVAngels</t>
  </si>
  <si>
    <t>210579-94T</t>
  </si>
  <si>
    <t>Fazendas Labrunier</t>
  </si>
  <si>
    <t>Producer of agriculture products based in Petrolina, Brazil. The company mainly produces table grapes and markets them across Brazil and Europe.</t>
  </si>
  <si>
    <t>El Ciruelo(Jose Velasco García)</t>
  </si>
  <si>
    <t>131354-74T</t>
  </si>
  <si>
    <t>126198-64T</t>
  </si>
  <si>
    <t>Hand Talk Serviços</t>
  </si>
  <si>
    <t>Operator of a translation platform designed to break down communication barriers and automatically translate sign languages. The company's platform virtually translates text and audio to sign languages from different countries and makes the website accessible with technology, thereby allowing people with hearing impairments to communicate and get digital access to information.</t>
  </si>
  <si>
    <t>178239-52T</t>
  </si>
  <si>
    <t>222633-28T</t>
  </si>
  <si>
    <t>Bresco Logistica (BVMF: BRCO11)</t>
  </si>
  <si>
    <t>Bresco - Fundo DE Investimento Imobiliario, formerly Bresco Logistica FII is a real estate investment platform belonging to the segment of logistics operations (brick fund). It operates through Built-to-Suit operations and Sale-leaseback -acquisition.</t>
  </si>
  <si>
    <t>210974-05T</t>
  </si>
  <si>
    <t>SMZTO(Jose Semenzato)</t>
  </si>
  <si>
    <t>224004-07T</t>
  </si>
  <si>
    <t>Grupo Rcfa Fundo DE Investimento Imobiliario formerly Fram Capital Gestao de Ativos Ltda is an investment management firm. The company is focused in areas namely investment of funds, alternative investments, wealth management, administration of funds and public distribution. The Fund is aimed at individuals and legal entities in general, investors institutions, residents and domiciled in Brazil or abroad, as well as investment funds, which understand the risks related to the objectives.</t>
  </si>
  <si>
    <t>123988-42T</t>
  </si>
  <si>
    <t>166655-89T</t>
  </si>
  <si>
    <t>IPEMED</t>
  </si>
  <si>
    <t>Operator of a higher education institution based in Belo Horizonte, Brazil. The company offers post-graduation courses in various specialties in the medical field and provides complete learning, combining theory and practice, stimulating knowledge through direct contact with different clinical cases and different scenarios, thereby enabling students to expand their medical careers through qualified teachers and humanized care for real and screened patients.</t>
  </si>
  <si>
    <t>123286-51T</t>
  </si>
  <si>
    <t>118866-97T</t>
  </si>
  <si>
    <t>Astella Investimentos(Laura Constantini), Spectra Investments</t>
  </si>
  <si>
    <t>121406-23T</t>
  </si>
  <si>
    <t>Alsol Energias Renováveis</t>
  </si>
  <si>
    <t>Developer of photovoltaic technology intended to provide tailor-made solutions for sustainable distributed power generation. The company's technology pioneers in the grid-connected facilities including animal waste biogas and organic biodiesel and batteries, providing companies with clean energy solutions.</t>
  </si>
  <si>
    <t>123859-99T</t>
  </si>
  <si>
    <t>Criatec 2, Triaxis Capital</t>
  </si>
  <si>
    <t>206076-88T</t>
  </si>
  <si>
    <t>Helser Saúde</t>
  </si>
  <si>
    <t>Operator of an asset management firm intended to invest exclusively in the healthcare sector. The company specializes in investing in small to medium-sized companies through the identification, analysis and structuring of deals for venture capital or private equity operations, thereby helping healthcare businesses to provide quality healthcare services to society depends on well-formulated, structured and managed businesses to be sustainable over time as well as create value and generate returns for their investors.</t>
  </si>
  <si>
    <t>124750-00T</t>
  </si>
  <si>
    <t>Juristas</t>
  </si>
  <si>
    <t>Publisher of online news intended to offer legal services and advice. The company's news portal provides petition templates and tools for creating documents, holds forums with specific themes and workflow tools for procedural parts, and also offers digital certification services, enabling users to share their ideas and learnings amongst a legal community.</t>
  </si>
  <si>
    <t>251535-16T</t>
  </si>
  <si>
    <t>Rio Bravo Credito Imobiliario High Grade (BVMF: RBHG11)</t>
  </si>
  <si>
    <t>Rio Bravo Credito Imobiliario High GraDE Fundo DE Inv Imob is a Brazil based company. It invests in credit assets backed by real estate. Its objective is to generate long-term returns above inflation and the CDI, buying mainly assets.</t>
  </si>
  <si>
    <t>133142-14T</t>
  </si>
  <si>
    <t>Target Solutions</t>
  </si>
  <si>
    <t>Operator of an information and communication technology company intended to offer network planning and broadband service intelligence. The company specializes in diagnosis, management, and software development for business support systems integration and network operation projects, enabling clients to plan and manage transmission networks with equipment specifications and station services.</t>
  </si>
  <si>
    <t>124096-60T</t>
  </si>
  <si>
    <t>Crescera Capital, Criatec 2(Fernando Silva), Triaxis Capital</t>
  </si>
  <si>
    <t>184920-76T</t>
  </si>
  <si>
    <t>176533-03T</t>
  </si>
  <si>
    <t>OriginalMy</t>
  </si>
  <si>
    <t>Developer of a blockchain platform designed to authenticate and verify through smart contracts. The company's platform specializes in collecting evidence from the internet, cybersecurity, verifying people's identities and digital documents through blockchain technology, enabling businesses and individuals to securely share and verify important information.</t>
  </si>
  <si>
    <t>3XBIT, Marcelo Bradaschia</t>
  </si>
  <si>
    <t>221309-11T</t>
  </si>
  <si>
    <t>BB Renda Papeis Imobiliarios Il Fundo Investimento Imobiliario (BVMF: VVCR11)</t>
  </si>
  <si>
    <t>V2 Recebiveis Imobiliarios Fundo De Investimento Imobiliario is a real estate fund.</t>
  </si>
  <si>
    <t>118701-01T</t>
  </si>
  <si>
    <t>Sérya</t>
  </si>
  <si>
    <t>Provider of food processing services based in Araxá, Brazil. The company is engaged in manufacturing and selling potato products to its clients in Brazil.</t>
  </si>
  <si>
    <t>McCain Foods(Aluizo Neto)</t>
  </si>
  <si>
    <t>121171-78T</t>
  </si>
  <si>
    <t>Indico Capital Partners(Cristina Fonseca), The Next Company</t>
  </si>
  <si>
    <t>136808-92T</t>
  </si>
  <si>
    <t>122157-82T</t>
  </si>
  <si>
    <t>118627-66T</t>
  </si>
  <si>
    <t>123438-43T</t>
  </si>
  <si>
    <t>Bossa Invest, DOMO.VC, Verve Capital</t>
  </si>
  <si>
    <t>119725-48T</t>
  </si>
  <si>
    <t>GPS Investimentos Financeiros e Participações, Monashees, VEF (STO: VEFAB)(Alexis Koumoudos)</t>
  </si>
  <si>
    <t>226022-14T</t>
  </si>
  <si>
    <t>Planner Corretora de Valores (BVMF: GSFI11)</t>
  </si>
  <si>
    <t>Planner Corretora De Valores SA operates as a stock broker. It offers a complete set of products and services for the Brazilian and international markets such as resource management, trust administration, distribution of funds / securities, bookkeeping, controlling, custody, trustee, research, exchange and investment banking.</t>
  </si>
  <si>
    <t>124741-81T</t>
  </si>
  <si>
    <t>ClinicCo</t>
  </si>
  <si>
    <t>Provider of unused or underutilized space rental services designed to provide additional spaces for meetings, conferences and parking. The company's platform assists professionals to find for an office space with comfort and convenience by informing about the characteristics of the ideal space he needs considering price, property standard, location and owner's specialty, enabling individuals to get access to a comfortable workspace as per their preference.</t>
  </si>
  <si>
    <t>114989-41T</t>
  </si>
  <si>
    <t>Immortals(Ari Segal)</t>
  </si>
  <si>
    <t>211784-41T</t>
  </si>
  <si>
    <t>HUPI (Real Estate B2C)</t>
  </si>
  <si>
    <t>Provider of real estate services intended to deliver affordable properties.</t>
  </si>
  <si>
    <t>243418-33T</t>
  </si>
  <si>
    <t>179907-85T</t>
  </si>
  <si>
    <t>55 Ventures</t>
  </si>
  <si>
    <t>211753-72T</t>
  </si>
  <si>
    <t>Motora</t>
  </si>
  <si>
    <t>Operator of an AI based startup intended to develop autonomous and intelligent systems for vehicles. The company offers transportation products for intelligent fleet management and advanced driver assistance systems, intelligent transport solutions, artificial intelligence and computer vision for mobility solutions.</t>
  </si>
  <si>
    <t>Embraer (BVMF: EMBR3)(Francisco Gomes Neto)</t>
  </si>
  <si>
    <t>129536-29T</t>
  </si>
  <si>
    <t>Nibo</t>
  </si>
  <si>
    <t>Developer of accounting software designed to bring simplicity and tranquility to companies and offices. The company's software increases the efficiency of the accounting process, tracks cash flows, organizes accounts payables and receivables, and automates the collection process, enabling small and medium enterprises and accountants to manage and control their finances and monitor the health of their company.</t>
  </si>
  <si>
    <t>Redpoint eventures(Anderson Thees)</t>
  </si>
  <si>
    <t>105411-34T</t>
  </si>
  <si>
    <t>Mercado Libre Fund, Wayra Brazil</t>
  </si>
  <si>
    <t>126025-21T</t>
  </si>
  <si>
    <t>Resale (Brazil)</t>
  </si>
  <si>
    <t>Operator of an online marketplace designed to help people buy and sell a tenant-occupied rental property. The company's platform provides detailed home and tenant information, local vetted property management options, as well as general market insights, tools, data, and analytics to evaluate listings, enabling investors to treat their real estate investments like stock portfolios, focusing on asset allocation, rather than dealing with the hassles of researching and buying vacant homes that need to be repaired and leased.</t>
  </si>
  <si>
    <t>124296-58T</t>
  </si>
  <si>
    <t>GAA Investments</t>
  </si>
  <si>
    <t>269362-81T</t>
  </si>
  <si>
    <t>Global Experience</t>
  </si>
  <si>
    <t>Provider of customized international internship programs for university students and graduates and young professionals.</t>
  </si>
  <si>
    <t>AIFS(William Gertz)</t>
  </si>
  <si>
    <t>132618-61T</t>
  </si>
  <si>
    <t>Adelle Food Industry</t>
  </si>
  <si>
    <t>Producer of pork products based in Seberi, Brazil. The company offers various products including offals, pork cuts, ham, sausage, bacon and other meat products to its customers.</t>
  </si>
  <si>
    <t>Seara(Johannite Karoleski)</t>
  </si>
  <si>
    <t>121411-36T</t>
  </si>
  <si>
    <t>Grupo Drumattos</t>
  </si>
  <si>
    <t>Operator of a restaurant chain based in Recife, Brazil. The company's chain includes pizza and seafood restaurants, enabling customers to receive fast food options as per their requirements.</t>
  </si>
  <si>
    <t>251564-68T</t>
  </si>
  <si>
    <t>Brio Real Estate II (BVMF: BRIM11)</t>
  </si>
  <si>
    <t>Brio Real Estate II - Fundo DE Investimento Imobiliario - FII objective is to provide shareholders with the appreciation and profitability of their shares, in accordance with the investment policy, predominantly through investments: (I) in real estate assets; and (II) in other assets.</t>
  </si>
  <si>
    <t>123278-14T</t>
  </si>
  <si>
    <t>125336-89T</t>
  </si>
  <si>
    <t>117614-44T</t>
  </si>
  <si>
    <t>Granotec do Brasil</t>
  </si>
  <si>
    <t>Producer of nutritional supplements, multivitamin supplements, health drinks and cereal meals in Brazil. The company's activities include producing and selling multivitamins, probiotic dairy products, dairy products, milk and health powders.</t>
  </si>
  <si>
    <t>Corbion (AMS: CRBN)(Tjerk de Ruiter)</t>
  </si>
  <si>
    <t>125548-21T</t>
  </si>
  <si>
    <t>Keep Smiling</t>
  </si>
  <si>
    <t>Developer of artificial intelligence-based hardware technology designed to monitor children's teeth conditions. The company's technology can be plugged into any brush, which offers educational games and fun techniques, through which the brush collects data, enabling parents and dentists to monitor kid's oral hygiene.</t>
  </si>
  <si>
    <t>Samsung Global Startup Acceleration</t>
  </si>
  <si>
    <t>125550-28T</t>
  </si>
  <si>
    <t>Samsung Creative Startups</t>
  </si>
  <si>
    <t>124504-30T</t>
  </si>
  <si>
    <t>125556-94T</t>
  </si>
  <si>
    <t>Sinte Soft</t>
  </si>
  <si>
    <t>Developer of integrated systems designed for security management. The company offers software to control physical access devices, combining automation and data mining techniques, and integrating with most hardware available on the market, enabling clients to have an intelligent system.</t>
  </si>
  <si>
    <t>125558-83T</t>
  </si>
  <si>
    <t>178335-82T</t>
  </si>
  <si>
    <t>Canadian Solar (482.6 MW Portfolio of Contracted Solar Projects in Brazil)</t>
  </si>
  <si>
    <t>A portfolio of Solar Projects in Ceará, Minas Gerais and Pernambuco, Brazil. The total of the 4 projects comprises the largest bi-facial solar portfolio in Latin America with a total capacity of 482.6 MWp.</t>
  </si>
  <si>
    <t>Nebras Power, Qatar Holding</t>
  </si>
  <si>
    <t>128737-09T</t>
  </si>
  <si>
    <t>130489-93T</t>
  </si>
  <si>
    <t>Indwise</t>
  </si>
  <si>
    <t>Developer of an online industrial analytics platform designed to improve management and decision-making. The company's software utilizes automated analytics to collect production data from production lines and generate management reports, pointing out the main failures and opportunities for improvement in manufacturing processes, enabling production companies to improve decision-making thus increasing productivity and efficiency.</t>
  </si>
  <si>
    <t>Samsung Accelerator</t>
  </si>
  <si>
    <t>118506-16T</t>
  </si>
  <si>
    <t>Astella Investimentos(Edson Rigonatti), G5 Partners, Riverwood Capital(Joe De Pinho)</t>
  </si>
  <si>
    <t>227752-03T</t>
  </si>
  <si>
    <t>Xp Hotéis</t>
  </si>
  <si>
    <t>Xp Hoteis - Fundo DE Investimento Imobiliario-FII, formerly XP Hotéis FII is a real estate investment trust focused on hotels.</t>
  </si>
  <si>
    <t>118445-41T</t>
  </si>
  <si>
    <t>Atlant Fonder, Dunross &amp; Co, VEF (STO: VEFAB)(David Nangle)</t>
  </si>
  <si>
    <t>226318-87T</t>
  </si>
  <si>
    <t>Prologis Brazil Logistics (BVMF: PBLV11)</t>
  </si>
  <si>
    <t>Prologis Brazil Logistics Venture Fundo DE Investimento Imobiliario is real estate investment company. It provides fund administration, funds controlling, and other services.</t>
  </si>
  <si>
    <t>226396-99T</t>
  </si>
  <si>
    <t>RB Capital Office Income</t>
  </si>
  <si>
    <t>Rb Capital Office Income Fundo DE Investimento Imobiliario is a real estate investment company. It provides services such as fund administration, funds controlling, asset distribution, and book keeping funds.</t>
  </si>
  <si>
    <t>138932-20T</t>
  </si>
  <si>
    <t>Zen Finance</t>
  </si>
  <si>
    <t>Provider of credit as a service platform designed to provide cheap credit. The company's platform offers a business model that consists of offering loans to small and medium-sized enterprises and enterprises, through the application of technology risk management systems, enabling clients to get credits with low-interest rates and less bureaucracy.</t>
  </si>
  <si>
    <t>120984-04T</t>
  </si>
  <si>
    <t>Partners Group (SWX: PGHN)</t>
  </si>
  <si>
    <t>118381-96T</t>
  </si>
  <si>
    <t>Vila Energia Renovavel (92-MW Wind Farm)</t>
  </si>
  <si>
    <t>92-megawatt wind farm in the northeast state of Rio Grande do Norte, Brazil. The energy produced will be sold to Brazilian utility Cia Energetica de Minas Gerais SA (BVMF:CMIG4), better known as Cemig.</t>
  </si>
  <si>
    <t>Bpifrance, Peugeot Invest (PAR: PEUG), Tikehau Capital (PAR: TKO)(Emmanuel Laillier), Total Eren</t>
  </si>
  <si>
    <t>124086-43T</t>
  </si>
  <si>
    <t>Anacapa Partners, Angulo Capital(Rafael Araujo), Pacific Lake, Partner Ventures</t>
  </si>
  <si>
    <t>158255-65T</t>
  </si>
  <si>
    <t>Inboarding</t>
  </si>
  <si>
    <t>Developer of a recruiting platform designed to make the recruiting process convenient and free from discrimination. The company's platform offers to automate employee onboarding with an inclusive perspective and uses artificial intelligence and chatbots to create awareness using adaptive micro-learning focused on inclusion for gender, culture, and disabilities, enabling companies to get resources as per requirements and also have inclusive workplace.</t>
  </si>
  <si>
    <t>167045-68T</t>
  </si>
  <si>
    <t>Portal de Documentos</t>
  </si>
  <si>
    <t>Provider of digital document management services intended for the entire credit and collection cycle for vehicles, properties and other defaults. The company specializes in automating, expediting and improving the collection of delinquent consumer loans and electronically performs the registration of property contracts, movable property, equipment and documents, enabling large financial institutions and other customers to connect them electronically with key constituents in the credit process.</t>
  </si>
  <si>
    <t>B3(Brazil) (BVMF: B3SA3)(Marcos Vanderlei)</t>
  </si>
  <si>
    <t>158317-03T</t>
  </si>
  <si>
    <t>Wise Up chain</t>
  </si>
  <si>
    <t>Provider of training services based in Parana, Brazil. The company offers online course for those who do not speak English and need to communicate abroad along with classroom sessions for people at their units throughout Brazil.</t>
  </si>
  <si>
    <t>165838-96T</t>
  </si>
  <si>
    <t>G2 Capital, José Resende(José Resende), WOW Aceleradora de Startups</t>
  </si>
  <si>
    <t>155600-47T</t>
  </si>
  <si>
    <t>Banco BV, Mercado Libre Fund, MSW Capital(Richard Zeiger)</t>
  </si>
  <si>
    <t>118437-94T</t>
  </si>
  <si>
    <t>Itapecuru Bioenergia</t>
  </si>
  <si>
    <t>Producer of industrial ethanol intended to offer a renewable energy alternative for consumption needs of clients. The company produces anhydrous and hydrated ethanol from sugar cane.</t>
  </si>
  <si>
    <t>Palani Participações</t>
  </si>
  <si>
    <t>216046-90T</t>
  </si>
  <si>
    <t>Fala! Universidades</t>
  </si>
  <si>
    <t>Operator of an online content portal intended to bring brands and university students together. The company's online portal publishes collaborative content, products, and facilities made for students, helping students gain insights into current affairs and other fields of interest.</t>
  </si>
  <si>
    <t>Adalberto Vianna(Adalberto Vianna), Smart Money Ventures</t>
  </si>
  <si>
    <t>139543-39T</t>
  </si>
  <si>
    <t>Canary (Brazil)(Julio Vasconcellos)</t>
  </si>
  <si>
    <t>122944-42T</t>
  </si>
  <si>
    <t>GE32 Capital, K50 Ventures, Kairos (Business/Productivity Software), Monashees(Carlo Dapuzzo), Pear (California), Y Combinator</t>
  </si>
  <si>
    <t>216246-25T</t>
  </si>
  <si>
    <t>Iodice Fashion Industry</t>
  </si>
  <si>
    <t>Manufacturer of clothing products catering to women. The company offers women's fashion clothing and accessories, including pants, dresses, tops, shorts, skirts, jackets, jumpsuits, formal wear, kimonos and scarves through its online platform as well as retail outlets.</t>
  </si>
  <si>
    <t>Morena Rosa Industria de Confeccoes(Marco Franzato)</t>
  </si>
  <si>
    <t>93985-84T</t>
  </si>
  <si>
    <t>Caisse de dépôt et placement du Québec, Engie (PAR: ENGI)(Isabelle Kocher)</t>
  </si>
  <si>
    <t>85190-32T</t>
  </si>
  <si>
    <t>@cansei_vendi</t>
  </si>
  <si>
    <t>Operator of a luxury goods platform intended to provide second-hand items. The company's online thrift store offers branded clothes, shoes, bags, and accessories, providing customers with pre-owned authentic products at a cheaper price.</t>
  </si>
  <si>
    <t>275410-00T</t>
  </si>
  <si>
    <t>Jaubra</t>
  </si>
  <si>
    <t>Developer of an online ride-hailing platform designed to connect passengers with drivers. The company's platform offers a variety of vehicles and ensures convenient, transparent, and enhanced service, enabling passengers to get a convenient network of transportation anytime.</t>
  </si>
  <si>
    <t>120336-58T</t>
  </si>
  <si>
    <t>Franklin Templeton Australia</t>
  </si>
  <si>
    <t>117984-79T</t>
  </si>
  <si>
    <t>BHZ</t>
  </si>
  <si>
    <t>Retailer of autoparts in Brazil.</t>
  </si>
  <si>
    <t>128756-53T</t>
  </si>
  <si>
    <t>Hiper (Business/Productivity Software)</t>
  </si>
  <si>
    <t>Developer of a cloud-based store management application intended to serve small and micro retail entrepreneurs. The company's application allows users to make and track sales, product inventory and issue tax documents in compliance with legislation, thereby enabling storekeepers to streamline their day-to-day process.</t>
  </si>
  <si>
    <t>122157-91T</t>
  </si>
  <si>
    <t>195483-88T</t>
  </si>
  <si>
    <t>129531-97T</t>
  </si>
  <si>
    <t>Redpoint eventures(Manoel Lemos)</t>
  </si>
  <si>
    <t>135210-52T</t>
  </si>
  <si>
    <t>Conaz</t>
  </si>
  <si>
    <t>Developer of an online social platform created to connect builders to construction suppliers. The company's platform provides an online quotation automation service as well as a place for online construction shopping, enabling builders to connect with construction suppliers and save time in quotation process.</t>
  </si>
  <si>
    <t>122168-71T</t>
  </si>
  <si>
    <t>187548-58T</t>
  </si>
  <si>
    <t>Renato Mendes(Renato Mendes)</t>
  </si>
  <si>
    <t>123777-73T</t>
  </si>
  <si>
    <t>Global Founders Capital(Fabricio Pettena), Grow Mobility, L2 Venture, Maya Capital (Brazil), Monashees, ONEVC(Pedro Sorrentino), Shift Capital (São Paulo), Soma Capital, Wellhub(Emilio Maciel)</t>
  </si>
  <si>
    <t>91854-64T</t>
  </si>
  <si>
    <t>MarketUP</t>
  </si>
  <si>
    <t>Developer of online management software designed to offer a free quality management system to small businesses. The company's software assists in controlling the financials, online reports, cash flows, inventories, sales, suppliers and POS while also issuing electronic invoices, enabling entrepreneurs to get help in their day-to-day operations and increase their revenues.</t>
  </si>
  <si>
    <t>2bCapital, Alexandre Hohagen(Alexandre Hohagen), DOMO.VC, Hélio Rotenberg(Hélio Rotenberg), Inovabra Ventures, Rodrigo Borges(Rodrigo Borges), Romero Rodrigues</t>
  </si>
  <si>
    <t>124840-27T</t>
  </si>
  <si>
    <t>Brazilian Development Bank</t>
  </si>
  <si>
    <t>195488-38T</t>
  </si>
  <si>
    <t>123770-80T</t>
  </si>
  <si>
    <t>Garan Ventures, Headline, Redpoint eventures(Anderson Thees), Verve Capital</t>
  </si>
  <si>
    <t>122379-58T</t>
  </si>
  <si>
    <t>SmarttBot</t>
  </si>
  <si>
    <t>Operator of a shares trading platform intended to provide specialization in automated stock trading. The company's platform is developed for the creation, testing, and actual operation of automated stock market investment strategies by performing order routing, automatically executing buy and sell operations throughout the day according to market data, and following parameters pre-established by the user, enabling the users to devote their time to fruitful investments and not to miss good opportunities.</t>
  </si>
  <si>
    <t>170465-68T</t>
  </si>
  <si>
    <t>136767-97T</t>
  </si>
  <si>
    <t>Clube Atlético Bragantino</t>
  </si>
  <si>
    <t>Operator of football club based in São Paulo, Brazil.</t>
  </si>
  <si>
    <t>Red Bull</t>
  </si>
  <si>
    <t>131802-13T</t>
  </si>
  <si>
    <t>Beliive</t>
  </si>
  <si>
    <t>Developer of a social community platform intended to spread love, equality, and abundance. The company's platform uses time as currency to permit collaboration and equal opportunities among people, enabling users to use their time to share their talents, get some help, learn new skills, and connect with people.</t>
  </si>
  <si>
    <t>Founders Embassy</t>
  </si>
  <si>
    <t>117676-99T</t>
  </si>
  <si>
    <t>Chevron Brasil Upstream Frade</t>
  </si>
  <si>
    <t>Operator of a crude oil production field.</t>
  </si>
  <si>
    <t>257820-76T</t>
  </si>
  <si>
    <t>Grupo Metropolitana (CEPAR and CESUPAR)</t>
  </si>
  <si>
    <t>Operator of two educational institutes based in the State of Pará, Brazil.</t>
  </si>
  <si>
    <t>Cogna Educação (BVMF: COGN3)</t>
  </si>
  <si>
    <t>123101-11T</t>
  </si>
  <si>
    <t>What Design Can Do</t>
  </si>
  <si>
    <t>118447-93T</t>
  </si>
  <si>
    <t>Chromo Invest, Kaszek, Ribbit Capital</t>
  </si>
  <si>
    <t>118137-97T</t>
  </si>
  <si>
    <t>ClipEscola</t>
  </si>
  <si>
    <t>Operator of a digital school transformation platform intended to upscale teaching through the engagement of parents, students, and educators. The company's platform guides the teaching institutions in the adoption of advanced technologies, along with adding a digital agenda, instant communicator, automatic recorder of entries and exits through GPS, payment automation, student capture, artificial intelligence, and several other features developed specifically for educational institutions, enabling students to get access to an enhanced virtual learning environment.</t>
  </si>
  <si>
    <t>Invest Tech(Carlos Filho), Telefónica Ventures</t>
  </si>
  <si>
    <t>139806-19T</t>
  </si>
  <si>
    <t>Ostium (Educational Software)</t>
  </si>
  <si>
    <t>Developer of a training software platform designed to modernize teaching methods. The company's platform combines augmented and virtual reality, artificial intelligence with communication and quality content, enabling Catholic institutions to train children and young people.</t>
  </si>
  <si>
    <t>125346-52T</t>
  </si>
  <si>
    <t>Workbox</t>
  </si>
  <si>
    <t>Developer of a project management platform designed to address the issues in the micro and small business project management process. The company's platform offers micro tools that can be customized by the customer to organize company processes help control deadlines and improve communication between employees, enabling businesses to visualize all the demands related to projects and allowing them to get a better sense of the priorities to make more assertive decisions.</t>
  </si>
  <si>
    <t>130847-86T</t>
  </si>
  <si>
    <t>Sevna Startups</t>
  </si>
  <si>
    <t>126049-24T</t>
  </si>
  <si>
    <t>ACE Ventures (Commercial Services), Allievo Capital, GVAngels, M3 Investimentos, MOR Capital</t>
  </si>
  <si>
    <t>118629-01T</t>
  </si>
  <si>
    <t>123968-35T</t>
  </si>
  <si>
    <t>CPP Investments</t>
  </si>
  <si>
    <t>123772-33T</t>
  </si>
  <si>
    <t>Bossa Invest, Canary (Brazil), Catapult VC, Redpoint eventures(Manoel Lemos), Y Combinator</t>
  </si>
  <si>
    <t>117646-84T</t>
  </si>
  <si>
    <t>A Place for Rover(Megan Teepe), IGNIA Partners</t>
  </si>
  <si>
    <t>133965-64T</t>
  </si>
  <si>
    <t>284338-27T</t>
  </si>
  <si>
    <t>Linte</t>
  </si>
  <si>
    <t>Developer of cloud-based legal software designed to provide document management. The company's software offers to create, manage, and automate documents and legal contracts, enabling legal professionals to gain total control over a contract life cycle.</t>
  </si>
  <si>
    <t>210669-85T</t>
  </si>
  <si>
    <t>SignUp Content</t>
  </si>
  <si>
    <t>Operator of a content management platform intended to transform people for the better, enabling sustainable access to uplifting content. The company is a content monetization platform for content producers with an engaged audience, ideal for: Niche Content and News Portals, Writers and Speakers, Publishers, Podcasters, Youtubers and Digital Influencers..</t>
  </si>
  <si>
    <t>Netshow.me Serviços Online(Daniel Arcoverde do)</t>
  </si>
  <si>
    <t>125337-25T</t>
  </si>
  <si>
    <t>Pluris Acceleradora</t>
  </si>
  <si>
    <t>125611-66T</t>
  </si>
  <si>
    <t>Sephora Stands(Corrie Conrad)</t>
  </si>
  <si>
    <t>125615-44T</t>
  </si>
  <si>
    <t>Orna (Accessories)</t>
  </si>
  <si>
    <t>Operator of an accessories brand intended to provide leather bags and personal products. The company provides leather bags, cosmetics, and personal products, providing women with quality products that are socially responsible and made of biodegradable raw materials.</t>
  </si>
  <si>
    <t>226723-69T</t>
  </si>
  <si>
    <t>234517-33T</t>
  </si>
  <si>
    <t>117398-62T</t>
  </si>
  <si>
    <t>GasGrid Gas &amp; Energia</t>
  </si>
  <si>
    <t>Producer of biomethane based in Brazil. The company specializes in projects with low carbon emissions and develops bioelectricity to supply to the companies at the sustainability index of the São Paulo Stock Exchange.</t>
  </si>
  <si>
    <t>Capitale Energia(Daniel Rossi)</t>
  </si>
  <si>
    <t>117254-44T</t>
  </si>
  <si>
    <t>Software Express</t>
  </si>
  <si>
    <t>Developer of financial payment platform intended to serve stores, commercial automation and financial institutions. The company's platform offers barcode or QR code, financial management integrated with companies' cash automation, e-commerce and recurring payments, among other features, thereby helping clients to integrate with acquirers and administrators to accept credit, debit card, voucher, Pix and digital wallet transactions.</t>
  </si>
  <si>
    <t>First Data(Gerald McNerney)</t>
  </si>
  <si>
    <t>284255-20T</t>
  </si>
  <si>
    <t>122938-84T</t>
  </si>
  <si>
    <t>Kellogg School of Management</t>
  </si>
  <si>
    <t>117977-41T</t>
  </si>
  <si>
    <t>Produttivo</t>
  </si>
  <si>
    <t>Developer of a management software designed to manage inspections and field services. The company's software assembles the staffing roadmap for work orders, provides photo reports, and offers technical reports, along with designing day-to-day coaching, enabling service providers to increase revenue without increasing their expenses.</t>
  </si>
  <si>
    <t>Smart Money Ventures(Fábio Póvoa)</t>
  </si>
  <si>
    <t>211952-89T</t>
  </si>
  <si>
    <t>BLK Sistemas Financeiros</t>
  </si>
  <si>
    <t>Developer of financial algorithm products intended to work with low latency and stability. The company specializes in electronic and algorithmic trading, with an emphasis on the creation and development of software and algorithms.</t>
  </si>
  <si>
    <t>B3(Brazil) (BVMF: B3SA3)(Daniel Sonder)</t>
  </si>
  <si>
    <t>133758-64T</t>
  </si>
  <si>
    <t>Orbit Studio</t>
  </si>
  <si>
    <t>Operator of a game studio intended to develop games for PC, mobile, and consoles. The company's studio is making a single-player action game that follows the adventures of a small robot looking to reclaim past mysteries, enabling players to have a good gaming experience.</t>
  </si>
  <si>
    <t>SuperGG</t>
  </si>
  <si>
    <t>156583-18T</t>
  </si>
  <si>
    <t>Brasil em Folhas</t>
  </si>
  <si>
    <t>Operator of a news publishing platform intended to provide online information full-time. The company's platform offers daily updates and focuses on the daily life of Brazilian cities and the inhabitants, and provides updates on sports, economy, culture, politics, and world, enabling users to stay updated with the latest news.</t>
  </si>
  <si>
    <t>York IE</t>
  </si>
  <si>
    <t>117553-96T</t>
  </si>
  <si>
    <t>111109-33T</t>
  </si>
  <si>
    <t>116945-56T</t>
  </si>
  <si>
    <t>Companhia De Saneamento Basico Do Estado De Sao Paulo (BVMF: SBSP3)</t>
  </si>
  <si>
    <t>Companhia De Saneamento Basico Do Estado De Sao Paulo is engaged in the provision of basic and environmental sanitation services in the Sao Paulo State and supplies treated water and sewage services on a wholesale basis. The company operates in a single segment, which is Sanitation services.</t>
  </si>
  <si>
    <t>121037-23T</t>
  </si>
  <si>
    <t>Hoff Group</t>
  </si>
  <si>
    <t>Retailer of tires and provider of automotive mechanics and assistance services based out of Porto Alegre, Brazil.</t>
  </si>
  <si>
    <t>Bridgestone (TKS: 5108)</t>
  </si>
  <si>
    <t>125271-01T</t>
  </si>
  <si>
    <t>Cal Arco Iris</t>
  </si>
  <si>
    <t>Producer of high calcium and dolomitic lime for use in steel, chemical, pulp and paper and agricultural markets. The company's lime is manufactured in a sophisticated plant that manages the production, processing, storage and dispatch of the lime, ensuring customers can find a variety of lime products that all meet high quality standards.</t>
  </si>
  <si>
    <t>Carmeuse Coordination Center, Cobepa(Jean-Marie Josi), Société Régionale d'Investissement de Wallonie</t>
  </si>
  <si>
    <t>160681-42T</t>
  </si>
  <si>
    <t>Dei Glorian Servico Social Postumo</t>
  </si>
  <si>
    <t>Operator of a funeral home located in Viçosa, Brazil The company offers burial and funeral organizing services.</t>
  </si>
  <si>
    <t>132192-46T</t>
  </si>
  <si>
    <t>160681-69T</t>
  </si>
  <si>
    <t>Funerária Vitarelli</t>
  </si>
  <si>
    <t>Provider of funeral services in Vicosa, Brazil.</t>
  </si>
  <si>
    <t>113763-61T</t>
  </si>
  <si>
    <t>The Carlyle Group (NAS: CG)(Jay Sammons)</t>
  </si>
  <si>
    <t>119999-35T</t>
  </si>
  <si>
    <t>Motoboy.com</t>
  </si>
  <si>
    <t>Operator of a logistics management platform designed to automate company operations for delivery. The company's platform connects customers with different profiles to delivery personnel, and offers on-demand scheduling and payments by credit card or cash, enabling users to deliver their products in a hassle-free manner.</t>
  </si>
  <si>
    <t>200886-58T</t>
  </si>
  <si>
    <t>172394-20T</t>
  </si>
  <si>
    <t>Omnilink</t>
  </si>
  <si>
    <t>Developer of telematic systems intended for monitoring and tracking vehicles. The company offers a complete integration of solutions for safety and risk prevention, fleet management, vehicle monitoring and cargo tracking with higher customization, control and automation capabilities to logistics operators and the automotive industry, thereby enabling clients to increase efficiency and reduce operating costs.</t>
  </si>
  <si>
    <t>Show Tecnologia(Eduardo Lacet)</t>
  </si>
  <si>
    <t>219710-17T</t>
  </si>
  <si>
    <t>Programa Doce Lar</t>
  </si>
  <si>
    <t>Operator of an interior design company intended to offer housing development services. The company provides services related to small and large-scale housing improvements, house redesigning, and renovation, enabling customers to develop their houses as per their choices and needs.</t>
  </si>
  <si>
    <t>137064-97T</t>
  </si>
  <si>
    <t>Queijos São Vicente</t>
  </si>
  <si>
    <t>Producer of dairy products based in Belo Horizonte, Brazil. The company specializes in the production of cheese, processed cheddar, and cheese products for supermarkets and restaurants.</t>
  </si>
  <si>
    <t>120011-14T</t>
  </si>
  <si>
    <t>TotalVoice</t>
  </si>
  <si>
    <t>Developer of communication platform intended for creating applications that require voice and text communication. The company's system allows developers to include voice and text communication in the application, enabling users to make calls to their customers or partners from around the world.</t>
  </si>
  <si>
    <t>191099-98T</t>
  </si>
  <si>
    <t>124768-72T</t>
  </si>
  <si>
    <t>140651-29T</t>
  </si>
  <si>
    <t>141040-36T</t>
  </si>
  <si>
    <t>213479-02T</t>
  </si>
  <si>
    <t>1Doc</t>
  </si>
  <si>
    <t>Developer of document management software focused on communication and computerization of processes in public bodies. The company engages in offering data management, service and communication technology solutions thereby, bringing transparency to the population in municipal demands and reducing the cost of paperwork generated by city halls.</t>
  </si>
  <si>
    <t>SoftPlan (Multimedia and Design Software)</t>
  </si>
  <si>
    <t>113509-18T</t>
  </si>
  <si>
    <t>M&amp;G Fibras Brasil</t>
  </si>
  <si>
    <t>Manufacturer of polyester staple fibers in Brazil. The company offers antimicrobial, recycled, high-performance, hollow cross-section and other specialty polyester fibers for various textile applications.</t>
  </si>
  <si>
    <t>Indorama Ventures (BKK: IVL)(Aloke Lohia)</t>
  </si>
  <si>
    <t>199120-69T</t>
  </si>
  <si>
    <t>211220-74T</t>
  </si>
  <si>
    <t>Contadora da Bolsa</t>
  </si>
  <si>
    <t>Developer of a stock exchange investment platform based in Ibirité, Brazil. The company's platform provides a range of investment facilities for investing in the stock market, enabling clients to avail themselves of tailored statements as per their requirements.</t>
  </si>
  <si>
    <t>123877-00T</t>
  </si>
  <si>
    <t>Gávea Angel Group(Luiz Eduardo Moreira Caio)</t>
  </si>
  <si>
    <t>134609-77T</t>
  </si>
  <si>
    <t>ibooking</t>
  </si>
  <si>
    <t>Developer of a hotel management software intended to serve the tourism market. The company designs and develops complete PMS solution thus enables the hoteliers to grow their business.</t>
  </si>
  <si>
    <t>133238-35T</t>
  </si>
  <si>
    <t>175268-26T</t>
  </si>
  <si>
    <t>EQT (STO: EQT)(Jannik Petersen), StormGeo(Per-Olof Schroeder), Zobito(Magnus Lindhe)</t>
  </si>
  <si>
    <t>257859-01T</t>
  </si>
  <si>
    <t>Administration and Systems Development</t>
  </si>
  <si>
    <t>Provider of software solutions focused on management of private pension plans and clients.</t>
  </si>
  <si>
    <t>87635-08T</t>
  </si>
  <si>
    <t>128772-19T</t>
  </si>
  <si>
    <t>Nutrebem</t>
  </si>
  <si>
    <t>Developer and manufacturer of a digital account platform, cash, and ticketing machines designed to digitize school canteens. The company's software and products allow users to know the products sold in canteens, schedule snacks, customize the menu that the child will have access to for consumption, and put money on the student's account and see the nutritional rating of what they eat, enabling parents to ensure safe and nutritious food at school for their kids.</t>
  </si>
  <si>
    <t>Barn Investimentos(Flavio Zaclis), Devise, Kviv Ventures(Raphael Klein), Lab22</t>
  </si>
  <si>
    <t>122946-85T</t>
  </si>
  <si>
    <t>Renda Fixa</t>
  </si>
  <si>
    <t>Developer of an income application designed to search and compare fixed-income investments in Brazil. The company's application helps investors find everything they need to choose to maximize their returns, track consolidated portfolios in real-time, sign up with financial institutions and invest in products directly, enabling investors to have direct contact through email, feature headlines, and API integrations for direct investment.</t>
  </si>
  <si>
    <t>175733-11T</t>
  </si>
  <si>
    <t>Visa Do Brasil</t>
  </si>
  <si>
    <t>277634-17T</t>
  </si>
  <si>
    <t>Silo Verde</t>
  </si>
  <si>
    <t>Developer of storage systems intended for small rural producers. The company offers a silo built from recycled polymeric raw materials, featuring durable, easy-to-assemble storage bins with smooth interior walls to minimize product loss and maintain quality to withstand harsh conditions, protect against pests and regulate temperature and humidity, enabling farmers to store their produce for extended periods and sell at optimal market prices.</t>
  </si>
  <si>
    <t>Triel HP</t>
  </si>
  <si>
    <t>252422-92T</t>
  </si>
  <si>
    <t>CosmoBots</t>
  </si>
  <si>
    <t>Developer of no-code chatbot platforms designed to automate customer interactions across digital channels. The company offers intuitive bot builders, social media API (Application Programming Interface) integration, and omnichannel communication tools, enabling businesses to reduce service costs, centralize support operations, and deliver instant responses without technical complexity.</t>
  </si>
  <si>
    <t>261370-63T</t>
  </si>
  <si>
    <t>204373-90T</t>
  </si>
  <si>
    <t>Albright Capital Management</t>
  </si>
  <si>
    <t>128325-16T</t>
  </si>
  <si>
    <t>C6 Opp</t>
  </si>
  <si>
    <t>116448-31T</t>
  </si>
  <si>
    <t>Elétron Energy</t>
  </si>
  <si>
    <t>Provider of energy-related advisory services intended to evolve energy consumption. The company specializes in retail, commercialization, management and generation of energy, thereby offering clients an ecosystem of energy solutions and migrating towards a sustainable future.</t>
  </si>
  <si>
    <t>Alothon Group</t>
  </si>
  <si>
    <t>130498-21T</t>
  </si>
  <si>
    <t>123449-41T</t>
  </si>
  <si>
    <t>130541-95T</t>
  </si>
  <si>
    <t>Atlantic Energias Renovaveis</t>
  </si>
  <si>
    <t>Developer of renewable wind energy assets. The company develops, owns and operates wind farms and small run-of-the-river hydro plants across Brazil. It will feed into the country's vast hydro-thermal grid that stretches across the country, connecting projects from remote areas in the North with major cities in the South like Sao Paulo, Rio de Janeiro and Belo Horizonte.</t>
  </si>
  <si>
    <t>China General Nuclear Power (HKG: 01816)</t>
  </si>
  <si>
    <t>215065-45T</t>
  </si>
  <si>
    <t>Indyxa</t>
  </si>
  <si>
    <t>Provider of information technology services catering to insurance, food, finance, retail, education, health and industries. The company offers cloud services, business intelligence, managed services, security and continuity, assets and projects</t>
  </si>
  <si>
    <t>MV Informática Nordeste(Paulo Magnus)</t>
  </si>
  <si>
    <t>136266-85T</t>
  </si>
  <si>
    <t>Tarpon Capital</t>
  </si>
  <si>
    <t>167995-72T</t>
  </si>
  <si>
    <t>211735-00T</t>
  </si>
  <si>
    <t>Base Software</t>
  </si>
  <si>
    <t>Provider of software solutions intended to serve the real estate sector. The company develops proprietary systems specifically designed for the real estate market along with offering a line of products and services aimed at automating and modernizing companies.</t>
  </si>
  <si>
    <t>Superlógica Tecnologias(André Baldini)</t>
  </si>
  <si>
    <t>116192-35T</t>
  </si>
  <si>
    <t>Light Capital Group</t>
  </si>
  <si>
    <t>209469-43T</t>
  </si>
  <si>
    <t>HBSIS</t>
  </si>
  <si>
    <t>Provider of logistics solutions, sales systems and IT outsourcing based in Blumenau, Brazil. The company provides outsourcing solutions for sales and logistics, as well as solutions for the areas of preventive medicine and professional advice.</t>
  </si>
  <si>
    <t>225739-81T</t>
  </si>
  <si>
    <t>124007-77T</t>
  </si>
  <si>
    <t>Daniel Mendez(Daniel Mendez), Jander Martins(Jander Sousa Martins), Sapore, Telefónica (MAD: TEF), Wayra Brazil</t>
  </si>
  <si>
    <t>118281-61T</t>
  </si>
  <si>
    <t>vc_tb</t>
  </si>
  <si>
    <t>Developer of a language learning platform designed to help users improve their speaking ability. The company provides transformative experiences of learning and culture to its stakeholders through the teaching of languages and also provides affordable language courses, enabling individuals to be more fluent while speaking in English.</t>
  </si>
  <si>
    <t>207135-19T</t>
  </si>
  <si>
    <t>Joao Roncaglia</t>
  </si>
  <si>
    <t>128780-29T</t>
  </si>
  <si>
    <t>42K Investimentos, Capital Lab, Chromo Invest, DGF Investimentos, Jaime de Paula(Jaime de Paula), Osher Tech, Roger Ingold(Roger Ingold), Sandro Reiss(Sandro Reiss), Spectra Investments, Yellow Ventures</t>
  </si>
  <si>
    <t>156874-78T</t>
  </si>
  <si>
    <t>160677-28T</t>
  </si>
  <si>
    <t>Funerária Santana do Abaeté</t>
  </si>
  <si>
    <t>Provider of funeral services based in Abaeté, Minas Gerais.</t>
  </si>
  <si>
    <t>126848-08T</t>
  </si>
  <si>
    <t>GLEP Energias Renováveis e participações</t>
  </si>
  <si>
    <t>Developer of small hydroelectric projects intended to generate energy through reusable resources. The company specializes in hydroelectric plants that supply energy to the regulated and free markets.</t>
  </si>
  <si>
    <t>202045-33T</t>
  </si>
  <si>
    <t>116617-87T</t>
  </si>
  <si>
    <t>Angra Partners, Spectra Investments</t>
  </si>
  <si>
    <t>125975-08T</t>
  </si>
  <si>
    <t>183907-54T</t>
  </si>
  <si>
    <t>283556-17T</t>
  </si>
  <si>
    <t>Agribela</t>
  </si>
  <si>
    <t>Provider of biological agricultural farming products intended to help farmers reduce costs and improve crop yields. The company offers services such as crop sampling, pest and disease identification, and training on biological control methods, enabling farmers to transition to sustainable agricultural practices while optimizing their operations and improving profitability.</t>
  </si>
  <si>
    <t>Bridges for Innovation</t>
  </si>
  <si>
    <t>283596-76T</t>
  </si>
  <si>
    <t>117435-97T</t>
  </si>
  <si>
    <t>Quinta do Minho (bottled green wine business unit)</t>
  </si>
  <si>
    <t>Producer of green wine based in Goiânia, Brazil.</t>
  </si>
  <si>
    <t>Casa Ermelinda de Freitas</t>
  </si>
  <si>
    <t>123825-34T</t>
  </si>
  <si>
    <t>500 Global, 99 Startups, Ariel Poler(Ariel Poler), Base10 Partners, Class 5 Global, DCM Ventures, Greyhound Capital, Grishin Robotics, Investo (Private Equity)(Sergio Romo Amador), Liil Ventures, Liquid 2 Ventures, Lukasz Gadowski(Lukasz Gadowski), M Ventures (Los Angeles), Monashees(Carlo Dapuzzo), Nonlinear Capital, Notable Capital, Otter Rock Capital, Pi Campus, Pioneer Fund, PJC, Science, Shasta Ventures, Soma Capital, SV Angel, Trinity Ventures, Y Combinator</t>
  </si>
  <si>
    <t>180109-09T</t>
  </si>
  <si>
    <t>ProDeaf</t>
  </si>
  <si>
    <t>Developer of a language translation application intended for deaf people. The company has developed a software application for deaf people to communicate by translating sign language, enabling customers to have a better standard of living.</t>
  </si>
  <si>
    <t>116008-48T</t>
  </si>
  <si>
    <t>Accion(Matthieu Albrieux), Banco Master</t>
  </si>
  <si>
    <t>167862-07T</t>
  </si>
  <si>
    <t>Cittati Tecnologia</t>
  </si>
  <si>
    <t>Developer of transport management software intended for the improvement of public transport. The company offers real-time monitoring of lines and vehicles, next day demand, digital communication and embedded connectivity for public transport management, enabling clients to reduce the risk of travel losses and optimize mobility services.</t>
  </si>
  <si>
    <t>257858-47T</t>
  </si>
  <si>
    <t>Atena Tecnologia</t>
  </si>
  <si>
    <t>Provider of software services intended for the private pension entities segment. The company provides technology solutions and administration services, helping clients minimize costs.</t>
  </si>
  <si>
    <t>227426-86T</t>
  </si>
  <si>
    <t>TRX Real Estate FII (BVMF: TRXF11)</t>
  </si>
  <si>
    <t>Trx Real Estate Fundo Investimento Imobiliario is focused on distributing income and dividends to its shareholders through active management that seeks to maximize returns through the acquisition, development and sale of properties leased preferably to large companies under long-term contracts.</t>
  </si>
  <si>
    <t>115827-67T</t>
  </si>
  <si>
    <t>M2M Solutions</t>
  </si>
  <si>
    <t>Provider of information technology services intended to provide smart mobility solutions for fleet management. The company's offerings include central control systems, fleet management systems, and bus operation telemetry with accurate transport management and GPS monitoring systems, enabling bus companies to improve the efficiency and productivity of their operations.</t>
  </si>
  <si>
    <t>Sonda (SGO: SONDA)</t>
  </si>
  <si>
    <t>292653-64T</t>
  </si>
  <si>
    <t>Stringhini</t>
  </si>
  <si>
    <t>Developer of smart retail platform intended to serve supermarkets, gas stations, convenience stores, construction material stores and pharmacies sectors. The company specializes in category management, store execution management and trade marketing. data annotation, right assortment and product registration management thearby assisting clients to strengthen their growth strategies.</t>
  </si>
  <si>
    <t>114898-69T</t>
  </si>
  <si>
    <t>Abril Mídia</t>
  </si>
  <si>
    <t>Operator of a news and magazine publishing company focused on information, culture, education and entertainment in Latin America. The company specializes in printing and publishing activities and offers online content and services with various digital portals pay TV, broadband Internet and voice-over-Internet protocol services and age-specific TV programming.</t>
  </si>
  <si>
    <t>Legion Holdings(Fabio Carvalho)</t>
  </si>
  <si>
    <t>112109-05T</t>
  </si>
  <si>
    <t>Ciplan Cimento Planalto</t>
  </si>
  <si>
    <t>Manufacturer of cement, concrete and aggregate products based in Brasília, Brazil. The company offers cement, mortar, concrete, aggregates and grout products for the civil construction industry.</t>
  </si>
  <si>
    <t>Vicat (PAR: VCT)</t>
  </si>
  <si>
    <t>126458-29T</t>
  </si>
  <si>
    <t>SprayX</t>
  </si>
  <si>
    <t>Developer of agricultural devices designed for the efficient application of pesticides. The company's platform specializes in interactive process control to evaluate and ensure the quality of agricultural spraying by teaching and leading the technical agricultural field in the prevention of errors and waste, enabling clients to safely and efficiently apply pesticides and increase profitability.</t>
  </si>
  <si>
    <t>123791-95T</t>
  </si>
  <si>
    <t>Hubble Hub</t>
  </si>
  <si>
    <t>117194-86T</t>
  </si>
  <si>
    <t>Padtec Submarine Networks Division</t>
  </si>
  <si>
    <t>Provider of submarine networking technology and systems headquartered in Sau Paulo, Brazil. The business unit provides optical line amplifiers (repeaters) as well as project planning, management and execution services aligning its business model with the technical and business requirements of next-generation data center and Internet technology companies.</t>
  </si>
  <si>
    <t>IPG Photonics (NAS: IPGP)(Ekaterina Golovchenko)</t>
  </si>
  <si>
    <t>117999-91T</t>
  </si>
  <si>
    <t>Uranet</t>
  </si>
  <si>
    <t>Developer of customer relationship platform intended to offer ease of integration. The company combines management, people and technology to aid interaction with customers and offers the technological platform, enabling companies to reduce costs and rely on real-time control/management.</t>
  </si>
  <si>
    <t>Grupo Konecta(Jesús Rivas), Idinvest Partners, PAI Partners(Ricardo de Serdio)</t>
  </si>
  <si>
    <t>130600-81T</t>
  </si>
  <si>
    <t>WorldSense</t>
  </si>
  <si>
    <t>Developer of marketing platform intended for digital advertisements. The company's mass hypertext analysis technology builds predictors for links that help users to discover more content using language models from the world wide web, providing publishers and advertisers with new possibilities for each link and having full control over what's published for a more engaging reading experience.</t>
  </si>
  <si>
    <t>Loggi(Arthur Debert)</t>
  </si>
  <si>
    <t>115611-31T</t>
  </si>
  <si>
    <t>Link Solutions</t>
  </si>
  <si>
    <t>Provider of machine-to-machine data management services. The company's M2M sim card offers communication between devices from different carriers and facilitates easy to pay bill for different carriers and plans, even if they have different prices and provides service and data management M2M, for better use of the contracted package.</t>
  </si>
  <si>
    <t>DFO Management, Eaglehill Advisors, Koch Equity Development(Brett Watson), Siris Capital Group(Roderick Randall), Transaction Network Services(Michael Keegan)</t>
  </si>
  <si>
    <t>126511-30T</t>
  </si>
  <si>
    <t>Banfox</t>
  </si>
  <si>
    <t>Operator of an invoice financing platform intended to provide quick credit to businesses. The company's platform allows small and medium enterprises in Brazil to anticipate receivables on invoices for delivered products at transparent rates without fines and default interest, enabling businesses to access working capital finance quickly and easily.</t>
  </si>
  <si>
    <t>117176-68T</t>
  </si>
  <si>
    <t>Intelligenti Stefanini</t>
  </si>
  <si>
    <t>Developer of artificial intelligence-enabled back office management software intended to facilitate processes through technological solutions The company's software offers management of lawsuits, civil, labor, tax and administrative as well as generates and manages contracts for legal departments, law firms, banks, energy companies, telecommunications and retail sectors, thereby helping clients make strategic decisions, reduce administrative procedures, generate the economy and gain quality so that lawyers can focus on legal management.</t>
  </si>
  <si>
    <t>101878-93T</t>
  </si>
  <si>
    <t>Fibria Celulose</t>
  </si>
  <si>
    <t>Producer of eucalyptus pulp created to address the growing demand for products from planted forests. The company primarily offers bleached eucalyptus kraft pulp used in the manufacture of tissue, coated and uncoated printing and writing paper and coated packaging boards among others, providing businesses with the raw materials to undertake further production.</t>
  </si>
  <si>
    <t>115504-48T</t>
  </si>
  <si>
    <t>168438-70T</t>
  </si>
  <si>
    <t>Fundacao Estudar Alumni Partners, Global Founders Capital</t>
  </si>
  <si>
    <t>168439-24T</t>
  </si>
  <si>
    <t>137318-50T</t>
  </si>
  <si>
    <t>Aterra</t>
  </si>
  <si>
    <t>Developer of a digital platform designed to streamline waste management processes for medium and large enterprises. The company offers integrated waste management, operator qualification, and R&amp;D for complex waste, enabling industrial and corporate clients to increase traceability, ensure regulatory compliance, and reduce operational costs.</t>
  </si>
  <si>
    <t>Banco de Desenvolvimento de Minas Gerais</t>
  </si>
  <si>
    <t>117392-23T</t>
  </si>
  <si>
    <t>Defensive Agrovant</t>
  </si>
  <si>
    <t>Distributor of agricultural products based in Sao Paulo, Brazil. The company offers crop protection products and micronutrients to primarily fruit and vegetable market segments, presenting national market premium products destined to agribusiness.</t>
  </si>
  <si>
    <t>American Vanguard (NYS: AVD)(Eric Wintemute)</t>
  </si>
  <si>
    <t>168974-29T</t>
  </si>
  <si>
    <t>A.B.Seed Ventures, Allievo Capital(Guilherme Queiroz), DOMO.VC</t>
  </si>
  <si>
    <t>191788-93T</t>
  </si>
  <si>
    <t>Aceco TI</t>
  </si>
  <si>
    <t>Operator of an IT infrastructure company. The company designs, develops and maintains data center infrastructures and integrated command and control centers (CICC) for public and private companies in Latin America.</t>
  </si>
  <si>
    <t>Green 4T</t>
  </si>
  <si>
    <t>129513-07T</t>
  </si>
  <si>
    <t>University of Chicago</t>
  </si>
  <si>
    <t>215389-27T</t>
  </si>
  <si>
    <t>115840-72T</t>
  </si>
  <si>
    <t>Evo W12 Inovacoes Tecnologicas</t>
  </si>
  <si>
    <t>Developer of fitness management software intended to access and monitor training schedules. The company offers club management technology services for the health and fitness industry focusing on the experience and regulating health along with a practical dashboard for checking regular training results, enabling its clients to avail the solution for maintaining health records at their fingertips.</t>
  </si>
  <si>
    <t>ABC Fitness Solutions(Paul Schaller), New Heights Capital(John Benis), Northwood Ventures(Paul Homer), Olam Capital(Daniel Weiss), Thoma Bravo(Scott Crabill)</t>
  </si>
  <si>
    <t>125342-65T</t>
  </si>
  <si>
    <t>Meempresta</t>
  </si>
  <si>
    <t>Developer of a peer-to-peer lending platform designed to allow people to lend and invest through a secure and regulated online environment. The company's platform connects people who need money to those looking to invest, ensuring low-interest loans and profitability for investors and establishing a healthy environment for negotiating loans between family, friends, and strangers, enabling users to manage their loans and investments directly from their smartphone.</t>
  </si>
  <si>
    <t>126497-26T</t>
  </si>
  <si>
    <t>Zen (Business /Productivity Software)</t>
  </si>
  <si>
    <t>Developer of a health and fitness application designed to customize living ambiance and save health data. The company's application offers weekly meditation sessions and shares YOGA programs focusing on emotional balance through programs and courses, enabling users to keep track of their mental health for personal development and self-knowledge.</t>
  </si>
  <si>
    <t>209724-85T</t>
  </si>
  <si>
    <t>133145-92T</t>
  </si>
  <si>
    <t>99919-09T</t>
  </si>
  <si>
    <t>Rodoban Segurança e Transporte de Valores</t>
  </si>
  <si>
    <t>Provider of cash transit and management services based in Uberlandia, Brazil. The company's cash transit and management services include transportation of securities, cash surveillance and monitoring, ATM management, security custody, treasury and back-office services, electronic processing and check handling, document processing, concierge and box office securities, enabling banks and financial institutions to update and secure their cash deposits.</t>
  </si>
  <si>
    <t>Brink's (NYS: BCO)(Douglas Pertz)</t>
  </si>
  <si>
    <t>227523-07T</t>
  </si>
  <si>
    <t>V2 Properties FII (BVMF: VVPR11)</t>
  </si>
  <si>
    <t>Fundo DE Investimento Imobiliario - V2 Properties is a real estate investment trust. It invests in commercial real estate projects, through the purchase, sale and lease of any real rights over real estate.</t>
  </si>
  <si>
    <t>115197-49T</t>
  </si>
  <si>
    <t>Positivo Servers &amp; Solutions</t>
  </si>
  <si>
    <t>Provider of servers, cloud storage system and big data analytics to organizations in Brazil. The company's activities include providing organizations with data storage, data terminal, desktops and mini computers.</t>
  </si>
  <si>
    <t>262866-43T</t>
  </si>
  <si>
    <t>215701-12T</t>
  </si>
  <si>
    <t>212352-94T</t>
  </si>
  <si>
    <t>279395-92T</t>
  </si>
  <si>
    <t>Agência Narra</t>
  </si>
  <si>
    <t>Operator of a journalism school agency based in Rio De Janeiro. The company is currently operating in Stealth Mode.</t>
  </si>
  <si>
    <t>138710-71T</t>
  </si>
  <si>
    <t>272126-44T</t>
  </si>
  <si>
    <t>Softex (Investor)</t>
  </si>
  <si>
    <t>285706-36T</t>
  </si>
  <si>
    <t>Vale do Dende</t>
  </si>
  <si>
    <t>216187-84T</t>
  </si>
  <si>
    <t>Apace (Packaging)</t>
  </si>
  <si>
    <t>Developer and supplier of pharmaceutical packaging materials based in São Paulo, Brazil. The company provides a wide range of packaging materials to compounding pharmacies and the pharmaceutical industry, enabling clients to avail quality packaging products.</t>
  </si>
  <si>
    <t>Fagron (BRU: FAGR)</t>
  </si>
  <si>
    <t>287509-24T</t>
  </si>
  <si>
    <t>Liga Ventures</t>
  </si>
  <si>
    <t>225241-66T</t>
  </si>
  <si>
    <t>Guten(Danielle Brants), Árvore de Livros</t>
  </si>
  <si>
    <t>121715-47T</t>
  </si>
  <si>
    <t>Atletis</t>
  </si>
  <si>
    <t>Developer of event management software intended for the sports industry. The company's platform offers to organize and sell tickets for sports events, manage ticket sales, change lots, and communicate with participants, helping sporting event organizers create their events professionally.</t>
  </si>
  <si>
    <t>274119-13T</t>
  </si>
  <si>
    <t>Aviário Santo Antonio</t>
  </si>
  <si>
    <t>Producer of eggs intended to serve the food market in Brazil. The company offers white eggs, free-range eggs, organic eggs, red eggs, and dehydrated white egg wings, thereby enabling customers to choose from a range of varieties.</t>
  </si>
  <si>
    <t>259053-13T</t>
  </si>
  <si>
    <t>Aynil Soluções</t>
  </si>
  <si>
    <t>Provider of convergent data and voice network services intended to contribute to decision-making for flexible solutions. The company engages in offering specialized services in convergent data and voice networks that guarantee the perfect implementation of our client's projects.</t>
  </si>
  <si>
    <t>243906-85T</t>
  </si>
  <si>
    <t>Bankman</t>
  </si>
  <si>
    <t>Developer of a community-powered fintech marketplace intended to generate income for the population. The company's marketplace allows self-employed agents to help local underbanked people access financial services and businesses to adopt new digital services, enabling self-employed workers and underbanked people to access banking services.</t>
  </si>
  <si>
    <t>202205-53T</t>
  </si>
  <si>
    <t>Barigui Corretora</t>
  </si>
  <si>
    <t>Provider of insurance brokerage services located in Curitiba, Brazil. The company offers various insurance including automobile, house, company and life.</t>
  </si>
  <si>
    <t>125687-08T</t>
  </si>
  <si>
    <t>Singularity (Consulting Services (B2B))</t>
  </si>
  <si>
    <t>140417-11T</t>
  </si>
  <si>
    <t>Bem.care</t>
  </si>
  <si>
    <t>Developer of an occupational health management application designed for companies to take better care of their employees. The company's application uses technology and artificial intelligence and offers a personalized experience for each employee by focusing on various pillars including occupational health, emotional health, healthy eating, and in-company check-ups, enabling companies to have a proper health management system.</t>
  </si>
  <si>
    <t>FORS Capital, Vox Capital, Wayra Brazil</t>
  </si>
  <si>
    <t>158707-63T</t>
  </si>
  <si>
    <t>Blue Bio Value</t>
  </si>
  <si>
    <t>158656-33T</t>
  </si>
  <si>
    <t>176821-30T</t>
  </si>
  <si>
    <t>G2D Investments (BVMF: G2DI33)</t>
  </si>
  <si>
    <t>139825-09T</t>
  </si>
  <si>
    <t>256569-58T</t>
  </si>
  <si>
    <t>139809-70T</t>
  </si>
  <si>
    <t>CallNow</t>
  </si>
  <si>
    <t>Developer of a contact automation system designed to assist in monitoring and taking decisions based on indicators. The company's platform offers lead generation systems that monitor the indicators, transforming them into intelligence with a focus on increasing performance, enabling customers to connect to businesses in an automated way.</t>
  </si>
  <si>
    <t>276376-51T</t>
  </si>
  <si>
    <t>Camerata Laranjeiras</t>
  </si>
  <si>
    <t>Provider of a youth orchestra program intended to foster musical talent and personal growth. The company offers quality music education, performance opportunities, and community engagement through concerts and workshops, enabling youth from diverse backgrounds to develop skills, pursue higher education, and cultivate a passion for music.</t>
  </si>
  <si>
    <t>Impact StartUp</t>
  </si>
  <si>
    <t>216059-59T</t>
  </si>
  <si>
    <t>Chega+</t>
  </si>
  <si>
    <t>Developer of a soccer group management application designed to connect the football community and help football players organize and find football matches. The company's application provides a range of features that include creating an online football group, live tracking of the game, stats of other players, insurance for soccer players, and financial history to check for contributions by each group member, enabling players to easily organize games with friends.</t>
  </si>
  <si>
    <t>189727-03T</t>
  </si>
  <si>
    <t>130977-10T</t>
  </si>
  <si>
    <t>ClickCompliance</t>
  </si>
  <si>
    <t>Developer of cloud-based software designed to maintain compliance across business processes. The company's software facilitates generating multiple reports based on departments, management or policies and tracks the status of issues on the portal using a protocol number, enabling users to monitor organizational performance.</t>
  </si>
  <si>
    <t>126509-32T</t>
  </si>
  <si>
    <t>Clubinho de Ofertas</t>
  </si>
  <si>
    <t>Developer of a children's entertainment platform designed to provide cultural attractions to kids. The company's platform helps to book a variety of shows, musicals, circus shows, and theater performances specific to the culture of the host city, enabling users to stimulate their children's development and education at a favorable price.</t>
  </si>
  <si>
    <t>284257-09T</t>
  </si>
  <si>
    <t>126992-80T</t>
  </si>
  <si>
    <t>Comigo Saúde</t>
  </si>
  <si>
    <t>Developer of a web platform and application designed to allow users to schedule healthcare appointments and exams at low prices. The company's platform offers access to various medical specialties, examinations, consultations, vaccines and micro procedures focusing on routine follow-up and prevention, enabling patients to avail high-quality medical services at affordable prices.</t>
  </si>
  <si>
    <t>140884-84T</t>
  </si>
  <si>
    <t>Ben-Hur Ferraz Neto(Ben-Hur Ferraz Neto), Claúdio Domênico(Claúdio Domênico), Indico Capital Partners, Otávio Gebara(Otávio Gebara)</t>
  </si>
  <si>
    <t>153570-97T</t>
  </si>
  <si>
    <t>219784-33T</t>
  </si>
  <si>
    <t>182143-63T</t>
  </si>
  <si>
    <t>122291-47T</t>
  </si>
  <si>
    <t>270005-95T</t>
  </si>
  <si>
    <t>125627-95T</t>
  </si>
  <si>
    <t>Gr8 Ventures(Fernanda Gottardi), Invest Tech(Viviane Radiuk)</t>
  </si>
  <si>
    <t>167842-18T</t>
  </si>
  <si>
    <t>191800-81T</t>
  </si>
  <si>
    <t>Dinneer</t>
  </si>
  <si>
    <t>Developer of a gastronomic experience platform designed to connect people who love dining experiences with hosts in love with the art of cooking. The company's platform connects hosts that sell shared dinners who love innovative experiences, fair value for money, and are close to home, enabling users to have an indulging dining experience.</t>
  </si>
  <si>
    <t>292146-58T</t>
  </si>
  <si>
    <t>Displace (IT Consulting and Outsourcing)</t>
  </si>
  <si>
    <t>Developer of advanced technology designed to improve asset management and prevent security incidents. The company offers technology to optimize Industry 4.0, driving advancements in visual computing through tools such as situator vr, which captures entire environments with the highest precision, and Invisus, which monitors complex scenarios in real time, enabling clients to make accurate decisions and streamline processes to enhance their operations.</t>
  </si>
  <si>
    <t>125274-70T</t>
  </si>
  <si>
    <t>Vakinha</t>
  </si>
  <si>
    <t>227572-39T</t>
  </si>
  <si>
    <t>Prime IT Solutions</t>
  </si>
  <si>
    <t>178925-86T</t>
  </si>
  <si>
    <t>Banco BV, Fasp, SuperJobs Venture Capital</t>
  </si>
  <si>
    <t>139788-82T</t>
  </si>
  <si>
    <t>DSuite</t>
  </si>
  <si>
    <t>Developer of information technology solutions designed for businesses in different segments. The company develops and maintains production traceability systems, ERP, CRM, sales process automation, and E-mail servers, among others, enabling clients to optimize processes and save time.</t>
  </si>
  <si>
    <t>193799-71T</t>
  </si>
  <si>
    <t>Eco3 Energia</t>
  </si>
  <si>
    <t>Provider of structured energy services intended to bring safety and profitability to energy production operations. The company offers end-to-end tools for the construction, generation, operation, maintenance, and commercialization of energy credits, and delivers monthly reports on the monthly gains and production of client plants, enabling energy producers with reliability and security.</t>
  </si>
  <si>
    <t>256285-09T</t>
  </si>
  <si>
    <t>Educa Insights</t>
  </si>
  <si>
    <t>Developer of research software intended for educational institutes. The company focuses on innovative market research along with fundraising and technology support to its clients and the development and application of innovative solutions, enabling clients to increase their enrollments and act intelligently in the education market.</t>
  </si>
  <si>
    <t>187767-55T</t>
  </si>
  <si>
    <t>Elea Data Centers</t>
  </si>
  <si>
    <t>Operator of a data center infrastructure platform intended to support the development of cloud computing and 5th-generation technologies with its data center infrastructure. The company offers colocation and cross-connectivity infrastructure services that facilitate on-premises connectivity and integration with public clouds, enabling clients to maintain the same volume of capital allocation, betting on increased demand for connectivity.</t>
  </si>
  <si>
    <t>207586-54T</t>
  </si>
  <si>
    <t>Rhombuz Ventures</t>
  </si>
  <si>
    <t>283541-86T</t>
  </si>
  <si>
    <t>Equiláttero</t>
  </si>
  <si>
    <t>Provider of preparatory courses based in Caxias do Sul, Brazil. The company specializes in education services, including preparing students for competitive entrance exams in the country.</t>
  </si>
  <si>
    <t>Colibri Investimentos</t>
  </si>
  <si>
    <t>119641-15T</t>
  </si>
  <si>
    <t>ERPFlex</t>
  </si>
  <si>
    <t>Developer of business management software designed for small and medium-sized companies. The company offers full control of finances and integration with banks, contract management, inventory control, cost management and result indicators, enabling clients to meet their business needs through an intuitive, accessible and secure platform.</t>
  </si>
  <si>
    <t>174853-90T</t>
  </si>
  <si>
    <t>175655-08T</t>
  </si>
  <si>
    <t>Farrapo (Farrapo Internet)</t>
  </si>
  <si>
    <t>Provider of internet connectivity services based in Caçapava do Sul, Brazil.</t>
  </si>
  <si>
    <t>261624-97T</t>
  </si>
  <si>
    <t>Fhinck</t>
  </si>
  <si>
    <t>Developer of a business process management software designed to help companies increase the efficiency of their operations. The company's software solves problems related to the lack of intelligent management tools to assist businesses to monitor processes and identify where to increase productivity at back office operations to increase competitive advantage in their clients' markets, enabling companies to manage their financial, accounting, legal, IT, tax, sales support, controller, customer service and help desk easily.</t>
  </si>
  <si>
    <t>125849-71T</t>
  </si>
  <si>
    <t>Filmjoin</t>
  </si>
  <si>
    <t>Operator of a smart digital platform intended to deliver films, series, games and other products. The company's interactive artificial intelligence platform understands the wishes of worldwide media viewers with the vision of producing content and audiovisual products on-demand in the future, enabling clients to produce films, series and ad films as per demand.</t>
  </si>
  <si>
    <t>FasterCapital</t>
  </si>
  <si>
    <t>127271-17T</t>
  </si>
  <si>
    <t>177535-90T</t>
  </si>
  <si>
    <t>174311-20T</t>
  </si>
  <si>
    <t>Diego Marrara(Diego Marrara), Henrique D'Amic(Henrique D'Amic), Pedro Conrade(Pedro Conrade)</t>
  </si>
  <si>
    <t>270466-03T</t>
  </si>
  <si>
    <t>Anjos do Brasil(Paulo Mariotto)</t>
  </si>
  <si>
    <t>215877-34T</t>
  </si>
  <si>
    <t>202279-60T</t>
  </si>
  <si>
    <t>276211-99T</t>
  </si>
  <si>
    <t>Geodata (Brazil)</t>
  </si>
  <si>
    <t>Developer of software intended to enhance productivity and sustainability in the agricultural sector. The company offers a digital platform for agribusiness, empowering clients to make informed decisions and optimize productivity and sustainability in their operations.</t>
  </si>
  <si>
    <t>211916-89T</t>
  </si>
  <si>
    <t>globo.com (TV Anhanguera)</t>
  </si>
  <si>
    <t>Operator of a television channel based in Brazil.</t>
  </si>
  <si>
    <t>Grupo Jaime Câmara</t>
  </si>
  <si>
    <t>202257-64T</t>
  </si>
  <si>
    <t>Goulmi</t>
  </si>
  <si>
    <t>Developer of a communication platform designed to streamline and automate customer interaction. The company's platform sends emails and SMS to customers with a link to access the panel, offers constant status updates, always informs customers about the progress of the request automatically, enabling clients to interact through a timeline, and centralizes all communication in a simple way to maintain transparency and empathy.</t>
  </si>
  <si>
    <t>119449-36T</t>
  </si>
  <si>
    <t>Bracket Capital</t>
  </si>
  <si>
    <t>288772-48T</t>
  </si>
  <si>
    <t>Guide121</t>
  </si>
  <si>
    <t>Developer of a travel application designed to boost tourism in Brazil and the world. The company's platform generates personalized trips, supports travelers during their trips with real-time information, and brings more intelligence to the sector through the crossing of data and understanding of profiles of travelers, helping individuals enhance their travel experience.</t>
  </si>
  <si>
    <t>139791-61T</t>
  </si>
  <si>
    <t>H20</t>
  </si>
  <si>
    <t>Developer of a water management platform designed to monitor water resources. The company's platform focuses on automated monitoring of water resources, using smart devices (IoT) such as weather stations and humidity sensors connected to the cloud that delivers customized alerts and reliable analysis panels adapted to the reality of the crop, enabling farmers to manage their crops.</t>
  </si>
  <si>
    <t>139704-04T</t>
  </si>
  <si>
    <t>167373-64T</t>
  </si>
  <si>
    <t>Canary (Brazil), Kaszek, QED Investors</t>
  </si>
  <si>
    <t>178106-95T</t>
  </si>
  <si>
    <t>295806-97T</t>
  </si>
  <si>
    <t>HY Sustentável</t>
  </si>
  <si>
    <t>Manufacturer of renewable energy systems designed for organic waste-to-energy conversion. The company includes custom-built biodigesters, on-site biogas production technology, and educational resources, enabling agricultural and industrial sectors to reduce waste, generate clean energy, and minimize reliance on fossil fuels.</t>
  </si>
  <si>
    <t>In3Citi</t>
  </si>
  <si>
    <t>284437-99T</t>
  </si>
  <si>
    <t>123000-67T</t>
  </si>
  <si>
    <t>Iana Alimentos</t>
  </si>
  <si>
    <t>Provider of food products based in Pouso Alto, Brazil. The company's products include chicken eggs, quail eggs, pickled quail eggs and pasteurized quail eggs, providing customers products that are produced with minimum environmental impacts and comply with current legislation.</t>
  </si>
  <si>
    <t>Avícola Catarinense</t>
  </si>
  <si>
    <t>138361-78T</t>
  </si>
  <si>
    <t>DGF Investimentos, Spectra Investments</t>
  </si>
  <si>
    <t>140049-19T</t>
  </si>
  <si>
    <t>Castlelake(Ricardo De Armas)</t>
  </si>
  <si>
    <t>292220-38T</t>
  </si>
  <si>
    <t>iDtrust</t>
  </si>
  <si>
    <t>Provider of digital identity services intended to enhance the security and efficiency of receivables operations. The company offers seamless ERP integrations, automated data aggregation and customizable reporting, enabling financial institutions, retailers, fintechs, and fund managers to streamline credit transactions and mitigate operational risks.</t>
  </si>
  <si>
    <t>Captalys</t>
  </si>
  <si>
    <t>219585-34T</t>
  </si>
  <si>
    <t>Imersys</t>
  </si>
  <si>
    <t>Develpoer of augmented and mixed reality education platforms intended to serve companies and institutions. The company creates content virtually that offers interactive experiences and innovative learning techniques, thus providing cost-effective learning and development.</t>
  </si>
  <si>
    <t>121721-50T</t>
  </si>
  <si>
    <t>Impeller</t>
  </si>
  <si>
    <t>Provider of news publishing services intended to offer recent global updates. The company offers the latest news information through its website, enabling users to go through day-to-day incidents and stay updated.</t>
  </si>
  <si>
    <t>220531-87T</t>
  </si>
  <si>
    <t>PanaceaStars</t>
  </si>
  <si>
    <t>220533-94T</t>
  </si>
  <si>
    <t>Life Sciences Nova Scotia</t>
  </si>
  <si>
    <t>175576-24T</t>
  </si>
  <si>
    <t>JCVirtual</t>
  </si>
  <si>
    <t>Provider of internet connectivity services based in Júlio de Castilhos, Brazil. The company specializes in offering high-speed internet through fiber optic cables and LTE network bands.</t>
  </si>
  <si>
    <t>139793-86T</t>
  </si>
  <si>
    <t>JetUp</t>
  </si>
  <si>
    <t>Developer of a geolocation marketing platform designed to access information about any place. The company's platform uses data intelligence to disseminate information about a place, interact with the audience and make the place a monetized marketing spot, enabling businesses to make advertising hotspots segmented.</t>
  </si>
  <si>
    <t>221181-67T</t>
  </si>
  <si>
    <t>Anjos do Brasil</t>
  </si>
  <si>
    <t>117551-89T</t>
  </si>
  <si>
    <t>Maya Capital (Brazil), Monashees, ONEVC(Pedro Sorrentino)</t>
  </si>
  <si>
    <t>121970-80T</t>
  </si>
  <si>
    <t>184283-38T</t>
  </si>
  <si>
    <t>DGF Investimentos</t>
  </si>
  <si>
    <t>202254-49T</t>
  </si>
  <si>
    <t>Lunix Technologia</t>
  </si>
  <si>
    <t>Operator of a technology company intended to provides valuable data regarding various operations in a business. The company's platform develops specialized devices using advanced technology that detect the flow of people from an establishment to obtain valuable data insights of a company, enabling users to understand the performance and conversion of their business.</t>
  </si>
  <si>
    <t>284421-07T</t>
  </si>
  <si>
    <t>179617-24T</t>
  </si>
  <si>
    <t>300926-35T</t>
  </si>
  <si>
    <t>207415-63T</t>
  </si>
  <si>
    <t>MCM Industrial</t>
  </si>
  <si>
    <t>Manufacturer of chemical products intended to meet the needs of the animal nutrition, agriculture and industry sectors. The company offers a wide range of micronutrients including copper sulfate pentahydrate, cobalt sulfate heptahydrate, manganese monoxide, zinc oxide and more, delivering products to meet all customers' different requirements and particularities.</t>
  </si>
  <si>
    <t>Faro Capital, Nitro Química</t>
  </si>
  <si>
    <t>233494-75T</t>
  </si>
  <si>
    <t>Mekal</t>
  </si>
  <si>
    <t>Manufacturer and designer of stainless steel kitchens and accessories intended to design custom interiors kitchen. The company offers workstations, farmhouses and classic sinks, canal equipment and gourmet matches.</t>
  </si>
  <si>
    <t>Docol Metais Sanitários</t>
  </si>
  <si>
    <t>211772-98T</t>
  </si>
  <si>
    <t>Menu (Brazil)</t>
  </si>
  <si>
    <t>Developer of a B2B e-commerce platform intended to connect the main distributors and industries in the market with commercial establishments. The company helps simplify the food trade in brazil and brings more convenience to the lives of thousands of entrepreneurs in the country.</t>
  </si>
  <si>
    <t>199858-60T</t>
  </si>
  <si>
    <t>Metalpar</t>
  </si>
  <si>
    <t>Provider of mining and metals-related services based in Sao Paulo, Brazil.</t>
  </si>
  <si>
    <t>Usifix - Industria e Comercio</t>
  </si>
  <si>
    <t>243881-65T</t>
  </si>
  <si>
    <t>292628-35T</t>
  </si>
  <si>
    <t>MiningMath</t>
  </si>
  <si>
    <t>Developer of mining optimization software designed for strategic and tactical aspect of the businesses. The company offers services for pushbacks, schedules, short-term, and super best case scenarios, and provides integrated schedules that consider all constraints simultaneously and they also offers various tools for multivariate sensitivity analysis, bottleneck analysis, design enhancement, selectivity analysis, and best-worst range analysis, providing clients with optimization methodology for open pit mine planning.</t>
  </si>
  <si>
    <t>160901-11T</t>
  </si>
  <si>
    <t>Molécoola</t>
  </si>
  <si>
    <t>Provider of environmental loyalty services intended to encourage consumers to save recyclables. The company allows users to bring clean and separate recyclables to the stores, deliver loyalty points in exchange for their recyclables and users can redeem thousands of products, including items from the supermarket, leisure, sports and many others, enabling consumers to get a tool that benefits them as well as the environment.</t>
  </si>
  <si>
    <t>172622-80T</t>
  </si>
  <si>
    <t>Devas Invest, Gávea Investimentos, Mogno Capital</t>
  </si>
  <si>
    <t>219768-58T</t>
  </si>
  <si>
    <t>NETResiduos</t>
  </si>
  <si>
    <t>Operator of waste management platform intended to manage and data control generation, transportation, and waste disposal data. The company provides a multiplatform solution specializing in document compliance with environmental requirements, enabling companies to manage and store end-to-end data and documents, from waste generation to disposal.</t>
  </si>
  <si>
    <t>158188-60T</t>
  </si>
  <si>
    <t>NetSupport</t>
  </si>
  <si>
    <t>Provider of digital information technology services intended to solve IT problems for homes and businesses of all types. The company's services are offered through a community of experts in all electronic devices like smartphones, cell phones, tablets, notebooks, computers, printers, servers, routers, and switches, enabling businesses and individuals to overcome their technical problems in a hassle-free manner.</t>
  </si>
  <si>
    <t>263496-25T</t>
  </si>
  <si>
    <t>109759-78T</t>
  </si>
  <si>
    <t>292640-23T</t>
  </si>
  <si>
    <t>NEXUM Digital</t>
  </si>
  <si>
    <t>Developer of a digital platform designed to map the health of the industrial plants. The company's platform offers technologies to measure, control, optimize and support users in strategic decision-making in the industries, enabling clients a multidisciplinary and experienced approcah in addressing specific challenges of each business.</t>
  </si>
  <si>
    <t>158497-84T</t>
  </si>
  <si>
    <t>Nindoo</t>
  </si>
  <si>
    <t>Developer of AI tools intended to connect purposes and create a positive impact on people's lives. The company offers intelligence tools to extract and transform data into insights and make the best decisions and choices along with providing support and training, helping startups and healthcare companies by making artificial intelligence accessible and demystifying its use.</t>
  </si>
  <si>
    <t>ATMO Educação</t>
  </si>
  <si>
    <t>284191-21T</t>
  </si>
  <si>
    <t>272477-71T</t>
  </si>
  <si>
    <t>BackStoppers</t>
  </si>
  <si>
    <t>125358-40T</t>
  </si>
  <si>
    <t>135730-27T</t>
  </si>
  <si>
    <t>Claudio Paes(Claudio Paes), SMU Investimentos, The Next Company</t>
  </si>
  <si>
    <t>127524-70T</t>
  </si>
  <si>
    <t>Startup Farm</t>
  </si>
  <si>
    <t>134869-33T</t>
  </si>
  <si>
    <t>P.J. Clarke's (Brazilian Operations)</t>
  </si>
  <si>
    <t>Operator of restaurants &amp; bars in Brazil.</t>
  </si>
  <si>
    <t>117938-44T</t>
  </si>
  <si>
    <t>500 Global, Desenvolve SP, Startup Farm(Alan Leite)</t>
  </si>
  <si>
    <t>114388-39T</t>
  </si>
  <si>
    <t>Pato Branco University Center</t>
  </si>
  <si>
    <t>Operator of a higher education institute based in Pato Branco, Brazil. The institution promotes regional development through its undergraduate, postgraduate and extension courses, providing all the necessary means to a quality education to its students.</t>
  </si>
  <si>
    <t>Afya (NAS: AFYA), Crescera Capital(Paulo Guedes)</t>
  </si>
  <si>
    <t>292637-26T</t>
  </si>
  <si>
    <t>Perfil Group</t>
  </si>
  <si>
    <t>Manufacturer of industrial thermal equipment designed for energy efficiency and process optimization. The company's platform integrates custom-engineered heaters and furnaces with advanced control systems and digital engineering tools, enabling industrial sectors to enhance thermal performance and reduce energy consumption.</t>
  </si>
  <si>
    <t>292168-63T</t>
  </si>
  <si>
    <t>Phygitall</t>
  </si>
  <si>
    <t>Operator of an Internet of Things company intended for providing technology, productivity, and safety at work. The company utilizes connectivity technologies such as LoRa and integrates hardware and software, combining conventional technologies such as wifi, bluetooth, and rfid to meet the industry's telemetry and traceability demands and implements the infrastructure and offers technology to develop IoT in industries, enabling clients to enhance operations and efficiency.</t>
  </si>
  <si>
    <t>262494-28T</t>
  </si>
  <si>
    <t>125779-96T</t>
  </si>
  <si>
    <t>Pluginbot</t>
  </si>
  <si>
    <t>Operator of a robotics and artificial intelligence company intended to improve and optimize customer service. The company offers a collaborative ecosystem for robotics and artificial intelligence applications to interact with their customers and provide management insights and helps manage them via the cloud with application control, metrics, and real-time results monitoring, enabling businesses to optimize resources, ensure customer satisfaction, and foster customer loyalty by showcasing the products and create a service bot for the store.</t>
  </si>
  <si>
    <t>260436-25T</t>
  </si>
  <si>
    <t>PPAR Pinheiro Participações</t>
  </si>
  <si>
    <t>Operator of a holding company based in Fortaleza, Brazil.</t>
  </si>
  <si>
    <t>SOL (Italy) (MIL: SOL)</t>
  </si>
  <si>
    <t>216294-67T</t>
  </si>
  <si>
    <t>228132-82T</t>
  </si>
  <si>
    <t>Q065 Negócios Imobiliários</t>
  </si>
  <si>
    <t>Operator of agricultural farm business intended to serve the agricultural and farming industry.</t>
  </si>
  <si>
    <t>189064-54T</t>
  </si>
  <si>
    <t>227060-74T</t>
  </si>
  <si>
    <t>292633-57T</t>
  </si>
  <si>
    <t>ReduzaCusto.com</t>
  </si>
  <si>
    <t>Operator of a SaaS cost management platform intended to help businesses analyze and reduce costs, potentially increasing profitability. The company provides innovative pre-lean manufacturing solutions that track waste in processes, engaging the team in simulating solutions to reduce costs and increase productivity in industries, enabling businesses to streamline operations, minimize waste, and boost profitability.</t>
  </si>
  <si>
    <t>259588-81T</t>
  </si>
  <si>
    <t>289280-71T</t>
  </si>
  <si>
    <t>139870-63T</t>
  </si>
  <si>
    <t>Santo Cartão</t>
  </si>
  <si>
    <t>Developer of a ticketing platform designed to book online tickets. The company's platform offers booking tickets online for any event by paying through an online portal which is sent as an email and can be canceled anytime thereby giving a refund, enabling users to book tickets with ease and also cancel and gift e-tickets to anyone.</t>
  </si>
  <si>
    <t>274791-25T</t>
  </si>
  <si>
    <t>213899-14T</t>
  </si>
  <si>
    <t>Sementes Campeã</t>
  </si>
  <si>
    <t>Operator of a seed processing company intended to serve Goiás, Minas Gerais, Mato Grosso, Bahia and surrounding areas. The company engages in processing, producing and controlling seeds, enabling farmers to purchase their desired seeds at affordable prices.</t>
  </si>
  <si>
    <t>202253-14T</t>
  </si>
  <si>
    <t>Sensora Group</t>
  </si>
  <si>
    <t>Operator of a SaaS-based data intelligence company intended for crossing, processing, and monitoring critical data for businesses in a simple and integrated way. The company solves data collection and remote activation problems, integrating them with computer systems and collecting data related to renewable goods' consumption through sensors to prevent waste, storing them, and transmitting, enabling organizations to achieve maximum operational efficiency for their businesses.</t>
  </si>
  <si>
    <t>160317-73T</t>
  </si>
  <si>
    <t>175588-39T</t>
  </si>
  <si>
    <t>SGnet Telecom</t>
  </si>
  <si>
    <t>Provider of internet connectivity services based in São Gabriel, Brazil. The company specializes in offering internet access via radio, ADSL, and optical fiber as well as complimentary hosting and advertising services, thereby allowing the consumers to access the most diverse content, on unlimited devices without any failures or drops in the connection.</t>
  </si>
  <si>
    <t>284497-12T</t>
  </si>
  <si>
    <t>174227-68T</t>
  </si>
  <si>
    <t>Alaska Permanent Fund</t>
  </si>
  <si>
    <t>265646-35T</t>
  </si>
  <si>
    <t>SoluCX</t>
  </si>
  <si>
    <t>Developer a customer experience management platform intended to give voice to the customer so that companies can provide a better experience. The company's platform offers seamless integration, cutting-edge machine learning, and comprehensive operational, strategic, and technical support and helps businesses maximize Lifetime Value (LTV) and reduce Customer Acquisition Costs (CAC) by streamlining relationships, gaining deep insights, and proactively monitoring brand presence in the market, driving superior customer experiences and measurable results, enabling companies to simplify relationships and understand and monitor the brand's presence in the market.</t>
  </si>
  <si>
    <t>118423-00T</t>
  </si>
  <si>
    <t>Standout</t>
  </si>
  <si>
    <t>Developer of a digital marketing platform designed to increase sales and lead generation. The company's platform offers business intelligence, performance reports, smart search features, and other analyses to increase e-commerce sales, enabling clients to retain customers and generate higher revenues.</t>
  </si>
  <si>
    <t>Wowrack</t>
  </si>
  <si>
    <t>206809-39T</t>
  </si>
  <si>
    <t>262364-95T</t>
  </si>
  <si>
    <t>123450-31T</t>
  </si>
  <si>
    <t>Stoque Soluções Tecnológicas</t>
  </si>
  <si>
    <t>Provider of technological automation services intended to assist companies in their processes to become comparatively more efficient. The company offers services including digital transformation, printing, processing and information management to address all stages of the corporate information cycle, enabling its clients to enhance their business workflow and productivity.</t>
  </si>
  <si>
    <t>Kinase Investments</t>
  </si>
  <si>
    <t>194464-27T</t>
  </si>
  <si>
    <t>Downind Investimentos e Participações(Marcio Barbero)</t>
  </si>
  <si>
    <t>133639-75T</t>
  </si>
  <si>
    <t>Spectra Investments, Warburg Pincus</t>
  </si>
  <si>
    <t>125561-17T</t>
  </si>
  <si>
    <t>180287-29T</t>
  </si>
  <si>
    <t>165235-60T</t>
  </si>
  <si>
    <t>Monashees, Norte Ventures, Shift Capital (São Paulo)</t>
  </si>
  <si>
    <t>158852-17T</t>
  </si>
  <si>
    <t>243902-08T</t>
  </si>
  <si>
    <t>TippsLive</t>
  </si>
  <si>
    <t>Developer of a travel services community platform designed to offer adaptable alternatives to make traveler's lives easy. The company's platform offers travel agencies to connect experienced travelers and local experts with tourists seeking ideas and information, enabling clients to connect with reward travelers who share their travel experiences, thus helping other travelers plan and purchase their trips with confidence.</t>
  </si>
  <si>
    <t>158362-57T</t>
  </si>
  <si>
    <t>SparkLabs Group (NAS: SPKL)</t>
  </si>
  <si>
    <t>219462-49T</t>
  </si>
  <si>
    <t>Uniceplac</t>
  </si>
  <si>
    <t>Operator of a university based in Gama, Brazil. The company offers graduation and post-graduation courses in the field of administration, architecture, accounting, sciences, nursing, physiotherapy, medicine, dentistry and psychology.</t>
  </si>
  <si>
    <t>211240-27T</t>
  </si>
  <si>
    <t>Global Student Entrepreneur Awards</t>
  </si>
  <si>
    <t>209550-43T</t>
  </si>
  <si>
    <t>Grupo Santillana De Ediciones</t>
  </si>
  <si>
    <t>213439-60T</t>
  </si>
  <si>
    <t>Vorasys</t>
  </si>
  <si>
    <t>Developer of custom computer programs catering to the financial and capital markets. The company specializes in optimizing processes and promoting consistent and reliable data and its offering includes asset pricing, quota validation, risk and pricing products.</t>
  </si>
  <si>
    <t>120336-49T</t>
  </si>
  <si>
    <t>Banco Votorantim Empreendimentos e Participacoes, Mindset Ventures, Monashees</t>
  </si>
  <si>
    <t>212126-59T</t>
  </si>
  <si>
    <t>White Martins</t>
  </si>
  <si>
    <t>Operator of an industrial gas company intended to serve small, medium and large clients. The company offers services including supply and logistics, industrial services such as cleaning, purging and inspection of pipelines and storage tanks, oil and gas services and home respiratory care.</t>
  </si>
  <si>
    <t>Linde (NAS: LIN)</t>
  </si>
  <si>
    <t>184323-70T</t>
  </si>
  <si>
    <t>360 Lab</t>
  </si>
  <si>
    <t>272529-28T</t>
  </si>
  <si>
    <t>Yogoberry</t>
  </si>
  <si>
    <t>Operator of a frozen yogurt chain based in Sao Paulo, Brazil. The company offers various flavors of frozen yogurt with a variety of toppings.</t>
  </si>
  <si>
    <t>202252-96T</t>
  </si>
  <si>
    <t>ZenFisio</t>
  </si>
  <si>
    <t>Developer of a cloud-based platform intended for the management of physiotherapy clinics, aesthetic clinics, offices, and pilates studios. The company's platform organizes, schedules, and manages all the activities, enabling clinics to focus on processes and activities and increasing the productivity of the business.</t>
  </si>
  <si>
    <t>115557-40T</t>
  </si>
  <si>
    <t>Companhia Energética de Alagoas</t>
  </si>
  <si>
    <t>Distributor of electrical energy in Brazil. The company's electrical energy and related activities include distribution, transmission and commercialization of electric power, enabling companies to make the energy matrix one of the cleanest and most renewable in the world.</t>
  </si>
  <si>
    <t>Equatorial Energia (BVMF: EQTL3)(Eduardo Haiama)</t>
  </si>
  <si>
    <t>118437-13T</t>
  </si>
  <si>
    <t>Giga Mais Fibra Telecomunicações</t>
  </si>
  <si>
    <t>Provider of telecommunication and broadband services intended to serve the areas of Rio de Janeiro, Minas Gerais and Espírito Santo. The company offers internet, fixed telephony and pay television services through a fiber-optic network, enabling users to get access to a country-wide reliable network with affordable prices and tailored solutions that meet their needs.</t>
  </si>
  <si>
    <t>EB Capital(Eduardo Melzer), Neo Investimentos</t>
  </si>
  <si>
    <t>204261-40T</t>
  </si>
  <si>
    <t>ROBOS.im</t>
  </si>
  <si>
    <t>Developer of an online chatbot platform designed to solve machine learning issues. The company build chatbots without a single line of code and is focused in delivering products to solve natural processing language issue to automate communication with users, thereby enabling its customers to avail the solution for improving the quality of service and easy coding.</t>
  </si>
  <si>
    <t>224159-23T</t>
  </si>
  <si>
    <t>Fundo Investimento Imobiliario SC 401 (BVMF: FISC11)</t>
  </si>
  <si>
    <t>Fundo Investimento Imobiliario SC 401 is a structured fund operated by UNITS BR-CAPITAL. The fund owns stores and office complexes for the lease of Square SC, a multipurpose development located in Florianopolis/SC, and Mall W Tower, a mall located in Caxias do Sul/RS. The fund owns stores and corporate offices in Square SC, in addition to owning the rotating parking lot and owns stores in the Mall W Tower and the rotating parking in the Mall.</t>
  </si>
  <si>
    <t>135954-01T</t>
  </si>
  <si>
    <t>Log Commercial Properties (BVMF: LOGG3)</t>
  </si>
  <si>
    <t>LOG Commercial Properties Participacoes SA is a real estate company. The company is engaged in the development, construction and rental of commercial properties such as Logistics Condominiums, Allotment of Industrial Plots, Shopping Centers, Strip Malls and Offices. The majority of the revenue is earned from the lease and service operation.</t>
  </si>
  <si>
    <t>134670-34T</t>
  </si>
  <si>
    <t>Agendor</t>
  </si>
  <si>
    <t>Developer of an online customer relationship management platform designed to help salespeople close deals and empower business leadership. The company offers real-time collaboration to get more done in less time, convenience to reduce manual labor and engage on the first contact, information about trades accessible from anywhere, complete and customizable reports to track the results, structure, and organization for the salespeople to have more autonomy, enabling clients to create and manage the sales funnel.</t>
  </si>
  <si>
    <t>Algar Ventures, Endeavor Promessas(Luis Felipe Franco)</t>
  </si>
  <si>
    <t>226113-85T</t>
  </si>
  <si>
    <t>Prime Yield - Consultoria e Avaliação Patrimonial</t>
  </si>
  <si>
    <t>Provider of consultancy and asset valuation services intended to estimate the value of assets in an objective way and in the legal frame. The company has comprehensive expertise in feasibility studies, consultancy and asset valuations offering services both to institutional and private clients and issuing reports based on multidisciplinary premises and procedures, provided by a multi-task technical team, which includes architects, economists, engineers and property managers.</t>
  </si>
  <si>
    <t>Charme Capital Partners, Gloval(Roberto Perales), Miura Partners</t>
  </si>
  <si>
    <t>252568-18T</t>
  </si>
  <si>
    <t>Era Uma Vez o Mundo</t>
  </si>
  <si>
    <t>Developer of educational and representative toys designed to promote diversity and self-esteem in children. The company's toys reflect a variety of identities and backgrounds, aiming to foster a positive self-image and empower children through imaginative play, enabling children to embrace their individuality and celebrate differences.</t>
  </si>
  <si>
    <t>284489-92T</t>
  </si>
  <si>
    <t>Ethereum Classic Labs(Elizabeth Kukka)</t>
  </si>
  <si>
    <t>115095-25T</t>
  </si>
  <si>
    <t>Distrito Ventures, Fisher Venture Builder(Marcelo Nascimento), Parallax Ventures(Fabio Dutra)</t>
  </si>
  <si>
    <t>242765-29T</t>
  </si>
  <si>
    <t>Triangulo Mineiro Transmissora de Energia</t>
  </si>
  <si>
    <t>Provider of electric power transmission, control and distribution services based in Rio de Janeiro, Brazil. The company offers electric power transmission services.</t>
  </si>
  <si>
    <t>139574-71T</t>
  </si>
  <si>
    <t>115052-05T</t>
  </si>
  <si>
    <t>Mirabaud Asset Management</t>
  </si>
  <si>
    <t>213968-98T</t>
  </si>
  <si>
    <t>Mega Sistemas</t>
  </si>
  <si>
    <t>Developer of computer software designed for the agribusiness, construction and manufacturing sectors. The company specializes in developing ERP systems, thereby adding agility to the company's processes.</t>
  </si>
  <si>
    <t>140467-60T</t>
  </si>
  <si>
    <t>100+ Accelerator, Accelerator 100+</t>
  </si>
  <si>
    <t>117960-40T</t>
  </si>
  <si>
    <t>211612-69T</t>
  </si>
  <si>
    <t>Capilano Corretora de Seguros de Vida</t>
  </si>
  <si>
    <t>Provider of life insurance brokerage services based in Sao Paulo, Brazil.</t>
  </si>
  <si>
    <t>124785-37T</t>
  </si>
  <si>
    <t>123048-82T</t>
  </si>
  <si>
    <t>114900-31T</t>
  </si>
  <si>
    <t>Locarcity</t>
  </si>
  <si>
    <t>Operator of a car rental company in Belo Horizonte, Brazil. The company specializes in fleet outsourcing, with periodic and regular maintenance service and insurance covering the rented vehicle and third-party vehicles.</t>
  </si>
  <si>
    <t>Maestro Locadora de Veículos(Fabio Lewkowicz), Stratus (Investor)(Alberto Camões)</t>
  </si>
  <si>
    <t>114614-83T</t>
  </si>
  <si>
    <t>Bossa Invest, Omidyar Network(Fabio Tran)</t>
  </si>
  <si>
    <t>165793-96T</t>
  </si>
  <si>
    <t>168362-02T</t>
  </si>
  <si>
    <t>B3(Brazil) (BVMF: B3SA3), Darwin Startups</t>
  </si>
  <si>
    <t>116991-19T</t>
  </si>
  <si>
    <t>Softbox</t>
  </si>
  <si>
    <t>Developer of information technology products and solutions for large companies based in Brazil. The company specializes in solutions for retail and consumer goods companies that wish to make digital sales to the end consumer, serving to achieve desired results.</t>
  </si>
  <si>
    <t>215954-02T</t>
  </si>
  <si>
    <t>Catalogo Delivery</t>
  </si>
  <si>
    <t>Developer of a mobile-based groceries platform designed to place orders online. The company's platform offers online ordering facilities for different groceries like food, pet food, and pharmaceuticals, enabling users to get delivery to their locations.</t>
  </si>
  <si>
    <t>Lighthouse Invest(Christian Dunce)</t>
  </si>
  <si>
    <t>123291-82T</t>
  </si>
  <si>
    <t>Instaponto</t>
  </si>
  <si>
    <t>Provider of a point of sale management software designed to transform physical product supervision into fully online supervision. The company's software measures user productivity at each point of sale through geolocation technology, enabling process managers to extract any information and visit any active establishment anywhere.</t>
  </si>
  <si>
    <t>111 Investment Partners(Delton Batista da Silva)</t>
  </si>
  <si>
    <t>113942-26T</t>
  </si>
  <si>
    <t>215956-81T</t>
  </si>
  <si>
    <t>POS Controle</t>
  </si>
  <si>
    <t>Developer of mobile payment technology designed for a sales automation system embedded in a credit card machine. The company's system provides payment options for small retailers, and catálogo delivery, automating the benefits to the trade of food and other specific items, such as stationery, water and gas, convenience, health, cosmetics, and pet services, enabling retailers to reduce operating costs by automating the sales process, dispensing with the use of equipment such as computers, monitors, and printers.</t>
  </si>
  <si>
    <t>112873-96T</t>
  </si>
  <si>
    <t>Santo Antonio Energia</t>
  </si>
  <si>
    <t>Operator of a hydroelectric plat intended to generate energy based in Sao Paulo, Brazil. The company's hydroelectricity is generated from the 50 turbines with an average installed capacity of 3.568 MW from water transformed into electricity enabling the local communities and the environment to get hydroelectric.</t>
  </si>
  <si>
    <t>126507-70T</t>
  </si>
  <si>
    <t>Vybme</t>
  </si>
  <si>
    <t>Provider of proprietary vibrational technology intended for safety and geofencing of urban mobility. The company provides an alternative to traditional GPS navigational systems, combining outstanding vibrational signals, an easy to learn linguistic code and the adaptability to be attached to clothing, wearables or handlebars, enabling visually impaired athletes and runner to get directional cues on where the person should move.</t>
  </si>
  <si>
    <t>Austral Incuba, OBr.global, ParqueTec, VelocityTX</t>
  </si>
  <si>
    <t>114586-84T</t>
  </si>
  <si>
    <t>ATEM (Manaus), Oliveira Energia</t>
  </si>
  <si>
    <t>122935-69T</t>
  </si>
  <si>
    <t>Toyota Mobility Foundation</t>
  </si>
  <si>
    <t>134611-84T</t>
  </si>
  <si>
    <t>James Delivery</t>
  </si>
  <si>
    <t>Developer of a delivery platform intended to deliver items directly from the market to the home. The company's platform delivers food, grocery, and other products through its established networks of vendors, enabling users to save time in window grocery shopping.</t>
  </si>
  <si>
    <t>114582-43T</t>
  </si>
  <si>
    <t>Total Biotecnologia</t>
  </si>
  <si>
    <t>Manufacturer and provider of biological products in Brazil. The company specializes in the development of high-tech biological products to improve agricultural sustainability and field crop yields, enabling agriculture industry with the ability to track and monitor all products delivered.</t>
  </si>
  <si>
    <t>Aqua Capital(Sebastian Popik), Biotrop(Antonio Zem)</t>
  </si>
  <si>
    <t>225289-00T</t>
  </si>
  <si>
    <t>Kevin Harrington(Kevin Harrington)</t>
  </si>
  <si>
    <t>166821-40T</t>
  </si>
  <si>
    <t>WOW Aceleradora de Startups(André Ghignatti)</t>
  </si>
  <si>
    <t>166513-96T</t>
  </si>
  <si>
    <t>120000-88T</t>
  </si>
  <si>
    <t>BMG Uptech, Bossa Invest, Distrito Ventures, Garan Ventures, GSR Ventures</t>
  </si>
  <si>
    <t>284589-37T</t>
  </si>
  <si>
    <t>155536-39T</t>
  </si>
  <si>
    <t>838 Soluções</t>
  </si>
  <si>
    <t>Developer of software tools designed to manage human resources catering to companies of all sizes. The company specializes in the development of technological tools to help companies in the management of human resources in areas such as benefits and performance without the use of spreadsheets, helping managers in real-time to support the management processes.</t>
  </si>
  <si>
    <t>284255-11T</t>
  </si>
  <si>
    <t>127530-64T</t>
  </si>
  <si>
    <t>OnBoard Mobility</t>
  </si>
  <si>
    <t>Developer of an online ticketing platform designed to transform public transportation digitally. The company's payment platform allows users to recharge or request a single ticket or mass transit card via an application or a chatbot connected via their smartphone, enabling clients to experience an improved public transportation system.</t>
  </si>
  <si>
    <t>Toyota Mobility Foundation(Ryan Klem)</t>
  </si>
  <si>
    <t>256860-28T</t>
  </si>
  <si>
    <t>Tilix Digital</t>
  </si>
  <si>
    <t>Developer and provider of managing payment solutions based in Sao Paulo, Brazil. The company offers a secure ticket-sending and receiving service thereby connecting businesses and customers to send and receive money securely and efficiently.</t>
  </si>
  <si>
    <t>PagBank</t>
  </si>
  <si>
    <t>114418-45T</t>
  </si>
  <si>
    <t>Ferrous Resources</t>
  </si>
  <si>
    <t>Provider of metal exaction and exploration services. The company provides iron ore exploration and extraction, as well as processing metals to the steel industries in Brazil and internationally.</t>
  </si>
  <si>
    <t>119561-05T</t>
  </si>
  <si>
    <t>Queijos Cruzília</t>
  </si>
  <si>
    <t>Producer of artisanal cheeses and dairy products based in Cruzilia, Brazil. The company uses local milk, special yeast strains and maturity periods of over a month in temperature-controlled settings to offer a wide selection of specialty cheeses, providing its range of dairy products to hotels, bars, restaurants and supermarkets across Brazil.</t>
  </si>
  <si>
    <t>Aqua Capital(Sebastian Popik), Laticínios São João, Spectra Investments</t>
  </si>
  <si>
    <t>227693-80T</t>
  </si>
  <si>
    <t>BV Asset (BVMF: VSHO11)</t>
  </si>
  <si>
    <t>Fundo DE Investimento Imobiliario Votorantim Shopping is a real estate fund. Its investments are mainly based on investments in real estate developments in shopping malls.</t>
  </si>
  <si>
    <t>122760-64T</t>
  </si>
  <si>
    <t>Canary (Brazil), Maya Capital (Brazil)(Lara Lemann), SoftBank Latin America Fund(Francisco Sorrentino), Valor Capital Group(Michael Nicklas)</t>
  </si>
  <si>
    <t>118856-80T</t>
  </si>
  <si>
    <t>SLC Alimentos</t>
  </si>
  <si>
    <t>Provider of rice and beans in Brazil. The company operates in the industrialization and commercialization of rice, beans and lentils, with a complete and differentiated line of products, using exclusive control in the acquisition of the raw material and in all stages of industrial processing, in addition to a quality assurance system of its own to ensure the recognized excellence in its products.</t>
  </si>
  <si>
    <t>Camil Alimentos (BVMF: CAML3)(Luciano Quartiero)</t>
  </si>
  <si>
    <t>215657-92T</t>
  </si>
  <si>
    <t>119826-01T</t>
  </si>
  <si>
    <t>Alnutri Alimentos</t>
  </si>
  <si>
    <t>Producer and distributor of packaged foods based in Contagem, Brazil. The company offers food products made from sustainable ingredients and packaging, which consume less energy and generate less waste, enabling its customers to enjoy healthy and delicious food.</t>
  </si>
  <si>
    <t>Stratus (Investor)(Alvaro Goncalves)</t>
  </si>
  <si>
    <t>119643-67T</t>
  </si>
  <si>
    <t>e.bricks Ventures(Guilherme Cervieri), Igah Ventures</t>
  </si>
  <si>
    <t>215454-25T</t>
  </si>
  <si>
    <t>Bioin</t>
  </si>
  <si>
    <t>Manufacturer of sustainable pest control products intended to improve agricultural production. The company offers pest management and control products and services, including adhesive floors, sticky traps, and pest identification, enabling farmers to protect their agricultural production.</t>
  </si>
  <si>
    <t>136072-81T</t>
  </si>
  <si>
    <t>107557-93T</t>
  </si>
  <si>
    <t>Barikuta Partners, Crestone Venture Capital, Hustle Fund, International Finance (Washington D.C.), Speedinvest(Stefan Klestil)</t>
  </si>
  <si>
    <t>211247-83T</t>
  </si>
  <si>
    <t>115721-29T</t>
  </si>
  <si>
    <t>Poupafarma</t>
  </si>
  <si>
    <t>Operator of a chain of drugstores based in Sao Paulo, Brazil. The company specializes in medicines and wellness products and also operates an online platform for ordering medicines, thereby enabling customers to get products at affordable prices.</t>
  </si>
  <si>
    <t>211380-49T</t>
  </si>
  <si>
    <t>WeWork</t>
  </si>
  <si>
    <t>124668-73T</t>
  </si>
  <si>
    <t>125980-39T</t>
  </si>
  <si>
    <t>280805-23T</t>
  </si>
  <si>
    <t>SOLenergias</t>
  </si>
  <si>
    <t>Provider of consulting services catering to the energy and electricity sector. The company specializes in the administration of energy purchase contracts, planning and optimization of energy contracting, the feasibility analysis of generation projects and the purchase and sale of conventional energy and energy from biomass, SHPs and wind.</t>
  </si>
  <si>
    <t>215383-15T</t>
  </si>
  <si>
    <t>Studio 360 Tour</t>
  </si>
  <si>
    <t>Operator of the online real estate market platform intended to bring brokers, end customers, developers, and urban developers closer together. The company's platform offers interactive communication, construction development status, sales management, offering information, and disclosures, enabling buyers, sellers, and developers to process efficiently.</t>
  </si>
  <si>
    <t>140264-38T</t>
  </si>
  <si>
    <t>128809-99T</t>
  </si>
  <si>
    <t>Eirene Solutions</t>
  </si>
  <si>
    <t>Developer of robot technology designed to automate agricultural operations. The company's technology includes an electric vehicle that will automate the spraying process and uses computer vision to detect weeds and make applications only where it is needed, enabling farmers to increase productivity in less time.</t>
  </si>
  <si>
    <t>125556-67T</t>
  </si>
  <si>
    <t>215382-70T</t>
  </si>
  <si>
    <t>117381-25T</t>
  </si>
  <si>
    <t>Canary (Brazil), Maya Capital (Brazil), Monashees, Next Billion Ventures, ONEVC</t>
  </si>
  <si>
    <t>114119-47T</t>
  </si>
  <si>
    <t>General Atlantic(Martin Escobari), Kaszek, QED Investors(Nigel Morris), Qualcomm Ventures(Carlos Kokron), Ruane, Cunniff &amp; Goldfarb</t>
  </si>
  <si>
    <t>256569-94T</t>
  </si>
  <si>
    <t>Bionexo(Mauricio De Lázzari Barbosa)</t>
  </si>
  <si>
    <t>241953-76T</t>
  </si>
  <si>
    <t>BTS VIII Empreendimentos Imobiliários</t>
  </si>
  <si>
    <t>175988-89T</t>
  </si>
  <si>
    <t>ACON Investments(Andre Bhatia)</t>
  </si>
  <si>
    <t>114003-10T</t>
  </si>
  <si>
    <t>Zema Petróleo</t>
  </si>
  <si>
    <t>Distributor of fuel and related products. The company manages a network of dealer-operated service stations and several oil products and ethanol storage facilities to supply fuels in the states of Minas Gerais, Goiás, and Mato Grosso.</t>
  </si>
  <si>
    <t>TotalEnergies (PAR: TTE)(Momar Nguer)</t>
  </si>
  <si>
    <t>99910-90T</t>
  </si>
  <si>
    <t>Canary (Brazil), Fundação Estudar, Monashees, Valor Capital Group, Yellow Ventures</t>
  </si>
  <si>
    <t>79282-36T</t>
  </si>
  <si>
    <t>Atlas Critical Minerals Corporation (PINX: JUPGF)</t>
  </si>
  <si>
    <t>Atlas Critical Minerals Corporation, is a mineral exploration and development company focused on critical minerals projects and properties in Brazil. The company's portfolio principally includes mineral properties for rare earths, graphite, titanium, copper, uranium, and nickel. It also owns mineral rights for iron ore, quartzite, gold, and diamond properties. The company's project portfolio includes the Alto Paranaiba, Malacacheta, Arcos, Goias, Tocantins, Rio Piracicaba, and other projects.</t>
  </si>
  <si>
    <t>122942-08T</t>
  </si>
  <si>
    <t>113928-85T</t>
  </si>
  <si>
    <t>227536-39T</t>
  </si>
  <si>
    <t>VBI Real Estate GDC (BVMF: LVBI11)</t>
  </si>
  <si>
    <t>VBI Real Estate Gestão de Carteiras SA is an investment manager focused on Brazilian real estate. Its mission is to generate attractive risk-adjusted returns on capital by investing in real estate and real estate development projects in the retail, office, residential, logistics, and student housing sectors.</t>
  </si>
  <si>
    <t>164810-71T</t>
  </si>
  <si>
    <t>Saint-Gobain (PAR: SGO)</t>
  </si>
  <si>
    <t>256115-44T</t>
  </si>
  <si>
    <t>113798-89T</t>
  </si>
  <si>
    <t>ChefTime</t>
  </si>
  <si>
    <t>Provider of gastronomic kits intended to provide an incredible cooking experience. The company's products brings new ingredients, techniques and flavors and sanitized and in the right measure, enabling people to prepare tasty dishes healthy to practical.</t>
  </si>
  <si>
    <t>113887-36T</t>
  </si>
  <si>
    <t>iFood.com Agencia de Restaurantes Online</t>
  </si>
  <si>
    <t>Developer of an online platform intended to offer food ordering services. The company's platform offers a list of online restaurants and has partnerships with them in the city, enabling users to get an easy way to order food delivery.</t>
  </si>
  <si>
    <t>Innova Capital, Just Eat Holding(Jerome Gavin), Movile(Fabricio Bloisi), Prosus Ventures</t>
  </si>
  <si>
    <t>122948-29T</t>
  </si>
  <si>
    <t>202887-10T</t>
  </si>
  <si>
    <t>Ccaps Translation and Localization</t>
  </si>
  <si>
    <t>Operator of a language services company intended to provide language support and services. The company specializes in brazilian portuguese and latin american spanish and offers streamlined translation, interpreting, project management, machine translation and localization services.</t>
  </si>
  <si>
    <t>OXO Innovation(Charles Lespérance)</t>
  </si>
  <si>
    <t>157971-79T</t>
  </si>
  <si>
    <t>Debcred</t>
  </si>
  <si>
    <t>Developer of business management systems intended to help companies to implement an efficient management system. The company specializes in the development and commercialization of ERP software for medium and big enterprises in different sectors, helping them with efficient control forms for all their departments, in an agile and integrated way.</t>
  </si>
  <si>
    <t>262883-44T</t>
  </si>
  <si>
    <t>Usina Giasa</t>
  </si>
  <si>
    <t>Manufacturer of ethyl alcohol based in Pedras de Fogo, Brazil.</t>
  </si>
  <si>
    <t>Olho D'Água Group</t>
  </si>
  <si>
    <t>113796-19T</t>
  </si>
  <si>
    <t>Operator of non-residential real estate intended for leasing purposes. The company engages in the acquisition, development and sale-leaseback of corporate complexes, providing clients with sustainably developed properties as per their requirements.</t>
  </si>
  <si>
    <t>Jaguar Growth Partners(Gary Garrabrant)</t>
  </si>
  <si>
    <t>155365-93T</t>
  </si>
  <si>
    <t>Startup Battlefield</t>
  </si>
  <si>
    <t>115854-04T</t>
  </si>
  <si>
    <t>Quartier Participações</t>
  </si>
  <si>
    <t>Publisher of study materials based in Floresta Porto Alegre, Brazil. The company specializes in textbook publishing and digital education platforms.</t>
  </si>
  <si>
    <t>246143-80T</t>
  </si>
  <si>
    <t>250942-33T</t>
  </si>
  <si>
    <t>113663-71T</t>
  </si>
  <si>
    <t>NAI Brazil</t>
  </si>
  <si>
    <t>Provider of commercial real estate consulting services catering to companies, property owners, investors and developers. The company offers property sales, construction management, facilities, research and evaluations, asset management, condominium administration and prospecting services, thereby developing strategies aimed at maximizing the desired results.</t>
  </si>
  <si>
    <t>Binswanger Brazil</t>
  </si>
  <si>
    <t>99365-23T</t>
  </si>
  <si>
    <t>VNV Global (STO: VNV)</t>
  </si>
  <si>
    <t>114958-99T</t>
  </si>
  <si>
    <t>Geneze Sementes</t>
  </si>
  <si>
    <t>Producer of hybrid corn seeds intended to meet the demands and needs of all Brazilian regions. The company specializes in plant breeding and yield potential corn and soybeans seeds, thereby enabling customers in agriculture market to receive quality seeds which results in improve productivity at reduced cost.</t>
  </si>
  <si>
    <t>Vilmorin &amp; Cie</t>
  </si>
  <si>
    <t>211734-64T</t>
  </si>
  <si>
    <t>Fosun International (HKG: 00656)</t>
  </si>
  <si>
    <t>116145-10T</t>
  </si>
  <si>
    <t>Natixis Brasil</t>
  </si>
  <si>
    <t>Provider of commercial banking services headquartered in Sao Paulo, Brazil. The company provides international corporate, investment, insurance and financial services to its customers.</t>
  </si>
  <si>
    <t>State Street (NYS: STT)</t>
  </si>
  <si>
    <t>115088-68T</t>
  </si>
  <si>
    <t>Kinea Investimentos (BVMF: KNHY11)(Matheus Lino)</t>
  </si>
  <si>
    <t>138757-96T</t>
  </si>
  <si>
    <t>119560-87T</t>
  </si>
  <si>
    <t>Agro Ferrari</t>
  </si>
  <si>
    <t>Provider of agricultural supplies based in Santa Cruz do Rio Pardo, Brazil. The company offers insecticides, fungicides, herbicides, seeds, fertilizers and concealers, along with agricultural machinery and parts, enabling farmers and agricultural producers to get a large variety of agricultural supplies from a single source.</t>
  </si>
  <si>
    <t>AgroGalaxy, Aqua Capital(Antonio Luiz Giuliangeli)</t>
  </si>
  <si>
    <t>155722-78T</t>
  </si>
  <si>
    <t>139635-28T</t>
  </si>
  <si>
    <t>132146-11T</t>
  </si>
  <si>
    <t>Made in Natural</t>
  </si>
  <si>
    <t>Producer of healthy snacks and food products intended to facilitate natural nutritional food options to be eaten between meals. The company's products include minimally processed ingredients with a high nutritional value from small producers and sell the products through e-commerce and subscription plans, enabling consumers to enjoy delicious and healthy food alternatives in a hassle-free manner.</t>
  </si>
  <si>
    <t>123797-53T</t>
  </si>
  <si>
    <t>Bossa Invest, Headline(Romero Rodrigues), Redpoint eventures(Romero Rodrigues), Wharton Alumni Angels</t>
  </si>
  <si>
    <t>172351-63T</t>
  </si>
  <si>
    <t>110093-05T</t>
  </si>
  <si>
    <t>Alberta Investment Management, CPP Investments, IG4 Capital(Paulo Mattos)</t>
  </si>
  <si>
    <t>158368-96T</t>
  </si>
  <si>
    <t>Netpoints Fidelidade</t>
  </si>
  <si>
    <t>Developer of an online award program intended to create a program that would make it easier for consumers from all walks of life to win prizes. The company's program lets buyers earn points on day-to-day purchases from stores, offering promotions and discounts on various brands, enabling customers to collect points and exchange them for prizes.</t>
  </si>
  <si>
    <t>Dotz Nano (ASX: DTZ)</t>
  </si>
  <si>
    <t>124098-22T</t>
  </si>
  <si>
    <t>115630-84T</t>
  </si>
  <si>
    <t>113985-19T</t>
  </si>
  <si>
    <t>Frade Japão Petróleo</t>
  </si>
  <si>
    <t>Operator of an oil and gas exploration company based in Brazil. The company holds a working interest in the Frade Field and is involved in the wholesale trading of mining products.</t>
  </si>
  <si>
    <t>164001-25T</t>
  </si>
  <si>
    <t>Parcele.me</t>
  </si>
  <si>
    <t>Provider of an installment payments platform intended to simplify the process of managing installment payments. The company's platform provides installment payments of cards, financing of assets and acquisition of raw materials and facilitates foreign purchase and overseas paying, enabling customers to make payments in installment directly in the credit card.</t>
  </si>
  <si>
    <t>Financiadora de Estudos e Projetos(Raphael Braga)</t>
  </si>
  <si>
    <t>113355-82T</t>
  </si>
  <si>
    <t>J. Malucelli Seguradora(Joao Possiede), Monashees, Point Break Capital, XP Investimentos (NAS: XP)</t>
  </si>
  <si>
    <t>113256-01T</t>
  </si>
  <si>
    <t>Ride (Brazil)</t>
  </si>
  <si>
    <t>Provider of electric scooters renting service intended to improve mobility. The company's service uses electric scooters that are dockless, accessible, affordable, safe, and eco-friendly, enabling users to generate a positive social and environmental impact.</t>
  </si>
  <si>
    <t>Grin Scooter(Sergio Romo Amador)</t>
  </si>
  <si>
    <t>116268-22T</t>
  </si>
  <si>
    <t>Eliane Revestimentos Cerâmicos</t>
  </si>
  <si>
    <t>Manufacturer and seller of building products intended to provide technologically advanced ceramic products and tiles. The company offers certified ecologically friendly porcelain and ceramic tiles for the home, as well as for construction and industrial purposes in Brazil and worldwide, enabling its customers with a premium quality tiles experience.</t>
  </si>
  <si>
    <t>Mohawk Industries (NYS: MHK)(David Kolb)</t>
  </si>
  <si>
    <t>121337-29T</t>
  </si>
  <si>
    <t>Endeavor Catalyst, Omidyar Network</t>
  </si>
  <si>
    <t>130689-64T</t>
  </si>
  <si>
    <t>Accera Sistemas Estrategicos</t>
  </si>
  <si>
    <t>Developer of an intelligent data management platform intended to provide data and supply chain analytics. The company develops and applies innovative supply chain and demand management tools with absolute dedication and attention to detail. Its teams specializing in big data and analytics help customers make products available locally, on time, in quantity and at the right price.</t>
  </si>
  <si>
    <t>Neogrid Participacoes (BVMF: NGRD3)</t>
  </si>
  <si>
    <t>110624-86T</t>
  </si>
  <si>
    <t>StoneCo Ltd is a provider of financial technology solutions. It serves MSMBs solutions, at fair prices, and provides the customer experience to help them manage their businesses and sell more. Its Stone Business Model combines end-to-end, cloud-based technology platforms; differentiated hyper-local and integrated distribution approaches; and white-glove, on-demand customer service. It has two segments Financial Services segment, which includes payments solutions, digital banking, credit, insurance solutions as well as the registry business. In the Software segment solution includes POS/ERP, TEF and QR Code gateways, reconciliation, CRM, OMS, e-commerce platform, engagement tool, ads solution, and marketplace hub. It generates the majority of its revenue from the Financial Services segment.</t>
  </si>
  <si>
    <t>127614-79T</t>
  </si>
  <si>
    <t>123283-18T</t>
  </si>
  <si>
    <t>Vendo Meu Terreno</t>
  </si>
  <si>
    <t>Provider of residential real estate brokerage service intended to streamline the process of buying and selling a home. The company's service uses actual sales data and client reviews to match buyers and sellers with agents to sell homes faster and for more money, enabling users to find suitable agents in a hassle-free manner.</t>
  </si>
  <si>
    <t>113153-59T</t>
  </si>
  <si>
    <t>Visa Ventures(Neal Kapur)</t>
  </si>
  <si>
    <t>113158-09T</t>
  </si>
  <si>
    <t>NTK Solutions</t>
  </si>
  <si>
    <t>Provider of payment systems and services intended to capture card transactions in the Brazilian market. The company provides services to brick-and-mortar and online retailers as a merchant acquirer, settling transactions, in addition to selling and renting payment terminals.</t>
  </si>
  <si>
    <t>219627-73T</t>
  </si>
  <si>
    <t>Developer of online payment solutions based in Sao Paulo, Brazil.</t>
  </si>
  <si>
    <t>113124-34T</t>
  </si>
  <si>
    <t>Agrotopus</t>
  </si>
  <si>
    <t>Developer of agriculture activities management software designed to evaluate the agronomic management through remote diagnosis by satellites and aircraft. The company's application features climate forecast, vehicle tracking, planning, storage management, industrialization and commercialization, warehouse management, real-time tracing, industrial process automation, machinery automation, product traceability, and farm management, enabling users with proactivity and remote monitoring, learning and improving operations continuously.</t>
  </si>
  <si>
    <t>Vertical Market Software</t>
  </si>
  <si>
    <t>111802-87T</t>
  </si>
  <si>
    <t>110322-28T</t>
  </si>
  <si>
    <t>CPP Investments, Votorantim Energia</t>
  </si>
  <si>
    <t>124045-84T</t>
  </si>
  <si>
    <t>194633-74T</t>
  </si>
  <si>
    <t>Decision6</t>
  </si>
  <si>
    <t>Developer of retail analytics software designed to analyze customer behavior, compare store performance and watch results from marketing and storefront campaigns. The company's software is an integrated in-store analytics platform based on foot traffic intelligence algorithms that analyze consumer behavior and bricks-and-mortar performance, monitor people flow in the stores, identify customers and stores behaviors per day and it also helps understand conversion rates and storefront attractiveness, enabling retail companies to effectively manage the store's operation, get business insights and make decisions to increase profits.</t>
  </si>
  <si>
    <t>103876-84T</t>
  </si>
  <si>
    <t>Fifth Wall, IFCI Venture Capital Funds, Kaszek, Qualcomm Ventures, SoftBank Investment Advisers(Akshay Naheta)</t>
  </si>
  <si>
    <t>111293-83T</t>
  </si>
  <si>
    <t>A.B.Seed Ventures(Geraldo Melzer), SP Ventures</t>
  </si>
  <si>
    <t>117420-22T</t>
  </si>
  <si>
    <t>Matrix Energy Trading</t>
  </si>
  <si>
    <t>Provider of energy trading and energy transmission services based in Sao Paulo, Brazil. The company's activities include transmission of electric power to residences and industrial organizations in Brazil.</t>
  </si>
  <si>
    <t>DXT Commodities(Benedict Sciortino)</t>
  </si>
  <si>
    <t>233202-70T</t>
  </si>
  <si>
    <t>257857-48T</t>
  </si>
  <si>
    <t>ConsultBrasil</t>
  </si>
  <si>
    <t>Provider of software solutions for banks, non-bank financial institutions, brokers and dealers segments intended to offer high-level technological solutions to the financial market. The company offers SPB Bank, MES messaging, new billing messaging, treasury management, fixed income, variable income and derivatives and cash flow management.</t>
  </si>
  <si>
    <t>98490-97T</t>
  </si>
  <si>
    <t>SOMOS Educacao SA is a Brazilian education company that focuses on schools, learning systems, and publishing. It offers educational solutions for public and private schools, including: educational material, digital content, teaching methodology, tools for student evaluation and management, pedagogical advisory, administrative and faculty training, among others.</t>
  </si>
  <si>
    <t>255079-54T</t>
  </si>
  <si>
    <t>Chocolates Planalto</t>
  </si>
  <si>
    <t>Producer of chocolate confectioneries and other chocolate products based out in Brazil.</t>
  </si>
  <si>
    <t>Florestal Alimentos</t>
  </si>
  <si>
    <t>123157-27T</t>
  </si>
  <si>
    <t>Flexsas</t>
  </si>
  <si>
    <t>Developer of an online logistics warehouse platform designed to connect professional warehouses with those who need dynamic storage. The company's platform applies dynamic data integration methods and follows a sophisticated approval process, enabling clients to send and resolve queries about crucial product storage and movement information.</t>
  </si>
  <si>
    <t>The Hop</t>
  </si>
  <si>
    <t>157005-73T</t>
  </si>
  <si>
    <t>200827-45T</t>
  </si>
  <si>
    <t>112666-15T</t>
  </si>
  <si>
    <t>Tencent Holdings (HKG: 00700)(Chi Ping Lau)</t>
  </si>
  <si>
    <t>186881-68T</t>
  </si>
  <si>
    <t>CyrusOne(Kevin Timmons)</t>
  </si>
  <si>
    <t>122959-18T</t>
  </si>
  <si>
    <t>Petitebox</t>
  </si>
  <si>
    <t>Operator of the maternal-infant subscription club intended to offer a unique experience every month for all mothers, families and their little ones. The company provides a subscription system that gives women from pregnancy products chosen for each stage of pregnancy or the baby's life at home, enabling women to get easy access to products required during their pregnancy.</t>
  </si>
  <si>
    <t>112877-65T</t>
  </si>
  <si>
    <t>Beblue (Financial Software)</t>
  </si>
  <si>
    <t>Provider of a financial platform intended to capture loyalty and reward customers based on cashback. The company's platform offers a real-time refund of a part of the amount spent on purchases in the form of a balance to be used in future payments in the network of affiliated merchants, empowering small and medium retailers to track costumers and monetize with simple and targeted offline cashback offers.</t>
  </si>
  <si>
    <t>Vector Innovation and Technology</t>
  </si>
  <si>
    <t>112961-08T</t>
  </si>
  <si>
    <t>Natue Comercio de Cosmeticos e Produtos Alimenticios em Geral</t>
  </si>
  <si>
    <t>Operator of an e-commerce platform intended to provide wellness and health products. The company's website offers supplements, sports nutrition, natural cosmetics, nutri-cosmetics, slimming products, and vitamins, enabling wellness enthusiasts and health-conscious customers with individualized buying assistance and access to a range of wellness products.</t>
  </si>
  <si>
    <t>114986-62T</t>
  </si>
  <si>
    <t>Canary (Brazil)(Marcos Leite), Maya Capital</t>
  </si>
  <si>
    <t>121016-62T</t>
  </si>
  <si>
    <t>RCB Investimentos</t>
  </si>
  <si>
    <t>Operator of a master servicing platform intended for non-performing loans based in Sao Paulo, Brazil. The company specializes in structuring, investing and operating complex assets in performing, sub-performing and non-performing assets backed by receivable flows, legal claims or capital assets.</t>
  </si>
  <si>
    <t>113912-83T</t>
  </si>
  <si>
    <t>Veltec Soluções Tecnológicas</t>
  </si>
  <si>
    <t>Developer of a fleet management platform, intended to reduce accidents, improve driver, and vehicle performance as well as increase fuel economy. The company's platform monitors the transportation fleet through its vehicles' telematics and develops a technology chain including hardware, software, and map database, enabling transportation companies to manage their fleet.</t>
  </si>
  <si>
    <t>Trimble (NAS: TRMB)(Thomas Fansler)</t>
  </si>
  <si>
    <t>120008-17T</t>
  </si>
  <si>
    <t>B2 Interactive, Bossa Invest, G2 Capital, Grupo Primo, GVAngels, Joel Jota</t>
  </si>
  <si>
    <t>120131-47T</t>
  </si>
  <si>
    <t>Buskar.me</t>
  </si>
  <si>
    <t>Developer of a logistics platform designed to provide vehicle transportation and storage services. The company's platform promotes interaction between agents of the vehicle logistics ecosystem in the same environment, enabling fleet owners, companies, and customers to increase performance, centralize information, ease control, and reduce costs and timeframes.</t>
  </si>
  <si>
    <t>224242-12T</t>
  </si>
  <si>
    <t>Fidelity Processadora</t>
  </si>
  <si>
    <t>Provider of issuer processing services intended to serve Visa and MasterCard portfolios. The company offers issuer services such as acquiring processing, mortgage processing, bank processing and health insurance services.</t>
  </si>
  <si>
    <t>123537-61T</t>
  </si>
  <si>
    <t>Hangar8 Capital</t>
  </si>
  <si>
    <t>113563-81T</t>
  </si>
  <si>
    <t>Mario Letelier(Mario Letelier), Redpoint eventures(Anderson Thees), Valor Capital Group</t>
  </si>
  <si>
    <t>210994-66T</t>
  </si>
  <si>
    <t>207680-59T</t>
  </si>
  <si>
    <t>284330-80T</t>
  </si>
  <si>
    <t>112483-54T</t>
  </si>
  <si>
    <t>Vitol(Russell Hardy)</t>
  </si>
  <si>
    <t>115039-27T</t>
  </si>
  <si>
    <t>Smart Vibe</t>
  </si>
  <si>
    <t>Developer of a wristband designed to receive vibrations based on a global positioning system navigation route. The company's wristband applies vibrational communication technology to transform motion into communication, which can help tourists looking to stay away from dangerous areas, enabling users to access their technology to act upon information when they are not able to see or read.</t>
  </si>
  <si>
    <t>VelocityTX</t>
  </si>
  <si>
    <t>185403-07T</t>
  </si>
  <si>
    <t>Under Armour Brazil</t>
  </si>
  <si>
    <t>Operator of a sports apparel brand intended to cater to the fitness and sporting needs of fitness enthusiasts in Brazil. The company's range of products includes a collection of sweatshirts, t-shirts, jogging pants, footwear, sporting tops and jackets for men and women.</t>
  </si>
  <si>
    <t>Vulcabras Azaleia (BVMF: VULC3)(Pedro Bartelle)</t>
  </si>
  <si>
    <t>216175-96T</t>
  </si>
  <si>
    <t>Vida (Other Services (B2C Non-Financial))</t>
  </si>
  <si>
    <t>Provider of funeral plans intended to offer peace of mind and security for customer and their family.</t>
  </si>
  <si>
    <t>199119-97T</t>
  </si>
  <si>
    <t>226872-37T</t>
  </si>
  <si>
    <t>185261-41T</t>
  </si>
  <si>
    <t>Vinci Shopping Centers (BVMF: VISC11)</t>
  </si>
  <si>
    <t>128786-41T</t>
  </si>
  <si>
    <t>110894-59T</t>
  </si>
  <si>
    <t>215782-03T</t>
  </si>
  <si>
    <t>Banco Maré</t>
  </si>
  <si>
    <t>Developer of a financial platform designed to simplify the access to basic banking services. The company's platform offers streamlining of payment collections by integrating systems and cutting off intermediaries, enabling local people to send and receive money in a hassle-free manner</t>
  </si>
  <si>
    <t>Catalyst Fund</t>
  </si>
  <si>
    <t>128896-75T</t>
  </si>
  <si>
    <t>Startup Rio</t>
  </si>
  <si>
    <t>257020-21T</t>
  </si>
  <si>
    <t>Diletto Alimentos Eirelli</t>
  </si>
  <si>
    <t>Operator of a coffee shop based in Brasilia, Brazil. The company offers a range of beverages made from high-quality beans, providing coffee lovers with the best coffee as per their needs.</t>
  </si>
  <si>
    <t>Gran Coffee Comércio, Locação e Serviços</t>
  </si>
  <si>
    <t>112176-37T</t>
  </si>
  <si>
    <t>Audima</t>
  </si>
  <si>
    <t>Developer of audio conversion software intended to convert content websites to audio. The company's AI-based software converts text to audio and allows digital content to be heard by client's customers and employees, enabling clients to reach an audience base that prefers to listen over reading.</t>
  </si>
  <si>
    <t>112168-72T</t>
  </si>
  <si>
    <t>Louis Dreyfus Holding</t>
  </si>
  <si>
    <t>156922-84T</t>
  </si>
  <si>
    <t>115038-64T</t>
  </si>
  <si>
    <t>Magtab</t>
  </si>
  <si>
    <t>Developer of a content marketing platform designed to assist in digital marketing and digital media publishing. The company's platform assists in the editorial graphic project, inserts texts, images, videos, gifs, and podcasts, and helps in distributing the content on social networks, blogs, sites, and applications, enabling clients to generate leads and engage more readers or customers.</t>
  </si>
  <si>
    <t>OBr.global, VelocityTX</t>
  </si>
  <si>
    <t>112468-33T</t>
  </si>
  <si>
    <t>DOMO.VC(Gabriel Vieira)</t>
  </si>
  <si>
    <t>112073-86T</t>
  </si>
  <si>
    <t>Ascenty Data Centers</t>
  </si>
  <si>
    <t>Provider of data center and connectivity services in Latin America. The company is engaged in operating data centers that are all interconnected using a fiber-optic network, thereby enabling large corporate enterprise clients and wireless communication carriers to store, access, transmit and make use of data available.</t>
  </si>
  <si>
    <t>Brookfield Infrastructure Partners (TSE: BIP.UN)(Benjamin Vaughan), Digital Realty (NYS: DLR)</t>
  </si>
  <si>
    <t>139470-94T</t>
  </si>
  <si>
    <t>195483-61T</t>
  </si>
  <si>
    <t>195469-75T</t>
  </si>
  <si>
    <t>122370-76T</t>
  </si>
  <si>
    <t>122373-28T</t>
  </si>
  <si>
    <t>Marmotex</t>
  </si>
  <si>
    <t>Developer of a food delivery platform intended to offer corporate food delivery services in various places in Brazil. The company's platform offers clients to customize their meals and also refer ingredients according to their requirement, enabling consumers to enjoy quality food on time at a reasonable price.</t>
  </si>
  <si>
    <t>122376-52T</t>
  </si>
  <si>
    <t>195469-84T</t>
  </si>
  <si>
    <t>112549-51T</t>
  </si>
  <si>
    <t>Fifty 5, MetaProp, Plug and Play Tech Center(Alireza Masrour), Solo Holdings</t>
  </si>
  <si>
    <t>112836-97T</t>
  </si>
  <si>
    <t>Astella Investimentos(Edson Rigonatti), Spectra Investments, Verus Group</t>
  </si>
  <si>
    <t>109374-13T</t>
  </si>
  <si>
    <t>Polinox</t>
  </si>
  <si>
    <t>Producer of organic peroxides based in Brazil. The company's services specialize in the manufacturing of peroxides and mold release waxes, used as raw materials of composites, enabling clients across civil construction, transportation, infrastructure, corrosion and marine industries to polymerize thermoset resins used in dozens of composite manufacturing processes.</t>
  </si>
  <si>
    <t>Nouryon Chemicals Holding(Bas Meeuwis)</t>
  </si>
  <si>
    <t>129336-76T</t>
  </si>
  <si>
    <t>Bossa Invest, Camila Farani(Camila Farani), Duxx Investimentos, Eclipseon Ventures, G2 Capital, João Apolinário(João Apolinário)</t>
  </si>
  <si>
    <t>134138-53T</t>
  </si>
  <si>
    <t>E-Aware Technologies</t>
  </si>
  <si>
    <t>Developer of a remote sensing technology designed to process variables in less time. The company's technology analyzes data and converts it into strategic information ensuring communication through cloud collaboration tools for businesses to gain extensive knowledge about the process, enabling organizations to increase efficiency and security, and identify losses beforehand.</t>
  </si>
  <si>
    <t>SPRO IT Solutions</t>
  </si>
  <si>
    <t>102759-13T</t>
  </si>
  <si>
    <t>279150-85T</t>
  </si>
  <si>
    <t>213712-66T</t>
  </si>
  <si>
    <t>Santista Work Solution</t>
  </si>
  <si>
    <t>Manufacturer of authentic denim and fabrics intended for professional clothing. The company's line of business is in jeanswear, focused on developing innovative fabrics for the production of denim and workwear which is focused on the production of special fabrics for office-appropriate garments.</t>
  </si>
  <si>
    <t>Siete Leguas(Juan Hernandez)</t>
  </si>
  <si>
    <t>122931-37T</t>
  </si>
  <si>
    <t>Carioca Brewing</t>
  </si>
  <si>
    <t>Operator of a brewery intended to craft beers. The company's portfolio consists of a broad range of craft and bottled beers sold through its website and physical stores, enabling consumers to access a variety of beverages.</t>
  </si>
  <si>
    <t>111931-30T</t>
  </si>
  <si>
    <t>Provider of veterinary services intended to provide pet care hospitalization services. The company offer emergency care, vaccines, surgical procedures and specialties care such as dermatology, ophthalmology, oncology, dentistry, physiotherapy, acupuncture, orthopedics, cardiology, homeopathy, tomography, and neurology, enabling pet owners to avail special care, comfortable and safe environment for their pets to get treated.</t>
  </si>
  <si>
    <t>Mars (Food Products)</t>
  </si>
  <si>
    <t>114372-37T</t>
  </si>
  <si>
    <t>Grupo São Francisco, Gávea Investimentos(Arminio Fraga)</t>
  </si>
  <si>
    <t>215379-19T</t>
  </si>
  <si>
    <t>Simbi (Financial Software)</t>
  </si>
  <si>
    <t>Operator of a social technology platform intended to unite sponsors and social corporations through data intelligence. The company's platform connects companies able to donate part of the tax payment with projects approved by the incentive laws, enabling projects and social organizations to generate impact and promote access to culture, education, health and sport.</t>
  </si>
  <si>
    <t>Din4mo Ventures</t>
  </si>
  <si>
    <t>112478-95T</t>
  </si>
  <si>
    <t>4Legacy, Carlos Mello(Carlos Mello), DOMO.VC(Gabriel Vieira)</t>
  </si>
  <si>
    <t>111869-56T</t>
  </si>
  <si>
    <t>122020-39T</t>
  </si>
  <si>
    <t>Cargill</t>
  </si>
  <si>
    <t>111700-09T</t>
  </si>
  <si>
    <t>Base10 Partners, Class 5 Global, Grishin Robotics, Monashees(Carlo Dapuzzo), Notable Capital(Hans Tung), Otter Rock Capital</t>
  </si>
  <si>
    <t>114123-25T</t>
  </si>
  <si>
    <t>Intelie</t>
  </si>
  <si>
    <t>Developer of a real-time streaming analytics platform designed to enhance data analysis and decision-making for businesses across various sectors. The company's intelligence platform offers advanced analytics tools to solve data integration, data quality, data governance, and monitoring problems, enabling organizations to optimize their operations, improve efficiency, and make informed decisions.</t>
  </si>
  <si>
    <t>Shell GameChanger</t>
  </si>
  <si>
    <t>111668-68T</t>
  </si>
  <si>
    <t>Voltalia (197MW wind farm portfolio)</t>
  </si>
  <si>
    <t>A 197-MW portfolio of wind projects in Brazil. It has a site at an advanced stage of development regarding land leasing, wind measurement, permitting and grid connection producing free market power.</t>
  </si>
  <si>
    <t>297862-21T</t>
  </si>
  <si>
    <t>Aya Tech</t>
  </si>
  <si>
    <t>Manufacturer of an insect repellent product intended to protect people against mosquito diseases. The company's product is a water-based spray that contains no solvents that when applied to a tissue, are aligned with the commitment to protect the environment and ensure sustainable development, enabling people to protect themselves from harmful insecticide diseases.</t>
  </si>
  <si>
    <t>114386-59T</t>
  </si>
  <si>
    <t>Pigminas</t>
  </si>
  <si>
    <t>Producer agricultural chemicals and animal feeds for commercial usage. The company offers fertilizers, nutrients, animal nutrition food, and other related products.</t>
  </si>
  <si>
    <t>Bauminas Química</t>
  </si>
  <si>
    <t>112062-88T</t>
  </si>
  <si>
    <t>113186-08T</t>
  </si>
  <si>
    <t>Oikocredit Ecumenical Development Cooperative Society</t>
  </si>
  <si>
    <t>115535-71T</t>
  </si>
  <si>
    <t>115534-81T</t>
  </si>
  <si>
    <t>160134-13T</t>
  </si>
  <si>
    <t>GreenLine Sistema de Saúde</t>
  </si>
  <si>
    <t>Operator of a healthcare platform based in São Paulo, Brazil. The company operates healthcare units, including hospitals, emergency rooms, medical centers, a diagnostic center, emergency room, personal care units and clinical analysis laboratory, enabling clients to avail quality healthcare connectivity services.</t>
  </si>
  <si>
    <t>111393-91T</t>
  </si>
  <si>
    <t>116663-59T</t>
  </si>
  <si>
    <t>118138-51T</t>
  </si>
  <si>
    <t>115536-16T</t>
  </si>
  <si>
    <t>119951-11T</t>
  </si>
  <si>
    <t>Manufacturer and supplier of raw materials intended to serve the construction industry. The company's product offerings include cement products to customers.</t>
  </si>
  <si>
    <t>Buzzi Unicem</t>
  </si>
  <si>
    <t>180001-90T</t>
  </si>
  <si>
    <t>112963-51T</t>
  </si>
  <si>
    <t>Grupo União</t>
  </si>
  <si>
    <t>Operator of a conglomerate catering to drivers across Brazil. The company offers automotive parts for the passenger, utility, bus, light and heavy truck lines such as tires, auto ancillary, electronics, alignment, balancing, suspension, brakes, exhaust accessories, oil and wheel straightening equipment.</t>
  </si>
  <si>
    <t>111379-24T</t>
  </si>
  <si>
    <t>Arke Energia</t>
  </si>
  <si>
    <t>Operator of a thermoelectric plant project based in Sao Paulo, Brazil. The plant has a capacity of 565 megawatts and uses natural gas processed by the Cabiúnas Terminal.</t>
  </si>
  <si>
    <t>Patria Investments (NAS: PAX)(Otavio Lopes Castello Branco Neto), Shell (LON: SHEL)(André Araujo)</t>
  </si>
  <si>
    <t>114192-73T</t>
  </si>
  <si>
    <t>Equals (Financial Software)</t>
  </si>
  <si>
    <t>Developer of a reconciliation platform designed to identify and track each sale. The company's system offers cash conferences, audits of taxes and terminals, cash flow management, refunds, chargebacks and transparent bank reconciliation, thereby helping customers with automated financial management.</t>
  </si>
  <si>
    <t>112807-18T</t>
  </si>
  <si>
    <t>Accion, Chromo Invest, Monashees, Quona Capital(Jonathan Whittle)</t>
  </si>
  <si>
    <t>111298-78T</t>
  </si>
  <si>
    <t>DGF Investimentos(Patrick Arippol), Prosegur Compañia de Seguridad (MAD: PSG), SP Ventures(Francisco Jardim), Spectra Investments</t>
  </si>
  <si>
    <t>113564-44T</t>
  </si>
  <si>
    <t>Canary (Brazil)(Florian Hagenbuch)</t>
  </si>
  <si>
    <t>203232-07T</t>
  </si>
  <si>
    <t>Fundo DE Fundos DE Investimento Imobiliario Kinea FII (BVMF: KFOF11)</t>
  </si>
  <si>
    <t>Fundo DE Fundos DE Investimento Imobiliario Kinea FII is a real estate fund. It invests in shares and securities.</t>
  </si>
  <si>
    <t>117577-63T</t>
  </si>
  <si>
    <t>Monte Verde (176 MW wind project)</t>
  </si>
  <si>
    <t>Operator of an investment holding company in Brazil. The company's activities include developing a 176 Mega Watt wind power station in Rio Grande do Norte.</t>
  </si>
  <si>
    <t>EDP Renovaveis Brasil</t>
  </si>
  <si>
    <t>160597-81T</t>
  </si>
  <si>
    <t>BMG Granito</t>
  </si>
  <si>
    <t>Manufacturer of pint-of-sale devices and provider of payments solutions to wholesalers, distributors, clinics, restaurants and event organizations. The company offers machines in a variety of form factors for different usages, providing payment gateways with zero hidden fees, fixed prices and technical support, combining internet connectivity with system integration.</t>
  </si>
  <si>
    <t>115734-52T</t>
  </si>
  <si>
    <t>Cinesystem</t>
  </si>
  <si>
    <t>Cinesystem SA is engaged in operating network of movie theaters in ten Brazilian states of Pará to Rio Grande do Sul through Maranhao, Pernambuco, Alagoas, Espirito Santo, Rio de Janeiro, São Paulo, Paraná and Santa Catarina.</t>
  </si>
  <si>
    <t>Stratus (Investor)(Eduardo Oliveira)</t>
  </si>
  <si>
    <t>207973-63T</t>
  </si>
  <si>
    <t>SuperJobs Venture Capital(Marcos Botelho)</t>
  </si>
  <si>
    <t>119988-64T</t>
  </si>
  <si>
    <t>Bossa Invest, Kria</t>
  </si>
  <si>
    <t>120806-83T</t>
  </si>
  <si>
    <t>Grupo Cortel</t>
  </si>
  <si>
    <t>Provider of cremation services headquartered in Porto Alegre, Brazil. The company manages eight cemeteries, five crematoria, funeral parlor with different attendance and funeral plan.</t>
  </si>
  <si>
    <t>Zion Capital (Brazil)</t>
  </si>
  <si>
    <t>125751-79T</t>
  </si>
  <si>
    <t>Legal Insights</t>
  </si>
  <si>
    <t>Developer of an analytical platform intended for the corporate legal department. The company's platform uses artificial intelligence to detect the trends of the judiciary in-depth and help lawyers generate more value for the business with the intelligent use of information, enabling clients to reduce costs, risks, and increase the level of predictability of legal liabilities.</t>
  </si>
  <si>
    <t>91587-97T</t>
  </si>
  <si>
    <t>Distrito Ventures, K50 Ventures, Village Capital</t>
  </si>
  <si>
    <t>119991-70T</t>
  </si>
  <si>
    <t>BMG Uptech, Bossa Invest, IDL Ventures</t>
  </si>
  <si>
    <t>108187-30T</t>
  </si>
  <si>
    <t>ALE Combustíveis</t>
  </si>
  <si>
    <t>Distributor of fuel gas, petrol, diesel and petroleum products in Brazil. The company distributes fuel for small and large vehicles through its network of service stations dispensing gasoline, ethanol, plus diesel and diesel S-10, natural gas and lubricants.</t>
  </si>
  <si>
    <t>Glencore (LON: GLEN)(Alex Beard)</t>
  </si>
  <si>
    <t>105949-54T</t>
  </si>
  <si>
    <t>Lwarcel Celulose</t>
  </si>
  <si>
    <t>Producer of market pulp for the paper industry. The company's products include bleached eucalyptus pulp, enabling customers to get quality papers out of the pulp.</t>
  </si>
  <si>
    <t>Asia Pacific Resources International Holdings</t>
  </si>
  <si>
    <t>113564-62T</t>
  </si>
  <si>
    <t>Canary (Brazil)(Florian Hagenbuch), Fundacao Estudar Alumni Partners</t>
  </si>
  <si>
    <t>225803-44T</t>
  </si>
  <si>
    <t>Oliveira Trust (BVMF: DMAC11)</t>
  </si>
  <si>
    <t>Oliveira Trust DTVM SA operates as a trust. The company provides services such as fund administration, title registration, fiduciary services, CRIs (Real Estate Receivables Certificates), trustee in structured receivables securitization operations, investment funds, Securities Custodian and administrator, FII - Real Estate Investment Fund, FIP - Equity Investment Fund, FI 409 (Investment Funds regulated by CVM Instruction 409) and FMIEE - Mutual Fund for Emerging Companies Investment, among others.</t>
  </si>
  <si>
    <t>111465-73T</t>
  </si>
  <si>
    <t>Carlos Nobert(Carlos Nobert), Global Founders Capital, Philipp Povel</t>
  </si>
  <si>
    <t>224902-18T</t>
  </si>
  <si>
    <t>Centrais Eletricas de Rondonia</t>
  </si>
  <si>
    <t>Producer of electric energy based in Porto Velho, Brazil. The company offers generation, transmission, and distribution of electric energy and specializes in various operations like rural electrification systems, licensing and concessions, smart grids, network upgrades, secondary distribution, substations, transmission lines, transmission, radial, primary distribution and electric power distributor.</t>
  </si>
  <si>
    <t>194635-27T</t>
  </si>
  <si>
    <t>115927-75T</t>
  </si>
  <si>
    <t>113167-99T</t>
  </si>
  <si>
    <t>ACE Ventures (Commercial Services), SVG Ventures|THRIVE(John Hartnett)</t>
  </si>
  <si>
    <t>78109-84T</t>
  </si>
  <si>
    <t>284586-76T</t>
  </si>
  <si>
    <t>124759-36T</t>
  </si>
  <si>
    <t>111382-93T</t>
  </si>
  <si>
    <t>HBS Alumni Angels of Brazil, Insper Angels</t>
  </si>
  <si>
    <t>194438-98T</t>
  </si>
  <si>
    <t>296205-94T</t>
  </si>
  <si>
    <t>110893-87T</t>
  </si>
  <si>
    <t>Mineração Usiminas</t>
  </si>
  <si>
    <t>Provider of steel mining services. The company's services are engaged in the mining of steel and iron ores in Brazil.</t>
  </si>
  <si>
    <t>102693-70T</t>
  </si>
  <si>
    <t>Mercado Libre Fund, Pedralbes Partners</t>
  </si>
  <si>
    <t>271707-49T</t>
  </si>
  <si>
    <t>Risü</t>
  </si>
  <si>
    <t>Operator of a social business platform intended to enhance online consumption from donations to social institutions. The company's platform connects consumers, stores, and social institutions by transforming part of the value of online shopping into a donation to civic organizations, enabling users to increase the retail shopping experience and connect common values of companies and people.</t>
  </si>
  <si>
    <t>110491-66T</t>
  </si>
  <si>
    <t>Gafisa SA is a Brazilian company that is engaged in the real estate development of residential units on behalf of third parties. It provides civil construction and civil engineering services, develops and implements marketing strategies related to its own and third-party real estate ventures, and invests in other companies that share similar objectives. The company operates in Sao Paulo and its metropolitan area.</t>
  </si>
  <si>
    <t>256587-94T</t>
  </si>
  <si>
    <t>Sociedade Educacional da Paraíba Paraíba</t>
  </si>
  <si>
    <t>Provider of educational services based in João Pessoa, Brazil.</t>
  </si>
  <si>
    <t>110597-32T</t>
  </si>
  <si>
    <t>Esferatur</t>
  </si>
  <si>
    <t>Provider of online air ticket services to customers in Brazil. The company's activities include booking, searching and issuing air line tickets, travel assistance and hotels, enabling customers to enjoy their vacations.</t>
  </si>
  <si>
    <t>CVC Brasil Operadora e Agencia de Viagens (BVMF: CVCB3)(Luiz Correa)</t>
  </si>
  <si>
    <t>110424-07T</t>
  </si>
  <si>
    <t>Origin Enterprises(Thomas O'Mahony)</t>
  </si>
  <si>
    <t>110426-05T</t>
  </si>
  <si>
    <t>Fortgreen Commercial Agricola</t>
  </si>
  <si>
    <t>Producer of fertilizers intended to offer to the sector of nutrition and plant physiology, innovative technological services, aiming the result, the quality and the safety of the food, with social responsibility. The company's agriculture nutrition services include the production of technologies for plant nutrition, and the commercialization of products and services, thereby enabling farmers to produce fertile soil.</t>
  </si>
  <si>
    <t>Origin Enterprises</t>
  </si>
  <si>
    <t>128845-72T</t>
  </si>
  <si>
    <t>Auvo</t>
  </si>
  <si>
    <t>Developer of a team management platform designed to integrate the management of internal and external services within an organization. The company's platform utilizes the real-time location of the team to allocate activity to each person and reduces operating costs with route optimization, enabling team leaders to perform automatic check-in and check-out, avoid distractions, and increase agility in customer service.</t>
  </si>
  <si>
    <t>Crescera Capital, Criatec 2(Fernando Silva), Gr8 Ventures(Fernanda Gottardi), Triaxis Capital</t>
  </si>
  <si>
    <t>128849-59T</t>
  </si>
  <si>
    <t>Spume</t>
  </si>
  <si>
    <t>Developer of a big data platform designed to transform data into knowledgeable insights. The company's platform provides the prediction of future events using the relationship between statistical data and the humanities as well as real-time monitoring of rumors, risk analysis by segment, player comparison, analysis and historical perception trends internal and external base, enabling businesses to get insights, curate and classify content, using artificial intelligence, deep learning and machine learning.</t>
  </si>
  <si>
    <t>Crescera Capital(Rodrigo Comazzetto), Criatec 2(Rodrigo Comazzetto), Triaxis Capital</t>
  </si>
  <si>
    <t>122224-78T</t>
  </si>
  <si>
    <t>138541-78T</t>
  </si>
  <si>
    <t>133178-23T</t>
  </si>
  <si>
    <t>110301-85T</t>
  </si>
  <si>
    <t>Fremax</t>
  </si>
  <si>
    <t>Manufacturer of automotive parts focused on replacement braking products for automotive original equipment manufacturers and the aftermarket. The company offers automotive brake components including discs, pads, and drums passenger cars and commercial vehicles.</t>
  </si>
  <si>
    <t>Fras-le (BVMF: FRAS3)(Sérgio Carvalho)</t>
  </si>
  <si>
    <t>109362-88T</t>
  </si>
  <si>
    <t>Cemig Telecomunicações</t>
  </si>
  <si>
    <t>Provider of telecommunication services catering to businesses and governments. The company specializes in internet connectivity, fiber optic access, cloud connection and anti-virus solutions.</t>
  </si>
  <si>
    <t>Algar Telecom, American Tower (NYS: AMT)</t>
  </si>
  <si>
    <t>224807-86T</t>
  </si>
  <si>
    <t>Kinea High Yield Cri Fundo Investimento Imobiliario FII is a real estate trust.</t>
  </si>
  <si>
    <t>155452-42T</t>
  </si>
  <si>
    <t>220980-61T</t>
  </si>
  <si>
    <t>110082-88T</t>
  </si>
  <si>
    <t>Contratanet</t>
  </si>
  <si>
    <t>Operator of an integrated network of career portals for jobs and internships based in Brazil. The company's offerings include connecting higher education institutions, companies, candidates and portal partners to bring together opportunities and professionals, enabling clients to make an effective, fair and easy selection process.</t>
  </si>
  <si>
    <t>H.I.G. Capital(Keval Patel), Symplicity(Matthew Small)</t>
  </si>
  <si>
    <t>133178-95T</t>
  </si>
  <si>
    <t>224573-68T</t>
  </si>
  <si>
    <t>Pedidos Ya (Brazil Assets)</t>
  </si>
  <si>
    <t>Developer of a delivery platform designed to provide online food delivery service. The company's services include searching and discovering restaurants and ordering food delivery from restaurants across Latin America, thereby enabling users to buy foods online through the platform and get them delivered.</t>
  </si>
  <si>
    <t>137280-52T</t>
  </si>
  <si>
    <t>Carlos de Moura(Carlos de Moura), G2 Capital, Smart Money Ventures</t>
  </si>
  <si>
    <t>100376-92T</t>
  </si>
  <si>
    <t>Advent International(Patrice Etlin)</t>
  </si>
  <si>
    <t>175761-73T</t>
  </si>
  <si>
    <t>Endeavor Global, Grão (São Paulo), Provence Partners</t>
  </si>
  <si>
    <t>115448-23T</t>
  </si>
  <si>
    <t>Lava é Leva</t>
  </si>
  <si>
    <t>Operator of a chain of laundry and dry cleaning franchises based in Brazil. The company provides services like washing, dry cleaning and ironing services, following the process of sanitization and cleaning through subscription plans for families with two, three or more, thereby providing all kinds of laundry services for customers under one roof.</t>
  </si>
  <si>
    <t>Jeff (Business/Productivity Software)(Eloi Gomez Cal)</t>
  </si>
  <si>
    <t>115540-12T</t>
  </si>
  <si>
    <t>Provider of financial services intended to offer business financing options and rates. The company gives accounts receivables, integrated payment methods, and credit facilities, and provides flexibility in funding from and for small and medium-sized companies at a discounted price, enabling customers to get a simple, fast, and secure portal to make their payments and connect large companies with their suppliers and retailers.</t>
  </si>
  <si>
    <t>109888-93T</t>
  </si>
  <si>
    <t>183219-31T</t>
  </si>
  <si>
    <t>Rapiddo Online</t>
  </si>
  <si>
    <t>Operator of a food delivery platform intended to supply items ordered based in Brazil. The company's platform offers an online application for the delivery of food items from nearby restaurants and hotels, in addition, it offers tracking of food orders and delivery on the same date, thereby enabling its customers to avail the platform to get the food and snacks delivered at the comfort of their homes or personal spaces.</t>
  </si>
  <si>
    <t>194461-66T</t>
  </si>
  <si>
    <t>195193-72T</t>
  </si>
  <si>
    <t>115538-14T</t>
  </si>
  <si>
    <t>227528-20T</t>
  </si>
  <si>
    <t>Valora Re Iii Fundo DE Investimento Imobiliario is a closed-end investment company. The fund invests in fixed assets, real estate, and shares.</t>
  </si>
  <si>
    <t>109839-61T</t>
  </si>
  <si>
    <t>Bossa Invest, Kviv Ventures(Raphael Klein), Rise Ventures</t>
  </si>
  <si>
    <t>181491-94T</t>
  </si>
  <si>
    <t>OneGrid</t>
  </si>
  <si>
    <t>Developer of an intelligent Internet of Things (IoT-based) system designed for the management of energy use. The company's system captures a variety of information from managed spaces, including brightness, humidity, temperature, presence, door and window openings, energy consumption, and equipment operating status, enabling clients to increase the efficiency of resources and reduce electricity bills.</t>
  </si>
  <si>
    <t>KPTL, Start You Up Ventures</t>
  </si>
  <si>
    <t>226403-65T</t>
  </si>
  <si>
    <t>RBR Gestao de Recursos (BVMF: RBRP11)</t>
  </si>
  <si>
    <t>RBR Gestão de Recursos Ltda is an asset management company, focused on the real estate market. The company executes investment strategies on Real Estate Development, Income, Mortgage Loans, Listed FIIs and US Investments.</t>
  </si>
  <si>
    <t>223304-95T</t>
  </si>
  <si>
    <t>Patria Renda Urbana (BVMF: HGRU11)</t>
  </si>
  <si>
    <t>Patria Renda Urbana - Fundo De Investimento Imobiliario Resp Ltd formerly Credit Suisse Hedging-Griffo CV SA is engaged in the development of urban real estate projects for institutional and commercial use, that potentially generate income through sale, lease, or rental, prioritizing the acquisition of institutional or commercial real estate projects other than office buildings, shopping malls, or logistics facilities.</t>
  </si>
  <si>
    <t>109650-07T</t>
  </si>
  <si>
    <t>Companhia Energética do Piauí</t>
  </si>
  <si>
    <t>Provider of electrical power distribution services. The company's services include supply of renewable energy to the residential and commercial sectors, enabling them to operate their belongings in proper and easy manner.</t>
  </si>
  <si>
    <t>Equatorial Energia (BVMF: EQTL3)(Augusto Miranda da Paz)</t>
  </si>
  <si>
    <t>109597-06T</t>
  </si>
  <si>
    <t>Dynamo Ventures</t>
  </si>
  <si>
    <t>117502-12T</t>
  </si>
  <si>
    <t>iPlatform Consultoria e Participações</t>
  </si>
  <si>
    <t>Provider of unknown products and unknown services headquartered in Sao Paulo, Brazil.</t>
  </si>
  <si>
    <t>Lindorff Group</t>
  </si>
  <si>
    <t>122943-79T</t>
  </si>
  <si>
    <t>109588-96T</t>
  </si>
  <si>
    <t>A Systems</t>
  </si>
  <si>
    <t>Provider of IT services in Brazil. The company's offerings include flexible and client-specific range of solutions from multi-platform support to turnkey hardware and software installation through their experienced teams of IT solution designers, technicians and consultants, enabling companies to get access to expertise and skills to cover a wide range of IT professional services.</t>
  </si>
  <si>
    <t>Capza, Evernex(Stanislas Pilot), The Carlyle Group (NAS: CG)(Cyril Bourdarot)</t>
  </si>
  <si>
    <t>158497-66T</t>
  </si>
  <si>
    <t>Artemisia, Meta Platforms (NAS: META)</t>
  </si>
  <si>
    <t>112024-99T</t>
  </si>
  <si>
    <t>Aqua (Brazil)</t>
  </si>
  <si>
    <t>Manufacturer of animal healthcare products based in Sao Paulo, Brazil.</t>
  </si>
  <si>
    <t>Aqua Capital(Sebastian Popik)</t>
  </si>
  <si>
    <t>110553-13T</t>
  </si>
  <si>
    <t>110166-22T</t>
  </si>
  <si>
    <t>Lotus Grains &amp; Oilseeds</t>
  </si>
  <si>
    <t>Provider of agricultural commodities trading services in Brazil. The company's products are primarily focused on soybean complex and corn.</t>
  </si>
  <si>
    <t>115541-20T</t>
  </si>
  <si>
    <t>109759-24T</t>
  </si>
  <si>
    <t>Loyall Capital Partners(Rodrigo Vieira)</t>
  </si>
  <si>
    <t>137354-05T</t>
  </si>
  <si>
    <t>Conecta</t>
  </si>
  <si>
    <t>155803-42T</t>
  </si>
  <si>
    <t>Hygo Energy Transition (GPB2)</t>
  </si>
  <si>
    <t>Provider of undisclosed services located in Rio De Janeiro, Brazil.</t>
  </si>
  <si>
    <t>Evolution Power Partners</t>
  </si>
  <si>
    <t>112202-92T</t>
  </si>
  <si>
    <t>Crescera Capital, Criatec 2, Triaxis Capital</t>
  </si>
  <si>
    <t>113332-15T</t>
  </si>
  <si>
    <t>Parallax Ventures(Fabio Dutra)</t>
  </si>
  <si>
    <t>227694-88T</t>
  </si>
  <si>
    <t>Votorantim Securities Master Fundo Investimento Imobiliario FII (BVMF: VOTS11)</t>
  </si>
  <si>
    <t>Votorantim Securities Master Fundo Investimento Imobiliario FII is a real estate fund. The objective of the fund is to provide the shareholders with capital gain and/or profitability through investments in financial assets of real estate origin, such as certificates of receivables real estate, mortgage letters of credit, shares of other investment funds and others.</t>
  </si>
  <si>
    <t>109395-46T</t>
  </si>
  <si>
    <t>Loyalme.</t>
  </si>
  <si>
    <t>Operator of an online coupon marketplace intended to offer discount coupons and cashback for various brands. The company offers discount vouchers that help save money while shopping at large consumer brands, enabling shoppers to access concessions on their bills.</t>
  </si>
  <si>
    <t>2bCapital, Gr8 Ventures, Inovabra Ventures, Tessera Ventures(Guilherme Pacheco)</t>
  </si>
  <si>
    <t>110813-68T</t>
  </si>
  <si>
    <t>MassChallenge</t>
  </si>
  <si>
    <t>110813-14T</t>
  </si>
  <si>
    <t>Bread &amp; Butter Ventures(Brett Brohl), Techstars</t>
  </si>
  <si>
    <t>193237-12T</t>
  </si>
  <si>
    <t>109477-99T</t>
  </si>
  <si>
    <t>Mais Retorno</t>
  </si>
  <si>
    <t>Developer of an investment information platform designed to provide personalized advice to medium and large investors. The company's platform includes features such as a portfolio manager, investment simulator, asset and fund comparators, and customized reporting tools, enabling retail and professional investors to consolidate portfolios, simulate strategies, assess asset performance across categories including stocks, funds, and fixed income, and make data-informed investment decisions using publicly sourced financial data without offering personalized recommendations.</t>
  </si>
  <si>
    <t>114863-32T</t>
  </si>
  <si>
    <t>8VC, Andreessen Horowitz(Alastair Rampell), Canary (Brazil)(Florian Hagenbuch), David Osorno(David Osorno), Endeavor Catalyst, Eric Wu(Eric Wu), FJ Labs, Graph Ventures, Greyhound Capital, Joseph Lonsdale(Joseph Lonsdale), Max Levchin(Max Levchin), Monashees, Rhombuz Ventures, Thrive Capital</t>
  </si>
  <si>
    <t>128834-20T</t>
  </si>
  <si>
    <t>Bidu Corretora de Seguros</t>
  </si>
  <si>
    <t>Provider of an online insurance broker service designed to recommend and compare insurance and financial services. The company offers auto insurance, travel insurance, home insurance, life insurance and health insurance, as well as different financial products such as credit cards, options financing, consortia and loans, thereby enabling users to make appropriate financial decisions throughout their lives through technology and objective and trustworthy content.</t>
  </si>
  <si>
    <t>120002-68T</t>
  </si>
  <si>
    <t>Recicla.Club</t>
  </si>
  <si>
    <t>Developer of a waste management platform designed to help companies reduce costs and waste management issues. The company's platform provides online traceability, generates synthetic and analytical reports, and helps in the management of contracts and legal obligations, enabling clients to increase the rate of recycling and reuse of disposable wastes.</t>
  </si>
  <si>
    <t>72760-51T</t>
  </si>
  <si>
    <t>Meus Preços</t>
  </si>
  <si>
    <t>Developer of a price comparison application to empower society with knowledge and insights. The company's application offers multiple tools, specialized in understanding the consumption and shoppers, and solutions for consumers, companies, universities, and government, enabling users to consult, compare, and save on their shopping in supermarkets and stores.</t>
  </si>
  <si>
    <t>GE32 Capital, Graph Ventures, Hindiana, Leonardo Teixeira</t>
  </si>
  <si>
    <t>108703-54T</t>
  </si>
  <si>
    <t>Promob Software Solutions</t>
  </si>
  <si>
    <t>Developer of software solutions for the furniture industry. The company's services include interior designing, manufacturing and management to make the relationship among user, technology and market more efficient and add value and competitiveness to the work of manufacturers, shopkeepers, carpenters, cabinet markers, architects and interior designers.</t>
  </si>
  <si>
    <t>2020 Technologies(Mark Stoever), Golden Gate Capital(Rishi Chandna)</t>
  </si>
  <si>
    <t>128785-69T</t>
  </si>
  <si>
    <t>Oracle Startup Cloud Accelerator</t>
  </si>
  <si>
    <t>125339-86T</t>
  </si>
  <si>
    <t>Probono</t>
  </si>
  <si>
    <t>Operator of a legal services platform created to connect citizens closer to their rights. The company's platform informs citizens about their right, analyze their case and inform the procedures to be adopted through mobile and email notifications for a minimal percentage of the amount the customer receives from the case if successful, enabling customers to start the court process through online consultation and with minimum necessary documents.</t>
  </si>
  <si>
    <t>137319-40T</t>
  </si>
  <si>
    <t>175882-06T</t>
  </si>
  <si>
    <t>Ebit (Brazil)</t>
  </si>
  <si>
    <t>Developer of an electronic commerce data software intended to serve the market research industry. The company specializes in helping businesses check their recent reputation of online stores and analyze the strengths and weaknesses of each e-commerce trade, thereby providing businesses with the correct data on how the store is serving its consumers and how much their sales have increased through online portals.</t>
  </si>
  <si>
    <t>The Nielsen Company(Ernesto Teixeira)</t>
  </si>
  <si>
    <t>123226-57T</t>
  </si>
  <si>
    <t>108785-26T</t>
  </si>
  <si>
    <t>Astella Investimentos(Laura Constantini), Bossa Invest, CVentures, Spectra Investments</t>
  </si>
  <si>
    <t>119827-90T</t>
  </si>
  <si>
    <t>243525-34T</t>
  </si>
  <si>
    <t>119984-14T</t>
  </si>
  <si>
    <t>Banco BMG (BVMF: BMGB4), BMG Uptech, Bossa Invest</t>
  </si>
  <si>
    <t>119985-22T</t>
  </si>
  <si>
    <t>ComOferta</t>
  </si>
  <si>
    <t>Developer of a promotion-sharing application designed to provide an online channel for the dissemination of offers. The company's platform allows to advertise offers to consumers who can still share these offers on their social networks, with basic information about the product, price, and establishment, enabling retailers to buy and share deals with their network.</t>
  </si>
  <si>
    <t>126519-85T</t>
  </si>
  <si>
    <t>Rio Bravo Investimentos, UBS (Br) Recebiveis (BVMF: UBSR11), VentureOut (US)</t>
  </si>
  <si>
    <t>119992-51T</t>
  </si>
  <si>
    <t>Fina</t>
  </si>
  <si>
    <t>Operator of a business loans platform intended to help small business owners and self-employed professionals secure credit. The company's platform allows SME owners and self-employed professionals to secure business loans through their suppliers who may request an advance on their credits receivable for services rendered or goods delivered, enabling clients to access credit on their goods and services already delivered.</t>
  </si>
  <si>
    <t>BMG Uptech, Bossa Invest, Raja Ventures</t>
  </si>
  <si>
    <t>120018-34T</t>
  </si>
  <si>
    <t>Distrito Ventures(Gustavo Gierun), Fisher Venture Builder, Fred Martins(Fred Martins), Maria Ricciardi(Maria Ricciardi), Parallax Ventures(Fabio Dutra), Roberto Levi(Roberto Levi)</t>
  </si>
  <si>
    <t>158000-05T</t>
  </si>
  <si>
    <t>Capital Lab Ventures, WP Capital</t>
  </si>
  <si>
    <t>243532-99T</t>
  </si>
  <si>
    <t>242024-59T</t>
  </si>
  <si>
    <t>MRV LOG MDI SJC I Incorporações SPE</t>
  </si>
  <si>
    <t>Operator of residential and non-residential properties renting company based in Sao Jose Dos Campos, Brazil.</t>
  </si>
  <si>
    <t>215136-46T</t>
  </si>
  <si>
    <t>Poliservice</t>
  </si>
  <si>
    <t>Provider of private security services focused on protecting Paraná companies and their people. The company services include property security, bank surveillance, personal security, electric monitoring and electronic security, thereby offering preventive and repressive protection.</t>
  </si>
  <si>
    <t>GPS Participacoes E Empreendimentos (BVMF: GGPS3), Gávea Investimentos(Arminio Fraga), Warburg Pincus</t>
  </si>
  <si>
    <t>Security Services (B2B)</t>
  </si>
  <si>
    <t>126025-12T</t>
  </si>
  <si>
    <t>Anjos do Brasil(Leandro Fariello), Forecast Capital Part. Est. Fin.</t>
  </si>
  <si>
    <t>284587-03T</t>
  </si>
  <si>
    <t>StoryMax</t>
  </si>
  <si>
    <t>Operator of a digital platform intended to provide storybooks for children. The company's platform publishes universal books complete with original texts, animation, sound effects, interaction, and updated content about the main themes in Portuguese, English, and Spanish, enabling children to experience an attractive and engaging way of reading stories.</t>
  </si>
  <si>
    <t>172745-74T</t>
  </si>
  <si>
    <t>TeamCulture</t>
  </si>
  <si>
    <t>Operator of an engagement platform intended to enhance people management, and employees and measure the level of quality of their corporate actions. The company's platform provides a tool suitable for companies that want to modernize their people management and enhance the opinion and satisfaction levels of their employees, enabling organizations to measure the culture and behaviors of the company or team in real-time.</t>
  </si>
  <si>
    <t>218142-46T</t>
  </si>
  <si>
    <t>XP Industrial FII (BVMF: XPIN11)</t>
  </si>
  <si>
    <t>Xp Industrial Fundo Investimento Imobiliario, formerly XP Industrial Fundo de Investimento Imobiliario is a real estate investment trust. Its objective is to offer profitability to its shareholders through the distribution of income generated with the real estate exploration of warehouses industrial assets held by the fund.</t>
  </si>
  <si>
    <t>176343-76T</t>
  </si>
  <si>
    <t>Brazil Venture Capital, KPTL, Wayra</t>
  </si>
  <si>
    <t>115628-95T</t>
  </si>
  <si>
    <t>BIG Festival</t>
  </si>
  <si>
    <t>110075-32T</t>
  </si>
  <si>
    <t>BTG Pactual (BVMF: BPAC3), Canary (Brazil)</t>
  </si>
  <si>
    <t>125610-40T</t>
  </si>
  <si>
    <t>Billion Run</t>
  </si>
  <si>
    <t>Developer of a gaming platform intended to create the first financial fantasy game. The company offers a web and application-based platform to virtually invest in a financial market simulator and guessing the results of real-world events, enabling customers to put together an investment portfolio with real stock quotes and win prizes.</t>
  </si>
  <si>
    <t>Telefonica Brasil (BVMF: VIVT3), Wayra</t>
  </si>
  <si>
    <t>113568-31T</t>
  </si>
  <si>
    <t>Loop Brasil</t>
  </si>
  <si>
    <t>Provider of vehicle sales intermediation services catering to shopkeepers, corporations and consumers. The company offers vehicle removal, inspection, advertisement, negotiation, transfer, documentation, financing, insurance, logistics, receipt and payment, thereby helping clients sell, exchange or buy a car with total security and convenience.</t>
  </si>
  <si>
    <t>WebMotors(Claudia Woods)</t>
  </si>
  <si>
    <t>119996-83T</t>
  </si>
  <si>
    <t>119999-44T</t>
  </si>
  <si>
    <t>NavalPort</t>
  </si>
  <si>
    <t>Developer of a waterway management platform designed to monitor a ship fleet. The company's platform uses an automatic identification system and vessel traffic service technology, in addition to the mooring with the use of laser, and provides real-time situational awareness of the status of the stages, enabling the port community to mitigate the risk of accidents and reduce operating costs.</t>
  </si>
  <si>
    <t>120004-57T</t>
  </si>
  <si>
    <t>BMG Uptech(Rodolfo Santos), Bossa Invest</t>
  </si>
  <si>
    <t>120007-27T</t>
  </si>
  <si>
    <t>108164-26T</t>
  </si>
  <si>
    <t>109668-34T</t>
  </si>
  <si>
    <t>127509-76T</t>
  </si>
  <si>
    <t>111186-82T</t>
  </si>
  <si>
    <t>108051-13T</t>
  </si>
  <si>
    <t>SH2</t>
  </si>
  <si>
    <t>Provider of insurance services. The company's services include automotive insurance, equity insurance and other related services.</t>
  </si>
  <si>
    <t>Mapfre (MAD: MAP)</t>
  </si>
  <si>
    <t>113756-41T</t>
  </si>
  <si>
    <t>VerBem Optics</t>
  </si>
  <si>
    <t>Provider of optical products intended to offer affordable glasses. The company's products include degree glasses with steel models, incredible strength and affordable valuers, sunglasses and other related products, enabling customers to purchase low-cost, high-quality glasses as an alternative to the optical market</t>
  </si>
  <si>
    <t>107977-69T</t>
  </si>
  <si>
    <t>Cachoeira Paulista Transmissão de Energia</t>
  </si>
  <si>
    <t>Provider of power transmission services in Brazil. The company's services include implementation, construction, operation and maintenance of transmission facilities, including administrative services, provision of equipment and spare parts, programming, measurements and other complementary services necessary for the transmission of electric energy.</t>
  </si>
  <si>
    <t>Celeo Redes Chile</t>
  </si>
  <si>
    <t>109079-47T</t>
  </si>
  <si>
    <t>DCG Soluções Para Venda Digital</t>
  </si>
  <si>
    <t>Operator of a SaaS-based e-commerce platform based in Sao Paulo, Brazil. The company's spectrum of services includes designing, building, monitoring, and product listing along with marketing and promotion of online stores, enabling small and middle-sized enterprises to take full advantage of their online presence and boost sales.</t>
  </si>
  <si>
    <t>98565-40T</t>
  </si>
  <si>
    <t>Itambé Alimentos</t>
  </si>
  <si>
    <t>Producer of dairy products based in Belo Horizonte, Brazil. The company's food products include fermented milky beverage, milk compound, milk sweet, powdered milk, milk cream, butter, cream cheese and other milk products.</t>
  </si>
  <si>
    <t>107978-32T</t>
  </si>
  <si>
    <t>Jauru Transmissora de Energia</t>
  </si>
  <si>
    <t>Provider of public service concession transmission. The company's services are provided through the deployment, construction and maintenance of transmission facilities, provision of equipment and reservation.</t>
  </si>
  <si>
    <t>108110-08T</t>
  </si>
  <si>
    <t>122939-47T</t>
  </si>
  <si>
    <t>Housed</t>
  </si>
  <si>
    <t>Provider of interior decoration services, intended to offer novel decorative wallpapers for customers. The company's decorative wallpapers are prepared from a cellulose-based wallcovering with a vinyl finish suitable for a wide variety of interior wall applications like hotels, malls, hospitals, businesses, offices, and yachts, enabling customers to turn a dull area into a fun and vibrant place.</t>
  </si>
  <si>
    <t>123103-99T</t>
  </si>
  <si>
    <t>108069-49T</t>
  </si>
  <si>
    <t>SpecLab</t>
  </si>
  <si>
    <t>Developer of an analysis platform designed to optimize complex analytical processes in a scalable and sustainable way. The company's platform offers analytical technologies and equipment that uses special sensors to measure infrared radiations, and collects the data from the equipment to analyze and provide results, enabling companies to determine the nutritional, chemical, physical, and biological properties of raw materials and products.</t>
  </si>
  <si>
    <t>SP Ventures(Francisco Jardim)</t>
  </si>
  <si>
    <t>265442-23T</t>
  </si>
  <si>
    <t>110611-27T</t>
  </si>
  <si>
    <t>110073-25T</t>
  </si>
  <si>
    <t>Canary (Brazil), Renato Freitas(Renato Freitas)</t>
  </si>
  <si>
    <t>105180-40T</t>
  </si>
  <si>
    <t>125744-05T</t>
  </si>
  <si>
    <t>113743-72T</t>
  </si>
  <si>
    <t>Plug CRM</t>
  </si>
  <si>
    <t>Developer of CRM (customer relationship management) system for SME's (small and medium enterprises), startups, communications, media, and other industries. The company's software automates business processes, create automatic alerts, assist in tracking each trades to identify most likely to close deals, facilitates the management of customer informations, increases personal organizations, have a complete view of the customer and its dealings, helping companies to manage sales on real-time, generate relevant information to increase turnover and create strategies to sell more.</t>
  </si>
  <si>
    <t>127511-83T</t>
  </si>
  <si>
    <t>110811-97T</t>
  </si>
  <si>
    <t>Syntonic(Gary Greenbaum)</t>
  </si>
  <si>
    <t>244071-19T</t>
  </si>
  <si>
    <t>Atiaia Energia</t>
  </si>
  <si>
    <t>Owner and operator of an energy and power management firm intended to offer clean renewable energy resources and hydro powered electricity. The company's services include power generation, power plant operations, electricity production, marketing and distribution, renewable energy production, filtering and energy conservation, enabling businesses and domestic customers to avail a cheaper alternative to coal-based energy, thereby adhering to environmental standards.</t>
  </si>
  <si>
    <t>China International Water &amp; Electric Corp.</t>
  </si>
  <si>
    <t>107532-10T</t>
  </si>
  <si>
    <t>109526-23T</t>
  </si>
  <si>
    <t>Logmais</t>
  </si>
  <si>
    <t>Provider of banking correspondent services intended to offer agility, convenience and security to the population. The company's services include deposits, charges, specialized collection, receiving bills, selling loans, payroll loans, collection services and credit and loan facilitation.</t>
  </si>
  <si>
    <t>Prosegur Compañia de Seguridad (MAD: PSG)</t>
  </si>
  <si>
    <t>107498-71T</t>
  </si>
  <si>
    <t>BrPhotonics</t>
  </si>
  <si>
    <t>Developer of high-speed optical communication systems intended to be used for advanced high-speed optoelectronic devices and digital microelectronics for small form factor integrated transceivers and subsystems. The company's systems help in producing and providing devices for optical communications and integrated transceiver components, enabling related companies to do information streaming over communication networks</t>
  </si>
  <si>
    <t>Lightwave Logic (NAS: LWLG)(Michael Lebby)</t>
  </si>
  <si>
    <t>110211-22T</t>
  </si>
  <si>
    <t>Companhia de Saneamento do Norte</t>
  </si>
  <si>
    <t>Operator of a holding company in Brazil. The company is primarily engaged in waste management and sanitation services.</t>
  </si>
  <si>
    <t>Aegea Saneamento e Participações(Hamilton Amadeo), GIC Private(Lim Hock Tay), IFC Asset Management Company</t>
  </si>
  <si>
    <t>104045-77T</t>
  </si>
  <si>
    <t>Enel Distribuição</t>
  </si>
  <si>
    <t>Operator of an electric utility company based in Sao Paulo, Brazil. The company offers distribution of electric energy.</t>
  </si>
  <si>
    <t>Enel (Electric Utilities) (MIL: ENEL)(Francesco Starace)</t>
  </si>
  <si>
    <t>255497-77T</t>
  </si>
  <si>
    <t>Rb Capital Tfo Situs (BVMF: RBTS11)</t>
  </si>
  <si>
    <t>193528-45T</t>
  </si>
  <si>
    <t>Wabbi Software</t>
  </si>
  <si>
    <t>Developer of online accounting and financial management software based in Sao Paulo, Brazil. The company offers services including fiscal management, payment options, statements, reports, dashboards as well as a human resource portal, thereby enabling cost reduction for clients.</t>
  </si>
  <si>
    <t>Conta Azul</t>
  </si>
  <si>
    <t>210985-66T</t>
  </si>
  <si>
    <t>123110-20T</t>
  </si>
  <si>
    <t>Wiimove</t>
  </si>
  <si>
    <t>Developer of a multimodal ride application designed to promote safe and simple rides among company employees. The company's application uses private and public mobility and is integrated into any route, whether routine or occasional by hitchhiking, car, taxi, bicycle, public transportation, or charter to get to the destination feasibly, enabling users to relocate employees between units, optimize transportation lines, parking lots and asset utilization.</t>
  </si>
  <si>
    <t>BMG Uptech, Conecta</t>
  </si>
  <si>
    <t>126298-90T</t>
  </si>
  <si>
    <t>Blue Coast Capital, Vinci Compass Investments (NAS: VINP)</t>
  </si>
  <si>
    <t>107412-49T</t>
  </si>
  <si>
    <t>Dracena PV Plants</t>
  </si>
  <si>
    <t>Portfolio of three solar projects. The photovoltaic (PV) plants have a combined capacity of 90 megawatts and are located in Sao Paulo, Brazil.</t>
  </si>
  <si>
    <t>Bpifrance, Salvepar, Total Eren</t>
  </si>
  <si>
    <t>224283-25T</t>
  </si>
  <si>
    <t>Network Partners (São Paulo)</t>
  </si>
  <si>
    <t>Operator of an exchange boutique intended for foreign exchange transactions. The company specializes in tourism exchange, repatriation and resources from abroad as well as exchange for import, export and international shipments, thereby enabling clients to carry out operations quickly and uncomplicatedly.</t>
  </si>
  <si>
    <t>113740-12T</t>
  </si>
  <si>
    <t>122638-33T</t>
  </si>
  <si>
    <t>Advanced Ideas Mobility</t>
  </si>
  <si>
    <t>Developer of a geolocalized platform designed to provide digital tools that help in revolutionizing social encounters. The company's platform connects commuters to their transportation and provides a digital ecosystem for the transportation and logistics market, enabling travelers to get a digital transportation experience.</t>
  </si>
  <si>
    <t>119981-62T</t>
  </si>
  <si>
    <t>Nota Registrada</t>
  </si>
  <si>
    <t>Developer of a financial platform intended to simplify all the processes of the production chain. The company's platform leverages artificial intelligence (AI), internet-of-things (IoTs) and blockchain technologies to reconcile real-time financial, tax and logistics transactions, enabling clients to create a direct and collaborative relationship with investors.</t>
  </si>
  <si>
    <t>110562-67T</t>
  </si>
  <si>
    <t>Paris&amp;Co</t>
  </si>
  <si>
    <t>115570-72T</t>
  </si>
  <si>
    <t>209209-60T</t>
  </si>
  <si>
    <t>FIP Astra</t>
  </si>
  <si>
    <t>125485-21T</t>
  </si>
  <si>
    <t>Bzplan(Marcelo Amorim), FIR Capital, Invisto(Marcelo Amorim)</t>
  </si>
  <si>
    <t>107898-31T</t>
  </si>
  <si>
    <t>Lady Driver</t>
  </si>
  <si>
    <t>Operator of a ride-sharing platform intended to serve female drivers. The company's platform connects flyers to female drivers and seeks to bring safety and comfort to the passengers, balancing gender equality in the industry, enabling users to reach their destination with peace of mind, and for female drivers to earn a living and be financially independent.</t>
  </si>
  <si>
    <t>134671-96T</t>
  </si>
  <si>
    <t>Oracle Startup Cloud Accelerator(Reggie Bradford)</t>
  </si>
  <si>
    <t>119995-12T</t>
  </si>
  <si>
    <t>Kcollector</t>
  </si>
  <si>
    <t>Developer of a database software designed to manage information for inventory. The company's software helps retailers and companies that deal with stocks, documents, and processes controlled by bar codes to economize and gain efficiency by replacing old and expensive manual data collectors, enabling clients to improve the automation and productivity of their business.</t>
  </si>
  <si>
    <t>108662-05T</t>
  </si>
  <si>
    <t>107066-08T</t>
  </si>
  <si>
    <t>Kaszek(Nicolas Berman), QED Investors(Bill Cilluffo), Redpoint eventures(Manoel Lemos)</t>
  </si>
  <si>
    <t>284419-63T</t>
  </si>
  <si>
    <t>Ottertechs</t>
  </si>
  <si>
    <t>Developer of onboard systems and software designed to provide technological support The company specializes in the developing complex systems, simulations, and tests.design, and delivers onboard systems and software solutions for clients in the aerospace and Internet of Things (IoT) industries.</t>
  </si>
  <si>
    <t>228684-70T</t>
  </si>
  <si>
    <t>XP Log FII (BVMF: XPLG11)</t>
  </si>
  <si>
    <t>XP Log Fundo de Investimento Imobiliario is a real estate investment trust. Its objective is to obtain income, by investing at least two thirds of the shareholders' equity, directly or indirectly, in commercial exploitation of enterprises mainly in the logistics or industrial area, by means of the lease of any real rights over real estate, however, may seek capital gain, through the purchase and sale of real estate, quotas and or shares of special purpose companies that hold real rights over properties. Additionally, on a complementary basis, the Fund may make investments in other financial assets.</t>
  </si>
  <si>
    <t>139299-67T</t>
  </si>
  <si>
    <t>The Accelerator Centre</t>
  </si>
  <si>
    <t>132806-53T</t>
  </si>
  <si>
    <t>Conecta Servicos</t>
  </si>
  <si>
    <t>Provider of insurance agency services based in Sao Paulo, Brazil. The company offers various mobile insurance policies, enabling its customers to protect their mobile phones.</t>
  </si>
  <si>
    <t>Itochu (TKS: 8001)</t>
  </si>
  <si>
    <t>73504-99T</t>
  </si>
  <si>
    <t>TPG (NAS: TPG)(David Bonderman)</t>
  </si>
  <si>
    <t>114385-69T</t>
  </si>
  <si>
    <t>Group Iguaçu</t>
  </si>
  <si>
    <t>Provider of undisclosed products and services.</t>
  </si>
  <si>
    <t>100789-03T</t>
  </si>
  <si>
    <t>Reliance Group</t>
  </si>
  <si>
    <t>Provider of wealth management and investment consulting services. The company's activities include managing investment portfolios of high and ultra-high net worth individuals as well as resource allocation, enabling clients to have their assets managed.</t>
  </si>
  <si>
    <t>Julius Baer Group (SWX: BAER)(Beatriz Sanchez)</t>
  </si>
  <si>
    <t>265339-09T</t>
  </si>
  <si>
    <t>TechHR</t>
  </si>
  <si>
    <t>178412-23T</t>
  </si>
  <si>
    <t>AceitaFacil Pagamentos</t>
  </si>
  <si>
    <t>Provider of an online payment management platform. The company designs and develops a platform enabling merchants to manage their online financial payments.</t>
  </si>
  <si>
    <t>119982-43T</t>
  </si>
  <si>
    <t>119982-88T</t>
  </si>
  <si>
    <t>284440-78T</t>
  </si>
  <si>
    <t>Polo Meccatronica</t>
  </si>
  <si>
    <t>196172-11T</t>
  </si>
  <si>
    <t>195216-85T</t>
  </si>
  <si>
    <t>119995-66T</t>
  </si>
  <si>
    <t>213463-00T</t>
  </si>
  <si>
    <t>Cassio Greco(Cassio Greco), Paulo Silveira(Paulo Silveira), Rodrigo Dantas(Rodrigo Dantas)</t>
  </si>
  <si>
    <t>115639-03T</t>
  </si>
  <si>
    <t>199810-63T</t>
  </si>
  <si>
    <t>119989-72T</t>
  </si>
  <si>
    <t>123041-71T</t>
  </si>
  <si>
    <t>117048-79T</t>
  </si>
  <si>
    <t>110492-38T</t>
  </si>
  <si>
    <t>127525-33T</t>
  </si>
  <si>
    <t>120006-73T</t>
  </si>
  <si>
    <t>Termoweb</t>
  </si>
  <si>
    <t>Provider of temperature scanners and software intended for monitoring temperatures and thermal traceability. The company's technology is used to electronically manage and automate temperature and humidity records in the diverse types of environments and has applications in various areas, such as health food, industry, retail, or even any other segment where thermal control can ensure the quality of inputs, enabling clients to implement immediate corrective and preventive actions and eliminate manual processes in turn providing agility, reliability and security in the information collected.</t>
  </si>
  <si>
    <t>120010-15T</t>
  </si>
  <si>
    <t>Xmultas</t>
  </si>
  <si>
    <t>Operator of an automated online platform intended to control and manage fines, drivers, CNHs and vehicle charges. The company's application is integrated and it seeks advance information on fines, CNHs and vehicular debts in various traffic agencies, concentrate on a single intelligent system, all public data available, enabling users to save traffic tickets, to spend less time on paperwork and to increase fleet safety.</t>
  </si>
  <si>
    <t>222863-05T</t>
  </si>
  <si>
    <t>BTG Pactual Credito Imobiliario (BVMF: BTCI11)</t>
  </si>
  <si>
    <t>BTG Pactual Credito Imobiliario is a real estate fund in the high-grade real estate credit segment. It stands out for the active management of its portfolio, with the primary objective of investing in real estate receivables certificates that offer investors the best return in relation to the risk of operations.</t>
  </si>
  <si>
    <t>121221-28T</t>
  </si>
  <si>
    <t>A.B.Seed Ventures, Barrah Investimentos, Headline, Redpoint eventures(Rodrigo Baer)</t>
  </si>
  <si>
    <t>107890-39T</t>
  </si>
  <si>
    <t>120001-24T</t>
  </si>
  <si>
    <t>138713-05T</t>
  </si>
  <si>
    <t>274353-49T</t>
  </si>
  <si>
    <t>108070-03T</t>
  </si>
  <si>
    <t>158971-24T</t>
  </si>
  <si>
    <t>Start Path(Amy Neale)</t>
  </si>
  <si>
    <t>264271-87T</t>
  </si>
  <si>
    <t>116348-23T</t>
  </si>
  <si>
    <t>Opus Cosméticos</t>
  </si>
  <si>
    <t>Manufacturer of cosmetic products in Brazil. The company's products include feminine hygiene washes, shampoos, makeup wipes, insect repellents and nursing pads as well as baby wipes and powder, providing women and babies with products made from active ingredients with natural extracts which ensure efficacy with softness and safety.</t>
  </si>
  <si>
    <t>Cless Comércio de Cosméticos(Luiz Piccoli), One Equity Partners(Carlo Padovano)</t>
  </si>
  <si>
    <t>123107-23T</t>
  </si>
  <si>
    <t>122948-56T</t>
  </si>
  <si>
    <t>Triunfei</t>
  </si>
  <si>
    <t>Developer of a search and comparison engine designed to compare the costs and features of a wide variety of financial products. The company's search and comparison engine provide access to a deep supply of financial product and prices, enabling users to make informed decisions by personalizing their search.</t>
  </si>
  <si>
    <t>106565-59T</t>
  </si>
  <si>
    <t>Cold Tech Systems</t>
  </si>
  <si>
    <t>Manufacturer and distributor of temperature control packaging systems. The company engages in manufacturing and distributing temperature control packaging systems which minimize temperature excursions in all types of shipping lanes and offers a standardized cold chain application, enabling pharmaceutical clients reliable temperature protection systems at a competitive price.</t>
  </si>
  <si>
    <t>Great Point Partners(Adam Dolder), Softbox Systems(Wayne Langlois)</t>
  </si>
  <si>
    <t>166845-79T</t>
  </si>
  <si>
    <t>100836-10T</t>
  </si>
  <si>
    <t>Indústria de Produtos Alimentícios Piraquê</t>
  </si>
  <si>
    <t>Producer of food products. The company's food products include biscuits, cookies, wafers, pasta, and potato snacks, enabling customers to avail quality food products of their choice under one roof.</t>
  </si>
  <si>
    <t>115535-80T</t>
  </si>
  <si>
    <t>118575-01T</t>
  </si>
  <si>
    <t>120807-55T</t>
  </si>
  <si>
    <t>Delivery Center</t>
  </si>
  <si>
    <t>Provider of online delivery services based in Sao Paulo, Brazil. The company offers food services, convenience items and gifts via online delivery.</t>
  </si>
  <si>
    <t>113865-94T</t>
  </si>
  <si>
    <t>Probiotica Laboratorios</t>
  </si>
  <si>
    <t>Producer of food supplements and sports nutritional products catering to the athletes. The company's products include amino acids, protein bars, creatine capsules, whey protein shakes, energy bars and tank tops and shakers.</t>
  </si>
  <si>
    <t>94741-75T</t>
  </si>
  <si>
    <t>Centroflora Nutra</t>
  </si>
  <si>
    <t>Manufacturer of food products. The company's food products are into various products including botanical extracts and dehydrated fruits for the food, beverage and consumer goods sectors and offer different types of plant extracts from various regions of the world.</t>
  </si>
  <si>
    <t>Givaudan (SWX: GIVN)(Gilles Andrier)</t>
  </si>
  <si>
    <t>132191-38T</t>
  </si>
  <si>
    <t>124183-90T</t>
  </si>
  <si>
    <t>195469-48T</t>
  </si>
  <si>
    <t>156770-56T</t>
  </si>
  <si>
    <t>GIC Private(Arjun Khullar)</t>
  </si>
  <si>
    <t>138957-04T</t>
  </si>
  <si>
    <t>110403-82T</t>
  </si>
  <si>
    <t>Hariken</t>
  </si>
  <si>
    <t>DDeveloper of a predictive analytics platform designed to manage universal data in one place. The company's tool features email marketing, programmatic media, and social advertising by comparing data from a variety of websites across the internet, enabling clients to capture, segment, and export data to multiple tools, targeting audiences with distinct effectiveness.</t>
  </si>
  <si>
    <t>CVentures, Fundo Primus, Jorge Soares(Jorge Soares), TM3 Capital</t>
  </si>
  <si>
    <t>292638-61T</t>
  </si>
  <si>
    <t>109050-85T</t>
  </si>
  <si>
    <t>Renova Energia (Alto Sertao III)</t>
  </si>
  <si>
    <t>Wind power complex in Brazil. The complex has a 433-megawatt and 288-megawatt wind power plant as well as 1.1-gigawatt of other wind generation assets under development.</t>
  </si>
  <si>
    <t>110072-44T</t>
  </si>
  <si>
    <t>105579-46T</t>
  </si>
  <si>
    <t>257370-76T</t>
  </si>
  <si>
    <t>Logbee</t>
  </si>
  <si>
    <t>Developer of a last-mile delivery management platform designed to connect local couriers with physical stores and e-commerce. The company allows businesses to offer same-day deliveries at competitive prices by leveraging a network of local drivers and efficient route planning, enabling businesses to compete with larger online retailers while providing customers with the convenience of fast and affordable delivery options.</t>
  </si>
  <si>
    <t>111653-74T</t>
  </si>
  <si>
    <t>Bzplan, FIR Capital</t>
  </si>
  <si>
    <t>109098-91T</t>
  </si>
  <si>
    <t>Intergado</t>
  </si>
  <si>
    <t>Developer of an integrated herd management platform designed to generate accurate data on livestock. The company's platform collects animal data from electronic troughs, weighing scales, and feeder systems to closely and accurately monitor the level of fattening, weight gain, and development of the animals which is needed to identify the best time to conduct slaughter, enabling cattle ranchers to execute a better use of resources and increase profits by obtaining animal health assessment.</t>
  </si>
  <si>
    <t>105403-51T</t>
  </si>
  <si>
    <t>Alexander Proudfoot Serviços Empresariais</t>
  </si>
  <si>
    <t>Provider of consulting services in Brazil. The company's business services include supply chain management, strategy, customer experience planning, sales force management, program management and human resources consulting, provided to medical, pharmaceutical, agribusiness, transportation, construction, energy, mining, chemicals, distribution and logistics businesses.</t>
  </si>
  <si>
    <t>214783-21T</t>
  </si>
  <si>
    <t>Eternit (BVMF: ETER3)</t>
  </si>
  <si>
    <t>119613-52T</t>
  </si>
  <si>
    <t>iFactory Solutions</t>
  </si>
  <si>
    <t>Provider of IT services headquartered in Fortaleza, Brazil. The company provides application management, software factory, local and remote support, infra architecture, cloud management and outsourcing solutions, delivering work on digital transformation and customer experience management projects, as well as offering technical and consulting services.</t>
  </si>
  <si>
    <t>OSF Digital</t>
  </si>
  <si>
    <t>186077-53T</t>
  </si>
  <si>
    <t>Rock World</t>
  </si>
  <si>
    <t>Provider of large-scale music festivals designed to offer immersive entertainment experiences. The company organizes multi-day events featuring diverse musical performances, cultural activities, and sustainability initiatives, enabling global audiences to engage in a comprehensive celebration of music and culture.</t>
  </si>
  <si>
    <t>Live Nation Entertainment (NYS: LYV)</t>
  </si>
  <si>
    <t>92121-67T</t>
  </si>
  <si>
    <t>93576-16T</t>
  </si>
  <si>
    <t>FJ Labs, FORS Capital(Patrick Cannell), Icon Holding Company, International Finance (Washington D.C.)(Stevon Darling), MercadoLibre (NAS: MELI), Monashees, Qualcomm Ventures(Carlos Kokron), Tekton Ventures, UPS Ventures</t>
  </si>
  <si>
    <t>105315-67T</t>
  </si>
  <si>
    <t>Distrito Ventures, DOMO.VC, Flourish Ventures, Monashees(Marcelo Lima), Omidyar Network(Pierre Omidyar), Propel Venture Partners(Jay Reinemann), Quona Capital(Jonathan Whittle), Tera Capital (Stouffville), Yellow Ventures, Yellowwoods Capital Holdings</t>
  </si>
  <si>
    <t>168032-80T</t>
  </si>
  <si>
    <t>97569-82T</t>
  </si>
  <si>
    <t>Canary (Brazil), Kaszek, Spectra Investments</t>
  </si>
  <si>
    <t>126023-86T</t>
  </si>
  <si>
    <t>119834-65T</t>
  </si>
  <si>
    <t>Lightrock, Stratus (Investor)(Alberto Camões)</t>
  </si>
  <si>
    <t>102840-13T</t>
  </si>
  <si>
    <t>Indicator Capital</t>
  </si>
  <si>
    <t>125980-93T</t>
  </si>
  <si>
    <t>125339-68T</t>
  </si>
  <si>
    <t>Ubicity (Business/Productivity Software)</t>
  </si>
  <si>
    <t>Developer of a data intelligence-based platform designed to improve the competitiveness of businesses. The company's products use Big Data, Machine Learning, and Analytics technologies to turn any email or phone into a complete profile of the customer with a score, consumption potential, schooling, profession, salary, past analysis, and social networks, enabling entrepreneurs to enrich the information on individuals.</t>
  </si>
  <si>
    <t>125279-29T</t>
  </si>
  <si>
    <t>Bilo Soluções Tecnológicas</t>
  </si>
  <si>
    <t>Developer of a digital sales management platform designed to optimize consumer engagement services for live events. The company's platform offers advertising and selling tickets of events, promotes and activates consumption as well as engage the public to find and buy the items of the event by mobile, enabling the user to help increase the number of transactions and the average consumption of their events.</t>
  </si>
  <si>
    <t>224108-11T</t>
  </si>
  <si>
    <t>Fundo Investimento Imobiliario Hospital Unimed SUL Capixaba (BVMF: HUSC11)</t>
  </si>
  <si>
    <t>Fundo Investimento Imobiliario Hospital Unimed SUL Capixaba is a real estate investment fund of the ANBIMA development type for passive income management of other segments. Its investments are intended for investments in hospital real estate projects.</t>
  </si>
  <si>
    <t>256727-35T</t>
  </si>
  <si>
    <t>Midtown Participacoes</t>
  </si>
  <si>
    <t>Producer of food products based in Sao Paulo, Brazil.</t>
  </si>
  <si>
    <t>125272-00T</t>
  </si>
  <si>
    <t>OiAna</t>
  </si>
  <si>
    <t>Developer of a digital assistant application platform designed to improve the relationship between professionals and clients. The company's artificial intelligence-based platform acts as a CRM and relationship manager in the areas of service history, relationship marketing, content, and customer feedback, enabling professionals to take more control of their care, increase their productivity, and improve the way they relate to their clients.</t>
  </si>
  <si>
    <t>126508-96T</t>
  </si>
  <si>
    <t>Professor Global</t>
  </si>
  <si>
    <t>Operator of an online educational platform intended to offer science courses. The company's platform offers a learning marketplace for exact sciences, based on online formulas simulation, and offers courses and projects, enabling people to learn online and increase their knowledge.</t>
  </si>
  <si>
    <t>99134-29T</t>
  </si>
  <si>
    <t>Margaux Red Capital</t>
  </si>
  <si>
    <t>99134-65T</t>
  </si>
  <si>
    <t>103479-85T</t>
  </si>
  <si>
    <t>Strider (Electronic Equipment and Instruments)</t>
  </si>
  <si>
    <t>Developer of a cloud-based agriculture software designed to help farmers to track rainfall and monitor crop health. The company's software offers a geo-based big-data engine that reduces the usage of pesticides based on actionable information and data aggregation, enabling farmers to improve farm management by optimizing decisions around pest management, making agricultural management more efficient and assertive.</t>
  </si>
  <si>
    <t>106645-06T</t>
  </si>
  <si>
    <t>TriCiclos</t>
  </si>
  <si>
    <t>Developer of a regional recycling technology designed to strengthen the circular economy through waste recycling. The company's technology offers the design of a material or product and contemplates all the stages of production, consumption, and disposal of waste, enabling companies to maintain environmental, social, and economic impact awareness, making sustainability contagious, and avoiding the contamination of the environment.</t>
  </si>
  <si>
    <t>FCP Innovacion SP, FIS Ameris, William McDonough(William McDonough)</t>
  </si>
  <si>
    <t>118337-23T</t>
  </si>
  <si>
    <t>Bertelsmann(Marc Puskaric)</t>
  </si>
  <si>
    <t>121516-03T</t>
  </si>
  <si>
    <t>Atmos Capital Gestao de Recursos, Squadra Investimentos</t>
  </si>
  <si>
    <t>224502-49T</t>
  </si>
  <si>
    <t>Instituto de Educação Superior do Vale do Parnaíba</t>
  </si>
  <si>
    <t>Operator of an educational institute intended for higher studies. The company offers a range of graduate courses of medical sciences with different specializations, enabling students with the practical and theoretical knowledge required for job markets.</t>
  </si>
  <si>
    <t>302210-29T</t>
  </si>
  <si>
    <t>127801-54T</t>
  </si>
  <si>
    <t>By Door Tecnologia Para Residencials e Empreendimentos</t>
  </si>
  <si>
    <t>Developer of condominium management software catering to property managers, residents and administrators. The company offers financial management and service spaces as reserves and records to easily communicate with employees and residents, automate processes and track condo finances, track utility usage and manage condo security.</t>
  </si>
  <si>
    <t>Lalubema(Rodrigo Mascarenhas)</t>
  </si>
  <si>
    <t>105737-05T</t>
  </si>
  <si>
    <t>Café Manaus</t>
  </si>
  <si>
    <t>Distributor of roasted and ground coffee. The company's product and services includes coffee roasting, packaging rental and sales of espresso machines and distribution of gourmet, intense and smooth coffees with coffee, milk, traditional cappuccino and chocolate cappuccino flavors.</t>
  </si>
  <si>
    <t>193384-36T</t>
  </si>
  <si>
    <t>140766-94T</t>
  </si>
  <si>
    <t>Vetor AG</t>
  </si>
  <si>
    <t>114586-57T</t>
  </si>
  <si>
    <t>Aqua Capital(Antonio Zem), Spectra Investments</t>
  </si>
  <si>
    <t>115630-39T</t>
  </si>
  <si>
    <t>224108-38T</t>
  </si>
  <si>
    <t>Fundo Investimento Imobiliario Votorantim Logistica (BVMF: VTLT11)</t>
  </si>
  <si>
    <t>Fundo Investimento Imobiliario Votorantim Logistica is a real estate fund. The objective of the Fund is to provide shareholders with income monthly through the leasing of logistical properties.</t>
  </si>
  <si>
    <t>253898-92T</t>
  </si>
  <si>
    <t>Leccaros</t>
  </si>
  <si>
    <t>Operator of a non-operational company intended to hold real estate assets.</t>
  </si>
  <si>
    <t>Lara Central de Tratamento de Resíduos</t>
  </si>
  <si>
    <t>258994-00T</t>
  </si>
  <si>
    <t>BChem Solutions</t>
  </si>
  <si>
    <t>Operator of an energy company intended to offer mobile plants. The company's plants are equipped with an ultrasound reactor, capable of producing biodiesel with quality from low-quality waste oils, enabling clients to perform adequate disposal of the oil with reduced costs in disposal logistics and energy generation from environmentally friendly fuel.</t>
  </si>
  <si>
    <t>129756-25T</t>
  </si>
  <si>
    <t>Pic Nic</t>
  </si>
  <si>
    <t>Producer of milk products based in Tapejara, Brazil. The company specializes in producing firm and grated mozzarella and butter.</t>
  </si>
  <si>
    <t>Leprino Foods</t>
  </si>
  <si>
    <t>117177-13T</t>
  </si>
  <si>
    <t>Estatística Segura</t>
  </si>
  <si>
    <t>Developer of data analysis software designed to provide predictive analysis services. The company's platform allows users to address the entire statistical analysis process including planning, data collection, analysis and reporting as well as discovering patterns and trends in structured and unstructured data, enabling companies to transform data into information and information into business.</t>
  </si>
  <si>
    <t>Stefanini Scala(José Pires)</t>
  </si>
  <si>
    <t>108161-11T</t>
  </si>
  <si>
    <t>Laticínios São João</t>
  </si>
  <si>
    <t>Producer of dairy-based products focused on the commercialization of agro-industrial products, seeking growth and sustainable development. The company's automated industrial facilities produce a broad range of high-quality milk products, enabling clients to receive products with maximum efficiency throughout the production chain as per their requirements.</t>
  </si>
  <si>
    <t>Aqua Capital(Fabio Medeiros), Spectra Investments</t>
  </si>
  <si>
    <t>106810-93T</t>
  </si>
  <si>
    <t>5xmais, SP Ventures(Alexandre Stephan)</t>
  </si>
  <si>
    <t>101542-06T</t>
  </si>
  <si>
    <t>KYB-Mando do Brasil</t>
  </si>
  <si>
    <t>Manufacturer of shock absorbers. Th company's shock absorbers provides absorbers for light and heavy automobile, motorcycle markets, as well as rail, aeronautic, and shipping markets, enabling automobile industry to get quality absorbers at affordable cost.</t>
  </si>
  <si>
    <t>KYB (TKS: 7242)(Yasusuke Nakajima)</t>
  </si>
  <si>
    <t>104391-19T</t>
  </si>
  <si>
    <t>THINC.</t>
  </si>
  <si>
    <t>Developer of fleet analytics software designed to facilitate intelligent and automated business decisions. The company's software assists clients in monitoring, controlling and evaluating the performance of any business assets with consulting services for customized projects and implementation of outsourced processes, enabling companies to reduce costs and increase the efficiency and security of their businesses.</t>
  </si>
  <si>
    <t>111 Investment Partners, GAA Investments</t>
  </si>
  <si>
    <t>110304-82T</t>
  </si>
  <si>
    <t>FJ Labs, Mindset Ventures, Monashees</t>
  </si>
  <si>
    <t>108019-36T</t>
  </si>
  <si>
    <t>Companhia Brasileira de Lítio</t>
  </si>
  <si>
    <t>Producer and marketer of lithium carbonates in Brazil. The company specializes in exploring and processing lithium compounds by underground mining of pegmatites and transforming it into industrial-grade lithium carbonate and hydroxide in its chemical plant.</t>
  </si>
  <si>
    <t>Companhia de Desenvolvimento Econômico de Minas Gerais</t>
  </si>
  <si>
    <t>104830-66T</t>
  </si>
  <si>
    <t>Alpha Trevo Cars</t>
  </si>
  <si>
    <t>Provider of automotive dealership services in western São Paulo, Brazil.</t>
  </si>
  <si>
    <t>Group 1 Automotive (NYS: GPI)(Earl Hesterberg)</t>
  </si>
  <si>
    <t>126353-71T</t>
  </si>
  <si>
    <t>Fábrica de Bolo Vó Alzira</t>
  </si>
  <si>
    <t>Operator of a chain of cake shops based in Rio de Janeiro, Brazil. The company offers a range of products including cupcakes, pot cakes, and stuffed cakes in honey bread, coconut, chocolate, pineapple, and other flavors, enabling clients to get products at affordable prices.</t>
  </si>
  <si>
    <t>125341-75T</t>
  </si>
  <si>
    <t>125273-08T</t>
  </si>
  <si>
    <t>Start-Up Brasil, WOW Aceleradora de Startups</t>
  </si>
  <si>
    <t>166844-89T</t>
  </si>
  <si>
    <t>251051-14T</t>
  </si>
  <si>
    <t>250886-62T</t>
  </si>
  <si>
    <t>100205-74T</t>
  </si>
  <si>
    <t>Monashees(Marcelo Lima), Redpoint eventures(Anderson Thees), VEF (STO: VEFAB)(Alexis Koumoudos)</t>
  </si>
  <si>
    <t>250964-20T</t>
  </si>
  <si>
    <t>Parafuzo</t>
  </si>
  <si>
    <t>Operator of an online platform intended to connect consumers to trusted home service professionals. The company's platform offers information on technicians, painting, cleaning professionals, electricians, and plumbers, and brings the entire services market online, adding security, transparency, and convenience to maintain clean and organized spaces, enabling customers to book and manage home service professionals at the push of a button.</t>
  </si>
  <si>
    <t>108216-19T</t>
  </si>
  <si>
    <t>A5 Capital Partners, Cedro Capital(Alessandro Machado), FC Partners</t>
  </si>
  <si>
    <t>97390-45T</t>
  </si>
  <si>
    <t>e.bricks Ventures(Guilherme Cervieri), Monashees, Valor Capital Group</t>
  </si>
  <si>
    <t>137277-64T</t>
  </si>
  <si>
    <t>215411-77T</t>
  </si>
  <si>
    <t>Audo</t>
  </si>
  <si>
    <t>Developer of diagnostic imaging software designed to streamline radiology workflows and improve reporting efficiency. The company specializes in developing cloud-based diagnostic imaging software that offers speech-to-text functionality and digital certificate signing, providing healthcare professionals with a cloud-based imaging platform that simplifies IT (Information Technology) infrastructure, enhances diagnostic accuracy, and reduces operational costs.</t>
  </si>
  <si>
    <t>122933-89T</t>
  </si>
  <si>
    <t>113741-74T</t>
  </si>
  <si>
    <t>Taki Pagamentos</t>
  </si>
  <si>
    <t>Provider of payment facilitators intended to free merchants from the traditional means of payment models. The company's payment machines and platform facilitate the receipt of sales and installments with debit and credit cards, enabling manufacturers, intermediaries, retailers, and cardholders to ease of the settlement process.</t>
  </si>
  <si>
    <t>Banco Rendimento</t>
  </si>
  <si>
    <t>110071-27T</t>
  </si>
  <si>
    <t>104243-23T</t>
  </si>
  <si>
    <t>Centro Educacional Leonardo Da Vinci</t>
  </si>
  <si>
    <t>Provider of educational services based in Vitoria, Brazil. The company's services include early childhood education to 3rd grade of high school, music, nutritional education and academic trips, thereby enabling students to gain knowledge and form ethical and moral values</t>
  </si>
  <si>
    <t>Cogna Educação (BVMF: COGN3)(Rodrigo Galindo)</t>
  </si>
  <si>
    <t>114376-51T</t>
  </si>
  <si>
    <t>Circuito Espaço de Cinema</t>
  </si>
  <si>
    <t>Operator of a network of cinemas. The cinema screens movies, advertisements, and promotional content, and they also provide room on rental and organize corporate invitations.</t>
  </si>
  <si>
    <t>Cinemark Holdings (NYS: CNK)</t>
  </si>
  <si>
    <t>113742-64T</t>
  </si>
  <si>
    <t>123098-41T</t>
  </si>
  <si>
    <t>ClimateLaunchpad, Harvard University Endowment, Massachusetts Institute of Technology Endowment</t>
  </si>
  <si>
    <t>216307-90T</t>
  </si>
  <si>
    <t>104032-27T</t>
  </si>
  <si>
    <t>TrustedCompany</t>
  </si>
  <si>
    <t>Provider of an analysis platform for e-commerce business. The company operates an open review community that helps consumers identify trustworthy and reliable online merchants thus empowering them to make smarter buying decisions with over 1000 customers, specialized in collecting and managing customer reviews. It educates and enables companies to get closer to their customers and to leverage the power of word-of-mouth, ultimately leading to an increase in service level and sales.</t>
  </si>
  <si>
    <t>M Capital Partners, Verified Reviews(Olivier Mouillet)</t>
  </si>
  <si>
    <t>97989-22T</t>
  </si>
  <si>
    <t>Cremer (Blumenau)</t>
  </si>
  <si>
    <t>Supplier of healthcare disposable and consumer materials intended for hospital, retail and industrial sectors. The company offers gauze compresses, surgical compresses, plaster bandages, plasters, cotton wool, cloth diapers, equipment and industrial adhesives, supporting clients in providing better hygiene and well-being.</t>
  </si>
  <si>
    <t>110476-72T</t>
  </si>
  <si>
    <t>Único Sistemas E Consultoria</t>
  </si>
  <si>
    <t>Developer of an online marketing platform intended to increase the profitability of its clients. The company's activities include providing and analyzing information on purchasing behavior and customer profiling as well as designing, managing and implementing loyalty programs.</t>
  </si>
  <si>
    <t>103994-29T</t>
  </si>
  <si>
    <t>Class 5 Global, Greyhound Capital, Grishin Robotics, Monashees(Carlo Dapuzzo)</t>
  </si>
  <si>
    <t>130703-77T</t>
  </si>
  <si>
    <t>105919-57T</t>
  </si>
  <si>
    <t>Sagua</t>
  </si>
  <si>
    <t>Operator of a special purpose company created to provide sewage services in the urban area of the municipality located in Greater São Paulo. The company offers efficient and sustainable alternatives to water supply, sewage treatment, distribution systems and environmental management of industrial waste through continuous improvement in technology, innovation and quality.</t>
  </si>
  <si>
    <t>Aegea Saneamento e Participações, GIC Private(Lim Hock Tay)</t>
  </si>
  <si>
    <t>125629-21T</t>
  </si>
  <si>
    <t>103808-53T</t>
  </si>
  <si>
    <t>VEF (STO: VEFAB)(David Nangle), Webrock Ventures (STO: WRV)(Joakim Pops), Zentro Founders</t>
  </si>
  <si>
    <t>103844-53T</t>
  </si>
  <si>
    <t>e.bricks Ventures(Pedro Melzer), Igah Ventures(Camila Sangali), Vox Capital(Daniel Izzo)</t>
  </si>
  <si>
    <t>122932-63T</t>
  </si>
  <si>
    <t>202311-64T</t>
  </si>
  <si>
    <t>125980-03T</t>
  </si>
  <si>
    <t>209327-68T</t>
  </si>
  <si>
    <t>Me Ajuda Limpeza</t>
  </si>
  <si>
    <t>Provider of cleaning services intended to connect clients to qualified day laborers. The company's platform is an informal self-contained cleaning market, automates the scheduling of the service and offers anticipated fee income, enabling customers to get professional cleaning services at ease.</t>
  </si>
  <si>
    <t>115945-12T</t>
  </si>
  <si>
    <t>Reclame AQUI</t>
  </si>
  <si>
    <t>Operator of a consumer complaint website based in Sao Paulo, Brazil. The company's website serves as a survey site and specializes in social business, reviews, customer service and reputation, enabling its users to post complaints about products and services offered by various companies.</t>
  </si>
  <si>
    <t>Bossa Invest, DGF Investimentos, Spectra Investments</t>
  </si>
  <si>
    <t>116327-35T</t>
  </si>
  <si>
    <t>82891-54T</t>
  </si>
  <si>
    <t>Votorantim Siderurgia</t>
  </si>
  <si>
    <t>Manufacturer of long steel and related products based in Sao Paulo, Brazil. The company's product mix consist of rebar, wire, screens, profiles, bars and wire rod used for civil and mechanical construction.</t>
  </si>
  <si>
    <t>ArcelorMittal (AMS: MT)(Jefferson De Paula)</t>
  </si>
  <si>
    <t>112509-73T</t>
  </si>
  <si>
    <t>SVG Ventures(John Hartnett)</t>
  </si>
  <si>
    <t>121638-70T</t>
  </si>
  <si>
    <t>125865-28T</t>
  </si>
  <si>
    <t>Neger Telecom</t>
  </si>
  <si>
    <t>Provider of wireless telecommunication services intended to establish communication in rural areas and remote regions. The company's services include developing communication equipment in rural and remote areas, radiofrequency technologies such as cell phone blockers for prisons, remote area satellite tracking systems, and cellular signal detectors to detect fraud, enabling wireless service providers and users to avail of engineering services.</t>
  </si>
  <si>
    <t>211797-64T</t>
  </si>
  <si>
    <t>Nestle Water (Brazil Unit)</t>
  </si>
  <si>
    <t>Operator of a water supplier retail chain based in Brazil. The company supplies mineral and natural packaged drinking water.</t>
  </si>
  <si>
    <t>87077-71T</t>
  </si>
  <si>
    <t>116193-16T</t>
  </si>
  <si>
    <t>110207-17T</t>
  </si>
  <si>
    <t>97752-70T</t>
  </si>
  <si>
    <t>Ri Happy</t>
  </si>
  <si>
    <t>Operator of a retail e-commerce website primarily focused on toys and games. The company offers toys, sporting goods, stationery items, general merchandise, shoes, clothing apparel and other recreational items for children.</t>
  </si>
  <si>
    <t>89573-41T</t>
  </si>
  <si>
    <t>BABEL Ventures, eGenius Founders</t>
  </si>
  <si>
    <t>190539-91T</t>
  </si>
  <si>
    <t>Tokyo Flight Kitchen Restaurantes</t>
  </si>
  <si>
    <t>Operator of a chain of restaurants located in Sao Paulo, Brazil.</t>
  </si>
  <si>
    <t>103821-22T</t>
  </si>
  <si>
    <t>Latin American Angels Society, NB Capital</t>
  </si>
  <si>
    <t>114664-96T</t>
  </si>
  <si>
    <t>100281-79T</t>
  </si>
  <si>
    <t>RigNet(Steven Pickett)</t>
  </si>
  <si>
    <t>104090-23T</t>
  </si>
  <si>
    <t>Maximal Studio</t>
  </si>
  <si>
    <t>Provider of audio visual media services intended to meet the needs of every media project. The company's audio visual services related to production and post production include video game localization, corporate communication, training courses, marketing and publicity videos, educational projects, e-learning courses, interactive voice response, on-hold messages, voice portals, dubbing, subtitle placement, sound effects and audio recording and editing services for corporate, educational or entertainment media.</t>
  </si>
  <si>
    <t>Keywords Studios(Andrew Day)</t>
  </si>
  <si>
    <t>179515-99T</t>
  </si>
  <si>
    <t>104394-61T</t>
  </si>
  <si>
    <t>126770-95T</t>
  </si>
  <si>
    <t>103680-91T</t>
  </si>
  <si>
    <t>Developer of an online business management platform designed to manage the financials, stocks, and contacts of a company. The company's platform helps micro and small businesses in financial management, sales management, inventory management, invoicing, and billing, enabling entrepreneurs to focus on expanding their businesses and maximizing their profits.</t>
  </si>
  <si>
    <t>Endeavor Catalyst, Tiger Global Management</t>
  </si>
  <si>
    <t>110070-46T</t>
  </si>
  <si>
    <t>Brian Requarth(Brian Requarth), Canary (Brazil), Construtech Ventures, Dennis Wang(Dennis Wang), Dorm Room Fund, Pear (California), Silvio Almeida(Silvio Almeida)</t>
  </si>
  <si>
    <t>107749-36T</t>
  </si>
  <si>
    <t>Leblon Equities, Smart Money Ventures, Spectra Investments, The Next Company</t>
  </si>
  <si>
    <t>110069-83T</t>
  </si>
  <si>
    <t>Astella Investimentos(Edson Rigonatti), Canary (Brazil), FundersClub, Headline, Oyster Ventures, Sophie Liao(Sophie Liao), Spectra Investments, Vicente Conte Neto(Vicente Conte Neto), Vitor Olivier(Vitor Olivier)</t>
  </si>
  <si>
    <t>277640-74T</t>
  </si>
  <si>
    <t>Unitec (Accelerator/Incubator)</t>
  </si>
  <si>
    <t>104704-30T</t>
  </si>
  <si>
    <t>Transeich Armazéns Gerais</t>
  </si>
  <si>
    <t>Provider of cargo storage services in Brazil. The company provides dry cargo storage services through a warehouse located in Rio Grande do Sul.</t>
  </si>
  <si>
    <t>BBM Logística, Stratus (Investor)(Alberto Camões)</t>
  </si>
  <si>
    <t>101847-43T</t>
  </si>
  <si>
    <t>103948-48T</t>
  </si>
  <si>
    <t>Botfy</t>
  </si>
  <si>
    <t>Developer of a cloud-based data sensing and analytics platform designed to provide real-time visibility and smarter operations. The company's platform integrates sensors to capture and transmit data from the operation surroundings, interprets collected data and displays alerts and KPIs on a dashboard for real-time visualization as well as unlocks advanced analytics generating meaningful insights for process optimization, enabling clients to collect data in cargo storage, transportation and supervision operations.</t>
  </si>
  <si>
    <t>103947-49T</t>
  </si>
  <si>
    <t>Brazil Venture Capital(Mitsuru Nakayama), Brink's Security And Transportation Of Valuables</t>
  </si>
  <si>
    <t>122764-06T</t>
  </si>
  <si>
    <t>102979-81T</t>
  </si>
  <si>
    <t>M&amp;G Poliester</t>
  </si>
  <si>
    <t>Producer of resins and polyester fibers based in Sao Paulo, Brazil. The company's fibers are made of polyethylene terephthalate (PET) resins which are developed for packaging and synthetic polyester fibers, enabling the product manufacturing industry to access proper products for the delivery of their goods.</t>
  </si>
  <si>
    <t>103946-77T</t>
  </si>
  <si>
    <t>103949-38T</t>
  </si>
  <si>
    <t>Brink's Security And Transportation Of Valuables, Din4mo Ventures</t>
  </si>
  <si>
    <t>106418-71T</t>
  </si>
  <si>
    <t>e.bricks Ventures(Thiago Maluf), Igah Ventures, Startup Farm</t>
  </si>
  <si>
    <t>102872-71T</t>
  </si>
  <si>
    <t>Decora</t>
  </si>
  <si>
    <t>Developer of an online platform which designs 3D product models and scenarios. The company engages in designing and creating 3D product models and scenarios by using technologies such as computer-generated images with the help of a team of digital artists who import necessary product information in order to create the mode, enabling clients to receive an interactive and personalized service.</t>
  </si>
  <si>
    <t>Bertram Capital(Jeffrey Drazan), CreativeDrive(Myles Peacock)</t>
  </si>
  <si>
    <t>276540-22T</t>
  </si>
  <si>
    <t>Que Chance</t>
  </si>
  <si>
    <t>Provider of educational services intended to create a training school for learning. The company provides a digital platform with gamified learning paths and offers programs for youth skill development, teacher resources, and the implementation of high school curriculums focusing on both soft and hard skills, helping educators and students with personal growth and preparation for future academic and career goals.</t>
  </si>
  <si>
    <t>276682-33T</t>
  </si>
  <si>
    <t>Sementes Brilhantes</t>
  </si>
  <si>
    <t>Operator of an educational technology system intended to provide low-cost education to enhance the development of children. The company offers kits of differentiated materials and toys, integrated training, and interactive manuals, enabling children who are in early childhood to get affordable educational guidance.</t>
  </si>
  <si>
    <t>107516-62T</t>
  </si>
  <si>
    <t>Avalancha Ventures, iFood.com Agencia de Restaurantes Online, Movile(Patrick Hruby)</t>
  </si>
  <si>
    <t>104746-69T</t>
  </si>
  <si>
    <t>242396-11T</t>
  </si>
  <si>
    <t>Cinel Alimentos</t>
  </si>
  <si>
    <t>96646-06T</t>
  </si>
  <si>
    <t>117416-62T</t>
  </si>
  <si>
    <t>Verescence (brazil glass operation)</t>
  </si>
  <si>
    <t>Manufacturer of perfumery and cosmetic product in Sao Paulo, Brasil.</t>
  </si>
  <si>
    <t>Wheaton(Renato Massara)</t>
  </si>
  <si>
    <t>256449-88T</t>
  </si>
  <si>
    <t>Help Franchising Participacoes</t>
  </si>
  <si>
    <t>Provider of financial services based in Cerqueira César, Brazil. The company specializes in payroll loans, personal loans, cards, insurance and other services.</t>
  </si>
  <si>
    <t>224606-98T</t>
  </si>
  <si>
    <t>Iridium Gestao (BVMF: IRDM11)</t>
  </si>
  <si>
    <t>Fundo Investimento Imobiliario Iridium Recebiveis Imobiliarios is a real estate investment fund whose main focus is investment in real estate recieveable certificates.</t>
  </si>
  <si>
    <t>108181-00T</t>
  </si>
  <si>
    <t>Angel Investors, Gear Ventures, Parallax Ventures(Fabio Dutra), Wayra Brazil</t>
  </si>
  <si>
    <t>139170-70T</t>
  </si>
  <si>
    <t>123132-79T</t>
  </si>
  <si>
    <t>BMG Uptech, Bossa Invest, Conecta</t>
  </si>
  <si>
    <t>110067-94T</t>
  </si>
  <si>
    <t>Canary (Brazil), Diego Gomes(Diego Gomes), StaminaVC</t>
  </si>
  <si>
    <t>123132-43T</t>
  </si>
  <si>
    <t>BMG Uptech, Bossa Invest, Conecta, Confederação Nacional do Transporte</t>
  </si>
  <si>
    <t>102783-70T</t>
  </si>
  <si>
    <t>Cluster2GO</t>
  </si>
  <si>
    <t>Developer of a cloud-based digital platform in Brazil. The company engages in connecting businesses with technology in the dynamic market scenarios, thereby enabling clients to manage their operations through various online platforms and infrastructure with the objective of remaining flexible, enhancing competitiveness and adapting to external changes.</t>
  </si>
  <si>
    <t>Locaweb Internet Services (BVMF: LWSA3)(Alexandre Glikas), Silver Lake(Kyle Ryland)</t>
  </si>
  <si>
    <t>99752-68T</t>
  </si>
  <si>
    <t>Bill Burr(Bill Burr), Endeavor Catalyst, Kevin Breay(Kevin Breay), Lee Jacobs, Lhoucine Aderdor(Lhoucine Aderdor), Prateek Gupta(Prateek Gupta), Renato Steinberg(Renato Steinberg), The Invus Group</t>
  </si>
  <si>
    <t>102328-03T</t>
  </si>
  <si>
    <t>113739-67T</t>
  </si>
  <si>
    <t>Getup</t>
  </si>
  <si>
    <t>Developer a cloud-based support and managing service platform intended to offer DevOps support to its clients. The company's service helps businesses to move their application in containers and Kubernetes running in a multi-cloud environment securely and resiliently, enabling businesses to increase their efficiency and reduce costs.</t>
  </si>
  <si>
    <t>110881-81T</t>
  </si>
  <si>
    <t>100% PET</t>
  </si>
  <si>
    <t>Operator of a chain of pet shops based in Sao Paulo, Brazil. The company specializes in offering pet food, accessories, bath and grooming products as well as clinical veterinary services.</t>
  </si>
  <si>
    <t>99362-71T</t>
  </si>
  <si>
    <t>Unidas (Acquired)</t>
  </si>
  <si>
    <t>Provider of vehicle rental and fleet management services. The company operates a fleet of thousands of vehicles considering and offers outsourcing services and corporate fleet rental in retail locations throughout Brazil.</t>
  </si>
  <si>
    <t>Fitpart Capital Partners, Unidas</t>
  </si>
  <si>
    <t>102623-14T</t>
  </si>
  <si>
    <t>Vult Cosmética</t>
  </si>
  <si>
    <t>Manufacturer and retailer of cosmetic products created to transform and value the beauty and well-being of each individual. The company's cosmetic products include facial tonic, creams, facial concealer, facial powder, eye shadows, eye pencils, eyeliners, lipsticks and other related products, enabling the consumers avail sophisticated, accessible and innovative products.</t>
  </si>
  <si>
    <t>102277-45T</t>
  </si>
  <si>
    <t>BSBios Indústria e Comércio de Biodiesel Sul Brasil</t>
  </si>
  <si>
    <t>Manufacturer of biodiesel fuel created to reduce the level of air pollution. The company's biodiesel fuel include oil and oil derived from the renewable sources like vegetable oils and animal fat, enabling individuals and commercial sectors to use environmental friendly and an alternative fuel to ensure sustainable development.</t>
  </si>
  <si>
    <t>224573-77T</t>
  </si>
  <si>
    <t>Inter Construtora e Incorporadora (BVMF: INNC3)</t>
  </si>
  <si>
    <t>Inc Empreendimentos Imobiliarios SA formerly Inter Construtora E Incorporadora SA is a construction company in the area of Minas Gerais. The company operates in the development of medium and large-sized real estate projects focused on housing.</t>
  </si>
  <si>
    <t>98887-15T</t>
  </si>
  <si>
    <t>Rio Novo Gold</t>
  </si>
  <si>
    <t>Rio Novo Gold Inc is engaged in acquisition, exploration, and development of mineral property interests located in Brazil and Colombia. The business operates in two segments that are Exploration of Gold properties in Brazil and Colombia. The primary focus of the company is on the Almas gold project which is located in South America and that project is also the largest project of the company. Other projects of the company are Matupa gold project and Tolda Fria gold project. Largely this company depends on debt for operations.</t>
  </si>
  <si>
    <t>Aura Minerals (TSE: ORA)(Rodrigo Barbosa)</t>
  </si>
  <si>
    <t>266273-29T</t>
  </si>
  <si>
    <t>Dod (Business/Productivity Software)</t>
  </si>
  <si>
    <t>Developer of an analytics platform designed to measure the customer service and sales of a physical store. The company's platform identifies the gender, age, and facial reaction of the consumer to the product and service, enabling retailers to understand the purchase journey and points of withdrawal, as well as the level of team engagement.</t>
  </si>
  <si>
    <t>55162-45T</t>
  </si>
  <si>
    <t>102211-30T</t>
  </si>
  <si>
    <t>Base Partners, Dragoneer Investment Group(Christian Jensen), DST Global(Yuri Milner), Founders Fund, QED Investors(Nigel Morris), Redpoint Ventures, Ribbit Capital(Meyer Malka), Thrive Capital</t>
  </si>
  <si>
    <t>137276-38T</t>
  </si>
  <si>
    <t>Start-Up Brasil, Ventiur</t>
  </si>
  <si>
    <t>216302-05T</t>
  </si>
  <si>
    <t>Sigo Trade</t>
  </si>
  <si>
    <t>166820-59T</t>
  </si>
  <si>
    <t>KPTL(Alexandre Alves)</t>
  </si>
  <si>
    <t>119986-75T</t>
  </si>
  <si>
    <t>Supermenu</t>
  </si>
  <si>
    <t>Operator of a multi-channel sales platform intended to provide restaurants with a customized branded application and ordering site. The company's platform offers features including push notifications, panel control where brands can register or deactivate products at any time, online payment, and real-time updates on the dashboard, enabling brands to have a powerful customer relationship channel.</t>
  </si>
  <si>
    <t>165236-23T</t>
  </si>
  <si>
    <t>104703-76T</t>
  </si>
  <si>
    <t>Transeich Assessoria e Transportes</t>
  </si>
  <si>
    <t>Provider of logistics services in Porto Alegre, Brazil. The company provides interstate and international logistics services such as cargo transport, transport of dangerous goods, shipping services and warehousing services, enabling businesses to attain affordable logistics solutions.</t>
  </si>
  <si>
    <t>278763-67T</t>
  </si>
  <si>
    <t>Valorgás</t>
  </si>
  <si>
    <t>Provider of waste-to-energy solutions across Brazil. The company is focused on landfill gas-to-energy generation and also reduces methane emissions from landfills, which are at least twenty-five times more potential than carbon dioxide and is also a distributed generation solution, leading to a more distributed and efficient electrical load that reduces the need for new investments in transmission lines.</t>
  </si>
  <si>
    <t>GEF Capital Partners(Alexandre Alvim)</t>
  </si>
  <si>
    <t>102253-78T</t>
  </si>
  <si>
    <t>Ventos de Santo Estevao</t>
  </si>
  <si>
    <t>Operator of a renewable energy project holding company based in Maracanau, Brazil. The company develops and operates several renewable energy projects.</t>
  </si>
  <si>
    <t>CPP Investments(James Fasano), Votorantim Energia</t>
  </si>
  <si>
    <t>104597-47T</t>
  </si>
  <si>
    <t>Grubster</t>
  </si>
  <si>
    <t>Provider of a web and mobile-based restaurant search and discovery platform designed to search and review restaurants. The company's platform includes restaurant reviews, ratings, locations, and pictures, enabling users to fetch information about a particular restaurant and reserve a table easily.</t>
  </si>
  <si>
    <t>Chefs Club(Guilherme Mynssen)</t>
  </si>
  <si>
    <t>224373-07T</t>
  </si>
  <si>
    <t>Hedge Top FOFII 3 Fundo (BVMF: HFOF11)</t>
  </si>
  <si>
    <t>Hedge Top Fofii 3 Fundo Investimento Imobiliario is a real estate investment trust. It is engaged in agribusiness and variable income, from the operations of the Hedging-Griffo brokerage firm to the development of the agricultural commodities trading desk and effective participation in the creation of titles such as CPR and CDA / WA.</t>
  </si>
  <si>
    <t>284238-64T</t>
  </si>
  <si>
    <t>102151-90T</t>
  </si>
  <si>
    <t>E-SYS Techologia em Informática</t>
  </si>
  <si>
    <t>Developer of video bingo content created to offer real time gaming experience. The company's video bingo content include online card games that are based on math models, enabling players to blend brains and skills to win.</t>
  </si>
  <si>
    <t>Light &amp; Wonder (NAS: LNW)(Derik Mooberry)</t>
  </si>
  <si>
    <t>85856-23T</t>
  </si>
  <si>
    <t>Renova Energia SA is a Brazilian energy company engaged in the development, implementation and operation of power generation projects from renewable sources -wind, small hydroelectric power plants (PCHs) and solar, and trading of energy and related activities. The company is responsible for prospecting, developing, and implementing projects to generate power. The company has operating segments namely: Wind, Solar, Trading, and Administrative. It derives maximum revenue from Trading segment, which is engaged in energy trading in all its forms and management of the Company's energy purchase and sale contracts.</t>
  </si>
  <si>
    <t>106407-73T</t>
  </si>
  <si>
    <t>Mardam</t>
  </si>
  <si>
    <t>Manufacturer of disposable diapers for infants. The company also offer baby wet wipes, baby sanitary wipes and provides sanitary napkins for adults, enabling customers to wear heavy cotton layered wipes and napkins with comfort and tranquility for babies.</t>
  </si>
  <si>
    <t>Drylock Technologies(Bart Van Malderen)</t>
  </si>
  <si>
    <t>101934-01T</t>
  </si>
  <si>
    <t>Adrien Gautier(Adrien Gautier), David Rowan(David Rowan), DN Capital(Steven Schlenker), Fabrice Grinda, FJ Labs, Hal Bringman(Hal Bringman), International Finance (Washington D.C.)(Andi Dervishi), Lhoucine Aderdor(Lhoucine Aderdor), Martín Varsavsky(Martín Varsavsky), Mihir Nanavati(Mihir Nanavati), Pablo Potente(Pablo Potente), Peter Kellner(Peter Kellner), Peter Livingston(Peter Livingston), Ruben Azrak(Ruben Azrak), Staenberg Venture Partners, TheVentureCity(Laura González-Estéfani), Ventech (Paris)</t>
  </si>
  <si>
    <t>102101-86T</t>
  </si>
  <si>
    <t>Invest Tech, Telefónica Ventures</t>
  </si>
  <si>
    <t>101983-06T</t>
  </si>
  <si>
    <t>AgFunder, TPG Alternative &amp; Renewable Technologies(Roel Collier)</t>
  </si>
  <si>
    <t>191817-10T</t>
  </si>
  <si>
    <t>130902-40T</t>
  </si>
  <si>
    <t>126506-62T</t>
  </si>
  <si>
    <t>ifind</t>
  </si>
  <si>
    <t>Developer of a web application designed to meet with beauty and wellness professionals. The company's services include moon bath, massage, eyebrow design, hair removal and makeup, enabling women to get luminous skin, striking eyes and voluminous eyelashes.</t>
  </si>
  <si>
    <t>110988-55T</t>
  </si>
  <si>
    <t>JPSP Investimentos e Participações</t>
  </si>
  <si>
    <t>Provider of telecommunication service based in Sao Paulo, Brazil.</t>
  </si>
  <si>
    <t>Parthica Participações</t>
  </si>
  <si>
    <t>99742-24T</t>
  </si>
  <si>
    <t>Global Founders Capital, IGNIA Partners(Álvaro Rodríguez), Kaszek(Nicolas Berman), Monashees(Carlo Dapuzzo)</t>
  </si>
  <si>
    <t>126059-41T</t>
  </si>
  <si>
    <t>Canary (Brazil), Fundação Estudar, Mercado Libre Fund, Monashees</t>
  </si>
  <si>
    <t>105741-64T</t>
  </si>
  <si>
    <t>Staples Brasil Comércio de Materiais de Oficina</t>
  </si>
  <si>
    <t>Retailer of online stationery and packed food items. The company provides paper and cartridges products, offices furniture, computer equipment as well as waste bins and bathroom dispensers.</t>
  </si>
  <si>
    <t>BR Supply(Cesar Folle)</t>
  </si>
  <si>
    <t>101734-57T</t>
  </si>
  <si>
    <t>Grup Canápolis</t>
  </si>
  <si>
    <t>Operator of a sugar mill. The company's mill is engaged in plantation of sugarcane and processing of sugar, enabling customers to buy sugar for their consumption purposes.</t>
  </si>
  <si>
    <t>Indofood Agri Resources (SES: 5JS)(Mark Wakeford), J&amp;F Investimentos</t>
  </si>
  <si>
    <t>165985-12T</t>
  </si>
  <si>
    <t>Allgoo</t>
  </si>
  <si>
    <t>Developer of investment management support software designed to offer digital advisory services for financial institutions. The company's platform assists in optimizing the risk-return on investment through quantitative management of securities portfolios using genetic algorithms, enabling financial companies to access digital alternatives to leverage their business swiftly and completely.</t>
  </si>
  <si>
    <t>101653-84T</t>
  </si>
  <si>
    <t>Starboard Restructuring Partners</t>
  </si>
  <si>
    <t>Provider of alternate investment financing services based in Brazil. The company focuses on special situation and distressed investing, advisory services and the provision of interim management, offering bespoke investment remedies for businesses with inefficient capital structures while simultaneously protecting and enhancing value for stakeholders.</t>
  </si>
  <si>
    <t>GP Stakes</t>
  </si>
  <si>
    <t>Apollo Asset Management (NYS: APO)(Trevor Winstead)</t>
  </si>
  <si>
    <t>102487-15T</t>
  </si>
  <si>
    <t>Cimentolit</t>
  </si>
  <si>
    <t>Provider of mortar production services intended to ensure the well-being, comfort and satisfaction of consumers. The company's services include manufacturing mortars, grouts and solutions for bonding floors and coatings enabling construction professionals to get security and reliability and resellers, retailers and distributors to get profitability.</t>
  </si>
  <si>
    <t>Kerakoll(Gian Sghedoni)</t>
  </si>
  <si>
    <t>101531-35T</t>
  </si>
  <si>
    <t>Delmar International Logistica</t>
  </si>
  <si>
    <t>Provider of customs clearance, national and international logistics intended to complete the desired shipping structure of a business. The company's foreign trade services include cargo handling, customs clearance, domestic transport and other related services, enabling the clients to avail customized and personalized goods transportation service as well as cost reduction opportunities.</t>
  </si>
  <si>
    <t>Delmar International(Robert Cutler)</t>
  </si>
  <si>
    <t>100430-11T</t>
  </si>
  <si>
    <t>AmBev (BVMF: ABEV3), Confrapar Administração e Gestão de Recursos(Thiago Domenici de Morais), e.bricks Ventures(Pedro Melzer), FJ Labs, Mercado Libre Fund, Qualcomm Ventures(Carlos Kokron)</t>
  </si>
  <si>
    <t>109016-38T</t>
  </si>
  <si>
    <t>Inbrands</t>
  </si>
  <si>
    <t>Provider of lifestyle and premium clothing brands. The company focuses on the acquisition, development and management of lifestyle and fashion brands, enabling their shareholders to achieve long term financial terms.</t>
  </si>
  <si>
    <t>134687-26T</t>
  </si>
  <si>
    <t>PariPassu Specialized Applications</t>
  </si>
  <si>
    <t>Developer of food supply chain solutions based in Florianopolis, Brazil. The company's solutions for Farm Management, Traceability, Recall and Quality Management, helps the food chain to improve controls, discipline, and results through easy-to-use and cost-effective software and training solutions.</t>
  </si>
  <si>
    <t>Astic Tic Participacoes</t>
  </si>
  <si>
    <t>251163-01T</t>
  </si>
  <si>
    <t>Solidarium</t>
  </si>
  <si>
    <t>Developer of an online marketplace designed to offer handmade products. The company's online marketplace connects designers, artisans, and makers to offer handmade bags, accessories, shoes, and home furnishing among others, enabling customers to find and buy unique handmade products.</t>
  </si>
  <si>
    <t>BlueWhale Investments, Polaris Investimentos, SITAWI, Thiago Gomes(Thiago Gomes)</t>
  </si>
  <si>
    <t>101517-58T</t>
  </si>
  <si>
    <t>Costapacking Indústria e Comércio de Plásticos</t>
  </si>
  <si>
    <t>Manufacturer of injected rigid plastic packaging products. The company's injected rigid plastic packaging products include drops, flip top caps, screw top caps, screw caps, tube caps, tamper evident, safety caps and push caps caps, enabling clients to avail quality packaging materials.</t>
  </si>
  <si>
    <t>210578-32T</t>
  </si>
  <si>
    <t>Bossa Invest, Bzplan(Marcelo Wolowski), FIR Capital</t>
  </si>
  <si>
    <t>101356-75T</t>
  </si>
  <si>
    <t>Faculdade da Serra Gaucha</t>
  </si>
  <si>
    <t>Operator of a university center intended to provide educational services. The company's college provides undergraduate, postgraduate and training programs for marketing, people management and entrepreneurship to students.</t>
  </si>
  <si>
    <t>Cruzeiro do Sul Educacional (BVMF: CSED3), GIC Private</t>
  </si>
  <si>
    <t>93252-07T</t>
  </si>
  <si>
    <t>Nidera Seeds</t>
  </si>
  <si>
    <t>Supplier and breeder of seeds for corn, sunflower, sorghum, soybeans and wheat.</t>
  </si>
  <si>
    <t>Syngenta Crop Protection(Bob Randle)</t>
  </si>
  <si>
    <t>100811-08T</t>
  </si>
  <si>
    <t>Endeavor Catalyst, FTV Capital(Robert Anderson)</t>
  </si>
  <si>
    <t>194845-87T</t>
  </si>
  <si>
    <t>Ana Pessoa(Ana Pessoa), Fundepar, Monashees, Spectra Investments</t>
  </si>
  <si>
    <t>110066-23T</t>
  </si>
  <si>
    <t>101125-99T</t>
  </si>
  <si>
    <t>Dupont Cipatex</t>
  </si>
  <si>
    <t>Producer of nonwovens spunlacing in the interior. The company's nonwovens spunlacing include fabrics for footwear, critical cleaning, personal hygiene, graphic, automotive, construction, chemical, hospital, cosmetic and furniture industries, enabling customers to avail quality products.</t>
  </si>
  <si>
    <t>Fibertex Nonwovens</t>
  </si>
  <si>
    <t>101019-25T</t>
  </si>
  <si>
    <t>Concessionária de Rodovias Minas Gerais Goiás</t>
  </si>
  <si>
    <t>Provider of highway construction services. The company's highway construction services include conservation, maintenance, expansion, and operation of the BR-050 (GO/MG) highway, enabling people to avail smooth and hassle free road trip.</t>
  </si>
  <si>
    <t>EcoRodovias Infraestrutura e Logistica (BVMF: ECOR3)</t>
  </si>
  <si>
    <t>102023-56T</t>
  </si>
  <si>
    <t>Fraldas Capricho</t>
  </si>
  <si>
    <t>Manufacturer and seller of baby care products. The company's baby care products include baby wet wipes, baby sanitary wipes and also provides sanitary napkins for adults, enabling customers to wear heavy cotton layered wipes and napkins with comfort and tranquility for babies.</t>
  </si>
  <si>
    <t>127529-11T</t>
  </si>
  <si>
    <t>Ford Fund Lab</t>
  </si>
  <si>
    <t>207135-28T</t>
  </si>
  <si>
    <t>Joao Zanini, Leonardo Ceron</t>
  </si>
  <si>
    <t>100429-66T</t>
  </si>
  <si>
    <t>140651-11T</t>
  </si>
  <si>
    <t>177095-17T</t>
  </si>
  <si>
    <t>Audsat</t>
  </si>
  <si>
    <t>Developer of credit risk mitigation and agricultural software designed to help the financial ecosystem. The company provides environmental compliance, agile and updated information on a complete platform, analytical intelligence, and data accuracy and also provides rural environmental registration and market data to support their client in agricultural financing in granting credit, enabling clients with the supply of resources and reducing the costs in the agricultural financing ecosystem.</t>
  </si>
  <si>
    <t>111246-58T</t>
  </si>
  <si>
    <t>Biovet</t>
  </si>
  <si>
    <t>Developer and manufacturer of medicinal products and foods for animals. The company offers a variety of veterinary medicines, vaccines, antigens, probiotics, antimicrobials and other related products, enabling veterinarians to have an arsenal available to act in the prevention or treatment of diseases that challenge different segments of creation such as livestock, poultry, swine, aquaculture and companion animals.</t>
  </si>
  <si>
    <t>Vaxxinova(Victor van Solinge)</t>
  </si>
  <si>
    <t>123773-41T</t>
  </si>
  <si>
    <t>95628-43T</t>
  </si>
  <si>
    <t>Companhia de Gas de Sao Paulo Comgas</t>
  </si>
  <si>
    <t>CIA de Gas de Sao Paulo - COMGAS distributes piped natural gas in part of the State of Sao Paulo for consumers in the industrial, residential, commercial, automotive, thermal generation and cogeneration sectors.</t>
  </si>
  <si>
    <t>Cosan (BVMF: CSAN3)(Marcos Lutz)</t>
  </si>
  <si>
    <t>111610-54T</t>
  </si>
  <si>
    <t>Energea do Brasil</t>
  </si>
  <si>
    <t>Operator of solar power plants in Brazil, Africa and the United States. The company offers clean and renewable energy and generates savings in the energy bills of companies and residences, through distributed generation.</t>
  </si>
  <si>
    <t>110560-06T</t>
  </si>
  <si>
    <t>A5 Capital Partners, Cedro Capital</t>
  </si>
  <si>
    <t>158313-88T</t>
  </si>
  <si>
    <t>214183-09T</t>
  </si>
  <si>
    <t>EZ-Security</t>
  </si>
  <si>
    <t>Provider of information security services based in Sao Paulo, Brazil. The company offers a combination of highly specialized professionals guided by methodologies, norms and recognized practices, thereby enabling to the preparation of customized plans for the adequacy and control of Information security risks for the company.</t>
  </si>
  <si>
    <t>110067-58T</t>
  </si>
  <si>
    <t>Andréa Nogueira(Andréa Nogueira), Canary (Brazil)</t>
  </si>
  <si>
    <t>214238-26T</t>
  </si>
  <si>
    <t>90755-11T</t>
  </si>
  <si>
    <t>J&amp;F Investimentos (Power Transmission Lines)</t>
  </si>
  <si>
    <t>A grid of transmission power lines in Brazil. The asset includes 880 kilometer-long (547 miles) electricity transmission lines.</t>
  </si>
  <si>
    <t>102126-61T</t>
  </si>
  <si>
    <t>LC Restaurantes</t>
  </si>
  <si>
    <t>Provider of meal delivery services based in Sao Paulo, Brazil. The company engages in executing and managing food services by standardizing the gastronomic processes and executing them with the help of a team of trained professionals, enabling clients from various companies to receive a nutritious, healthy and diverse diet.</t>
  </si>
  <si>
    <t>GPS Participacoes E Empreendimentos (BVMF: GGPS3), Warburg Pincus</t>
  </si>
  <si>
    <t>155351-71T</t>
  </si>
  <si>
    <t>Nitere</t>
  </si>
  <si>
    <t>Provider of touchscreen products based in Santa Rita do Sapucaí, Brazil. The company offers touchscreen controllers, power supplies, printers, desktop monitors, open frame monitors, NPDV, NSAT, pedestals, touch screen screens and multi-functional terminals.</t>
  </si>
  <si>
    <t>Custom</t>
  </si>
  <si>
    <t>156987-73T</t>
  </si>
  <si>
    <t>Ontrack Software</t>
  </si>
  <si>
    <t>Provider of a customer success software intended to assist businesses to learn about their customers. The company's software builds interactions and measures the results by analyzing customer behavior and maximizes retention through a client-day manager with artificial intelligence, enabling businesses to expand their customer base.</t>
  </si>
  <si>
    <t>117419-05T</t>
  </si>
  <si>
    <t>Oppa</t>
  </si>
  <si>
    <t>Provider of an online platform intended to offer furniture and decorative objects. The company's platform provides a variety of products such as sofas, chairs, armchairs, tables, cabinets, bookcases, desks and beds, thereby helping customers to buy products of their own choice.</t>
  </si>
  <si>
    <t>Meu Móvel de Madeira</t>
  </si>
  <si>
    <t>125978-14T</t>
  </si>
  <si>
    <t>104390-74T</t>
  </si>
  <si>
    <t>Rivendel Tecnologia</t>
  </si>
  <si>
    <t>Provider of cloud computing services. The company offers cloud computing consulting, support and training, cloud migration, devops practices, security implementation &amp; optimization and digital transformation services for mission-critical environments across multiple topologies, enabling clients from multiple sectors to successfully migrate their operations to cloud.</t>
  </si>
  <si>
    <t>Mandic(Mauricio Cascao), Riverwood Capital(Francisco Alvarez-Demalde)</t>
  </si>
  <si>
    <t>137276-74T</t>
  </si>
  <si>
    <t>G2 Capital(Ricardo Carvalho)</t>
  </si>
  <si>
    <t>115998-49T</t>
  </si>
  <si>
    <t>Sullab Diagnósticos</t>
  </si>
  <si>
    <t>Distributor of clinical diagnostic testing equipment and reagents in Porto Alegre, Brazil. The company specializes in clinical diagnostic supplies and equipment for testing as well as scientific advice, preventive and corrective technical assistance used in the food industry, analysis laboratory, and veterinary and academic research.</t>
  </si>
  <si>
    <t>Anacapa Partners, Futaleufu Partners, Meissa Capital, Relay Investments(Sandro Mina)</t>
  </si>
  <si>
    <t>102133-18T</t>
  </si>
  <si>
    <t>The Fifties</t>
  </si>
  <si>
    <t>Operator of a chain of fast-food restaurants intended to offer a retro American experience. The company operates a group of restaurants and diners themed on the 1950s American glamour, specializing in hamburgers, milkshakes and fries, enabling customers to spend time with their family and loved ones.</t>
  </si>
  <si>
    <t>Laco Management</t>
  </si>
  <si>
    <t>210784-06T</t>
  </si>
  <si>
    <t>Baltoro Group</t>
  </si>
  <si>
    <t>124707-52T</t>
  </si>
  <si>
    <t>106188-31T</t>
  </si>
  <si>
    <t>Cileneu Nunes(Cileneu Nunes), CRP Companhia de Participacoes, CVentures</t>
  </si>
  <si>
    <t>126837-28T</t>
  </si>
  <si>
    <t>Embrapa(Cleber Oliveira Soares)</t>
  </si>
  <si>
    <t>123156-55T</t>
  </si>
  <si>
    <t>CV Idexo</t>
  </si>
  <si>
    <t>102265-93T</t>
  </si>
  <si>
    <t>FS Fueling Sustainability</t>
  </si>
  <si>
    <t>Producer of renewable energy and animal nutrition products intended to support a low-carbon future. The company offers grain residues in a closed cycle to produce ethanol and renewable bioenergy as well as corn oil and dried distiller's grains for animal nutrition, thereby contributing to a sustainable future.</t>
  </si>
  <si>
    <t>Summit Agricultural Group(Bruce Rastetter)</t>
  </si>
  <si>
    <t>100676-89T</t>
  </si>
  <si>
    <t>Agrichem Do Brasil</t>
  </si>
  <si>
    <t>Manufacturer of liquid fertilizers intended to serve the agriculture sector in Brazil. The company specializes in plant nutrition and offers products including supplying phosphorus to plants, spraying solutions, natural extracts and organic compounds and macro and micronutrients, thereby helping clients to increase productivity and optimize the use of finite resources.</t>
  </si>
  <si>
    <t>103870-09T</t>
  </si>
  <si>
    <t>Google for Startups(Roy Glasberg)</t>
  </si>
  <si>
    <t>103873-06T</t>
  </si>
  <si>
    <t>103873-69T</t>
  </si>
  <si>
    <t>208288-00T</t>
  </si>
  <si>
    <t>4bears Technologies</t>
  </si>
  <si>
    <t>Developer of software intended for mainframe computers. company offers solutions and services designed to enhance mainframe environments, integrate them with cloud technologies, and ensure responsive technology that aligns with market advancements.</t>
  </si>
  <si>
    <t>ZETALY</t>
  </si>
  <si>
    <t>100761-04T</t>
  </si>
  <si>
    <t>ACS (Brazil)</t>
  </si>
  <si>
    <t>Provider of energy efficiency services. The company's energy efficiency services include remote monitoring of energy consumption, water, temperature and gas monitoring.</t>
  </si>
  <si>
    <t>Engie (PAR: ENGI)</t>
  </si>
  <si>
    <t>112809-25T</t>
  </si>
  <si>
    <t>42K Investimentos, Chromo Invest</t>
  </si>
  <si>
    <t>99265-06T</t>
  </si>
  <si>
    <t>PagSeguro Digital Ltd is a Brazilian-based company that acts as a provider of financial technology solutions focused on Micro-Merchants, Small Companies and Medium-Sized Companies (SMEs), in Brazil. The company provides a range of solutions and tools such as cash-in and cash-out options and provides access to working capital to help to manage its cash flow. It delivers an end-to-end digital ecosystem to address day-to-day financial needs, including receiving and spending funds and managing and growing businesses for clients. The company also offers the Free PagSeguro Digital Account delivering Cash-In Solutions, Online and In-Person Payment Tools, Online Payment Tools; and Web Check Outs offer tokenization, handling of shipping information, and others.</t>
  </si>
  <si>
    <t>110227-51T</t>
  </si>
  <si>
    <t>BW Guirapa</t>
  </si>
  <si>
    <t>Operator of a wind power complex based in Caetite, Brazil. The company's wind farm trades 81MW on average through 7 wind farms.</t>
  </si>
  <si>
    <t>Cia de Ferro Ligas da Bahia (BVMF: FESA3)</t>
  </si>
  <si>
    <t>125980-84T</t>
  </si>
  <si>
    <t>100634-59T</t>
  </si>
  <si>
    <t>100365-85T</t>
  </si>
  <si>
    <t>Novo Mundo Corretora de Cambio</t>
  </si>
  <si>
    <t>Provider of foreign commerce and exchange transactions services. The company offers international payments, foreign exchange, bank notes and MasterCard currency card services in Brazil.</t>
  </si>
  <si>
    <t>Bridgepoint Group (UK) (LON: BPT)(Stephen Green), Moneycorp(Nicholas Haslehurst)</t>
  </si>
  <si>
    <t>125336-71T</t>
  </si>
  <si>
    <t>Cerveja Me Tecnologia</t>
  </si>
  <si>
    <t>Developer of cold beer delivery application designed to connect beer consumers and vendors. The company's platform offers users to order a cold beer and delivery at the best opening hours at home or at a party door based on the location, enabling consumers to drink beer whenever and wherever.</t>
  </si>
  <si>
    <t>92134-36T</t>
  </si>
  <si>
    <t>A.B.Seed Ventures, Canary (Brazil), Diego Gomes(Diego Gomes), Verve Capital</t>
  </si>
  <si>
    <t>125349-04T</t>
  </si>
  <si>
    <t>Meu Rango</t>
  </si>
  <si>
    <t>Developer of a food delivery application designed to serve restaurant. The company's application offers an order management system, provides online menu to the customers sends discount coupons to the customers, enabling restaurant to increase their sales, reduce staff costs to answer phones and provides customers a more convenient way to order.</t>
  </si>
  <si>
    <t>181492-12T</t>
  </si>
  <si>
    <t>Playmove</t>
  </si>
  <si>
    <t>Developer of a digital table designed for educational games for children. The company's table consists of a sturdy and secure interactive table, educational games developed by experts, and an online portal for monitoring students and training teachers, enabling children to have a collective and interactive learning experience.</t>
  </si>
  <si>
    <t>125343-73T</t>
  </si>
  <si>
    <t>Virtual Light</t>
  </si>
  <si>
    <t>Developer of virtual decoration designed for real estate developers to connect with their clients. The company's services include Virtual Reality experiences for the real estate market, producing tailor-made interactive decors to ensure a faithful, unique and immersive experience of the desired environment, innovating the prospecting of the planned, enabling clients to connect to the public in an innovative and unique way.</t>
  </si>
  <si>
    <t>106869-07T</t>
  </si>
  <si>
    <t>Stelo do Bradesco and Banco do Brasil</t>
  </si>
  <si>
    <t>Manufacturer of a payment facilitating machine. The company's machine provide security, simplicity and ease for small retailers, self-employed professionals and individuals who wish to process payments at the point, enabling customers to ease their payment through electronic payment without the physical presence of money.</t>
  </si>
  <si>
    <t>Alianca Pagamentos E Participacoes</t>
  </si>
  <si>
    <t>98393-77T</t>
  </si>
  <si>
    <t>Citratus</t>
  </si>
  <si>
    <t>Manufacturer of fragrance products. The company's fragrance products include fine fragrance, personal care, home care and related ingredientes, enabling the individuals and residential sectors to decorate their homes with proper and adorable fragrance.</t>
  </si>
  <si>
    <t>Symrise (ETR: SY1)(Achim Daub)</t>
  </si>
  <si>
    <t>125338-51T</t>
  </si>
  <si>
    <t>165290-68T</t>
  </si>
  <si>
    <t>Leve Croc</t>
  </si>
  <si>
    <t>Producer and supplier of natural food products based in Piraí do Sul, Brazil. The company produces quality nutritious foods for special diets and products that are gluten-free, milk-free, egg-free and soy-free the company offers also granolas and biscuits developed especially for celiacs, allergic or intolerant to these ingredients and also for people looking for a healthy diet.</t>
  </si>
  <si>
    <t>Protecta (Brazil)</t>
  </si>
  <si>
    <t>98541-82T</t>
  </si>
  <si>
    <t>Amadeus Capital Partners, Endeavor Catalyst, International Finance (Washington D.C.), Kaszek(Nicolas Szekasy), Mouro Capital(Manuel Martinez), Prosus Ventures, QED Investors, Quona Capital(Jonathan Whittle), VEF (STO: VEFAB)(David Nangle)</t>
  </si>
  <si>
    <t>106506-55T</t>
  </si>
  <si>
    <t>Poup Serviços Online</t>
  </si>
  <si>
    <t>Provider of an e-commerce shopping portal intended to offer a wide range of consumer products. The company's portal offers various products across a range of categories, enabling customers to buy products of their choice with cash on delivery, credit or debit card transactions and net banking as payment options.</t>
  </si>
  <si>
    <t>99959-23T</t>
  </si>
  <si>
    <t>Klockner &amp; Company (Brazilian steel distribution arm)</t>
  </si>
  <si>
    <t>Producer and distributor of steel and metal products in Brazil. The company's steel and metal products include long products, flat products, tubes and hollow sections, stainless steel, aluminum sheets and plates, enabling construction and engineering industry to make strong and concrete structures.</t>
  </si>
  <si>
    <t>105951-25T</t>
  </si>
  <si>
    <t>Trevo Lacteos</t>
  </si>
  <si>
    <t>Producer of milk products based in Sete Lagoas, Brazil. The company offers milk products including yogurt, dairy drinks, butter, cottage cheese and petit Suisse sale throughout Minas Gerais, São Paulo, Rio de Janeiro, Espírito Santo, Distrito Federal, Goiás, Bahia, Pernambuco, Paraíba, Sergipe, Alagoas and Rio Grande do Norte.</t>
  </si>
  <si>
    <t>Ehrmann(Christian Ehrmann)</t>
  </si>
  <si>
    <t>114939-55T</t>
  </si>
  <si>
    <t>Beauty Date</t>
  </si>
  <si>
    <t>Operator of an online marketplace designed to offer beauty and salon services to people. The company's marketplace offers a location-based platform and mobile application that helps users to look up and schedule appointments with beauty-service providers in their cities as well as helps service providers to find their customers, enabling users to find the salon of their choice and their desired service provider within their city.</t>
  </si>
  <si>
    <t>99803-62T</t>
  </si>
  <si>
    <t>Abase Comercio e Representacoes</t>
  </si>
  <si>
    <t>Provider of veterinary services intended for care of pets. The company's veterinary services offers orthopedic services, healthcare of puppies and also provides laboratory services like blood test, urine test and blood pressure measurement, enabling clients to maintain a healthy life of their pets.</t>
  </si>
  <si>
    <t>Henry Schein (NAS: HSIC)(Stanley Bergman)</t>
  </si>
  <si>
    <t>139261-60T</t>
  </si>
  <si>
    <t>Canary (Brazil), Fundação Estudar, Yellow Ventures</t>
  </si>
  <si>
    <t>76324-60T</t>
  </si>
  <si>
    <t>Vale Fertilizantes</t>
  </si>
  <si>
    <t>Manufacturer and seller of fertilizers and chemicals based in Sao Paulo, Brazil. The company specializes in nitrogen, phosphorus, and potassium for agribusiness industry; calcium phosphate, sulfur, and micro granular phosphate products for the animal nutrition industry; and basic and intermediary raw materials to mining, water treatment, car-making, and civil construction industries in Brazil.</t>
  </si>
  <si>
    <t>The Mosaic Company (NYS: MOS)(James O'Rourke)</t>
  </si>
  <si>
    <t>99936-28T</t>
  </si>
  <si>
    <t>Yum! Brands (KFC and Pizza Hut restaurants)</t>
  </si>
  <si>
    <t>Operator of Pizza Hut and KFC restaurant chain in Brazil.</t>
  </si>
  <si>
    <t>Sforza Holding</t>
  </si>
  <si>
    <t>224497-54T</t>
  </si>
  <si>
    <t>XP Vista Asset Management</t>
  </si>
  <si>
    <t>Operator of an asset management firm intended to cater to the needs of institutional investors and individuals. The company offers a wide range of investment strategies and equities as well as multimarket, fixed-income and alternative investment funds.</t>
  </si>
  <si>
    <t>Clear Corretora</t>
  </si>
  <si>
    <t>221122-09T</t>
  </si>
  <si>
    <t>103961-08T</t>
  </si>
  <si>
    <t>Fábrica de Papel da Amazônia</t>
  </si>
  <si>
    <t>Manufacturer of handcrafted papers in Brazil. The c company's papers include toilet paper, paper napkins, hygiene paper and baby diapers.</t>
  </si>
  <si>
    <t>140923-36T</t>
  </si>
  <si>
    <t>Mundo do Cabeleireiro</t>
  </si>
  <si>
    <t>Manufacturer of cosmetics products and accessories intended to serve clients across Brazil. The company offers a wide range of skin and hair care products including moisturizers, shampoo, perfumes, nail polishes, hair oils, make-up and hair styling tools.</t>
  </si>
  <si>
    <t>92034-37T</t>
  </si>
  <si>
    <t>99526-15T</t>
  </si>
  <si>
    <t>99</t>
  </si>
  <si>
    <t>Operator of a ride-hailing mobile application intended to connect passengers with local drivers. The company's ride-hailing mobile application helps users to effectively access a convenient network of transportation and book cabs, providing passengers with an avenue to make transportation quick, convenient and hassle-free.</t>
  </si>
  <si>
    <t>DiDi Global (PINX: DIDIY)(Wei Cheng)</t>
  </si>
  <si>
    <t>97668-10T</t>
  </si>
  <si>
    <t>Talge</t>
  </si>
  <si>
    <t>Manufacturer and distributor of food-service and health-related products intended to produce and trade the best and safest products for consumers. The company's foodservice related products include gloves, elastic masks, ice cream sticks, bamboo chopsticks, hamper bags and other related products, thereby enabling clients in the market of disposables and health products to get competitively priced products that can help develop their operations.</t>
  </si>
  <si>
    <t>Bunzl (Distributors/Wholesale) (LON: BNZL)(Frank van Zanten)</t>
  </si>
  <si>
    <t>110142-55T</t>
  </si>
  <si>
    <t>Sauipe</t>
  </si>
  <si>
    <t>Provider of an online travel booking platform based in Mata De Sao Joao, Brazil. The company offers resorts, restaurants and holiday package booking services and also provides corporate and wedding events.</t>
  </si>
  <si>
    <t>Rio Quente Group</t>
  </si>
  <si>
    <t>208531-00T</t>
  </si>
  <si>
    <t>Siteware</t>
  </si>
  <si>
    <t>Developer of strategic management software designed to improve clients' business results and team engagement to achieve their goals. The company's platform allows a great level of detail and control for management teams in small, medium, and large organizations and has structured modules, enabling companies to extract data from different locations and formats and then transform them into indicators and management information, that are used by managers to control their areas, teams, and goals.</t>
  </si>
  <si>
    <t>Crescera Capital, Criatec 2</t>
  </si>
  <si>
    <t>157774-87T</t>
  </si>
  <si>
    <t>Tampaflex (Suas Operations)</t>
  </si>
  <si>
    <t>Manufacturer of lids and closing systems designed to provide correct sealing and tightness with standardization, safety and durability. The company offers products for sectors including solvents and chemicals, food, lubricants, mineral water and wines, cleanliness and hygiene products, thereby providing clients with products that satisfy their customer needs and meet the legal statutory requirements.</t>
  </si>
  <si>
    <t>Bericap Holding</t>
  </si>
  <si>
    <t>215813-26T</t>
  </si>
  <si>
    <t>220044-34T</t>
  </si>
  <si>
    <t>Coplacana</t>
  </si>
  <si>
    <t>137179-36T</t>
  </si>
  <si>
    <t>185206-24T</t>
  </si>
  <si>
    <t>Siguler Guff</t>
  </si>
  <si>
    <t>127513-09T</t>
  </si>
  <si>
    <t>224184-07T</t>
  </si>
  <si>
    <t>Agrize</t>
  </si>
  <si>
    <t>Provider of drone services intended to provide access to digital and precision agriculture technologies with technical and scientific support. The company specializes in drone spraying services and replacing tractors with drones, enabling farmers and producers to reduce water wastage and increase productivity through technology.</t>
  </si>
  <si>
    <t>Spin Capital (Jaraguá do Sul)(Beny Fard)</t>
  </si>
  <si>
    <t>138710-26T</t>
  </si>
  <si>
    <t>258043-87T</t>
  </si>
  <si>
    <t>Alegra (São Paulo)</t>
  </si>
  <si>
    <t>Provider of undisclosed telecommunication service and products.</t>
  </si>
  <si>
    <t>ACON Investments(Andre Bhatia), Conexão Group, Grain Management(David Grain)</t>
  </si>
  <si>
    <t>224213-32T</t>
  </si>
  <si>
    <t>Alice Wonders</t>
  </si>
  <si>
    <t>Developer of a retail technology designed to unite design, technology, and architecture to create digital experiences. The company's proprietary technology is applied to sensors and products to generate data and increase sales in physical stores, enabling brands and retailers with actionable insights and giving them the advantage of collecting data where most cannot which is between the shelf and the cashier.</t>
  </si>
  <si>
    <t>203162-50T</t>
  </si>
  <si>
    <t>Biz Invest(Renato Guimaraes)</t>
  </si>
  <si>
    <t>175733-38T</t>
  </si>
  <si>
    <t>Caravela Capital(Frederico Guesser), Honey Island Capital, Westwood Capital (Brazil)</t>
  </si>
  <si>
    <t>126038-35T</t>
  </si>
  <si>
    <t>Archie (Real Estate Services (B2C))</t>
  </si>
  <si>
    <t>Operator of an online designing platform intended to offer home decoration consultancy services. The company's platform connects customers who want to change their home or office environment with architecture professionals or interior designers to create personalized designs for their houses, enabling consumers to transform their space efficiently.</t>
  </si>
  <si>
    <t>160425-01T</t>
  </si>
  <si>
    <t>Rise Ventures</t>
  </si>
  <si>
    <t>125751-25T</t>
  </si>
  <si>
    <t>254157-49T</t>
  </si>
  <si>
    <t>Besser Partners</t>
  </si>
  <si>
    <t>Operator of an investments and foreign exchange platform intended for individuals and legal entities. The company provides a marketplace of foreign exchange services that allows customers to access several banks using a single platform and consulting services aiming to reduce costs and gain operational efficiency.</t>
  </si>
  <si>
    <t>247216-24T</t>
  </si>
  <si>
    <t>214210-00T</t>
  </si>
  <si>
    <t>Cofina SGPS (Brazilian Operations)</t>
  </si>
  <si>
    <t>Provider of newspaper and magazine publishing services based out of Brazil. The company offers newspaper, graphic printing and magazines, thereby enabling its clients to be provided with quality content in an accessible way.</t>
  </si>
  <si>
    <t>226004-14T</t>
  </si>
  <si>
    <t>Colegio e Curso AZ</t>
  </si>
  <si>
    <t>Operator of the educational institute and educational platform based in Rua Assunção, Brazil. The company offers services for entrance exams and competitive exams like extensive, basic information, academic strategy, PDCA cycle, student support, training pillars, routine, AZ tests, AZ podcast, and AZ platform.</t>
  </si>
  <si>
    <t>204579-37T</t>
  </si>
  <si>
    <t>Colégio Master</t>
  </si>
  <si>
    <t>Provider of educational training based in Cuiabá, Brazil. The company provides early childhood education to pre-university education, thereby training conscientious citizens and guaranteeing access to the language, its history and scientific and social knowledge.</t>
  </si>
  <si>
    <t>208401-04T</t>
  </si>
  <si>
    <t>292208-50T</t>
  </si>
  <si>
    <t>Dágora</t>
  </si>
  <si>
    <t>Developer of an online learning platform intended to provide hybrid courses and an adaptive distance learning system. The company converts traditional content from teachers and institutions into online and in-person materials, enabling students to adopt a new approach to online learning, where all content is made available for access by a large number of people globally.</t>
  </si>
  <si>
    <t>125634-79T</t>
  </si>
  <si>
    <t>Thomson Reuters (TSE: TRI)</t>
  </si>
  <si>
    <t>123081-85T</t>
  </si>
  <si>
    <t>Garan Ventures, HBS Alumni Angels of Brazil</t>
  </si>
  <si>
    <t>247211-56T</t>
  </si>
  <si>
    <t>248772-61T</t>
  </si>
  <si>
    <t>258026-32T</t>
  </si>
  <si>
    <t>Direta</t>
  </si>
  <si>
    <t>124784-20T</t>
  </si>
  <si>
    <t>125613-01T</t>
  </si>
  <si>
    <t>179942-41T</t>
  </si>
  <si>
    <t>Angels for Impact, João Mehl(João Mehl)</t>
  </si>
  <si>
    <t>123355-63T</t>
  </si>
  <si>
    <t>Conecta, Raja Valley</t>
  </si>
  <si>
    <t>174309-85T</t>
  </si>
  <si>
    <t>270474-40T</t>
  </si>
  <si>
    <t>132008-68T</t>
  </si>
  <si>
    <t>100323-19T</t>
  </si>
  <si>
    <t>GDB</t>
  </si>
  <si>
    <t>Developer of a data privacy technology designed to assist in data collection, management, and media activation with privacy and security. The company's platform offers data collection, management, and activation alternatives that permit companies to create a relationship of trust and respect with their users, complying with privacy laws, enabling advertisers, their agencies, and publishers to get assistance with targeted digital advertising campaigns that are cost-effective, has a creative affinity and are compliant with the data laws.</t>
  </si>
  <si>
    <t>Kviv Ventures, WP Capital</t>
  </si>
  <si>
    <t>125374-96T</t>
  </si>
  <si>
    <t>119560-96T</t>
  </si>
  <si>
    <t>Grão de Ouro Agronegócios</t>
  </si>
  <si>
    <t>Provider of agricultural supplies based in Alfenas, Brazil. The company offers fertilizers, crop chemicals, foliar cand seeds and a digital platform for managing soil fertility data, serving a diversified client base of coffee, corn, soybean and bean producers.</t>
  </si>
  <si>
    <t>93140-74T</t>
  </si>
  <si>
    <t>139703-95T</t>
  </si>
  <si>
    <t>Inova Startups, InovAtiva</t>
  </si>
  <si>
    <t>123404-05T</t>
  </si>
  <si>
    <t>Happy Hub Educacional</t>
  </si>
  <si>
    <t>Provider of coding and robotics education intended to promote the growth of practical abilities. The company teaches computer programming, game development, applications, and entrepreneurship to children of a young age, enabling students to develop a range of core competencies in the contemporary world and be better prepared for the challenges of the digital age.</t>
  </si>
  <si>
    <t>292213-90T</t>
  </si>
  <si>
    <t>Hexcuit</t>
  </si>
  <si>
    <t>Manufacturer of wireless charging accessories designed for enhancing smartphone mobility and eliminating dependence on cables. The company's products include a signal-based energy transmitter and a compatible charging case, a protective case, enabling customers to maintain their mobile device power seamlessly throughout the day.</t>
  </si>
  <si>
    <t>262507-42T</t>
  </si>
  <si>
    <t>Hi Technology</t>
  </si>
  <si>
    <t>Provider of learning platform development services intended for the distance education sector. The company partners with brands, athletes, and celebrities to produce content and develop a digital social learning platform, enabling educators to serve learners remotely.</t>
  </si>
  <si>
    <t>Gulf Capital Partners.</t>
  </si>
  <si>
    <t>88305-22T</t>
  </si>
  <si>
    <t>HomeCredi</t>
  </si>
  <si>
    <t>Developer of a real estate financing platform created to explore financing options. The company's platform compares and finds the best possible rates and credit conditions for home borrowers enabling home owners to save time, effort and money on their loans.</t>
  </si>
  <si>
    <t>124794-46T</t>
  </si>
  <si>
    <t>125355-70T</t>
  </si>
  <si>
    <t>174874-87T</t>
  </si>
  <si>
    <t>258591-52T</t>
  </si>
  <si>
    <t>Inove Distribuidora</t>
  </si>
  <si>
    <t>Distributor of pet food and animal supplies based in Serra, Brazil.</t>
  </si>
  <si>
    <t>Aqua Capital(Sebastian Popik), Spectra Investments, VetBR Saúde Animal</t>
  </si>
  <si>
    <t>258026-77T</t>
  </si>
  <si>
    <t>220531-15T</t>
  </si>
  <si>
    <t>248354-92T</t>
  </si>
  <si>
    <t>Instituto Claro</t>
  </si>
  <si>
    <t>127513-45T</t>
  </si>
  <si>
    <t>124168-87T</t>
  </si>
  <si>
    <t>Kaasa</t>
  </si>
  <si>
    <t>Provider of a technology-based platform intended to connect real estate owners with repair and maintenance contractors. The company's platform focuses on maintenance services of real estates by contracting professional service providers, enabling businesses to focus on core activities rather than repairs and maintenance of rental properties.</t>
  </si>
  <si>
    <t>119995-48T</t>
  </si>
  <si>
    <t>Bossa Invest, Lighthouse Invest</t>
  </si>
  <si>
    <t>139329-37T</t>
  </si>
  <si>
    <t>Fifty 5(Gerson Neto), Financiadora de Estudos e Projetos</t>
  </si>
  <si>
    <t>266663-26T</t>
  </si>
  <si>
    <t>Lápis de Noiva</t>
  </si>
  <si>
    <t>Operator of a wedding platform intended to help build a connection between brides and grooms when planning their wedding. The company offers various resources for engaged couples, including real-life stories and tips on wedding planning, decor and attire.</t>
  </si>
  <si>
    <t>iCasei Gifts and Business Intermediation</t>
  </si>
  <si>
    <t>133962-49T</t>
  </si>
  <si>
    <t>263865-52T</t>
  </si>
  <si>
    <t>125341-39T</t>
  </si>
  <si>
    <t>111536-74T</t>
  </si>
  <si>
    <t>Melrisk</t>
  </si>
  <si>
    <t>Provider of identity information certification services intended to ensure the security of a business transaction. The company provides credit institutions with access to verification of purchasers' registration information, enabling businesses to carry out safe and secure transactions for credit card issuance, electronic financing, and account opening.</t>
  </si>
  <si>
    <t>224182-72T</t>
  </si>
  <si>
    <t>MIX reality</t>
  </si>
  <si>
    <t>Developer of an AI-based platform intended to provide experience in augmented reality and virtual reality. The company specializes in creating virtual worlds in AR, VR, MR, and AI, enabling businesses to reach a wider audience with their mixed-reality experiences and to provide their customers with a more engaging and immersive experience.</t>
  </si>
  <si>
    <t>288444-88T</t>
  </si>
  <si>
    <t>Smart Open Lisboa</t>
  </si>
  <si>
    <t>268760-08T</t>
  </si>
  <si>
    <t>Perfumaria 2000</t>
  </si>
  <si>
    <t>Retailer of aromatic personal care products intended to enhance sensory experiences. The company specializes in cosmetics and personal hygiene and offers a diverse range of high-quality fragrances, including exclusive and custom blends, with options for various packaging sizes and designs, enabling retailers to provide unique scent experiences and meet diverse customer preferences with tailored offerings.</t>
  </si>
  <si>
    <t>Kamachi Family(Minoru Kamachi)</t>
  </si>
  <si>
    <t>168005-62T</t>
  </si>
  <si>
    <t>Capital Lab Ventures, SP Ventures(Alexandre Stephan)</t>
  </si>
  <si>
    <t>211602-34T</t>
  </si>
  <si>
    <t>294076-63T</t>
  </si>
  <si>
    <t>177094-54T</t>
  </si>
  <si>
    <t>Por A Mais B</t>
  </si>
  <si>
    <t>Developer of an educational platform designed to bring together education and data science. The company's platform offers strategies to advance learning, leverages learning trajectories, supports decision-making and improves learning potential by humanly translating complex information, enabling educational institutions to organize their educational data.</t>
  </si>
  <si>
    <t>269470-45T</t>
  </si>
  <si>
    <t>180645-13T</t>
  </si>
  <si>
    <t>Spinelli Holding</t>
  </si>
  <si>
    <t>274120-57T</t>
  </si>
  <si>
    <t>Produtora de Ovos Josidith</t>
  </si>
  <si>
    <t>Producer of eggs based in Darcinopolis, Brazil. The company offers chicken eggs, turkey eggs, quail eggs, goose eggs and duck eggs.</t>
  </si>
  <si>
    <t>170846-38T</t>
  </si>
  <si>
    <t>174620-08T</t>
  </si>
  <si>
    <t>213937-12T</t>
  </si>
  <si>
    <t>Bossa Invest, SMU Investimentos</t>
  </si>
  <si>
    <t>292634-38T</t>
  </si>
  <si>
    <t>113830-75T</t>
  </si>
  <si>
    <t>Global Venture Capital, MAR ventures (Brazil)(Alexandre Liuzzi), Marcelo Maisonnave(Marcelo Maisonnave)</t>
  </si>
  <si>
    <t>266762-98T</t>
  </si>
  <si>
    <t>118133-83T</t>
  </si>
  <si>
    <t>108213-49T</t>
  </si>
  <si>
    <t>SaleSIM</t>
  </si>
  <si>
    <t>Provider of a sales management platform intended to develop technologies to increase the efficiency of supervisors. The company's platform is integrated into the sales / ERP / CRM management system to make automated analyzes and pre-scheduled actions, enabling users to analyze commercial team performance reports in reduced time and to give, record and track the effectiveness of the feedback given to the vendor.</t>
  </si>
  <si>
    <t>Acelera Partners</t>
  </si>
  <si>
    <t>171516-34T</t>
  </si>
  <si>
    <t>Astella Investimentos, Canary Ventures, Kaszek</t>
  </si>
  <si>
    <t>175522-87T</t>
  </si>
  <si>
    <t>KPTL(Caio Carvalho)</t>
  </si>
  <si>
    <t>108480-61T</t>
  </si>
  <si>
    <t>Sensorweb</t>
  </si>
  <si>
    <t>Operator of a technology company intended to develop solutions with IoT for the health industry. The company configurable alerts for reliability in the preservation of inputs, automates control and logging via battery-independent sensors, specialized support with extended service hours, preventive, and corrective maintenance with data analysis, and good quality management with data reliability for pulverized environments, enabling clients to reduce losses of supplies and medicines and assist in compliance with accreditations and certifications.</t>
  </si>
  <si>
    <t>CRP Companhia de Participacoes, CVentures, Spectra Investments</t>
  </si>
  <si>
    <t>140101-21T</t>
  </si>
  <si>
    <t>206808-76T</t>
  </si>
  <si>
    <t>215785-63T</t>
  </si>
  <si>
    <t>256958-83T</t>
  </si>
  <si>
    <t>Tecnet (Fortaleza)</t>
  </si>
  <si>
    <t>Provider of hardware and software reselling services intended to bring software assets to companies of all sizes, through consultative sales. The company offers services for companies, governments and educational institutions, enabling its customers to avoid material or immaterial losses.</t>
  </si>
  <si>
    <t>Conexão Group, Grain Management(David Grain)</t>
  </si>
  <si>
    <t>262473-13T</t>
  </si>
  <si>
    <t>ToGarantido</t>
  </si>
  <si>
    <t>Operator of an online digital insurance sales platform intended to provide insurance coverage to uninsured individuals. The company's platform provides PME insurance, motorcycle insurance, and auto insurance, and also offers different integration options to insurers with various levels of customization like chatbot and API, enabling clients to simplify processes and help them offer new products and create revenue opportunities.</t>
  </si>
  <si>
    <t>283234-60T</t>
  </si>
  <si>
    <t>Tovani Benzaquen</t>
  </si>
  <si>
    <t>Distributor of food ingredients intended to offer high-tech ingredients to its customers. The company offers food ingredients through a qualified team, thereby supporting industries during the development of new products.</t>
  </si>
  <si>
    <t>Barentz International</t>
  </si>
  <si>
    <t>123597-91T</t>
  </si>
  <si>
    <t>Tropicalina</t>
  </si>
  <si>
    <t>Operator of an online store intended to provide bags and accessories. The company's bags are made using materials such as acrylic and fake leather, enabling consumers to get access to crocheted bags and accessories at affordable prices.</t>
  </si>
  <si>
    <t>169133-59T</t>
  </si>
  <si>
    <t>Uninovafapi</t>
  </si>
  <si>
    <t>Operator of a university based in Teresina, Brazil. The company offers graduate and postgraduate courses in architecture, biomedicine, fashion design, nursing, civil engineering, dentistry and physiotherapy, enabling students to acquire a globalized and multi-disciplinary view of the particular fields.</t>
  </si>
  <si>
    <t>126467-11T</t>
  </si>
  <si>
    <t>Venda.la</t>
  </si>
  <si>
    <t>Developer and provider of task automation software intended to automate processes and eliminate human errors. The company's software offers automation, centralized management, note issuance, label issue, inventory control, adverts and picking packing, enabling clients to centralize business management and increase productivity.</t>
  </si>
  <si>
    <t>260449-39T</t>
  </si>
  <si>
    <t>Verdureira Agro Indústria</t>
  </si>
  <si>
    <t>Operator of fresh vegetables and salads, designed to offer quick delivery from harvest to shelf within a short time. The company utilizes innovative and sustainable cultivation techniques, such as hydroponics and modified atmosphere packaging, to maintain product freshness and quality, enabling consumers to experience high-quality, eco-friendly food options.</t>
  </si>
  <si>
    <t>243917-38T</t>
  </si>
  <si>
    <t>132151-33T</t>
  </si>
  <si>
    <t>Via Mais Parking</t>
  </si>
  <si>
    <t>Developer of a digital rotary system intended to assist users in finding and paying for parking spaces online. The company's system allows its customers to find, book, and reserve parking vacancies near their destination, enabling municipalities to rent their garages and clients to park their cars in a simplified way.</t>
  </si>
  <si>
    <t>243459-19T</t>
  </si>
  <si>
    <t>169067-26T</t>
  </si>
  <si>
    <t>Eduardo Glitz, Marcelo Maisonnave(Marcelo Maisonnave), Pedro Englert(Pedro Englert)</t>
  </si>
  <si>
    <t>184407-85T</t>
  </si>
  <si>
    <t>Kees Koolen(Kees Koolen)</t>
  </si>
  <si>
    <t>159547-96T</t>
  </si>
  <si>
    <t>EIT Climate-KIC</t>
  </si>
  <si>
    <t>125983-54T</t>
  </si>
  <si>
    <t>Zebra Sportswear</t>
  </si>
  <si>
    <t>Operator of a sportswear company intended to sell comfortable clothes. The company's sportswear is customized and handmade pieces, enabling customers to buy the garments of their own choice.</t>
  </si>
  <si>
    <t>235214-92T</t>
  </si>
  <si>
    <t>ZiliCred</t>
  </si>
  <si>
    <t>Operator of a financial service platform intended to offer low-interest credits. The company's platform offers services such as lines of credit with real estate as collateral, with flexible use, where the client only pays for what they actually use, also credit cards, and digital accounts, enabling customers to get low-interest loans.</t>
  </si>
  <si>
    <t>120010-33T</t>
  </si>
  <si>
    <t>228268-45T</t>
  </si>
  <si>
    <t>Arteche (Electrical Switchgear Business In Brazil)</t>
  </si>
  <si>
    <t>Provider of medium voltage switchgear services intended for the electric power industry.</t>
  </si>
  <si>
    <t>Lucy Group(John Griffiths)</t>
  </si>
  <si>
    <t>209108-17T</t>
  </si>
  <si>
    <t>Livro Facil</t>
  </si>
  <si>
    <t>Operator of an online bookstore intended to serve parents, students and schools. The company offers biographies, study materials, dictionaries and magazines and offers a service that seeks to unite practicality, convenience and efficiency in a single service, facilitating the sale of didactic material, enabling to avail the solution to get books of their choice.</t>
  </si>
  <si>
    <t>86532-85T</t>
  </si>
  <si>
    <t>Rio Galeão Aeroporto Internacional</t>
  </si>
  <si>
    <t>Operator of an airport based in Rio de Janeiro, Brazil. The company engages in transportation of cargo and passengers both within the country and abroad along with providing flight information, cargo handling, container haulage and related services, enabling individuals and enterprises to avail comprehensive transportation and conveyances.</t>
  </si>
  <si>
    <t>Changi Airport, HNA Group(Wang Hexin)</t>
  </si>
  <si>
    <t>99501-31T</t>
  </si>
  <si>
    <t>Algar Telecom</t>
  </si>
  <si>
    <t>Provider of information technology and telecommunication services based in Uberlandia, Brazil. The company specializes in offering services such as internet, telephone connection and network, mobile network, IT security as well as call center services, thereby assisting corporate and retail customers in Brazil.</t>
  </si>
  <si>
    <t>GIC Private(Chow Kiat Lim)</t>
  </si>
  <si>
    <t>107179-21T</t>
  </si>
  <si>
    <t>B1 (Pedro Sirotsky's investment vehicle), Flybridge (New York)(Jeffrey Bussgang), French Partners(Emilie Buttiaux), Paul Esdale(Paul Esdale), Shinichi Nagakura(Shinichi Nagakura)</t>
  </si>
  <si>
    <t>96394-60T</t>
  </si>
  <si>
    <t>Integral Nutrição Animal</t>
  </si>
  <si>
    <t>Producer of animal nutrition products. The company provides good products, services, processes and technical support.</t>
  </si>
  <si>
    <t>Cargill Agricola(Scott Ainslie)</t>
  </si>
  <si>
    <t>189710-20T</t>
  </si>
  <si>
    <t>QuinStreet (NAS: QNST)(Douglas Valenti)</t>
  </si>
  <si>
    <t>227752-93T</t>
  </si>
  <si>
    <t>XP Malls FII (BVMF: XPML11)</t>
  </si>
  <si>
    <t>XP Malls Fundo De Investimento Imobiliario is a real estate investment trust. Its objective is to obtain income through the commercial operation of shopping malls, as well as capital gain through the purchase and sale of properties.</t>
  </si>
  <si>
    <t>246748-06T</t>
  </si>
  <si>
    <t>In Forma</t>
  </si>
  <si>
    <t>Developer of information technology for asset management designed to integrate the management of assets in businesses. The company's technologies favor the systemic view of networks of connected assets, increasing reliability, guaranteeing process traceability, reducing operational risks and regulatory penalties, enabling businesses to reduce operational risks and regulatory penalties, and getting sophisticated information and applications for decision-making.</t>
  </si>
  <si>
    <t>Triaxis Capital</t>
  </si>
  <si>
    <t>302298-67T</t>
  </si>
  <si>
    <t>Verzo</t>
  </si>
  <si>
    <t>Operator of a medication management platform intended to help hospitals improve their financial results. The company's platform automatically checks the validity of records and provides indications of equivalent medications to avoid disallowances and replacement, enabling hospitals to reduce blockages and increase the profitability of medicines and healthcare materials.</t>
  </si>
  <si>
    <t>106656-22T</t>
  </si>
  <si>
    <t>Livraria Cultura(Sergio Herz), Neo Investimentos(Henrique Teixeira Alvares)</t>
  </si>
  <si>
    <t>203681-17T</t>
  </si>
  <si>
    <t>218475-82T</t>
  </si>
  <si>
    <t>Shopping Paralela</t>
  </si>
  <si>
    <t>Operator of a shopping mall and entertainment center located in Salvador, Bahia. The company provides a variety of retail stores, restaurants, and entertainment options including a cinema and fitness center, creating a complete experience for visitors and enhancing community engagement.</t>
  </si>
  <si>
    <t>127258-84T</t>
  </si>
  <si>
    <t>92811-25T</t>
  </si>
  <si>
    <t>Estre Ambiental (PINX: ESTRF)</t>
  </si>
  <si>
    <t>Estre Ambiental Inc waste management company in Brazil which operates in the Southeast, South and Northeast regions of Brazil. It operates its own landfills and is engaged in the final treatment of hazardous wastes, temporary storage of waste, collection and burning of landfill biogas, environmental consulting services, recycling, reverse manufacturing of electrical and electronic devices and waste collection, among others activities. The operations are grouped into four business segments Collection and Cleaning Services; Landfills; Oil and Gas; and Value Recovery. It generates a vast majority of its revenue from the collection and cleaning services segment.</t>
  </si>
  <si>
    <t>Boulevard Acquisition II</t>
  </si>
  <si>
    <t>168126-13T</t>
  </si>
  <si>
    <t>255822-58T</t>
  </si>
  <si>
    <t>Mobicity</t>
  </si>
  <si>
    <t>Developer of a mobility platform intended to provide a convenient, efficient, and cost-effective solution for corporate transportation. The company's platform integrates with telemetry systems to track and manage their fleets, offers route planning utilizing intelligent algorithms to optimize routes based on factors such as distance, time, traffic conditions, and user preferences, and access to a wide range of transportation options, enabling businesses to create efficient, cost-effective, and employee-friendly transportation ecosystem.</t>
  </si>
  <si>
    <t>Artemisia, Ford Fund Lab</t>
  </si>
  <si>
    <t>269508-70T</t>
  </si>
  <si>
    <t>123131-53T</t>
  </si>
  <si>
    <t>Algar Ventures(Clau Sganzerla)</t>
  </si>
  <si>
    <t>262473-76T</t>
  </si>
  <si>
    <t>256569-49T</t>
  </si>
  <si>
    <t>Instituto Camilo Filho</t>
  </si>
  <si>
    <t>Provider of education services based in Belo Horizonte, Brazil.</t>
  </si>
  <si>
    <t>123133-06T</t>
  </si>
  <si>
    <t>Easycarro Servicos De Tecnologia(Fernando Saddi)</t>
  </si>
  <si>
    <t>127868-05T</t>
  </si>
  <si>
    <t>111378-70T</t>
  </si>
  <si>
    <t>MH Power Systems América(Alex Aoki), Vale Azul Energia</t>
  </si>
  <si>
    <t>99503-47T</t>
  </si>
  <si>
    <t>Bremil Indústria De Produtos Alimentícios</t>
  </si>
  <si>
    <t>Supplier of additives and ingredients catering to the food industry. The company's products include proteins, liquid smoke, acidity regulators, dyes and</t>
  </si>
  <si>
    <t>207419-32T</t>
  </si>
  <si>
    <t>Parque das Allamandas</t>
  </si>
  <si>
    <t>Provider of death care services specialized in managing cemeteries. The company focuses on funeral services, inhumations and cremations, thereby aiming at the well-being of families without forgetting the care for the environment.</t>
  </si>
  <si>
    <t>H11 Capital</t>
  </si>
  <si>
    <t>101055-88T</t>
  </si>
  <si>
    <t>Plasticos Novel</t>
  </si>
  <si>
    <t>Manufacturer of reusable plastic containers intended to serve the automotive, food, pharmaceutical and beverage industry. The company is engaged in the design and manufacturing of reusable plastic shipping containers, plastic pallets, crates and totes used for closed-loop shipping and storage.</t>
  </si>
  <si>
    <t>Novel Holdings</t>
  </si>
  <si>
    <t>99017-02T</t>
  </si>
  <si>
    <t>500 Global, Canary (Brazil)</t>
  </si>
  <si>
    <t>96268-87T</t>
  </si>
  <si>
    <t>277452-46T</t>
  </si>
  <si>
    <t>YouTrendz</t>
  </si>
  <si>
    <t>Developer of a platform designed for buying, selling and sharing products and experiences. The company's platform offers a digital showcase for those who make a living from the income from selling products and do not have an online store, enabling clients to increase their income.</t>
  </si>
  <si>
    <t>114069-52T</t>
  </si>
  <si>
    <t>BUG Agentes Biologicos</t>
  </si>
  <si>
    <t>Producer of natural pest-control products intended to offer a natural alternative to harmful agricultural pesticides. The company's pest-control products include eggs of predatory insects and parasitoids that prey on pests, including wasps, earwigs, and Tesourinha instead of harmful chemicals, enabling farmers to protect crops from pests in an eco-friendly and harmless way.</t>
  </si>
  <si>
    <t>Koppert(Peter Koppert)</t>
  </si>
  <si>
    <t>119997-19T</t>
  </si>
  <si>
    <t>211869-10T</t>
  </si>
  <si>
    <t>Agroceres Binova</t>
  </si>
  <si>
    <t>Manufacturer of fertilizers based in Rio Claro, Brazil. The company develops differentiated solutions that are much more suited to the nature and real requirements of plants as well as products with a solid scientific basis, thereby making crops more vigorous, resilient and full of productive power.</t>
  </si>
  <si>
    <t>Agroceres(Marcelo Ribeiral)</t>
  </si>
  <si>
    <t>111653-92T</t>
  </si>
  <si>
    <t>Bzplan(Marcelo Wolowski)</t>
  </si>
  <si>
    <t>140532-31T</t>
  </si>
  <si>
    <t>Rent a Bag</t>
  </si>
  <si>
    <t>Operator of luggage rental firm intended to provide travel bags on rent with an option to buy them if deemed necessary. The company's offerings include suitcases made of polycarbonate fiber from recognized brands in different categories like premium and economical designed especially for transporting wines, enabling travelers to get quality and rigid bags delivered to their homes for their travel purposes without having to buy them.</t>
  </si>
  <si>
    <t>Kick Ventures(Rodrigo Quinalha)</t>
  </si>
  <si>
    <t>225037-63T</t>
  </si>
  <si>
    <t>Patria Malls Fundo de Investimento Imobiliario Responsabilidade Ltd Formerly Malls Brasil Fundo Investimento Imobiliario, formerly Malls Brasil Plural Fundo De Investimento Imobiliario is a Brazalian real estate investment firm. The company is engaged in investing in malls and shopping centres including Maceio Shopping.</t>
  </si>
  <si>
    <t>99537-85T</t>
  </si>
  <si>
    <t>Andrade Soto</t>
  </si>
  <si>
    <t>Provider of cyber-security consultancy services. The company's cyber-security consultancy services include information security, intrusion testing, code analysis, forensic expertise and operational risk management, enabling public and private companies to get personalized information security services.</t>
  </si>
  <si>
    <t>Agility Networks Tecnologia(Carlos Teixeira)</t>
  </si>
  <si>
    <t>89330-50T</t>
  </si>
  <si>
    <t>Mercosul Line Navegacao e Logistica</t>
  </si>
  <si>
    <t>Provider of transportation of containerized cargo intended to serve the ports of Brazil, Argentina and Uruguay. The company offers transportation of containerized cargo include cabotage services, containers transportation and integrated logistics services, thereby enabling customers to transport cargo from the road to the sea, door-to-door transport ensuring cargo integrity and security.</t>
  </si>
  <si>
    <t>CMA CGM</t>
  </si>
  <si>
    <t>102094-57T</t>
  </si>
  <si>
    <t>Puket</t>
  </si>
  <si>
    <t>Operator of a fashion store chain based in Sao Paulo, Brazil. The company's fashion store chain offers pants, t-shirts, socks, gowns, nightwear, bottles, lunch boxes and accessories.</t>
  </si>
  <si>
    <t>Imaginarium</t>
  </si>
  <si>
    <t>133615-27T</t>
  </si>
  <si>
    <t>ATW Partners(Antonio Ruiz-Giménez), TheVentureCity</t>
  </si>
  <si>
    <t>200631-61T</t>
  </si>
  <si>
    <t>Stoodi</t>
  </si>
  <si>
    <t>Developer of an online educational platform intended to make your students' lives easier and revolutionize the way they learn. The company offers video lessons, exercises with video resolution, and theoretical summaries of Mathematics, Physics, Chemistry, Grammar, Literature, Writing, Biology, History, Geography, Arts, Current Affairs and English and also provides an essay correction service based on the criteria of ENEM and the main entrance exams in the country, enabling students to have access to quality education regardless of their social conditions.</t>
  </si>
  <si>
    <t>Somos Educação(Fernando Shayer)</t>
  </si>
  <si>
    <t>251091-55T</t>
  </si>
  <si>
    <t>Dossier Digital</t>
  </si>
  <si>
    <t>Developer of productivity applications intended to increase productivity and automate repetitive tasks. The company's productivity applications specialize in process organization and systems development that helps to teach low-income kids to develop smartphone applications for businesses, enabling companies the technological advancement and safe growth of the application.</t>
  </si>
  <si>
    <t>250959-97T</t>
  </si>
  <si>
    <t>251029-72T</t>
  </si>
  <si>
    <t>276711-49T</t>
  </si>
  <si>
    <t>Sementes de Paz</t>
  </si>
  <si>
    <t>Operator of a trading company intended to provide organic food and products. The company offers producers of agroecology and cooperation economy an alternative channel for marketing their food and products, carries out the logistics of supplying and marketing ecological and sustainable food and products, promotes the practice of responsible consumption centers understanding them as privileged spaces for the exercise of associationism and fair marketing, and promotes education for the practices of agroecology, solidarity economy, fair trade, and responsible consumption, enabling users with organic food at fair and transparent prices, promoting investments for sustainable local development and improving the quality of life of all actors involved in this network.</t>
  </si>
  <si>
    <t>98402-32T</t>
  </si>
  <si>
    <t>Borgato</t>
  </si>
  <si>
    <t>Dealer of trucks and heavy machinery. The company's product portfolio includes trucks, tractors, construction machines, combines &amp; planters, light vehicles and machinery, enabling customers in the agricultural sector to avail quality trucks and machinery</t>
  </si>
  <si>
    <t>JSL (BVMF: JSLG3)(Denys Ferrez)</t>
  </si>
  <si>
    <t>103049-56T</t>
  </si>
  <si>
    <t>4Legacy, 5xmais, Bossa Invest, Canary (Brazil)</t>
  </si>
  <si>
    <t>126277-66T</t>
  </si>
  <si>
    <t>Portal de Pagos</t>
  </si>
  <si>
    <t>Provider of payment and collection services designed to help SMEs and individual professionals. The company's services are rules and regualtion complience and collection of accounts, enabling users to focus on their businesses.</t>
  </si>
  <si>
    <t>257816-62T</t>
  </si>
  <si>
    <t>Prodama</t>
  </si>
  <si>
    <t>Provider of IT solutions and services based in Umuarama, Brazil. The company offers cloud computing, business analytics, corporate management and property security services.</t>
  </si>
  <si>
    <t>86645-08T</t>
  </si>
  <si>
    <t>Embraport</t>
  </si>
  <si>
    <t>Operator of a private multi-modal port terminal. The company's private multi-modal port terminal provides storage and transportation services, enabling business and shippers to carry on transportation services at reduced handling charges.</t>
  </si>
  <si>
    <t>DP World(Sultan Ahmed Bin Sulayem)</t>
  </si>
  <si>
    <t>134900-56T</t>
  </si>
  <si>
    <t>Operator of a food delivery platform based in Florianopolis, Brazil. The company helps its customers find deals in food and beverage, cosmetic, entertainment, travel and consumer goods sectors, thereby enabling member restaurants to increase visibility and generate additional demand for their products.</t>
  </si>
  <si>
    <t>Groupon (NAS: GRPN)(Felipe Henríquez)</t>
  </si>
  <si>
    <t>125344-81T</t>
  </si>
  <si>
    <t>90644-50T</t>
  </si>
  <si>
    <t>Dow AgroSciences (Corn Hybrid Seed Business)</t>
  </si>
  <si>
    <t>Operator of corn seed business. The business includes seed processing plants and seed research centers, corn germplasm bank, seed brand and a license for the use of the Dow Sementes brand for a certain period of time.</t>
  </si>
  <si>
    <t>CITIC Group</t>
  </si>
  <si>
    <t>290393-29T</t>
  </si>
  <si>
    <t>Ecommet Software</t>
  </si>
  <si>
    <t>Provider of software development services based in Sao Paulo, Brazil. The company offers e-commerce software development, website creation, online platform development, product registration, sales management, digital marketing and related information technology services.</t>
  </si>
  <si>
    <t>MercadoLibre (NAS: MELI)</t>
  </si>
  <si>
    <t>139110-40T</t>
  </si>
  <si>
    <t>Globalfruit</t>
  </si>
  <si>
    <t>Producer of drinks, fruit pulps and frozen products in Visconde do Rio Branco, Brazil. The company offers to provide the co-packing service of the beverage, frozen ice cream and fruit processing sector.</t>
  </si>
  <si>
    <t>102838-24T</t>
  </si>
  <si>
    <t>95144-68T</t>
  </si>
  <si>
    <t>Mãe Terra</t>
  </si>
  <si>
    <t>Producer of a natural and organic food products intended to make food that take care of the body and soul. The company's product includes cereals, cookies, snacks and culinary products, enabling customers to get natural and healthy food.</t>
  </si>
  <si>
    <t>Unilever (LON: ULVR)(Fernando Fernandez)</t>
  </si>
  <si>
    <t>111152-53T</t>
  </si>
  <si>
    <t>FbStart</t>
  </si>
  <si>
    <t>93339-28T</t>
  </si>
  <si>
    <t>Pecval</t>
  </si>
  <si>
    <t>Manufacturer of molded plastic products based in Sao Paulo, Brazil. The company specializes in tools and machinery and offers air boxes and interior and exterior car accessories such as plastic mats, mud flaps and other automotive parts.</t>
  </si>
  <si>
    <t>Toyoda Gosei Company (TKS: 7282)</t>
  </si>
  <si>
    <t>134239-15T</t>
  </si>
  <si>
    <t>Rio Amambai Agroenergia</t>
  </si>
  <si>
    <t>Operator of sugarcane fields and an industrial plant based in Navirai, Brazil. The company produces ethanol, sugar, molasses, yeast cream, and bagasse while monitoring waste as well as atmospheric emissions, providing businesses with specialty chemicals while maintaining environmental sustainability.</t>
  </si>
  <si>
    <t>AMERRA Capital Management(Craig Tashjian)</t>
  </si>
  <si>
    <t>195694-75T</t>
  </si>
  <si>
    <t>Fundação de Amparo à Pesquisa no Estado de São Paulo, Rock9 Ventures, Samsung Electronics (KRX: 005930)</t>
  </si>
  <si>
    <t>98884-00T</t>
  </si>
  <si>
    <t>LP Sementes</t>
  </si>
  <si>
    <t>Operator of a corn seed cultivation company based in Ribeirao Preto, Brazil. The company's activities include the production, research and processing of corn seeds and its variants, enabling growers to avail quality corn seeds for agricultural purposes.</t>
  </si>
  <si>
    <t>CITIC Agriculture</t>
  </si>
  <si>
    <t>226509-67T</t>
  </si>
  <si>
    <t>Roma Asset Management</t>
  </si>
  <si>
    <t>Roma Asset Management LtdaLtda formerly Brazil Realty Fundo Investimento Imobiliario is a real estate investment trust.</t>
  </si>
  <si>
    <t>99233-47T</t>
  </si>
  <si>
    <t>Gilberto Ribeiro de Oliveira Filho(Gilberto Ribeiro de Oliveira Filho), Marcelo Mesquita(Marcelo Mesquita), Mário Ripper(Mário Ripper), Paulo Ferraz(Paulo Ferraz)</t>
  </si>
  <si>
    <t>97857-82T</t>
  </si>
  <si>
    <t>Nérus</t>
  </si>
  <si>
    <t>Operator of a digitalization platform intended to improve digital sales channel management. The company's platform transforms physical sales into digital ones, provides an end-to-end integration, and integrates all the registration update processes, prices, stocks, and sales, regardless of the medium of sales, enabling businesses to increase sales and productivity, in addition to reducing costs.</t>
  </si>
  <si>
    <t>Brazilian Development Bank, Crescera Capital, Criatec 2, FC Partners</t>
  </si>
  <si>
    <t>100470-97T</t>
  </si>
  <si>
    <t>Micron-Ita Indústria e Comércio de Minerais</t>
  </si>
  <si>
    <t>Manufacturer of micronized ground calcium carbonates. The company's calcium carbonates comes in different packages like big vinyl bag, big bag of raphy, paper bag and plastic bags with different capacity of calcium carbonate, enabling its clients and customers to avail the required type of calcium carbonates for their polymer and related applications.</t>
  </si>
  <si>
    <t>250796-62T</t>
  </si>
  <si>
    <t>Mobitel (Brazil)</t>
  </si>
  <si>
    <t>Provider of telecommunication services intended for companies of all sizes and operating segments. The company offers a range of services related to messaging and voice communication as well as WhatsApp engagement and web-based interactions with businesses, thereby helping clients with the expansion of their business.</t>
  </si>
  <si>
    <t>98034-58T</t>
  </si>
  <si>
    <t>177005-17T</t>
  </si>
  <si>
    <t>Rodrigo Dantas(Rodrigo Dantas), StaminaVC, WOW Aceleradora de Startups</t>
  </si>
  <si>
    <t>211954-87T</t>
  </si>
  <si>
    <t>GVAngels, Start-Up Brasil, WOW Aceleradora de Startups</t>
  </si>
  <si>
    <t>97798-69T</t>
  </si>
  <si>
    <t>104630-86T</t>
  </si>
  <si>
    <t>Partners Group (SWX: PGHN)(Gonzalo Castro)</t>
  </si>
  <si>
    <t>97493-14T</t>
  </si>
  <si>
    <t>IB SPE Transmissora de Energia Elétrica</t>
  </si>
  <si>
    <t>Provider of electrical energy transmission services. The company's activities include facilitation of electrical energy from power plants to electrical substations, enabling electricity utility companies to supply electricity to it's localities.</t>
  </si>
  <si>
    <t>Alupar (BVMF: ALUP3), Transmissora Alianca de Energia Eletrica (BVMF: TAEE3)</t>
  </si>
  <si>
    <t>175717-18T</t>
  </si>
  <si>
    <t>FJ Labs, Lumia Capital</t>
  </si>
  <si>
    <t>121220-74T</t>
  </si>
  <si>
    <t>124831-99T</t>
  </si>
  <si>
    <t>97417-36T</t>
  </si>
  <si>
    <t>Alumni Ventures(Alain Hanover), Callfort, FJ Labs, MercadoLibre (NAS: MELI), Rocketship.vc</t>
  </si>
  <si>
    <t>113789-80T</t>
  </si>
  <si>
    <t>Osher Tech, Yellow Ventures</t>
  </si>
  <si>
    <t>98869-15T</t>
  </si>
  <si>
    <t>VapeBr</t>
  </si>
  <si>
    <t>Retailer of vaporizers. The company's vaporizers are offered online and are mainly used in aromatherapy and naturopathy treatments, enabling individuals to get an alternative to combustion thereby inhaling less harmful toxins and carcinogens compared to combustion.</t>
  </si>
  <si>
    <t>Lifeist (TSX: LFST)(Sean Dollinger)</t>
  </si>
  <si>
    <t>123808-06T</t>
  </si>
  <si>
    <t>102735-46T</t>
  </si>
  <si>
    <t>Água Grande Exploração e Produção de Petróleo</t>
  </si>
  <si>
    <t>Provider of oil and gas exploration services in Brazil. The company's services include exploration of potential sites and properties for oil and gas extraction.</t>
  </si>
  <si>
    <t>130498-93T</t>
  </si>
  <si>
    <t>BMG Uptech, FIEMG Lab</t>
  </si>
  <si>
    <t>146214-28T</t>
  </si>
  <si>
    <t>215726-23T</t>
  </si>
  <si>
    <t>Logmax</t>
  </si>
  <si>
    <t>Operator of a logistics platform intended to manage freight online. The company's software provides freight quotations, facilitates negotiation online, and automates the company's freight management, with reports and operational indicators, enabling clients to reduce costs and centralize data through information.</t>
  </si>
  <si>
    <t>214206-85T</t>
  </si>
  <si>
    <t>MTM Tecnologia</t>
  </si>
  <si>
    <t>Operator of mobile technology platforms designed to enhance workflow mobility for businesses. The company's platforms feature mobile health applications for healthcare institutions and field force automation tools that allow managers to plan, allocate and monitor field activities, enabling field teams to access and collect necessary information via smartphones, serving organizations across various sectors and supporting operational efficiency.</t>
  </si>
  <si>
    <t>Daten Tecnologia, Lighthouse Invest</t>
  </si>
  <si>
    <t>97041-79T</t>
  </si>
  <si>
    <t>Visual Turismo</t>
  </si>
  <si>
    <t>Provider of travel and tourism services based in Sao Paulo, Brazil. The company specialized in customized travel, honeymoon, ecotourism, pilgrimage and religious, thereby enabling customers to travel at cost-effective prices.</t>
  </si>
  <si>
    <t>96910-03T</t>
  </si>
  <si>
    <t>Checkraise</t>
  </si>
  <si>
    <t>Developer of an online poker game platform designed to bring the home game poker playing experience online. The company's poker platform facilitates audio chatting while playing, no multi-tabling, low stakes, displays draw changes, championship matches, and weekly tournaments, enabling users to enjoy a new and different poker-playing experience anytime and anywhere.</t>
  </si>
  <si>
    <t>208728-64T</t>
  </si>
  <si>
    <t>100721-08T</t>
  </si>
  <si>
    <t>4Legacy, ACE Ventures (Commercial Services)(Mike Ajnsztajn), Aerotech, Bossa Invest, Confrapar Administração e Gestão de Recursos(Kadu Guillaume), Fabio Cristilli(Fabio Cristilli), Travel Capitalist Ventures</t>
  </si>
  <si>
    <t>91456-12T</t>
  </si>
  <si>
    <t>Adecol Ind. Química</t>
  </si>
  <si>
    <t>Manufacturer of adhesives and glues in Brazil.</t>
  </si>
  <si>
    <t>H.B. Fuller (NYS: FUL)(James Owens)</t>
  </si>
  <si>
    <t>98482-15T</t>
  </si>
  <si>
    <t>General Atlantic(Eduardo de Mesquita Samara)</t>
  </si>
  <si>
    <t>223849-09T</t>
  </si>
  <si>
    <t>CloudPar</t>
  </si>
  <si>
    <t>Operator of a venture capital company based in Mucuri, Brazil. The company works with large companies and start several businesses from scratch, from foundation to becoming large and with accelerated growth.</t>
  </si>
  <si>
    <t>CloudPar Participações e Serviços em Tecnologia da Informação</t>
  </si>
  <si>
    <t>56638-36T</t>
  </si>
  <si>
    <t>Developer of point-of-sale software intended to consolidate counter-sales functionality for small businesses. The company's platform is a cloud-based system that allows users to control outlets by tables or commands, as well as add, edit, or remove products quickly, including flavors and sizes, and is also integrated with the main mobile payment devices, making the customer service experience unique, enabling bars, bistros, cafes or restaurants to increase the efficiency of the establishment and provide fast customer service.</t>
  </si>
  <si>
    <t>111116-62T</t>
  </si>
  <si>
    <t>103874-23T</t>
  </si>
  <si>
    <t>500 Global, Dragoneer Investment Group, FJ Labs, Frontier Digital Ventures (ASX: FDV), Graph Ventures, Great Oaks Venture Capital, Kaszek, Lead Edge Capital, Monashees, Saints Capital, Social Capital, Spark Capital, Valiant Capital Partners</t>
  </si>
  <si>
    <t>107906-23T</t>
  </si>
  <si>
    <t>223803-19T</t>
  </si>
  <si>
    <t>IntelliPOS</t>
  </si>
  <si>
    <t>Developer of mobile applications intended to serve mobile users and technology firms for diverse commercial activities. The company's services include applications for fleet control, face-to-face sales force automation, sales routing and smart payment terminals, enabling customers to analyse the sales process and payment activities using mobile applications.</t>
  </si>
  <si>
    <t>133978-69T</t>
  </si>
  <si>
    <t>e.bricks Ventures(Camila Sangali), Igah Ventures, K50 Ventures, Kairos HQ</t>
  </si>
  <si>
    <t>125624-35T</t>
  </si>
  <si>
    <t>Mercatório</t>
  </si>
  <si>
    <t>Developer of an investment platform designed to diversify portfolios by investing in these precatórios. The company's platform allows one to invest in debts owed by government entities which generally carry lower credit risk, enabling investors with high returns and inflation protection.</t>
  </si>
  <si>
    <t>56637-01T</t>
  </si>
  <si>
    <t>Portal Colaborativo</t>
  </si>
  <si>
    <t>Developer of an enterprise collaboration software designed to manage relationships with business partners. The company's software brings agility, practicality, and organized and updated, day-to-day tasks, purchase requests, and invoices in one place, as well as automates the documentation of customers and suppliers, enabling businesses to ensure integration in their systems.</t>
  </si>
  <si>
    <t>127863-37T</t>
  </si>
  <si>
    <t>126389-44T</t>
  </si>
  <si>
    <t>Universidade São Judas Tadeu</t>
  </si>
  <si>
    <t>Provider of higher education services intended to train the professionals and leaders of the future. The company offers multiple courses on two campuses with an intake capacity of including undergraduate, postgraduate and MBA, master's and doctorate, thereby helping and encouraging students to purse their higher education.</t>
  </si>
  <si>
    <t>115641-28T</t>
  </si>
  <si>
    <t>VegPet</t>
  </si>
  <si>
    <t>Provider of a pet food retail services intended to improve pets' quality of life. The company's services offer vegetarian food products, pet accessories, toys, and hygiene products, enabling pet owners to have various animal care products at affordable prices.</t>
  </si>
  <si>
    <t>Bossa Invest, Dodeka Investimentos</t>
  </si>
  <si>
    <t>252871-39T</t>
  </si>
  <si>
    <t>Clube Brincante</t>
  </si>
  <si>
    <t>Operator of a toy company intended for sensory activities. The company offers a wide range of products, including outdoor games, arts and crafts, wooden toys, science kits, and materials for activities, as well as therapeutic resources such as droppers and tools for fine motor skills, helping parents to develop their children while playing.</t>
  </si>
  <si>
    <t>246749-14T</t>
  </si>
  <si>
    <t>96558-22T</t>
  </si>
  <si>
    <t>E-Next</t>
  </si>
  <si>
    <t>Developer of a marketing-based consulting software platform designed to provide e-commerce and iCloud marketing consulting services. The company's software platform helps promote businesses virtually through consultation and advertisement related to business activities, enabling clients to get proper consultation support in order to enhance the image of their business.</t>
  </si>
  <si>
    <t>J. Walter Thompson</t>
  </si>
  <si>
    <t>302210-20T</t>
  </si>
  <si>
    <t>94397-68T</t>
  </si>
  <si>
    <t>Crescera Capital(Rodrigo Comazzetto), Criatec 2, Triaxis Capital(Rodrigo Comazzetto)</t>
  </si>
  <si>
    <t>111113-11T</t>
  </si>
  <si>
    <t>The Arthur Rock Center for Entrepreneurship</t>
  </si>
  <si>
    <t>96507-91T</t>
  </si>
  <si>
    <t>Sudamfos do Brazil</t>
  </si>
  <si>
    <t>Distributor of chemical products in Brazil. The company is specialized in marketing of phosphonates, phosphates, sodium phosphates, calcium phosphates and other specialty chemical products.</t>
  </si>
  <si>
    <t>Ardian(Philippe Poletti), Italmatch Chemicals(Sergio Iorio)</t>
  </si>
  <si>
    <t>125801-38T</t>
  </si>
  <si>
    <t>Creative Destruction Lab</t>
  </si>
  <si>
    <t>112271-77T</t>
  </si>
  <si>
    <t>Peroba Pre-salt Oil Block</t>
  </si>
  <si>
    <t>Pre-salt oil block in Brazil. The block engages in the exploration and production of oil and natural gas.</t>
  </si>
  <si>
    <t>BP (LON: BP.), China National Oil, Petróleo Brasileiro (BVMF: PETR3)</t>
  </si>
  <si>
    <t>248486-05T</t>
  </si>
  <si>
    <t>Cargill Agricola</t>
  </si>
  <si>
    <t>98765-11T</t>
  </si>
  <si>
    <t>Dataholics</t>
  </si>
  <si>
    <t>Developer of innovative technologies intended to analyze individuals' and companies' credit risk. The company's platform analyzes the credit of companies of different sizes with a broad view of data such as demographics, legal, statements, and others and uses SocialScore to do a comprehensive analysis of potential customers, enabling clients to make their credit operations more profitable and secure.</t>
  </si>
  <si>
    <t>OneValley</t>
  </si>
  <si>
    <t>76744-36T</t>
  </si>
  <si>
    <t>Magnesita Refratarios</t>
  </si>
  <si>
    <t>Manufacturer of refractory materials dedicated to mining, production and commercialization. The company offers monolithic materials, conventional bricks, noble ceramics and fine porcelain, it also includes the production of refractories for other segments, such as cosmetics and food.</t>
  </si>
  <si>
    <t>RHI Magnesita (WBO: RHIM)(Franz Struzl)</t>
  </si>
  <si>
    <t>84509-20T</t>
  </si>
  <si>
    <t>Vigor Alimentos</t>
  </si>
  <si>
    <t>Producer of dairy products based in Sao Paulo, Brazil. The company offers whole milk products, such as whole, semi-skimmed and skimmed milk dairy products, including yogurts and smoothies, petit suisse, fermented milk, desserts, parmesan cheese, fine cheese, cottage cheese, fondue and creams and spreads comprising margarine, butter, mayonnaise, blends and oils.</t>
  </si>
  <si>
    <t>Grupo Lala(Scot Rank Crawford)</t>
  </si>
  <si>
    <t>96224-32T</t>
  </si>
  <si>
    <t>Pravda Investimentos</t>
  </si>
  <si>
    <t>96475-42T</t>
  </si>
  <si>
    <t>Brilia</t>
  </si>
  <si>
    <t>Manufacturer of lighting products intended for residential and commercial applications. The company develops and markets LED lamps, integrated fixtures, strips and accessories with a focus on product design, efficiency and sustainability, providing complete solutions with new technologies, features and designs to customers.</t>
  </si>
  <si>
    <t>Cartesian Capital Group(Beth Michelson)</t>
  </si>
  <si>
    <t>96596-83T</t>
  </si>
  <si>
    <t>Arlon Group(Bruno Silva)</t>
  </si>
  <si>
    <t>100668-70T</t>
  </si>
  <si>
    <t>94767-13T</t>
  </si>
  <si>
    <t>Centrais Elétricas Brasileiras (Power Distribution Units)</t>
  </si>
  <si>
    <t>Provider of electricity distribution services. The company's electricity distribution services include electricity generation and transmission, enabling customers to get access to electricity.</t>
  </si>
  <si>
    <t>100671-76T</t>
  </si>
  <si>
    <t>Click Help</t>
  </si>
  <si>
    <t>Developer of emergency cell phone intended to ensure the personal monitoring of the elderly through all day care service. The company's cell phone has only a single button, GPS, minibus charger, two inclusive chips and a fall sensor and also sends out a SMS message to the family and central station, regardless of whether the emergency button is activated, enabling family members to track and identify movement of the elderly persons and to reassure the elderly in a possible emergency.</t>
  </si>
  <si>
    <t>96179-14T</t>
  </si>
  <si>
    <t>Mabe Brazil</t>
  </si>
  <si>
    <t>Manufacturer of household appliances. The company's household appliances include refrigerators, cookers and washing machines.</t>
  </si>
  <si>
    <t>Electrolux (STO: ELUX A)(Ricardo Cons)</t>
  </si>
  <si>
    <t>200546-29T</t>
  </si>
  <si>
    <t>HotelQuando</t>
  </si>
  <si>
    <t>Operator of an online hotel booking platform designed to help book hotel rooms by hours instead of daily. The company's platform helps to book through a personalized website with the hotel's brand and visual identity and also helps to meet the needs of business travelers by helping them to book a meeting room by the hour while adding a new revenue outlet for hotels, enabling users to get accommodation rooms at affordable prices.</t>
  </si>
  <si>
    <t>Grupo GS &amp; Gouvea de Souza</t>
  </si>
  <si>
    <t>158503-51T</t>
  </si>
  <si>
    <t>TerraSense</t>
  </si>
  <si>
    <t>Developer of aerial drones designed to monitor the environment, precision agriculture, and infrastructure. The company utilizes advanced and versatile UAV models with sensors, and equipment of precision and technology that can be configured specifically, enabling the researcher to access aerial imaging, geoprocessing, and image processing technologies and to get valuable information that can be used for precision surveying, environmental analysis, precision agriculture, and infrastructure monitoring.</t>
  </si>
  <si>
    <t>Centro de Apoio ao Desenvolvimento Tecnológico</t>
  </si>
  <si>
    <t>93111-58T</t>
  </si>
  <si>
    <t>Bruno Yoshimura(Bruno Yoshimura), Canary (Brazil), Kaszek, ONEVC, Spectra Investments</t>
  </si>
  <si>
    <t>95991-13T</t>
  </si>
  <si>
    <t>Bossa Invest, e.bricks Ventures, Endeavor Catalyst, International Finance (Washington D.C.), Omidyar Network(Arjuna Costa), QED Investors, Ribbit Capital(Meyer Malka), VEF (STO: VEFAB)(David Nangle)</t>
  </si>
  <si>
    <t>96660-28T</t>
  </si>
  <si>
    <t>Mataboi Participações</t>
  </si>
  <si>
    <t>Distributor of fresh beef and beef by-products in Brazil.</t>
  </si>
  <si>
    <t>123142-78T</t>
  </si>
  <si>
    <t>Nuper</t>
  </si>
  <si>
    <t>Provider of a shopping platform designed to make grocery shopping through personal assistants. The company's platform seeks cost-effective supermarkets in the customer region, periodically reminds the user of their purchases and works with personal assistants, enabling users to get an alternative when they don't have time to shop.</t>
  </si>
  <si>
    <t>216061-12T</t>
  </si>
  <si>
    <t>Vibbra</t>
  </si>
  <si>
    <t>Operator of an online freelance developer platform intended to attract and offer high-level IT services from professionals. The company's software provides software development, design, product, and project management services, as well as an online safe place for businesses to hire and work with these talents in the remote model, enabling businesses to contract, monitor, and pay remote talents on the network and benefit from their expertise.</t>
  </si>
  <si>
    <t>ScalexOpen, SuperJobs Venture Capital</t>
  </si>
  <si>
    <t>224070-31T</t>
  </si>
  <si>
    <t>Fundo Investimento Imobiliario FII REC Recebiveis Imobiliarios (BVMF: RECR11)</t>
  </si>
  <si>
    <t>Fundo Investimento Imobiliario FII REC Recebiveis Imobiliarios is an investment company. The purpose of the Fund is to invest in real estate projects, through the acquisition of assets, or rights related thereto, subject to the other requirements and investment policy provisions.</t>
  </si>
  <si>
    <t>256167-46T</t>
  </si>
  <si>
    <t>100661-77T</t>
  </si>
  <si>
    <t>789 Trip</t>
  </si>
  <si>
    <t>Owner and operator of a travel agency intended to offer corporate or leisure travel. The company's platform offers a subscription travel club with more than 500,000 associated hotels and 750 airlines around the world and facilitates accessible payment methods for both hotels and flights, search for air tickets and restaurant prices, offers city's transportation system, loyalty rewards on payments and choose to snack at lunch and make the main meal at dinner, enabling travelers to save up to 30 percent on the final cost of travel.</t>
  </si>
  <si>
    <t>ACE Ventures (Commercial Services)(Pedro Waengertner)</t>
  </si>
  <si>
    <t>121068-73T</t>
  </si>
  <si>
    <t>BR Supply</t>
  </si>
  <si>
    <t>Retailer of building maintenance, hygiene, disposables, information technology and office products based in São Leopoldo, Brazil. The company supplies custom products such as welding masks, laces, earphone cases, coils, notebooks, pencils, calculators, batteries, brushes, glass dispensers, shredders, rakes, hand tags, and other related products.</t>
  </si>
  <si>
    <t>EB Capital(Eduardo Melzer)</t>
  </si>
  <si>
    <t>97753-60T</t>
  </si>
  <si>
    <t>Orange Products Plasticos</t>
  </si>
  <si>
    <t>Manufacturer of cosmetic packaging products. The company offers roll-on balls and rollettes for deodorants, deodorant sticks as well as bottles for capsules.</t>
  </si>
  <si>
    <t>3i Group (LON: III)(Ulf Von Haacke), Weener Plastics Group</t>
  </si>
  <si>
    <t>125340-58T</t>
  </si>
  <si>
    <t>109996-84T</t>
  </si>
  <si>
    <t>Feba Capital(Fabio Espindula), G2 Capital</t>
  </si>
  <si>
    <t>224152-03T</t>
  </si>
  <si>
    <t>General Severiano Fundo</t>
  </si>
  <si>
    <t>Fundo Investimento Imobiliario General Severiano, formely General Severiano Fundo De Investimento Imobiliario is a real estate investment trust engaged in the real estate sector.</t>
  </si>
  <si>
    <t>224325-82T</t>
  </si>
  <si>
    <t>Habitat I Fundo De Invest (BVMF: HBTT11B)</t>
  </si>
  <si>
    <t>Habitat I Fundo De Investimento Imobiliario is a real estate investment trust. The Fund aims to provide Shareholders with the appreciation and profitability of their shares, predominantly, through investments in real estate financial assets, and in fixed income assets and in liquidity assets, aiming to make profits profitable investments.</t>
  </si>
  <si>
    <t>225330-58T</t>
  </si>
  <si>
    <t>Multi Properties Fundo De Investimento Imobiliario</t>
  </si>
  <si>
    <t>Operator of real estate investment trust based in Rio de Janeiro, Brazil. The company offers real estate related services.</t>
  </si>
  <si>
    <t>114198-13T</t>
  </si>
  <si>
    <t>Oba Hortifruti</t>
  </si>
  <si>
    <t>Provider of fresh food products based in Brazil. The company offers various types of processed food products, such as fruit, vegetables, and greens items that are pre-washed, cut, and packaged, providing consumers with fresh food for consumption.</t>
  </si>
  <si>
    <t>95682-07T</t>
  </si>
  <si>
    <t>All Chemistry</t>
  </si>
  <si>
    <t>Distributor of pharmaceutical raw materials. The company's pharmaceutical raw materials include a variety of intermediate ingredients required to make medicinal drugs, in addition, it also offers testing and microbiological analysis, enabling pharmaceutical and healthcare companies to manufacture laboratory tested and approved products for patients.</t>
  </si>
  <si>
    <t>Fagron (BRU: FAGR)(Johannes Stols)</t>
  </si>
  <si>
    <t>Pharmaceuticals</t>
  </si>
  <si>
    <t>97289-83T</t>
  </si>
  <si>
    <t>Urbanity Corporate Center</t>
  </si>
  <si>
    <t>A 25-story AAA office building located in Sao Paulo, Brazil. The property has a total leasable area of 29,248 square meters and is part of a newly developed mixed-use complex with facilities like six social lifts and multi-level parking spaces.</t>
  </si>
  <si>
    <t>H.I.G. Capital(Daniel Nader)</t>
  </si>
  <si>
    <t>91992-52T</t>
  </si>
  <si>
    <t>Argos Guindastes Indústria e Comércio</t>
  </si>
  <si>
    <t>Manufacturer of articulated loader cranes based in Carazinho, Brazil. The company's articulated loader cranes are made up of steel and have an electrically powered articulated arm fitted to a truck or trailer, enabling companies to load and unload their vehicle full of produced goods.</t>
  </si>
  <si>
    <t>Hydrauliska Industri(Joakim Andersson)</t>
  </si>
  <si>
    <t>128712-07T</t>
  </si>
  <si>
    <t>eStoks</t>
  </si>
  <si>
    <t>Provider of inventory management service platform designed to manage surplus inventory. The company's inventory management service platform offers management, sale, and allocation of surplus items across Brazil as well as looks after the auction, donation, and pricing of the inventory, thus enabling its customers to reduce costs in logistics management and track their items online.</t>
  </si>
  <si>
    <t>130862-26T</t>
  </si>
  <si>
    <t>Tbit</t>
  </si>
  <si>
    <t>Developer of an inspection technology designed to automate the quality inspection of materials and products. The company's develops analysis systems and equipment for evaluating and analyzing the quality and parameters of seeds, grains, and seedlings, enabling growers to improve the performances of agribusiness.</t>
  </si>
  <si>
    <t>95239-90T</t>
  </si>
  <si>
    <t>Blowtex</t>
  </si>
  <si>
    <t>Manufacturer of condoms. The company's condoms include flavored condoms, textured condoms and other related condoms, enabling customers to have a safe sexual intercourse.</t>
  </si>
  <si>
    <t>196166-44T</t>
  </si>
  <si>
    <t>216055-27T</t>
  </si>
  <si>
    <t>247046-23T</t>
  </si>
  <si>
    <t>Biva Serviços Financeiros</t>
  </si>
  <si>
    <t>Developer of financial software intended to focus on focused on loans for individuals and micro-enterprises. The company specializes in collective loans, P2P lending and providing low-interest rates, enabling people to maintain relationships and proximity between investors and entrepreneurs.</t>
  </si>
  <si>
    <t>126503-92T</t>
  </si>
  <si>
    <t>129513-61T</t>
  </si>
  <si>
    <t>126505-36T</t>
  </si>
  <si>
    <t>115638-94T</t>
  </si>
  <si>
    <t>Bossa Invest, GVAngels</t>
  </si>
  <si>
    <t>133414-93T</t>
  </si>
  <si>
    <t>Bossa Invest, Duxx Investimentos</t>
  </si>
  <si>
    <t>93526-66T</t>
  </si>
  <si>
    <t>Crescera Capital(Fernando Silva), Criatec 2, Triaxis Capital</t>
  </si>
  <si>
    <t>98745-31T</t>
  </si>
  <si>
    <t>Grano Alimentos</t>
  </si>
  <si>
    <t>Producer of packaged frozen vegetable food products based in Sao Paulo, Brazil. The company offers various frozen food products including diced potato, broccoli, cauliflower and asparagus, using a semi-integrated sourcing model and sources vegetables year-round from local producers in the region.</t>
  </si>
  <si>
    <t>Arlon Group(Charles Conner)</t>
  </si>
  <si>
    <t>241844-41T</t>
  </si>
  <si>
    <t>Lemonade (Accelerator)</t>
  </si>
  <si>
    <t>94366-72T</t>
  </si>
  <si>
    <t>89270-56T</t>
  </si>
  <si>
    <t>Camil Alimentos SA is a consumer goods company. The company is engaged in processing, producing, packing, and distributing rice, beans, sugar, and canned fish, among other products in the food sector. It has a diversified portfolio through brands in Brazil, Uruguay, Chile, and Peru. The operating business segments are Food products - Brazil, and Food products - International Food products. The company earns maximum revenue from Food products - the Brazil segment.</t>
  </si>
  <si>
    <t>95179-96T</t>
  </si>
  <si>
    <t>Guilherme Bonifácio(Guilherme Bonifácio), Kaszek(Hernan Kazah), Patrick Sigrist(Patrick Sigrist)</t>
  </si>
  <si>
    <t>96120-91T</t>
  </si>
  <si>
    <t>Angra Metals Mineração</t>
  </si>
  <si>
    <t>Provider of gold ore mining services. The company's services include gold exploration and mining.</t>
  </si>
  <si>
    <t>Northwestern Enterprises</t>
  </si>
  <si>
    <t>227653-21T</t>
  </si>
  <si>
    <t>Vinci Shopping Centers Fundo Investimento Imobiliario-FII is a real estate investment trust. The company invests in real estate properties of shopping centers and / or related, such as strip malls, outlet centers, among others. The objective of the Fund is to obtain income through the investment of resources, predominantly in real estate, as well as in any real rights over real estate or, even, through indirect investment in real estate through the acquisition of real estate assets.</t>
  </si>
  <si>
    <t>66316-15T</t>
  </si>
  <si>
    <t>Helio Energias</t>
  </si>
  <si>
    <t>Provider of design, installation, maintenance and operation services of solar energy intended for commercial and industrial usage of solar energy. The company provides solar panels, software and services focusing on long-term financing for system capacity, enabling customers to get solar services in a simple, easy, and affordable manner.</t>
  </si>
  <si>
    <t>94831-21T</t>
  </si>
  <si>
    <t>Tagma Brasil</t>
  </si>
  <si>
    <t>Provider of custom formulation and packaging services for crop protection. The company's formulation and packaging services are for crop protection chemicals including herbicides, insecticides, fungicides and surfactants by the development of formulations that allow the Brazilian agriculture market to meet regulatory and consumer requirements.</t>
  </si>
  <si>
    <t>Univar Solutions(Stephen Newlin)</t>
  </si>
  <si>
    <t>245107-81T</t>
  </si>
  <si>
    <t>Vapor Energia</t>
  </si>
  <si>
    <t>Operator of a renewable energy company based in Brazil. The company produces electrical energy from biomass.</t>
  </si>
  <si>
    <t>DMI Group(Marcos Costa)</t>
  </si>
  <si>
    <t>88126-75T</t>
  </si>
  <si>
    <t>Brasil Warrant Administração de Bens e Empresas, Cambuhy Investimentos, GP Investments (LUX: GPINA), Itaúsa (BVMF: ITSA3)(Alfredo Setubal)</t>
  </si>
  <si>
    <t>101923-21T</t>
  </si>
  <si>
    <t>ARG Brasil Participações</t>
  </si>
  <si>
    <t>Operator of an agricultural farm in Mateiros, Brazil. The company operates a farm that specializes in the production of agricultural crops such as soybeans, corn and cotton.</t>
  </si>
  <si>
    <t>97272-64T</t>
  </si>
  <si>
    <t>Ourolac Indústria de Alimentos</t>
  </si>
  <si>
    <t>Producer of UHT (Ultra High Temperature) dairy beverages based in Rio Verde, Brazil. The company's products include a line of multipurpose dairy beverages and culinary creams for sweet and savory dishes made with the strictest food safety standards for the food service industries.</t>
  </si>
  <si>
    <t>2bCapital(Manuel de Sousa), Siguler Guff(Drew Guff)</t>
  </si>
  <si>
    <t>121224-34T</t>
  </si>
  <si>
    <t>4Legacy, 5xmais, A.B.Seed Ventures, ACE Ventures (Commercial Services), André Tellini(André Tellini)</t>
  </si>
  <si>
    <t>94509-64T</t>
  </si>
  <si>
    <t>97415-83T</t>
  </si>
  <si>
    <t>Joa Investimentos(Luciano Huck)</t>
  </si>
  <si>
    <t>277144-30T</t>
  </si>
  <si>
    <t>Óxidos Brasil</t>
  </si>
  <si>
    <t>Operator of the lime processing plant intended to serve civil construction, sugar and alcohol, pelletizing, paper and pulp, and fertilizers. The company specializes in dolomitic lime, calcitic quicklime, limestone, and hydrated lime.</t>
  </si>
  <si>
    <t>226398-34T</t>
  </si>
  <si>
    <t>RBR Alpha Fundo de Fundos (BVMF: RBRF11)</t>
  </si>
  <si>
    <t>Rbr Alpha Multiestrategia Real Estate Fundo DE Inv Imob, formerly RBR Alpha Fundo de Fundos Fundo de Investimento Imobiliario is a real estate investment trust engaged in real estate sector.</t>
  </si>
  <si>
    <t>122626-45T</t>
  </si>
  <si>
    <t>95523-49T</t>
  </si>
  <si>
    <t>98568-46T</t>
  </si>
  <si>
    <t>Urbplan</t>
  </si>
  <si>
    <t>Developer of urban residential areas designed for building planned and residential neighborhoods. The company's construction projects have a complete infrastructure, quality and easy payment conditions providing an opportunity for families who want to invest in a secure estate to build their homes with quality developments and outdoor space.</t>
  </si>
  <si>
    <t>94159-63T</t>
  </si>
  <si>
    <t>Sontra</t>
  </si>
  <si>
    <t>Developer of an online transportation platform designed to help transportation companies and truck drivers to find available trucks or freight. The company's platform provides a simple, fast and intuitive system for carriers to publish loads and find available trucks via the mobile application, enabling transportation companies to get real-time information about trucks, monitor them as well as match freight with trucks through Geo-localization technology.</t>
  </si>
  <si>
    <t>Agility Public Warehousing Company (KUW: AGLTY), Antoine Colaço(Antoine Colaço), Ariel Arrieta(Ariel Arrieta), Michael Nicklas(Michael Nicklas), Oscar Salazar(Oscar Salazar), The Goldman Sachs Group (NYS: GS)</t>
  </si>
  <si>
    <t>77726-26T</t>
  </si>
  <si>
    <t>Ternium Brasil</t>
  </si>
  <si>
    <t>Producer of steel slabs and power. The company operates a steel mill complex in Brazil that also supplies 200 megawatts of power to the National Interconnected System, generated from vapors and gases from the steel-production process.</t>
  </si>
  <si>
    <t>Ternium (NYS: TX)(Daniel Novegil)</t>
  </si>
  <si>
    <t>172920-79T</t>
  </si>
  <si>
    <t>101946-88T</t>
  </si>
  <si>
    <t>T4W</t>
  </si>
  <si>
    <t>Developer of an online reservation platform. The company's online reservation platform provides services are focused on the operators, travel agencies, OTAs and receptive segments, enabling the tourism market to sell services in the areas of leisure, corporate and hospitality.</t>
  </si>
  <si>
    <t>Juniper Consulting(Jaime Sastre)</t>
  </si>
  <si>
    <t>94163-14T</t>
  </si>
  <si>
    <t>Floresta Viva</t>
  </si>
  <si>
    <t>Producer of food and timber products based in Sao Paulo, Brazil. The company cultivates Pupunha heart of palm in an organic way using agroecological practices.</t>
  </si>
  <si>
    <t>Moringa(Clément Chenost)</t>
  </si>
  <si>
    <t>226832-50T</t>
  </si>
  <si>
    <t>86638-06T</t>
  </si>
  <si>
    <t>Terminal de Conteineres de Paranagua</t>
  </si>
  <si>
    <t>Operator of a container terminal intended for the storage and handling of containers in the Port of Paranaguá. The company offers flow management, container spawning, cross-docking, customs Storehouse, loading and unloading of ships, bonded warehouses, monitoring of refrigerated containers and container stuffing.</t>
  </si>
  <si>
    <t>China Merchants Group(Sun Chengming)</t>
  </si>
  <si>
    <t>Infrastructure</t>
  </si>
  <si>
    <t>207571-96T</t>
  </si>
  <si>
    <t>4all</t>
  </si>
  <si>
    <t>Developer of an online payment platform intended to facilitate the digital purchasing and payment journey. The company's application provides a customer-centric purchasing journey to accelerate and expand sales and offers banking services that aim to build businesses capable of performing new sales and retaining customers with efficient features, enabling businesses to experience digital payment platforms for their growth.</t>
  </si>
  <si>
    <t>141117-94T</t>
  </si>
  <si>
    <t>DILA Capital</t>
  </si>
  <si>
    <t>137549-44T</t>
  </si>
  <si>
    <t>Bossa Invest, ECS Capital Partners, Eldar Investment, Geraldo Santos(Geraldo Santos)</t>
  </si>
  <si>
    <t>115994-08T</t>
  </si>
  <si>
    <t>Fleming Medicina</t>
  </si>
  <si>
    <t>Provider of educational services intended for medicinal exam preparations. The company provides exam preparatory support, through inside and outside classroom training, study schedule, teacher orientation and specific periods for clarifying doubts and also access to digital platforms of adaptive teaching in the field of medicine with a focus on getting students approved by the exame nacional do ensino medio (ENEM) and the main vestibules of the country.</t>
  </si>
  <si>
    <t>Colibri Investimentos, Relay Investments(Sandro Mina)</t>
  </si>
  <si>
    <t>112425-85T</t>
  </si>
  <si>
    <t>Graintek</t>
  </si>
  <si>
    <t>Producer of food ingredient in Brazil. The company is a co-manufacturer of rice flour, rice flakes and oats which are primarily used in branded food products for local and international companies.</t>
  </si>
  <si>
    <t>Levina Alimentos</t>
  </si>
  <si>
    <t>94166-65T</t>
  </si>
  <si>
    <t>DOMO.VC, Plataforma Capital</t>
  </si>
  <si>
    <t>253359-01T</t>
  </si>
  <si>
    <t>100683-37T</t>
  </si>
  <si>
    <t>111461-32T</t>
  </si>
  <si>
    <t>5xmais, Bossa Invest(Pierre Schurmann)</t>
  </si>
  <si>
    <t>93744-91T</t>
  </si>
  <si>
    <t>Aloo Telecom</t>
  </si>
  <si>
    <t>Provider of broadband and telecommunication services based in Maceió, Brazil. The company offers its services using advanced telecommunication networks and the infrastructure of converged data networks, enabling public and private corporations in the Northeast to receive data coverage at an affordable cost.</t>
  </si>
  <si>
    <t>Cartesian Capital Group(Geoffrey Hamlin)</t>
  </si>
  <si>
    <t>191990-89T</t>
  </si>
  <si>
    <t>Ervateira Sao Mateus</t>
  </si>
  <si>
    <t>Producer of food and beverages intended to serve the food industry. The company offers green mate, roasted mate and yellow mate, enabling consumers to avail mate-based food items.</t>
  </si>
  <si>
    <t>MartinBauer</t>
  </si>
  <si>
    <t>97132-96T</t>
  </si>
  <si>
    <t>95562-37T</t>
  </si>
  <si>
    <t>Alfa Collab, Crescera Capital(Fernando Silva), Criatec 2, Triaxis Capital</t>
  </si>
  <si>
    <t>93764-98T</t>
  </si>
  <si>
    <t>284388-58T</t>
  </si>
  <si>
    <t>133185-88T</t>
  </si>
  <si>
    <t>DataBot</t>
  </si>
  <si>
    <t>Developer of manufacturing operation software designed for the control, management, and optimization of industrial plants. The company's platform integrates advanced analytics with artificial intelligence and machine learning, an industrial IoT layer, cybersecurity, process historian, and key performance indicator management, enabling factories and industrial management to make use of production data to increase business value.</t>
  </si>
  <si>
    <t>94879-27T</t>
  </si>
  <si>
    <t>170846-65T</t>
  </si>
  <si>
    <t>133414-66T</t>
  </si>
  <si>
    <t>Duxx Investimentos</t>
  </si>
  <si>
    <t>276753-70T</t>
  </si>
  <si>
    <t>219878-92T</t>
  </si>
  <si>
    <t>EDP Starter, Oxigenio Aceleradora, Plug and Play Tech Center</t>
  </si>
  <si>
    <t>125280-01T</t>
  </si>
  <si>
    <t>93407-77T</t>
  </si>
  <si>
    <t>CJ CheilJedang (KRX: 097950)</t>
  </si>
  <si>
    <t>100734-40T</t>
  </si>
  <si>
    <t>Bike Registrada</t>
  </si>
  <si>
    <t>Operator of a bicycle registration platform intended to facilitate the identification of the bicycle. The company offers vital information about cyclists and emergency contact in case of an accident, sends robbery alerts, offers bike images, easy transfer of bike papers to new owners, facilitates theft alerts, and tracks bike location, enabling bike owners to protect their bicycle, register, and enjoy their quiet pedal.</t>
  </si>
  <si>
    <t>97558-39T</t>
  </si>
  <si>
    <t>Canary (Brazil), Indicator Capital, Polaris Investimentos</t>
  </si>
  <si>
    <t>90704-71T</t>
  </si>
  <si>
    <t>Elektro Redes (BVMF: EKTR3)</t>
  </si>
  <si>
    <t>Elektro - Eletricidade e Servicos SA is a power distribution company. The company is principally engaged in the transmission, distribution and generation of electric energy for industrial, residential and rural consumption, among others.</t>
  </si>
  <si>
    <t>Neoenergia (BVMF: NEOE3)(Solange Ribeiro)</t>
  </si>
  <si>
    <t>93299-86T</t>
  </si>
  <si>
    <t>100717-84T</t>
  </si>
  <si>
    <t>94870-00T</t>
  </si>
  <si>
    <t>284396-05T</t>
  </si>
  <si>
    <t>BeGreen Fazendas Urbanas</t>
  </si>
  <si>
    <t>Operator of a sustainable urban food farm intended to provide pesticide-free options for homes and restaurants. The company uses an urban farm network with hydroponic technology in greenhouses and controlled environments, enabling consumers and businesses to access fresh, locally grown produce year-round while reducing agricultural waste, minimizing resource consumption, and ensuring a reliable, environmentally friendly supply chain.</t>
  </si>
  <si>
    <t>284396-41T</t>
  </si>
  <si>
    <t>93191-95T</t>
  </si>
  <si>
    <t>93259-45T</t>
  </si>
  <si>
    <t>Ceratti</t>
  </si>
  <si>
    <t>Manufacturer of processed meat products based in Vinhedo, Brazil. The company produces mortadella hams, sausage and salami for Brazilian retail and provides a variety of meats including sliced and diced ham and pepperoni to operators across Brazil.</t>
  </si>
  <si>
    <t>Hormel Foods (NYS: HRL)(James Snee)</t>
  </si>
  <si>
    <t>291902-50T</t>
  </si>
  <si>
    <t>Corpesca do Brasil Emprendimientos</t>
  </si>
  <si>
    <t>Operator of fishery business based in Brazil.</t>
  </si>
  <si>
    <t>CJ (KRX: 001040), STIC Investments (KRX: 026890)</t>
  </si>
  <si>
    <t>250960-96T</t>
  </si>
  <si>
    <t>276119-02T</t>
  </si>
  <si>
    <t>MAIS FÁCIL</t>
  </si>
  <si>
    <t>Provider of credit card services intended for innovative financial strategies and fostering community connections. The company offers private label cards that connect businesses and communities with values like humility, ethics, teamwork, and continuous development, enabling customers to get tailored financial support for their needs.</t>
  </si>
  <si>
    <t>133037-56T</t>
  </si>
  <si>
    <t>Mprojects</t>
  </si>
  <si>
    <t>Developer of microfinance platform designed to aid banks in expanding their capillarity and generating new sources of revenue. The company's platform employs technologies like grid computing, full mobility, and the inclusion of the psychometric methodology, enabling the banks to generate productivity gains in the placement of credit.</t>
  </si>
  <si>
    <t>100719-73T</t>
  </si>
  <si>
    <t>4Legacy, Bossa Invest, Brazil Venture Capital(Mitsuru Nakayama), GVAngels(Ricardo Fogaça)</t>
  </si>
  <si>
    <t>123100-21T</t>
  </si>
  <si>
    <t>104457-70T</t>
  </si>
  <si>
    <t>67835-08T</t>
  </si>
  <si>
    <t>Citigroup (Retail banking Operations in Brazil)</t>
  </si>
  <si>
    <t>Provider of banking services. The company contains a portfolio of retail banking operations based in Brazil.</t>
  </si>
  <si>
    <t>Itaú Unibanco Holding (BVMF: ITUB3)(Marcelo Kopel)</t>
  </si>
  <si>
    <t>90171-82T</t>
  </si>
  <si>
    <t>Prologis Brazil</t>
  </si>
  <si>
    <t>Developer and manager of logistics condominiums intended to serve companies that need very high standard warehouses for their logistics operations. The company is engaged in the entire business cycle, covering land purchase, project development, construction, rental and administration of the property, placing properties strategically near easy access to major highways, shopping centers, and transportation corridors.</t>
  </si>
  <si>
    <t>Prologis (Acquired in 2011)</t>
  </si>
  <si>
    <t>110577-52T</t>
  </si>
  <si>
    <t>K-Startup Grand Challenge</t>
  </si>
  <si>
    <t>136121-77T</t>
  </si>
  <si>
    <t>DNA Capital (Investor)(Mario Ribeiro)</t>
  </si>
  <si>
    <t>275035-87T</t>
  </si>
  <si>
    <t>Celer Comercializadora</t>
  </si>
  <si>
    <t>Operator of electricity marketing company based in Brazil.</t>
  </si>
  <si>
    <t>Barra Malls Fundo De Investimento Imobiliario (BVMF: BTML11)(Rodolfo Riechert)</t>
  </si>
  <si>
    <t>212312-98T</t>
  </si>
  <si>
    <t>Pelissari</t>
  </si>
  <si>
    <t>Operator of a technology company intended to provide management and business solutions. The company provides management solutions, SAP tax solutions, SAP projects, SAP support and operations, enabling clients to avail quality business and management solutions.</t>
  </si>
  <si>
    <t>Cast Group</t>
  </si>
  <si>
    <t>92600-56T</t>
  </si>
  <si>
    <t>DeviceLab</t>
  </si>
  <si>
    <t>Developer of a cloud-based mobile app testing platform designed to help businesses test their apps on a variety of devices and operating systems. The company's offers a suite of tools for mobile app testing, including automated testing, manual testing, and real-time device lab, and also provides test results and analytics that can help businesses improve the quality of their apps, enabling developers to plan and run tests on real devices without leaving their workplace.</t>
  </si>
  <si>
    <t>KPTL, MSW Capital</t>
  </si>
  <si>
    <t>114452-47T</t>
  </si>
  <si>
    <t>Valepar</t>
  </si>
  <si>
    <t>Operator of a holding company. The company's services is mainly focused on iron ore mining and exploration services, enabling their clients to get expiration services.</t>
  </si>
  <si>
    <t>94335-67T</t>
  </si>
  <si>
    <t>210787-57T</t>
  </si>
  <si>
    <t>Inmetrics</t>
  </si>
  <si>
    <t>Provider of an information technology efficiency service intended to solve complex business problems. The company offers product development and digital platforms, quality, analytics, agile practices, and cloud and cybersecurity consulting services, enabling businesses to build strategies to tackle evolving technological structures.</t>
  </si>
  <si>
    <t>96352-39T</t>
  </si>
  <si>
    <t>Ceusa</t>
  </si>
  <si>
    <t>Manufacturer of wood and wall tiles and panels intended to serve the construction and interior decoration industry. The company's line of products includes dry joint, flossy and monotone texture wall, roof and floor tiles, thereby enabling its clients by offering a wide range of waterproof titles for building their end products.</t>
  </si>
  <si>
    <t>Dexco (BVMF: DXCO3)(Antonio de Oliveira)</t>
  </si>
  <si>
    <t>92388-52T</t>
  </si>
  <si>
    <t>Concrete Solutions (Brazil)</t>
  </si>
  <si>
    <t>Provider of information technology services intended to develop cloud-based mobile services and web applications. The company's services specializes in applying lean and agile software-development methodologies, enabling clients to meet their digital transformation needs.</t>
  </si>
  <si>
    <t>Accenture (NYS: ACN)(Ansano Baccelli)</t>
  </si>
  <si>
    <t>92548-81T</t>
  </si>
  <si>
    <t>GranEnergia Investimentos</t>
  </si>
  <si>
    <t>Provider of project management services. The company offers integrated, innovative services for the industry focusing on excellence, new technologies and state of the art assets.</t>
  </si>
  <si>
    <t>Indofin Group, Nordian Capital Partners, Royal IHC</t>
  </si>
  <si>
    <t>92466-19T</t>
  </si>
  <si>
    <t>500 Global(David McClure)</t>
  </si>
  <si>
    <t>105273-64T</t>
  </si>
  <si>
    <t>42K Investimentos, Bossa Invest, Carlos Mello(Carlos Mello), MSW Capital</t>
  </si>
  <si>
    <t>95895-82T</t>
  </si>
  <si>
    <t>99 Startups, AltaIR Capital, Brandhaus Capital Partners, e.bricks Ventures, FundersClub, German Ventures, Iporanga Ventures, KF Ventures, Novadea, ONEVC, Zillionize</t>
  </si>
  <si>
    <t>122934-61T</t>
  </si>
  <si>
    <t>258354-55T</t>
  </si>
  <si>
    <t>100877-68T</t>
  </si>
  <si>
    <t>100725-22T</t>
  </si>
  <si>
    <t>227440-09T</t>
  </si>
  <si>
    <t>UBS (Br) Recebiveis (BVMF: UBSR11)</t>
  </si>
  <si>
    <t>UBS (Br) Recebiveis Imobiliarios Fundo de Investimento Imobiliario is a real estate investment trust. Its objective is to invest in real estate projects, through the acquisition of Target Assets, or related rights.</t>
  </si>
  <si>
    <t>92246-41T</t>
  </si>
  <si>
    <t>Mundi Internet Business</t>
  </si>
  <si>
    <t>Operator of an online trip adviser and price comparison platform based in Rio de Janeiro, Brazil. The company's price comparison platform offers airline tickets price and hotel fare survey platform that enables users to find and compare the prices of flight tickets and hotels.</t>
  </si>
  <si>
    <t>KAYAK Software</t>
  </si>
  <si>
    <t>111149-56T</t>
  </si>
  <si>
    <t>BioStartup Lab</t>
  </si>
  <si>
    <t>79150-96T</t>
  </si>
  <si>
    <t>SmartMEI</t>
  </si>
  <si>
    <t>Developer of an automated tax and compliance application intended to get rid of bureaucracy. The company's application helps micro-entrepreneurs to manage and organize their legal and fiscal obligations, enabling users to manage bank accounts, issue invoices, generate tickets, and manage payments and receipts.</t>
  </si>
  <si>
    <t>Accion(Michael Schlein), Bossa Invest, Canary (Brazil), GE32 Capital, Graph Ventures</t>
  </si>
  <si>
    <t>71547-22T</t>
  </si>
  <si>
    <t>110062-81T</t>
  </si>
  <si>
    <t>Canary (Brazil), Kalei Ventures</t>
  </si>
  <si>
    <t>104701-87T</t>
  </si>
  <si>
    <t>77771-89T</t>
  </si>
  <si>
    <t>Monashees</t>
  </si>
  <si>
    <t>92301-49T</t>
  </si>
  <si>
    <t>Deltaplam Embalagens Industria e Comercio</t>
  </si>
  <si>
    <t>Manufacturer of packaging materials. The company's packaging materials include polyolefin films, multilayer coextruded films and laminated films, enabling packaging companies to get packaging with special characteristics for products that require a gas barrier, light and grease.</t>
  </si>
  <si>
    <t>Sealed Air (NYS: SEE)(Karl Deily)</t>
  </si>
  <si>
    <t>122938-66T</t>
  </si>
  <si>
    <t>155446-12T</t>
  </si>
  <si>
    <t>42K Investimentos, Bossa Invest</t>
  </si>
  <si>
    <t>103909-06T</t>
  </si>
  <si>
    <t>Todxs</t>
  </si>
  <si>
    <t>Operator of a social enterprise intended to promote LGBT rights in Brazil. The company's services focus on developing Web-based and mobile applications, publishing journals, circulating blogs, articles, and related resources promoting ways to raise awareness and democratic rights for LGBT communities, enabling LGBT, to voice social inclusion, reducing gender inequality and fight discrimination.</t>
  </si>
  <si>
    <t>Collective Global Accelerator</t>
  </si>
  <si>
    <t>97118-74T</t>
  </si>
  <si>
    <t>Valpar Comercial de Combustíveis Vale do Paraiso</t>
  </si>
  <si>
    <t>Distributor and supplier of fuel products in Brazil. The company's activities also include operation of gas stores, enabling customers to get gasoline and other fuel products as per requirement.</t>
  </si>
  <si>
    <t>89975-62T</t>
  </si>
  <si>
    <t>102176-56T</t>
  </si>
  <si>
    <t>Globalpack</t>
  </si>
  <si>
    <t>Manufacturer of plastic packaging components located in Sao Paulo, Brazil The company offers polyethylene films, liners and sacks products for packaging of deodorants and antiperspirants, thereby offering companies to present their products in recycled bottles which are sustainable and cost-effective.</t>
  </si>
  <si>
    <t>Deckel Comércio de Equipamentos</t>
  </si>
  <si>
    <t>94695-49T</t>
  </si>
  <si>
    <t>Smartcoat Engenharia De Revestimento</t>
  </si>
  <si>
    <t>Provider of surface preparation and painting services intended for offshore platforms and oil vessels. The company specializes in anti-corrosion painting, wet abrasive hydro blasting, surface treatment in industrial plants and tank painting.</t>
  </si>
  <si>
    <t>Leblon Equities, Priner Servicos Industriais (BVMF: PRNR3)(Tulio Cintra), Spectra Investments(Renato Abissamra)</t>
  </si>
  <si>
    <t>93697-75T</t>
  </si>
  <si>
    <t>YDUQS Participacoes SA is a Brazilian education company that focuses on postsecondary education. The company operates universities, colleges, and distance learning campuses across the country, with over 90 locations across 22 Brazilian states. It offers undergraduate, graduate, and professional designation programs to its students. Estacio Participacoes attracts middle- and lower-income workers across the country to its educational programs and enrolls over 500,000 students annually. Approximately 75% of enrollees study at the company's on-campus locations, which drive the majority of revenue for the company. Geographically, Estacio Participacoes operates the majority of its campuses around Rio de Janeiro.</t>
  </si>
  <si>
    <t>Advent International, OppenheimerFunds</t>
  </si>
  <si>
    <t>117740-44T</t>
  </si>
  <si>
    <t>91627-30T</t>
  </si>
  <si>
    <t>Tekbond</t>
  </si>
  <si>
    <t>Manufacturer and importer of adhesive products based in Embu das Artes, Brazil. The company offers instant adhesives, sealants, chemical locks and silicone for the construction, industrial, crafts, furniture, consumer products and automotive sectors, enabling reliability to customers in adhesion, fastening and sealing applications.</t>
  </si>
  <si>
    <t>92602-36T</t>
  </si>
  <si>
    <t>Desh Tecnologia</t>
  </si>
  <si>
    <t>Provider of wireless communication services intended to connect multiple services in a single network. The company offers a dedicated communication applications in the energy market, measurement, and automation and also can be used in various other applications of telemetry and communication machines, enabling businesses to build strong intercommunication links anywhere.</t>
  </si>
  <si>
    <t>130326-94T</t>
  </si>
  <si>
    <t>FORS Capital(Patrick Cannell), Monashees, Qualcomm Ventures(Carlos Kokron), Valor Capital Group</t>
  </si>
  <si>
    <t>125620-93T</t>
  </si>
  <si>
    <t>103142-08T</t>
  </si>
  <si>
    <t>QConsulting Serviços de Informática</t>
  </si>
  <si>
    <t>Developer of business intelligence consulting software platform designed to provide assistance in corporate decision-making process. The company's business intelligence consulting software platform is a partner consulting that specializes in the Qlick business intelligence software platform, enabling clients to generate maximum return on investment with the services.</t>
  </si>
  <si>
    <t>Keyrus (PAR: ALKEY)(Eric Cohen)</t>
  </si>
  <si>
    <t>86744-71T</t>
  </si>
  <si>
    <t>TPG Alternative &amp; Renewable Technologies(Roel Collier)</t>
  </si>
  <si>
    <t>93111-76T</t>
  </si>
  <si>
    <t>110092-06T</t>
  </si>
  <si>
    <t>IG4 Capital(Paulo Mattos), Singulare</t>
  </si>
  <si>
    <t>212357-35T</t>
  </si>
  <si>
    <t>Paranapanema (BVMF: PMAM3)</t>
  </si>
  <si>
    <t>Paranapanema SA is a Brazilian producer of copper and its alloys. The company is engaged in the production and sale of electrolytically refined copper, its byproducts, and related services, as well as the sale of semi-finished copper and its alloys. Its products include laminates, bars, profiles, tubes, rods, casts, manufactured and semi-manufactured industrial parts, and components. It only operates in the copper segment, which includes the production and sale of electrolytically refined copper, its byproducts, and related services, as well as semi-finished copper and its alloys. Geographically, the company operates in Europe, America, and Asia, of which a majority of its revenue is generated from the European markets.</t>
  </si>
  <si>
    <t>Glencore (LON: GLEN)</t>
  </si>
  <si>
    <t>91609-03T</t>
  </si>
  <si>
    <t>Atacadão</t>
  </si>
  <si>
    <t>Atacadao SA has three operating segments. The Retail segment comprises the operations of Carrefour-branded hypermarkets, supermarkets, and convenience store formats as well as drugstores, gas stations, and e-commerce platforms for the sale of non-food goods. The Cash and Carry segment, which is the key revenue driver, comprises the operations of wholesale and cash-carry stores that operate under the Atacadao brand. The Financial Solutions segment provides credit cards and consumer financing to its customers. Substantially, all of the group's revenues are derived from operations in Brazil.</t>
  </si>
  <si>
    <t>90903-88T</t>
  </si>
  <si>
    <t>Fnac (Brazil)</t>
  </si>
  <si>
    <t>Operator of a chain of retail stores. The company provides online cultural, leisure and technological products include books, CDs, DVDs, audio equipment, video, telephony, photography, arts, computers and services like free pocket shows, library facility, cafe and offers tickets for major events.</t>
  </si>
  <si>
    <t>Livraria Cultura</t>
  </si>
  <si>
    <t>86060-17T</t>
  </si>
  <si>
    <t>Fnac (Brazilian unit)</t>
  </si>
  <si>
    <t>Operator of a chain of retail stores. The company's retail stores sells books and recorded materials such as compact discs, cassettes, vinyl records and prerecorded videocassettes, enabling customers to buy books and music cassettes.</t>
  </si>
  <si>
    <t>Saraiva Livreiros</t>
  </si>
  <si>
    <t>94350-34T</t>
  </si>
  <si>
    <t>Global Startup Ecosystem</t>
  </si>
  <si>
    <t>107946-73T</t>
  </si>
  <si>
    <t>110070-55T</t>
  </si>
  <si>
    <t>97389-28T</t>
  </si>
  <si>
    <t>208535-68T</t>
  </si>
  <si>
    <t>209154-25T</t>
  </si>
  <si>
    <t>Pacific RDSL Participacoes</t>
  </si>
  <si>
    <t>Operator of an investment company based in Sao Paulo. The company engages in research of investment information, monitoring of portfolio performance as well as holding interests in other companies or non-corporate.</t>
  </si>
  <si>
    <t>268383-97T</t>
  </si>
  <si>
    <t>Pacto (Logistics)</t>
  </si>
  <si>
    <t>Operator of a vehicle auction company based in Sao Paulo, Brazil. The company engages in providing auction services.</t>
  </si>
  <si>
    <t>Manheim(Marcelo Valland)</t>
  </si>
  <si>
    <t>96688-45T</t>
  </si>
  <si>
    <t>Sucupira Tower</t>
  </si>
  <si>
    <t>A 24-story, 294,000 square foot corporate AAA office building located in Sao Paulo, Brazil. The asset has 5 basements, 1001 parking spaces and is pre-certified LEED Gold. It is part of the Parque da Cidade complex, close to the Morumbi Shopping and Market Place Shopping.</t>
  </si>
  <si>
    <t>137279-17T</t>
  </si>
  <si>
    <t>Lysa (Electronics (B2C)</t>
  </si>
  <si>
    <t>Developer of a robotic guide dog designed to collaborate with the visually impaired in a more assertive, practical, and economical way. The company's guide offers a robot that has an ultrasonic sensor that prevents collisions at height, an infrared sensor that prevents accidents with holes, obstacle detectors, and a rechargeable battery, enabling blind people to be provided with greater autonomy and quality of life.</t>
  </si>
  <si>
    <t>Caito Maia(Caito Maia), Camila Farani(Camila Farani), Cristiana Arcangeli(Cristiana Arcangeli), Robinson Shiba(Robinson Shiba)</t>
  </si>
  <si>
    <t>260470-18T</t>
  </si>
  <si>
    <t>90533-44T</t>
  </si>
  <si>
    <t>Bardusch Arrendamentos Texteis</t>
  </si>
  <si>
    <t>Provider of laundry and rental services intended to offer complete services while maintaining hygiene standards. The company's laundry and rental services is engaged in providing dresses and uniforms on lease and laundry services, enabling customers to receive the facility of the company.</t>
  </si>
  <si>
    <t>Elis Services (PAR: ELIS)(Xavier Martiré)</t>
  </si>
  <si>
    <t>300244-24T</t>
  </si>
  <si>
    <t>98022-52T</t>
  </si>
  <si>
    <t>91908-28T</t>
  </si>
  <si>
    <t>183319-39T</t>
  </si>
  <si>
    <t>Gilmar Pértile(Gilmar Pértile), M3 Investimentos, TM3 Capital</t>
  </si>
  <si>
    <t>95414-68T</t>
  </si>
  <si>
    <t>93568-96T</t>
  </si>
  <si>
    <t>Technicae Projetos e Serviços Automotivos</t>
  </si>
  <si>
    <t>Provider of automotive services. The company's services provides automotive maintenance, repair and overhaul services. It also distributes parts and accessories for its military customers.</t>
  </si>
  <si>
    <t>Mobility Systems</t>
  </si>
  <si>
    <t>102892-87T</t>
  </si>
  <si>
    <t>Parallel18(Sebastian Vidal)</t>
  </si>
  <si>
    <t>81689-59T</t>
  </si>
  <si>
    <t>Oticas Carol</t>
  </si>
  <si>
    <t>Retailer of optical goods based in Sorocaba, Brazil. The company specializes in operating an online platform for optical goods using anti-glare treatment, high precision and digital technology, thereby providing consumers with the highest quality at an affordable price.</t>
  </si>
  <si>
    <t>EssilorLuxottica (PAR: EL)(Leonardo Vecchio)</t>
  </si>
  <si>
    <t>225818-74T</t>
  </si>
  <si>
    <t>Ourinvest JPP Fundo (BVMF: OUJP11)</t>
  </si>
  <si>
    <t>Ourinvest Jpp Fundo Investimento Imobiliario - FII, formerly Ourinvest JPP Fundo de Investimento Imobiliario is a real estate investment trust engaged in investment in real estate sector.</t>
  </si>
  <si>
    <t>90249-49T</t>
  </si>
  <si>
    <t>Dacarto Benvic</t>
  </si>
  <si>
    <t>Manufacturer and distributor of PVC compounds and polyethylene piping system based in Osasco, Brazil. The company's portfolio includes PVC pressure pipes, storm water pipes and drain waste and vent (DWV) pipes, enabling construction, packaging, hospitals, automobile and footwear companies to use durable and light intermediate plastic equipment made of PVC.</t>
  </si>
  <si>
    <t>Dupre Empreendimentos e Participações, Tondela Empreendimentos e Participações, WR3C Empreendimentos e Participações</t>
  </si>
  <si>
    <t>90262-18T</t>
  </si>
  <si>
    <t>Bysoft</t>
  </si>
  <si>
    <t>Developer of a SaaS supply chain management and foreign trade processing software created for the optimization of international trade. The company's software helps in the consolidation of information in real-time and thus manages the flow of information between service providers, importers, and exporters and controls the movement of imports and exports, along with offering customs brokerage, government compliance, and freight forwarding, enabling foreign trade companies to streamline and simplify the trading process and thus save time and cost.</t>
  </si>
  <si>
    <t>WiseTech Global (ASX: WTC)(Richard White)</t>
  </si>
  <si>
    <t>224856-82T</t>
  </si>
  <si>
    <t>Intra Investimentos (BVMF: TGAR11)</t>
  </si>
  <si>
    <t>Fundo Investimento Imobiliario TG Ativo Real, formely TG Ativo Real Fundo de Investimento Imobiliario is a real estate investment trust engaged in the real estate sector.</t>
  </si>
  <si>
    <t>122376-97T</t>
  </si>
  <si>
    <t>90105-67T</t>
  </si>
  <si>
    <t>Nubeliu</t>
  </si>
  <si>
    <t>Developer of a cloud service management platform intended to optimize OpenStack infrastructure for integration. The company's SaaS-based platform integrates its programs with any cloud structure for providing consolidated visibility across the entire cloud ecosystem to effectively optimize resources and define governance policies for ongoing management, enabling businesses to analyze reports and governance in an efficient manner.</t>
  </si>
  <si>
    <t>Logicalis Group(Mark Rogers)</t>
  </si>
  <si>
    <t>113154-40T</t>
  </si>
  <si>
    <t>Agroanalitix</t>
  </si>
  <si>
    <t>Owner and operator of an agriculture company intended to focus on precision agriculture. The company's services aim to increase productivity and reduce costs, enabling them to monitor via satellite images.</t>
  </si>
  <si>
    <t>97632-19T</t>
  </si>
  <si>
    <t>224337-07T</t>
  </si>
  <si>
    <t>Lúcida</t>
  </si>
  <si>
    <t>Manufacturer of customized clothing based in Pirapora, Brazil.</t>
  </si>
  <si>
    <t>Zoly</t>
  </si>
  <si>
    <t>121588-93T</t>
  </si>
  <si>
    <t>267922-54T</t>
  </si>
  <si>
    <t>Operator of a consortium administrator located in Curitiba, Brazil. The company understands consortium as a financial planning tool and also as an investment, enabling the acquisition of goods and services with a focus on generating projects.</t>
  </si>
  <si>
    <t>91832-50T</t>
  </si>
  <si>
    <t>108244-90T</t>
  </si>
  <si>
    <t>Leste Group, Spectra Investments, Treecorp Investimentos (BVMF: TCPF11)(Bruno D'Ancona)</t>
  </si>
  <si>
    <t>99238-51T</t>
  </si>
  <si>
    <t>125622-82T</t>
  </si>
  <si>
    <t>211726-09T</t>
  </si>
  <si>
    <t>Sigma Mineracao</t>
  </si>
  <si>
    <t>Operator of a mineral extraction company based in Sao Paulo, Brazil. The company is engaged in the extraction of copper, lead, zinc ores and other non-ferrous metallic minerals, niobium and titanium ores.</t>
  </si>
  <si>
    <t>216056-62T</t>
  </si>
  <si>
    <t>SUPERCAMBIO</t>
  </si>
  <si>
    <t>Developer of an online exchange service platform intended to facilitate the purchase of foreign currency. The company's platform offers exchange operations, from payments for studies and services to transfers to family and businesses, enabling clients to execute global fund transfers with ease.</t>
  </si>
  <si>
    <t>257057-74T</t>
  </si>
  <si>
    <t>Faculdade Positivo Londrina</t>
  </si>
  <si>
    <t>Operator of a private higher education institution based in Londrina, Brazil. The company offers educational courses like administration, analysis and development of systems, accounting sciences new, hr management, logistics, marketing, computer networks new, executive MBA, LLM master of laws law and notarial and registration law.</t>
  </si>
  <si>
    <t>81951-94T</t>
  </si>
  <si>
    <t>Gran Tierra Energy Brazilian Operations</t>
  </si>
  <si>
    <t>Provider of oil and gas exploration services in the Reconcavo Basin, Brazil. The company's oil and gas exploration services include exploration in various drilling sites in the Reconcavo Basin spread over 41,606 gross acres with average production capacity of 1,500 boepd.</t>
  </si>
  <si>
    <t>Maha Energy (STO: MAHA A)(Karl Jonas Lindvall)</t>
  </si>
  <si>
    <t>103383-19T</t>
  </si>
  <si>
    <t>Bossa Invest, Endeavor Catalyst, FJ Labs, Lumia Capital, Monashees</t>
  </si>
  <si>
    <t>106057-81T</t>
  </si>
  <si>
    <t>93846-97T</t>
  </si>
  <si>
    <t>Noble Comercializadora de Energia</t>
  </si>
  <si>
    <t>Distributor of electric power.</t>
  </si>
  <si>
    <t>93125-71T</t>
  </si>
  <si>
    <t>Canary (Brazil), Patrick Sigrist(Patrick Sigrist), Valor Capital Group(Michael Nicklas), Yellow Ventures</t>
  </si>
  <si>
    <t>74585-08T</t>
  </si>
  <si>
    <t>133008-13T</t>
  </si>
  <si>
    <t>89662-06T</t>
  </si>
  <si>
    <t>79741-63T</t>
  </si>
  <si>
    <t>Brian Requarth(Brian Requarth), GE32 Capital, Kaszek, QED Investors, Qualcomm Ventures(Carlos Kokron)</t>
  </si>
  <si>
    <t>95889-88T</t>
  </si>
  <si>
    <t>66254-86T</t>
  </si>
  <si>
    <t>214881-58T</t>
  </si>
  <si>
    <t>Camila Farani(Camila Farani), João Appolinário(John Appolinário), Luiz Quinderé(Luiz Quinderé)</t>
  </si>
  <si>
    <t>94518-91T</t>
  </si>
  <si>
    <t>Smartbill</t>
  </si>
  <si>
    <t>Provider of a cloud-based subscription management system. The company's cloud-based subscription management system offers a platform that automates billing, revenue, invoicing and customer services agreements management, enabling companies of all sizes to join the subscription business model.</t>
  </si>
  <si>
    <t>Vindi(Rodrigo Dantas)</t>
  </si>
  <si>
    <t>293949-10T</t>
  </si>
  <si>
    <t>Uniconsult (Brazil)</t>
  </si>
  <si>
    <t>Provider of healthcare benefit administration services designed for medical plan management and regulatory compliance. The company offers health insurance coordination, policy adjustments, customer support services, financial reporting, and regulatory adherence measures, enabling individuals and organizations to access structured healthcare plans, maintain financial transparency, and ensure compliance with national health regulations through managed benefit administration.</t>
  </si>
  <si>
    <t>110269-90T</t>
  </si>
  <si>
    <t>Cafe do Ponto</t>
  </si>
  <si>
    <t>Operator of a coffee manufacturing company based in Barueri, Brazil. . The company offers a variety of roast and ground coffee as well as coffee beans.</t>
  </si>
  <si>
    <t>JDE Peet's (AMS: JDEP)(Lara Brans)</t>
  </si>
  <si>
    <t>224168-95T</t>
  </si>
  <si>
    <t>Kick Ventures</t>
  </si>
  <si>
    <t>101971-18T</t>
  </si>
  <si>
    <t>Apoema</t>
  </si>
  <si>
    <t>Provider of alternate asset management services. The company's activities is engaged in the management of corporate and mortgage portfolios.</t>
  </si>
  <si>
    <t>105837-85T</t>
  </si>
  <si>
    <t>My Personal Stylist</t>
  </si>
  <si>
    <t>Developer of an online personal stylist platform designed to offer personalized clothing tips and style recommendations. The company's platform allows to create an account, sign in, and appear for a fashion test to reveal their taste and preference for clothing and receive personalized information about fashion based on their individual choices of clothing, enabling women to stay updated and purchase dresses and accessories based on curated recommendations.</t>
  </si>
  <si>
    <t>90180-28T</t>
  </si>
  <si>
    <t>S.O.S Tecnologia e Educação</t>
  </si>
  <si>
    <t>Provider of technical education services based in São José do Rio, Brazil. The company offers education courses such as Masters of tech, digital business and digital arts.</t>
  </si>
  <si>
    <t>Grupo Prepara</t>
  </si>
  <si>
    <t>92968-03T</t>
  </si>
  <si>
    <t>A5 Capital Partners, Cedro Capital(Alessandro Machado), Cotidiano Aceleradora</t>
  </si>
  <si>
    <t>89386-84T</t>
  </si>
  <si>
    <t>Tecsus</t>
  </si>
  <si>
    <t>Developer of environmental applications and systems designed to improve the way natural resources are used. The company's technologies are applied in the water sanitation, electricity, and gas service for data transmission, reception, remote control devices, and information management, enabling clients to engage in waste reduction and management of resources seamlessly.</t>
  </si>
  <si>
    <t>85535-65T</t>
  </si>
  <si>
    <t>Terminal Portuário de Navegantes</t>
  </si>
  <si>
    <t>Operator of a logistics company specializing in port operations, maritime shipping, and supply chain management. The company offers cargo consolidation, storage, inventory management, and cross-docking services, enabling shipping companies to manage the cargo.</t>
  </si>
  <si>
    <t>MSC Mediterranean Shipping Company</t>
  </si>
  <si>
    <t>114806-17T</t>
  </si>
  <si>
    <t>Sportfood Licenciamento e Franchising</t>
  </si>
  <si>
    <t>Operator of a football club based in Sao Paulo, Brazil. The company's club owns the exclusive rights to develop fast-food chains utilizing the names of Brazil's premier football clubs.</t>
  </si>
  <si>
    <t>Redoma Capital</t>
  </si>
  <si>
    <t>223843-69T</t>
  </si>
  <si>
    <t>Even Permuta Kinea Fundo</t>
  </si>
  <si>
    <t>Even Permuta Kinea Fundo de Investimento Imobiliario is a real estate investment trust. The company invests in residential properties developed for sale.</t>
  </si>
  <si>
    <t>89442-10T</t>
  </si>
  <si>
    <t>Graber Sistemas</t>
  </si>
  <si>
    <t>Manufacturer of tracking and security products based in Sao Paulo, Brazil. The company's tracking and security services include vehicle tracking by satellite, personal security assistance along with offering crisis management services thereby, enabling clients to receive an efficient product and specialized support within their budget.</t>
  </si>
  <si>
    <t>GPS Participacoes E Empreendimentos (BVMF: GGPS3), Gávea Investimentos(Arminio Fraga), Warburg Pincus(Piero Minardi)</t>
  </si>
  <si>
    <t>115631-20T</t>
  </si>
  <si>
    <t>125621-38T</t>
  </si>
  <si>
    <t>90746-47T</t>
  </si>
  <si>
    <t>99115-48T</t>
  </si>
  <si>
    <t>Agro100</t>
  </si>
  <si>
    <t>Distributor of agricultural products based in Londrina, Brazil. The company distributes crop chemicals, fertilizers, micronutrients and seeds through its supply stores and grain receiving units, enabling farmers to avail agricultural products at competitive costs.</t>
  </si>
  <si>
    <t>AgroGalaxy, Aqua Capital(Sebastian Popik)</t>
  </si>
  <si>
    <t>117782-38T</t>
  </si>
  <si>
    <t>Smiles Fidelidade</t>
  </si>
  <si>
    <t>Provider of traveling agency services in Barueri, Brazil. The company offers travelers the benefits of car rentals, hotels around the world, products in online stores, credit cards and an exclusive club in which members accumulate many more miles, thereby helping customers to have transformative experiences.</t>
  </si>
  <si>
    <t>88672-33T</t>
  </si>
  <si>
    <t>Blackstone (NYS: BX)(Jasvinder Khaira), SDC Capital Partners</t>
  </si>
  <si>
    <t>91485-19T</t>
  </si>
  <si>
    <t>Betânia Lácteos</t>
  </si>
  <si>
    <t>Producer of dairy products intended to feed the body and inspire the heart. The company's range of milk products includes pasteurized milk, dairy drinks, yogurts, cheeses, curdles, dulce de leche and milk powder, helping promote dairy farming in Brazil region for both social and economic development.</t>
  </si>
  <si>
    <t>92595-97T</t>
  </si>
  <si>
    <t>Brazilian Development Bank, Crescera Capital, Criatec 2, Triaxis Capital</t>
  </si>
  <si>
    <t>94429-99T</t>
  </si>
  <si>
    <t>A.B.Seed Ventures, SP Ventures</t>
  </si>
  <si>
    <t>119768-41T</t>
  </si>
  <si>
    <t>Alboom</t>
  </si>
  <si>
    <t>Developer of a digital platform designed to offer website development services. The company's platform integrates several services such as the creation of a professional portfolio, a content blog, galleries, a designed editor, tablet, and mobile compatibility, all integrated with different social websites, enabling professional photographers and videographers to publish their content, customize the website, and grow their business.</t>
  </si>
  <si>
    <t>Fernando Campos(Fernando Campos), Flavio Guimaraes(Flavio Guimaraes), GAA Investments, South Capital</t>
  </si>
  <si>
    <t>299642-50T</t>
  </si>
  <si>
    <t>Fisher Venture Builder(Pietro Bonfiglioli)</t>
  </si>
  <si>
    <t>91366-66T</t>
  </si>
  <si>
    <t>Brasilveículos Companhia de Seguros</t>
  </si>
  <si>
    <t>Provider of insurance services. The company's insurance services include auto car insurance, car insurance and other automobile insurances, enabling customers to get protection of their automobiles at a low premium rate.</t>
  </si>
  <si>
    <t>Brasilseg Participações</t>
  </si>
  <si>
    <t>207347-95T</t>
  </si>
  <si>
    <t>DiskReparo</t>
  </si>
  <si>
    <t>Provider of bodywork and automotive painting repair services intended to serve the automotive industry. The company specializes in automotive breakdown repairs and exchange of accessories.</t>
  </si>
  <si>
    <t>Carglass(Luiz Novaes)</t>
  </si>
  <si>
    <t>124731-55T</t>
  </si>
  <si>
    <t>Bossa Invest, Fifty 5</t>
  </si>
  <si>
    <t>86445-46T</t>
  </si>
  <si>
    <t>Mineracao Vale Dos Reis</t>
  </si>
  <si>
    <t>Provider of gold exploration services. The company offers gold mining, production, exploration and distribution services throughout Brazil.</t>
  </si>
  <si>
    <t>Beadell Resources(Simon Jackson)</t>
  </si>
  <si>
    <t>125613-19T</t>
  </si>
  <si>
    <t>Argos (Marinho family company)</t>
  </si>
  <si>
    <t>284198-95T</t>
  </si>
  <si>
    <t>125978-59T</t>
  </si>
  <si>
    <t>88064-02T</t>
  </si>
  <si>
    <t>UBS Group (SWX: UBSG)(Alejandro Velez)</t>
  </si>
  <si>
    <t>96958-00T</t>
  </si>
  <si>
    <t>Vera Cruz Hospital</t>
  </si>
  <si>
    <t>Provider of general and maternal healthcare services in Campinas, Brazil. The company's hospitalization units and clinical centers are equipped with the technological capabilities to handle a variety of cases and emergencies and offer rehabilitation, chemotherapy, hemodynamics, radiology and laboratory facilities, helping patients with their health and well-being.</t>
  </si>
  <si>
    <t>Crescera Capital(Priscila Rodrigues)</t>
  </si>
  <si>
    <t>81310-87T</t>
  </si>
  <si>
    <t>Brasil Kirin</t>
  </si>
  <si>
    <t>Producer of beer and soft drinks. The company is a local brewer in Brazil offering a portfolio of craft beer and other beverages, including soft drinks, juices, energy drinks and water. Its brands include Schin, Wanton, Baden Baden, Eisenbahn, Kirin Ichiban, Cintra, Ice, Water Schin, Fibz, Ecco !, Viva Schin, Schin Tonic, ItubaÃna, Mini Schin, Fruthos and Skinka.</t>
  </si>
  <si>
    <t>Heineken (AMS: HEIA)(Didier Debrosse)</t>
  </si>
  <si>
    <t>146237-50T</t>
  </si>
  <si>
    <t>88453-90T</t>
  </si>
  <si>
    <t>Edata</t>
  </si>
  <si>
    <t>Developer of software designed for the meat and meat products industry. The company's software specializes in managing slaughterhouses, industrialized plants and distribution centers and is engaged in the planning, programming, production control and management of overweight, yields and breaks, OEE, quality, WMS, costs and full traceability of finished products.</t>
  </si>
  <si>
    <t>Munters (STO: MTRS)(Peter Gisel-Ekdahl)</t>
  </si>
  <si>
    <t>99434-98T</t>
  </si>
  <si>
    <t>Batavia</t>
  </si>
  <si>
    <t>Operator of a fast food restaurant chain intended to offer fresh, healthy and tasty food.</t>
  </si>
  <si>
    <t>Eatable Adventures(José Cabañero)</t>
  </si>
  <si>
    <t>93127-78T</t>
  </si>
  <si>
    <t>122662-27T</t>
  </si>
  <si>
    <t>DayBack</t>
  </si>
  <si>
    <t>Developer of an energy management platform designed to strategically manage energy usage for businesses. The company's platform collects real-time energy production and consumption data by connecting to switchboards, equipment, and generators that track watts generated and consumed, enabling clients to increase their energy efficiency, reduce costs, and preserve the environment.</t>
  </si>
  <si>
    <t>129734-29T</t>
  </si>
  <si>
    <t>Remoty (Business/Productivity Software)</t>
  </si>
  <si>
    <t>Developer of a cloud-based alarm event monitoring platform intended to help security monitoring centers improve efficiency and reduce cost. The company's platform offers real-time analytics, a mobile app for field technicians that sends picture messages and real-time alerts to the smartphone and gives remote access to program lighting and arm system, enabling security monitoring centers to monitor image, communication and management systems effectively.</t>
  </si>
  <si>
    <t>80758-63T</t>
  </si>
  <si>
    <t>Base10 Partners, DiDi Global (PINX: DIDIY)(Wei Cheng), GE32 Capital, Riverwood Capital, SoftBank Group (TKS: 9984), SoftBank Investment Advisers</t>
  </si>
  <si>
    <t>207977-41T</t>
  </si>
  <si>
    <t>88293-61T</t>
  </si>
  <si>
    <t>Gestamp Renewables (416 MW wind parks)</t>
  </si>
  <si>
    <t>Portfolio of wind parks in Brazil. The wind parks have a generating capacity of 416 megawatts.</t>
  </si>
  <si>
    <t>137274-85T</t>
  </si>
  <si>
    <t>215282-17T</t>
  </si>
  <si>
    <t>Aduana Web</t>
  </si>
  <si>
    <t>Developer of customs clearance platform designed to increase the productivity and competitiveness of customs processes and streamline customer service. The company's platform offers encryption, simultaneous access to all documents on the platform, follow-up features, automated validation, and process tracking, enabling clients from Latin American region to reduce the burden of bureaucracy in foreign trade.</t>
  </si>
  <si>
    <t>216239-59T</t>
  </si>
  <si>
    <t>Biovalens</t>
  </si>
  <si>
    <t>Manufacturer of biological pesticides intended to control plant pests and diseases. The company is engaged in the production and sale of inoculants and biological defensives focused on increasing the quality and production of food with a reduction in pesticides.</t>
  </si>
  <si>
    <t>262518-04T</t>
  </si>
  <si>
    <t>195913-90T</t>
  </si>
  <si>
    <t>159638-50T</t>
  </si>
  <si>
    <t>225820-45T</t>
  </si>
  <si>
    <t>Ouro Preto Investimentos</t>
  </si>
  <si>
    <t>Ouro Verde Desenvolvimento Imob I Fundo Inv Imob - FII, formerly Ouro Preto Gestao de Recursos SA is engaged in the management of investment funds. It does not sell or distribute shares of investment funds or any other financial asset.</t>
  </si>
  <si>
    <t>132151-42T</t>
  </si>
  <si>
    <t>Pluga</t>
  </si>
  <si>
    <t>Developer of an integration software designed to help automate daily operations. The company's software offers to integrate different software platforms for information management without writing a single line of code, enabling business enterprises to connect the essential tools, and helping their clients to save time.</t>
  </si>
  <si>
    <t>Bossa Invest, Fifty 5(Gerson Neto)</t>
  </si>
  <si>
    <t>88035-67T</t>
  </si>
  <si>
    <t>Casa dos Ventos (Two Wind Farms in Brazil)</t>
  </si>
  <si>
    <t>Portfolio of two wind farms in Brazil. The portfolio includes 130 Megawatt and 216 Megawatt of operating wind farms in Tiangua and São Clemente.</t>
  </si>
  <si>
    <t>Actis(Michael Till), Echoenergia</t>
  </si>
  <si>
    <t>125700-04T</t>
  </si>
  <si>
    <t>Exchangenow.net</t>
  </si>
  <si>
    <t>Developer of a currency exchange platform intended to find exchange rates for tourism, trade, investment, exports and imports. The company's platform helps compare real-time quotes from various currency types across multiple retailers and find low exchange rates, enabling clients to send and receive money from abroad quickly.</t>
  </si>
  <si>
    <t>Darwin Startups(Marcos Mueller)</t>
  </si>
  <si>
    <t>93112-30T</t>
  </si>
  <si>
    <t>4Legacy, Canary (Brazil)</t>
  </si>
  <si>
    <t>174558-07T</t>
  </si>
  <si>
    <t>2bCapital(Manuel de Sousa)</t>
  </si>
  <si>
    <t>87811-66T</t>
  </si>
  <si>
    <t>Redpoint eventures(Anderson Thees), Valor Capital Group(Antoine Colaço), VEF (STO: VEFAB)(David Nangle)</t>
  </si>
  <si>
    <t>90741-97T</t>
  </si>
  <si>
    <t>Scules</t>
  </si>
  <si>
    <t>Developer of mobile learning platform based in Brazil. The company's mobile learning platform offers sharing of lesson, tasks and teacher with learning data, enabling students and teachers to access a wide range of services for gaining their knowledge through a simple click.</t>
  </si>
  <si>
    <t>Groupe SEB (PAR: SK)</t>
  </si>
  <si>
    <t>125281-54T</t>
  </si>
  <si>
    <t>Cabeed</t>
  </si>
  <si>
    <t>Developer of a fashion social networking platform designed to promote fashion companies and connect their peers. The company's platform offers a custom timeline with interesting products and subjects as clothes or accessories, enabling users to find their choice of fashion item at one place at an affordable price.</t>
  </si>
  <si>
    <t>125280-73T</t>
  </si>
  <si>
    <t>simplicode</t>
  </si>
  <si>
    <t>Developer of a private lesson scheduling platform designed to practically connect teachers with elementary, middle, and high school students at a determined place and time. The company's platform finds the tutor according to the child's profile when the right tutor is selected the application allows the user to choose the time and place of the class and mode of payment, enabling students to schedule, cancel, and postpone classes directly by their phone.</t>
  </si>
  <si>
    <t>102096-19T</t>
  </si>
  <si>
    <t>FQM Divcom</t>
  </si>
  <si>
    <t>Provider of heath care products. The company's health care products include supplements, nutritional food, medicines and dermocosmetics, enabling their customers to access quality health care supplements and products.</t>
  </si>
  <si>
    <t>Farmoquimica.</t>
  </si>
  <si>
    <t>122947-75T</t>
  </si>
  <si>
    <t>87519-97T</t>
  </si>
  <si>
    <t>114187-42T</t>
  </si>
  <si>
    <t>Café Barão</t>
  </si>
  <si>
    <t>Producer of coffee products in Brazil. The company offers a variety of coffee products including coffee grains, cappuccino mixtures, traditional mixes, and other related products.</t>
  </si>
  <si>
    <t>Melitta Group Management(Marcelo Barbieri)</t>
  </si>
  <si>
    <t>79833-43T</t>
  </si>
  <si>
    <t>224160-13T</t>
  </si>
  <si>
    <t>GGR Covepi Renda FII (BVMF: GGRC11)</t>
  </si>
  <si>
    <t>Ggr Covipe Renda Fundo Investimento Imobiliario is a real estate investment trust. The company makes investments in commercial real estate, primarily in the industrial and logistics segments.</t>
  </si>
  <si>
    <t>87194-71T</t>
  </si>
  <si>
    <t>Itubombas Locação Comércio Importação E Exportação</t>
  </si>
  <si>
    <t>Provider of automatic priming motor pumps intended for large pumping services. The company's automatic priming motor pumps is specialized in the development of services for the engineering, leasing, sale and installation of diesel motor pumps with automatic priming.</t>
  </si>
  <si>
    <t>Atlas Copco (STO: ATCO A)</t>
  </si>
  <si>
    <t>291918-97T</t>
  </si>
  <si>
    <t>Mood Food Brasil</t>
  </si>
  <si>
    <t>Operator of a recipe platform intended to suggest people the ideal dish for them at that moment. The company's mission is to bring the culture of slow food, making people rediscover the pleasures and benefits of cooking and enjoying mealtime with presence, in the era of fast food, enabling people to get recipe videos developed by their chef.</t>
  </si>
  <si>
    <t>87220-54T</t>
  </si>
  <si>
    <t>Public Broker</t>
  </si>
  <si>
    <t>Distributor of health insurance products and occupational benefits. The company's health insurance products and occupational benefits include health management, health insurance, dental plan, life insurance, pension plans, medication plan, operational management and risk management services, enabling customers to get insurance product benefits.</t>
  </si>
  <si>
    <t>April Group(Emmanuel Morandini)</t>
  </si>
  <si>
    <t>112363-48T</t>
  </si>
  <si>
    <t>R2Tech Systems</t>
  </si>
  <si>
    <t>Developer of financial software. The company's financial software technology is engaged in providing multi-currency and multi-market products allow full control of financial activities in the management of receivables including bank reconciliation and debit / credit cards, billing and accounting, enabling clients to automate their financial processes and optimizing their internal controls.</t>
  </si>
  <si>
    <t>76838-77T</t>
  </si>
  <si>
    <t>DILA Capital(Alejandro Barroso)</t>
  </si>
  <si>
    <t>83137-60T</t>
  </si>
  <si>
    <t>AmstedMaxion</t>
  </si>
  <si>
    <t>Manufacturer of railway and industrial castings catering to the domestic and foreign markets. The company offers shock and traction systems, cast central beam ends, mirrors, sleepers, sides and connecting rods.</t>
  </si>
  <si>
    <t>The Greenbrier Companies (NYS: GBX)(William Furman)</t>
  </si>
  <si>
    <t>213395-23T</t>
  </si>
  <si>
    <t>102499-48T</t>
  </si>
  <si>
    <t>4Legacy, 5xmais, Bossa Invest, Bruno Paludo, Distrito Ventures(Bruno Paludo)</t>
  </si>
  <si>
    <t>125157-25T</t>
  </si>
  <si>
    <t>Luminae Energia</t>
  </si>
  <si>
    <t>Developer of energy efficiency system designed for commercial and industrial sectors. The company uses artificial intelligence to offer efficient lighting, real-time energy management, monitoring systems and customized photovoltaic energy projects, enabling clients to track and optimize their energy and utility consumption and become more sustainable and profitable in their businesses.</t>
  </si>
  <si>
    <t>111464-92T</t>
  </si>
  <si>
    <t>5xmais, BMG Uptech, Grão (São Paulo), Piero Contezini</t>
  </si>
  <si>
    <t>215635-69T</t>
  </si>
  <si>
    <t>Desenvolve SP</t>
  </si>
  <si>
    <t>36900-19T</t>
  </si>
  <si>
    <t>Shop2gether</t>
  </si>
  <si>
    <t>Operator of an online shopping platform intended to offer convenient and affordable fashion essentials. The company's platform offers a range of clothes, footwear, and accessories for both men and women to choose from, enabling shoppers to choose products of their own choice within their budget from the comfort of their homes.</t>
  </si>
  <si>
    <t>Real Capital Partners(Daniel Guimaraes)</t>
  </si>
  <si>
    <t>289841-05T</t>
  </si>
  <si>
    <t>Sunew</t>
  </si>
  <si>
    <t>Manufacturer of photovoltaic films intended to revolutionize the solar industries. The company provides photovoltaic films that are lightweight, flexible, allows different levels of transparency made from organic raw materials and produced through roll-to-roll printing from the deposition of polymer paint on a flexible plastic substrate, thereby enabling its clients around the world to generate clean energy with a low carbon footprint.</t>
  </si>
  <si>
    <t>BNDESpar</t>
  </si>
  <si>
    <t>155041-21T</t>
  </si>
  <si>
    <t>110579-05T</t>
  </si>
  <si>
    <t>Federal University of Fortaleza</t>
  </si>
  <si>
    <t>165824-83T</t>
  </si>
  <si>
    <t>EBANX, Honey Island Capital</t>
  </si>
  <si>
    <t>87013-72T</t>
  </si>
  <si>
    <t>Emmi (Switzerland) (SWX: EMMN)(Urs Riedener)</t>
  </si>
  <si>
    <t>74395-00T</t>
  </si>
  <si>
    <t>Brookfield Business Partners (TSE: BBU.UN), Brookfield Corporation (TSE: BN), Sumitomo (TKS: 8053)(Kuniharu Nakamura)</t>
  </si>
  <si>
    <t>128837-44T</t>
  </si>
  <si>
    <t>Blackbox (Palo Alto)</t>
  </si>
  <si>
    <t>86882-32T</t>
  </si>
  <si>
    <t>David Vélez(David Vélez), Edward Wible(Edward Wible), Gijs Delft(Gijs Delft)</t>
  </si>
  <si>
    <t>92342-89T</t>
  </si>
  <si>
    <t>Instituto Terapêutico Delta</t>
  </si>
  <si>
    <t>Manufacturer and distributor of over-the-counter dermatology pharmaceutical products intended to offer products that increase people's expectations and quality of life. The company's over-the-counter dermatology pharmaceutical products enable customers to avail medicines with focus on dermatology and neurology at a competitive price.</t>
  </si>
  <si>
    <t>Cellera Farmacêutica, Victoria Capital Partners(Mario Spinola e Castro)</t>
  </si>
  <si>
    <t>123192-28T</t>
  </si>
  <si>
    <t>111242-08T</t>
  </si>
  <si>
    <t>Clínica São Vicente</t>
  </si>
  <si>
    <t>Provider of healthcare and medical services intended to promote health in an ethical, human and personalized manner. The hospital offers care in different specialties, with emphasis on angiology and vascular surgery, general surgery, cardiology, medical clinic, neurology and neurosurgery, orthopedics and urology as well offer assistance units in cardiology, intensive and emergency medicine, and short stay bed. The dispensary also provides other specialized services such as hemodynamics, electrophysiology, diagnostic imaging, psychology, physiotherapy, phonoaudiology, and pharmacy.</t>
  </si>
  <si>
    <t>GIC Private(Wolfgang Schwerdtle), Rede D'Or São Luiz (BVMF: RDOR3), The Carlyle Group (NAS: CG)</t>
  </si>
  <si>
    <t>181497-34T</t>
  </si>
  <si>
    <t>Solis (Alternative Energy Equipment)</t>
  </si>
  <si>
    <t>Manufacturer of solar technology products designed to offer heating systems. The company specializes in equipment for solar heating systems including solar collectors and thermal reservoirs, and also offers expert technical and commercial support that helps in executing efficient solar projects, enabling the solar heating market to deliver quality solar products and ensure customer satisfaction.</t>
  </si>
  <si>
    <t>86790-79T</t>
  </si>
  <si>
    <t>Bzplan(Marcelo Wolowski), Invisto, Vesuvio Ventures</t>
  </si>
  <si>
    <t>86494-15T</t>
  </si>
  <si>
    <t>Olimpo Holding</t>
  </si>
  <si>
    <t>Provider of transportation services based in Campinas, Brazil. The company offers temperature-controlled transportation and has a strong reputation in terms of technology, quality and regulatory compliance for the life science and healthcare sector.</t>
  </si>
  <si>
    <t>DHL Supply Chain(Javier Bilbao)</t>
  </si>
  <si>
    <t>115640-11T</t>
  </si>
  <si>
    <t>Doity</t>
  </si>
  <si>
    <t>Developer of online event management platform designed to provide alternatives for all kinds of virtual and in-person events. The company's platform offers the creation of event websites, selling online submissions, receiving and evaluating scientific papers, conducting accreditation, issuing certificates, and sending satisfaction surveys to participants through cloud servers, enabling event organizers to have a better way to promote and organize a successful event.</t>
  </si>
  <si>
    <t>127532-62T</t>
  </si>
  <si>
    <t>Itaro</t>
  </si>
  <si>
    <t>Operator of an e-commerce portal intended to offer automotive parts. The company's portal offers an online marketplace providing automotive parts, accessories and a variety of makes and models with free installation.</t>
  </si>
  <si>
    <t>Pneustore Group(Humberto Cantu)</t>
  </si>
  <si>
    <t>153678-34T</t>
  </si>
  <si>
    <t>84985-12T</t>
  </si>
  <si>
    <t>82040-86T</t>
  </si>
  <si>
    <t>Azul (Air)</t>
  </si>
  <si>
    <t>Azul SA is involved in the operation of regular and non-regular airline passenger services, cargo or mail, passenger charter, provision of maintenance and hangarage services for aircraft, engines, parts and pieces, aircraft acquisition and lease, development of frequent-flyer programs, development of related activities and equity holding in other companies.</t>
  </si>
  <si>
    <t>213259-69T</t>
  </si>
  <si>
    <t>DocuSign (Digital Certification Business in Brazil)</t>
  </si>
  <si>
    <t>Provider of an electronic signature platform designed to replace traditional paper-based agreement process.</t>
  </si>
  <si>
    <t>Soluti(Michel Medeiros)</t>
  </si>
  <si>
    <t>81547-75T</t>
  </si>
  <si>
    <t>InfoServer</t>
  </si>
  <si>
    <t>Provider of custom application development and software deployment services designed to innovate, develop and offer outstanding services to the market. The company's software development services validate electronic transactions in devices such as display cards, cellular tokens, physical tokens, USB tokens, smart cards and biometric systems, enabling enterprises to optimize their IT processes.</t>
  </si>
  <si>
    <t>Wipro (BOM: 507685)(Ankur Prakash)</t>
  </si>
  <si>
    <t>69276-88T</t>
  </si>
  <si>
    <t>500 Startups LatAm, Barn Investimentos(Flavio Zaclis), César Salazar(César Salazar), FundersClub, Lumia Capital, Quasar Builders, Rocketship.vc, Sallfort Privatbank, South Ventures</t>
  </si>
  <si>
    <t>125980-75T</t>
  </si>
  <si>
    <t>188232-40T</t>
  </si>
  <si>
    <t>110403-64T</t>
  </si>
  <si>
    <t>Marcel Malczewski</t>
  </si>
  <si>
    <t>94993-57T</t>
  </si>
  <si>
    <t>Belagricola</t>
  </si>
  <si>
    <t>Provider of agricultural services based in Londrina, Brazil. The company's services include the preparation of soil, planting, monitoring of farms, inventory of supplies, harvesting, storage and commercialization of crops, thereby enabling customers to meet their agricultural needs on a daily basis.</t>
  </si>
  <si>
    <t>Pengdu Agriculture &amp; Animal Husbandry</t>
  </si>
  <si>
    <t>86192-65T</t>
  </si>
  <si>
    <t>66949-21T</t>
  </si>
  <si>
    <t>Nova Transportadora do Sudeste</t>
  </si>
  <si>
    <t>Operator of a natural gas pipeline system intended to connect the industrialized region of Brazil to other regions. The company's pipelines can distribute a large amount of gas every day, linking the states of Rio de Janeiro, Minas Gerais, and São Paulo to the Brazil-Bolivia gas pipeline and gas processing plants, enabling the country's natural gas transportation management to occur.</t>
  </si>
  <si>
    <t>Brookfield Corporation (TSE: BN)(Samuel Pollock), Itaúsa (BVMF: ITSA3)</t>
  </si>
  <si>
    <t>99230-68T</t>
  </si>
  <si>
    <t>Peltier Comércio e Industria (fiber optic)</t>
  </si>
  <si>
    <t>Manufacturer of fiber-optic products. The company's fiber-optic product includes optical fiber cable and light emitting diodes, enabling its clients to avail optic products for the purposes like internet communications and broadband.</t>
  </si>
  <si>
    <t>Reichle &amp; De-Massari(Roger Keller)</t>
  </si>
  <si>
    <t>219066-94T</t>
  </si>
  <si>
    <t>Premier IT Global Services</t>
  </si>
  <si>
    <t>Provider of IT consulting services based in Curitiba, Brazil. The company offers outsourcing, consulting and tools to optimize workloads, thereby helping clients with services that directly impact results, growth and development of new products.</t>
  </si>
  <si>
    <t>Quality Software (Information Technology) (BVMF: QUSW3)</t>
  </si>
  <si>
    <t>77393-17T</t>
  </si>
  <si>
    <t>QuantiQ Distribuidora</t>
  </si>
  <si>
    <t>Distributor of chemical and petrochemical-based solvents operating in many market segments, including adhesives, agribusiness, rubber, construction, pharma, food and paints. The company's products include petroleum-based inputs, intermediate chemicals, special chemicals, lubricants and pharmacon and also offers supply chain management, automotive and industrial lubricants production, storage and handling of chemical products and petrochemicals, packaging and laboratory analysis services.</t>
  </si>
  <si>
    <t>Advent International(Manuel Podestá), Grupo GTM(Michael van Marle)</t>
  </si>
  <si>
    <t>196158-88T</t>
  </si>
  <si>
    <t>33e34shoes</t>
  </si>
  <si>
    <t>Manufacturer of designer shoes intended to offer shoes with different designs to women. The company's products offer shoes in terms of brands, styles and colors to women in sizes 5 and 6, enabling customers to buy products of their choice with credit or debit card transactions and net banking as payment options.</t>
  </si>
  <si>
    <t>171937-36T</t>
  </si>
  <si>
    <t>Candeias Energia</t>
  </si>
  <si>
    <t>Operator of thermoelectric plants based in Candeias, Brazil. The company's power plant has a total capacity of 297.6 megawatts.</t>
  </si>
  <si>
    <t>Global Participações em Energia</t>
  </si>
  <si>
    <t>137269-63T</t>
  </si>
  <si>
    <t>124886-44T</t>
  </si>
  <si>
    <t>115629-31T</t>
  </si>
  <si>
    <t>120001-87T</t>
  </si>
  <si>
    <t>99453-34T</t>
  </si>
  <si>
    <t>Petrobras (gas transmission business)</t>
  </si>
  <si>
    <t>Provider of gas transmission services.</t>
  </si>
  <si>
    <t>Brookfield Infrastructure Partners (TSE: BIP.UN)</t>
  </si>
  <si>
    <t>256456-63T</t>
  </si>
  <si>
    <t>125962-39T</t>
  </si>
  <si>
    <t>Endeavor Catalyst</t>
  </si>
  <si>
    <t>110574-91T</t>
  </si>
  <si>
    <t>281130-67T</t>
  </si>
  <si>
    <t>Transmissora Serra da Mantiqueira</t>
  </si>
  <si>
    <t>Provider of electric utility services based in Sao Paulo, Brazil. The company offers electric distribution and conservation of surplus energy.</t>
  </si>
  <si>
    <t>Alupar (BVMF: ALUP3), Perfin Apollo Energia (SAO: PFIN 11)</t>
  </si>
  <si>
    <t>79116-22T</t>
  </si>
  <si>
    <t>206 MW Power Plants</t>
  </si>
  <si>
    <t>A 206 MW of contracted hydroelectric and co-generation operating assets. The portfolio consists of seven hydroelectric plants totaling 130 MW in the states of Bahia, Goiás and Rio de Janeiro and four high-efficiency co-generation facilities totaling 76 MW in Paraná, Rio de Janeiro and São Paulo.</t>
  </si>
  <si>
    <t>ContourGlobal(Joseph Brandt), Reservoir Capital Group(Craig Huff)</t>
  </si>
  <si>
    <t>105700-33T</t>
  </si>
  <si>
    <t>Crescera Capital, Criatec 2, Gr8 Ventures, Triaxis Capital</t>
  </si>
  <si>
    <t>92676-70T</t>
  </si>
  <si>
    <t>85780-90T</t>
  </si>
  <si>
    <t>Sistema Produtor São Lourenço</t>
  </si>
  <si>
    <t>Provider of water treatment system services for the municipalities of Barueri, Carapicuíba, Cotia, Itapevi, Jandira and Vargem Grande Paulista. The company's services are the operation, maintenance, conservation, and monitoring of a water treatment system and also supplies water.</t>
  </si>
  <si>
    <t>China Gezhouba Group Company</t>
  </si>
  <si>
    <t>98569-54T</t>
  </si>
  <si>
    <t>The Carlyle Group (NAS: CG)</t>
  </si>
  <si>
    <t>62695-00T</t>
  </si>
  <si>
    <t>Cetip</t>
  </si>
  <si>
    <t>Operator of a central securities depository and derivatives registrar for private fixed income securities and over the counter derivatives in Latin America. The company offers electronic trading, trade registration, custody, financial settlement, securities distribution, collateral management, and product development services.</t>
  </si>
  <si>
    <t>B3(Brazil) (BVMF: B3SA3)(Carlos Ferreira)</t>
  </si>
  <si>
    <t>110575-99T</t>
  </si>
  <si>
    <t>140859-46T</t>
  </si>
  <si>
    <t>111449-17T</t>
  </si>
  <si>
    <t>5xmais, ACE Ventures (Commercial Services), Ricardo Pinheiro Braga</t>
  </si>
  <si>
    <t>117960-22T</t>
  </si>
  <si>
    <t>Prisma Capital(Marcelo Hallack)</t>
  </si>
  <si>
    <t>98752-06T</t>
  </si>
  <si>
    <t>Wayra</t>
  </si>
  <si>
    <t>92056-87T</t>
  </si>
  <si>
    <t>Vallee (Brazil)</t>
  </si>
  <si>
    <t>Producer and distributor of animal health products. The company's animal health products include food products, vaccine, anti-inflammatory products and other related health products, enabling clients to get a wide range of animal health products under one roof.</t>
  </si>
  <si>
    <t>85202-29T</t>
  </si>
  <si>
    <t>Auto Ricci</t>
  </si>
  <si>
    <t>Provider of car rental services. The company's car rental services are provided by its 15,000 vehicles enabling corporations and individuals to get cars at a short notice.</t>
  </si>
  <si>
    <t>87780-34T</t>
  </si>
  <si>
    <t>Brasoil Manati Exploração Petrolífera</t>
  </si>
  <si>
    <t>Operator of an oil and gas company. The company is engaged in the production, development and exploration of oil and gas in Brazil, with its portfolio of assets which include a producing gas field, undeveloped gas projects and highly prospective exploration acreage.</t>
  </si>
  <si>
    <t>137197-27T</t>
  </si>
  <si>
    <t>Minha Vida</t>
  </si>
  <si>
    <t>Developer of a health and wellness website designed to offer information on beauty, food, health and well being. The company's platform offers editorial content, services and community tools that democratize health information, food and wellness, enabling clients to find their full potential through ethical work and improve their quality of life.</t>
  </si>
  <si>
    <t>Webedia</t>
  </si>
  <si>
    <t>109580-14T</t>
  </si>
  <si>
    <t>AppProva</t>
  </si>
  <si>
    <t>Provider of an education based application intended to prepare students for the Enem and college entrance exams. The company's education based application conducts test to examine the knowledge of students and diagnose students' difficulties and base pedagogical interventions, enabling users to improve content and skills proficiency.</t>
  </si>
  <si>
    <t>Somos Educação(Eduardo Mufarej)</t>
  </si>
  <si>
    <t>122378-59T</t>
  </si>
  <si>
    <t>85091-50T</t>
  </si>
  <si>
    <t>134429-32T</t>
  </si>
  <si>
    <t>Ogasec</t>
  </si>
  <si>
    <t>provider of a software as a service (SaaS) platform intended to offer IT security technologies. The company's software as a service (SaaS) platform provides Web and cyber defense systems, a combination of native virtual patching technology, enabling civil construction companies to filter Web content and remotely monitor it.</t>
  </si>
  <si>
    <t>263335-06T</t>
  </si>
  <si>
    <t>Cmg.Ing Participações</t>
  </si>
  <si>
    <t>257067-91T</t>
  </si>
  <si>
    <t>BCA Brasil</t>
  </si>
  <si>
    <t>Operator of an online vehicle auction platform intended to serve dealerships and fleet managers. The company streamlines the buying and selling of used cars for businesses through its platform, helping clients by offering transparent pricing, a wide selection of inspected vehicles, and logistics.</t>
  </si>
  <si>
    <t>BR Investimentos, BTG Pactual (BVMF: BPAC3), Crescera Capital(Jaime Cardoso), Equity International(Tom Heneghan), Estapar (BVMF: ALPK3), Franklin Templeton Global Private Equity, Treecorp Investimentos (BVMF: TCPF11)</t>
  </si>
  <si>
    <t>99649-54T</t>
  </si>
  <si>
    <t>Ycontent</t>
  </si>
  <si>
    <t>Provider of a video distribution network platform intended to recommend videos for publishers and websites. The company's video distribution network platform includes media buyers access to video views on local (Brazilian) premium publishers in the form of standard and interactive formats, enabling users to produce videos and link to any type of content produced.</t>
  </si>
  <si>
    <t>Predicta</t>
  </si>
  <si>
    <t>169229-44T</t>
  </si>
  <si>
    <t>Abengoa Construcao Brasil (Seven Transmission Lines in Brazil)</t>
  </si>
  <si>
    <t>A portfolio of seven brownfield transmission lines located in Brazil. The property is spread across a total of 3,532 km across 10 states in Brazil.</t>
  </si>
  <si>
    <t>TPG (NAS: TPG)</t>
  </si>
  <si>
    <t>75945-52T</t>
  </si>
  <si>
    <t>Voopter</t>
  </si>
  <si>
    <t>Operator of an airline ticket price search and comparison platform intended to save time and money while planning trips. The company's platform hosts a search engine and shows the best deals among different airlines and online travel agencies, enabling users to access flight deals suited to their needs.</t>
  </si>
  <si>
    <t>Global Founders Capital, No Borders Investment(Abdulla Khalid), Travel Capitalist Ventures</t>
  </si>
  <si>
    <t>84522-97T</t>
  </si>
  <si>
    <t>292001-32T</t>
  </si>
  <si>
    <t>Scanner Bovino</t>
  </si>
  <si>
    <t>Developer of a livestock management platform designed to enhance the productivity and efficiency of dairy farms. The company's platform addresses the challenge of high animal identification costs, providing affordable options for small and medium-sized producers who lack access to technology on their farms, enabling users to adopt precision livestock management practices effectively.</t>
  </si>
  <si>
    <t>72608-14T</t>
  </si>
  <si>
    <t>ViaQuatro</t>
  </si>
  <si>
    <t>Provider of passenger transportation services based in São Paulo, Brazil. The company is responsible for the operation and maintenance of Line 4-Yellow in the São Paulo subway through a concession contract.</t>
  </si>
  <si>
    <t>84375-01T</t>
  </si>
  <si>
    <t>Advent International(Mario Malta)</t>
  </si>
  <si>
    <t>264410-65T</t>
  </si>
  <si>
    <t>86171-95T</t>
  </si>
  <si>
    <t>99394-66T</t>
  </si>
  <si>
    <t>Ontex (BRU: ONTEX)(Charles Bouaziz)</t>
  </si>
  <si>
    <t>127612-81T</t>
  </si>
  <si>
    <t>Correia Curvaflex</t>
  </si>
  <si>
    <t>Developer of a conveyor belt technology designed to replace two or more conventional equipment. The company's bulk conveyor belt have a flexible design which provides the ability to make curves and sharp turns, enabling users to make increased productivity and reduced operating costs.</t>
  </si>
  <si>
    <t>291945-52T</t>
  </si>
  <si>
    <t>Sii Technology</t>
  </si>
  <si>
    <t>Developer of building automation and IoT products intended to save energy, optimize space, and manage employee time in large facilities. The company offers lighting and air conditioning control, A/V integration, service request management, presence detection, and environmental monitoring, enabling hospitals, universities, public buildings, hotels, and corporate offices to increase operational efficiency and security.</t>
  </si>
  <si>
    <t>291953-80T</t>
  </si>
  <si>
    <t>80661-34T</t>
  </si>
  <si>
    <t>Bela Ischia</t>
  </si>
  <si>
    <t>Producer of fruit juice and concentrates. The company specializes in production and distribution of fruit pulps, juices, nectar, syrups, frozen fruits, mates and sugar concentrates.</t>
  </si>
  <si>
    <t>86822-65T</t>
  </si>
  <si>
    <t>Ipanema Coffees</t>
  </si>
  <si>
    <t>Producer and marketer of specialty coffee based in Alfenas, Brazil. The company considers the characteristics of each area, soil, topography and altitude to produce high-quality coffee and also has a quality control team that determines the ideal cherry maturity level, the type of harvesting, batch classification, container loading and coffee shipping for clients.</t>
  </si>
  <si>
    <t>Tchibo</t>
  </si>
  <si>
    <t>84763-90T</t>
  </si>
  <si>
    <t>Rubaiyat</t>
  </si>
  <si>
    <t>Operator of a Brazilian restaurant group. The company's restaurants offers breads, wines and meats of the highest quality. It also operates ranches for the purpose of supplying meat.</t>
  </si>
  <si>
    <t>84708-55T</t>
  </si>
  <si>
    <t>UpPoints</t>
  </si>
  <si>
    <t>Provider of a retail data analytics platform designed to provide real-time data to industries for their businesses. The company's platform uses cameras, image recognition, and artificial intelligence to analyze data, enabling clients to stay updated on their stock data, and product assortment and generates numerical counts of their products displayed.</t>
  </si>
  <si>
    <t>284590-63T</t>
  </si>
  <si>
    <t>Reimagine Drone</t>
  </si>
  <si>
    <t>82382-23T</t>
  </si>
  <si>
    <t>Tumelero Materiais de Construção</t>
  </si>
  <si>
    <t>Distributor of building materials and hardware products intended to offer customers solutions for construction, renovation and maintenance. The company distributes and retails building materials, hardware products, decoration, kitchen, house organization products through its outlets to construction industry professionals and end-users.</t>
  </si>
  <si>
    <t>Saint-Gobain (PAR: SGO)(Pierre-Andre de Chalendar)</t>
  </si>
  <si>
    <t>34875-91T</t>
  </si>
  <si>
    <t>A5 Lab Innovation</t>
  </si>
  <si>
    <t>The company is currently operating in Stealth Mode.</t>
  </si>
  <si>
    <t>181060-21T</t>
  </si>
  <si>
    <t>215641-63T</t>
  </si>
  <si>
    <t>Felipe Santos(Felipe Santos), Fisher Venture Builder</t>
  </si>
  <si>
    <t>111533-86T</t>
  </si>
  <si>
    <t>Raiar</t>
  </si>
  <si>
    <t>125749-09T</t>
  </si>
  <si>
    <t>100884-07T</t>
  </si>
  <si>
    <t>202318-30T</t>
  </si>
  <si>
    <t>Kanoah</t>
  </si>
  <si>
    <t>Developer of software solutions designed for software testing professionals. The company provides ground-breaking solutions to software testing professionals on the Atlassian Jira platform.</t>
  </si>
  <si>
    <t>The Adaptavist Group(Simon Haighton-Williams)</t>
  </si>
  <si>
    <t>109752-94T</t>
  </si>
  <si>
    <t>34874-92T</t>
  </si>
  <si>
    <t>PoupeCompre</t>
  </si>
  <si>
    <t>Operator of a prepaid payment system designed to help clients choose the number of parcels according to their financial capacity. The company's system was created to expand access of people to purchase goods and services, enabling clients to select the number of installments and begin to prepay.</t>
  </si>
  <si>
    <t>180036-64T</t>
  </si>
  <si>
    <t>86164-03T</t>
  </si>
  <si>
    <t>2bCapital, Bank Bradesco (BVMF: BBDC3), Smart Money Ventures</t>
  </si>
  <si>
    <t>127413-73T</t>
  </si>
  <si>
    <t>SunEdison (1,500 MW of solar PV assets)</t>
  </si>
  <si>
    <t>1,500 MW of solar PV assets in Latin America. The assets include 578 MW of contracted projects in operation, construction or advanced development stage and over 1,000 MW of projects in early stage development.</t>
  </si>
  <si>
    <t>Actis(Michael Harrington), Atlas Renewable Energy(Carlos Barrera)</t>
  </si>
  <si>
    <t>120010-87T</t>
  </si>
  <si>
    <t>111403-27T</t>
  </si>
  <si>
    <t>Vesteer</t>
  </si>
  <si>
    <t>Provider of an online marketplace intended to makes it easy for anyone to create and sell high-quality products at no cost or risk. The company's platform powers all aspects of bringing a product to market, from design, sales, and customer service, to production, manufacturing, shipping and logistics, enabling entrepreneurs with an access to tools and technological resources to market great ideas and transform them into successful businesses and brand.</t>
  </si>
  <si>
    <t>83830-87T</t>
  </si>
  <si>
    <t>Align Technology Do Brasil</t>
  </si>
  <si>
    <t>Distributor of aligners. The company distributes aligners which are virtually invisible, removable, and custom-made to reposition misaligned teeth.</t>
  </si>
  <si>
    <t>Align Technology (NAS: ALGN)</t>
  </si>
  <si>
    <t>127678-42T</t>
  </si>
  <si>
    <t>Força Eólica do Brasil</t>
  </si>
  <si>
    <t>Builder of wind farms in Brazil. The company is engaged in building wind mills and developing wind projects. It also helps in generation of wind power.</t>
  </si>
  <si>
    <t>Iberdrola (MAD: IBE)</t>
  </si>
  <si>
    <t>125947-18T</t>
  </si>
  <si>
    <t>82812-16T</t>
  </si>
  <si>
    <t>International Finance (Washington D.C.), Kaszek(Nicolas Szekasy), Prosus Ventures, QED Investors, Quona Capital(Jonathan Whittle), Redpoint eventures(Manoel Lemos)</t>
  </si>
  <si>
    <t>82578-34T</t>
  </si>
  <si>
    <t>Cupcake Entertainment</t>
  </si>
  <si>
    <t>Developer of online casual gaming software created to provide brain and digital board games. The company's software designs and produces casual brain games or iOS, android, and facebook platforms and require users to make boards, or do mathematic combinations, enabling users to play games while sharpening their heads.</t>
  </si>
  <si>
    <t>Playlab (Bangkok)</t>
  </si>
  <si>
    <t>109669-69T</t>
  </si>
  <si>
    <t>88338-70T</t>
  </si>
  <si>
    <t>Canary (Brazil), FundersClub</t>
  </si>
  <si>
    <t>167449-15T</t>
  </si>
  <si>
    <t>Banco Porto Seguro, Oxigenio Aceleradora, Plug and Play Tech Center</t>
  </si>
  <si>
    <t>100878-13T</t>
  </si>
  <si>
    <t>OQvestir</t>
  </si>
  <si>
    <t>Developer of an e-commerce retail platform intended to sell apparel and other home decor items. The company's platform provides clothes, shoes, and accessories for women, home decoration, beds and other related products through its online platform, enabling users to shop through online platforms and avoid going to stores.</t>
  </si>
  <si>
    <t>Shop2gether(Eduardo Kyrillos)</t>
  </si>
  <si>
    <t>105838-30T</t>
  </si>
  <si>
    <t>82446-13T</t>
  </si>
  <si>
    <t>Adair Investments</t>
  </si>
  <si>
    <t>65876-59T</t>
  </si>
  <si>
    <t>292187-62T</t>
  </si>
  <si>
    <t>Cori (Specialty Retail)</t>
  </si>
  <si>
    <t>Operator of a ready-to-wear brand intended to provide quality women's clothing with sophistication and simplicity. The company offers clothes such as cori denim, dresses, and tailoring, blending fashion trends with a variety of designs, enabling customers to enjoy stylish and thoughtfully designed fashion.</t>
  </si>
  <si>
    <t>266374-36T</t>
  </si>
  <si>
    <t>Descarte Legal</t>
  </si>
  <si>
    <t>Developer of an online solid waste management platform designed to transport waste generated. The company's platform monitors the waste transported by companies attesting to environmental regularity, offers a safe place where generating companies can enter information regarding their waste within the platform, and, in an automated way, legally capable receiving or transporting companies will receive a quote request to carry out the disposal, enabling cities to manage waste properly.</t>
  </si>
  <si>
    <t>125701-75T</t>
  </si>
  <si>
    <t>264299-68T</t>
  </si>
  <si>
    <t>264303-55T</t>
  </si>
  <si>
    <t>266614-84T</t>
  </si>
  <si>
    <t>Malalai</t>
  </si>
  <si>
    <t>Developer of a mobile application designed for people who want to be free to move around alone more safely. The company's application and smart ring allow users to discreetly send an SMS and their location to designated contacts, while the application itself can also be used to send alerts, empowering users, particularly women, with a sense of security.</t>
  </si>
  <si>
    <t>265691-26T</t>
  </si>
  <si>
    <t>291936-07T</t>
  </si>
  <si>
    <t>Prodfy</t>
  </si>
  <si>
    <t>Developer of plant production control and monitoring technology designed to enhance the production process. The company's systems allow monitoring activities occurring in production in real time, such as quantification of different seedlings for designated production batches, tracking losses, recording the history of occurrences, and managing stock control of processed seeds with maturation monitoring, among other features, enabling users to optimize operations and improve efficiency.</t>
  </si>
  <si>
    <t>251369-29T</t>
  </si>
  <si>
    <t>Diamante FII (BVMF: DAMT11)</t>
  </si>
  <si>
    <t>Diamante Fundo Investimento Imobiliario aims to provide Shareholders with the appreciation and profitability of their Shares, through investment in commercial property type called SHOPPING VENTURA.</t>
  </si>
  <si>
    <t>79153-93T</t>
  </si>
  <si>
    <t>176626-54T</t>
  </si>
  <si>
    <t>Movida Participacoes (BVMF: MOVI3)</t>
  </si>
  <si>
    <t>Movida Participacoes SA through its subsidiaries is engaged in car rental activities in Brazil. The business activities of the group function through Rent a Car (RAC) and light vehicle fleet management and outsourcing segments. The Rent a car segment is responsible for car rental in stores located inside and outside airports, and Fleet Management and Outsourcing segment provides car rental services signed through long-term contracts with corporate clients. In addition, the group is also involved in the sale of used cars. Geographically activities are carried out in Brazil and the company derives revenue from rental activities.</t>
  </si>
  <si>
    <t>82338-13T</t>
  </si>
  <si>
    <t>122940-46T</t>
  </si>
  <si>
    <t>GVentures</t>
  </si>
  <si>
    <t>93727-27T</t>
  </si>
  <si>
    <t>Provale</t>
  </si>
  <si>
    <t>Manufacturer of calcium-carbonate mineral additives based in Vitória, Brazil. The company offers carbonates and dolomitic limestone for the steel, construction, oil exploration, food and beverage, and oral care industries, providing customers with a consistent supply of its products, and aiming for the growth and perpetuation of its business.</t>
  </si>
  <si>
    <t>Resource Capital Funds(Mason Hills)</t>
  </si>
  <si>
    <t>212271-22T</t>
  </si>
  <si>
    <t>86168-17T</t>
  </si>
  <si>
    <t>IZIO&amp;Co</t>
  </si>
  <si>
    <t>Developer of a data analytics platform designed to help create relationships with customers. The company's platform helps customers through the intensive use of retail information and CPF consumption, through their proprietary customer relationship services, and the use of a campaign manager, enabling clients to make hyper-segmented offers and promotions, through cashback or other such campaigns.</t>
  </si>
  <si>
    <t>Riverwood Capital</t>
  </si>
  <si>
    <t>123139-18T</t>
  </si>
  <si>
    <t>Mercode</t>
  </si>
  <si>
    <t>Operator of an online marketplace intended to simplify grocery shopping. The company's platform features a variety of food products and beverages and delivers them to users' doorsteps, enabling customers to order groceries online.</t>
  </si>
  <si>
    <t>Carlos Mello</t>
  </si>
  <si>
    <t>82418-14T</t>
  </si>
  <si>
    <t>Adespec Adesivos Especiais</t>
  </si>
  <si>
    <t>Manufacturer of adhesives and sealants designed to meet the needs of specific markets. The company's sealants and adhesives are flexible, adjustable to high and low temperatures, possess tensile strength, and are water-based, enabling cohesion necessary to bond and seal any type of substrate and the nullification of damage to people and the environment by gluing various substrates such as wood, leather, plastic, rubber, ceramics, metals, glass, styrofoam, among others, as well as registering better performance than adhesives which have toxic substances in their formulation.</t>
  </si>
  <si>
    <t>106015-33T</t>
  </si>
  <si>
    <t>Exten</t>
  </si>
  <si>
    <t>Provider of receivables prepayment services intended to increase the efficiency of the businesses. The company's services help to promote connections and establish sustainable and reliable relationships between customers and sellers, enabling the business to increase their productivity.</t>
  </si>
  <si>
    <t>Creation Investments Capital Management(Bryan Wagner), Quona Capital</t>
  </si>
  <si>
    <t>123103-36T</t>
  </si>
  <si>
    <t>69346-45T</t>
  </si>
  <si>
    <t>69218-56T</t>
  </si>
  <si>
    <t>85533-13T</t>
  </si>
  <si>
    <t>Authorship.me</t>
  </si>
  <si>
    <t>Developer of a web-based platform designed to help authors improve their writing style and speed and also help improve their productivity. The company's web-based platform provides automatic keyword extraction, valuable tips on readings and helps to explore and track writing metrics, enabling writers and copywriters to analyze their text and writing patterns.</t>
  </si>
  <si>
    <t>Next Media Accelerator(Nico Lumma)</t>
  </si>
  <si>
    <t>160504-03T</t>
  </si>
  <si>
    <t>Pablo Arrebola(Pablo Arrebola), SOSV, Tong Shen(Tong Shen), Wolf Nietzer(Wolf Nietzer)</t>
  </si>
  <si>
    <t>259965-55T</t>
  </si>
  <si>
    <t>Crebit (Other Financial Services)</t>
  </si>
  <si>
    <t>Provider of non-banking financial services intended to provide quality access to the national financial system for every young. The company develops an app-linked prepaid card for online payment methods for all day-to-day transactions as it is easy, fast, bureaucratic, and impossible to get into debt, enabling people to make purchases and subscribe to online services that were only possible for those with a traditional credit card.</t>
  </si>
  <si>
    <t>115650-19T</t>
  </si>
  <si>
    <t>Digital Influencers</t>
  </si>
  <si>
    <t>Developer of a digital platform intended to promote the brand. The company's platform allows the actions, carried out by the influencers, to be monitored in real time, showing the progress of the posts and valuable metrics to measure the impact and follow improving the results, enabling clients to advertise their product and services in an effective manner.</t>
  </si>
  <si>
    <t>93221-47T</t>
  </si>
  <si>
    <t>GrowthWorks</t>
  </si>
  <si>
    <t>223910-56T</t>
  </si>
  <si>
    <t>Fish (Movies, Music and Entertainment)</t>
  </si>
  <si>
    <t>Operator of an e-commerce platform based in Chile, Brazil.</t>
  </si>
  <si>
    <t>206348-86T</t>
  </si>
  <si>
    <t>IFCI Venture Capital Funds, Microsoft (NAS: MSFT)</t>
  </si>
  <si>
    <t>190295-02T</t>
  </si>
  <si>
    <t>Yubb</t>
  </si>
  <si>
    <t>Developer of an investment search engine platform designed to find investments and earn more than inflation. The company's platform offers to input the investment amount and redemption duration to get a filtered list comprising investment funds, fixed income, and variable income products, enabling clients to increase predictability and boost returns.</t>
  </si>
  <si>
    <t>82615-33T</t>
  </si>
  <si>
    <t>CVentures(Leopoldo Lima), Parallax Ventures</t>
  </si>
  <si>
    <t>155458-45T</t>
  </si>
  <si>
    <t>MundiLab</t>
  </si>
  <si>
    <t>99741-88T</t>
  </si>
  <si>
    <t>110047-24T</t>
  </si>
  <si>
    <t>107811-28T</t>
  </si>
  <si>
    <t>110046-97T</t>
  </si>
  <si>
    <t>107746-03T</t>
  </si>
  <si>
    <t>81901-36T</t>
  </si>
  <si>
    <t>Pueri Domus</t>
  </si>
  <si>
    <t>Provider of education services intended to inculcate students with knowledge and social responsibility. The company's education services include children's education using gestural and graphical training, digital classes and other extracurricular activities at lower prices, enabling students to enjoy quality education and wholesome character development.</t>
  </si>
  <si>
    <t>Grupo SEB do Brasil(Chaim Zaher)</t>
  </si>
  <si>
    <t>93127-87T</t>
  </si>
  <si>
    <t>Canary (Brazil), GE32 Capital</t>
  </si>
  <si>
    <t>110045-62T</t>
  </si>
  <si>
    <t>Yop (Internet Retail)</t>
  </si>
  <si>
    <t>Developer of a social commerce mobile marketplace intended for categories such as fashion, electronics, and sports goods. The company's platform offers listing of the products and permits users to chat with the sellers to resolve any queries, follow other users to track their key activities on the platform and is used for buying and selling used and new products with bargaining and chat features, enabling sellers and influencers to build their network and interact with the same to promote their product.</t>
  </si>
  <si>
    <t>81737-74T</t>
  </si>
  <si>
    <t>Braskem (Industrial Chemicals) (BVMF: BRKM3)(Fernando Musa)</t>
  </si>
  <si>
    <t>110323-36T</t>
  </si>
  <si>
    <t>GeoImovel</t>
  </si>
  <si>
    <t>Provider of real estate research and analytics services catering to real estate and financial sector, city halls and public bodies. The company's services include real estate research, valuation, acquisition, investment analysis and counseling services, thereby enabling clients to avail professional advisory services regarding real estate.</t>
  </si>
  <si>
    <t>VivaReal(Lucas Vargas)</t>
  </si>
  <si>
    <t>97587-10T</t>
  </si>
  <si>
    <t>Akaer</t>
  </si>
  <si>
    <t>Developer of aeronautical projects designed to integrate all technologies with emphasis on design for manufacturing and design for assembling. The company's activities include treatment, control, storage of classified information, planning, system engineering, system installation design, technical support for manufacturing and assembling and certification support, enabling aerospace and defense sectors to stay competitive even in turbulent times.</t>
  </si>
  <si>
    <t>Saab (STO: SAAB B)(Ulf Nilsson)</t>
  </si>
  <si>
    <t>84933-55T</t>
  </si>
  <si>
    <t>JDE Peet's (AMS: JDEP)</t>
  </si>
  <si>
    <t>72461-35T</t>
  </si>
  <si>
    <t>CPFL Energia (BVMF: CPFE3)</t>
  </si>
  <si>
    <t>CPFL Energia SA is the holding company of the CPFL Group, operating in Brazil's electricity sector, implementing and operating projects and concessions in the energy distribution, generation, transmission, and trading segments and related activities through its subsidiaries and affiliate companies. The Group's operating segments are electric energy distribution, electric energy generation, electric energy commercialization, and services rendered activities.</t>
  </si>
  <si>
    <t>State Grid</t>
  </si>
  <si>
    <t>84193-84T</t>
  </si>
  <si>
    <t>Tecnew</t>
  </si>
  <si>
    <t>Distributor of animal health products. The company's animal health products are distributed, stored, and marketed to veterinary clinics, enabling veterans to use it in animal health care techniques.</t>
  </si>
  <si>
    <t>89390-89T</t>
  </si>
  <si>
    <t>Embraer (A portfolio of five E-Jets)</t>
  </si>
  <si>
    <t>A portfolio of E-jets. The portfolio consists of three E170s and two E190s which is inclusive of an extended twin engine operation.</t>
  </si>
  <si>
    <t>Airlink(Rodger Foster), Nedbank (JSE: NED)</t>
  </si>
  <si>
    <t>123194-62T</t>
  </si>
  <si>
    <t>Gendo</t>
  </si>
  <si>
    <t>Developer of a management and scheduling platform designed to improve the attendance system. The company's platform helps to manage schedules in a timely and convenient manner by setting reminders, daily or weekly calendar views with customer history sheets, and other services, enabling clients to efficiently manage their employees in a hassle-free manner.</t>
  </si>
  <si>
    <t>81271-00T</t>
  </si>
  <si>
    <t>Acquavit</t>
  </si>
  <si>
    <t>Operator of wastewater treatment projects. The company's wastewater treatment project has expertise in advanced oxidation, disinfection processes, membrane systems and ion exchange systems, enabling the users to reuse waste water.</t>
  </si>
  <si>
    <t>RWL Water(Henry Charrabé)</t>
  </si>
  <si>
    <t>100089-37T</t>
  </si>
  <si>
    <t>JadLog Logistica</t>
  </si>
  <si>
    <t>Provider of logistics and fractional express cargo transport services based in Sao Paulo, Brazil. The company's freight forwarding services include documents and cargo transportation through a fleet of aircraft, cargo terminals and operational airline, as well as trucks and utility vehicles, thereby ensuring customers to get packages on time at their doorsteps.</t>
  </si>
  <si>
    <t>Geopost(Olivier Establet)</t>
  </si>
  <si>
    <t>228432-16T</t>
  </si>
  <si>
    <t>Learncafe</t>
  </si>
  <si>
    <t>Developer of an educational platform designed to offer different professional courses. The company's platform helps anyone to build an online course by using video, PDFs, audio, and zip files to build a course and share their expertise, enabling teachers and students to create educational videos and learn from them.</t>
  </si>
  <si>
    <t>106422-94T</t>
  </si>
  <si>
    <t>127524-07T</t>
  </si>
  <si>
    <t>Startup Farm(Alan Leite)</t>
  </si>
  <si>
    <t>133197-31T</t>
  </si>
  <si>
    <t>Rede Frete Fácil</t>
  </si>
  <si>
    <t>Provider of a collaborative logistics network intended to combine the demand for shippers with trucks available in high productivity cycles. The company offers tools that make it possible to make the transport service more accessible and facilitate the management of autonomous truck drivers, enabling businesses to find available truck drivers, control the hiring process and optimize the routes by forming collaborative circuits with other shippers.</t>
  </si>
  <si>
    <t>InovaBRA</t>
  </si>
  <si>
    <t>107959-33T</t>
  </si>
  <si>
    <t>Kipit Self Storage</t>
  </si>
  <si>
    <t>Provider of self-storage services in Brazil. The company's offerings include air-conditioned solutions for private lockers, boxes and mini-warehouses from 1 to 35 m², with flexible monthly lease contracts, individualized access control, easy movement and a 24-hour security guarantee, providing its users with safe and affordable space for all their storage needs.</t>
  </si>
  <si>
    <t>Equity International(Joshua Livingstone), GuardeAqui(Allan Paiotti), LaSalle Investment Management(Daniel Witte), Morgan Stanley Investment Management(David Boyle)</t>
  </si>
  <si>
    <t>224698-69T</t>
  </si>
  <si>
    <t>JT Prev Fundo de Investimento Imobiliario Desenvolvimento Habitacional (BVMF: JTPR11)</t>
  </si>
  <si>
    <t>Jt Prev Fundo Investimento Imobiliario Desenvolvimento Habitacional is a real estate investment trust engaged in real estate sector.</t>
  </si>
  <si>
    <t>213604-48T</t>
  </si>
  <si>
    <t>77678-92T</t>
  </si>
  <si>
    <t>Pharol SGPS (LIS: PHR)</t>
  </si>
  <si>
    <t>94563-82T</t>
  </si>
  <si>
    <t>Banco Pecunia</t>
  </si>
  <si>
    <t>Provider of consumer finance services in Jardim Paulista, Brazil. The company's consumer finance services include store financing services, vehicle financing services and other related services, enabling clients to receive easy and safe credit facilities.</t>
  </si>
  <si>
    <t>Omni (brazil)</t>
  </si>
  <si>
    <t>104707-00T</t>
  </si>
  <si>
    <t>Bolur Holdings</t>
  </si>
  <si>
    <t>80775-19T</t>
  </si>
  <si>
    <t>224553-70T</t>
  </si>
  <si>
    <t>Sefer Investimentos (BVMF: FISD11)</t>
  </si>
  <si>
    <t>Sao Domingos Fundo Investimento Imobiliario - FII, formely Sao Domingos Fundo de Investimento Imobiliario is a real estate investment trust. The company invests in marketable securities including shares, debentures, investment fund and investment club quotas, promissory notes, and credit products.</t>
  </si>
  <si>
    <t>56046-25T</t>
  </si>
  <si>
    <t>Amadeus Capital Partners(Patrick Burtis), CSC UpShot Ventures, Donald Hutchison(Donald Hutchison), Kevin Moore(Kevin Moore), Matthew Henderson(Matthew Henderson), Social Capital, Valar Ventures, Valor Capital Group(Antoine Colaço), ZenStone Venture Capital</t>
  </si>
  <si>
    <t>213478-93T</t>
  </si>
  <si>
    <t>99574-12T</t>
  </si>
  <si>
    <t>DiDi Global (PINX: DIDIY)(Wei Cheng), Riverwood Capital</t>
  </si>
  <si>
    <t>279250-93T</t>
  </si>
  <si>
    <t>A Caixinha</t>
  </si>
  <si>
    <t>Operator of a gift shop intended to provide gifts made by people for people. The company is currently operating in Stealth Mode.</t>
  </si>
  <si>
    <t>128857-96T</t>
  </si>
  <si>
    <t>Invest Tech</t>
  </si>
  <si>
    <t>127514-80T</t>
  </si>
  <si>
    <t>215942-59T</t>
  </si>
  <si>
    <t>Alba Energia Solar</t>
  </si>
  <si>
    <t>Provider of solar plant systems intended to help in conserving nature. The company offers solar panels that can be installed on any roof and help in the reduction of carbon emissions, enabling clients to save cost on their electricity bills by adopting solar power technology.</t>
  </si>
  <si>
    <t>133415-56T</t>
  </si>
  <si>
    <t>Amar Assist</t>
  </si>
  <si>
    <t>Operator of a digital funeral plans platform intended to carry out the complete management of a funeral. The company's platform offers digital insurance assistance tools with a focus on health and financial well-being and protection, as well as funeral plans for the deceased, enabling clients to carry out consultations and operations in a transparent and secure way.</t>
  </si>
  <si>
    <t>Duxx Investimentos, Rodrigo Guerra(Rodrigo Guerra)</t>
  </si>
  <si>
    <t>292178-89T</t>
  </si>
  <si>
    <t>Aprovador</t>
  </si>
  <si>
    <t>Developer of corporate mobile approval applications designed for enterprise process digitization. The company's platform integrates with major Enterprise Resource Planning (ERP) systems, offers offline access, real-time notifications, and customizable workflows, enabling clients to streamline approvals and enhance operational agility.</t>
  </si>
  <si>
    <t>292177-63T</t>
  </si>
  <si>
    <t>Arise Automacao</t>
  </si>
  <si>
    <t>Provider of intelligent home automation solutions intended to create a connected, decision-making environment accessible from anywhere. The company's products are available from their distributors and partners, who are ready to assist people from the design phase to the delivery of the operating system, enabling people to enjoy seamless control, convenience, and comfort in their homes.</t>
  </si>
  <si>
    <t>209545-93T</t>
  </si>
  <si>
    <t>Arkivus Soluções Tecnológicas</t>
  </si>
  <si>
    <t>Developer of information technology solutions intended to create easy-to-use automated solutions. The company specializes in electronic document management, test correction systems, template reading software, credit card and enterprise content management and all this can be protected by facial biometrics, thereby helping clients to protect their information from potential scammers.</t>
  </si>
  <si>
    <t>100659-61T</t>
  </si>
  <si>
    <t>100660-78T</t>
  </si>
  <si>
    <t>273403-09T</t>
  </si>
  <si>
    <t>213518-71T</t>
  </si>
  <si>
    <t>Banco C6 Consignado</t>
  </si>
  <si>
    <t>Provider of financial management services based in São Paulo, Brazil. The company provides a wide range of investment, portfolio management and financial management services, enabling clients to avail quality financial services.</t>
  </si>
  <si>
    <t>207282-16T</t>
  </si>
  <si>
    <t>Benner Sistemas</t>
  </si>
  <si>
    <t>Developer of business management software intended to simplify management processes. The company offers services in the areas of health management, human resources management, legal management, logistics management, ERP (Enterprise Resource Planning), and corporate tourism, helping businesses improve their efficiency and optimize their results.</t>
  </si>
  <si>
    <t>Nexto Investments</t>
  </si>
  <si>
    <t>284434-57T</t>
  </si>
  <si>
    <t>201136-42T</t>
  </si>
  <si>
    <t>284254-12T</t>
  </si>
  <si>
    <t>292182-13T</t>
  </si>
  <si>
    <t>Cfaz.net</t>
  </si>
  <si>
    <t>Provider of cloud-based healthcare management platforms intended for clinical operations and diagnostic imaging workflows. The company offers electronic health records, RIS/PACS integration, financial administration tools, and exam distribution via WhatsApp, enabling hospitals, clinics, and radiology centers to streamline patient care and administrative processes.</t>
  </si>
  <si>
    <t>130553-83T</t>
  </si>
  <si>
    <t>Monashees(Eric Acher), Temasek Holdings(Mariana Moura Wyatt)</t>
  </si>
  <si>
    <t>125597-08T</t>
  </si>
  <si>
    <t>119995-93T</t>
  </si>
  <si>
    <t>266764-51T</t>
  </si>
  <si>
    <t>Confere Cartoes</t>
  </si>
  <si>
    <t>Operator of a fintech company based Sao Paulo, Brazil. The company integrates and automates the sales of different card machines in one place and the options, helpsing companies control the entire flow of sales by card from the time of sale to the entry of the credit into account.</t>
  </si>
  <si>
    <t>156125-26T</t>
  </si>
  <si>
    <t>Consolidar</t>
  </si>
  <si>
    <t>Operator of an education company intended to promote the diversity and labor inclusion of people. The company specializes in learning programs through the pedagogical process and improves the retention of the presented content, enabling companies to have diversity and inclusion in their organizational environment.</t>
  </si>
  <si>
    <t>110007-73T</t>
  </si>
  <si>
    <t>Consolide</t>
  </si>
  <si>
    <t>Developer of trademark labeling software intended to register brands online. The company's platform offers to keep the brands valid and allows them to get renewed for equal and successive periods in a secure manner, enabling its clients to grow their business by avoiding plagiarism and misuse of the brand efficiently.</t>
  </si>
  <si>
    <t>259823-08T</t>
  </si>
  <si>
    <t>259964-47T</t>
  </si>
  <si>
    <t>259968-61T</t>
  </si>
  <si>
    <t>292579-93T</t>
  </si>
  <si>
    <t>Da Ilha</t>
  </si>
  <si>
    <t>Producer of household and industrial cleaning products built to meet the disinfection and hygiene needs of homes and businesses. The company provides products that include alcohol-based and multipurpose cleaning solutions recognized for their consistent quality and wide applicability, enabling businesses and households to maintain effective hygiene standards.</t>
  </si>
  <si>
    <t>183565-72T</t>
  </si>
  <si>
    <t>248772-52T</t>
  </si>
  <si>
    <t>125272-27T</t>
  </si>
  <si>
    <t>290275-30T</t>
  </si>
  <si>
    <t>Drogaria Rosario</t>
  </si>
  <si>
    <t>Operator of a pharmaceutical retail chain based in Rio de Janeiro, Brazil. The company offers a wide range of pharmaceutical products, personal care items, and medical supplies.</t>
  </si>
  <si>
    <t>D1000 Varejo Farma (BVMF: DMVF3)</t>
  </si>
  <si>
    <t>106630-30T</t>
  </si>
  <si>
    <t>Durametal</t>
  </si>
  <si>
    <t>Manufacturer of automotive parts. The company's automotive parts offerings include brake drums, brake drum hubs, brake wheels and wheel hubs.</t>
  </si>
  <si>
    <t>CIE Automotive (MAD: CIE)</t>
  </si>
  <si>
    <t>121832-83T</t>
  </si>
  <si>
    <t>Escala11</t>
  </si>
  <si>
    <t>Provider of a daily fantasy sports website intended to offer competition and win prizes The company's website several free championship to train users skills, it also creates championships with matches of the week and allows to invite friends to compete, providing soccer fans with a platform to bet and win cash rewards.</t>
  </si>
  <si>
    <t>StartFast Ventures</t>
  </si>
  <si>
    <t>124785-46T</t>
  </si>
  <si>
    <t>292207-78T</t>
  </si>
  <si>
    <t>EuNenem</t>
  </si>
  <si>
    <t>Operator of an online baby shower platform designed for pregnant women and new mothers. The company's platform allows users to create gift lists, share them with friends and family, and withdraw in cash, helping to raise funds to reduce pregnancy costs through interactions with loved ones, enabling users to celebrate milestones and manage their journey with ease.</t>
  </si>
  <si>
    <t>243882-46T</t>
  </si>
  <si>
    <t>252466-21T</t>
  </si>
  <si>
    <t>George Aubert</t>
  </si>
  <si>
    <t>Producer of a winery based in Brazil. The company offers a variety of wines.</t>
  </si>
  <si>
    <t>CRS Brands(Alexandre Wolff)</t>
  </si>
  <si>
    <t>97354-45T</t>
  </si>
  <si>
    <t>86615-38T</t>
  </si>
  <si>
    <t>GTMS Equipamentos Elétricos</t>
  </si>
  <si>
    <t>Manufacturer and seller of electric power systems operating equipment up to 550 kV. The company's electric power systems include medium and high voltage disconnectors, ranging from 15 kV to 245 kV enabling growing group of customers operating in generation, transmission and distribution of energy avail high quality standards, fair price, within negotiated deadlines.</t>
  </si>
  <si>
    <t>Hubbell (Electrical Equipment) (NYS: HUBB)</t>
  </si>
  <si>
    <t>93140-20T</t>
  </si>
  <si>
    <t>277244-92T</t>
  </si>
  <si>
    <t>262013-59T</t>
  </si>
  <si>
    <t>111385-18T</t>
  </si>
  <si>
    <t>264297-52T</t>
  </si>
  <si>
    <t>124309-00T</t>
  </si>
  <si>
    <t>iU App</t>
  </si>
  <si>
    <t>Developer of a transaction platform designed to send and receive money. The company's platform assists in sending and receiving money, buying mobile recharge, game credits and many more, enabling users to transact online and avail offers.</t>
  </si>
  <si>
    <t>Wayra(Renato Valente)</t>
  </si>
  <si>
    <t>119834-38T</t>
  </si>
  <si>
    <t>Stratus (Investor)(Alberto Camões)</t>
  </si>
  <si>
    <t>110613-61T</t>
  </si>
  <si>
    <t>Future Education Accelerator</t>
  </si>
  <si>
    <t>266772-43T</t>
  </si>
  <si>
    <t>Klooks</t>
  </si>
  <si>
    <t>Developer of financial intelligence platform designed to explore sectoral and corporate financial data of private companies. The company's platform features automation, data delivery via API, and a vast database of financial statements, enabling the financial services sector to streamline credit analysis processes and gain deeper insights into private company finances.</t>
  </si>
  <si>
    <t>115539-94T</t>
  </si>
  <si>
    <t>200712-16T</t>
  </si>
  <si>
    <t>Lingoabroad</t>
  </si>
  <si>
    <t>Developer of a price comparison platform designed to let users compare exchange prices and features from different international language schools. The company's platform lists travel agencies and language schools selling language courses based on price, payment plans, and student reviews, enabling students to choose the desired language course abroad at the lowest price, thereby helping them find the ideal exchange with the appropriate cost-benefit ratio.</t>
  </si>
  <si>
    <t>VentureLab (Lund)</t>
  </si>
  <si>
    <t>292651-66T</t>
  </si>
  <si>
    <t>Linkker (Business/Productivity Software)</t>
  </si>
  <si>
    <t>Developer of technical tools intended for store retailers. The company offers professional, ccientific, and technical tools and services.</t>
  </si>
  <si>
    <t>100331-83T</t>
  </si>
  <si>
    <t>100332-82T</t>
  </si>
  <si>
    <t>Chivas Brothers International</t>
  </si>
  <si>
    <t>266766-94T</t>
  </si>
  <si>
    <t>100723-06T</t>
  </si>
  <si>
    <t>284420-53T</t>
  </si>
  <si>
    <t>200287-18T</t>
  </si>
  <si>
    <t>MARTEX Cryptocurrency</t>
  </si>
  <si>
    <t>Developer of a decentralized digital currency designed to facilitate anonymous transactions in the blockchain. The company permits users to maintain a digital wallet through which they can make anonymous transactions on the network, enabling people to get access to a decentralized currency that helps with transferring value online at low rates.</t>
  </si>
  <si>
    <t>Edilene Ferreira(Edilene Ferreira), Maurício Formigli(Maurício Formigli)</t>
  </si>
  <si>
    <t>108257-41T</t>
  </si>
  <si>
    <t>125341-12T</t>
  </si>
  <si>
    <t>StartUCS</t>
  </si>
  <si>
    <t>140639-23T</t>
  </si>
  <si>
    <t>264301-84T</t>
  </si>
  <si>
    <t>MobQi</t>
  </si>
  <si>
    <t>Developer of a ride-booking application designed to improve urban mobility. The company's application uses an integrated system that allows the management and sharing of urban mobility data, enabling users to move through the city in a hassle-free way.</t>
  </si>
  <si>
    <t>204591-07T</t>
  </si>
  <si>
    <t>Nota 10</t>
  </si>
  <si>
    <t>Provider of educational training intended to serve children from early childhood education to pre-university. The company enables students to direct their studies and suppress their main doubts and take the routine and everyday life of the classrooms into the homes of our students, thereby training conscientious individuals, capable of dimensioning and resizing their knowledge and contributing to the common good, using their intellectual and leadership skills.</t>
  </si>
  <si>
    <t>Gera Venture Capital, Salta Educacao</t>
  </si>
  <si>
    <t>215640-19T</t>
  </si>
  <si>
    <t>114189-49T</t>
  </si>
  <si>
    <t>Operator of a cosmetic brand intended to offer cosmetics and perfumery in Brazil and UAE. The company offers a variety of perfumes, makeup products and accessories, shampoos, conditioners, skincare products and other beauty accessories, enabling consumers to get quality branded products at a reasonable price.</t>
  </si>
  <si>
    <t>242350-30T</t>
  </si>
  <si>
    <t>Globo Ventures</t>
  </si>
  <si>
    <t>111150-46T</t>
  </si>
  <si>
    <t>111150-82T</t>
  </si>
  <si>
    <t>98732-26T</t>
  </si>
  <si>
    <t>Pagcoin</t>
  </si>
  <si>
    <t>Provider of an online payment gateway intended to accept and process transactions with the virtual currency. The company's gateway utilizes Bitcoin for buying and selling of goods that automatically converts all transaction to real and deposits the value into the merchant's bank account, enabling e-commerce companies to reduce cost of fees.</t>
  </si>
  <si>
    <t>Wayra(Luis Solana Madariaga)</t>
  </si>
  <si>
    <t>91647-19T</t>
  </si>
  <si>
    <t>PagFacil</t>
  </si>
  <si>
    <t>Provider of payment services. The company's payment services include distribution of retail products and services through the capillarity of its Network, offers convenience for billing services, enabling customers to get easy payment services according to their needs.</t>
  </si>
  <si>
    <t>Brink's (NYS: BCO)</t>
  </si>
  <si>
    <t>126133-48T</t>
  </si>
  <si>
    <t>Parpe</t>
  </si>
  <si>
    <t>Developer of an online mobility platform designed to enable car rentals between people. The company platform offers to carshare (peer-to-peer), renting and rent and share services by connecting people who own a stationary car with individuals who need a car, thereby helping consumers to find and hire cars as per their requirements and choice.</t>
  </si>
  <si>
    <t>Olisipo Way</t>
  </si>
  <si>
    <t>140328-01T</t>
  </si>
  <si>
    <t>286693-93T</t>
  </si>
  <si>
    <t>Accelerate2030</t>
  </si>
  <si>
    <t>103821-04T</t>
  </si>
  <si>
    <t>295303-33T</t>
  </si>
  <si>
    <t>199506-97T</t>
  </si>
  <si>
    <t>Radiocare Serviços Médicos Especializados</t>
  </si>
  <si>
    <t>Operator of radiotherapy care center based in Belo Horizonte, Brazil. The company offers individualized care, carried out by a team of radio-oncologists, technicians, nurses and physicists, helping patients make an informed decisions about their health and improve their quality of life.</t>
  </si>
  <si>
    <t>Goldman Sachs Asset Management(Justin Betzen), Oncoclínicas (BVMF: ONCO3), Victoria Capital Partners</t>
  </si>
  <si>
    <t>298054-09T</t>
  </si>
  <si>
    <t>113830-21T</t>
  </si>
  <si>
    <t>OneValley, Provence Partners</t>
  </si>
  <si>
    <t>174873-34T</t>
  </si>
  <si>
    <t>Marcelo Maisonnave(Marcelo Maisonnave)</t>
  </si>
  <si>
    <t>123911-56T</t>
  </si>
  <si>
    <t>Bossa Invest, Isabela Ventura</t>
  </si>
  <si>
    <t>285647-86T</t>
  </si>
  <si>
    <t>277112-89T</t>
  </si>
  <si>
    <t>Sales As A System</t>
  </si>
  <si>
    <t>Provider of consulting services intended to offer sales advice. The company specializes in improving sales and management with the right system, predicting revenue, activity-based sales, proper methodology, training, and commission strategy, enabling clients to train their sales leaders to boost sales.</t>
  </si>
  <si>
    <t>Venture Hive</t>
  </si>
  <si>
    <t>123130-18T</t>
  </si>
  <si>
    <t>Algar Ventures(Clau Sganzerla), Endeavor Promessas</t>
  </si>
  <si>
    <t>114643-81T</t>
  </si>
  <si>
    <t>Sienge</t>
  </si>
  <si>
    <t>Developer of management software designed for the construction industry. The company's platform helps to increase productivity by facilitating management with accessible data in real-time, avoiding delays, and helping with deadlines, enabling companies to get in-depth information and up-to-date happenings in the construction industry.</t>
  </si>
  <si>
    <t>126024-22T</t>
  </si>
  <si>
    <t>Simplificaa</t>
  </si>
  <si>
    <t>Provider of an automotive service intended to offer an easy and transparent way to keep the car up to date. The company's service includes scheduling a diagnostic visit and mechanical repair service, enabling people to have a better car servicing experience.</t>
  </si>
  <si>
    <t>266767-48T</t>
  </si>
  <si>
    <t>98800-39T</t>
  </si>
  <si>
    <t>Latin American Angels Society, Wayra Brazil</t>
  </si>
  <si>
    <t>158928-13T</t>
  </si>
  <si>
    <t>Skullfish Studios</t>
  </si>
  <si>
    <t>Operator of a video games publishing studio intended to create games for a virtual reality platform. The company's studio develops action and role-playing games for mobiles and personal computers, enabling players to have quality graphics and immersive experiences.</t>
  </si>
  <si>
    <t>GameFounders</t>
  </si>
  <si>
    <t>171754-39T</t>
  </si>
  <si>
    <t>123136-57T</t>
  </si>
  <si>
    <t>4Legacy(Carlos Mello), SITAWI, Synthase Impact Ventures</t>
  </si>
  <si>
    <t>130556-08T</t>
  </si>
  <si>
    <t>ABCapital, Arab Bank Group, Monashees</t>
  </si>
  <si>
    <t>107555-14T</t>
  </si>
  <si>
    <t>133223-05T</t>
  </si>
  <si>
    <t>81638-29T</t>
  </si>
  <si>
    <t>Tray</t>
  </si>
  <si>
    <t>Provider of e-commerce products and services intended to help retailers manage their business activities. The company's e-commerce products and services include online applications, software tools, logistic management services, call center services, online store portals, and management services, enabling retailers and entrepreneurs to sell more on the Internet every day.</t>
  </si>
  <si>
    <t>GrowthX Capital</t>
  </si>
  <si>
    <t>284383-90T</t>
  </si>
  <si>
    <t>98758-81T</t>
  </si>
  <si>
    <t>212271-85T</t>
  </si>
  <si>
    <t>215865-37T</t>
  </si>
  <si>
    <t>123144-31T</t>
  </si>
  <si>
    <t>UseCash</t>
  </si>
  <si>
    <t>Developer of a sales increase tool designed to widen the drugstore distribution network. The company's tool resolves the problems that are associated with drug distribution costs and poor growth performance and reduces social charge costs, enabling drugstores o increase performance, improve the results and maintain transparency in the monitoring of payments.</t>
  </si>
  <si>
    <t>4Legacy, Farma Ventures</t>
  </si>
  <si>
    <t>129626-65T</t>
  </si>
  <si>
    <t>VivaReal</t>
  </si>
  <si>
    <t>Provider of an online real estate marketplace designed to help thousands of people to find their dream house. The company's online real estate marketplace connects buyers, sellers and renters with the properties they are interested in, enabling them to avail profitable real estate deals.</t>
  </si>
  <si>
    <t>172682-20T</t>
  </si>
  <si>
    <t>266621-14T</t>
  </si>
  <si>
    <t>Zapt Tech</t>
  </si>
  <si>
    <t>Developer of location-based technologies intended to enhance consumer experiences and operational efficiencies in various industries. The company's platform integrates indoor and outdoor mapping, route optimization, proximity marketing, and heatmap analytics, enabling businesses in retail, hospitality, and other sectors to utilize precise location data for improved customer engagement and strategic decision-making capabilities.</t>
  </si>
  <si>
    <t>123282-28T</t>
  </si>
  <si>
    <t>ZeroDistrato</t>
  </si>
  <si>
    <t>Developer of a real estate platform designed for prediction and prevention of contract cancellations for real estate developers. The company's platform offers to use an artificial intelligence algorithm that has accuracy greater than 90% in forecasting the contracts, enabling clients to make successful deals in the real estate business.</t>
  </si>
  <si>
    <t>180524-89T</t>
  </si>
  <si>
    <t>261619-48T</t>
  </si>
  <si>
    <t>177135-49T</t>
  </si>
  <si>
    <t>A5 Capital Partners, Media Development Investment Fund, Omidyar Network</t>
  </si>
  <si>
    <t>106811-38T</t>
  </si>
  <si>
    <t>76992-94T</t>
  </si>
  <si>
    <t>Parati (Food Products)</t>
  </si>
  <si>
    <t>Manufacturer of food products based in São Lourenço do Oeste, Brazil. The company offers wafers, sweet and salted stuffed, crackers, donuts, cookies and fillings, sweet cookies, appetizers, toast and other snacks, enabling consumers with a broad selection of pantry items, snacks, and meal components for daily nourishment.</t>
  </si>
  <si>
    <t>Kellanova (NYS: K)(John Bryant)</t>
  </si>
  <si>
    <t>77304-07T</t>
  </si>
  <si>
    <t>Nutrizon Alimentos</t>
  </si>
  <si>
    <t>Producer and distributor of animal feed. The company specializes in the production and distribution of food products for poultry, beef cattle, fish, sheep, pigs and other domestic animals.</t>
  </si>
  <si>
    <t>ADM Germany(Nilton Perez), Caisse des Depots Group, Credit Agricole (PAR: ACA)(Michel Mathieu), Eurazeo (PAR: RF)(Caroline Cohen), IDIA Capital Investissement, Unigrains (Paris)</t>
  </si>
  <si>
    <t>99020-98T</t>
  </si>
  <si>
    <t>CCAB Agro</t>
  </si>
  <si>
    <t>Operator of an agricultural cooperatives union in Brazil. The company produces pesticides, agricultural supplies and generic and biological phytosanitary products along with it provides consulting, operations and technological support services which reduce the potential harms caused by pests and diseases, enabling farmers, agricultural cooperatives and companies of the agricultural commodities segment to maintain the sustainability of the Brazilian agribusinesses.</t>
  </si>
  <si>
    <t>InVivo(Thierry Blandinières)</t>
  </si>
  <si>
    <t>110990-71T</t>
  </si>
  <si>
    <t>Experimento</t>
  </si>
  <si>
    <t>Operator of a student exchange program platform based in Sao Paulo, Brazil. The company offers a range of services including visa assistance services, course selection advice, education counseling, part-time job guidance, accommodation services, English language classes, airport assistance and other related services.</t>
  </si>
  <si>
    <t>81942-49T</t>
  </si>
  <si>
    <t>FS Security (Sao Paulo)</t>
  </si>
  <si>
    <t>Provider of value-added services for telecommunications operators and retailers in Brazil and Latin America. The company's platform, HERO offers digital security, cloud services, assistance, specialized technical support, mobile learning and interactive services, enabling telecommunications operators and retailers to generate more revenues without any new investments.</t>
  </si>
  <si>
    <t>The Carlyle Group (NAS: CG)(Juan Felix)</t>
  </si>
  <si>
    <t>102894-40T</t>
  </si>
  <si>
    <t>122872-78T</t>
  </si>
  <si>
    <t>Klipbox</t>
  </si>
  <si>
    <t>Developer of an online news monitoring and analysis platform designed to help public relations workers with strategies for their clients. The company specializes in automating news searches using powerful cognitive technology, enabling customers to consume only the most relevant information regarding companies, products, brands, and competitors in real time.</t>
  </si>
  <si>
    <t>241908-85T</t>
  </si>
  <si>
    <t>100171-09T</t>
  </si>
  <si>
    <t>ASL Análises Ambientais</t>
  </si>
  <si>
    <t>Provider of laboratory environment testing services. The company's laboratory environment testing services provide physical-chemical, microbiological, organic, inorganic and toxicological analysis in environmental matrices such as water, effluent, soil, waste and atmospheric emissions.</t>
  </si>
  <si>
    <t>Eurofins Scientific (PAR: ERF)(Gilles Martin)</t>
  </si>
  <si>
    <t>80385-49T</t>
  </si>
  <si>
    <t>Rogama</t>
  </si>
  <si>
    <t>Manufacturer of insecticides intended to serve multinationals and major public health agencies. The company offers domestic and professional insecticides, leshicides, larvicides and rodenticides as well as pigeon and bat repellents.</t>
  </si>
  <si>
    <t>Neogen Corporation (NAS: NEOG)(Steven Quinlan)</t>
  </si>
  <si>
    <t>81264-16T</t>
  </si>
  <si>
    <t>Admix (Brazil)</t>
  </si>
  <si>
    <t>Provider of health and benefits consulting services for improving the health and well-being of the people. The company's health and benefits brokerage and benefits administration services enables a superior value proposition for SME market in Brazil.</t>
  </si>
  <si>
    <t>Aon (NYS: AON)</t>
  </si>
  <si>
    <t>111596-77T</t>
  </si>
  <si>
    <t>Kingr</t>
  </si>
  <si>
    <t>Developer of dating application for Brazil based Christians. The company's dating application offers users a new social experience of christian content in a safe and healthy environment where thousands of people can create their profiles, make friends, chat with them and connect on a better level.</t>
  </si>
  <si>
    <t>Wixty Technologies</t>
  </si>
  <si>
    <t>132153-85T</t>
  </si>
  <si>
    <t>5xmais, Angry Ventures(Fernando Moreira), Bossa Invest</t>
  </si>
  <si>
    <t>76939-57T</t>
  </si>
  <si>
    <t>Sifco</t>
  </si>
  <si>
    <t>Manufacturer of automotive spare parts based in Sao Paulo, Brazil. The company offers forged and machine suspension components as well as other automotive parts. It serves multiple segments of the foreign and domestic automotive industries.</t>
  </si>
  <si>
    <t>Dana (Automotive) (NYS: DAN)(James Kamsickas)</t>
  </si>
  <si>
    <t>111265-30T</t>
  </si>
  <si>
    <t>TecTotal</t>
  </si>
  <si>
    <t>Provider of digital equipment installation, configuration and customization services designed to cater the needs of the customers. The company's services offer installation and maintenance services of electronics and cloud-based software for infrastructure management, service management and security services, enabling customers to optimize resources and make their lives easier.</t>
  </si>
  <si>
    <t>80422-03T</t>
  </si>
  <si>
    <t>Cesuca Centro Universitário</t>
  </si>
  <si>
    <t>Operator of an educational institute based in Cachoeirinha, Brazil. The company offers courses in management, mathematics, nursing, foreign trade, production engineering, and other subjects, thereby helping citizens and professionals with an autonomous, ethical, and responsible attitude, capable of contributing to the transformation and sustainable development of the region.</t>
  </si>
  <si>
    <t>Advent International(Newton Alves)</t>
  </si>
  <si>
    <t>100902-79T</t>
  </si>
  <si>
    <t>Transcosmos (TKS: 9715)</t>
  </si>
  <si>
    <t>81667-63T</t>
  </si>
  <si>
    <t>106420-51T</t>
  </si>
  <si>
    <t>155898-28T</t>
  </si>
  <si>
    <t>80296-84T</t>
  </si>
  <si>
    <t>CredibiliT Tecnologia</t>
  </si>
  <si>
    <t>Provider of cloud computing services. The company offers services such as managed consulting, capacity planning, infrastructure support, performance analysis, architecture, data migration, and environment management.</t>
  </si>
  <si>
    <t>Abry Partners(Nicolas Massard), Ares Management (NYS: ARES), Claranet(Charles Nasser)</t>
  </si>
  <si>
    <t>215408-98T</t>
  </si>
  <si>
    <t>Ezrent</t>
  </si>
  <si>
    <t>Provider of online furniture rental services intended to organize furniture renting. The company provides furniture at cheaper rates and closely monitors all stages of the rental process, such as delivery, installation, and collection, enabling consumers to decorate their homes and offices at affordable prices.</t>
  </si>
  <si>
    <t>98269-39T</t>
  </si>
  <si>
    <t>Indústria e Comércio de Turbinas e Transmissões</t>
  </si>
  <si>
    <t>Manufacturer of industrial product and supplies. The company's industrial parts and supplies includes turbines, compressors, exhaust fans, blowers, wind speed reducers and wind speed multipliers, enabling engineering industries to avail required supplies and products for their projects at a fair price.</t>
  </si>
  <si>
    <t>73421-92T</t>
  </si>
  <si>
    <t>Magnesita Refratarios (Talc Business)</t>
  </si>
  <si>
    <t>Producer of talc. The company produces and distributes talc, which is used in various applications such as plastic, cosmetic, pharmaceutical, ceramics, pulp and paper, paints, food and agribusiness.</t>
  </si>
  <si>
    <t>IMI Fabi(Corrado Fabi)</t>
  </si>
  <si>
    <t>111384-01T</t>
  </si>
  <si>
    <t>100152-46T</t>
  </si>
  <si>
    <t>Laboratórios Osler do Brasil</t>
  </si>
  <si>
    <t>Manufacturer of insect repellents based in Sao Paulo, Brazil. The company offers gel, spray and cream for protection against zika, chikungunya and dengue.</t>
  </si>
  <si>
    <t>S.C. Johnson &amp; Son(Fisk Johnson)</t>
  </si>
  <si>
    <t>125339-50T</t>
  </si>
  <si>
    <t>Technological Incubator Sudotec</t>
  </si>
  <si>
    <t>69693-04T</t>
  </si>
  <si>
    <t>79883-65T</t>
  </si>
  <si>
    <t>ORIX Corporation (TKS: 8591)(Hideto Nishitani)</t>
  </si>
  <si>
    <t>100152-10T</t>
  </si>
  <si>
    <t>AD Corretora de Seguros</t>
  </si>
  <si>
    <t>Provider of insurance brokerage services intended to meet the risks associated with evolving needs of business. The company's insurance brokerage services include personal line insurance services and corporate line insurance services and additionally involves commercialization insurances such as engineering risks and machinery breakdown insurances for alcohol distilleries and sugar cane mills, enabling personal and corporate individuals to mitigate the risks associated to various lines of activities.</t>
  </si>
  <si>
    <t>Marsh(John Doyle)</t>
  </si>
  <si>
    <t>133770-70T</t>
  </si>
  <si>
    <t>EnglishUp</t>
  </si>
  <si>
    <t>Operator of an online English learning platform intended to teach English language to people. The company's platform offers 24/7 English learning lessons through their platform via certified English tutors, personalized study plan and ongoing support, enabling users to learn English language at their convenient time.</t>
  </si>
  <si>
    <t>EF Education First</t>
  </si>
  <si>
    <t>130902-58T</t>
  </si>
  <si>
    <t>Microsffer</t>
  </si>
  <si>
    <t>Developer of software products and provider of technological capabilities, intended to deliver quality technology services to customers. The company focuses on development of various fuel station management software and related hardware products along with offering specialized management, support center and head office solutions, aiming to offer unified technological solutions to industrial clients.</t>
  </si>
  <si>
    <t>Orpak Systems(Shay Bakfan)</t>
  </si>
  <si>
    <t>97263-55T</t>
  </si>
  <si>
    <t>Mineração Caraíba</t>
  </si>
  <si>
    <t>Provider of copper exploration services. The company's copper exploration services include the acquisition, mining and development of copper resources, enabling clients to avail quality copper minerals.</t>
  </si>
  <si>
    <t>Ero Copper (TSE: ERO)</t>
  </si>
  <si>
    <t>89431-12T</t>
  </si>
  <si>
    <t>Cecompi Incubadora</t>
  </si>
  <si>
    <t>127593-10T</t>
  </si>
  <si>
    <t>Bonuts</t>
  </si>
  <si>
    <t>Developer of application software intended to create engagement campaigns. The company's software empowers any company's marketing campaigns, enabling the customers to create a brand image and also engage their own audiences with a few clicks.</t>
  </si>
  <si>
    <t>100154-17T</t>
  </si>
  <si>
    <t>VETEC Engenharia</t>
  </si>
  <si>
    <t>Provider of construction and engineering management services. The company's services include engineering services, interior renovation, building maintenance, value engineering, cost estimation, project management, drawing and other related services, enabling clients to modernize and renovate their houses.</t>
  </si>
  <si>
    <t>Systra Group(Jean-Pierre Verzat)</t>
  </si>
  <si>
    <t>79488-37T</t>
  </si>
  <si>
    <t>DST Global(Thomas Stafford), First Serve Ventures, Founders Fund(Peter Thiel), Marc Habib(Marc Habib), QED Investors(Nigel Morris), Redpoint Ventures, Ribbit Capital(Meyer Malka), Scott Nolan(Scott Nolan), Sequoia Capital(Douglas Leone), SXM Global, Tiger Global Management</t>
  </si>
  <si>
    <t>76122-91T</t>
  </si>
  <si>
    <t>Vonpar</t>
  </si>
  <si>
    <t>Manufacturer and distributor of beverages. The company produces and distributes coca-cola, fanta, kuat, del valle, and other trademark beverages of The coca-cola company serving the states of Santa Catarina and Rio Grande do Sul, Brazil.</t>
  </si>
  <si>
    <t>Coca-Cola FEMSA (PINX: COCSF)(John Maria)</t>
  </si>
  <si>
    <t>127594-63T</t>
  </si>
  <si>
    <t>203614-21T</t>
  </si>
  <si>
    <t>127617-13T</t>
  </si>
  <si>
    <t>207136-72T</t>
  </si>
  <si>
    <t>85095-64T</t>
  </si>
  <si>
    <t>79343-20T</t>
  </si>
  <si>
    <t>80231-50T</t>
  </si>
  <si>
    <t>Brazilian Mold Flux business</t>
  </si>
  <si>
    <t>Provider of mold fluxes. The company offers mold and tundish fluxes which are used in the continuous casting of steel.</t>
  </si>
  <si>
    <t>Vesuvius (LON: VSVS)(Francois Wanecq)</t>
  </si>
  <si>
    <t>178880-50T</t>
  </si>
  <si>
    <t>Candon Aditivos</t>
  </si>
  <si>
    <t>Manufacturer of ingredients and bakery emulsifiers to the food industry in Brazil. The company offers premixtures, enzymes, powdered fats, encapsulated assets and other special ingredients for baking.</t>
  </si>
  <si>
    <t>Palsgaard(Jakob Thøisen)</t>
  </si>
  <si>
    <t>88968-25T</t>
  </si>
  <si>
    <t>Care Plus Medicina Assistencial</t>
  </si>
  <si>
    <t>Provider of health care services based in Sao Paulo, Brazil. The company's health care plan provides all medical care to their customers for a fixed, predetermined fee, enabling them to get proper care at low costs.</t>
  </si>
  <si>
    <t>Bupa</t>
  </si>
  <si>
    <t>122942-26T</t>
  </si>
  <si>
    <t>Eduardo Carone(Eduardo Carone)</t>
  </si>
  <si>
    <t>210578-05T</t>
  </si>
  <si>
    <t>62688-88T</t>
  </si>
  <si>
    <t>Avi Brown(Avi Brown), Daniel Bachner(Daniel Bachner), Start-Up Brasil, Wayra</t>
  </si>
  <si>
    <t>175717-00T</t>
  </si>
  <si>
    <t>FJ Labs, Lumia Capital, Rise Capital(Nazar Yasin)</t>
  </si>
  <si>
    <t>209101-15T</t>
  </si>
  <si>
    <t>Caravela Capital, Francisco Santos(Francisco Santos), Honey Island Capital</t>
  </si>
  <si>
    <t>84783-70T</t>
  </si>
  <si>
    <t>BlueWhale Investments, Daniel Arbix(Daniel Arbix), David McClure(David McClure), Headline(Anderson Thees), Leonardo Teixeira(Leonardo Teixeira), Pedro Yue(Pedro Yue), Redpoint eventures(Anderson Thees), Valor Capital Group</t>
  </si>
  <si>
    <t>92139-58T</t>
  </si>
  <si>
    <t>Maple Bear Brazil</t>
  </si>
  <si>
    <t>Operator of a chain of educational institutions in South America. The company, through its series of schools in Brazil and schools in Mexico, combines Canadian educational practices with a child-focused system enabling students to acclimatize with Canadian early childhood, elementary and high school education practices.</t>
  </si>
  <si>
    <t>111450-52T</t>
  </si>
  <si>
    <t>243430-48T</t>
  </si>
  <si>
    <t>96884-65T</t>
  </si>
  <si>
    <t>Rico CTVM</t>
  </si>
  <si>
    <t>Operator of a securities trading platform based in Sao Paulo, Brazil. The company's securities trading platform offers investment planning, profit analysis and other related services, enabling scalpers and day traders to diversify their investments and increase their earnings.</t>
  </si>
  <si>
    <t>General Atlantic, XP Investimentos (NAS: XP)</t>
  </si>
  <si>
    <t>116925-67T</t>
  </si>
  <si>
    <t>Rio Alto Energia</t>
  </si>
  <si>
    <t>Developer of solar power projects intended for renewable energy, energy commercialization, construction and asset management. The company specializes in renewable energy generation with a focus on photovoltaic (solar) plants and offers design, implementation, installation, operation and marketing services, thereby engaging the local community, creating jobs and working on socio-economic development.</t>
  </si>
  <si>
    <t>Nordic power partners(Kevin Wilkinson)</t>
  </si>
  <si>
    <t>103305-97T</t>
  </si>
  <si>
    <t>Thor Comercializadora de Energia</t>
  </si>
  <si>
    <t>Distribution of electricity in Brazil. The company's services is engaged in the generation, distribution and supply of electricity.</t>
  </si>
  <si>
    <t>200062-90T</t>
  </si>
  <si>
    <t>Treasy</t>
  </si>
  <si>
    <t>Developer of a budget planning platform designed to create financial indicators specific to the company's sector or field of activity. The company's platform creates a business budget, generates and analyzes management reports, and structures financial control, enabling firms to plan and control with a cost-benefit ratio.</t>
  </si>
  <si>
    <t>Brazil Venture Capital(Mitsuru Nakayama), Honey Island Capital</t>
  </si>
  <si>
    <t>108253-63T</t>
  </si>
  <si>
    <t>Usaflex</t>
  </si>
  <si>
    <t>Manufacturer of comfort and fashion footwear for women. The company's products include clogs, sandals, channels, sneakers, shoes, sneakers, bags and accessories, providing its customers with a range of fashion accessories.</t>
  </si>
  <si>
    <t>74316-79T</t>
  </si>
  <si>
    <t>Metalic Nordeste</t>
  </si>
  <si>
    <t>Manufacturer and distributor of steel cans. The company engages in manufacturing, supplying and distributing steel cans for the beverage industry, primarily in north and northeastern regions of Fortaleza, Brazil.</t>
  </si>
  <si>
    <t>Can-Pack</t>
  </si>
  <si>
    <t>84782-89T</t>
  </si>
  <si>
    <t>Headline(Mathias Schilling), Redpoint eventures(Romero Rodrigues)</t>
  </si>
  <si>
    <t>110355-13T</t>
  </si>
  <si>
    <t>UP Petróleo Brasil</t>
  </si>
  <si>
    <t>Provider of oil and gas exploration services. The company's oil and gas exploration services include exploration, development and producing assets with focus on oil and gas plays.</t>
  </si>
  <si>
    <t>136883-08T</t>
  </si>
  <si>
    <t>Guiato</t>
  </si>
  <si>
    <t>Developer of an online search tool designed to assist in finding geolocated offers. The company's tool offers online advertising in various categories of consumer products and services that are targeted to suitable customers, enabling businesses to target potential customers with suitable advertisements that assist them to earn profits.</t>
  </si>
  <si>
    <t>110360-98T</t>
  </si>
  <si>
    <t>Sky Brasil Serviços</t>
  </si>
  <si>
    <t>Provider of telecommunication service. The company's services include voice over internet protocol, fax transmission, voice mailing, internet data and call facilities, enabling clients to stay connected without any hassles.</t>
  </si>
  <si>
    <t>107110-27T</t>
  </si>
  <si>
    <t>78774-13T</t>
  </si>
  <si>
    <t>ACON Investments(Rodrigo Galvão)</t>
  </si>
  <si>
    <t>256450-78T</t>
  </si>
  <si>
    <t>Magicstem Group</t>
  </si>
  <si>
    <t>Manufacturer of camera systems catering to refrigerator manufacturing companies. The company offers a camera that takes pictures and views the content inside, thereby eliminating the search for items and keeping the refrigerator door open for prolonged periods.</t>
  </si>
  <si>
    <t>81411-04T</t>
  </si>
  <si>
    <t>ABCapital, GE32 Capital, Monashees</t>
  </si>
  <si>
    <t>283554-46T</t>
  </si>
  <si>
    <t>INTUEL</t>
  </si>
  <si>
    <t>78684-58T</t>
  </si>
  <si>
    <t>CGG Trading</t>
  </si>
  <si>
    <t>Operator of a commodities trading firm in Brazil. The company trades in cotton, wheat, corn and soybean.</t>
  </si>
  <si>
    <t>Sojitz do Brasil(Satoshi Awaya)</t>
  </si>
  <si>
    <t>78766-93T</t>
  </si>
  <si>
    <t>115627-96T</t>
  </si>
  <si>
    <t>Empreenda Saúde</t>
  </si>
  <si>
    <t>78766-21T</t>
  </si>
  <si>
    <t>Silicon Valley Investment Fund</t>
  </si>
  <si>
    <t>103682-35T</t>
  </si>
  <si>
    <t>Mapric</t>
  </si>
  <si>
    <t>Distributor and supplier of active ingredients catering to cosmetic, pharmaceutical, and nutraceutical industries. The company's products include skincare and hair-care products from vegetable extracts, enriched in vitamins and minerals, enabling customers to protect the skin from all forms of urban pollution.</t>
  </si>
  <si>
    <t>Greentech (France)</t>
  </si>
  <si>
    <t>96822-73T</t>
  </si>
  <si>
    <t>YepLog</t>
  </si>
  <si>
    <t>Provider of logistics services. The company's services utilize field services management, transaction monitoring and logistic operations for businesses in Brazil.</t>
  </si>
  <si>
    <t>Sequoia Logistica e Transportes (BVMF: SEQL3), Warburg Pincus</t>
  </si>
  <si>
    <t>113195-35T</t>
  </si>
  <si>
    <t>100176-76T</t>
  </si>
  <si>
    <t>SGS Polímeros</t>
  </si>
  <si>
    <t>Manufacturer of oleochemicals and emulsifiers based in Sao Sebastiao Do Cai, Brazil. The company manufactures oleochemicals and emulsifiers for food, animal nutrition, paints, coatings, surface protection, plasticizers, reactive polyamides, acrylic resins and additives.</t>
  </si>
  <si>
    <t>Cargill(Paulo Hoffmann)</t>
  </si>
  <si>
    <t>81658-45T</t>
  </si>
  <si>
    <t>DGF Investimentos(Patrick Arippol), SP Ventures(Francisco Jardim)</t>
  </si>
  <si>
    <t>79391-71T</t>
  </si>
  <si>
    <t>257858-20T</t>
  </si>
  <si>
    <t>Att/PS Informática</t>
  </si>
  <si>
    <t>Provider of It services catering to the finance industry. The company offers software solutions for the financial segment, software solutions for the closed supplementary pension segment, and software solutions for the supplementary health segment.</t>
  </si>
  <si>
    <t>116008-30T</t>
  </si>
  <si>
    <t>266596-48T</t>
  </si>
  <si>
    <t>Adoleta</t>
  </si>
  <si>
    <t>Provider of childhood consulting and training services designed for children of age zero to six. The company is currently operating in stealth mode.</t>
  </si>
  <si>
    <t>102000-88T</t>
  </si>
  <si>
    <t>Mantiqueira Transmissora de Eletricidade</t>
  </si>
  <si>
    <t>Provider of project development services intended for energy transmission. The company offers services catering to the development of power transmission projects, including transmission lines, substations and several other transmission line sections.</t>
  </si>
  <si>
    <t>123106-69T</t>
  </si>
  <si>
    <t>110213-38T</t>
  </si>
  <si>
    <t>SAAB Participações e Novos Negócios, Solví Participações</t>
  </si>
  <si>
    <t>103140-55T</t>
  </si>
  <si>
    <t>Creative Industria e Comercio</t>
  </si>
  <si>
    <t>Manufacturer and supplier of paintings intended to offer innovative and customized paints according to the need of clients. The company's paintings include packaging paints, aluminium paints, lamination paints, pet laminates and solvent based inks for flexography and rotogravure, enabling clients to buy paints according to their specific needs.</t>
  </si>
  <si>
    <t>Sakata Inx (TKS: 4633)</t>
  </si>
  <si>
    <t>195059-08T</t>
  </si>
  <si>
    <t>86902-30T</t>
  </si>
  <si>
    <t>Mariusso Food Service</t>
  </si>
  <si>
    <t>Provider of food distribution services based in Brazil. The company's services include a variety of food brands that are distributed through trucks, equipped with bodies suitable for transporting products with ambient temperatures, frozen and cooled, thereby enabling customers, restaurants and eateries to get good quality food products.</t>
  </si>
  <si>
    <t>Distribuidora e Importadora Irmaos Avelino(Luiz Avelino)</t>
  </si>
  <si>
    <t>193497-85T</t>
  </si>
  <si>
    <t>PEC Energia</t>
  </si>
  <si>
    <t>Opeartor of clean and renewable energy generation projects located in Sao Paulo, Brazil. The company engages in the development, implementation and operation of wind, SHP and solar power plants.</t>
  </si>
  <si>
    <t>Engeform Engenharia</t>
  </si>
  <si>
    <t>95592-25T</t>
  </si>
  <si>
    <t>WDev (Rio De Janerio)</t>
  </si>
  <si>
    <t>Developer of Saas-based software. The company's software provides technology and operational consulting, straight-through processing services, business and IT consulting, migrations, conversions, integrations and business process automation, enabling insurance industries to improve their operational efficiency and enhance growth.</t>
  </si>
  <si>
    <t>Ebix Latin America(Thiago Lustosa)</t>
  </si>
  <si>
    <t>125711-74T</t>
  </si>
  <si>
    <t>Minerador X</t>
  </si>
  <si>
    <t>Operator of an online platform designed for telephone operators. The company's solutions enable consultants to make contract offers to potential customers who are currently on other carriers by helping them monitor, manage &amp; fix their mobile contracts &amp; bills, providing operators better productivity in business analytics.</t>
  </si>
  <si>
    <t>77862-97T</t>
  </si>
  <si>
    <t>XSOL Soluções Tecnológicas</t>
  </si>
  <si>
    <t>Seller of office equipment. The company outsources and sells office equipment including printers, projectors and monitors and provides technical support to small and mid-sized clients.</t>
  </si>
  <si>
    <t>H.I.G. Capital(Fernando Oliveira), Office Total(Andre Vinicius)</t>
  </si>
  <si>
    <t>74778-31T</t>
  </si>
  <si>
    <t>Adubos Sudoeste (Fertiliser Blending Unit)</t>
  </si>
  <si>
    <t>Provider of fertilizer blending services. The company operates a bulk blending plant that offers blended fertilizers for the cultivation of soybean, corn, beans, tomatoes, potatoes, onions and garlic.</t>
  </si>
  <si>
    <t>Yara International (OSL: YAR)(Lair Hanzen)</t>
  </si>
  <si>
    <t>125719-03T</t>
  </si>
  <si>
    <t>100177-12T</t>
  </si>
  <si>
    <t>Usina Hidrelétrica Itaocara</t>
  </si>
  <si>
    <t>Operator of a 150 MegaWatt capacity hydroelectric plant.</t>
  </si>
  <si>
    <t>Electricite de France</t>
  </si>
  <si>
    <t>216225-19T</t>
  </si>
  <si>
    <t>Brafer, Ceepower Company (SHE: 300062)</t>
  </si>
  <si>
    <t>90809-83T</t>
  </si>
  <si>
    <t>Brazilian Development Bank, Desenvolve SP, Embraer (BVMF: EMBR3), Financiadora de Estudos e Projetos, Fundo Aeroespacial(João Antônio Lopes Filho)</t>
  </si>
  <si>
    <t>193383-46T</t>
  </si>
  <si>
    <t>Beenoculus</t>
  </si>
  <si>
    <t>Developer of extended reality headsets with mixed reality technologies intended to democratize access to virtual reality. The company's product provides immersive and interactive experiences through a new view, where virtual becomes a reality and Space Computing expands the human senses, enabling students and professionals to learn and practice new skills in a safe and realistic environment.</t>
  </si>
  <si>
    <t>Lemann Foundation</t>
  </si>
  <si>
    <t>70135-03T</t>
  </si>
  <si>
    <t>CSC UpShot Ventures, Flourish Ventures, International Finance (Washington D.C.), Kaszek(Nicolas Szekasy), QED Investors, Ribbit Capital(Meyer Malka)</t>
  </si>
  <si>
    <t>106429-15T</t>
  </si>
  <si>
    <t>88664-77T</t>
  </si>
  <si>
    <t>Kaszek(Nicolas Szekasy)</t>
  </si>
  <si>
    <t>142520-05T</t>
  </si>
  <si>
    <t>95617-09T</t>
  </si>
  <si>
    <t>Universo Inspira</t>
  </si>
  <si>
    <t>Developer of digital educational content designed for mobiles, tablets, and hybrid devices. The company's content prepares different agents involved in the pedagogical processes for an engaging, inspiring exchange of knowledge, enabling students and teachers to interact and get digital resources to empower building expertise and educational skills through digital programs.</t>
  </si>
  <si>
    <t>Cietec</t>
  </si>
  <si>
    <t>123135-94T</t>
  </si>
  <si>
    <t>Ponto Pra Vida</t>
  </si>
  <si>
    <t>Developer of a donation platform designed to automate donation of reward points about to win for social impact through cancer hospitals. The company's platform gives access to cancer treatment and follow-up of physical and intellectual disabilities, enabling users to enhance social projects in needy communities.</t>
  </si>
  <si>
    <t>4Legacy(Carlos Mello)</t>
  </si>
  <si>
    <t>110387-53T</t>
  </si>
  <si>
    <t>Rios Unidos Logística e Transportes</t>
  </si>
  <si>
    <t>Provider of logistics services. The company operates a fleet of over seven hundred vehicles, a 60,000 square-meter built-up area and three warehouses with 30,000 meter square spread across Bahia, Espírito Santo, Minas Gerais, Rio de Janeiro, Rio Grande do Sul, Santa Cantarina and São Paulo.</t>
  </si>
  <si>
    <t>Grecco Logística(Odair Brito)</t>
  </si>
  <si>
    <t>77560-39T</t>
  </si>
  <si>
    <t>Consub Defesa E Tecnologia</t>
  </si>
  <si>
    <t>Manufacturer of naval defense systems. The company develops and manufactures naval combat systems and command and control systems in South America.</t>
  </si>
  <si>
    <t>Bravo Industries(JR Pereira)</t>
  </si>
  <si>
    <t>76989-52T</t>
  </si>
  <si>
    <t>Nardi Aromas</t>
  </si>
  <si>
    <t>Producer of products in the field of natural flavors and herbal extracts. The company is engaged in the processing of flavors and specialty fine ingredients for the alcoholic drinks and carbonated beverages markets.</t>
  </si>
  <si>
    <t>76943-80T</t>
  </si>
  <si>
    <t>PoliPex</t>
  </si>
  <si>
    <t>Manufacturer of extruded polyethylene (PE) insulation foams. The company manufactures and distributes adhesives, tapes, coatings, self-adhesive tapes, tubes, rollers for large pipes and other related products in Brazil.</t>
  </si>
  <si>
    <t>Armacell International(Patrick Mathieu), Blackstone (NYS: BX)(Lionel Assant), KIRKBI(Thomas Schleicher)</t>
  </si>
  <si>
    <t>77871-97T</t>
  </si>
  <si>
    <t>SafeTruck</t>
  </si>
  <si>
    <t>Developer of a road safety tracker and monitoring device designed to identify violations, wing breaks and other reckless acts. The company's device assists post-accident experts in finding out any instability in the vehicle, enabling clients to ensure road safety.</t>
  </si>
  <si>
    <t>Mobilab Prefeitura</t>
  </si>
  <si>
    <t>70765-21T</t>
  </si>
  <si>
    <t>Alejandro Resnik(Alejandro Resnik), Alexandr Chernyak, Artem Bolshakov(Artem Bolshakov), Big Sur Ventures, Edward Gurinovich(Edward Gurinovich), Fabrice Grinda(Fabrice Grinda), FJ Labs(Güimar Sittic), FundersClub, Hartmann Holdings, Hummingbird Ventures, Jose Marin(Jose Marin), Lumia Capital, Tekton Ventures(Jai Choi)</t>
  </si>
  <si>
    <t>76961-44T</t>
  </si>
  <si>
    <t>Alentejo 2020, Portugal 2020, Uniao Europeia</t>
  </si>
  <si>
    <t>77041-63T</t>
  </si>
  <si>
    <t>100717-48T</t>
  </si>
  <si>
    <t>ACE Ventures (Commercial Services)(Mike Ajnsztajn)</t>
  </si>
  <si>
    <t>111149-83T</t>
  </si>
  <si>
    <t>Innovation Network for Advanced Materials</t>
  </si>
  <si>
    <t>108181-09T</t>
  </si>
  <si>
    <t>73444-87T</t>
  </si>
  <si>
    <t>Elog Logística Sul</t>
  </si>
  <si>
    <t>Provider of commercial logistics services. The company offers services such as storage, warehousing and goods transportation services.</t>
  </si>
  <si>
    <t>Multilog(Djalma Vilela)</t>
  </si>
  <si>
    <t>76751-74T</t>
  </si>
  <si>
    <t>Chocolates Garoto</t>
  </si>
  <si>
    <t>Producer of chocolates based in Vila Velha, Brazil. The company offers various types of chocolate lipstick, tablets, wafers, bars, boxes, pills, cuisine and ice creams.</t>
  </si>
  <si>
    <t>Nestlé (SWX: NESN)(Robin Tickle)</t>
  </si>
  <si>
    <t>279906-58T</t>
  </si>
  <si>
    <t>77371-30T</t>
  </si>
  <si>
    <t>KLL Equipamentos Para Transporte</t>
  </si>
  <si>
    <t>Manufacturer of suspensions and motor vehicle parts for commercial vehicles for road freight and passenger transport. The company offers pneumatic and mechanical suspension, auxiliary axes and vehicle accessories for semi-trailers, trucks and buses.</t>
  </si>
  <si>
    <t>SAF-HOLLAND (FRA: SFQ)(Detlef Borghardt)</t>
  </si>
  <si>
    <t>21848-95T</t>
  </si>
  <si>
    <t>Confrapar Administração e Gestão de Recursos(Thiago Domenici de Morais), Thibaud Elziere(Thibaud Elziere)</t>
  </si>
  <si>
    <t>134096-32T</t>
  </si>
  <si>
    <t>Construtora Beter</t>
  </si>
  <si>
    <t>Construtora Beter SA is engaged in civil construction, and specifically in areas of civil, electrical &amp; mechanical engineering, including bridges &amp; viaducts, road, rail &amp; subway projects, hospitals, and residential, commercial &amp; industrial buildings.</t>
  </si>
  <si>
    <t>212369-32T</t>
  </si>
  <si>
    <t>74254-24T</t>
  </si>
  <si>
    <t>Compass Minerals (NYS: CMP)(Francis J. Malecha)</t>
  </si>
  <si>
    <t>76622-77T</t>
  </si>
  <si>
    <t>Eurolatino Participacoes</t>
  </si>
  <si>
    <t>Operator of a polytechnic school. The company operates as a holding company for Polytechnic School of Uberlandia and offers various undergraduate courses in Brazil.</t>
  </si>
  <si>
    <t>65672-29T</t>
  </si>
  <si>
    <t>Hypermarcas (Condom &amp; Lubricants)</t>
  </si>
  <si>
    <t>Manufacturer of prophylactic aids. The company produces various types of condoms and lubricants in São Paulo, Brazil.</t>
  </si>
  <si>
    <t>Reckitt Benckiser Group (LON: RKT)(Patricia Jones)</t>
  </si>
  <si>
    <t>68909-50T</t>
  </si>
  <si>
    <t>Parnaiba Gas Natural</t>
  </si>
  <si>
    <t>Provider of energy exploration and production services. The company operates seven fields and exploration blocks on the Parnaiba Basin in Brazil. It also supplies gas to Parnaiba thermoelectric complex.</t>
  </si>
  <si>
    <t>73097-92T</t>
  </si>
  <si>
    <t>PBC Industria Quimica</t>
  </si>
  <si>
    <t>Manufacturer of surfactant which is required for the production of liquid and powder detergents. The company owns and operates sulfonation production facility in Brazil.</t>
  </si>
  <si>
    <t>Stepan (NYS: SCL)</t>
  </si>
  <si>
    <t>211726-27T</t>
  </si>
  <si>
    <t>Sociedade Empresarial de Estudos Superiores e Tecnológicos Sant'Ana</t>
  </si>
  <si>
    <t>Provider of educational services based in Feira de Santana, Brazil. The company specializes in offering education and courses in the health area which includes nursing, biomedicine, physiotherapy, nutrition and radiology.</t>
  </si>
  <si>
    <t>Estácio</t>
  </si>
  <si>
    <t>73097-20T</t>
  </si>
  <si>
    <t>Tebras Tensoativos do Brazil (Commercial Business)</t>
  </si>
  <si>
    <t>Provider of commercial cleaning services. The company offers commercial cleaning services and offers cleansing products.</t>
  </si>
  <si>
    <t>87006-79T</t>
  </si>
  <si>
    <t>Work Labs Tecnologia e Sistemas</t>
  </si>
  <si>
    <t>Developer of CRM software designed to offer system for relationship management with customers. The company's CRM software offers national business management, billing, strategy making and other related services enabling enterprises to organize and manage the sales, marketing, service and customer related areas.</t>
  </si>
  <si>
    <t>68881-24T</t>
  </si>
  <si>
    <t>Anglo American (Niobium and Phosphates Business)</t>
  </si>
  <si>
    <t>Manufacturer of phosphate fertilizers. The unit is based in the agricultural heartland of Brazil and helps to provide fertilizers to produce food the world needs. It have an integrated operation that covers mining phosphate ore, refining it to produce phosphorus pent-oxide concentrate and processing into intermediate and final products.</t>
  </si>
  <si>
    <t>CMOC China (HKG: 03993)(Chaochun Li)</t>
  </si>
  <si>
    <t>67659-40T</t>
  </si>
  <si>
    <t>110321-65T</t>
  </si>
  <si>
    <t>Genpower Participações</t>
  </si>
  <si>
    <t>Operator of electric power generation in Brazil.</t>
  </si>
  <si>
    <t>Hygo Energy Transition</t>
  </si>
  <si>
    <t>126042-31T</t>
  </si>
  <si>
    <t>Go farms</t>
  </si>
  <si>
    <t>Developer of a farm management application designed to simplify handling and managing agricultural operations. The company's application provides managers of farm businesses with information on the type of activity performed per employee, time devoted to each activity, the status of execution, routes taken and GPS location, enabling clients of the farming industry to analyze results on data and improve the overall farming process.</t>
  </si>
  <si>
    <t>208236-97T</t>
  </si>
  <si>
    <t>500 Global, Monashees</t>
  </si>
  <si>
    <t>70849-09T</t>
  </si>
  <si>
    <t>J&amp;F Investimentos(José Sobrinho)</t>
  </si>
  <si>
    <t>84113-38T</t>
  </si>
  <si>
    <t>Empório Santa Maria</t>
  </si>
  <si>
    <t>Operator of a gastronomic supermarket located in the city of São Paulo, Brazil. The company aims to bring a concept of gourmet supermarket, bringing together in its portfolio premium items ranging from hand-selected vegetables to imported products such as wines, cheeses and olive oils and others of own manufacture such as breads, pastas and cakes. It also houses a restaurant, installed on the top floor offering a choice of wines by the glass to accompany the meals made there with a varied buffet served every day, breakfast on weekends in the morning along with a Japanese cuisine menu.</t>
  </si>
  <si>
    <t>Hortus Comercio de Alimentos, L Catterton(Dirk Donath)</t>
  </si>
  <si>
    <t>74957-41T</t>
  </si>
  <si>
    <t>L Catterton(Dirk Donath)</t>
  </si>
  <si>
    <t>79417-00T</t>
  </si>
  <si>
    <t>77634-37T</t>
  </si>
  <si>
    <t>Acelera Partners, CRP Companhia de Participacoes, CVentures, M3 Investimentos, TM3 Capital</t>
  </si>
  <si>
    <t>71191-18T</t>
  </si>
  <si>
    <t>77146-21T</t>
  </si>
  <si>
    <t>GrowthWorks, Sequoia Capital, Yellow Ventures</t>
  </si>
  <si>
    <t>125339-41T</t>
  </si>
  <si>
    <t>125345-98T</t>
  </si>
  <si>
    <t>Rhases</t>
  </si>
  <si>
    <t>Developer of an online healthcare marketplace intended for users to compare health insurance plans and hire one that meets their needs and conditions. The company's platform allows users to enter their city, occupation, age and other pertinent data to obtain a list of health plans registered for eventual hiring and other information such as price and service network, making healthcare more efficient by using digital media to ease access to health services, connect people and create incentives for healthy habits and sustainable practices.</t>
  </si>
  <si>
    <t>126844-57T</t>
  </si>
  <si>
    <t>Taggli</t>
  </si>
  <si>
    <t>Operator of a content commerce platform intended to offer social commerce and digital solutions to customers. The company's platform allows users to find products from different stores in one place, compare prices and make payment in a single transaction, providing businesses and customers with a great ally for expanding and diversifying online business, boosting sales, simplifying management and eliminating barriers for trade.</t>
  </si>
  <si>
    <t>72855-10T</t>
  </si>
  <si>
    <t>Grupo Granado</t>
  </si>
  <si>
    <t>Manufacturer of beauty care products. The company is engaged in the manufacture and retail of personal products such as glycerin soaps, creams, shaving balms, deodorants, powders and nail polish in Brazil.</t>
  </si>
  <si>
    <t>Puig (MAD: PUIG)(Marc Puig)</t>
  </si>
  <si>
    <t>75684-70T</t>
  </si>
  <si>
    <t>Profarma Distribuidora de Produtos Farmacêuticos (BVMF: PFRM3)(Sammy Birmarcker)</t>
  </si>
  <si>
    <t>224807-23T</t>
  </si>
  <si>
    <t>Kinea Indices Precos Fund (BVMF: KNIP11)</t>
  </si>
  <si>
    <t>Kinea Indices Precos Fundo Investimento Imobiliario - FII is a real estate investment trust engaged in real estate sector.</t>
  </si>
  <si>
    <t>110386-99T</t>
  </si>
  <si>
    <t>PlayKids</t>
  </si>
  <si>
    <t>302210-11T</t>
  </si>
  <si>
    <t>139810-96T</t>
  </si>
  <si>
    <t>Petrobras (Natural Gas Pipeline Unit in Rio De Janeiro, Brazil)</t>
  </si>
  <si>
    <t>A 2048-kilometer natural gas pipeline unit located in Rio De Janeiro, Brazil. The network provides natural gas for Brazil's industrialized and populated states in the south-central region of the country.</t>
  </si>
  <si>
    <t>Brookfield Infrastructure Partners (TSE: BIP.UN)(Samuel Pollock), CIC Capital Corporation, GIC Private</t>
  </si>
  <si>
    <t>133727-50T</t>
  </si>
  <si>
    <t>KTGroup &amp; Technologie</t>
  </si>
  <si>
    <t>Developer of technology and innovation software in the cloud computing model based in Sao Paulo, Brazil. The company provides end-to-end automation of operational processes related to tax receipt management and integrated cloud solutions, thereby helping clients in the optimization of business processes, reducing costs and increasing productivity.</t>
  </si>
  <si>
    <t>Avalara(Scott McFarlane)</t>
  </si>
  <si>
    <t>76988-44T</t>
  </si>
  <si>
    <t>CVentures</t>
  </si>
  <si>
    <t>261864-91T</t>
  </si>
  <si>
    <t>Unear</t>
  </si>
  <si>
    <t>Developer of data management and marketing automation platform intended to combine marketing, technology and humanization in the interaction between customer and company. The company's platform operates across all contact channels, such as email, SMS, internet, ATM, and call centers, thereby enabling clients with results in customer acquisition, monetization and retention.</t>
  </si>
  <si>
    <t>86044-87T</t>
  </si>
  <si>
    <t>Academia Bio Ritmo</t>
  </si>
  <si>
    <t>Provider of fitness service intended to offer activities such as strength training and cardio. The company owns and operates a chain of health, wellness, bodybuilding, gymnastics and fitness clubs with technological equipment, scheduled classes, health assistance, and more, enabling its clients to avail guidance in their fitness procedures.</t>
  </si>
  <si>
    <t>GIC Private, Patria Investments (NAS: PAX)</t>
  </si>
  <si>
    <t>76089-43T</t>
  </si>
  <si>
    <t>Log-In Logística Intermodal (portfolio of two vessels)</t>
  </si>
  <si>
    <t>A portfolio of two shipping vessels in Brazil. The portfolio comprises of two vessels which are used primarily for the bulk transportation of bauxite through the waterway corridors in South America.</t>
  </si>
  <si>
    <t>Alberta Investment Management, Blackstone (NYS: BX)(Viral Parikh), Hidrovias do Brasil (BVMF: HBSA3)(Bruno Serapião), International Finance (Washington D.C.), P2 Brasil, Patria Investments (NAS: PAX), Salvepar</t>
  </si>
  <si>
    <t>84167-11T</t>
  </si>
  <si>
    <t>Pethub (brazil)</t>
  </si>
  <si>
    <t>Developer of a platform intended to help find professionals to take care of your pet. The company offers pet sitting, dog walking and home bathing services, enabling pet owners to find qualified hosts for their pets when they are away.</t>
  </si>
  <si>
    <t>65905-93T</t>
  </si>
  <si>
    <t>Colle Capital Partners, CSC UpShot Ventures</t>
  </si>
  <si>
    <t>73947-70T</t>
  </si>
  <si>
    <t>Equity International(Tom Heneghan), Treecorp Investimentos (BVMF: TCPF11)</t>
  </si>
  <si>
    <t>149069-44T</t>
  </si>
  <si>
    <t>Packdocs</t>
  </si>
  <si>
    <t>Provider of a digital social platform intended to combine spaces to manage, present and analyze contents for the team. The company's platform offers a content management services, enabling businesses to create boards to store, share, and discuss content, manage multiple users, files and web references, and track content performance and effectiveness.</t>
  </si>
  <si>
    <t>77792-14T</t>
  </si>
  <si>
    <t>96824-80T</t>
  </si>
  <si>
    <t>FBITS Desenvolvimento de Software</t>
  </si>
  <si>
    <t>Developer of an e-commerce platform designed for fleet management. The company's platform utilizes techniques to focus on monitoring for management and efficiency of operations, enabling companies in Brazil to customize and manage their online stores.</t>
  </si>
  <si>
    <t>Silver Lake(Kyle Ryland), Tray(Willians Marques)</t>
  </si>
  <si>
    <t>75620-35T</t>
  </si>
  <si>
    <t>Valor Economico</t>
  </si>
  <si>
    <t>Publisher of newspaper. The company publishes news in the field of finance, politics and economy. It also operates a website which provides local news and stock information.</t>
  </si>
  <si>
    <t>Grupo Globo</t>
  </si>
  <si>
    <t>79959-70T</t>
  </si>
  <si>
    <t>WOW! Nutrition</t>
  </si>
  <si>
    <t>Producer and supplier of healthy food and ready-to-drink beverage products based in Sao Paulo, Brazil. The company specializes in offering a range of fruit juices and nectars, teas, coconut water, coffee drinks, natural and artificial sweeteners and infant nutrition products to its clients.</t>
  </si>
  <si>
    <t>International Finance (Washington D.C.)(Luiz De Campos)</t>
  </si>
  <si>
    <t>77995-72T</t>
  </si>
  <si>
    <t>75572-47T</t>
  </si>
  <si>
    <t>E-Guru Serviços em Tecnologia Educacional</t>
  </si>
  <si>
    <t>Provider of human capital management services. The company develops cloud-based services for employee recruiting and training such as learning games, e-learning, LMS platform, among others. It is engaged in development of assessment games in Brazil.</t>
  </si>
  <si>
    <t>115625-44T</t>
  </si>
  <si>
    <t>111467-08T</t>
  </si>
  <si>
    <t>Veek</t>
  </si>
  <si>
    <t>Operator of a mobile network intended for telecommunication services at uniform rates and tariffs to customers. The company's network charges a one-time tariff for voice minutes, regardless of whether the connection is fixed or mobile, local or long distance, as well as a one-time fee for data usage and messaging, enabling users to avail of a transparent and cheap digital mobile operating service in an all-inclusive easy to use application.</t>
  </si>
  <si>
    <t>122377-42T</t>
  </si>
  <si>
    <t>100180-63T</t>
  </si>
  <si>
    <t>Cosin &amp; Associados Consultoria e Serviços de Informática</t>
  </si>
  <si>
    <t>Provider of business and strategy consulting services based in Sao Paulo, Brazil. The company's business and strategy consulting services include sales, marketing, supply chain, financial services and back office, human and organizational development and operational efficiency, enabling clients to avail of enhanced, suitable and significant business transformation services.</t>
  </si>
  <si>
    <t>Dentsu International(Abel Reis)</t>
  </si>
  <si>
    <t>75439-09T</t>
  </si>
  <si>
    <t>Love Mondays</t>
  </si>
  <si>
    <t>Provider of an online information platform designed to offer employer reviews, salary data and jobs in Brazil. The company's platform gives job seekers access to review businesses where they are seeking careers and the reviews are given by the employees who work there, enabling professionals to make the suitable decisions for their careers and assist businesses to recruit and retain their talents.</t>
  </si>
  <si>
    <t>Glassdoor(Robert Hohman)</t>
  </si>
  <si>
    <t>103540-69T</t>
  </si>
  <si>
    <t>Provider of information technology and services intended to focus on the implementation of technological approaches aimed at the client's businesses. The company's information technology and services include cognitive computing, digital marketing, systems integration, application development, technical consulting and strategic staffing, thereby enabling its clients to be provided with quality solutions for their specific business needs.</t>
  </si>
  <si>
    <t>120197-35T</t>
  </si>
  <si>
    <t>Crescera Capital(Paulo Guedes), Medcel, Spectra Investments</t>
  </si>
  <si>
    <t>133002-82T</t>
  </si>
  <si>
    <t>75217-42T</t>
  </si>
  <si>
    <t>R Brasil Soluções</t>
  </si>
  <si>
    <t>Provider of credit recovery and debt negotiation services intended to serve individuals and businesses. The company provides revenue recovery, sales, search and after-sales services and debt negotiation, leveraging innovative methods and tools to help clients regain financial stability.</t>
  </si>
  <si>
    <t>Atento (PINX: ATTOF)(Alejandro Reynal)</t>
  </si>
  <si>
    <t>82980-28T</t>
  </si>
  <si>
    <t>Construtora Camargo Correa</t>
  </si>
  <si>
    <t>Provider of engineering and construction services. The company's engineering and construction services undertakes and executes large infrastructure projects with technical complexity, integrating sustainability and innovation as differentiator, enabling the companies to build infrastructures.</t>
  </si>
  <si>
    <t>79593-22T</t>
  </si>
  <si>
    <t>Instituto de Nefrologia de São Paulo</t>
  </si>
  <si>
    <t>Operator of the health care clinic for Kidney treatment. The company owns and operates a healthcare center which offers dialysis and other kidney related medical treatment to its patients in Brazil.</t>
  </si>
  <si>
    <t>DaVita (NYS: DVA)(Dennis Kogod)</t>
  </si>
  <si>
    <t>86527-45T</t>
  </si>
  <si>
    <t>53820-91T</t>
  </si>
  <si>
    <t>5xmais, Bossa Invest, James Light(James Light), João Braga(João Braga), Lab22</t>
  </si>
  <si>
    <t>133004-17T</t>
  </si>
  <si>
    <t>Solina Global(Lampros Vassiliou), TEAK (Singapore)</t>
  </si>
  <si>
    <t>210983-95T</t>
  </si>
  <si>
    <t>Edudream</t>
  </si>
  <si>
    <t>Developer of a financial platform intended to facilitate access to educational funding sources. The company's platform allows one to raise money for their education and pay in two models that is a fixed percentage of their income over the years or an agreed interest rate, enabling students to reduce the immediate financial burden of educational expenses.</t>
  </si>
  <si>
    <t>1776 Ventures, Baltimore Angels, Panther Angels, Village Capital</t>
  </si>
  <si>
    <t>91421-92T</t>
  </si>
  <si>
    <t>77851-18T</t>
  </si>
  <si>
    <t>92055-61T</t>
  </si>
  <si>
    <t>Smiles SA</t>
  </si>
  <si>
    <t>202723-12T</t>
  </si>
  <si>
    <t>126588-70T</t>
  </si>
  <si>
    <t>42K Investimentos(Eduardo Smith), Arthur Brennand(Arthur Brennand), Cristiano Lumack(Cristiano Lumack), Fernando Sartori(Fernando Sartori), GE32 Capital, Iporanga Ventures(Leonardo Teixeira), Mate Pencz(Mate Pencz), Paulo Ribeiro(Paulo Ribeiro), Valutia</t>
  </si>
  <si>
    <t>110418-22T</t>
  </si>
  <si>
    <t>Pointer Cielo</t>
  </si>
  <si>
    <t>Developer of software and application tools for vehicle monitoring. The company's software is designed for vehicle monitoring, driver behavior management, driver working hour management, including a wide range of blocking, tracking and telemetry devices and various actuators for vehicle security and driver control, enabling customers in decision making, reducing costs, protecting their mobile assets, monitoring operations, minimizing fraud and preventing accidents.</t>
  </si>
  <si>
    <t>Pointer Telocation(David Mahlab)</t>
  </si>
  <si>
    <t>216396-91T</t>
  </si>
  <si>
    <t>Serap Brasil Indústria e Comércio</t>
  </si>
  <si>
    <t>Manufacturer of stainless steel milk cooling tanks intended for livestock farmers. The company produces industrial tanks for large milk processors and tanks for the agro-food, pharmaceutical, chemical and cosmetic industries.</t>
  </si>
  <si>
    <t>Crédit Mutuel Equity, Groupe Serap</t>
  </si>
  <si>
    <t>77373-46T</t>
  </si>
  <si>
    <t>Unigeo Agricultura de Precisão</t>
  </si>
  <si>
    <t>Provider of precision farming services. The company offers soil sampling and mapping, satellite and drone imagery, interpretation of crop information and online software for farm monitoring and management.</t>
  </si>
  <si>
    <t>SGS (SWX: SGSN)(Frankie Ng)</t>
  </si>
  <si>
    <t>76356-01T</t>
  </si>
  <si>
    <t>Bridger Holdings, Endeavor Catalyst, Qualcomm Ventures(Carlos Kokron), Riverwood Capital, Temasek Holdings</t>
  </si>
  <si>
    <t>115735-60T</t>
  </si>
  <si>
    <t>45000-64T</t>
  </si>
  <si>
    <t>Kaszek(Nicolas Berman), Monashees(Carlo Dapuzzo)</t>
  </si>
  <si>
    <t>75963-79T</t>
  </si>
  <si>
    <t>Permira(Phil Guinand), TCV</t>
  </si>
  <si>
    <t>204261-31T</t>
  </si>
  <si>
    <t>188721-19T</t>
  </si>
  <si>
    <t>BRQ Solucoes em Informatica SA offers information technology services in Brazil. The company builds custom applications as well as products &amp; digital channels and manages applications, infrastructure and processes for its customers. It offers digitization solutions for banks, insurance companies, and telecommunications companies.</t>
  </si>
  <si>
    <t>75343-69T</t>
  </si>
  <si>
    <t>Industrial Levorin</t>
  </si>
  <si>
    <t>Manufacturer of bicycle and motorcycle tires based in Sao Paulo, Brazil. The company engages in manufacturing over 20 million tires and tubes for bicycles and motorcycles such as industrial tiers, bicycle tubes, chamber of air motorcycles, accessories and camelback, thereby helping the commuter segment.</t>
  </si>
  <si>
    <t>Groupe Michelin (PAR: ML)(Phillipe Meret)</t>
  </si>
  <si>
    <t>96825-07T</t>
  </si>
  <si>
    <t>EasyPost Smart Terminals</t>
  </si>
  <si>
    <t>Provider of receiving and sending orders services through a network of terminals intended for individuals and businesses. The company offers autonomous deliveries and pickups in various locations, including shopping centers and supermarkets, thereby allowing clients to receive their orders without the need for someone to be present on-site throughout the day.</t>
  </si>
  <si>
    <t>86882-05T</t>
  </si>
  <si>
    <t>76584-25T</t>
  </si>
  <si>
    <t>75598-30T</t>
  </si>
  <si>
    <t>Sushi Beta</t>
  </si>
  <si>
    <t>Developer of an online food delivery platform intended to provide customers to order online and schedule delivery online. The company's platform helps to order sushi dishes and deliveries ready-to-eat food for lunch or dinner, enabling consumers to order varied meals prepared by qualified professionals through a web-based platform.</t>
  </si>
  <si>
    <t>113733-37T</t>
  </si>
  <si>
    <t>Pagar.me</t>
  </si>
  <si>
    <t>Developer of an application platform intended to make secure payments online. The company's platform simplifies the receipt of all kinds of payments over the Internet, enabling people to make secure and smooth payments with full transparency.</t>
  </si>
  <si>
    <t>70278-31T</t>
  </si>
  <si>
    <t>Cnova Comercio Eletronico</t>
  </si>
  <si>
    <t>Provider of e-commerce services. The company provides online sales and business-to-business services through e-commerce websites in Brazil.</t>
  </si>
  <si>
    <t>74969-11T</t>
  </si>
  <si>
    <t>76693-96T</t>
  </si>
  <si>
    <t>GlobalAviation</t>
  </si>
  <si>
    <t>Provider of aviation services. The company offers aeromedical transport, aircraft management, aircraft hangar and shared flights services.</t>
  </si>
  <si>
    <t>CB Air(Michael Klein)</t>
  </si>
  <si>
    <t>110447-11T</t>
  </si>
  <si>
    <t>WayTaxi</t>
  </si>
  <si>
    <t>Developer of a mobile application intended to connect riders with taxi drivers. The company's application connects passengers with taxi drivers, enabling passengers to book taxi directly from their smartphone.</t>
  </si>
  <si>
    <t>Line Taxi</t>
  </si>
  <si>
    <t>74508-13T</t>
  </si>
  <si>
    <t>Arcom Informatica</t>
  </si>
  <si>
    <t>Provider of IT solutions and cybersecurity services intended to serve companies, cooperatives, unions and associations in Brazil. The company monitors and manages IT security environments, mitigates risks and prevents incidents.</t>
  </si>
  <si>
    <t>NEC (Japan) (TKS: 6701)(Daniel Mirabile)</t>
  </si>
  <si>
    <t>289431-64T</t>
  </si>
  <si>
    <t>Go Aulas</t>
  </si>
  <si>
    <t>Operator of an online platform intended to connect students with qualified tutors from all around the world. The company operates a platform that covers various fields, including academics like math and languages, as well as arts, music, physical education, and even specialized skills like coding or cooking, enabling students to find private lessons both online and in-person.</t>
  </si>
  <si>
    <t>SuperProf</t>
  </si>
  <si>
    <t>77092-30T</t>
  </si>
  <si>
    <t>101580-67T</t>
  </si>
  <si>
    <t>5xmais, Bossa Invest, David Mes(David Mes), Distrito Ventures, Off The Grid Ventures, Polaris Investimentos, Startup Farm(Igor Mascarenhas)</t>
  </si>
  <si>
    <t>73343-08T</t>
  </si>
  <si>
    <t>22250-26T</t>
  </si>
  <si>
    <t>Providence Equity Partners(Paul Salem)</t>
  </si>
  <si>
    <t>111649-60T</t>
  </si>
  <si>
    <t>111646-63T</t>
  </si>
  <si>
    <t>OpenUX</t>
  </si>
  <si>
    <t>Provider of IT infrastructure services. The company provides infrastructure in information technology, database installation and monitoring of quality of services capable of serving companies that are just starting out, gaining traction or going through large expansions.</t>
  </si>
  <si>
    <t>78191-02T</t>
  </si>
  <si>
    <t>W7 Venture Capital</t>
  </si>
  <si>
    <t>Provider of seed, early, mid and late venture investment services. The company focuses in technology, internet and e-commerce companies. It provides private equity and venture capital in companies directly related to the Brazilian web market.</t>
  </si>
  <si>
    <t>A5 Capital Partners(Paulo Humberg)</t>
  </si>
  <si>
    <t>181244-71T</t>
  </si>
  <si>
    <t>ENbox</t>
  </si>
  <si>
    <t>Operator of an energy trading platform intended to connect companies with business partners, ensuring enhanced deals in energy trading with security and transparency. The company's platform makes traders to buy, sell and swap orders in real time, ensuring agility and security in taking positions while adhering to the corporate governance practices, enabling energy traders to trade efficiently with simplicity, mobility and security through transparent negotiations.</t>
  </si>
  <si>
    <t>110146-42T</t>
  </si>
  <si>
    <t>Companhia de Navegação da Amazônia</t>
  </si>
  <si>
    <t>Operator of a fuel transportation company catering to general cargo and other projects in the region. The company specializes in bulk transportation of crude oil, oil products along with biofuels, thereby helping oil traders to access the proper supply of oil for their operation and trading.</t>
  </si>
  <si>
    <t>Asgaard Navegacao</t>
  </si>
  <si>
    <t>74696-68T</t>
  </si>
  <si>
    <t>Silver Swan Capital(Kyle Detwiler)</t>
  </si>
  <si>
    <t>74808-37T</t>
  </si>
  <si>
    <t>Fabio Ferrari(Fabio Ferrari), Invest Tech, Telefónica Ventures, Wayra</t>
  </si>
  <si>
    <t>227024-20T</t>
  </si>
  <si>
    <t>Spa FII (BVMF: SPAF11)</t>
  </si>
  <si>
    <t>Spa Fundo Investimento Imobiliario invests in shares of company properties or the reinvestment companies, shares of companies, real estate developments, real estate receivables certificates, letter of credit, mortgage notes, and other real estate assets.</t>
  </si>
  <si>
    <t>79675-21T</t>
  </si>
  <si>
    <t>Tokhelp</t>
  </si>
  <si>
    <t>Operator of a donations platform to raise money for donations. The company's platform lets non-profit organizations, such as churches and other non-governmental institutions raise donations for various events, enabling users to increase their collection.</t>
  </si>
  <si>
    <t>76583-80T</t>
  </si>
  <si>
    <t>104746-24T</t>
  </si>
  <si>
    <t>Finovate</t>
  </si>
  <si>
    <t>72463-15T</t>
  </si>
  <si>
    <t>HNA Group</t>
  </si>
  <si>
    <t>74270-44T</t>
  </si>
  <si>
    <t>Ribbit Capital(Meyer Malka)</t>
  </si>
  <si>
    <t>74395-45T</t>
  </si>
  <si>
    <t>Companhia Industrial de Cimento Apodi</t>
  </si>
  <si>
    <t>Manufacturer of construction materials intended for developers, contractors, and engineers. The company offers a range of products for infrastructure and architectural projects, such as cement and concrete products, enabling clients to implement building materials that support long-term stability, environmental responsibility, and efficient project execution.</t>
  </si>
  <si>
    <t>Titan (BRU: TITC)(Petros Sabatacakis)</t>
  </si>
  <si>
    <t>75896-02T</t>
  </si>
  <si>
    <t>Verus Group</t>
  </si>
  <si>
    <t>110435-14T</t>
  </si>
  <si>
    <t>Bitinvest Intermediação e Custódia</t>
  </si>
  <si>
    <t>Operator of an online payment processing platform. The company's platform offers bitcoin exchange, payment and related financial services, enabling the commercial sectors and users to access a wide range of services for their operation and financial exchange.</t>
  </si>
  <si>
    <t>74853-55T</t>
  </si>
  <si>
    <t>129748-78T</t>
  </si>
  <si>
    <t>Bikersafe</t>
  </si>
  <si>
    <t>Developer of an emergency call system designed to provide safety for motorcycle riders. The company's system offers a smart band that is connected to the user's cell phone, which sends a signal to the help center and private network of bikers in case of an accident, enabling customers to get quick medical assistance if they face any accident.</t>
  </si>
  <si>
    <t>Startup Scaleup</t>
  </si>
  <si>
    <t>126022-15T</t>
  </si>
  <si>
    <t>Cosmetic Green</t>
  </si>
  <si>
    <t>Provider of beauty services intended to serve the people of Brazil. The company's services include retail of different beauty products of main national dermo-cosmetic brands, enabling people to enjoy beauty products and services.</t>
  </si>
  <si>
    <t>120714-58T</t>
  </si>
  <si>
    <t>Diga Distribuição de Produtos Telefônicos</t>
  </si>
  <si>
    <t>Provider of point-of-sale and payment solutions based in Brazil. The company offers point-of-sale machines at various locations across Brazil and provides regional prepaid mobile credit distribution and markets mobile chips to clients.</t>
  </si>
  <si>
    <t>Celistics(José Antonio Ríos)</t>
  </si>
  <si>
    <t>84766-78T</t>
  </si>
  <si>
    <t>Grupo Magnum</t>
  </si>
  <si>
    <t>Provider of facilities management services created to be efficient and effective in the face of needs of the clients and to be recognized as reference in the segments in which it operates. The company's specialty lies in providing industrial maintenance, facilities management, engineering and project design, cleanliness and conservation as well as logistics services, which enable large companies in the industrial and commercial segments to receive specialized manpower and integrated management system services.</t>
  </si>
  <si>
    <t>90182-44T</t>
  </si>
  <si>
    <t>Instituto de Educacao Sagarana</t>
  </si>
  <si>
    <t>Operator of an educational institution intended to develop the critical awareness of students. The company's educational institution offers education inspired by the principles of freedom and the ideals of human solidarity, enabling students to analyze, criticize and participate both ethically and morally in social, political and cultural transformations.</t>
  </si>
  <si>
    <t>Upiara Empreendimentos e Participações</t>
  </si>
  <si>
    <t>69010-12T</t>
  </si>
  <si>
    <t>Interchange (Brazil)</t>
  </si>
  <si>
    <t>Manufacturer of veterinary medicinal products based in Campinas, Brazil. The company is engaged in manufacturing products consisting of antimicrobials, parasiticides, sanitizers, veterinary medicines, proteins and therapeutic support for animal health.</t>
  </si>
  <si>
    <t>Alivira Animal Health(Manish Gupta)</t>
  </si>
  <si>
    <t>125618-23T</t>
  </si>
  <si>
    <t>Lemonade (Accelerator), Techmall</t>
  </si>
  <si>
    <t>109751-05T</t>
  </si>
  <si>
    <t>102472-12T</t>
  </si>
  <si>
    <t>4Legacy, Bossa Invest, Marcus Roggero(Marcus Roggero)</t>
  </si>
  <si>
    <t>133476-22T</t>
  </si>
  <si>
    <t>CRP Companhia de Participacoes, CVentures(Adonay Freitas), Pedro de Paula(Pedro de Paula), Spectra Investments</t>
  </si>
  <si>
    <t>256456-54T</t>
  </si>
  <si>
    <t>80844-85T</t>
  </si>
  <si>
    <t>ACE Ventures (Geneva), FundersClub, GE32 Capital(Mate Pencz), Lumia Capital</t>
  </si>
  <si>
    <t>126024-76T</t>
  </si>
  <si>
    <t>111403-18T</t>
  </si>
  <si>
    <t>84766-33T</t>
  </si>
  <si>
    <t>Tem Açúcar?</t>
  </si>
  <si>
    <t>Operator of an online social network intended to facilitate sustainability and unite people. The company's network permits borrowing items from neighbors and matching loans, enabling users to reduce overconsumption and reduce negative environmental impact.</t>
  </si>
  <si>
    <t>84787-21T</t>
  </si>
  <si>
    <t>Timokids</t>
  </si>
  <si>
    <t>Developer of a multi-language mobile application designed to offers stories and games for children. The company's multi-language mobile application reflects the day-to-day life of the children, with the purpose to educate and entertain them, offers educational games and stories in different languages related to daily life, enabling children to acquire knowledge and spend time easily.</t>
  </si>
  <si>
    <t>Hunt Companies, Parallel18</t>
  </si>
  <si>
    <t>69825-25T</t>
  </si>
  <si>
    <t>92526-31T</t>
  </si>
  <si>
    <t>Livraria e Editora Revinter</t>
  </si>
  <si>
    <t>Publisher of weekly magazine. The company's weekly magazine publishes news articles on medicine in the Brazilian market, enabling physicians and individuals to get all the updates of medical market.</t>
  </si>
  <si>
    <t>Thieme Publishers</t>
  </si>
  <si>
    <t>111044-26T</t>
  </si>
  <si>
    <t>Mantiq Investimentos</t>
  </si>
  <si>
    <t>Operator of a private equity fund manager in Brazil. The company's services include funding and investments, enabling clients to avail financial funding.</t>
  </si>
  <si>
    <t>74202-31T</t>
  </si>
  <si>
    <t>73581-94T</t>
  </si>
  <si>
    <t>BRZ Gestão de Patrimônio</t>
  </si>
  <si>
    <t>Provider of wealth management services. The company specializes in wealth management and also offers custom services such as asset protection and succession planning.</t>
  </si>
  <si>
    <t>Azimut Brasil Wealth Management</t>
  </si>
  <si>
    <t>73259-11T</t>
  </si>
  <si>
    <t>96890-41T</t>
  </si>
  <si>
    <t>Rio Bravo Investimentos</t>
  </si>
  <si>
    <t>Fundo Investimento Imobiliario RIO Bravo Renda Educacional FII operates as a real estate investment fund.</t>
  </si>
  <si>
    <t>Fosun International (HKG: 00656)(Guangchang Guo)</t>
  </si>
  <si>
    <t>73215-28T</t>
  </si>
  <si>
    <t>125340-31T</t>
  </si>
  <si>
    <t>78579-46T</t>
  </si>
  <si>
    <t>XBW</t>
  </si>
  <si>
    <t>Developer of an online business platform designed to connect buyers to professional suppliers. The company's platform offers tools that support users from conception to optimizing results, connecting to reputable suppliers and stimulating the buying and selling of everything the business needs, enabling businesses to maximize billing power and lower production costs with effective inputs and tools.</t>
  </si>
  <si>
    <t>71606-17T</t>
  </si>
  <si>
    <t>Garnero Group Acquisition</t>
  </si>
  <si>
    <t>Operator of a blank check company.</t>
  </si>
  <si>
    <t>56355-49T</t>
  </si>
  <si>
    <t>Grupo Colombo</t>
  </si>
  <si>
    <t>Retailer of clothes and apparel products based in Curitiba, Brazil. The company sells men's clothes, women's apparel, accessories, winter wear, and other related products, thereby enabling customers with brand awareness for clothing and quality products at competitive prices.</t>
  </si>
  <si>
    <t>73178-83T</t>
  </si>
  <si>
    <t>Just Eat Holding(David Buttress), Movile(Fabricio Bloisi)</t>
  </si>
  <si>
    <t>73962-19T</t>
  </si>
  <si>
    <t>The Carlyle Group (NAS: CG)(Fernando Borges)</t>
  </si>
  <si>
    <t>73718-29T</t>
  </si>
  <si>
    <t>Umov.me</t>
  </si>
  <si>
    <t>Developer of a corporate mobility technology designed for creating and managing enterprise applications. The company's platform offers cloud-based data storage software to handle marketing, sales, services, and logistics, enabling clients to create mobile applications without any prior experience in programming.</t>
  </si>
  <si>
    <t>73040-95T</t>
  </si>
  <si>
    <t>Morena Rosa Industria de Confeccoes</t>
  </si>
  <si>
    <t>Manufacturer of clothes and accessories. The company provides women's shoes, accessories and clothes including beach wear, lingerie, jeans, skirts and blouses.</t>
  </si>
  <si>
    <t>87079-06T</t>
  </si>
  <si>
    <t>72851-23T</t>
  </si>
  <si>
    <t>Grupo Scalina</t>
  </si>
  <si>
    <t>Manufacturer and retailers of women's hosiery and lingerie. The company manufactures and distributes stockings, tights and allied hosiery products under its brands.</t>
  </si>
  <si>
    <t>81662-05T</t>
  </si>
  <si>
    <t>MeuTutor</t>
  </si>
  <si>
    <t>Developer of an online education platform intended to offer adaptive learning by focusing on teaching quality and student performance. The company's platform helps students understand pedagogical content in a playful way and also generates personalized reports on student learning, enabling teachers to understand the learning gaps.</t>
  </si>
  <si>
    <t>Pearson Sistemas Do Brasil</t>
  </si>
  <si>
    <t>91692-64T</t>
  </si>
  <si>
    <t>Guabi Nutrição e Saúde Animal</t>
  </si>
  <si>
    <t>Producer of animal feeds based in Sao Paulo, Brazil The company specializes in processing and producing animal feeds, foods and supplements.</t>
  </si>
  <si>
    <t>Alltech(Pearse Lyons)</t>
  </si>
  <si>
    <t>115636-06T</t>
  </si>
  <si>
    <t>Conta um</t>
  </si>
  <si>
    <t>Developer of a financial platform designed to provide an alternative to making transactions. The company's platform facilitates and reduces costs for payroll, brings control to online and real-time corporate expenses and online reconciliation and offers clarification towards payment of premiums and incentives without labor risk, enabling users to avail financial transactional facilities without proof of income or residence.</t>
  </si>
  <si>
    <t>82416-16T</t>
  </si>
  <si>
    <t>Jaspe Argamassas</t>
  </si>
  <si>
    <t>Manufacturer and supplier of tile adhesives.</t>
  </si>
  <si>
    <t>267945-13T</t>
  </si>
  <si>
    <t>Concretta</t>
  </si>
  <si>
    <t>Provider of vocational training courses intended to equip students with the skills necessary for construction industry jobs. The company's courses provide a combination of theoretical and practical learning, enabling individuals to enter the workforce quickly or to improve their qualifications for career advancement.</t>
  </si>
  <si>
    <t>262022-86T</t>
  </si>
  <si>
    <t>264704-41T</t>
  </si>
  <si>
    <t>96892-12T</t>
  </si>
  <si>
    <t>Gávea Investimentos</t>
  </si>
  <si>
    <t>72528-94T</t>
  </si>
  <si>
    <t>Fertilizantes Tocantins</t>
  </si>
  <si>
    <t>Supplier of fertilizer products. The company is engaged in the distribution and marketing of agricultural chemicals in Brazil.</t>
  </si>
  <si>
    <t>EuroChem Group(Andrey Ilyin)</t>
  </si>
  <si>
    <t>98065-27T</t>
  </si>
  <si>
    <t>A5 Capital Partners, KPTL</t>
  </si>
  <si>
    <t>72804-79T</t>
  </si>
  <si>
    <t>CGPAR Construção Pesada</t>
  </si>
  <si>
    <t>Provider of construction services. The company engages in providing services related to the support to the extraction of iron ore, earth leveling, earth moving, and dam construction.</t>
  </si>
  <si>
    <t>95412-25T</t>
  </si>
  <si>
    <t>72819-28T</t>
  </si>
  <si>
    <t>Inventiva</t>
  </si>
  <si>
    <t>Manufacturer of cosmetics based on nanotechnology. The company develops and manufactures active cosmetics for face, hair, body and nails, all with safety and efficacy tests.</t>
  </si>
  <si>
    <t>Croda International (LON: CRDA)</t>
  </si>
  <si>
    <t>126023-68T</t>
  </si>
  <si>
    <t>81741-25T</t>
  </si>
  <si>
    <t>Hiter Indústria e Comércio de Controles Termo-Hidráulicos</t>
  </si>
  <si>
    <t>Manufacturer of industrial valves for sugar, ethanol, energy, mining, steel, chemical, oil and gas as well as paper and cellulose industries. The company specializes in globe, rotary, steam conditioning, energy shut off and reducing valves, steam desuperheaters and actuators as well as offers services such as technical consulting, installation, commissioning, maintenance and refurbishment, helping clients with their production content.</t>
  </si>
  <si>
    <t>Spirax Group (LON: SPX)(Nicholas Anderson)</t>
  </si>
  <si>
    <t>49945-87T</t>
  </si>
  <si>
    <t>HSBC Holdings (Brazilian unit)</t>
  </si>
  <si>
    <t>Provider of banking services. The company provides banking services, account opening, credit facility and retail banking services.</t>
  </si>
  <si>
    <t>Bank Bradesco (BVMF: BBDC3)(Alexandre Gluher)</t>
  </si>
  <si>
    <t>73097-02T</t>
  </si>
  <si>
    <t>Societe Mondiale</t>
  </si>
  <si>
    <t>73716-76T</t>
  </si>
  <si>
    <t>Planeta Brinquedo</t>
  </si>
  <si>
    <t>Owner and operator of toy store chain in Brazil. The company specializes in toys, hobby goods and supplies for kids.</t>
  </si>
  <si>
    <t>Ri Happy, The Carlyle Group (NAS: CG)(Juan Felix)</t>
  </si>
  <si>
    <t>123874-84T</t>
  </si>
  <si>
    <t>228509-11T</t>
  </si>
  <si>
    <t>72528-67T</t>
  </si>
  <si>
    <t>Concessionária ViaRio</t>
  </si>
  <si>
    <t>Provider of infrastructure maintenance services based in Rio de Janeiro, Brazil. The company engages in the construction, operation and management of tracks with three lanes, route operations and highways.</t>
  </si>
  <si>
    <t>72345-79T</t>
  </si>
  <si>
    <t>Rural Brasil</t>
  </si>
  <si>
    <t>Distributor of agricultural products to the agribusiness sector. The company offers products such as fertilizers, seeds and pesticides and owns a chain of stores, providing clients with agricultural inputs in their areas of operation easily.</t>
  </si>
  <si>
    <t>AgroGalaxy, Aqua Capital(Tomas Romero), Spectra Investments</t>
  </si>
  <si>
    <t>123143-86T</t>
  </si>
  <si>
    <t>Floripa Angels</t>
  </si>
  <si>
    <t>71455-96T</t>
  </si>
  <si>
    <t>Kaszek(Nicolas Szekasy), QED Investors, Quona Capital(Jonathan Whittle), Redpoint eventures(Manoel Lemos)</t>
  </si>
  <si>
    <t>101934-46T</t>
  </si>
  <si>
    <t>Start Path(Stephane Wyper)</t>
  </si>
  <si>
    <t>73147-24T</t>
  </si>
  <si>
    <t>Peninsula Participacoes(Abilio Dos Santos Diniz)</t>
  </si>
  <si>
    <t>170593-48T</t>
  </si>
  <si>
    <t>Salus Group</t>
  </si>
  <si>
    <t>Producer of animal nutrition products catering to farmers, veterinarians and animal owners. The company specializes in raw materials, premixes, supplements and feeds nutritional additives, ingredients, medicines and specialties with technical assistance, thereby providing products with strict quality control.</t>
  </si>
  <si>
    <t>MiXscience</t>
  </si>
  <si>
    <t>122938-21T</t>
  </si>
  <si>
    <t>96957-55T</t>
  </si>
  <si>
    <t>B2B Parts</t>
  </si>
  <si>
    <t>Developer of a car parts marketplace intended to be an indispensable link in the value chain of car components. The company's electronic dealer platform utilize software for the reception of parts lists, accumulation process and quotations for distributors, enabling customers in Brazil and other countries to have access to car components at a fair price.</t>
  </si>
  <si>
    <t>Colony Capital(Jean-Romain Lhomme), Embratecc</t>
  </si>
  <si>
    <t>71822-98T</t>
  </si>
  <si>
    <t>Control y Montajes Industriales (3 Subsidiaries)</t>
  </si>
  <si>
    <t>A portfolio of three companies providing energy infrastructure and transmission services. The companies specialize in construction and managing operations of power transmission lines throughout Brazil.</t>
  </si>
  <si>
    <t>Brookfield Corporation (TSE: BN)</t>
  </si>
  <si>
    <t>166874-86T</t>
  </si>
  <si>
    <t>Economiza Club</t>
  </si>
  <si>
    <t>Developer of a payment application designed to allow users to track their expenses and find the best prices on products in their area. The company's platform works by scanning the quick response code on a user's receipt, which automatically records the price of the items purchased, enabling create shopping lists and track their spending over time.</t>
  </si>
  <si>
    <t>215408-89T</t>
  </si>
  <si>
    <t>71729-56T</t>
  </si>
  <si>
    <t>Sambatech</t>
  </si>
  <si>
    <t>Provider of allocation and accelerator services intended to develop Information technology infrastructure. The company uses robotic process automation, artificial intelligence, and machine learning for digital acceleration, strategic consulting, and business ecosystem, enabling clients to focus on interoperability between platforms, interconnection of complementary services, collaboration between participants, and creation of additional value through the exchange of data and knowledge.</t>
  </si>
  <si>
    <t>Black Point Group, Bossa Invest, Draper Fisher Jurvetson Management, José Schincariol(José Schincariol), PBMS Group</t>
  </si>
  <si>
    <t>208729-45T</t>
  </si>
  <si>
    <t>109577-98T</t>
  </si>
  <si>
    <t>100186-21T</t>
  </si>
  <si>
    <t>Carboflex</t>
  </si>
  <si>
    <t>Manufacturer of chemical products intended to serve the oil and gas industry. The company offers citric acid, baritone, bentonite, butyl, glycol, hydrated lime, carbo gel, carbon fiber and calcium and sodium carbonate.</t>
  </si>
  <si>
    <t>Clariant International (SWX: CLN)(John Dunne)</t>
  </si>
  <si>
    <t>53311-87T</t>
  </si>
  <si>
    <t>110037-88T</t>
  </si>
  <si>
    <t>72058-51T</t>
  </si>
  <si>
    <t>Founders Fund</t>
  </si>
  <si>
    <t>75439-27T</t>
  </si>
  <si>
    <t>262494-01T</t>
  </si>
  <si>
    <t>Braskem Labs</t>
  </si>
  <si>
    <t>110038-24T</t>
  </si>
  <si>
    <t>99382-60T</t>
  </si>
  <si>
    <t>Safer</t>
  </si>
  <si>
    <t>Developer of a trip-booking mobile application designed to let daily commuters book taxi rides. The company's application lets customers search for and book cabs that are in their immediate vicinity, enabling drivers and customers to reduce hassles and overall time spent on their commute.</t>
  </si>
  <si>
    <t>188337-25T</t>
  </si>
  <si>
    <t>Nutrionix</t>
  </si>
  <si>
    <t>Producer of low sodium salts intended to offer a global approach to dietary sodium reduction. The company offers a range of products to control the sodium in cooking and seasoning salt, enabling users to limit salt consumption as per the regulation and stay healthy.</t>
  </si>
  <si>
    <t>71625-52T</t>
  </si>
  <si>
    <t>PlanConsult</t>
  </si>
  <si>
    <t>Provider of business advisory, asset management and corporate consultancy services based in Sao Paulo, Brazil. The company specializes in carrying out studies, enterprise and fixed asset valuation for a variety of uses such as arbitration, litigation, taxes and insurance and also utilizes new methodologies and specific applications to meet the market's evolving demands, enabling national and multinational companies to receive a tailored and reliable consulting assistance.</t>
  </si>
  <si>
    <t>Gordon Brothers(Kenneth Frieze)</t>
  </si>
  <si>
    <t>79333-39T</t>
  </si>
  <si>
    <t>Axado</t>
  </si>
  <si>
    <t>Provider of online freight services intended to ship goods. The company's platform provides real time positions of all road, sea and air shipments and deliveries, offers alerts warning of delays due to road traffic disruptions and port congestion and connects logistics service providers with warehouse operators, enabling manufacturers to reduce lead times to improve the customer experience and optimize their supply chain.</t>
  </si>
  <si>
    <t>225330-22T</t>
  </si>
  <si>
    <t>Multi Shoppings Fundo De Investimento Imobiliario (BVMF: SHOP11)</t>
  </si>
  <si>
    <t>Multi Shoppings Fundo Investimento Imobiliario FII, formerly Multi Shoppings Fundo De Investimento Imobiliario is a real estate investment trust engaged in real estate sector.</t>
  </si>
  <si>
    <t>71237-08T</t>
  </si>
  <si>
    <t>CCB Brasil</t>
  </si>
  <si>
    <t>Operator of a commercial bank based in Sao Paulo, Brazil. The company offers savings and checking accounts, loans, mortgages and private and business banking services.</t>
  </si>
  <si>
    <t>China Construction Bank (SHG: 601939)</t>
  </si>
  <si>
    <t>73391-41T</t>
  </si>
  <si>
    <t>4Legacy, ACE Ventures (Commercial Services), Bossa Invest, Bruno Ampessan(Bruno Ampessan), Joachim von Goetz, Nívea Regina Ferradosa(Nívea Regina Ferradosa), Vivian Satie(Vivian Satie)</t>
  </si>
  <si>
    <t>96403-78T</t>
  </si>
  <si>
    <t>297863-29T</t>
  </si>
  <si>
    <t>72925-66T</t>
  </si>
  <si>
    <t>Beonpop</t>
  </si>
  <si>
    <t>Developer of an application platform to measure popularity in social media networks. The company's platform offers a measurement metric named POP (points of performance) to compare the digital performance of people and brands, enabling users to build a relevant and qualified profile and improve their performance on social networks</t>
  </si>
  <si>
    <t>122938-48T</t>
  </si>
  <si>
    <t>133417-81T</t>
  </si>
  <si>
    <t>Cachaçaria Nacional</t>
  </si>
  <si>
    <t>Producer of alcoholic beverages intended to provide fine quality alcohol online. The company offers handmade in-house labeled products from the main producing regions of Brazil as well as accessories for tasting, barrels, and gourmet lines among others, enabling customers to order a better-tasting drink from the comfort of their homes.</t>
  </si>
  <si>
    <t>213395-14T</t>
  </si>
  <si>
    <t>127769-05T</t>
  </si>
  <si>
    <t>Faculdade de Imperatriz</t>
  </si>
  <si>
    <t>Provider of educational services based in Imperatriz, Brazil. The company engages in offering undergraduate programs such as a business, accounting, economics, law, nursing, pharmacy, dentistry, pedagogy, systems information and marketing.</t>
  </si>
  <si>
    <t>Wyden (Educational and Training Services)</t>
  </si>
  <si>
    <t>225017-56T</t>
  </si>
  <si>
    <t>134237-53T</t>
  </si>
  <si>
    <t>AB CarVal, AMERRA Capital Management(Craig Tashjian)</t>
  </si>
  <si>
    <t>73760-41T</t>
  </si>
  <si>
    <t>106378-39T</t>
  </si>
  <si>
    <t>100154-71T</t>
  </si>
  <si>
    <t>Basement Brazil</t>
  </si>
  <si>
    <t>Provider of publishing services. The company's published products include songs, magazines, stories, plays and other articles, enabling readers enjoy short articles.</t>
  </si>
  <si>
    <t>BMG Rights Management(Hartwig Masuch)</t>
  </si>
  <si>
    <t>65825-38T</t>
  </si>
  <si>
    <t>Panpharma Participacoes</t>
  </si>
  <si>
    <t>Distributor of pharmaceutical and personal care products designed for retail and healthcare purposes. The company integrates an extensive product portfolio, efficient supply chain management, and advanced distribution systems, enabling the pharmaceutical and retail markets to access reliable solutions that ensure timely delivery, support diverse consumer needs, and enhance operational efficiency across various sectors.</t>
  </si>
  <si>
    <t>Distribuidora de Medicamentos Santa Cruz Ltda</t>
  </si>
  <si>
    <t>133415-83T</t>
  </si>
  <si>
    <t>FredBots</t>
  </si>
  <si>
    <t>Developer of a social chat application designed to personalize selling and customer service processes. The company's application leverages chatbots and artificial intelligence techniques to function as micro-applications and micro-services embedded in chats to improve customer relations, enabling businesses to interact with their consumers in order to improve their selling experience.</t>
  </si>
  <si>
    <t>Duxx Investimentos(Marcos Aurélio Couto)</t>
  </si>
  <si>
    <t>122373-10T</t>
  </si>
  <si>
    <t>Move2 Accelerator(Ronaldo Takahashi)</t>
  </si>
  <si>
    <t>110460-88T</t>
  </si>
  <si>
    <t>Premier IT Global Services (Printing Outsourcing Division)</t>
  </si>
  <si>
    <t>Provider of printing outsourcing services in Brazil.</t>
  </si>
  <si>
    <t>97024-96T</t>
  </si>
  <si>
    <t>Refrigello Climatização de Ambientes</t>
  </si>
  <si>
    <t>Retailer of air-conditioning and photovoltaic solar energy products intended for customers across Brazil. The company's platform offers a range of air conditioners and parts that are sold through multiple channels including traditional stores, an e-commerce operation, and distribution centers as well as installation and maintenance services, thereby enabling customers with air conditioning needs in an energy-efficient manner.</t>
  </si>
  <si>
    <t>2bCapital</t>
  </si>
  <si>
    <t>225418-15T</t>
  </si>
  <si>
    <t>Nestpar Fundo De Investimento</t>
  </si>
  <si>
    <t>GGR Estrategia Fundo De Investimento Imobiliario is a real estate investment trust engaged in real estate sector.</t>
  </si>
  <si>
    <t>172628-74T</t>
  </si>
  <si>
    <t>297402-94T</t>
  </si>
  <si>
    <t>IORGA</t>
  </si>
  <si>
    <t>Manufacturer of industrial lubrication fluids intended to serve the sugar cane milling and metalworking sectors. The company specializes in lubrication engineering, planning, audit process, implementation, operation, and analytical services for developing technologically advanced oils and greases tailored for each industrial segment, thereby enhancing equipment performance and durability.</t>
  </si>
  <si>
    <t>Condat (Specialty Chemicals)</t>
  </si>
  <si>
    <t>79673-50T</t>
  </si>
  <si>
    <t>DroneMapp</t>
  </si>
  <si>
    <t>Developer of an application program interface intended for processing images captured by drones. The company's interface supports the entire process of scheduling missions of data collection, processing basic and advanced calculations, organization and analysis of information, enabling civil construction, real estate development, mining, and agriculture sectors to avail quality drone precision mapping.</t>
  </si>
  <si>
    <t>74455-84T</t>
  </si>
  <si>
    <t>Same No More</t>
  </si>
  <si>
    <t>Operator of an online clothing store intended to offer proper experiences to consumers at affordable prices. The company offers party dresses, clothing and accessories and also owns and operates rental stores which users can use to try out the outfits before renting, enabling clients to find the perfect look for a special event while respecting the image and individual style of each one.</t>
  </si>
  <si>
    <t>Treemark Capital</t>
  </si>
  <si>
    <t>68238-46T</t>
  </si>
  <si>
    <t>Arteris (Infrastructure)</t>
  </si>
  <si>
    <t>Operator of a highway concessionaire based in Sao Paulo. The company is engaged in the development of highway infrastructure and improving and maintaining regulated passages.</t>
  </si>
  <si>
    <t>Partícipes en Brasil</t>
  </si>
  <si>
    <t>70274-98T</t>
  </si>
  <si>
    <t>63059-59T</t>
  </si>
  <si>
    <t>BGR Asset Management</t>
  </si>
  <si>
    <t>Developer of real estate properties intended to serve the real estate industry. The company specializes in acquiring, leasing, managing, developing, and selling office buildings and industrial and logistics warehouses in Brazil's major metropolitan regions, enabling businesses to access well-managed properties throughout their real estate life cycle.</t>
  </si>
  <si>
    <t>GP Investments (LUX: GPINA)(Antonio Bonchristiano)</t>
  </si>
  <si>
    <t>70249-15T</t>
  </si>
  <si>
    <t>WILD Amazon Flavors</t>
  </si>
  <si>
    <t>Manufacturer of natural extracts, emulsions and compounds. The company's product portfolio features natural extracts and flavors derived from the guarana plant, açai berries, oranges and grapes as well as cola flavors for the Brazilian beverage market.</t>
  </si>
  <si>
    <t>Wild Flavors(Vincent Macciocchi)</t>
  </si>
  <si>
    <t>68131-45T</t>
  </si>
  <si>
    <t>Baita, SP Ventures(Francisco Jardim), SVG Ventures|THRIVE</t>
  </si>
  <si>
    <t>247966-57T</t>
  </si>
  <si>
    <t>Cryo (Brazil)</t>
  </si>
  <si>
    <t>Developer and supplier of software and services intended to serve business processes.</t>
  </si>
  <si>
    <t>Zeev(José Lazari)</t>
  </si>
  <si>
    <t>70351-03T</t>
  </si>
  <si>
    <t>Barn Investimentos(Flavio Zaclis), Monashees(Marcelo Lima), Qualcomm Ventures</t>
  </si>
  <si>
    <t>62244-73T</t>
  </si>
  <si>
    <t>EcoRodovias Infraestrutura E Logistica SA is an infrastructure and logistics company. The company organises itself into three segments: concessions, holding and services, and ports. Concessions, which includes the company's Brazilian toll road operations, contributes the vast majority of revenue. Ports, the next largest segment, includes the company's port operations, in addition to handling and warehousing import and export cargos. The company is headquartered in Brazil, and generates all revenue domestically.</t>
  </si>
  <si>
    <t>ASTM</t>
  </si>
  <si>
    <t>110457-28T</t>
  </si>
  <si>
    <t>Real Estate Partners Desenvolvimento Imobiliário</t>
  </si>
  <si>
    <t>Operator of shopping center in Sao Paulo. The company owns 24 operations, with six traditional malls and 18 strip malls.</t>
  </si>
  <si>
    <t>LDI Desenvolvimento Imobiliário</t>
  </si>
  <si>
    <t>62984-62T</t>
  </si>
  <si>
    <t>GS Inima SAMAR</t>
  </si>
  <si>
    <t>Provider of water management and environmental services intended to serve the São Paulo, Minas Gerais and Rio Grande do Sul region of Brazil. The company 
offers water supply and treatment services, collection, removal and treatment of domestic sewage.</t>
  </si>
  <si>
    <t>62311-06T</t>
  </si>
  <si>
    <t>210800-89T</t>
  </si>
  <si>
    <t>86596-39T</t>
  </si>
  <si>
    <t>Folem Indústria e Comércio</t>
  </si>
  <si>
    <t>Manufacturer of animal oil and flour. The company's animal oil and flour manufacturing services enable businesses to process material that was not fit for human consumption.</t>
  </si>
  <si>
    <t>Sanimax ABP</t>
  </si>
  <si>
    <t>77150-08T</t>
  </si>
  <si>
    <t>Anderson Thees(Anderson Thees), Intact Ventures(Karim Hirji), Nicholas Reise(Nicholas Reise), Redpoint eventures(Yann De Vries), Yann Vries(Yann Vries)</t>
  </si>
  <si>
    <t>192969-82T</t>
  </si>
  <si>
    <t>Promad</t>
  </si>
  <si>
    <t>Developer of legal software intended for Brazilian lawyers. The company offers law tools that increase competitiveness, improve the organization of routines and positioning in the market.</t>
  </si>
  <si>
    <t>38004-58T</t>
  </si>
  <si>
    <t>Sí Señor</t>
  </si>
  <si>
    <t>Operator of a chain of restaurants intended to serve Mexican and Texas cuisine. The company offers Mexican and American cuisine and culinary that brings innovations and adaptations to Brazilian habits, enabling its clients with food variation as per their requirements.</t>
  </si>
  <si>
    <t>Peterson Partners</t>
  </si>
  <si>
    <t>295473-70T</t>
  </si>
  <si>
    <t>77142-43T</t>
  </si>
  <si>
    <t>Barn Investimentos(Thiago Mendes), Headline, Iporanga Ventures, Plug and Play Tech Center, Redpoint eventures(Manoel Lemos), Ronaldo Bastos(Ronaldo Bastos)</t>
  </si>
  <si>
    <t>122376-25T</t>
  </si>
  <si>
    <t>219581-11T</t>
  </si>
  <si>
    <t>Softruck</t>
  </si>
  <si>
    <t>Developer of a fleet management platform designed to assist with daily fleet operations. The company's platform provides services to manage a fleet, risks, tires, fuel monitoring, tracking and telemetry and features include notifications, managing data and communication, enabling clients to enhance their security, reduce risks and costs, increase efficiency and increase control over everyday activities.</t>
  </si>
  <si>
    <t>68120-74T</t>
  </si>
  <si>
    <t>Kaszek(Hernan Kazah), Redpoint eventures(Manoel Lemos)</t>
  </si>
  <si>
    <t>94631-14T</t>
  </si>
  <si>
    <t>Fiagril</t>
  </si>
  <si>
    <t>Provider of agricultural inputs and technical assistance catering to the farmers. The company offers grains, seeds, foliar, biological nutrients, bio-diesel, fertilizers, pesticides and specialties, thereby enabling customers to maintain food production, clean and renewable energy and the sustainability of the planet.</t>
  </si>
  <si>
    <t>104015-53T</t>
  </si>
  <si>
    <t>HIX Capital(Rodrigo Heilberg)</t>
  </si>
  <si>
    <t>61800-13T</t>
  </si>
  <si>
    <t>ABCDEFGHI Participacoes</t>
  </si>
  <si>
    <t>Provider of advertising and marketing services. The company provides advertising, media information, digital marketing, marketing advisory, strategy development and planning services to its clients.</t>
  </si>
  <si>
    <t>DDB Worldwide Communications(Thomas Harrison)</t>
  </si>
  <si>
    <t>74211-94T</t>
  </si>
  <si>
    <t>GEF Capital Partners, Global Environment Fund, Kinea Investimentos (BVMF: KNHY11)</t>
  </si>
  <si>
    <t>123137-92T</t>
  </si>
  <si>
    <t>121223-44T</t>
  </si>
  <si>
    <t>77867-65T</t>
  </si>
  <si>
    <t>PhishX</t>
  </si>
  <si>
    <t>Developer of a digital security platform designed to offer security awareness that simulates cyber threats. The company's platform uses cybersecurity messages with micro-learning and knowledge pills to educate people continuously and bring innovation in cybersecurity threats, enabling clients and users to get access to awareness with ongoing simulation and cybersecurity education.</t>
  </si>
  <si>
    <t>69406-75T</t>
  </si>
  <si>
    <t>79675-39T</t>
  </si>
  <si>
    <t>Nozzles</t>
  </si>
  <si>
    <t>Provider of online home maintenance services based in Sao Paulo, Brazil. The company's services specialize in providing an online platform that enables users to find the right person for home maintenance.</t>
  </si>
  <si>
    <t>SP Partners fund</t>
  </si>
  <si>
    <t>72920-53T</t>
  </si>
  <si>
    <t>Educacross</t>
  </si>
  <si>
    <t>Provider of technological products and services intended to offer augmented reality education. The company's platform offers evidence-based learning, data-driven education, theoretical foundation, speech learning and analysis, and game-based learning, helping students to engage and motivate.</t>
  </si>
  <si>
    <t>BRE Comércio de Livros</t>
  </si>
  <si>
    <t>123131-71T</t>
  </si>
  <si>
    <t>Bee Gold</t>
  </si>
  <si>
    <t>Producer of alcoholic beverages. The company's products are primarily focused on a variety of flavored mead such as strawberry and raspberry flavor, enabling consumers to get access to good quality alcoholic drinks.</t>
  </si>
  <si>
    <t>4Legacy</t>
  </si>
  <si>
    <t>61665-94T</t>
  </si>
  <si>
    <t>Elavon do Brasil Solucoes de Pagamento</t>
  </si>
  <si>
    <t>Provider of credit card processing services. The company provides credit card payment services to its clients in Brazil.</t>
  </si>
  <si>
    <t>ArpexCapital(Jorge Lemann), Stone Pagamentos (NAS: STNE)</t>
  </si>
  <si>
    <t>134904-61T</t>
  </si>
  <si>
    <t>Patinete elÉtrico Surfer</t>
  </si>
  <si>
    <t>Developer of electric scooter bicycle designed to provide a non-polluting mode of transportation. The company's bicycles are lightweight and the shelf components ensure a low comparative cost of maintenance and ease for replacement of parts and mechanics, enabling customers with conventional electric bikes in terms of looks, comfort, and safety.</t>
  </si>
  <si>
    <t>221201-83T</t>
  </si>
  <si>
    <t>AQ3 Renda Fundo (BVMF: ARFI11B)</t>
  </si>
  <si>
    <t>AQ3 Renda Fundo de Investimento Imobiliario is a real estate investment trust. The company's objective is to realize long-term real estate investments through the acquisition of land, real estate, real rights over land and / or real estate.</t>
  </si>
  <si>
    <t>68130-28T</t>
  </si>
  <si>
    <t>Leader Participacoes</t>
  </si>
  <si>
    <t>Operator of apparel and furniture retail stores in Brazil. The company operates a chain of stores that sells clothes, domestic utensils, toys, shoes and accessories.</t>
  </si>
  <si>
    <t>Legion Holdings</t>
  </si>
  <si>
    <t>68914-18T</t>
  </si>
  <si>
    <t>Molicar</t>
  </si>
  <si>
    <t>Provider of vehicle valuation services. The company facilitates around 13 million vehicle valuations a year and has a vehicle catalog that contains 22,000 different models and prices that are updated weekly across 12 different regions.</t>
  </si>
  <si>
    <t>Cox Automotive(John Bailey)</t>
  </si>
  <si>
    <t>68821-75T</t>
  </si>
  <si>
    <t>Aquabel</t>
  </si>
  <si>
    <t>Provider of tilapia fish catering to the aquaculture sector. The company engages in breeding, harvesting, selling fingerlings, tilapia fish and juveniles and offers fish farming, maintenance and hatching services in Brazil.</t>
  </si>
  <si>
    <t>AquaGen(Odd Magne Rodseth)</t>
  </si>
  <si>
    <t>123140-80T</t>
  </si>
  <si>
    <t>Casare</t>
  </si>
  <si>
    <t>Developer of a wedding platform designed to plan wedding arrangements. The company's platform helps users to customize their wedding websites and mobile apps through which users can send notifications and information to their guests and receive acceptance, enabling individuals to plan their wedding online.</t>
  </si>
  <si>
    <t>68932-09T</t>
  </si>
  <si>
    <t>Globosuinos Agropecuaria</t>
  </si>
  <si>
    <t>Producer of pork products in Toledo, Paraná. The company has a production facility and corresponding roster of about 7,500 sows.</t>
  </si>
  <si>
    <t>110273-32T</t>
  </si>
  <si>
    <t>72690-67T</t>
  </si>
  <si>
    <t>Tivit One Cloud</t>
  </si>
  <si>
    <t>Provider of cloud services brokerage intended to serve the information technology industry. The company provides integrated technology services technology infrastructure management, cloud computing, development and support systems, mobile solutions, business services, document management, and back-office services.</t>
  </si>
  <si>
    <t>69225-22T</t>
  </si>
  <si>
    <t>WG Systems</t>
  </si>
  <si>
    <t>Developer of business improvement and management software. The company is engaged in the development of business process management, pricing and revenue management, data warehousing, data quality and governance software systems.</t>
  </si>
  <si>
    <t>GFT Technologies (ETR: GFT)(Ulrich Dietz)</t>
  </si>
  <si>
    <t>70633-09T</t>
  </si>
  <si>
    <t>YM Investimentos</t>
  </si>
  <si>
    <t>Provider of investment management services. The company primarily engages in investing in properties and also offers brokerage services, property leasing. It also owns 50% in a project called Miss Silvia Morizono in Brazil.</t>
  </si>
  <si>
    <t>SYN Prop E Tech</t>
  </si>
  <si>
    <t>216401-95T</t>
  </si>
  <si>
    <t>BuscaCarros</t>
  </si>
  <si>
    <t>Operator of seven online vehicle classifieds portals based in Brazil. The company offers vehicle classifieds for new and used vehicles in Rio Grande do Sul and in Santa Catarina.</t>
  </si>
  <si>
    <t>WebMotors(Eduardo Jurcevic)</t>
  </si>
  <si>
    <t>70981-84T</t>
  </si>
  <si>
    <t>Evergreen Capital (Sunny Isles Beach)</t>
  </si>
  <si>
    <t>73256-50T</t>
  </si>
  <si>
    <t>Alchemist Accelerator(Ravi Belani)</t>
  </si>
  <si>
    <t>86764-42T</t>
  </si>
  <si>
    <t>Centaurus Capital, The Goldman Sachs Group (NYS: GS)</t>
  </si>
  <si>
    <t>68688-46T</t>
  </si>
  <si>
    <t>Hemogram Industria e Comércio de Produtos Hospitalares</t>
  </si>
  <si>
    <t>Developer of a blood donor application with the intended aim of promoting and facilitating awareness across Brazil. The company platform works as an agent between the population and health organizations that maintain blood banks, collection points and distribution networks, thereby offering a single source platform to patients to check the blood availability.</t>
  </si>
  <si>
    <t>Vydence Medical</t>
  </si>
  <si>
    <t>68647-33T</t>
  </si>
  <si>
    <t>Marfrig Global Foods (Argentina Business Units)</t>
  </si>
  <si>
    <t>Provider of processed food products. The company contains a portfolio of three meatpacking and a livestock confinement units located in Hughes, Vivoratá, Unquillo and Monte Ralo.</t>
  </si>
  <si>
    <t>Foresun Group</t>
  </si>
  <si>
    <t>110770-75T</t>
  </si>
  <si>
    <t>Agora Partnerships</t>
  </si>
  <si>
    <t>89910-28T</t>
  </si>
  <si>
    <t>Farima Indústria e Comercio Subprodutos Animais</t>
  </si>
  <si>
    <t>Provider of chicken by-product rendering services intended to produce and market the products and to become a brand of excellence. The company's chicken by-product rendering services include products made from the poultry's by-products, enabling customers to satisfy their needs.</t>
  </si>
  <si>
    <t>69112-45T</t>
  </si>
  <si>
    <t>Laborh</t>
  </si>
  <si>
    <t>Provider of staffing services. The company provides human resource services for the promotional marketing and hotel industries in Recife, Brazil.</t>
  </si>
  <si>
    <t>GI Group Brasil Recursos Humanos</t>
  </si>
  <si>
    <t>225908-47T</t>
  </si>
  <si>
    <t>Pedra Negra Renda Imobil (BVMF: FPNG11)</t>
  </si>
  <si>
    <t>Pedra Negra Renda Imobiliaria Fundo de Investimento Imobiliario is a real estate investment fund engaged in investment for real estate.</t>
  </si>
  <si>
    <t>196172-02T</t>
  </si>
  <si>
    <t>126022-51T</t>
  </si>
  <si>
    <t>Bisoux Club</t>
  </si>
  <si>
    <t>Operator of a crypto-marketplace intended to create digital value for retail. The company's multi-brand sales channel and loyalty program integrate physical retailing with the digital world of mobile applications, eliminating the risk of exchange and returns, enabling customers to get an enhanced shopping experience and a smarter, more sustainable and positive image.</t>
  </si>
  <si>
    <t>189098-56T</t>
  </si>
  <si>
    <t>106423-12T</t>
  </si>
  <si>
    <t>Nexer (Information Services (B2C))</t>
  </si>
  <si>
    <t>Provider of connected car platform intended to offer information related to car maintenance. The company's platform optimizes fuel consumption, maintenance and safety and has real-time access to the car's health along with offering reminders of oil changes and instructions to solve electronic problems, enabling drivers to receive alerts on vehicle faults, including low battery and elevated engine temperature alarms and detailed information about each route.</t>
  </si>
  <si>
    <t>92244-07T</t>
  </si>
  <si>
    <t>Sika Brazil</t>
  </si>
  <si>
    <t>Manufacture of construction chemical specialties intended for construction sector and the automotive industry. The company specializes in development and production of systems and products for fastening, sealing, damping, reinforcing and protecting, thereby enabling its clients to be provided with quality products at a competitive price.</t>
  </si>
  <si>
    <t>CVC Capital Partners (AMS: CVC), ParexGroup(Eric Bergé)</t>
  </si>
  <si>
    <t>64190-26T</t>
  </si>
  <si>
    <t>Stora Enso Arapoti Industria De Papel</t>
  </si>
  <si>
    <t>Producer of coated papers for printing industry. The company is engaged in making coated papers for magazines, books and catalogs.</t>
  </si>
  <si>
    <t>BO Paper</t>
  </si>
  <si>
    <t>195694-12T</t>
  </si>
  <si>
    <t>Fundação de Amparo à Pesquisa no Estado de São Paulo, Santander Bank</t>
  </si>
  <si>
    <t>76990-24T</t>
  </si>
  <si>
    <t>292185-46T</t>
  </si>
  <si>
    <t>94384-99T</t>
  </si>
  <si>
    <t>Crescera Capital(Robertta Mota), Criatec 2</t>
  </si>
  <si>
    <t>69346-72T</t>
  </si>
  <si>
    <t>Mineracao Riacho dos Machados</t>
  </si>
  <si>
    <t>Provider of gold mining services. The company is engaged in development, excavation and mining of gold assets, mines and ores in Minas Gerais, Brazil.</t>
  </si>
  <si>
    <t>Yamana Gold</t>
  </si>
  <si>
    <t>62954-56T</t>
  </si>
  <si>
    <t>Recovery do Brasil</t>
  </si>
  <si>
    <t>Provider of credit recovery services intended to serve businesses, companies and individuals. The company specializes in offering a range of services including management and recovery of overdue credit, opportunities for financial settlement through different channels and operates in all credit recovery segments, ranging from individuals not filed to corporate loans with expertise in settling consumer and business debts through sustainable negotiations.</t>
  </si>
  <si>
    <t>246751-03T</t>
  </si>
  <si>
    <t>262549-72T</t>
  </si>
  <si>
    <t>USS Solucoes Gerenciadas</t>
  </si>
  <si>
    <t>Provider of specialized assistance services intended to serve insurance companies, vehicle manufacturers, banks, finance companies and retailers. The company manages services for businesses and individuals in the fringe benefits and insurance markets, covering life, health, property and related services and operates in the vehicle, real estate and people segments, enabling clients to get assistance in-home care and medical management.</t>
  </si>
  <si>
    <t>106416-55T</t>
  </si>
  <si>
    <t>70060-06T</t>
  </si>
  <si>
    <t>FORS Capital(Patrick Cannell), Project A Ventures</t>
  </si>
  <si>
    <t>123441-13T</t>
  </si>
  <si>
    <t>L'Oreal (PAR: OR)(Didier Tisserand)</t>
  </si>
  <si>
    <t>79681-51T</t>
  </si>
  <si>
    <t>VEF (STO: VEFAB)(David Nangle), Webrock Ventures (STO: WRV)(Joakim Pops)</t>
  </si>
  <si>
    <t>92476-36T</t>
  </si>
  <si>
    <t>70125-13T</t>
  </si>
  <si>
    <t>Avalancha Ventures</t>
  </si>
  <si>
    <t>66671-65T</t>
  </si>
  <si>
    <t>Operator of an research-oriented asset management business intended to invest in companies operating across a broad range of sectors including agribusiness, infrastructure and logistics. The company's research-oriented asset management business invests in bonds, public equity, fixed income and hedging markets across the globe with a focus on emerging markets employing a combination of quantitative and macroeconomic analysis.</t>
  </si>
  <si>
    <t>67932-10T</t>
  </si>
  <si>
    <t>Cia Iguacu</t>
  </si>
  <si>
    <t>Producer of soluble coffee, derivatives and other products based in Cornélio Procópio, Brazil. The company produces and sells instant coffee products such as spray-dried instant coffee, freeze-dried instant coffee, roasted ground coffee and other coffee-related products.</t>
  </si>
  <si>
    <t>77876-74T</t>
  </si>
  <si>
    <t>Jelly Fish Solucoes Termicas (Solar Heating Division)</t>
  </si>
  <si>
    <t>Designer and manufacturer of solar heating systems for pools. The company manufactures heat exchangers, water heaters, heat pumps and filtration pumps based on solar technologies.</t>
  </si>
  <si>
    <t>Heliodin Industria de Aquecedores(Renato Mattos)</t>
  </si>
  <si>
    <t>68380-93T</t>
  </si>
  <si>
    <t>Chegg (NYS: CHGG)(Nathan Schultz), Crescera Capital, Redpoint eventures(Manoel Lemos), Valor Capital Group</t>
  </si>
  <si>
    <t>67835-80T</t>
  </si>
  <si>
    <t>Isofarma Industrial Farmacêutica</t>
  </si>
  <si>
    <t>Manufacturer and developer of pharmaceutical parenteral products. The company provides and markets polyethylene ampoules and polyethylene bags and plastic containers in Brazil.</t>
  </si>
  <si>
    <t>H.I.G. Capital(Fernando Oliveira), Halex Istar Indústria Farmacêutica(Zanone Carvalho)</t>
  </si>
  <si>
    <t>96822-28T</t>
  </si>
  <si>
    <t>68132-89T</t>
  </si>
  <si>
    <t>Vivante(Philippe Enaud)</t>
  </si>
  <si>
    <t>68387-05T</t>
  </si>
  <si>
    <t>69427-36T</t>
  </si>
  <si>
    <t>89398-63T</t>
  </si>
  <si>
    <t>67730-77T</t>
  </si>
  <si>
    <t>Monashees, Qualcomm Ventures(Carlos Kokron), Valor Capital Group</t>
  </si>
  <si>
    <t>127619-83T</t>
  </si>
  <si>
    <t>Viajay</t>
  </si>
  <si>
    <t>Provider of LGBT tourism services intended to connect audiences with targeted travelers. The company offers segmented products by organizing and concentrating information to attract the local public as well as foreigners, enabling audiences to use previously dispersed, outdated, and inaccessible information about LGBT products and services.</t>
  </si>
  <si>
    <t>68826-16T</t>
  </si>
  <si>
    <t>TMI Brasil Consultoria e Treinamentos</t>
  </si>
  <si>
    <t>Provider of professional training services. The company offers professional business consulting and training services to organization in Sao Paulo, Brazil.</t>
  </si>
  <si>
    <t>67412-44T</t>
  </si>
  <si>
    <t>Nexoleum Bioderivados</t>
  </si>
  <si>
    <t>Producer of bio based chemical products intended to offer substitute alternatives to petrochemical additives. The company's portfolio includes plasticizers, rubber additives, coatings and lubricants made from vegetable raw materials.</t>
  </si>
  <si>
    <t>Elekeiroz(Marcos Antonio de Marchi)</t>
  </si>
  <si>
    <t>59924-80T</t>
  </si>
  <si>
    <t>Dow (NYS: DOW)</t>
  </si>
  <si>
    <t>68137-93T</t>
  </si>
  <si>
    <t>Deransys</t>
  </si>
  <si>
    <t>Distributor of cosmetics. The company distributes and sells cosmetic commodities in Brazil.</t>
  </si>
  <si>
    <t>Luna Cosméticos</t>
  </si>
  <si>
    <t>292213-18T</t>
  </si>
  <si>
    <t>68777-92T</t>
  </si>
  <si>
    <t>Soc Empresarial de Estudos Superiores e Tecno Sant'Ana</t>
  </si>
  <si>
    <t>Provider of educational services. The company owns and operates educational institutions in Brazil.</t>
  </si>
  <si>
    <t>67528-72T</t>
  </si>
  <si>
    <t>Entringer</t>
  </si>
  <si>
    <t>Manufacturer of grain processing machinery. The company designs and manufacturers grain bins, bucket elevators, dryers and cleaners in Brazil.</t>
  </si>
  <si>
    <t>Ag Growth International (TSE: AFN)(Tim Close)</t>
  </si>
  <si>
    <t>132876-28T</t>
  </si>
  <si>
    <t>Lotebox</t>
  </si>
  <si>
    <t>Provider of web based software that matches maritime cargoes with empty spaces in containers. The company's online platform connects users to specialized logistics and optimizes the operation of international trade companies, finding the best shipping offers, enabling logistics operators to save up to 40% on shipping fees, quote, control and track cargo.</t>
  </si>
  <si>
    <t>72260-11T</t>
  </si>
  <si>
    <t>Quality Software SA is a company specialized in Information Technology outsourcing projects and operation of Infrastructure hardware, Software, and Systems following the concept of ONE-STOP SHOP. It offers various platforms like IT Support and Business Support Platform, Software Factory and Mobile Portals, and Governance, Risk and Compliance Platform.</t>
  </si>
  <si>
    <t>BNDESpar, Invest Tech, Spectra Investments</t>
  </si>
  <si>
    <t>263341-27T</t>
  </si>
  <si>
    <t>Underground Shop Produções Artisticas</t>
  </si>
  <si>
    <t>Retailer of clothing and accessories based in Sao Bernardo do Campo, Brazil.</t>
  </si>
  <si>
    <t>67409-29T</t>
  </si>
  <si>
    <t>Powerpress Rotulos &amp; Etiquetas Adesivas</t>
  </si>
  <si>
    <t>Producer of expanded content labels for agricultural chemical. The company is engaged in producing adhesive thermal labels for chemical, pharmaceutical and agricultural industry.</t>
  </si>
  <si>
    <t>68437-09T</t>
  </si>
  <si>
    <t>RBS Participacoes (Santa Catarina Media Operations)</t>
  </si>
  <si>
    <t>Provider of media and broadcasting services. The business offers television broadcasting, radio broadcasting and newspaper publishing services and operates a network of television and radio broadcasting stations in Santa Catarina, Brazil.</t>
  </si>
  <si>
    <t>97091-83T</t>
  </si>
  <si>
    <t>TMG Capital(Luiz Francisco Novelli Viana)</t>
  </si>
  <si>
    <t>84789-28T</t>
  </si>
  <si>
    <t>98718-76T</t>
  </si>
  <si>
    <t>94861-99T</t>
  </si>
  <si>
    <t>SEBRAE RS</t>
  </si>
  <si>
    <t>86204-35T</t>
  </si>
  <si>
    <t>Advanta Connect</t>
  </si>
  <si>
    <t>Provider of IT services intended to offer deployment, support and maintenance of systems. The company's IT services include support, operation, maintenance of telecommunications, monitoring, voice data, microinformatics and technological innovation.</t>
  </si>
  <si>
    <t>112056-94T</t>
  </si>
  <si>
    <t>Arraial do Cabo Empreendimentos Imobiliarios</t>
  </si>
  <si>
    <t>Developer of real estate properties in Sao Paulo and Rio de Janeiro, Brazil. The company is engaged in the business of development, sale, and leasing out of commercial properties.</t>
  </si>
  <si>
    <t>126024-40T</t>
  </si>
  <si>
    <t>Best Berry</t>
  </si>
  <si>
    <t>Provider of snack box plans intended to provide customers with healthy and tasty snack options. The company offers a variety of snack options made from organic, trans-fat-free foods, colorings, preservatives, flavorings and sweeteners that can be delivered at home, the office, or anywhere else, enabling customers to enjoy their favorite snacks while maintaining a healthy lifestyle.</t>
  </si>
  <si>
    <t>Bruno Yoshimura(Bruno Yoshimura), Eduardo Glitz, Fabio Póvoa, Gustavo Kataguiri, Otávio Ferreira, Theo Lima, Thiago Harada</t>
  </si>
  <si>
    <t>95597-20T</t>
  </si>
  <si>
    <t>ControlCorp Gestão e Tecnologia</t>
  </si>
  <si>
    <t>Provider of organizational management services intended to improve the strategic performance of organizations in Brazil.</t>
  </si>
  <si>
    <t>Siteware(Marcello Ladeira)</t>
  </si>
  <si>
    <t>67254-22T</t>
  </si>
  <si>
    <t>Expo Noivas &amp; Festas</t>
  </si>
  <si>
    <t>Provider of event management services. The company hosts and organizes trade shows, marriages and traditional parties.</t>
  </si>
  <si>
    <t>Casar.com Site De Casamento E Eventos(Camila Piccini)</t>
  </si>
  <si>
    <t>218626-75T</t>
  </si>
  <si>
    <t>110526-85T</t>
  </si>
  <si>
    <t>LeaderCard</t>
  </si>
  <si>
    <t>Developer of an online payment software designed to offer secure payment services in a managed service proposition for international large retailers. The company's online payment software accepts payments across multiple countries, in multiple currencies through a single platform by bundling terminals, PoS software and payment gateway, enabling merchants to accept and process payments.</t>
  </si>
  <si>
    <t>68137-84T</t>
  </si>
  <si>
    <t>MASS Labs.</t>
  </si>
  <si>
    <t>Developer of cloud computing platform designed to support the diverse ways of conducting business with clients. The company's platform in an integrated way brings intelligence in the automation, differentiating itself by the market for the treatment of data of the terrestrial transport of passengers, enabling clients to achieve cost savings, loss reduction, diversion, fraud, and understanding of operations.</t>
  </si>
  <si>
    <t>97026-31T</t>
  </si>
  <si>
    <t>NG de France</t>
  </si>
  <si>
    <t>Provider of vegan cosmetics products intended to create no harm to the environment. The company offers skincare, haircare, and makeup products that are cruelty-free and are produced using state-of-the-art technology and environmentally conscious methods, enabling customers to use naturally made cosmetics.</t>
  </si>
  <si>
    <t>CRP Companhia de Participacoes</t>
  </si>
  <si>
    <t>109047-43T</t>
  </si>
  <si>
    <t>Oxidry Minerais</t>
  </si>
  <si>
    <t>Manufacturer of industrial minerals and synthetic pigments in Guararema, Brazil. The company processes minerals that focus on color and performance applications of industrial minerals, providing the glass, foundry and construction markets nationally and internationally with high-quality products.</t>
  </si>
  <si>
    <t>Palladium Equity Partners, Vibrantz Technologies(Willson Ropp)</t>
  </si>
  <si>
    <t>125984-26T</t>
  </si>
  <si>
    <t>82667-17T</t>
  </si>
  <si>
    <t>NXTP Ventures</t>
  </si>
  <si>
    <t>210961-72T</t>
  </si>
  <si>
    <t>Paraguaçu Participações</t>
  </si>
  <si>
    <t>58261-78T</t>
  </si>
  <si>
    <t>BRL Trust, Spectra Investments, The Carlyle Group (NAS: CG)(Fernando Pinto), Vinci Compass Investments (NAS: VINP)(Carlos Silva)</t>
  </si>
  <si>
    <t>75053-53T</t>
  </si>
  <si>
    <t>Anglo American (Brazil Nickel Business)</t>
  </si>
  <si>
    <t>Operator of nickel extraction and processing facilities based in Barro Alto, Brazil.</t>
  </si>
  <si>
    <t>86168-71T</t>
  </si>
  <si>
    <t>CHP Brasil</t>
  </si>
  <si>
    <t>Manufacturer of natural gas and biogas energy generators intended to provide economical sources of energy generation. The company offers gas generators that can operate in parallel generating superior powers and can be fueled with natural gas, biogas, synthesis gas, or other types of combustion gases, enabling residences, supermarkets, pharmaceutical laboratories, condominiums, shopping malls, clinics, and major industries to meet the high demand for electric and thermal energy.</t>
  </si>
  <si>
    <t>80210-17T</t>
  </si>
  <si>
    <t>Policard</t>
  </si>
  <si>
    <t>Provider of credit and debit card services based in Uberlandia, Brazil. The company provides C and D-class credit cards for lower-income classes which helps them to pay bills, recharge mobile phones, pay life insurance premiums and other monthly payment services.</t>
  </si>
  <si>
    <t>Up Coop(Catherine Coupet)</t>
  </si>
  <si>
    <t>66939-76T</t>
  </si>
  <si>
    <t>BIG Tecnologia</t>
  </si>
  <si>
    <t>Manufacturer of industrial machines for sugar industries. The company engages in the engineering and production of machinery for the sugar and ethanol industries along with engineering, customer support, replacement parts and equipment rebuild services.</t>
  </si>
  <si>
    <t>The Western States Machine Company(Robert Sinnard)</t>
  </si>
  <si>
    <t>59797-45T</t>
  </si>
  <si>
    <t>123102-55T</t>
  </si>
  <si>
    <t>73077-76T</t>
  </si>
  <si>
    <t>Sleep House Colchoes</t>
  </si>
  <si>
    <t>Retailer of sleep-related furniture and accessories intended for a better sleep experience. The company offers a wide range of sleeping products, including mattresses, beds, double beds, pillows, folding beds, Tempur mattresses, box beds and other related accessories, enabling consumers to access diverse options for enhancing their sleeping experience.</t>
  </si>
  <si>
    <t>Pikolin Group</t>
  </si>
  <si>
    <t>68136-04T</t>
  </si>
  <si>
    <t>Mynu Technology</t>
  </si>
  <si>
    <t>Provider of a feedback platform for restaurants. The company provides a social network platform where people can share their dining experiences of different restaurants and food joints.</t>
  </si>
  <si>
    <t>78193-63T</t>
  </si>
  <si>
    <t>Shoestock</t>
  </si>
  <si>
    <t>Provider and operator of a footwear retailer, based at São Paulo, Brazil. The company provides products such as footwear, handbags and accessories through stores and an online platform.</t>
  </si>
  <si>
    <t>NS2.com Internet(Marcio Kumruian)</t>
  </si>
  <si>
    <t>66788-29T</t>
  </si>
  <si>
    <t>67556-53T</t>
  </si>
  <si>
    <t>Criactive</t>
  </si>
  <si>
    <t>Provider of real estate market research services. The company offers services such as system monitoring, data analysis and processing, project identification, market research and publication for the construction industry.</t>
  </si>
  <si>
    <t>Neoway(Jaime de Paula)</t>
  </si>
  <si>
    <t>66796-75T</t>
  </si>
  <si>
    <t>Moip</t>
  </si>
  <si>
    <t>Developer of an online payment platform intended to provide payment solutions for different segments. The company provides a range of payment methods and features an automated on-boarding process for all retailers, payment guarantees and buyer protection functionalities, enabling small and medium-sized retailers, marketplaces and companies with direct sales to electronically send and receive money with ease.</t>
  </si>
  <si>
    <t>Wirecard (HAM: WDI)(Markus Braun)</t>
  </si>
  <si>
    <t>68900-05T</t>
  </si>
  <si>
    <t>SOPHO Business Communications</t>
  </si>
  <si>
    <t>Provider of telecommunication and computer networking software and services in Brazil. The company provides online presence, instant messaging, unified conferencing and enterprise voice software and networking services. It also provides 3Com and IBM internet protocol (IP) telephony products, Microsoft Office Communications servers and related networking software to its clients.</t>
  </si>
  <si>
    <t>79695-10T</t>
  </si>
  <si>
    <t>Smart Dealer</t>
  </si>
  <si>
    <t>Developer of a sales management platform intended for resellers and dealerships. The company's platform allows users to track all sales and after-sales operations, website and finance, and insurance in a unified interface, with real-time updates, enabling clients to improve operational efficiency by streamlining workflows.</t>
  </si>
  <si>
    <t>90707-41T</t>
  </si>
  <si>
    <t>Brazilian CNG integrator</t>
  </si>
  <si>
    <t>Owner of a Brazilian compressed natural gas integrator.</t>
  </si>
  <si>
    <t>Hexagon Composites (OSL: HEX)(Jon Engeset)</t>
  </si>
  <si>
    <t>78198-67T</t>
  </si>
  <si>
    <t>Devorando</t>
  </si>
  <si>
    <t>Provider and operator of an online food delivery platform, based in São Leopoldo, Brazil. The company provides a mobile application and an online platform that allows users to order food from local restaurants.</t>
  </si>
  <si>
    <t>111452-14T</t>
  </si>
  <si>
    <t>5xmais, Bossa Invest</t>
  </si>
  <si>
    <t>67152-16T</t>
  </si>
  <si>
    <t>66440-26T</t>
  </si>
  <si>
    <t>Melora do Brasil Produtos Dermatológicos</t>
  </si>
  <si>
    <t>Manufacturer of skin care products. The company offers skin cream, toner, anti aging cream, lotion, anti wrinkle cream and personal care products in Brazil.</t>
  </si>
  <si>
    <t>Farmoquimica.(Fernando Itzaina)</t>
  </si>
  <si>
    <t>130327-48T</t>
  </si>
  <si>
    <t>65797-03T</t>
  </si>
  <si>
    <t>Vic Pharma Industria E Comercio</t>
  </si>
  <si>
    <t>Manufacturer of cleaning and sanitising products catering to the healthcare industry. The company offers products for cleaning, prevention, disinfection, topical asepsis and hand hygiene.</t>
  </si>
  <si>
    <t>Schülke &amp; Mayr</t>
  </si>
  <si>
    <t>66065-41T</t>
  </si>
  <si>
    <t>Bessemer Venture Partners(Brian Feinstein), FJ Labs</t>
  </si>
  <si>
    <t>67342-06T</t>
  </si>
  <si>
    <t>Intermeat Assessoria e Comércio</t>
  </si>
  <si>
    <t>Wholesaler of meat products. The company distributes and sells meat based food such as bacon, sausages, beef, pork, ham and other meat products.</t>
  </si>
  <si>
    <t>66850-75T</t>
  </si>
  <si>
    <t>Tintas Sulan</t>
  </si>
  <si>
    <t>Manufacturer and marketer of paints. The company's product line includes acrylic and vinyl resins and latex in different qualities, enamels and varnishes.</t>
  </si>
  <si>
    <t>Sinteplast</t>
  </si>
  <si>
    <t>66839-68T</t>
  </si>
  <si>
    <t>BR Culture</t>
  </si>
  <si>
    <t>Provider of brand promotion services. The company operates as a consulting firm and offers advice to clients on brand promotion, product innovation, marketing, product launching and competition analysis.</t>
  </si>
  <si>
    <t>Saffron Brand Consultants(Benbunam Jacob)</t>
  </si>
  <si>
    <t>256172-05T</t>
  </si>
  <si>
    <t>Blue Tech Solutions EQI</t>
  </si>
  <si>
    <t>Provider of telecom and reforestation services intended to operate through several business segments. The company operates directly or indirectly through its holdings, is engaged in sectors such as telecommunications, real estate projects, reforestation, among others.</t>
  </si>
  <si>
    <t>Contibrasil Comércio e Exportação de Grãos</t>
  </si>
  <si>
    <t>97090-57T</t>
  </si>
  <si>
    <t>Farmacias Melhor Preço</t>
  </si>
  <si>
    <t>Operator of a network of pharmacies in Sergipe, Brazil. The company's stores are spread across the state, providing Brazilian consumers with easy access to a range of pharmaceuticals at competitive prices.</t>
  </si>
  <si>
    <t>255565-27T</t>
  </si>
  <si>
    <t>Frango Seva</t>
  </si>
  <si>
    <t>Operator of firms intended to breed broiler, fryer and roster chickens based out in Pato Branco, Brazil.</t>
  </si>
  <si>
    <t>Vibra Agroindustrial</t>
  </si>
  <si>
    <t>96530-41T</t>
  </si>
  <si>
    <t>Knowledge for Life</t>
  </si>
  <si>
    <t>Developer of educational portal designed to create e-learning resources for students and teachers. The company's educational portal makes use of original content, watch-and-learn videos, rich animations and interactive simulations that makes learning contextual, visual and practical, enabling individual students to receive a personalized educational experience.</t>
  </si>
  <si>
    <t>BRL Trust, Crescera Capital</t>
  </si>
  <si>
    <t>215284-78T</t>
  </si>
  <si>
    <t>73372-60T</t>
  </si>
  <si>
    <t>Pedro Englert</t>
  </si>
  <si>
    <t>60260-32T</t>
  </si>
  <si>
    <t>Coty (NYS: COTY)(Bart Brecht)</t>
  </si>
  <si>
    <t>65838-61T</t>
  </si>
  <si>
    <t>Infiana Filmes Brasil</t>
  </si>
  <si>
    <t>Manufacturer of films for hygiene and health-care products. The company offer base films, siliconized films, embossed films and printed films which are used for building, construction and health care.</t>
  </si>
  <si>
    <t>Packing Group(Paul Andre Reiter)</t>
  </si>
  <si>
    <t>84986-47T</t>
  </si>
  <si>
    <t>Medcel</t>
  </si>
  <si>
    <t>Provider of distance learning medical programs designed to offer preparatory courses for medical competitions. The company's medical courses offered are done live, transmitted online platform for streaming videotapes over the internet allowing the creation of a digital and interactive environment, where students can access audiovisual contents, view clinical cases, listen to podcasts about the subject studied and perform personalized simulations.</t>
  </si>
  <si>
    <t>Crescera Capital(Paulo Guedes), Spectra Investments</t>
  </si>
  <si>
    <t>80148-61T</t>
  </si>
  <si>
    <t>White Solder</t>
  </si>
  <si>
    <t>Provider of tin exploration and production services intended to serve the automotive, electronics, metallurgy, chemical and flat glass industries. The company specializes in offering a range of services including exploration and mining of cassiterite, processing of minerals as well as manufacturing of tin and soldering products, ensuring its clients reduce the risks to which businesses are subjected and improve profits and cash generation efficiently.</t>
  </si>
  <si>
    <t>89688-88T</t>
  </si>
  <si>
    <t>MStech Educação e Tecnologia</t>
  </si>
  <si>
    <t>Developer of educational software catering to educational organizations. The company develops and markets software for computer interaction, website building, network monitoring, computer management and related tasks.</t>
  </si>
  <si>
    <t>Converge Participações</t>
  </si>
  <si>
    <t>53983-81T</t>
  </si>
  <si>
    <t>Pantanal Energetica</t>
  </si>
  <si>
    <t>Provider of alternative energy. The company is engaged in the provision of alternative energy such as hydroelectric power through the two hydro power plants that it owns and operates in the Vila Olimpia area of Brazil.</t>
  </si>
  <si>
    <t>Cachoeira Escura Energetica</t>
  </si>
  <si>
    <t>65537-83T</t>
  </si>
  <si>
    <t>WebRadar</t>
  </si>
  <si>
    <t>Developer of a cloud-based big data platform designed to be used for quality, performance, and optimization management. The company's platform uses complex algorithms to analyze unstructured data from heterogeneous sources, correlate information, and offer valuable insights that allow strategic planning, enabling businesses in Telecom, Automotive, and IoT sectors to enhance the end-user experience, improve the service performance, accelerate the revenue growth and reduce the operating cost.</t>
  </si>
  <si>
    <t>DGF Investimentos(Frederico Greve), Oria Capital, Qualcomm Ventures(Carlos Kokron), Spectra Investments</t>
  </si>
  <si>
    <t>70922-26T</t>
  </si>
  <si>
    <t>Custódio Forzza Comércio e Exportação</t>
  </si>
  <si>
    <t>Distributor of coffee based in Colatina, Brazil. The company distributes all types of coffee in addition to cocoa beans and offers support and logistic services to its customers.</t>
  </si>
  <si>
    <t>Volcafe(Trishul Mandana)</t>
  </si>
  <si>
    <t>65902-51T</t>
  </si>
  <si>
    <t>Public Sector Pension Investment Board</t>
  </si>
  <si>
    <t>74385-64T</t>
  </si>
  <si>
    <t>DOMO.VC, SP Ventures(Francisco Jardim)</t>
  </si>
  <si>
    <t>68132-08T</t>
  </si>
  <si>
    <t>APagri, SP Ventures(Francisco Jardim)</t>
  </si>
  <si>
    <t>65175-94T</t>
  </si>
  <si>
    <t>Compusoftware Informatica</t>
  </si>
  <si>
    <t>Distributor of Microsoft-based software products. The company is a Microsoft partner, and offers a portfolio of enterprise software products multiple industry sectors, including automotive, information technology and financial.</t>
  </si>
  <si>
    <t>Noventiq Holdings (NAS: NVIQ)</t>
  </si>
  <si>
    <t>65794-15T</t>
  </si>
  <si>
    <t>65860-57T</t>
  </si>
  <si>
    <t>65863-63T</t>
  </si>
  <si>
    <t>65189-80T</t>
  </si>
  <si>
    <t>Hexus Food</t>
  </si>
  <si>
    <t>Producer and distributor of ingredients to the food industry. The company develops and distributes ingredients and solutions for the food industry, mainly for the diary and ice cream industry.</t>
  </si>
  <si>
    <t>Grupo Indukern</t>
  </si>
  <si>
    <t>109397-17T</t>
  </si>
  <si>
    <t>63355-15T</t>
  </si>
  <si>
    <t>65869-21T</t>
  </si>
  <si>
    <t>Qranio</t>
  </si>
  <si>
    <t>Developer of an online gaming platform designed to increase the knowledge of users. The company's application provides virtual currency for completing knowledge-based trivia that can later be redeemed for real prizes, enabling corporates to enhance their knowledge and skills in a gamified way.</t>
  </si>
  <si>
    <t>65858-68T</t>
  </si>
  <si>
    <t>Superplayer &amp; Co</t>
  </si>
  <si>
    <t>Developer of an online music platform designed to offer trans-media music content. The company's platform facilitates streaming without advertisements, skipping as many songs as possible, and sharing them with others while recommending songs based on the user's taste, profile, location, and time, enabling clients to ensure transformative experiences for the end customers and listeners.</t>
  </si>
  <si>
    <t>65848-15T</t>
  </si>
  <si>
    <t>UpBeat</t>
  </si>
  <si>
    <t>Operator of a mobile game development company intended to offer various online mobile games to customers. The company specializes in developing multiplayer games based on genres such as puzzles and racing, enabling users to easily engage in social and cross-platform mobile games with other gamers.</t>
  </si>
  <si>
    <t>92289-70T</t>
  </si>
  <si>
    <t>You Inc Incorporadora e Participações</t>
  </si>
  <si>
    <t>Provider of real estate development services. The company is a real estate developer focusing mainly on the residential vertical compact real estate market in the city of São Paulo.</t>
  </si>
  <si>
    <t>Paladin Realty Partners, Vista Real Estate (Sao Paulo)</t>
  </si>
  <si>
    <t>127591-12T</t>
  </si>
  <si>
    <t>Bluelux</t>
  </si>
  <si>
    <t>Developer of home and building automation technology designed to monitor and control lighting and trigger electronic appliances in the vicinity. The company's software has an easy-to-install module along with an intelligent platform that can be used in companies of any size, stores, and homes, enabling clients to save energy and increase employee productivity through rapid deployment automation.</t>
  </si>
  <si>
    <t>66815-38T</t>
  </si>
  <si>
    <t>Hagah</t>
  </si>
  <si>
    <t>Operator of a guide platform intended to find bars, restaurants, pizzerias, products and services. The company offers theme-based guides that focus on local recommendations and user services.</t>
  </si>
  <si>
    <t>Juliana Teixeira Leal - Me</t>
  </si>
  <si>
    <t>132286-96T</t>
  </si>
  <si>
    <t>Silicon Reef</t>
  </si>
  <si>
    <t>Developer of microelectronics through a combination of technology and sustainable energy intended to create products and technologies capable of optimizing self-sufficiency in the management of environmental energy harvesting, by developing high-performance, low-power integrated circuits. The company's services include consulting services, ranging from feasibility studies through to the initial production stages of a new chip.</t>
  </si>
  <si>
    <t>Mind the Bridge</t>
  </si>
  <si>
    <t>64963-09T</t>
  </si>
  <si>
    <t>Grupo Farroupilha</t>
  </si>
  <si>
    <t>Producer of agricultural products intended to serve the cultivation industry. The company offers cotton, coffee, corn, wheat, soy, soy seed, peas, and tomato.</t>
  </si>
  <si>
    <t>86822-56T</t>
  </si>
  <si>
    <t>Santa Colomba</t>
  </si>
  <si>
    <t>91678-33T</t>
  </si>
  <si>
    <t>Joy Street</t>
  </si>
  <si>
    <t>Provider of educational technologies designed to create learning based on dialogue and fun. The company's educational technologies transform tasks into missions, engages learner with academic and vocational skills and assesses educational intelligence, enabling learners to get a digital learning environment.</t>
  </si>
  <si>
    <t>63343-81T</t>
  </si>
  <si>
    <t>SMA Industria Quimica</t>
  </si>
  <si>
    <t>Manufacturer of renewable byproducts. The company engages in manufacturing of cane sugar and cane sugar by products.</t>
  </si>
  <si>
    <t>Amyris(John Melo)</t>
  </si>
  <si>
    <t>100718-38T</t>
  </si>
  <si>
    <t>64852-84T</t>
  </si>
  <si>
    <t>E3 Comércio De Artigos Ópticos</t>
  </si>
  <si>
    <t>Retailer of contact lenses located in Sumaré, Brazil. The company through its online platform offers lenses, solutions, containers and related accessories.</t>
  </si>
  <si>
    <t>EssilorLuxottica Société</t>
  </si>
  <si>
    <t>64790-74T</t>
  </si>
  <si>
    <t>eÓtica</t>
  </si>
  <si>
    <t>Retailer of optical products based in Sao Paulo, Brazil. The company offers contact lenses, sunglasses, prescription glasses, frames and accessories.</t>
  </si>
  <si>
    <t>64860-13T</t>
  </si>
  <si>
    <t>Prime Optical</t>
  </si>
  <si>
    <t>Manufacturer of lens and cameras. The company is engaged in manufacturing and distributing lens and cameras.</t>
  </si>
  <si>
    <t>81637-30T</t>
  </si>
  <si>
    <t>Btech Agricultural Technology and Trade</t>
  </si>
  <si>
    <t>Distributor of animal nutrition products. The company's products and services for animal nutrition targets the animal feed industry enabling them to meet their needs.</t>
  </si>
  <si>
    <t>Pancosma(Goetz Gotterbarm)</t>
  </si>
  <si>
    <t>67176-37T</t>
  </si>
  <si>
    <t>Novanis Animal</t>
  </si>
  <si>
    <t>Producer of animal feed. The company offers feed products for beef cattle in a range of life stages, including reproduction, breeding, finishing, semiconfinement and confinement.</t>
  </si>
  <si>
    <t>Agroceres Multimix Nutrição Animal(Mauricio Nacif de Faria)</t>
  </si>
  <si>
    <t>64555-48T</t>
  </si>
  <si>
    <t>57288-43T</t>
  </si>
  <si>
    <t>Consagro Agroquimica</t>
  </si>
  <si>
    <t>Provider of agricultural products. The company provides comprehensive services to the distributor and agricultural producer and provides various products for agribusiness such as appalus, array, egan, golds and other products in Brazil.</t>
  </si>
  <si>
    <t>Atanor do Brasil</t>
  </si>
  <si>
    <t>65312-56T</t>
  </si>
  <si>
    <t>NCC Certificações do Brasil</t>
  </si>
  <si>
    <t>Provider of product certification services intended to serve the telecommunication sector. The company specializes in the evaluation of the technical conformity of products and services in accordance with the norms and resolutions in force through quality, safety, environment and health management applied to clients' assets, projects, products and processes, thereby enabling training and certification for operation, risk reduction and performance improvement.</t>
  </si>
  <si>
    <t>Bureau Veritas (PAR: BVI)</t>
  </si>
  <si>
    <t>64291-15T</t>
  </si>
  <si>
    <t>Founders Fund(Peter Thiel), Kaszek(Nicolas Szekasy), Recharge Capital, Sequoia Capital(Douglas Leone), Tiger Global Management</t>
  </si>
  <si>
    <t>64114-30T</t>
  </si>
  <si>
    <t>Industrial Potengy</t>
  </si>
  <si>
    <t>Manufacturer of tile adhesives. The company offers adhesive mortars to the construction industry for laying interior and exterior tiles.</t>
  </si>
  <si>
    <t>64498-33T</t>
  </si>
  <si>
    <t>International Meal Company Alimentação (3 Subsidiaries)</t>
  </si>
  <si>
    <t>Provider of catering services. The company operates a chain of casual dining restaurants, snack bars and coffee shops. It also offers airline catering services.</t>
  </si>
  <si>
    <t>Management Group Investor</t>
  </si>
  <si>
    <t>64793-62T</t>
  </si>
  <si>
    <t>Hurth Infer (Gear Cutting Tools Business)</t>
  </si>
  <si>
    <t>Manufacturer of gear cutting tools. The company offers shaving cutters, shaper cutters, chamfering and deburring tools and tool sharpening services.</t>
  </si>
  <si>
    <t>Gleason (Gear-production machinery)(John Perrotti)</t>
  </si>
  <si>
    <t>63961-21T</t>
  </si>
  <si>
    <t>Industria de Embalagens Santana</t>
  </si>
  <si>
    <t>Manufacturer of paper and corrugated packaging products. The company produces and sells packaging and sheets of corrugated cardboard, crumb papers and maleta packaging products.</t>
  </si>
  <si>
    <t>Smurfit WestRock (NYS: SW)(Anthony Smurfit)</t>
  </si>
  <si>
    <t>63962-92T</t>
  </si>
  <si>
    <t>Paema Embalagens</t>
  </si>
  <si>
    <t>Provider of packaging services. The company is engaged in the manufacturing and sale of paper, cardboard boxes, sheets and corrugated boxes.</t>
  </si>
  <si>
    <t>106629-31T</t>
  </si>
  <si>
    <t>99Motos</t>
  </si>
  <si>
    <t>Developer of an application software designed to intermediate the demand and negotiate the delivery of a merchandise with a motoboy. The company charges 20% of the contractor and so the professional can pocket up to twice as much as in a race of equal value brokered by an agency</t>
  </si>
  <si>
    <t>Rappido</t>
  </si>
  <si>
    <t>94432-24T</t>
  </si>
  <si>
    <t>130848-04T</t>
  </si>
  <si>
    <t>121405-87T</t>
  </si>
  <si>
    <t>Algar Ventures</t>
  </si>
  <si>
    <t>94346-02T</t>
  </si>
  <si>
    <t>297861-76T</t>
  </si>
  <si>
    <t>85536-91T</t>
  </si>
  <si>
    <t>Nashville Entrepreneur Center</t>
  </si>
  <si>
    <t>93108-61T</t>
  </si>
  <si>
    <t>Oxigenio Aceleradora, Plug and Play Tech Center</t>
  </si>
  <si>
    <t>216084-16T</t>
  </si>
  <si>
    <t>Babadotop</t>
  </si>
  <si>
    <t>Operator of an online marketplace intended for brands to sell their goods. The company specializes in a fashion e-commerce platform offering products for men, women, and children, such as coats, blouses, pants, blazers, skirts, shorts, sandals, and more, enabling customers to pick from a variety of brands selling their products all from a single platform.</t>
  </si>
  <si>
    <t>90801-19T</t>
  </si>
  <si>
    <t>BRDE Labs, JL Rodrigues, Startup Farm</t>
  </si>
  <si>
    <t>112809-43T</t>
  </si>
  <si>
    <t>Jaime de Paula(Jaime de Paula), Monashees, Sandro Reiss(Sandro Reiss), Sergio Furio(Sergio Furio)</t>
  </si>
  <si>
    <t>123601-33T</t>
  </si>
  <si>
    <t>Blockbit</t>
  </si>
  <si>
    <t>Developer of a cyber-security platform designed to protect organizations of all sizes against generic or targeted threats, vulnerabilities and attacks. The company's software offers security and threat management, virtual private networking, cloud security, internet firewall and intrusion prevention systems to corporate users in Brazil, Spain and the United States, thereby helping clients protect their computer systems from viruses and malware, phishing sites as well as internal and external vulnerabilities.</t>
  </si>
  <si>
    <t>Brazilian Development Bank, Cipher Security(Eduardo Bouças), Oria Capital, Spectra Investments</t>
  </si>
  <si>
    <t>219015-10T</t>
  </si>
  <si>
    <t>211769-02T</t>
  </si>
  <si>
    <t>Boolabs</t>
  </si>
  <si>
    <t>Developer of artificial intelligence technology intended to simplify the buying process for consumers. The company offers monitoring solutions, visual search and deduplication products, thereby enabling retailers to solve problems in both online and offline store.</t>
  </si>
  <si>
    <t>B2w Software</t>
  </si>
  <si>
    <t>100187-92T</t>
  </si>
  <si>
    <t>Brazil Telecomunicações</t>
  </si>
  <si>
    <t>Provider of broadcasting services. The company provides pay TV, internet and broadcasting services in Brazil.</t>
  </si>
  <si>
    <t>214516-63T</t>
  </si>
  <si>
    <t>Plug and Play Tech Center, Porto Seguro Investimento</t>
  </si>
  <si>
    <t>262015-48T</t>
  </si>
  <si>
    <t>252586-54T</t>
  </si>
  <si>
    <t>Brazil Foundation</t>
  </si>
  <si>
    <t>100671-94T</t>
  </si>
  <si>
    <t>67664-89T</t>
  </si>
  <si>
    <t>Astella Investimentos, Edson Rigonatti(Edson Rigonatti), HBS Alumni Angels of Brazil, Lagfe, Luciano Tavares(Luciano Tavares), Manoel Lemos(Manoel Lemos), Martino Bagini, Mauricio Kigiela(Mauricio Kigiela), Sergio Furio(Sergio Furio), Spectra Investments</t>
  </si>
  <si>
    <t>125596-09T</t>
  </si>
  <si>
    <t>Harvard Business School</t>
  </si>
  <si>
    <t>100660-96T</t>
  </si>
  <si>
    <t>123144-58T</t>
  </si>
  <si>
    <t>42K Investimentos, 4Legacy, 5xmais, Bossa Invest, Eduardo Smith(Eduardo Smith)</t>
  </si>
  <si>
    <t>102189-70T</t>
  </si>
  <si>
    <t>98764-21T</t>
  </si>
  <si>
    <t>277007-41T</t>
  </si>
  <si>
    <t>122377-60T</t>
  </si>
  <si>
    <t>122378-32T</t>
  </si>
  <si>
    <t>300073-24T</t>
  </si>
  <si>
    <t>Eleflow</t>
  </si>
  <si>
    <t>Provider of data intelligence and artificial intelligence solutions intended to demonstrate the value of data with agility and low investment. The company specializes in big data analytics consulting and artificial intelligence pilot, business intelligence pilot, machine learningops pilot, data integration, data lake experience, lakehouse fast track, lake boost, business intelligence, data governance, artificial intelligence products and databricks training, transforming data into decisions and decisions into competitive advantage.</t>
  </si>
  <si>
    <t>Objective (Business/Productivity Software)</t>
  </si>
  <si>
    <t>218260-54T</t>
  </si>
  <si>
    <t>Eletromar</t>
  </si>
  <si>
    <t>Manufacturer of electrical control systems intended for residential and building applications. The company's products include NEMA and IEC technology circuit breakers, DR devices, and distribution boxes of different sizes and applications.</t>
  </si>
  <si>
    <t>Mec-Tronic</t>
  </si>
  <si>
    <t>93641-14T</t>
  </si>
  <si>
    <t>Estudiari Cursos Online</t>
  </si>
  <si>
    <t>Provider of online educational services. The company's online educational services include bold and differentiated courses that anticipate market trends and create new educational standards, enabling the students to study with security and develop their ability.</t>
  </si>
  <si>
    <t>158313-43T</t>
  </si>
  <si>
    <t>133002-46T</t>
  </si>
  <si>
    <t>126520-66T</t>
  </si>
  <si>
    <t>126521-38T</t>
  </si>
  <si>
    <t>291123-82T</t>
  </si>
  <si>
    <t>172629-82T</t>
  </si>
  <si>
    <t>100714-96T</t>
  </si>
  <si>
    <t>FindMe</t>
  </si>
  <si>
    <t>Developer of an online property security management platform designed to facilitate intelligent team monitoring. The company's platform utilizes a mobile application to inform employees about the instructions in real-time as well as provide accurate information on the rounds, enabling security firms to optimize outsourced services operations.</t>
  </si>
  <si>
    <t>132150-79T</t>
  </si>
  <si>
    <t>Bossa Invest, Grupo Algar</t>
  </si>
  <si>
    <t>115627-78T</t>
  </si>
  <si>
    <t>139582-36T</t>
  </si>
  <si>
    <t>80614-45T</t>
  </si>
  <si>
    <t>FormaFina</t>
  </si>
  <si>
    <t>Provider of an online marketplace for fashion and home accessories. The company provides an online retail platform for purchasing home-decorating merchandise, designer apparel and accessories made by individual designers and artists.</t>
  </si>
  <si>
    <t>270476-11T</t>
  </si>
  <si>
    <t>126007-75T</t>
  </si>
  <si>
    <t>Go.on</t>
  </si>
  <si>
    <t>Developer of team management platform designed for real-time field management intelligence. The company's platform offers mobility technology to standardize processes, provide greater productivity in the execution of field routines, communication, management, and analysis of the company's external operations in real-time, enabling clients to reduce the waste of time and resources from external operations, as well as investment in servers.</t>
  </si>
  <si>
    <t>122941-99T</t>
  </si>
  <si>
    <t>116402-32T</t>
  </si>
  <si>
    <t>Grupo Thá</t>
  </si>
  <si>
    <t>Provider of construction and real estate development services. The company is engaged in the design, development and construction of residential, commercial and retail properties.</t>
  </si>
  <si>
    <t>128882-71T</t>
  </si>
  <si>
    <t>Guia da Semana</t>
  </si>
  <si>
    <t>Operator of an online news portal for entertainment, leisure and culture based in Sao Paulo, Brazil. The company's platform offers information on various topics such as restaurants, bars, movies, TV shows, arts &amp; theater, tourism, concerts and the cities in Brazil.</t>
  </si>
  <si>
    <t>Oakley Capital(Peter Dubens), Oakley Capital Investments (LON: OCI), Time Out (LON: TMO)</t>
  </si>
  <si>
    <t>93139-12T</t>
  </si>
  <si>
    <t>226167-31T</t>
  </si>
  <si>
    <t>127618-03T</t>
  </si>
  <si>
    <t>Imgnation Studios</t>
  </si>
  <si>
    <t>Developer of VR games designed to shape virtual reality and create fun games. The company develops virtual reality games and is committed to bringing games to life, enabling users to access fun games.</t>
  </si>
  <si>
    <t>Boost VC</t>
  </si>
  <si>
    <t>251971-03T</t>
  </si>
  <si>
    <t>136966-69T</t>
  </si>
  <si>
    <t>190863-46T</t>
  </si>
  <si>
    <t>Nexxus Capital</t>
  </si>
  <si>
    <t>293715-46T</t>
  </si>
  <si>
    <t>International School Education</t>
  </si>
  <si>
    <t>Operator of a bilingual school intended to offer a range of educational programs and partnerships with organizations. The company offers educational games and field trips with a high approval rate in international certifications and exams, enabling students to get educational services from early childhood education to high school.</t>
  </si>
  <si>
    <t>124561-90T</t>
  </si>
  <si>
    <t>Izzui</t>
  </si>
  <si>
    <t>Developer of an application intended to blend content into experiences to attract, engage and build customer loyalty. The company offers a free, collaborative elearning community for creating, sharing, and viewing a wide variety of interactive and engaging content via online courses, enabling customers to quickly develop educational content on any topic.</t>
  </si>
  <si>
    <t>211686-31T</t>
  </si>
  <si>
    <t>Jacob Douwe Egberts</t>
  </si>
  <si>
    <t>215818-30T</t>
  </si>
  <si>
    <t>100718-92T</t>
  </si>
  <si>
    <t>4Legacy, 5xmais, Bossa Invest, Robson Del Fiol</t>
  </si>
  <si>
    <t>92599-12T</t>
  </si>
  <si>
    <t>253955-89T</t>
  </si>
  <si>
    <t>100331-56T</t>
  </si>
  <si>
    <t>132876-73T</t>
  </si>
  <si>
    <t>133187-23T</t>
  </si>
  <si>
    <t>98736-67T</t>
  </si>
  <si>
    <t>191785-60T</t>
  </si>
  <si>
    <t>94862-53T</t>
  </si>
  <si>
    <t>102669-94T</t>
  </si>
  <si>
    <t>4Legacy, 5xmais, Bossa Invest</t>
  </si>
  <si>
    <t>83355-13T</t>
  </si>
  <si>
    <t>216116-83T</t>
  </si>
  <si>
    <t>Redpoint Ventures</t>
  </si>
  <si>
    <t>215898-40T</t>
  </si>
  <si>
    <t>Latin American Angels Society</t>
  </si>
  <si>
    <t>125801-29T</t>
  </si>
  <si>
    <t>280717-12T</t>
  </si>
  <si>
    <t>111131-74T</t>
  </si>
  <si>
    <t>NanoTropic</t>
  </si>
  <si>
    <t>Developer of innovative nanomaterials intended to solve problems with a high impact on society. The company's antimicrobial nano additive is capable of imbuing materials such as plastic, paper, ceramics, and paints with bactericidal and fungicidal properties, thereby enabling businesses to reduce the use of preservatives and increase the shelf life of processed foods.</t>
  </si>
  <si>
    <t>M3 Investimentos, TM3 Capital</t>
  </si>
  <si>
    <t>98242-75T</t>
  </si>
  <si>
    <t>Nanovetores Group</t>
  </si>
  <si>
    <t>Developer of nano and micro-encapsulated ingredients designed to offer sustainable ingredients to multiple industries. The company's ingredients are biocompatible and biodegradable materials made from a clean and green process in an aqueous environment and free of organic solvents, enabling consumers and individuals to get access to safe and natural cosmetics, nutritional, and pharmaceutical products.</t>
  </si>
  <si>
    <t>SENAI</t>
  </si>
  <si>
    <t>98245-45T</t>
  </si>
  <si>
    <t>Antera Gestão de Recursos, Brazilian Development Bank, Criatec Fund, Financiadora de Estudos e Projetos</t>
  </si>
  <si>
    <t>86194-36T</t>
  </si>
  <si>
    <t>106420-87T</t>
  </si>
  <si>
    <t>MundiLab, Münchener Rückversicherungs-Gesellschaft (ETR: MUV2)</t>
  </si>
  <si>
    <t>109755-64T</t>
  </si>
  <si>
    <t>Banco Porto Seguro, Plug and Play Tech Center</t>
  </si>
  <si>
    <t>253987-93T</t>
  </si>
  <si>
    <t>NFP Automotive</t>
  </si>
  <si>
    <t>Designer and manufacturer of steering columns and assembly components intended for cars, buses, light and heavy trucks, as well as special, recreational, and off-road vehicles. The company offers steering columns, boxes angled for commercial vehicles and special vehicles, steering wheel adjustment and locking mechanisms, as well as collision and energy absorption (EA) systems, thereby delivering systems with high rigidity and natural frequency for noise reduction and intrusion during frontal collision.</t>
  </si>
  <si>
    <t>215488-00T</t>
  </si>
  <si>
    <t>Camila Costa(Camila Costa), Renato Mendes(Renato Mendes)</t>
  </si>
  <si>
    <t>190574-92T</t>
  </si>
  <si>
    <t>95562-46T</t>
  </si>
  <si>
    <t>100872-82T</t>
  </si>
  <si>
    <t>111148-84T</t>
  </si>
  <si>
    <t>M3 Investimentos</t>
  </si>
  <si>
    <t>134907-49T</t>
  </si>
  <si>
    <t>124570-63T</t>
  </si>
  <si>
    <t>Altivia Ventures</t>
  </si>
  <si>
    <t>269403-49T</t>
  </si>
  <si>
    <t>Phooto</t>
  </si>
  <si>
    <t>Operator of a printing and gift customization company intended to offer photo services and related products. The company offers a diverse range of products, such as photo books, prints, photo frames, and personalized gifts, providing customers with multiple photo options.</t>
  </si>
  <si>
    <t>WP Capital</t>
  </si>
  <si>
    <t>164918-44T</t>
  </si>
  <si>
    <t>284584-96T</t>
  </si>
  <si>
    <t>123136-93T</t>
  </si>
  <si>
    <t>Pixelazul</t>
  </si>
  <si>
    <t>Developer of a distance learning platform for teachers / companies designed to learn communicate simply, clearly and effectively.</t>
  </si>
  <si>
    <t>72329-23T</t>
  </si>
  <si>
    <t>Planet Kids</t>
  </si>
  <si>
    <t>Developer of a gaming application designed to offer education and entertainment for kids. The company's application offers an interface where kids can explore and learn through multi-media content that meets their specific needs, enabling young learners to learn and have fun through educational gaming and drawings.</t>
  </si>
  <si>
    <t>GRID Investments</t>
  </si>
  <si>
    <t>215998-75T</t>
  </si>
  <si>
    <t>Brasil Participações</t>
  </si>
  <si>
    <t>93727-18T</t>
  </si>
  <si>
    <t>265987-00T</t>
  </si>
  <si>
    <t>Q!Bazar</t>
  </si>
  <si>
    <t>Operator of an online fashion portal and outlet stores for men and women. The company offers formal and informal wears and accessories of various brands, providing customers with national and international brands, special curation, great discounts and ease of purchase.</t>
  </si>
  <si>
    <t>66792-25T</t>
  </si>
  <si>
    <t>Brian Requarth(Brian Requarth), Elizabeth Iorns(Elizabeth Iorns), FundersClub, Graph Ventures(Julio Vasconcellos), Guilherme Assis(Guilherme Assis), Iporanga Ventures(Felix Scheuffelen), Julio Vasconcellos(Julio Vasconcellos), Lumia Capital, Mario Letelier(Mario Letelier), Olivier Grinda(Olivier Grinda)</t>
  </si>
  <si>
    <t>130622-50T</t>
  </si>
  <si>
    <t>Imagine K12</t>
  </si>
  <si>
    <t>126598-69T</t>
  </si>
  <si>
    <t>42K Investimentos, Iporanga Ventures(Leonardo Teixeira)</t>
  </si>
  <si>
    <t>133972-39T</t>
  </si>
  <si>
    <t>76960-90T</t>
  </si>
  <si>
    <t>Level39</t>
  </si>
  <si>
    <t>279357-85T</t>
  </si>
  <si>
    <t>Sanyuu Corretora de Seguros</t>
  </si>
  <si>
    <t>Operator of an insurance brokerage firm intended to continuously seek optimum insurance solutions for its clients. The company's offerings include property, transport, benefits, fleet, financial and investment insurance brokerage services for both corporates and individuals enabling its customers to get convenient tailor made insurance solutions.</t>
  </si>
  <si>
    <t>F. Rego</t>
  </si>
  <si>
    <t>228508-66T</t>
  </si>
  <si>
    <t>126024-13T</t>
  </si>
  <si>
    <t>Sencer (Soil Monitoring System)</t>
  </si>
  <si>
    <t>The company's system is comprised of plant-mounted devices and an online platform which monitors and collects soil temperature and humidity data to perform advanced soil and planting analysis through the use of artificial intelligence, enabling farmers to access the data and make decisions regarding crop irrigation management.</t>
  </si>
  <si>
    <t>214706-89T</t>
  </si>
  <si>
    <t>122376-43T</t>
  </si>
  <si>
    <t>140870-80T</t>
  </si>
  <si>
    <t>FLUVIP</t>
  </si>
  <si>
    <t>111398-32T</t>
  </si>
  <si>
    <t>Sportheca</t>
  </si>
  <si>
    <t>Developer of a mobile application designed to offer sports-related content. The company's application includes features like real-time sports statistics, exclusive studies, proprietary games, and quizzes about players, tournaments, or teams, enabling sports fans to compare favorite players and earn points by participating in games.</t>
  </si>
  <si>
    <t>Distrito Ventures(Gustavo Araujo)</t>
  </si>
  <si>
    <t>302284-27T</t>
  </si>
  <si>
    <t>100336-96T</t>
  </si>
  <si>
    <t>Actis, Berkshire Hathaway (NYS: BRK.A), Gávea Investimentos, Lead Edge Capital, Madrone Capital Partners(Thomas Patterson)</t>
  </si>
  <si>
    <t>127024-66T</t>
  </si>
  <si>
    <t>Suati</t>
  </si>
  <si>
    <t>Developer of a management platform intended to streamline processes and comply with energy industry regulations. The company's platform manages contracts and invoices, makes an energy audit, follows metering standards, sets up, conducts and monitors auctions digitally, enabling energy industries to make data-driven decisions, optimize resource allocation, and stay competitive in the dynamic market.</t>
  </si>
  <si>
    <t>84769-30T</t>
  </si>
  <si>
    <t>180904-06T</t>
  </si>
  <si>
    <t>Oxigenio Aceleradora, Plug and Play Tech Center, Porto Seguro Capital (BVMF: PSSA3)</t>
  </si>
  <si>
    <t>291124-27T</t>
  </si>
  <si>
    <t>108415-90T</t>
  </si>
  <si>
    <t>Uncle K</t>
  </si>
  <si>
    <t>Retailer of men's and women's shoes and handbags in Brazil. The company's products include bags, backpacks, footwear, wall cartridges and accessories, enabling customers to get access to luxurious lifestyle products.</t>
  </si>
  <si>
    <t>111402-82T</t>
  </si>
  <si>
    <t>234446-86T</t>
  </si>
  <si>
    <t>We Do Logos</t>
  </si>
  <si>
    <t>Developer of online logo designing software intended to offer graphic design to various companies. The company's software connects micro and small entrepreneurs with hand-picked designers to create a logo, website, and company name, enabling clients to choose the ideal logo and grow their business.</t>
  </si>
  <si>
    <t>Initial:Capital</t>
  </si>
  <si>
    <t>131505-31T</t>
  </si>
  <si>
    <t>wewaant.com</t>
  </si>
  <si>
    <t>Developer of a marketing platform intended to provide opportunity to customers to pre-determine their purchasing conditions for the desired product. The company's platform assists to decide the product options and set a deadline for the deal, enabling customers to set conditions of buying.</t>
  </si>
  <si>
    <t>149067-55T</t>
  </si>
  <si>
    <t>XLabs ON Security</t>
  </si>
  <si>
    <t>Operator of an information security platform intended to identify the paths that hackers take to invade institutional or governmental systems. The company's platform increases performance, simplifies operations and protects the website, thereby enabling clients to protect their pieces of information.</t>
  </si>
  <si>
    <t>80980-48T</t>
  </si>
  <si>
    <t>BRVias</t>
  </si>
  <si>
    <t>Provider of road-concession services. The company operates basic infrastructure projects with special focus in roads concessions, construction, refurbishing of existing infrastructure and the actual operation of the highways.</t>
  </si>
  <si>
    <t>Triunfo Participações E Investimentos (BVMF: TPIS3)(Joel Peito)</t>
  </si>
  <si>
    <t>64547-11T</t>
  </si>
  <si>
    <t>Casa dos Ventos Brasil (2 Wind Farm Projects in Brazil)</t>
  </si>
  <si>
    <t>A portfolio of 392-megawatt wind power plants in Brazil. The Ventos Santa Brigida (182 megawatts) is located in state of Pernambuco and Ventos do Araripe I (210 MW), located in Simões (Piauí). Ventos complex of Santa Brigida is composed of seven wind farms located in the municipalities of Caetes rugged, Pedra and Paranatama and has a capacity of 181.9 megawatts, enough to power 350,000 homes.</t>
  </si>
  <si>
    <t>Cubico Sustainable Investments(Ricardo Diaz), Ontario Teachers' Pension Plan(Andrew Claerhout), Public Sector Pension Investment Board(Bruno Guilmette)</t>
  </si>
  <si>
    <t>66549-07T</t>
  </si>
  <si>
    <t>Martins &amp; Lococo Lavanderia</t>
  </si>
  <si>
    <t>Provider of laundry services. The company provides laundry services to high-end healthcare clients.</t>
  </si>
  <si>
    <t>62475-40T</t>
  </si>
  <si>
    <t>Drogarias Tamoio</t>
  </si>
  <si>
    <t>Operator of drug stores intended to supply drugs online. The company provides a range of pharmaceutical, health, beauty and personal care products, enabling clients to avail quality drug store products online and offline.</t>
  </si>
  <si>
    <t>Profarma Distribuidora de Produtos Farmacêuticos (BVMF: PFRM3)(Maximiliano Fischer)</t>
  </si>
  <si>
    <t>52298-11T</t>
  </si>
  <si>
    <t>Editora Saraiva</t>
  </si>
  <si>
    <t>Provider of publishing services. The company offers publishing services related to books, educational pamphlets and journals in Brazil.</t>
  </si>
  <si>
    <t>Editora Attica</t>
  </si>
  <si>
    <t>64114-75T</t>
  </si>
  <si>
    <t>Malaga Produtos Metalizados</t>
  </si>
  <si>
    <t>Manufacturer of labeling products. The company is engaged in the production of coated metallized paper labels in Brazil.</t>
  </si>
  <si>
    <t>AR Metallizing(Bart Devos)</t>
  </si>
  <si>
    <t>66932-56T</t>
  </si>
  <si>
    <t>Papaiz Industria E Comercio</t>
  </si>
  <si>
    <t>Manufacturer of cylinder locks based in Diadema, Brazil. The company offers padlocks, latches, handles, air springs, floor mole and hinges, thereby creating complete security and access solutions.</t>
  </si>
  <si>
    <t>Assa Abloy (STO: ASSA B)(Johan Molin)</t>
  </si>
  <si>
    <t>223338-34T</t>
  </si>
  <si>
    <t>CSHG Top FOFII Fundo de Investimento Imobiliario (BVMF: TFOF11)</t>
  </si>
  <si>
    <t>CSHG Top FOFII Fundo de Investimento Imobiliario is a real estate investment trust. The company invests in marketable securities.</t>
  </si>
  <si>
    <t>63947-62T</t>
  </si>
  <si>
    <t>GE32 Capital, Kaszek</t>
  </si>
  <si>
    <t>63287-92T</t>
  </si>
  <si>
    <t>133202-44T</t>
  </si>
  <si>
    <t>DGF Investimentos, e.bricks Ventures(Pedro Melzer), Qualcomm Ventures(Carlos Kokron), Spectra Investments</t>
  </si>
  <si>
    <t>63637-48T</t>
  </si>
  <si>
    <t>General Mills (Food Products) (NYS: GIS)</t>
  </si>
  <si>
    <t>68418-73T</t>
  </si>
  <si>
    <t>4Legacy, 500 Global</t>
  </si>
  <si>
    <t>61672-51T</t>
  </si>
  <si>
    <t>Quimatec Produtos Químicos</t>
  </si>
  <si>
    <t>Manufacturer and distributor of chemicals in Brazil. The company imports raw chemicals and processes them into compounds used in such industries as sugar refining, ethanol distilling and paper milling. It serves mainly the sugar &amp; alcohol and pulp &amp; paper industries with 20 different product families.</t>
  </si>
  <si>
    <t>Clayton, Dubilier &amp; Rice(David Wasserman), Solenis(John Panichella)</t>
  </si>
  <si>
    <t>63881-20T</t>
  </si>
  <si>
    <t>Tecon Salvador</t>
  </si>
  <si>
    <t>Provider of logistics service. The company offers container and general cargo shipping, warehouse facility and cargo management services.</t>
  </si>
  <si>
    <t>Wilson Sons (BVMF: PORT3)</t>
  </si>
  <si>
    <t>64197-19T</t>
  </si>
  <si>
    <t>H Brasil Comércio Importação e Exportação</t>
  </si>
  <si>
    <t>Operator of retail store. The company owns and operates a store where it provides cosmetics, perfumes, sporting goods, watch, cloths, shoes, stationary and other consumer products.</t>
  </si>
  <si>
    <t>Hermes International (PAR: RMS)</t>
  </si>
  <si>
    <t>88876-45T</t>
  </si>
  <si>
    <t>Ação Informática</t>
  </si>
  <si>
    <t>Distributor of information technology products. The company's information technology products offers IBM software, IBM hardware, Oracle software and various other software.</t>
  </si>
  <si>
    <t>Ingram Micro (NYS: INGM)</t>
  </si>
  <si>
    <t>74821-51T</t>
  </si>
  <si>
    <t>Invest Tech(Mauricio Lima)</t>
  </si>
  <si>
    <t>63478-54T</t>
  </si>
  <si>
    <t>General Atlantic(Martin Escobari)</t>
  </si>
  <si>
    <t>62198-38T</t>
  </si>
  <si>
    <t>S/A Llorente &amp; Cuenca</t>
  </si>
  <si>
    <t>Provider of advertising and consulting services. The company focuses on the development and execution of communication strategies for Brazilian and other foreign companies. It also provides corporate communication, financial communication and survey research services.</t>
  </si>
  <si>
    <t>LLYC (MAD: LLYC)(José Antonio Llorente), MBO+(Juan Cuesta)</t>
  </si>
  <si>
    <t>67038-67T</t>
  </si>
  <si>
    <t>Dental Sorria</t>
  </si>
  <si>
    <t>Operator of an online retail store of dental products based out of Belo Horizonte, Brazil. The company operates an online platform for dental products and other medical supplies, thereby enabling its customers to be provided with quality products at a competitive price.</t>
  </si>
  <si>
    <t>Bunzl (Distributors/Wholesale) (LON: BNZL)(Michael Roney)</t>
  </si>
  <si>
    <t>63557-20T</t>
  </si>
  <si>
    <t>Educational Society of Santa Catarina</t>
  </si>
  <si>
    <t>Provider of educational services designed to train professionals and transform people, developing skills, talents and careers. The company operates as an educational, cultural and technological institution running schools, colleges and other educational groups that offer elementary, bilingual elementary, secondary, technical, undergraduate and postgraduate education, distance learning and business training courses.</t>
  </si>
  <si>
    <t>63363-97T</t>
  </si>
  <si>
    <t>Mr. Cat</t>
  </si>
  <si>
    <t>Manufacturer of footwear products based in Rio de Janeiro, Brazil. The company operates as a footwear company providing a complete line of men's and women's shoes, as well as purses and accessories, thereby developing distinct and comfortable products that offer well-being and elegance for customers.</t>
  </si>
  <si>
    <t>65661-22T</t>
  </si>
  <si>
    <t>84767-32T</t>
  </si>
  <si>
    <t>66106-63T</t>
  </si>
  <si>
    <t>73242-82T</t>
  </si>
  <si>
    <t>Yema Distribuidora de Alimentos</t>
  </si>
  <si>
    <t>Producer of cheese and dairy products. The company is a producer and seller of milk and dairy products in Brazil.</t>
  </si>
  <si>
    <t>Granarolo(Gianpiero Calzolari)</t>
  </si>
  <si>
    <t>122940-73T</t>
  </si>
  <si>
    <t>Kokar</t>
  </si>
  <si>
    <t>Developer of home automation technology intended to help users control various home appliances and environments. The company's technology provides system diagnostics and automatic fixes, robustness, and freedom without worrying about the connection, communication of modules via a mesh network, and easy and convenient installation, enabling users to live comfortably.</t>
  </si>
  <si>
    <t>64393-48T</t>
  </si>
  <si>
    <t>Quick Logística</t>
  </si>
  <si>
    <t>Provider of logistics services. The company offers cargo transportation, supply chain management, storage and investor management services in Brazil.</t>
  </si>
  <si>
    <t>JSL (BVMF: JSLG3)</t>
  </si>
  <si>
    <t>86429-44T</t>
  </si>
  <si>
    <t>63975-88T</t>
  </si>
  <si>
    <t>Gapnet Viagens e Turismo</t>
  </si>
  <si>
    <t>63204-13T</t>
  </si>
  <si>
    <t>VIS Corretora de Seguros e Beneficios</t>
  </si>
  <si>
    <t>Provider of insurance brokerage services. The company serves as a consulting, insurance brokerage and benefits adviser which offers risk consulting services to customers. It also offers its services to different fields of the insurance market such as property insurance, health insurance, life insurance, travel, pension, dental, liability, products financial, fleet and transport.</t>
  </si>
  <si>
    <t>Lockton Brazil(Antonio Gusmao)</t>
  </si>
  <si>
    <t>71066-08T</t>
  </si>
  <si>
    <t>BemChef</t>
  </si>
  <si>
    <t>Provider of an online supermarket application. The company develops an application that enables users to order food with their chosen ingredients, wine and beer.</t>
  </si>
  <si>
    <t>Startup NAVE</t>
  </si>
  <si>
    <t>63538-48T</t>
  </si>
  <si>
    <t>Central de Produções</t>
  </si>
  <si>
    <t>Operator of schools. the company owns and operates an English language schools and provides courses on spoken and written English in Brazil.</t>
  </si>
  <si>
    <t>71070-13T</t>
  </si>
  <si>
    <t>Easy Music</t>
  </si>
  <si>
    <t>Provider of an online musician hiring platform. The company's platform enables users to find, compare and select musical equipment, lighting, bands, DJs and musicians and hire them for special occasions and parties.</t>
  </si>
  <si>
    <t>70961-32T</t>
  </si>
  <si>
    <t>Farmaki</t>
  </si>
  <si>
    <t>Provider of an e-commerce platform designed for the pharmaceutical industry. The company's platform offers e-commerce pharmacies and retailers to sell online without investing anything in infrastructure, design or hiring staff, enabling pharmaceutical companies to save time and cost in delivery.</t>
  </si>
  <si>
    <t>70964-47T</t>
  </si>
  <si>
    <t>Favela Game</t>
  </si>
  <si>
    <t>Operator of a game development company intended to offer games that reflect the cultural reality of the slums. The company is currently operating in stealth mode.</t>
  </si>
  <si>
    <t>209514-43T</t>
  </si>
  <si>
    <t>71059-78T</t>
  </si>
  <si>
    <t>OPA!</t>
  </si>
  <si>
    <t>Provider of school attendance control platform. The company's software offers attendance records maintenance, engagement evaluation, digital content, notices through Whatsapp notification and customer service chat room, enabling parents, school and students to make academic activity more dynamic.</t>
  </si>
  <si>
    <t>71060-59T</t>
  </si>
  <si>
    <t>Usei Passei</t>
  </si>
  <si>
    <t>Provider of an academic material selling platform. The company's online platform allows users to buy and sell their used academic materials.</t>
  </si>
  <si>
    <t>63372-79T</t>
  </si>
  <si>
    <t>Blue Interactive Group</t>
  </si>
  <si>
    <t>Provider of cable television and broadband services. The company offers broadband, pay-tv and telephony services in mid sized cities.</t>
  </si>
  <si>
    <t>Claro (Brazil)</t>
  </si>
  <si>
    <t>82387-63T</t>
  </si>
  <si>
    <t>Brasil Norte Bebidas</t>
  </si>
  <si>
    <t>Provider of private label beverage manufacturing and distribution services based in Manaus, Brazil. The company's capabilities include production, bottling, marketing and distribution of soft drinks, beers, nectars, energy drinks, soy drinks and coconut water.</t>
  </si>
  <si>
    <t>Coca-Cola Industrias</t>
  </si>
  <si>
    <t>67324-15T</t>
  </si>
  <si>
    <t>Unipar Carbocloro (BVMF: UNIP3)</t>
  </si>
  <si>
    <t>Unipar Carbocloro SA is a Brazilian company which is engaged in producing and PVC (Poly Vinyl Chloride) resins and chemicals, such as caustic soda, liquid and prills, and sodium hypochlorite. It offers chlorine, soda, hydrochloric acid, sodium hypochlorite, and dichloroethane for the use in water treatment.</t>
  </si>
  <si>
    <t>Vila Velha</t>
  </si>
  <si>
    <t>66740-41T</t>
  </si>
  <si>
    <t>Hive (Media and Information Services)</t>
  </si>
  <si>
    <t>Developer of a marketing platform designed to offer data-based marketing services. The company's platform manages profiles, understands the audience through customizable dashboards, create activation business rules, and automates communication with consumer based on their journey and behavior, enabling users to get technology-powered data-driven services.</t>
  </si>
  <si>
    <t>Crescera Capital, Criatec 2(Rodrigo Comazzetto), Marc Bell Capital Partners, Triaxis Capital</t>
  </si>
  <si>
    <t>69221-89T</t>
  </si>
  <si>
    <t>62919-10T</t>
  </si>
  <si>
    <t>MEC Q</t>
  </si>
  <si>
    <t>Provider of calibration services. The company provides services such as maintenance, measurements, water analysis, thermal rating and other similar services in the areas of engineering, consulting, industrial quality and metrology laboratory.</t>
  </si>
  <si>
    <t>Ardian(Thibault Basquin), Trescal(Guillaume Caroit)</t>
  </si>
  <si>
    <t>62851-06T</t>
  </si>
  <si>
    <t>PinMyPet</t>
  </si>
  <si>
    <t>Developer of Internet of Things and wearable options designed to track and analyze pet behavior. The company offers a hardware device with a General Packet Radio Service module for data transmission, a Global Positioning System for location tracking, and an accelerometer to identify behavior patterns, enabling pet owners to monitor their pet's activities and location in real-time, as well as organize essential records and information.</t>
  </si>
  <si>
    <t>Crescera Capital, Start-Up Brasil</t>
  </si>
  <si>
    <t>37429-03T</t>
  </si>
  <si>
    <t>Tim Participacoes (BVMF: TIMS3)</t>
  </si>
  <si>
    <t>TIM, which is 67%-owned by Telecom Italia, is the third largest wireless carrier in Brazil, with 62 million subscribers, equal to about 24% of the market. The firm also owns 49% of I-Systems, an infrastructure partnership that is expanding its network footprint across Brazil. I-Systems can provide broadband service to about 9 million locations, equal to 10%-15% of the country. TIM leases capacity on the venture's network to serve retail broadband customers under the UltraFibra brand. TIM also resells fiber network access from other providers, including Oi's former infrastructure business V.tal. In total, TIM claims it can offer fixed broadband service to about 16 million locations.</t>
  </si>
  <si>
    <t>51501-25T</t>
  </si>
  <si>
    <t>Polimix Concreto</t>
  </si>
  <si>
    <t>74385-10T</t>
  </si>
  <si>
    <t>Moneto</t>
  </si>
  <si>
    <t>Developer of an online monetary platform designed to be used in case of financial needs of any organization. The company's platform is a financial services application that accelerates the receipt of sales, and automates the entire billing process, enabling businesses to receive payments on time and have access to credit to reinvest in growing their business.</t>
  </si>
  <si>
    <t>63041-59T</t>
  </si>
  <si>
    <t>Angelbrasil Geologia e Meio Ambiental</t>
  </si>
  <si>
    <t>Provider of environmental consultancy and engineering services. The company specializes in the fields of environmental, soil and groundwater remediation and consulting services across the manufacturing, food and beverage segments.</t>
  </si>
  <si>
    <t>Oranjewoud</t>
  </si>
  <si>
    <t>302209-21T</t>
  </si>
  <si>
    <t>63485-38T</t>
  </si>
  <si>
    <t>Reebok Produtos Esportivos Brasil</t>
  </si>
  <si>
    <t>Manufacturer of sports shoes. The company offers sporting shoes, athletic goods, plastic footwear, sports clothes and other sporting goods.</t>
  </si>
  <si>
    <t>Adidas (ETR: ADS)</t>
  </si>
  <si>
    <t>127707-40T</t>
  </si>
  <si>
    <t>Renova Cambio</t>
  </si>
  <si>
    <t>Provider of foreign exchange solutions based in Brazil. The company offers foreign currencies, innovative prepaid travel card solutions, import and export payments, financial remittances, foreign exchange orders, and tourism exchange and its services are aimed at greater customer convenience such as e-commerce and availability of multiple service channels.</t>
  </si>
  <si>
    <t>Confidence Corretora de Cambio(Andreas Wiemer)</t>
  </si>
  <si>
    <t>67265-74T</t>
  </si>
  <si>
    <t>62843-86T</t>
  </si>
  <si>
    <t>Pneusfacil</t>
  </si>
  <si>
    <t>Seller of tires and automotive parts. The company is engaged in the sale of tires, auto parts and accessories for cars, bike, sports cars and trucks.</t>
  </si>
  <si>
    <t>Cpx Distribuidora De Pneus</t>
  </si>
  <si>
    <t>73401-31T</t>
  </si>
  <si>
    <t>Wiki4fit</t>
  </si>
  <si>
    <t>Developer of a fitness class management application designed to facilitate business management for personal trainers. The company's application lets users create and edit workouts, videos, tips, schedules, news feeds, physical assessments and plans for online payments, enabling clients to better manage face-to-face classes and create an online consultancy.</t>
  </si>
  <si>
    <t>Opus Technologies</t>
  </si>
  <si>
    <t>62768-71T</t>
  </si>
  <si>
    <t>Leão Alimentos e Bebidas</t>
  </si>
  <si>
    <t>63014-59T</t>
  </si>
  <si>
    <t>Thebe Bombas Hidraulicas</t>
  </si>
  <si>
    <t>Manufacturer and distributor of hydraulic pumps for industrial, agricultural, building, residential and commercial use.</t>
  </si>
  <si>
    <t>EBARA Bombas América do Sul</t>
  </si>
  <si>
    <t>204570-37T</t>
  </si>
  <si>
    <t>Alfa Rede de Ensino</t>
  </si>
  <si>
    <t>Provider of educational training intended to educate children, adolescents and young people. The company offers training, training materials and support, thereby improving the Brazilian educational system for the students.</t>
  </si>
  <si>
    <t>102338-74T</t>
  </si>
  <si>
    <t>APS Soluções em Energia</t>
  </si>
  <si>
    <t>Designer and manufacturer of energy efficient machinery. The company's machinery, enable the corporation to reduce the overall energy consumption.</t>
  </si>
  <si>
    <t>EDP - Energias do Brasil(Miguel Setas)</t>
  </si>
  <si>
    <t>110692-81T</t>
  </si>
  <si>
    <t>Moda Brasil</t>
  </si>
  <si>
    <t>126024-31T</t>
  </si>
  <si>
    <t>Alexandre Liuzzi(Alexandre Liuzzi), Frederico Rizzo(Frederico Rizzo), Ricardo Agostinho(Ricardo Agostinho)</t>
  </si>
  <si>
    <t>55074-52T</t>
  </si>
  <si>
    <t>Emplal Participações (South American Rigid Packaging Operations)</t>
  </si>
  <si>
    <t>Provider of rigid plastic packaging services. The business unit offers packaging services for food and consumer applications in Brazil.</t>
  </si>
  <si>
    <t>Bemis Company(William Austen)</t>
  </si>
  <si>
    <t>90092-80T</t>
  </si>
  <si>
    <t>Angel Ventures Mexico(Hernán Fernández), Global Founders Capital</t>
  </si>
  <si>
    <t>196036-93T</t>
  </si>
  <si>
    <t>Oskar Hartmann(Oskar Hartmann)</t>
  </si>
  <si>
    <t>125980-66T</t>
  </si>
  <si>
    <t>291124-09T</t>
  </si>
  <si>
    <t>ClapMe</t>
  </si>
  <si>
    <t>Developer of video and streaming platform intended to broadcast interactive shows from any time anywhere. The company's platform connects communication and technology groups through quality live content as well as on-demand content for hundreds of brands, enabling artists to earn money while connecting with fans and performing live.</t>
  </si>
  <si>
    <t>60732-10T</t>
  </si>
  <si>
    <t>GAMA Consultores Associados</t>
  </si>
  <si>
    <t>Provider of consulting and advisory services. The company is specialized in providing consulting and advisory services for the health and private pensions segments in Brazil.</t>
  </si>
  <si>
    <t>Mercer (New York)(David Anderson)</t>
  </si>
  <si>
    <t>98114-14T</t>
  </si>
  <si>
    <t>iTransport</t>
  </si>
  <si>
    <t>Developer of integrated transportation management platforms designed to make transportation services more efficient. The company's platforms predict unnecessary trips, reduce the total distance traveled, maximize fleet use, and reduce spending on fuel, tires, maintenance, and emission of pollutants, alongside providing vehicle tracking and navigation, enabling organizations to increase the effectiveness of charter transport and urban mobility while reducing carbon dioxide emissions.</t>
  </si>
  <si>
    <t>Crescera Capital, Criatec 2, FC Partners(Ricardo Silva), Triaxis Capital</t>
  </si>
  <si>
    <t>77852-44T</t>
  </si>
  <si>
    <t>Inovaparq, InovAtiva</t>
  </si>
  <si>
    <t>62186-68T</t>
  </si>
  <si>
    <t>Standard Tyres</t>
  </si>
  <si>
    <t>Manufacturer of industrial tires intended for forklifts, tow trucks, cranes, trailers and many other applications. The company offers pneumatic, superelastic and cushion tires with several options for non-staining and antistatic tires, thereby helping its clients by offering tires needs for performance, cost, resistance, severity, rolling, drivability and technical standards.</t>
  </si>
  <si>
    <t>Trelleborg Group (STO: TREL B)(Maurizio Vischi)</t>
  </si>
  <si>
    <t>62691-49T</t>
  </si>
  <si>
    <t>NetMovies Entertainmento</t>
  </si>
  <si>
    <t>Provider of movies and television shows streaming service based in Sao Paulo, Brazil. The company offers free streaming services to users for watching movies and TV shows on Android devices, iPad, smart TV, computers and gaming consoles.</t>
  </si>
  <si>
    <t>Looke Distribuição de Conteúdo Digital</t>
  </si>
  <si>
    <t>61747-03T</t>
  </si>
  <si>
    <t>Grupo MPR</t>
  </si>
  <si>
    <t>Manufacturer of alcohol-based cleaning products based in Osasco, Brazil. The company manufactures industrial alcohol and ethanol for use in food, chemical, pharmaceutical, and cosmetic industries, thereby offering cleaning products and environmentally friendly raw materials, derived from renewable sources that respect the environment, animals, and people.</t>
  </si>
  <si>
    <t>62557-48T</t>
  </si>
  <si>
    <t>Gank (Entertainment Software)</t>
  </si>
  <si>
    <t>Provider of online gaming services. The company operates a network managing championships of esports.</t>
  </si>
  <si>
    <t>Nuuvem(Fernando Campos)</t>
  </si>
  <si>
    <t>112057-66T</t>
  </si>
  <si>
    <t>Pleno - Tecnologia &amp; Sistemas</t>
  </si>
  <si>
    <t>Developer of software applications intended to consortium segment.</t>
  </si>
  <si>
    <t>201971-26T</t>
  </si>
  <si>
    <t>Prakolar Sato</t>
  </si>
  <si>
    <t>Manufacturer of pressure-sensitive product labels intended to serve global, regional and local brands in the cosmetics, pharma, chemicals and beverages industries. The company specializes in the manufacturing of self-adhesive and heat-shrinkable labels.</t>
  </si>
  <si>
    <t>Sato Holdings (TKS: 6287)(Kaz Matsuyama)</t>
  </si>
  <si>
    <t>133658-47T</t>
  </si>
  <si>
    <t>South Ventures</t>
  </si>
  <si>
    <t>112051-27T</t>
  </si>
  <si>
    <t>Faculdades Integradas de Castanhal</t>
  </si>
  <si>
    <t>Provider of education services based in Castanhal, Brazil. The company's course structure provides undergraduate, graduate and extension courses, enabling students to meet the needs and expectations of the labor market and society, with the competence to formulate, systematize and socialize knowledge in their areas of activity.</t>
  </si>
  <si>
    <t>64363-69T</t>
  </si>
  <si>
    <t>Quimipel Industria Quimica</t>
  </si>
  <si>
    <t>Developer of chemicals for paper industry. The company develops, manufactures and sells industrial organic chemicals to the paper industry in Brazil.</t>
  </si>
  <si>
    <t>CHT Group</t>
  </si>
  <si>
    <t>67745-53T</t>
  </si>
  <si>
    <t>127591-93T</t>
  </si>
  <si>
    <t>73702-72T</t>
  </si>
  <si>
    <t>Redecard</t>
  </si>
  <si>
    <t>202542-04T</t>
  </si>
  <si>
    <t>Top Car Veículos</t>
  </si>
  <si>
    <t>Operator of an automotive dealership based in Sao Paulo, Brazil. The company specializes in buying or selling used cars including sedans, hatchbacks, SUVs, pickup trucks and sports.</t>
  </si>
  <si>
    <t>55500-85T</t>
  </si>
  <si>
    <t>The Carlyle Group (NAS: CG)(Alex Stirling)</t>
  </si>
  <si>
    <t>62129-44T</t>
  </si>
  <si>
    <t>Legan Administracao de Recursos</t>
  </si>
  <si>
    <t>Provider of advisory services. The company offers welfare funds, pension, wealth and investment advisory services.</t>
  </si>
  <si>
    <t>Azimut Holding (MIL: AZM)</t>
  </si>
  <si>
    <t>61754-32T</t>
  </si>
  <si>
    <t>Chef de Buteco</t>
  </si>
  <si>
    <t>Owner and operator of a restaurant in Brazil. The company offers Brazilian fast foods and other Brazilian dishes to the customers.</t>
  </si>
  <si>
    <t>60637-24T</t>
  </si>
  <si>
    <t>60663-34T</t>
  </si>
  <si>
    <t>Casa do Epi</t>
  </si>
  <si>
    <t>Retailer and supplier of personal protection equipment for the hospital, mining, construction and manufacturing sectors. The company sells personal protection equipment including PPE kits, safety belts, helmets, gas detectors, face protection, emergency kits and other protection products.</t>
  </si>
  <si>
    <t>73694-53T</t>
  </si>
  <si>
    <t>Miller do Brasil Corretora de Resseguros</t>
  </si>
  <si>
    <t>Provider of reinsurance brokerage services. The company provides reinsurance brokerage services in the areas of property, engineering risk, marine, personal, accident, health and life insurance.</t>
  </si>
  <si>
    <t>Willis Towers Watson (NAS: WTW)(Luis Maurette)</t>
  </si>
  <si>
    <t>106420-24T</t>
  </si>
  <si>
    <t>126024-58T</t>
  </si>
  <si>
    <t>Joao Kepler Braga(Joao Kepler Braga)</t>
  </si>
  <si>
    <t>210937-87T</t>
  </si>
  <si>
    <t>Criatec Fund</t>
  </si>
  <si>
    <t>109755-01T</t>
  </si>
  <si>
    <t>Carlos Ambrosio(Carlos Ambrosio), Sylvio de Barros(Sylvio de Barros), Vinicius Ferriani(Vinicius Ferriani)</t>
  </si>
  <si>
    <t>110454-58T</t>
  </si>
  <si>
    <t>Rio Paraná Energia</t>
  </si>
  <si>
    <t>Operator of a holding company intended to operate Jupiá and Ilha Solteira hydroelectric power plants located in Parana river. The company's activities include operating two hydroelectric power plants located in Parana river, enabling the generation of 4,995 mega-watt of electricity.</t>
  </si>
  <si>
    <t>China Three Gorges Brazil(Yinsheng Li)</t>
  </si>
  <si>
    <t>101461-06T</t>
  </si>
  <si>
    <t>Salute Locação e Empreendimentos</t>
  </si>
  <si>
    <t>Provider of outsourcing and fleet management services based in Belo Horizonte, Brazil. The company offers transporting and renting a vehicle for a ride with family or business, thereby enabling customers to get personalized transportation and logistics services with low operating costs.</t>
  </si>
  <si>
    <t>Let's Rent a Car</t>
  </si>
  <si>
    <t>74266-75T</t>
  </si>
  <si>
    <t>67662-46T</t>
  </si>
  <si>
    <t>Sophie &amp; Juliete</t>
  </si>
  <si>
    <t>Online retailer of jewelry and accessories. The company provides an e-commerce platform designed to help crafters make their own fashion business by selling their products through its platform.</t>
  </si>
  <si>
    <t>Astella Investimentos(Edson Rigonatti), FJ Labs, Spectra Investments</t>
  </si>
  <si>
    <t>125339-95T</t>
  </si>
  <si>
    <t>FAPDF</t>
  </si>
  <si>
    <t>51778-36T</t>
  </si>
  <si>
    <t>60920-65T</t>
  </si>
  <si>
    <t>Affinia</t>
  </si>
  <si>
    <t>Manufacturer and distributor of automotive replacement products. The company produces and distributes automotive aftermarket components for cars, trucks, earth moving vehicles and racing cars. Its product line include brake, filtration and chassis products, as well as steering, suspension, and drive line components.</t>
  </si>
  <si>
    <t>Autopartners Participaçoes</t>
  </si>
  <si>
    <t>70319-17T</t>
  </si>
  <si>
    <t>Eurobras</t>
  </si>
  <si>
    <t>Designer of modular metal buildings. The company designs, builds, sells and rents modular buildings and accommodation units to the oil and gas, natural resources, infrastructure, construction and events markets.</t>
  </si>
  <si>
    <t>220174-21T</t>
  </si>
  <si>
    <t>Nissin Ajinomoto Alimentos</t>
  </si>
  <si>
    <t>Producer of instant noodles based in Sao Paulo, Brazil.</t>
  </si>
  <si>
    <t>Nissin Foods Holdings (TKS: 2897)(Koki Ando)</t>
  </si>
  <si>
    <t>62363-08T</t>
  </si>
  <si>
    <t>Nonsan RJ Participações</t>
  </si>
  <si>
    <t>61746-04T</t>
  </si>
  <si>
    <t>Kaszek(Hernan Kazah)</t>
  </si>
  <si>
    <t>59746-96T</t>
  </si>
  <si>
    <t>Fortinbrás</t>
  </si>
  <si>
    <t>Manufacturer of specialty chemical products. The company is engaged in production of a wide range of specialty chemicals such as esters, surfactants, essential oils, butters and special strata and oils.</t>
  </si>
  <si>
    <t>Hallstar(John Paro)</t>
  </si>
  <si>
    <t>62351-65T</t>
  </si>
  <si>
    <t>Terra Limpa Serviços de Limpeza</t>
  </si>
  <si>
    <t>Provider of waste recycling services. The company offers collection of non-hazardous waste and recycling services.</t>
  </si>
  <si>
    <t>Higi Serv Limpeza e Conservação</t>
  </si>
  <si>
    <t>61648-39T</t>
  </si>
  <si>
    <t>500 Startups LatAm, Grit Invest, Lumia Capital, Quasar Builders, Telefónica (MAD: TEF), Wayra Brazil</t>
  </si>
  <si>
    <t>63194-68T</t>
  </si>
  <si>
    <t>Asga (Optic, Electric and Digital Solutions Division)</t>
  </si>
  <si>
    <t>Manufacturer of electrical conductor cables. The company is engaged in manufacturing electrical conductor cables, optical fiber cables, telephone cables and related products.</t>
  </si>
  <si>
    <t>Furukawa Industrial</t>
  </si>
  <si>
    <t>55885-15T</t>
  </si>
  <si>
    <t>103976-02T</t>
  </si>
  <si>
    <t>B&amp;B Gestão</t>
  </si>
  <si>
    <t>Provider of accounting business support and consulting services in Brazil. The company specializes in offering advisory services in relation to accounting and business support, thereby enabling clients to asses risks, pinpoint opportunities and operate efficiently while entering the Brazilian market for business.</t>
  </si>
  <si>
    <t>Baird Capital, Hg, HgCapital Trust (LON: HGT)(Martin Block), Radius Worldwide(Chris Stone)</t>
  </si>
  <si>
    <t>83062-63T</t>
  </si>
  <si>
    <t>Deloitte Digital Disruptors</t>
  </si>
  <si>
    <t>250962-04T</t>
  </si>
  <si>
    <t>131464-45T</t>
  </si>
  <si>
    <t>Pratica Participacoes</t>
  </si>
  <si>
    <t>Manufacturer and seller of industrial machinery and equipment. The company is engaged in manufacturing and selling industrial machinery to its clients in Brazil.</t>
  </si>
  <si>
    <t>83376-64T</t>
  </si>
  <si>
    <t>Avalancha Ventures(Rodrigo Ocejo)</t>
  </si>
  <si>
    <t>86163-22T</t>
  </si>
  <si>
    <t>59621-05T</t>
  </si>
  <si>
    <t>Rontan Group</t>
  </si>
  <si>
    <t>Manufacturer of emergency warning equipment. The company manufactures sirens, alarms and related sensory devices for safety, security, fire, theft and flood activities.</t>
  </si>
  <si>
    <t>Global Digital Solutions (PINX: GDSI)(Richard Sullivan)</t>
  </si>
  <si>
    <t>202473-37T</t>
  </si>
  <si>
    <t>Studiare Engenharia e Teconologia</t>
  </si>
  <si>
    <t>Developer of education software based in Rio De Janeiro, Brazil. The company offers cloud platforms that work with adaptive learning, big data, data mining, analytics, blended learning, adaptive stimuli, and TRI.</t>
  </si>
  <si>
    <t>59561-65T</t>
  </si>
  <si>
    <t>OGX Petróleo e Gás (Ceara and Potiguar Basin)</t>
  </si>
  <si>
    <t>Two oil and natural gas blocks of OGX. The CE-M-603 and POT-M-475 blocks are located in the Ceará Basin and the Potiguar Basin.</t>
  </si>
  <si>
    <t>AziLat Petroleum(Michael Stewart), Seacrest Global Group</t>
  </si>
  <si>
    <t>66262-60T</t>
  </si>
  <si>
    <t>301 Videos</t>
  </si>
  <si>
    <t>Provider of video services. The company is engaged in the production and distribution of videos in Brazil</t>
  </si>
  <si>
    <t>59737-60T</t>
  </si>
  <si>
    <t>Clientis Gestão da Qualidade</t>
  </si>
  <si>
    <t>Operator of a call center. The company operates a call center which provides client relationship consulting services on banking, credit cards and insurance.</t>
  </si>
  <si>
    <t>Altra Investments(Darío Durán), Grupo Digitex(D. Angel Parra Cantero)</t>
  </si>
  <si>
    <t>212272-66T</t>
  </si>
  <si>
    <t>59724-10T</t>
  </si>
  <si>
    <t>Pontomobi</t>
  </si>
  <si>
    <t>Provider of mobile marketing and advertising services in Latin America. The company delivers a range of tailored mobile marketing services, including consulting and strategic planning, mobile design, cross-platform development of applications, sites and games, to its roster of global clients</t>
  </si>
  <si>
    <t>58950-91T</t>
  </si>
  <si>
    <t>76073-32T</t>
  </si>
  <si>
    <t>66247-21T</t>
  </si>
  <si>
    <t>59362-48T</t>
  </si>
  <si>
    <t>DGF Investimentos, Intel Capital(David Thomas), Oria Capital, Spectra Investments</t>
  </si>
  <si>
    <t>68312-44T</t>
  </si>
  <si>
    <t>500 Global, FORS Capital(Humberto Matsuda), Valor Capital Group(Scott Sobel), WP Capital</t>
  </si>
  <si>
    <t>58573-09T</t>
  </si>
  <si>
    <t>Campo Rico Fertilizers</t>
  </si>
  <si>
    <t>Manufacturer of formulation fertilizers based in Sao Paulo, Brazil. The company manufactures ammonium sulphate, NPK formulations, granular phosphate, potassium chloride (KCL) and monoammonium phosphate (MAP), enabling farmers to produce and harvest crops at reduced costs.</t>
  </si>
  <si>
    <t>Tillridge Global Agribusiness Partners(Mark Zenuk)</t>
  </si>
  <si>
    <t>61746-31T</t>
  </si>
  <si>
    <t>ALavadeira</t>
  </si>
  <si>
    <t>Provider of subscription-based laundry services intended to improve the lives of families in Brazil. The company's laundry services are provided through an online platform where customers can subscribe to its plans based on their monthly demand and check online the status of each piece of clothing, enabling customers to get carefully ironed clothes so that they can enjoy their time.</t>
  </si>
  <si>
    <t>CRP Companhia de Participacoes, CVentures, Cynthia Kueppers(Cynthia Kueppers), Fundo Primus, Leonardo Xavier(Leonardo Xavier), Veranda Venture Partners</t>
  </si>
  <si>
    <t>62149-96T</t>
  </si>
  <si>
    <t>Bougue Serviços de Internet e Comércio</t>
  </si>
  <si>
    <t>Provider of an online home improvement marketplace. The company provides on-site architectural consulting services and helps clients find service providers and funding for design, remodeling and construction.</t>
  </si>
  <si>
    <t>60364-99T</t>
  </si>
  <si>
    <t>Íntegra Medical Consultoria</t>
  </si>
  <si>
    <t>Provider of medical consultancy services catering to patients in Brazil. The company offers diagnosis, prescription, accession and monitoring services, thereby facilitating access and adherence to treatment for patients, caregivers and healthcare professionals.</t>
  </si>
  <si>
    <t>Profarma Specialty</t>
  </si>
  <si>
    <t>106419-16T</t>
  </si>
  <si>
    <t>126023-14T</t>
  </si>
  <si>
    <t>Cremme</t>
  </si>
  <si>
    <t>Designer and manufacturer of furniture and home decor accessories based in Sao Paulo, Brazil. The company's furniture includes geometric tables, stools, tables, armchairs, sofas, wooden tables, chopping boards, shelves, lamps, bookcases, and coat racks, enabling clients to decorate their spaces with custom-designed furniture.</t>
  </si>
  <si>
    <t>172352-17T</t>
  </si>
  <si>
    <t>Plataforma Capital</t>
  </si>
  <si>
    <t>92308-42T</t>
  </si>
  <si>
    <t>69906-34T</t>
  </si>
  <si>
    <t>Era Do Brazil</t>
  </si>
  <si>
    <t>Provider of helicopters on a lease basis. The company provides helicopters for various logistical and transportation services.</t>
  </si>
  <si>
    <t>Era Group (Air)(Andrew Puhala)</t>
  </si>
  <si>
    <t>36891-91T</t>
  </si>
  <si>
    <t>iQuilibrio</t>
  </si>
  <si>
    <t>Developer of an online prediction platform designed to offer wellness and spirituality services. The company's platform provides an interface for esoteric consultancy services where one can get spiritual information through different methods like card reading, astrology, numerology, and zodiac signs, enabling users to get their future and make plans accordingly.</t>
  </si>
  <si>
    <t>Bells Ventures</t>
  </si>
  <si>
    <t>48717-73T</t>
  </si>
  <si>
    <t>J. Malucelli Participações em Seguros e Resseguros (Property Casualty Business)</t>
  </si>
  <si>
    <t>Provider of insurance products in Brazil. The business specializes in surety insurance services.</t>
  </si>
  <si>
    <t>Travelers Companies (NYS: TRV)</t>
  </si>
  <si>
    <t>48372-40T</t>
  </si>
  <si>
    <t>J. Malucelli Seguradora (property casualty business)</t>
  </si>
  <si>
    <t>Provider of property and casualty insurance services based in Curitiba, Brazil. The company provides insurance services such as home insurance and car insurance.</t>
  </si>
  <si>
    <t>94864-15T</t>
  </si>
  <si>
    <t>Centro de Incubação de Empresas da Região Sul</t>
  </si>
  <si>
    <t>56437-39T</t>
  </si>
  <si>
    <t>Moinho Pacífico Indústria e Comercio</t>
  </si>
  <si>
    <t>Provider of wheat processing services. The company operates various wheat farms and provides wheat processing services through which it produces and sells wheat flours, corn-based products and rice.</t>
  </si>
  <si>
    <t>Bunge Global (NYS: BG)(Raul Padilla)</t>
  </si>
  <si>
    <t>59383-81T</t>
  </si>
  <si>
    <t>67664-53T</t>
  </si>
  <si>
    <t>Astella Investimentos(Edson Rigonatti), Spectra Investments</t>
  </si>
  <si>
    <t>216191-17T</t>
  </si>
  <si>
    <t>Suahouse</t>
  </si>
  <si>
    <t>Operator of a real estate CRM providing company based in Itaim Bibi, brazil. The company develops real estate CRM and marketing platform to help developers and builders improve the efficiency of the sales process.</t>
  </si>
  <si>
    <t>VivaReal(Brian Requarth)</t>
  </si>
  <si>
    <t>54067-60T</t>
  </si>
  <si>
    <t>ebba</t>
  </si>
  <si>
    <t>Producer of concentrated juices and carbonated drinks based in Recife, Pernambuco. The company offers a variety of products such as concentrates, fruit nectars, and ready-to-drink beverages in different flavors and packaging sizes as well as coconut water, carbonated and soft drinks.</t>
  </si>
  <si>
    <t>58436-56T</t>
  </si>
  <si>
    <t>MLC Indústria Mecânica</t>
  </si>
  <si>
    <t>Manufacturer of flexographic cutting tools. The company also manufactures precision plan and rotary die cutters and products like flexible knife, magnetic cylinder, counter-knife, rotary knife and other industrial cutting tools.</t>
  </si>
  <si>
    <t>RotoMetrics(Robert Spiller), Sentinel Capital Partners(James Coady)</t>
  </si>
  <si>
    <t>75000-16T</t>
  </si>
  <si>
    <t>Pellegrino Distribuidora De Autopeças</t>
  </si>
  <si>
    <t>Distributor of auto parts intended for light and heavy-duty vehicles and motorcycles to shopkeepers and fleet owners. The company offers various products like switches, sensors, drive shafts, engine blocks and brake pads, thus providing clients with products for the motorized vehicle in one place at a reasonable cost.</t>
  </si>
  <si>
    <t>Grupo Comolatti(Sergio Comolatti)</t>
  </si>
  <si>
    <t>68422-33T</t>
  </si>
  <si>
    <t>59561-47T</t>
  </si>
  <si>
    <t>Angel Ventures Mexico(Camilo Kejner), Riverwood Capital</t>
  </si>
  <si>
    <t>58190-95T</t>
  </si>
  <si>
    <t>A.J.Galdeano Consultoria Contabil e Empresarial</t>
  </si>
  <si>
    <t>Provider of tax consulting services. The company offers accounting, treasury, tax and payroll services.</t>
  </si>
  <si>
    <t>Ernst &amp; Young Global(Kate Barton)</t>
  </si>
  <si>
    <t>74732-41T</t>
  </si>
  <si>
    <t>Fandango Media</t>
  </si>
  <si>
    <t>93545-29T</t>
  </si>
  <si>
    <t>155896-75T</t>
  </si>
  <si>
    <t>58355-65T</t>
  </si>
  <si>
    <t>CVentures(Adonay Freitas)</t>
  </si>
  <si>
    <t>264096-64T</t>
  </si>
  <si>
    <t>Companhia Lorenz</t>
  </si>
  <si>
    <t>Manufacturer of starches, pregelatinized products, dextrins and other ingredients intended for the food manufacturing industry. The company specializes in offering various ingredients modified starches, maltodextrins and glucose syrup.</t>
  </si>
  <si>
    <t>GTFoods(Rogério Gonçalves)</t>
  </si>
  <si>
    <t>207642-70T</t>
  </si>
  <si>
    <t>5Y Capital, IDG Capital, Notable Capital, Shunwei Capital, Susquehanna International Group</t>
  </si>
  <si>
    <t>73659-70T</t>
  </si>
  <si>
    <t>Rexel (Latin American Operations)</t>
  </si>
  <si>
    <t>Distributor of electrical parts and supplies. The business unit supplies electrical parts, tools, equipment and supplies for the electrical industry.</t>
  </si>
  <si>
    <t>Sonepar</t>
  </si>
  <si>
    <t>69593-32T</t>
  </si>
  <si>
    <t>SOSV(Shen Tong)</t>
  </si>
  <si>
    <t>58291-03T</t>
  </si>
  <si>
    <t>PPE Fios Esmaltados</t>
  </si>
  <si>
    <t>Manufacturer of wire. The company manufactures a range of wound-wire products in copper and aluminum, including enameled, isolated, transposed cable and bare wire.</t>
  </si>
  <si>
    <t>193045-33T</t>
  </si>
  <si>
    <t>Prodix (Brazil)</t>
  </si>
  <si>
    <t>Developer of farm management software designed to improve agricultural production planning and control. The company's software platform monitors and stimulates the evolution of a farm, allowing integrated management and presenting efficient information that speeds up the calculation and analysis of costs in real-time, facilitating the efficient allocation of resources and people, as well as, planning and organizing agricultural management, from soil preparation, planting, pest monitoring, application of inputs, harvesting and storage, enabling farmers to streamline decision-making processes, focusing on maximizing productivity and profitability.</t>
  </si>
  <si>
    <t>155898-01T</t>
  </si>
  <si>
    <t>60925-69T</t>
  </si>
  <si>
    <t>UNI4 Sistemas de Informacaeo</t>
  </si>
  <si>
    <t>Provider on an online bill payment application. The company's application helps companies and individuals to hold their charges through bank bills, ruling out the need for additional agreements with financial institutions.</t>
  </si>
  <si>
    <t>302158-63T</t>
  </si>
  <si>
    <t>211622-14T</t>
  </si>
  <si>
    <t>Centro Educacional Nossa Cidade</t>
  </si>
  <si>
    <t>Provider of education and training services based in Carapicuíba, Brazil. The company offers college, graduation and technical courses.</t>
  </si>
  <si>
    <t>112102-57T</t>
  </si>
  <si>
    <t>Neemu Serviços em Tecnologia da Informação</t>
  </si>
  <si>
    <t>Developer of data-driven retail technology designed for the retailers to organize the data generated by consumers and competing companies. The company's technology based on the theory of machine learning, an algorithm learns from every customer interaction and analyze their interaction with the e-commerce format and defines standards from that behavior, enabling clients to understand the audience more and offer them with better shopping experiences.</t>
  </si>
  <si>
    <t>Linx (Business/Productivity Software)(Dennis Herszkowicz)</t>
  </si>
  <si>
    <t>74289-16T</t>
  </si>
  <si>
    <t>Atlas Transportes</t>
  </si>
  <si>
    <t>Provider of logistic services. The company provides air and road transportation and logistics services for goods. It also offers logistics services that include warehousing and inventory management, separation and packing, labeling and intralogistics services.</t>
  </si>
  <si>
    <t>Fomento Economico Mexicano (MEX: FEMSAUBD)(Carlos Lomelin)</t>
  </si>
  <si>
    <t>92863-90T</t>
  </si>
  <si>
    <t>Carob House</t>
  </si>
  <si>
    <t>Producer of carob-based confectionery products intended to industrialize carob as a substitute for chocolate. The company's products include carob powder, dragees, drops, bars, cream and tablets that are free of sugar, gluten, lactose and caffeine and can be consumed by diabetics, celiacs, intolerant or allergic to soy and milk, vegans and the kosher public.</t>
  </si>
  <si>
    <t>133414-57T</t>
  </si>
  <si>
    <t>Duxx Investimentos(Daniel Matumoto)</t>
  </si>
  <si>
    <t>225016-84T</t>
  </si>
  <si>
    <t>125987-41T</t>
  </si>
  <si>
    <t>93602-62T</t>
  </si>
  <si>
    <t>Planejei</t>
  </si>
  <si>
    <t>Developer of a financial planning application created to control finances through smartphones. The company's financial advisor robot, Marvin helps to generate financial strategies and offer the robot analyzes revenue, expenses and shows how you can save to achieve the goals and is an app that helps save money, enabling young people to reach their financial goals and dreams.</t>
  </si>
  <si>
    <t>Banco Porto Seguro, Oxigenio Aceleradora(Italo Flammia), Plug and Play Tech Center</t>
  </si>
  <si>
    <t>48277-27T</t>
  </si>
  <si>
    <t>Souza Cruz (Internal tobacco packaging operations)</t>
  </si>
  <si>
    <t>Provider of packaging and labeling services of tobacco products. The unit packages and labels tobacco products such as snuff, straw cigarettes, cigars, cigarillos, roll tobacco and others in Cachoeirinha, Rio Grande do Sul, Brazil.</t>
  </si>
  <si>
    <t>Amcor (NYS: AMCR)(Ken MacKenzie)</t>
  </si>
  <si>
    <t>33894-37T</t>
  </si>
  <si>
    <t>Ideiasnet (BVMF: PDTC3), Intel Capital(Ricardo Alário), Telefonica Vivo</t>
  </si>
  <si>
    <t>112183-03T</t>
  </si>
  <si>
    <t>Telemont Engenharia de Telecomunicações</t>
  </si>
  <si>
    <t>Provider of innovative solutions catering to the Telecom, IT and Energy segments. The company specializes in the construction of fiber optic networks, installation and maintenance of telephone, broadband, data circuits and TV services, enabling clients to perform their activities with quality, speed and profitability.</t>
  </si>
  <si>
    <t>66152-08T</t>
  </si>
  <si>
    <t>56855-26T</t>
  </si>
  <si>
    <t>Fabrice Grinda(Fabrice Grinda), Florian Hagenbuch(Florian Hagenbuch), GE32 Capital, Graph Ventures, Jose Marin(Jose Marin), Julio Vasconcellos(Julio Vasconcellos), Mate Pencz(Mate Pencz), Paul Holliman(Paul Holliman)</t>
  </si>
  <si>
    <t>116924-05T</t>
  </si>
  <si>
    <t>Rextur Advance</t>
  </si>
  <si>
    <t>Provider of travel management services based in Sao Paulo, Brazil.</t>
  </si>
  <si>
    <t>CVC Brasil Operadora e Agencia de Viagens (BVMF: CVCB3)(Luis Falco)</t>
  </si>
  <si>
    <t>92132-65T</t>
  </si>
  <si>
    <t>133051-69T</t>
  </si>
  <si>
    <t>Start-Up Brasil(Vitor Andrade)</t>
  </si>
  <si>
    <t>134890-84T</t>
  </si>
  <si>
    <t>Codifique</t>
  </si>
  <si>
    <t>Developer of software development marketplace designed to manage web, mobile, and social projects with agility and security. The company's marketplace lets companies hire programmers for projects with the guarantee of financial management and a platform for managing the project until the end, enabling companies to manage projects to develop their websites, mobile and social applications by the programmers of Brasil.</t>
  </si>
  <si>
    <t>50267-98T</t>
  </si>
  <si>
    <t>Osper Indústria de Peças Automotivas</t>
  </si>
  <si>
    <t>Manufacturer of automotive equipment. The company develops a products such as power take-offs, cylinders, hydraulic pumps and valves for motor vehicles.</t>
  </si>
  <si>
    <t>67524-49T</t>
  </si>
  <si>
    <t>GoVendas</t>
  </si>
  <si>
    <t>Developer of sales software designed to increase clients recurring sales in the customer base. The company generates each salesperson's work schedule for the day, prioritizing the customers with the greatest purchase potential, analyzing purchase frequency, payment, credit, and average ticket, and helping businesses to contact the right customer at the right frequency at the right time.</t>
  </si>
  <si>
    <t>PA Latinoamericana</t>
  </si>
  <si>
    <t>57379-06T</t>
  </si>
  <si>
    <t>Wellpark</t>
  </si>
  <si>
    <t>Provider of parking lots in Brazil. The company provides parking lots in the cities of Bahia, Sergipe, Alagoas, Pernambuco, Rio Grande do Norte and Ceará. It provides lots to serve office buildings, hospitals, banks, clinics, shopping malls, universities, convention centers, airports and other urban properties.</t>
  </si>
  <si>
    <t>BR Investimentos, BTG Pactual (BVMF: BPAC3), Crescera Capital(Jaime Cardoso), Estapar (BVMF: ALPK3), Franklin Resources (NYS: BEN)</t>
  </si>
  <si>
    <t>97285-33T</t>
  </si>
  <si>
    <t>Innova Capital (Brazil)(Veronica Serra), Ocean Participações e Investimentos(Rita de Cassia Sousa Coutinho), Peninsula Participacoes(Abilio Dos Santos Diniz)</t>
  </si>
  <si>
    <t>58754-62T</t>
  </si>
  <si>
    <t>56472-13T</t>
  </si>
  <si>
    <t>GeneSeas</t>
  </si>
  <si>
    <t>Operator of a fish farming company based intended to specialize in fish that is present abroad. The company specializes in tilapia farming and exports frozen tilapia, salmon, shrimp and other fish products from Brazil to the North American consumer market, thereby participating in all links of the tilapia production chain, from feed production to processing and distribution, ensuring delivery of a quality product of origin to its commercial customers</t>
  </si>
  <si>
    <t>56158-39T</t>
  </si>
  <si>
    <t>DOMO.VC, Dragoneer Investment Group, Fifth Wall, Kaszek, Monashees(Carlo Dapuzzo), Qualcomm Ventures</t>
  </si>
  <si>
    <t>119640-97T</t>
  </si>
  <si>
    <t>e.bricks Ventures, Igah Ventures</t>
  </si>
  <si>
    <t>48039-04T</t>
  </si>
  <si>
    <t>EB Capital, Ed Baker(Edward Baker), Flourish Ventures, Kaszek(Nicolas Szekasy), Mark Goines(Mark Goines), Omidyar Network(Arjuna Costa), Peter Kellner(Peter Kellner), Pierre Omidyar(Pierre Omidyar), QED Investors, Ribbit Capital(Meyer Malka), Valor Capital Group</t>
  </si>
  <si>
    <t>56059-84T</t>
  </si>
  <si>
    <t>Nutrifont Alimentos</t>
  </si>
  <si>
    <t>Provider of milk products. The company is engaged in the production of nutritional ingredients sourced from whey a byproduct from cheese manufacturing. These ingredients are utilized by consumer brands in baby food and sports nutrition, among others uses.</t>
  </si>
  <si>
    <t>Groupe Lactalis(Patrick Sauvageot)</t>
  </si>
  <si>
    <t>56460-34T</t>
  </si>
  <si>
    <t>Valuepoint Advancy</t>
  </si>
  <si>
    <t>Provider of management consulting services based in Sao Paulo, Brazil. The company provides services such as strategy and planning, performance optimization, systems review and evaluation and performance measurement across the public, healthcare and social services sectors.</t>
  </si>
  <si>
    <t>Advancy Groupe</t>
  </si>
  <si>
    <t>56532-70T</t>
  </si>
  <si>
    <t>Natural da Terra</t>
  </si>
  <si>
    <t>Operator of a grocery store chain based in Sao Paulo, Brazil. The company offers fruits, bread, vegetables, salmon, cheese and dairy products.</t>
  </si>
  <si>
    <t>Crescera Capital(Jaime Cardoso), Hortigil Hortifruti</t>
  </si>
  <si>
    <t>73640-71T</t>
  </si>
  <si>
    <t>Robopac Brasil</t>
  </si>
  <si>
    <t>Manufacturer and distributor of packaging machines based in Bento Gonçalves, Brazil. The company specializes in the development and sale of machines for positioning, filling, boxing, palletizing and packaging with stretch film for various products.</t>
  </si>
  <si>
    <t>Aetna Group(Valentina Aureli)</t>
  </si>
  <si>
    <t>131543-20T</t>
  </si>
  <si>
    <t>Admatic (Business/Productivity Software)</t>
  </si>
  <si>
    <t>Developer of a marketing intelligence platform designed to help organizations transform the results of their campaigns. The company's platform provides automated reports and insights to direct their marketing investment to the channels that give the maximum amount of return, enabling clients to invest less time in the operational part and gain fundamental information for strategy development.</t>
  </si>
  <si>
    <t>86899-60T</t>
  </si>
  <si>
    <t>Casino Guichard-Perrachon (PAR: CO)(Arnaud Strasser)</t>
  </si>
  <si>
    <t>62150-05T</t>
  </si>
  <si>
    <t>Headline, Kaszek(Hernan Kazah), Redpoint eventures(Manoel Lemos)</t>
  </si>
  <si>
    <t>72820-63T</t>
  </si>
  <si>
    <t>Andréa Nogueira(Andréa Nogueira), Brian Requarth(Brian Requarth), GE32 Capital, Graph Ventures, Iporanga Ventures, Leonardo Teixeira, Marcelo Sampaio(Marcelo Sampaio)</t>
  </si>
  <si>
    <t>68423-14T</t>
  </si>
  <si>
    <t>73642-60T</t>
  </si>
  <si>
    <t>Interfeiras Eventos</t>
  </si>
  <si>
    <t>Organizer of trade fairs. The company organizes FIT 0/16, an annual fashion trade fair for children and other trade fairs in Sao Paulo, Brazil.</t>
  </si>
  <si>
    <t>82069-12T</t>
  </si>
  <si>
    <t>124697-62T</t>
  </si>
  <si>
    <t>Imaginie Tecnologia Educacional</t>
  </si>
  <si>
    <t>Developer of online writing correction platform designed to improve the writing skills of individuals and students preparing for high school and college entrance exams. The company's platform offers features like personalized feedback, detailed correction reports, and access to a team of experienced language professionals, enabling users to identify and address their writing weaknesses, enhance their communication skills, and achieve their academic goals.</t>
  </si>
  <si>
    <t>BoomStartup(Jessica Bleak)</t>
  </si>
  <si>
    <t>134106-58T</t>
  </si>
  <si>
    <t>Techmall</t>
  </si>
  <si>
    <t>123140-26T</t>
  </si>
  <si>
    <t>68507-92T</t>
  </si>
  <si>
    <t>Seven Boys</t>
  </si>
  <si>
    <t>Producer of bakery and confectionery products intended to serve consumers across Brazil. The company is engaged in the production, processing and distribution of sliced bread, croissants, cake, cookies, sandwiches and other confectionery products.</t>
  </si>
  <si>
    <t>46463-86T</t>
  </si>
  <si>
    <t>The Potash Corporation of Saskatchewan(Jochen Tilk)</t>
  </si>
  <si>
    <t>111466-36T</t>
  </si>
  <si>
    <t>55141-21T</t>
  </si>
  <si>
    <t>Otello Corporation (OSL: OTEC)(Lars Boilesen)</t>
  </si>
  <si>
    <t>69876-46T</t>
  </si>
  <si>
    <t>Grupo Tectran</t>
  </si>
  <si>
    <t>Provider of consulting and engineering services. The company is engaged in offering traffic engineering and transportation management services for the roads, metro, rail and urban development areas.</t>
  </si>
  <si>
    <t>59401-36T</t>
  </si>
  <si>
    <t>Prolancer Comunicação Digital</t>
  </si>
  <si>
    <t>Provider of an online job search platform. The company operates an online job portal that connects freelancers and companies by posting freelance jobs based on professional profile and skills in the areas of technology and communication.</t>
  </si>
  <si>
    <t>Nubelo Solutions(Francesc Font)</t>
  </si>
  <si>
    <t>110402-38T</t>
  </si>
  <si>
    <t>Myvillage (Communication Software)</t>
  </si>
  <si>
    <t>Developer of communication management and access control software designed to connect the residents and managers of the condominiums. The company's software integrates with existing security hardware and offers the doorman real-time access control of the list of residents, visitors, events, orders, inventory and other related details, enabling users to know what happens in their condominium, aiding residents, trustees, administrators and all the professionals involved in the chain of tasks to improve the functioning of the condominium.</t>
  </si>
  <si>
    <t>4Legacy, Ademir Pacheco(Ademir Pacheco), Daniel Maceira(Daniel Maceira), Eduardo Fernandes(Eduardo Fernandes), Jose Novaes(Jose Novaes), Leonardo Nelli(Leonardo Nelli), Newton Motta(Newton Motta), Renato Pellisson(Renato Pellisson), Washington Flores(Washington Flores)</t>
  </si>
  <si>
    <t>55173-52T</t>
  </si>
  <si>
    <t>Albioma Codora Energia</t>
  </si>
  <si>
    <t>Operator of a power cogeneration plant based in Goianesia, Brazil. The company produces low-pressure steam and 173-gigawatt hours of electricity from bagasse, cane straw and wood chips.</t>
  </si>
  <si>
    <t>Albioma(Jacques Pétry)</t>
  </si>
  <si>
    <t>54736-03T</t>
  </si>
  <si>
    <t>Monashees, Valor Capital Group</t>
  </si>
  <si>
    <t>55870-12T</t>
  </si>
  <si>
    <t>PRA Group (NAS: PRAA)</t>
  </si>
  <si>
    <t>65819-53T</t>
  </si>
  <si>
    <t>Aulalivre</t>
  </si>
  <si>
    <t>Developer of an online educational platform designed to offer quality courses, accessible to all budgets. The company's platform helps users to take courses on competitive exams and specific subjects by paying a subscription fee, enabling users to achieve their goals or to get the opportunity to learn a new language.</t>
  </si>
  <si>
    <t>Dhaval Chadha(Dhaval Chadha), Iporanga Ventures(Leonardo Teixeira), Ricardo Politi(Ricardo Politi)</t>
  </si>
  <si>
    <t>59897-89T</t>
  </si>
  <si>
    <t>500 Global, Guilherme Horn, Headline(Anderson Thees), Monashees(Marcelo Lima), NH Investimentos, Redpoint eventures(Anderson Thees)</t>
  </si>
  <si>
    <t>155524-15T</t>
  </si>
  <si>
    <t>OneMarket (Food Products)</t>
  </si>
  <si>
    <t>Operator of an e-commerce platform intended to order curated snack boxes based on specific diet types such as gluten-free, lactose-free, sugar-free or vegan. The company's platform offers healthy food subscription boxes for different types of dietary restrictions and the food products included in the box are bread, candies, pastas, beverages, cereals, cakes, and other types of snacks, enabling customers to get quality food products at affordable prices.</t>
  </si>
  <si>
    <t>172350-82T</t>
  </si>
  <si>
    <t>211380-58T</t>
  </si>
  <si>
    <t>Lakeland Brazil</t>
  </si>
  <si>
    <t>Manufacturer of protective clothes catering to industrial workforce. The company engages in providing safety garments and accessories for the industrial workers.</t>
  </si>
  <si>
    <t>Zap Comércio de Brindes Corporativos</t>
  </si>
  <si>
    <t>67810-69T</t>
  </si>
  <si>
    <t>Kong Rex Planejamento, Comunicação e Design</t>
  </si>
  <si>
    <t>Provider of branding and printing services. The company provides various designing and branding services such as packaging design, brand positioning, trade marketing and others to its clients.</t>
  </si>
  <si>
    <t>Crédit Mutuel Equity, Diadeis, ILP Group</t>
  </si>
  <si>
    <t>65799-73T</t>
  </si>
  <si>
    <t>92615-05T</t>
  </si>
  <si>
    <t>Baita, Start-Up Brasil</t>
  </si>
  <si>
    <t>83098-72T</t>
  </si>
  <si>
    <t>Dayan family</t>
  </si>
  <si>
    <t>77804-92T</t>
  </si>
  <si>
    <t>Inova Ventures Participações, Martinho Ono(Martinho Ono), Muccashop</t>
  </si>
  <si>
    <t>66097-45T</t>
  </si>
  <si>
    <t>Shipfy</t>
  </si>
  <si>
    <t>Provider of a shipment tracking application. The company offers a shipment and parcel tracking application which automatically tracks shipments and sends alerts to recipients.</t>
  </si>
  <si>
    <t>243194-05T</t>
  </si>
  <si>
    <t>Triunfo (Three Energy Businesses in Brazil)</t>
  </si>
  <si>
    <t>Operator of three energy-generating companies in Brazil.</t>
  </si>
  <si>
    <t>China Three Gorges (SHG: 600905)</t>
  </si>
  <si>
    <t>125483-50T</t>
  </si>
  <si>
    <t>123139-72T</t>
  </si>
  <si>
    <t>71377-75T</t>
  </si>
  <si>
    <t>Rezon8 Capital &amp; Advisory Group</t>
  </si>
  <si>
    <t>53976-43T</t>
  </si>
  <si>
    <t>Pidilite Do Brazil Desenvolvimento De Negocios</t>
  </si>
  <si>
    <t>Operator of a chemical-production company. The company offers adhesives and sealants, construction and paint chemicals, automotive chemicals, art materials, industrial adhesives, industrial and textile resins, and organic pigments and preparations.</t>
  </si>
  <si>
    <t>89426-26T</t>
  </si>
  <si>
    <t>Zipco</t>
  </si>
  <si>
    <t>Manufacturer of prefabricated metal structures. The company's metal beams, are standardized, bolted and galvanized with layers of zinc and aluminum giving a greater durability against corrosion when compared to the painted steel structural system and zipped tiles, which fit in different types of roofing application, including all thermoacoustic services and guaranteeing a water tightness, enabling the house owners to combat leakage and damage problems.</t>
  </si>
  <si>
    <t>Dânica, Patria Investments (NAS: PAX)</t>
  </si>
  <si>
    <t>82001-17T</t>
  </si>
  <si>
    <t>53818-84T</t>
  </si>
  <si>
    <t>Tradbor Indústria e Comércio</t>
  </si>
  <si>
    <t>Provider of packaging products based in Sao Paulo, Brazil. The company offers pre-made and prefabricated flexible packaging products such as stand-up pouches.</t>
  </si>
  <si>
    <t>Gualapack(Michele Guala)</t>
  </si>
  <si>
    <t>116145-64T</t>
  </si>
  <si>
    <t>Editora Atlas</t>
  </si>
  <si>
    <t>Publisher of technical and didactic books for public university graduate and postgraduate students in Brazil. The company's activities include publishing books and study materials on economics, science, technology and general knowledge.</t>
  </si>
  <si>
    <t>55304-56T</t>
  </si>
  <si>
    <t>Moneycorp(Mark Horgan)</t>
  </si>
  <si>
    <t>45870-31T</t>
  </si>
  <si>
    <t>Statkraft Energias Renovaveis</t>
  </si>
  <si>
    <t>Statkraft Energias Renovaveis SA is a hydroelectric power and renewable energy generator in Europe. The Company produces hydroelectric power, wind power, energy fueled by gas and district heating.</t>
  </si>
  <si>
    <t>Statkraft(Christian Rynning-Tonnesen)</t>
  </si>
  <si>
    <t>112267-45T</t>
  </si>
  <si>
    <t>Delta Air Lines (NYS: DAL)(William Carroll)</t>
  </si>
  <si>
    <t>179907-22T</t>
  </si>
  <si>
    <t>53398-90T</t>
  </si>
  <si>
    <t>Target Brasil Fertilizantes</t>
  </si>
  <si>
    <t>Manufacturer and distributor of agricultural products. The company produces, markets and retails agricultural specialty products throughout Brazil.</t>
  </si>
  <si>
    <t>Brandt Consolidated(Rick Brandt)</t>
  </si>
  <si>
    <t>73627-39T</t>
  </si>
  <si>
    <t>Cervejaria Colorado</t>
  </si>
  <si>
    <t>Producer of draft beer based in Ribeirao Preto, Brazil. The company offers various types of beer that incorporate traditional Brazilian ingredients such as honey, graviola, rapadura, coffee, and orange peel.</t>
  </si>
  <si>
    <t>53154-37T</t>
  </si>
  <si>
    <t>Branca Ribeiro Representacoes</t>
  </si>
  <si>
    <t>Producer of timber products. The company manages and operates forest land banks for production of timber and forest wood products.</t>
  </si>
  <si>
    <t>Omega Commercial Finance(Todd Buxton)</t>
  </si>
  <si>
    <t>46403-56T</t>
  </si>
  <si>
    <t>Brookfield Property Partners, BTG Pactual (BVMF: BPAC3), Eminence Capital</t>
  </si>
  <si>
    <t>64478-80T</t>
  </si>
  <si>
    <t>Vitacon Safira Desenvolvimento Imobiliario</t>
  </si>
  <si>
    <t>Owner and operator of commercial properties in Brazil. The company provides brokerage services, leasing and property management services.</t>
  </si>
  <si>
    <t>126031-06T</t>
  </si>
  <si>
    <t>123Reformei</t>
  </si>
  <si>
    <t>Provider of refurbishing services intended for real estate properties. The company's services offers its users technology renovations, enabling them to remodel their home, apartment or office.</t>
  </si>
  <si>
    <t>Redpoint eventures</t>
  </si>
  <si>
    <t>126033-13T</t>
  </si>
  <si>
    <t>AdFácil</t>
  </si>
  <si>
    <t>Operator of an online analytics platform intended to practice digital marketing. The company's platform helps users create and optimize online campaigns across various channels and monitor their progress via the control panel, enabling digital marketers to advertise on Google, Facebook, YouTube, Twitter, LinkedIn, Bing, Yahoo, blogs, and other sites.</t>
  </si>
  <si>
    <t>71064-28T</t>
  </si>
  <si>
    <t>Amigo Viajante</t>
  </si>
  <si>
    <t>Operator of a social network platform intended to promote the meeting of people who wish to travel to the same destination. The company's platform matches travelers with companions or partners to accompany them in trips.</t>
  </si>
  <si>
    <t>221358-52T</t>
  </si>
  <si>
    <t>Banestes Recebiveis (BVMF: BCRI11)</t>
  </si>
  <si>
    <t>Banestes Recebiveis Imobiliarios Fundo Investimento Imobiliario FII is a real estate fund. It is engaged in the acquisition of real estate based financial assets.</t>
  </si>
  <si>
    <t>86439-07T</t>
  </si>
  <si>
    <t>Brasil Ozônio</t>
  </si>
  <si>
    <t>Manufacturer of ozone treatment systems intended to contribute towards a sustainable and environment-friendly future. The company's systems offer a capacity ozone generator which is a device that can achieve ozone concentrations and assists in large-scale applications in different industries, enabling clients to avail themselves of the ozone treatment, sanitization, sterilization, and oxidation of artesian wells, wastewater, rainwater, process water and swimming pools.</t>
  </si>
  <si>
    <t>45977-50T</t>
  </si>
  <si>
    <t>Companhia Brasileira de Bentonita</t>
  </si>
  <si>
    <t>Provider of mineral mining services. The company operates bentonite clay mining plants.</t>
  </si>
  <si>
    <t>Clariant International (SWX: CLN)(Hariolf Kottmann)</t>
  </si>
  <si>
    <t>76071-88T</t>
  </si>
  <si>
    <t>Artemisia, Iporanga Ventures, Omidyar Network(Rafa Guia)</t>
  </si>
  <si>
    <t>60561-19T</t>
  </si>
  <si>
    <t>Astella Investimentos(Edson Rigonatti), Hartmann Holdings, JPJ Investments, Oskar Hartmann, RIGI Ventures(Maximilian Schoppen), Spectra Investments, Strowlers Ventures, TA Ventures</t>
  </si>
  <si>
    <t>52771-69T</t>
  </si>
  <si>
    <t>Kanui Retail</t>
  </si>
  <si>
    <t>Provider of an online platform for deals related to outdoor activities and sports. The company provides an internet platform for outdoor fashion, different lifestyles of consumers and equipment for the practice of action sports.</t>
  </si>
  <si>
    <t>Global Fashion Group (FRA: GFG)(Oliver Samwer)</t>
  </si>
  <si>
    <t>263266-66T</t>
  </si>
  <si>
    <t>Mango Smoothies Comércio de Alimentos</t>
  </si>
  <si>
    <t>52920-82T</t>
  </si>
  <si>
    <t>Pinnacle Ventures, Qihoo 360 Technology (SHG: 601360), Redpoint eventures(Manoel Lemos)</t>
  </si>
  <si>
    <t>45120-34T</t>
  </si>
  <si>
    <t>Seed (Electronic Equipment and Instruments)</t>
  </si>
  <si>
    <t>Operator of customer intelligence and insights platform intended to provide management of people counting and audience analysis. The company's platform provides a sensor that detects facial expressions and monitors people entering the store by gender, and age and tracks their level of satisfaction with the products, prices, and services, and transforms everything it captures into data, enabling clients to get a new point of view on their business and make informed decisions.</t>
  </si>
  <si>
    <t>Iporanga Ventures, RIGI Ventures</t>
  </si>
  <si>
    <t>52785-64T</t>
  </si>
  <si>
    <t>Tricae Comércio Varejista</t>
  </si>
  <si>
    <t>Retailer of clothes and accessories for kids based in Sao Paulo, Brazil. The company offers clothes, footwear, sell toys, baby bottles, strollers, pacifiers and other baby products.</t>
  </si>
  <si>
    <t>Global Fashion Group (FRA: GFG)(Romain Voog)</t>
  </si>
  <si>
    <t>58663-27T</t>
  </si>
  <si>
    <t>Weener Indústria Plástica</t>
  </si>
  <si>
    <t>Producer of plastic packaging components. The company's plastic packaging components include polyethylene films, liners and sacks products for packaging of deodorants and antiperspirants, enabling companies to present their products in an attractive packaging to its consumers.</t>
  </si>
  <si>
    <t>47894-68T</t>
  </si>
  <si>
    <t>Brazil Fast Food</t>
  </si>
  <si>
    <t>Operator of a fast food restaurant chain in Brazil. The companies chain includes street and drive-thru restaurants, food outlets, in-store outlets, as well as kiosks, fully owned or franchisees under other brands.</t>
  </si>
  <si>
    <t>Queijo Holding</t>
  </si>
  <si>
    <t>54271-00T</t>
  </si>
  <si>
    <t>Casa Do Corretor Comercial</t>
  </si>
  <si>
    <t>Provider of insurance brokerage services. The company provides car insurance, condominium insurance, business insurance, engineering risk, life insurance and other types of insurance services.</t>
  </si>
  <si>
    <t>The Swett &amp; Crawford Group</t>
  </si>
  <si>
    <t>55138-15T</t>
  </si>
  <si>
    <t>United Airlines Holdings (NAS: UAL)</t>
  </si>
  <si>
    <t>126040-60T</t>
  </si>
  <si>
    <t>Jump Brazil</t>
  </si>
  <si>
    <t>76104-82T</t>
  </si>
  <si>
    <t>Serviços, Engenharia e Instalação de Comunicações</t>
  </si>
  <si>
    <t>Constructor of wireless towers. The company specializes in the building and maintenance of telecommunication stations and networks in Brazil.</t>
  </si>
  <si>
    <t>Grupo Ezentis (MAD: EZE)</t>
  </si>
  <si>
    <t>52415-38T</t>
  </si>
  <si>
    <t>48828-43T</t>
  </si>
  <si>
    <t>Monashees, Qualcomm Ventures(Patrick Eggen), Tiger Global Management</t>
  </si>
  <si>
    <t>74968-93T</t>
  </si>
  <si>
    <t>CRP Companhia de Participacoes, CVentures(Adonay Freitas)</t>
  </si>
  <si>
    <t>61681-69T</t>
  </si>
  <si>
    <t>GP Investments (LUX: GPINA)</t>
  </si>
  <si>
    <t>84787-84T</t>
  </si>
  <si>
    <t>210457-27T</t>
  </si>
  <si>
    <t>134137-81T</t>
  </si>
  <si>
    <t>52036-66T</t>
  </si>
  <si>
    <t>Coinverse</t>
  </si>
  <si>
    <t>Provider of bitcoin banking services. The company offers an online banking platform for a decentralized digital currency that is used for investment and payment accepted everywhere in the world.</t>
  </si>
  <si>
    <t>Improbable Solutions</t>
  </si>
  <si>
    <t>114191-83T</t>
  </si>
  <si>
    <t>Imaginarium Networks</t>
  </si>
  <si>
    <t>Operator of a consumer goods and products franchise chain based in Florianópolis, Brazil. The company offers kitchen mugs, aprons, pillows, lamps, picture frames, watches, candles, headphones, amplifiers and electronics.</t>
  </si>
  <si>
    <t>Squadra Investimentos</t>
  </si>
  <si>
    <t>52379-11T</t>
  </si>
  <si>
    <t>Kaszek(Hernan Kazah), Monashees, Saint-Gobain NOVA, Tiger Global Management</t>
  </si>
  <si>
    <t>68562-19T</t>
  </si>
  <si>
    <t>Ritmo Logística</t>
  </si>
  <si>
    <t>Provider of logistic services. The company offers logistics, supply chain, road transportation, fleet outsourcing, equipment leasing and related logistics services.</t>
  </si>
  <si>
    <t>Novo Oriente Participações</t>
  </si>
  <si>
    <t>63560-98T</t>
  </si>
  <si>
    <t>Grupo Carrefour Brasil</t>
  </si>
  <si>
    <t>Peninsula Participacoes</t>
  </si>
  <si>
    <t>51853-60T</t>
  </si>
  <si>
    <t>Sequoia Capital</t>
  </si>
  <si>
    <t>73625-68T</t>
  </si>
  <si>
    <t>Blue Ocean Agência Marítima</t>
  </si>
  <si>
    <t>Owner and operator of a port and shipping agency. The company provides vessel clearance, loading and discharging operations, vessel logistics and support and cargo and customs documentation services.</t>
  </si>
  <si>
    <t>Agri Port Services</t>
  </si>
  <si>
    <t>51905-71T</t>
  </si>
  <si>
    <t>Blackstone (NYS: BX)(Jasvinder Khaira), Phoenix Tower International(Dagan Kasavana)</t>
  </si>
  <si>
    <t>52224-85T</t>
  </si>
  <si>
    <t>IRM International</t>
  </si>
  <si>
    <t>Provider of repair and inspection services. The company provides repair and maintenance services of shallow and deep water drilling rigs.</t>
  </si>
  <si>
    <t>Allrig(Mark Hannigan), Clyde Blowers Capital(James McColl Obe)</t>
  </si>
  <si>
    <t>35734-69T</t>
  </si>
  <si>
    <t>Procter &amp; Gamble (Sulfonation Production Facility)</t>
  </si>
  <si>
    <t>The business unit has 30,000 metric tons of capacity. The business unit provides surfactant for laundry products.</t>
  </si>
  <si>
    <t>60497-47T</t>
  </si>
  <si>
    <t>VTX ( Application Software)</t>
  </si>
  <si>
    <t>Developer of an image recognition software intended to offer technological advancement to the retail industry. The company's image recognition software works through a Fast Recognition Platform (FRP) that makes a link between online and offline shopping and creates a virtual store in everyday places, enabling users to take picture of the desired product, match it with similar ones and purchase the product.</t>
  </si>
  <si>
    <t>Inspiration Ventures(Gady Nemirovsky), Start-Up Brasil, Telefonica Open Future, Wayra</t>
  </si>
  <si>
    <t>216181-54T</t>
  </si>
  <si>
    <t>Sub100</t>
  </si>
  <si>
    <t>Provider of real estate solutions based in Maringá, Brazil. The company's platform helps connect brokers, real estate agents, land developers, developers and builders to people looking for a new place to live or invest.</t>
  </si>
  <si>
    <t>ZAP Internet(Eduardo Schaeffer)</t>
  </si>
  <si>
    <t>106422-22T</t>
  </si>
  <si>
    <t>Startup Farm(Igor Mascarenhas)</t>
  </si>
  <si>
    <t>51771-61T</t>
  </si>
  <si>
    <t>Positiva Energia</t>
  </si>
  <si>
    <t>Developer of electric power generation projects intended to deliver transitional energy services. The company specializes in transforming green field ideas into carefully designed power generation opportunities, ensuring its clients support energy projects to create value.</t>
  </si>
  <si>
    <t>Global Natural Resource Investments(Jason Siegel)</t>
  </si>
  <si>
    <t>56637-64T</t>
  </si>
  <si>
    <t>Target.IT</t>
  </si>
  <si>
    <t>Provider of technology consulting and software development services intended to help in creating and personalizing software that operates in the logistics, tax, and commerce verticals. The company's services deal in the fields of implementation, systems support, software development, allocation of professionals, and complete service packages, for issuing, storing, validating, capturing, and printing electronic tax documents as well as integration with the main enterprise resource planning in the market, enabling businesses to get outsourcing and tax assistance to boost and facilitate the day-to-day life of companies.</t>
  </si>
  <si>
    <t>51498-82T</t>
  </si>
  <si>
    <t>ISG</t>
  </si>
  <si>
    <t>51167-62T</t>
  </si>
  <si>
    <t>500 Global, Hi Ventures, NXTP Ventures, Osborn Companies, Plug and Play Tech Center(Alireza Masrour), Redpoint eventures, South Ventures, Velum Ventures</t>
  </si>
  <si>
    <t>62718-76T</t>
  </si>
  <si>
    <t>Bertelsmann(Thomas Mackenbrock)</t>
  </si>
  <si>
    <t>80040-07T</t>
  </si>
  <si>
    <t>Crescera Capital, IFC Asset Management Company</t>
  </si>
  <si>
    <t>54902-53T</t>
  </si>
  <si>
    <t>73653-40T</t>
  </si>
  <si>
    <t>Planeta Informatica</t>
  </si>
  <si>
    <t>Developer of secure access model software intended for telecommunications, automation, industrial automation and other applications. The company offers offers hardware development, payment systems, software and firmware development and diverse portfolio of solutions that encompass vending machines, secure payment, telecommunications and industrial, as well as advanced smart card technologies, thereby providing the market with solutions in the areas of vending machines, secure payment, telecommunications, commercial automation, industrial automation, access control and applications that use contact and contactless smart cards.</t>
  </si>
  <si>
    <t>Mulann(Jean Renou)</t>
  </si>
  <si>
    <t>73632-43T</t>
  </si>
  <si>
    <t>Delta Construções</t>
  </si>
  <si>
    <t>Provider of construction services. The company offers building construction, environmental engineering, sanitation, urban infrastructure, bridges and overpasses construction, deployment, maintenance and restoration services in Brazil.</t>
  </si>
  <si>
    <t>Essentium Grupo</t>
  </si>
  <si>
    <t>51209-38T</t>
  </si>
  <si>
    <t>Kaszek(Nicolas Szekasy), QED Investors(Nigel Morris), Recharge Capital, Sequoia Capital(Douglas Leone), Tiger Global Management</t>
  </si>
  <si>
    <t>52735-42T</t>
  </si>
  <si>
    <t>117003-34T</t>
  </si>
  <si>
    <t>Wiz Co Participacoes e Corretagem de Seguros SA is Brazilian insurance brokerage company. It is engaged in developing and implementing business optimization solutions, combining financial and insurance services to meet customer's needs. The company acts as a broker between insurer and bank and it is involved in the sale of individual and corporate insurance products, pension plans, capitalization plans, and consortiums, in the distribution channels. Its insurance products includes life insurance policies, mortgage insurance, credit insurance, auto insurance, residential property insurance, Business Multi-Risk Insurance and other products.</t>
  </si>
  <si>
    <t>76839-85T</t>
  </si>
  <si>
    <t>New Venture Challenge</t>
  </si>
  <si>
    <t>85334-23T</t>
  </si>
  <si>
    <t>Acelera MGTI, Arthur d'Hauteville(Arthur d'Hauteville), Bowei Gai(Bowei Gai), Diego Gomes(Diego Gomes), Diego Remus(Diego Remus), Eyal Miller(Eyal Miller), Fundacity, Kurt Kalm(Kurt Kalm), Mark Neeleman(Mark Neeleman), Maurizio de Franciscis(Maurizio de Franciscis)</t>
  </si>
  <si>
    <t>61428-97T</t>
  </si>
  <si>
    <t>Fleety</t>
  </si>
  <si>
    <t>Developer of an online platform intended to help people rent cars. The company's platform allows users to find cars in Brazil, contact the owners, and rent them for their use, enabling them to avail cars-on-rent in a hassle-free manner and save money.</t>
  </si>
  <si>
    <t>51058-90T</t>
  </si>
  <si>
    <t>Just Eat Holding(Jerome Gavin), Movile(Fabricio Bloisi)</t>
  </si>
  <si>
    <t>159860-26T</t>
  </si>
  <si>
    <t>67616-83T</t>
  </si>
  <si>
    <t>Business Angels Club Berlin-Brandenburg, Seventure Partners, Sham</t>
  </si>
  <si>
    <t>69867-91T</t>
  </si>
  <si>
    <t>Selfit Academias</t>
  </si>
  <si>
    <t>Operator of a chain of fitness centers intended to offer a balanced lifestyle to its clients. The company offers equipment and fitness classes to members in an air-conditioned, relaxed and organized environment, enabling customers to lose weight, maintain, gain weight and receive medical recommendations.</t>
  </si>
  <si>
    <t>H.I.G. Capital(Rodrigo Feitosa)</t>
  </si>
  <si>
    <t>89727-94T</t>
  </si>
  <si>
    <t>Setepla Tecnometal Engenharia</t>
  </si>
  <si>
    <t>Provider of engineering and consulting services intended to provide correct and updated technical services, with services that provide total satisfaction. The company's engineering and consulting services offers consulting, design and management of projects in the areas of transport, industry, energy, telecommunications, environment and architecture, enabling clients to fulfil their requirements as per their needs.</t>
  </si>
  <si>
    <t>SENER Ingeniería y Sistemas</t>
  </si>
  <si>
    <t>124822-36T</t>
  </si>
  <si>
    <t>207400-15T</t>
  </si>
  <si>
    <t>Bryan Goldberg(Bryan Goldberg), Craig Earnshaw(Craig Earnshaw), Eduardo Grinberg(Eduardo Grinberg), James Aviles(James Aviles), Marcelo Fonseca(Marcelo Fonseca), Play Studio, Stone Participações</t>
  </si>
  <si>
    <t>210590-92T</t>
  </si>
  <si>
    <t>Velsis</t>
  </si>
  <si>
    <t>Developer of an intelligent transportation system designed for technology in mobility for smart cities and highways. The company aims to offer a system for traffic enforcement, offering the market innovative alternatives for speed enforcement either at fixed or mobile points, disobedience to red lights, and vehicle identification through automatic recognition of license plates, enabling users to have high-tech services in urban and road mobility that help with traffic</t>
  </si>
  <si>
    <t>97630-12T</t>
  </si>
  <si>
    <t>Zeca's Sorvetes</t>
  </si>
  <si>
    <t>Producer of ice cream intended to provide regional fruits and flavors. The company's ice cream and popsicles are made with regionally-sourced ingredients and held to strict quality standards, thereby providing consumers with a premium product.</t>
  </si>
  <si>
    <t>Creme Mel Sorvetes(Antônio Santos), H.I.G. Capital(Fernando Oliveira)</t>
  </si>
  <si>
    <t>90119-08T</t>
  </si>
  <si>
    <t>SPE Cristina Energia</t>
  </si>
  <si>
    <t>Provider of electricity generation services. The company's electricity generation services provider power generation services through hydroelectric power plant.</t>
  </si>
  <si>
    <t>89911-09T</t>
  </si>
  <si>
    <t>Fertilizantes Santa Catarina</t>
  </si>
  <si>
    <t>Provider of logistics and import-export services intended to serve farmers and agribusinesses. The company specializes in the loading and unloading of grains and fertilizers, carry out export and import operations of corn, bran, barley, malt, fertilizers and chemical products in bulk as well as general cargo and liquid bulk.</t>
  </si>
  <si>
    <t>Manuchar Comercio Exterior</t>
  </si>
  <si>
    <t>93223-45T</t>
  </si>
  <si>
    <t>Crescera Capital(Daniel Borghi), Pearson Ventures</t>
  </si>
  <si>
    <t>51346-09T</t>
  </si>
  <si>
    <t>Serviços Marítimos</t>
  </si>
  <si>
    <t>Provider of marine transportation services. The company is engaged in carrying load equipment and bulk cargoes and offers maritime salvage assistance.</t>
  </si>
  <si>
    <t>Svitzer(Martin Helweg)</t>
  </si>
  <si>
    <t>36302-68T</t>
  </si>
  <si>
    <t>GVT Holding</t>
  </si>
  <si>
    <t>Provider of Internet, cellular and wireless telecommunication services. The company offers commercial and residential analog and long distance phone services. It also provides broadband, pay-TV and voice-over-Internet services.</t>
  </si>
  <si>
    <t>94359-07T</t>
  </si>
  <si>
    <t>Banco Colpatria Red Multibanca Colpatria</t>
  </si>
  <si>
    <t>114193-09T</t>
  </si>
  <si>
    <t>Morini Premium</t>
  </si>
  <si>
    <t>Provider of food products in Brazil. The company offers fruits, vegetables, chess, beers, wines, bakery, meat, and grocery products.</t>
  </si>
  <si>
    <t>Grupo Super Nosso</t>
  </si>
  <si>
    <t>74292-31T</t>
  </si>
  <si>
    <t>Ducoco Alimentos</t>
  </si>
  <si>
    <t>Producer of coconut food and beverages based in São Paulo, Brazil. The company specializes in coconut-based products, including coconut water, coconut milk, shredded coconut, and coconut oil, enabling customers to consume natural and healthy products and live healthier lives.</t>
  </si>
  <si>
    <t>BRZ Investimentos(José Neto), Spectra Investments</t>
  </si>
  <si>
    <t>57990-25T</t>
  </si>
  <si>
    <t>50605-66T</t>
  </si>
  <si>
    <t>SulAmérica Companhia de Seguros Gerais</t>
  </si>
  <si>
    <t>Provider of insurance products. The company offers personal injury insurance services caused due to motor vehicle along with property and casualty insurance.</t>
  </si>
  <si>
    <t>Coliseum Reinsurance Company</t>
  </si>
  <si>
    <t>39973-15T</t>
  </si>
  <si>
    <t>Brazil Hospitality Group</t>
  </si>
  <si>
    <t>Operator of hotels based in Rio de Janeiro, Brazil. The company owns and manages hotels present in all regions of Brazil, in the economic, mid-scale, upscale and luxury segments and is recognized for its multi-brand management and operator expertise through its brands focusing on the modernization of its concepts and products while implementing advanced methods and techniques of management and distribution.</t>
  </si>
  <si>
    <t>GP Investments (LUX: GPINA)(Antonio Bonchristiano), GTIS Partners(Thomas Shapiro)</t>
  </si>
  <si>
    <t>254234-17T</t>
  </si>
  <si>
    <t>Tech Supply (IT Services)</t>
  </si>
  <si>
    <t>Provider of IT solutions services based out in Sao Paulo, Brazil. The company's offerings include Business Assurance , Corporate Governance, Compliance and other IT consultancy services.</t>
  </si>
  <si>
    <t>71528-77T</t>
  </si>
  <si>
    <t>Arjo Wiggins</t>
  </si>
  <si>
    <t>Manufacturer of security paper-based in Salto, Brazil. The company specializes in producing banknotes, documents, fine papers, and secured documents.</t>
  </si>
  <si>
    <t>Fedrigoni(Claudio Alfonsi)</t>
  </si>
  <si>
    <t>50159-44T</t>
  </si>
  <si>
    <t>Banco BBM</t>
  </si>
  <si>
    <t>Provider of banking services. The company operates as a bank providing services such as private banking, corporate credit, funding, lending, credit service, debit facility and others.</t>
  </si>
  <si>
    <t>Bank of Communications (SHG: 601328)</t>
  </si>
  <si>
    <t>96891-40T</t>
  </si>
  <si>
    <t>Hortus Comercio de Alimentos(Bernardo Preto)</t>
  </si>
  <si>
    <t>50836-51T</t>
  </si>
  <si>
    <t>Innéov Brasil Nutricosmeticos</t>
  </si>
  <si>
    <t>Manufacturer and retailer of beauty and hair products. The company retails beauty products, cosmetics and health products for men and women.</t>
  </si>
  <si>
    <t>Galderma (SWX: GALD)</t>
  </si>
  <si>
    <t>89518-60T</t>
  </si>
  <si>
    <t>50155-93T</t>
  </si>
  <si>
    <t>Bruno Canitia(Bruno Neves), Fundo Virtuose, Gera Venture Capital, Mitsui &amp; Company (TKS: 8031), Omidyar Network(Eliza Erikson)</t>
  </si>
  <si>
    <t>50025-52T</t>
  </si>
  <si>
    <t>Accel Management Company(Kevin Efrusy), Felicis(Renata Quintini), Monashees</t>
  </si>
  <si>
    <t>104053-51T</t>
  </si>
  <si>
    <t>Expense Mobility Tecnologia</t>
  </si>
  <si>
    <t>Developer of expense management application software intended to automate the reimbursement of corporate expenses. The company's application software manages expenses in real-time and calculates accurate mileage reimbursement, enabling providing a complete solution for managing refunds and corporate expenses.</t>
  </si>
  <si>
    <t>Wappa(Armindo Mota)</t>
  </si>
  <si>
    <t>66253-42T</t>
  </si>
  <si>
    <t>261624-88T</t>
  </si>
  <si>
    <t>267943-60T</t>
  </si>
  <si>
    <t>Conecta Mundo</t>
  </si>
  <si>
    <t>Developer of a digital learning software intended for educational institutions. The company's platform combines a social network interface with practical teacher training to facilitate the creation and implementation of digital projects in the classroom, empowering schools to effectively integrate technology into the teaching and learning process.</t>
  </si>
  <si>
    <t>134632-63T</t>
  </si>
  <si>
    <t>E-smart</t>
  </si>
  <si>
    <t>Operator of an e-commerce platform based in Sao Paulo, Brazil. The company offers a real-time design interface, enabling customers to build a web store without any coding requirements.</t>
  </si>
  <si>
    <t>49796-65T</t>
  </si>
  <si>
    <t>49709-71T</t>
  </si>
  <si>
    <t>131851-54T</t>
  </si>
  <si>
    <t>Descola</t>
  </si>
  <si>
    <t>Developer of education platform designed to provide online behavioral skills courses. The company offers self-learning courses including self-development, emotional intelligence, leadership and management, and communication along with other Interpersonal skill training courses, enabling students to learn and develop their skills.</t>
  </si>
  <si>
    <t>Lisbon Challenge</t>
  </si>
  <si>
    <t>265377-61T</t>
  </si>
  <si>
    <t>49773-25T</t>
  </si>
  <si>
    <t>500 Global(Bedy Yang)</t>
  </si>
  <si>
    <t>73646-65T</t>
  </si>
  <si>
    <t>Inframérica</t>
  </si>
  <si>
    <t>Operator of a holding company catering to the Brazilian aviation sector. The company operates as a special purpose company with primary interests in airports and it owns and operates an airport in Natal and Brasilia International Airport in the city of Brasilia.</t>
  </si>
  <si>
    <t>Corporacion America Airports (NYS: CAAP)</t>
  </si>
  <si>
    <t>141377-68T</t>
  </si>
  <si>
    <t>Frutas em Casa</t>
  </si>
  <si>
    <t>Provider of natural products intended to assist people to buy healthy fruits. The company's products offer selected combo kits of fruits that are sanitized and maintained hygiene-wise, enabling buyers to enjoy fresh fruits.</t>
  </si>
  <si>
    <t>61318-09T</t>
  </si>
  <si>
    <t>BRITech (Brazil)</t>
  </si>
  <si>
    <t>Developer of a SaaS-based investment management platform intended to bring together customer success to a global community of investment managers and family offices. The company offers customized, enterprise-class, scalable and robust wealth management software, professional services and end-to-end technology for investment firms, asset managers, brokers, fund administrators and wealth managers, thereby helping the investment management community navigate the complex and ever-transitioning environment of shifting investor preferences, regulatory mandates and emerging technologies.</t>
  </si>
  <si>
    <t>Oria Capital(Carlos Testolini)</t>
  </si>
  <si>
    <t>255072-52T</t>
  </si>
  <si>
    <t>CondominiWeb</t>
  </si>
  <si>
    <t>Operator of a business management platform intended to solve everyday problems in a condominium through technology. The company's platform helps the administration to record and centralize information such as schedules, incidents and notices in the cloud, enabling organizations to improve communication between everyone involved.</t>
  </si>
  <si>
    <t>Start You Up Accelerator</t>
  </si>
  <si>
    <t>68463-91T</t>
  </si>
  <si>
    <t>BR Investimentos, Spectra Investments, Tarpon Capital(Kristian Huber)</t>
  </si>
  <si>
    <t>86427-91T</t>
  </si>
  <si>
    <t>Austral Participações</t>
  </si>
  <si>
    <t>Operator of a holding company intended to focus on surety bonds and risks related to engineering and oil exploitations. The company offers services with an emphasis on reinsurance treaties, enabling insurance companies and brokers to get trustworthy, lasting, and smart investment services for a sustainable future.</t>
  </si>
  <si>
    <t>96824-17T</t>
  </si>
  <si>
    <t>BR Par Venture Partners</t>
  </si>
  <si>
    <t>Operator of a private equity business. The company's business utilize investments in mid-sized companies in the oil &amp; gas, energy, mining, engineering &amp; construction and marketing sectors in the Brazilian market.</t>
  </si>
  <si>
    <t>WadiRum Capital</t>
  </si>
  <si>
    <t>221444-02T</t>
  </si>
  <si>
    <t>Bradesco Carteira Imobiliatia (BVMF: BCIA11)</t>
  </si>
  <si>
    <t>Bradesco Carteira Imobiliatia Ative Fundo de Fund de Invest Imobiliario is a real estate investment fund. It allows a single portfolio to invest in the real estate funds in the Bradesco Carteira market, diversifying risk and optimizing return.</t>
  </si>
  <si>
    <t>53307-01T</t>
  </si>
  <si>
    <t>Accion, Francisco Homem de Mello(Francisco Homem de Mello), Headline, Prosus Ventures, QED Investors, Quona Capital(Jonathan Whittle), Redpoint eventures(Manoel Lemos)</t>
  </si>
  <si>
    <t>139536-64T</t>
  </si>
  <si>
    <t>85577-41T</t>
  </si>
  <si>
    <t>Logovia</t>
  </si>
  <si>
    <t>Developer of a crowd-sourcing platform designed to connect graphic designers with businesses. The company's platform helps small companies connect with graphic designers for logo creation, logo creation, banner and packaging, enabling companies to modernize their visual communication, through crowd-sourcing with designers.</t>
  </si>
  <si>
    <t>We Do Logos(Gustavo Mota)</t>
  </si>
  <si>
    <t>257375-71T</t>
  </si>
  <si>
    <t>Mercomar Empreendimentos e Participações</t>
  </si>
  <si>
    <t>Provider of food processing services in Sau Paulo, Brazil.</t>
  </si>
  <si>
    <t>158807-98T</t>
  </si>
  <si>
    <t>Dynamo Capital (Rio de Janeiro), Igah Ventures</t>
  </si>
  <si>
    <t>59035-06T</t>
  </si>
  <si>
    <t>73992-61T</t>
  </si>
  <si>
    <t>Mercado Eletrônico</t>
  </si>
  <si>
    <t>Developer of software applications intended to serve the supply chain and procurement sectors. The company specialises in offering e-commerce services like e-procurement, e-sourcing and e-business intelligence, assisting its clients to reduce costs and improve performance.</t>
  </si>
  <si>
    <t>52503-49T</t>
  </si>
  <si>
    <t>Adeliveria.com Servicos Digitais</t>
  </si>
  <si>
    <t>Operator of an online food ordering platform. The company's platform provides list of dishes and their prices, distance and time between the restaurant and and the ordering place.</t>
  </si>
  <si>
    <t>49209-76T</t>
  </si>
  <si>
    <t>Graph Ventures(Julio Vasconcellos), Kaszek</t>
  </si>
  <si>
    <t>49452-31T</t>
  </si>
  <si>
    <t>LimeWare Company</t>
  </si>
  <si>
    <t>Provider of software services. The company offers design, automation and information services such as connection mapping, reduction in cost for regulatory compliance and database management strategy implementation to companies in the manufacturing industries.</t>
  </si>
  <si>
    <t>Schneider Electric (Electrical Equipment) (PAR: SU)(Gary Freburger)</t>
  </si>
  <si>
    <t>49655-08T</t>
  </si>
  <si>
    <t>NUTRIFARMA Nutrição e Saúde Animal</t>
  </si>
  <si>
    <t>Producer of animal feed. The company specializes in animal nutrition and health additives, breeding and food production quality for pigs, dairy cattle, beef cattle, broiler chickens, laying hens, horses, sheep, goats and fish.</t>
  </si>
  <si>
    <t>Nuscience Group(Patrick Keereman)</t>
  </si>
  <si>
    <t>133053-31T</t>
  </si>
  <si>
    <t>Blueye (Business/Productivity Software)</t>
  </si>
  <si>
    <t>Provider of a data analysis software designed to track and generate reports of the current situation of the business. The company's software offers market intelligence in form of profile analysis, team evaluation, campaign control, real-time alerts, queue control, system integration, enabling users to assess the situation of business through different data models and manage the business effectively.</t>
  </si>
  <si>
    <t>107906-32T</t>
  </si>
  <si>
    <t>49097-08T</t>
  </si>
  <si>
    <t>Provider of asset management and investment services based in Sao Paulo, Brazil. The company offers financial strategies for equities, macro, corporate debt, and arbitrage, helping clients generate returns on their investments.</t>
  </si>
  <si>
    <t>49091-86T</t>
  </si>
  <si>
    <t>Dimicron</t>
  </si>
  <si>
    <t>Manufacturer of liquid fertilizers. The company is dedicated to the agricultural sector and works in the field of liquid fertilizer, macro and micronutrients for crops.</t>
  </si>
  <si>
    <t>Aminoagro, Aqua Capital(Agustín Blanco)</t>
  </si>
  <si>
    <t>49860-64T</t>
  </si>
  <si>
    <t>500 Global(David McClure), EB Capital(Pedro Melzer), Initial:Capital(Daniel da Cunha), Rhodium</t>
  </si>
  <si>
    <t>55077-22T</t>
  </si>
  <si>
    <t>47960-47T</t>
  </si>
  <si>
    <t>Lema21 Importação e Comercialização de Óculos</t>
  </si>
  <si>
    <t>Provider of eye wear products for men and women. The company offers designer eye wear and prescription frames with anti-reflective organic lenses through its website.</t>
  </si>
  <si>
    <t>eÓtica(Bruno Ballardie Oliveira)</t>
  </si>
  <si>
    <t>48645-73T</t>
  </si>
  <si>
    <t>Banco Standard de Investimentos</t>
  </si>
  <si>
    <t>Provider of investment banking services. The company offers services such as capital market operations, mergers and acquisitions advisory, treasury, project finance and trade finance services.</t>
  </si>
  <si>
    <t>222632-83T</t>
  </si>
  <si>
    <t>Fundo Investimento Imobiliario Brasil Varejo (BVMF: BVAR11)</t>
  </si>
  <si>
    <t>Fundo Investimento Imobiliario Brasil Varejo, formely Brasil Varejo Fundo de Investimento Imobiliario is a Real Estate Investment Trust. It aims to raise funds for the acquisition of real property or rights over real estate. Its portfolio includes stores, commercial units, corporate slabs and shopping malls.</t>
  </si>
  <si>
    <t>63006-31T</t>
  </si>
  <si>
    <t>Harald Chocolates</t>
  </si>
  <si>
    <t>Producer of chocolates and confectionery products based in Santana De Parnaíba, Brazil. The company offers candies and fillings, chocolate coatings, confectionery items and bases, finishes and decoration items and cocoa products as well as recipes and learning courses.</t>
  </si>
  <si>
    <t>Fuji Oil Holdings (TKS: 2607)</t>
  </si>
  <si>
    <t>60080-32T</t>
  </si>
  <si>
    <t>48682-63T</t>
  </si>
  <si>
    <t>AFLG Holdings(Freddy Russian)</t>
  </si>
  <si>
    <t>48683-08T</t>
  </si>
  <si>
    <t>133053-40T</t>
  </si>
  <si>
    <t>263035-63T</t>
  </si>
  <si>
    <t>Reserva Cultural</t>
  </si>
  <si>
    <t>Operator of a movie theater based in Sao Paulo, Brazil. The company offers movie exhibitions and private screenings and also offers a bookstore, cafe, and parking reserve, enabling clients to get private spaces at an affordable rate.</t>
  </si>
  <si>
    <t>133051-87T</t>
  </si>
  <si>
    <t>Confirm8</t>
  </si>
  <si>
    <t>Developer of a web based platform intended to solve the the problem of maintenance companies. The company's web based platform solves the problem of maintenance companies in which managers need to know where their external collaborators are, what they are doing and if they are performing their tasks with customers, in the field of electrical, mechanical, hydraulic and naval, enabling companies with technical team traceability, process automation, tasks validation in real time, safety work enhancement and cost savings with contractual fines, indemnity and paper usage.</t>
  </si>
  <si>
    <t>268038-46T</t>
  </si>
  <si>
    <t>Educareer</t>
  </si>
  <si>
    <t>Developer of an ed-tech application intended to help reduce dropout rates in private higher education. The company is currently operating in Stealth Mode.</t>
  </si>
  <si>
    <t>67061-98T</t>
  </si>
  <si>
    <t>Embpar</t>
  </si>
  <si>
    <t>Embpar Participacoes SA formerly Battistella Administracao e Participacoes SA engages in the production of sawn lumber of Pinus taeda and Pinus elliottii, kiln-dried in greenhouses (KD). Its product includes pine limber, wood chips, sawdust, pine timber.</t>
  </si>
  <si>
    <t>Scania CV</t>
  </si>
  <si>
    <t>78853-78T</t>
  </si>
  <si>
    <t>Sieve(Brazil)</t>
  </si>
  <si>
    <t>107907-04T</t>
  </si>
  <si>
    <t>ArpexCapital</t>
  </si>
  <si>
    <t>74090-44T</t>
  </si>
  <si>
    <t>73622-35T</t>
  </si>
  <si>
    <t>ACMS Administ Auditoria e Corretagem de Seguros</t>
  </si>
  <si>
    <t>Provider of insurance brokerage services. The company, through its insurance agents offers insurance products, insurance brokerage services and insurance claim settlement services in Belo Horizonte, Brazil.</t>
  </si>
  <si>
    <t>73644-94T</t>
  </si>
  <si>
    <t>JLD Assessoria e Consultoria de Seguros</t>
  </si>
  <si>
    <t>Provider of insurance services in São José dos Campos, Brazil. The company offers car, life, health, theft and various other types insurance services and products.</t>
  </si>
  <si>
    <t>Ed Broking Group(Fabio Basilone), Lightyear Capital(Donald Marron)</t>
  </si>
  <si>
    <t>46966-15T</t>
  </si>
  <si>
    <t>CCX Carvao</t>
  </si>
  <si>
    <t>Operator of a coal-mining company based in Rio de Janeiro, Brazil. The company offers exploration, extraction, processing, manufacturing, transportation, export and trade of coal.</t>
  </si>
  <si>
    <t>Coal Mining</t>
  </si>
  <si>
    <t>60180-67T</t>
  </si>
  <si>
    <t>Astella Investimentos(Edson Rigonatti), SP Ventures(Francisco Jardim), Spectra Investments</t>
  </si>
  <si>
    <t>200062-63T</t>
  </si>
  <si>
    <t>134664-76T</t>
  </si>
  <si>
    <t>HBS Alumni Angels of Brazil, Sergio Furio(Sergio Furio)</t>
  </si>
  <si>
    <t>47820-43T</t>
  </si>
  <si>
    <t>EzLike</t>
  </si>
  <si>
    <t>Provider of online advertising and marketing services. The company provides advertising services for Facebook across Latin America by offering a fully automated self-service platform for native ads optimization and custom audiences for agencies and fortune 500 brands.</t>
  </si>
  <si>
    <t>DaVinci Marketing Cloud</t>
  </si>
  <si>
    <t>72605-62T</t>
  </si>
  <si>
    <t>América Latina Logística</t>
  </si>
  <si>
    <t>Provider of logistics services. The company offers domestic and international rail and trucking transportation, intermodal door to door transportation as well as dedicated fleet and warehousing services.</t>
  </si>
  <si>
    <t>80987-41T</t>
  </si>
  <si>
    <t>Companhia Brasileira de Participações em Bioeletricidade</t>
  </si>
  <si>
    <t>Producer of electricity from unconventional sources. The company owns and operates bio-fuel facilities in Brazil which creates power from sugar-cane bagasse.</t>
  </si>
  <si>
    <t>Pioneiros Bioenergia</t>
  </si>
  <si>
    <t>189673-12T</t>
  </si>
  <si>
    <t>Editora Objetiva</t>
  </si>
  <si>
    <t>Publisher of book based in Rio de Janeiro, Brazil. The company offers a range of physical as well as digital books in varied genres and authors.</t>
  </si>
  <si>
    <t>Editora Schwarcz(Luiz Schwarcz)</t>
  </si>
  <si>
    <t>77805-19T</t>
  </si>
  <si>
    <t>Armando Henrique, Joachim von Goetz, Vivian Satie</t>
  </si>
  <si>
    <t>46684-27T</t>
  </si>
  <si>
    <t>Manufacturer of flexible packaging products intended to serve both national and international markets. The company provides packaging products for food products such as biscuits, cereals, sweets, ice cream and dairy products.</t>
  </si>
  <si>
    <t>Sonoco (NYS: SON)(M. Jack Sanders)</t>
  </si>
  <si>
    <t>110403-55T</t>
  </si>
  <si>
    <t>284311-54T</t>
  </si>
  <si>
    <t>50198-32T</t>
  </si>
  <si>
    <t>Intoo</t>
  </si>
  <si>
    <t>Provider of an online platform designed to credit small and medium businesses. The company's online platform connects businesses in search of credit with banks and financial institutions to meet their needs.</t>
  </si>
  <si>
    <t>Accion, Redpoint eventures, Start-Up Brasil</t>
  </si>
  <si>
    <t>256577-41T</t>
  </si>
  <si>
    <t>Jairo Rocha Imobiliaria Consultoria</t>
  </si>
  <si>
    <t>Provider of real estate services based in Recife, Brazil. The company provides construction; ready-made, used properties, leasing, asset management, project planning and marketing and complete consultancy for developers.</t>
  </si>
  <si>
    <t>48389-77T</t>
  </si>
  <si>
    <t>KPL Soluções</t>
  </si>
  <si>
    <t>Provider of management software for e-commerce enterpises. The company provides a platform for enterprise resource management (ERP) for the back office operations of e-commerce companies. The company provides tools for a range of processes, including internal logistics management, prroduct registration and integrated inventory management, billing processes, revise logistics, financial and purchasing management and automated order flow.</t>
  </si>
  <si>
    <t>MercadoLibre (NAS: MELI)(Stelleo Tolda)</t>
  </si>
  <si>
    <t>192644-65T</t>
  </si>
  <si>
    <t>MIX (Brazil)</t>
  </si>
  <si>
    <t>Manufacturer of confectionery ingredients for the foodservice sector. The company's product offerings include sugars, additions, scents, toppings, fillings, confectionery, sprinkles, dyes and mixes.</t>
  </si>
  <si>
    <t>Duas Rodas Industrial</t>
  </si>
  <si>
    <t>215810-56T</t>
  </si>
  <si>
    <t>Igah Ventures, Trigger Participações</t>
  </si>
  <si>
    <t>61594-30T</t>
  </si>
  <si>
    <t>79842-34T</t>
  </si>
  <si>
    <t>Rumo SA is a service provider in the logistics sector (rail and multimodal transport), mainly for the export of commodities, offering an integrated solution for transportation, handling, storage, and shipping. Its operating segment includes North Operations; South Operations, and Container Operations. The company generates maximum revenue from the North Operations segment. The company's revenue consists of rail freight services, road freight, transport containers, storage and transshipment.</t>
  </si>
  <si>
    <t>107943-40T</t>
  </si>
  <si>
    <t>140437-45T</t>
  </si>
  <si>
    <t>75147-67T</t>
  </si>
  <si>
    <t>Frigorífico Mercosul</t>
  </si>
  <si>
    <t>Producer and distributor of meat products in Brazil. The company operates 11 plants across the country, from which it provides a range of beef and lamb products, with the meat sourced from local producers.</t>
  </si>
  <si>
    <t>75102-13T</t>
  </si>
  <si>
    <t>Incavas Industria de Cabos e Vassouras</t>
  </si>
  <si>
    <t>Manufacturer of floor cleaning tools. The company manufactures and sells squeegees, brushes, dust pans and brooms for floor cleaning in Brazil.</t>
  </si>
  <si>
    <t>3M (NYS: MMM)(Michael Vale)</t>
  </si>
  <si>
    <t>45002-26T</t>
  </si>
  <si>
    <t>Monashees, Qualcomm Ventures</t>
  </si>
  <si>
    <t>37342-81T</t>
  </si>
  <si>
    <t>Niely Cosmeticos</t>
  </si>
  <si>
    <t>Manufacturer of hair color and hair care products. The company has two main brands, Cor &amp; Ton for hair coloration and Niely Gold for shampoos and care. Its manufactures hair dye products, hair treatment products, body treatment products and male product line.</t>
  </si>
  <si>
    <t>L'Oreal (PAR: OR)</t>
  </si>
  <si>
    <t>99891-91T</t>
  </si>
  <si>
    <t>Leonardo Teixeira</t>
  </si>
  <si>
    <t>74266-21T</t>
  </si>
  <si>
    <t>JK Capital (Brazil)(José Kobori)</t>
  </si>
  <si>
    <t>98567-65T</t>
  </si>
  <si>
    <t>49005-91T</t>
  </si>
  <si>
    <t>DCM Ventures(David Chao), FJ Labs, Flybridge (New York)(Jeffrey Bussgang), Initial:Capital, Jaguarundi Partners, Kaszek(Nicolas Berman), Lumia Capital(Christopher Rogers), QED Investors(Bill Cilluffo), Thrive Capital, Valiant Capital Partners</t>
  </si>
  <si>
    <t>47760-04T</t>
  </si>
  <si>
    <t>FIR Capital(David Travesso Neto)</t>
  </si>
  <si>
    <t>90822-43T</t>
  </si>
  <si>
    <t>Orbital Engenharia</t>
  </si>
  <si>
    <t>Developer of engineering technologies is intended to facilitate and simplify aerospace operations. The company's system engineering services are specialised in the areas of developing suborbital launch vehicles, sounding rockets, hypersonic scramjet engine, microgravity suborbital platforms, microsatellites, and power supply equipment for space applications, incluind solar panels, batteries and power condicioning and distribution units, enabling businesses to conduct special engineering and manufacturing projects efficiently.</t>
  </si>
  <si>
    <t>Fundo Aeroespacial(João Antônio Lopes Filho)</t>
  </si>
  <si>
    <t>47461-96T</t>
  </si>
  <si>
    <t>Bossa Nova Sotheby's International Realty</t>
  </si>
  <si>
    <t>Provider of real estate services across São Paulo, Rio de Janeiro, the countryside and the beach. The company is engaged in the selling of real estate properties such as standard beach properties, countryside properties, upscale and other properties, thereby using technology and data to analyze the market and optimize the sales process</t>
  </si>
  <si>
    <t>Sotheby's International Realty</t>
  </si>
  <si>
    <t>47342-35T</t>
  </si>
  <si>
    <t>Advent International(Juan Pablo Zucchini)</t>
  </si>
  <si>
    <t>112170-07T</t>
  </si>
  <si>
    <t>Mazp Distribuidora de Petroleo</t>
  </si>
  <si>
    <t>Provider of fuel distribution services. The company's services include washing, lubrication and oil change as well as convenience stores operation selling fuel alcohol, bio diesel, gasoline and other petroleum products.</t>
  </si>
  <si>
    <t>47891-80T</t>
  </si>
  <si>
    <t>International Finance (Washington D.C.), Riverwood Capital(Francisco Alvarez-Demalde)</t>
  </si>
  <si>
    <t>47638-27T</t>
  </si>
  <si>
    <t>Stok Gestão Documental</t>
  </si>
  <si>
    <t>Provider of records management services. The company offers document scanning, file organization, microfilming and information management services.</t>
  </si>
  <si>
    <t>GRM Information Management Systems</t>
  </si>
  <si>
    <t>129160-18T</t>
  </si>
  <si>
    <t>86888-71T</t>
  </si>
  <si>
    <t>PDG Realty (BVMF: PDGR3)</t>
  </si>
  <si>
    <t>PDG Realty SA Empreendimentos e Participacoes operates in the real estate industry in Brazil. It engages in the development of real estate projects as well as the sale of residential and commercial properties and subdivisions through investments. It develops projects for different segments and the public, operating in the development, construction, and sale of residential and commercial units, as well as land development.</t>
  </si>
  <si>
    <t>97892-29T</t>
  </si>
  <si>
    <t>PRG Brazil (Agricultural Division)</t>
  </si>
  <si>
    <t>Provider of strategic agriculture solutions in South America. The company's advisory services provide expertise in agricultural input sales and distribution management, enabling agricultural manufacturers and distributors to run their businesses efficiently.</t>
  </si>
  <si>
    <t>AGDATA(Richard Bettison), Vista Equity Partners(Kevin Sofield)</t>
  </si>
  <si>
    <t>47257-12T</t>
  </si>
  <si>
    <t>Cooperativa Central Gaúcha (Seed Business)</t>
  </si>
  <si>
    <t>Producer of seeds. The business produces, develops and sells wheat, soybeans and forage crops in Brazil.</t>
  </si>
  <si>
    <t>Bayer CropScience (BOM: 506285)(Michael Schulz)</t>
  </si>
  <si>
    <t>58490-65T</t>
  </si>
  <si>
    <t>Corindon Abrasivos Especiais</t>
  </si>
  <si>
    <t>Manufacturer of abrasives catering to the automotive and bearing industries. The company offers stones for the cutting and honing process and grinding wheels for high-precision grinding as well as combining the raw material with the technology applied and specific controls for each type.</t>
  </si>
  <si>
    <t>Sercap</t>
  </si>
  <si>
    <t>47267-74T</t>
  </si>
  <si>
    <t>Insold-Inovacao em Solucoes Digitais</t>
  </si>
  <si>
    <t>Provider of online food ordering platform. The company provides online food ordering platform for mobile devices. It also provides the seller with user data analytic.</t>
  </si>
  <si>
    <t>Just Eat Holding</t>
  </si>
  <si>
    <t>47409-76T</t>
  </si>
  <si>
    <t>Orteng Engenharia e Sistemas</t>
  </si>
  <si>
    <t>Manufacturer of electrical equipment catering to the energy, industry, and infrastructure sectors. The company specializes in the manufacturing and supply of electrical and electromechanical equipment and automation systems.</t>
  </si>
  <si>
    <t>VINCI Energies(Antoine Zacharias)</t>
  </si>
  <si>
    <t>59077-09T</t>
  </si>
  <si>
    <t>Infratelco do Brasil</t>
  </si>
  <si>
    <t>46660-78T</t>
  </si>
  <si>
    <t>Liderroll</t>
  </si>
  <si>
    <t>Owner and operator of an engineering and construction company. The company is engaged in the design and manufacturer of pipeline.</t>
  </si>
  <si>
    <t>47040-58T</t>
  </si>
  <si>
    <t>A. Casting Serviços Efetivos e Temporarios</t>
  </si>
  <si>
    <t>Provider of management consultancy services. The company provides trade marketing, planning, training and trade monitoring services.</t>
  </si>
  <si>
    <t>Smollan Group(David Smollan)</t>
  </si>
  <si>
    <t>111569-50T</t>
  </si>
  <si>
    <t>NavCon</t>
  </si>
  <si>
    <t>Manufacturer of monitoring systems intended for the offshore oil and gas industry. The company specializes in data acquisition and motion monitoring systems, navigation and heading reference systems, and GNSS receivers for offshore, air, land and space applications, thereby enabling its clients to be provided with information crucial to the safety and efficiency of offshore operations.</t>
  </si>
  <si>
    <t>BMT Group (UK)</t>
  </si>
  <si>
    <t>66979-36T</t>
  </si>
  <si>
    <t>Neus Processamento e Gestão de Meios de Pagamento</t>
  </si>
  <si>
    <t>Provider of processing and payment-management services. The company operates in the segment of credit cards and electronic payments; specializing in software development, processing, integrating and deploying capture services.</t>
  </si>
  <si>
    <t>Dock (Sao Paulo)(Antonio Soares), Riverwood Capital(Francisco Alvarez-Demalde)</t>
  </si>
  <si>
    <t>64913-50T</t>
  </si>
  <si>
    <t>Pick2trip</t>
  </si>
  <si>
    <t>Developer of a personalized travel platform designed to plan vacations. The company's platform recommends and compares activities of the marketplaces with the complete offer of travel experiences, enabling users to travel.</t>
  </si>
  <si>
    <t>46255-87T</t>
  </si>
  <si>
    <t>Gapso</t>
  </si>
  <si>
    <t>Provider of analytics services to supply chain and logistics industry. The company offers data scientists, analysts and software developing services to oil and gas, petrochemical, mining, pulp, paper, steel, grains, sugar and ethanol industries.</t>
  </si>
  <si>
    <t>Accenture (NYS: ACN)(Rodolfo Eschenbach)</t>
  </si>
  <si>
    <t>99437-68T</t>
  </si>
  <si>
    <t>Terminal de Cargas de Sarzedo</t>
  </si>
  <si>
    <t>Operator of iron ore based cargo terminals. The company's iron ore based cargo terminals involve transshipment of container ships and land vehicles, enabling clients to receive their shipments on time.</t>
  </si>
  <si>
    <t>Trafigura Group</t>
  </si>
  <si>
    <t>84788-56T</t>
  </si>
  <si>
    <t>54348-58T</t>
  </si>
  <si>
    <t>Joox</t>
  </si>
  <si>
    <t>Provider of a cloud-based contact sharing platform based in Curitiba, Brazil. The company's platform offers personalized cards, enabling users to customize any product or material through a customization tool.</t>
  </si>
  <si>
    <t>Start-up NY</t>
  </si>
  <si>
    <t>134674-03T</t>
  </si>
  <si>
    <t>Beats Brasil</t>
  </si>
  <si>
    <t>46564-84T</t>
  </si>
  <si>
    <t>home2home</t>
  </si>
  <si>
    <t>111451-42T</t>
  </si>
  <si>
    <t>Gávea Angel Group</t>
  </si>
  <si>
    <t>58518-10T</t>
  </si>
  <si>
    <t>Segment Produtos Oftalmicos</t>
  </si>
  <si>
    <t>Manufacturer and distributor of ophthalmic lenses catering to the eyecare industry. The company operates in all lens production chains including the Anti-Reflection treatment and produces the material for their blocks and lenses, thereby providing the optical solutions to their customers, with a focus on quality, innovation, and customer satisfaction.</t>
  </si>
  <si>
    <t>EssilorLuxottica Société(Xavier Fontanet)</t>
  </si>
  <si>
    <t>204558-31T</t>
  </si>
  <si>
    <t>Colégio Maxi Cuiabá</t>
  </si>
  <si>
    <t>Provider of educational services. The company specializes in primary and secondary education, digital content, teaching methodology, tools for student evaluation and management.</t>
  </si>
  <si>
    <t>57445-30T</t>
  </si>
  <si>
    <t>Headline(Anderson Thees), Redpoint eventures(Rodrigo Baer)</t>
  </si>
  <si>
    <t>96401-08T</t>
  </si>
  <si>
    <t>P2 Brasil, Salvepar, Spectra Investments</t>
  </si>
  <si>
    <t>75274-03T</t>
  </si>
  <si>
    <t>Dotforge</t>
  </si>
  <si>
    <t>108945-91T</t>
  </si>
  <si>
    <t>SouthTech Telecom</t>
  </si>
  <si>
    <t>Provider of telecom services in Porto Alegre, Brazil. The company offers its customers internet solutions, private data, voice networks and special projects on remote networks.</t>
  </si>
  <si>
    <t>Patria Investments (NAS: PAX), Vogel Telecom</t>
  </si>
  <si>
    <t>83337-49T</t>
  </si>
  <si>
    <t>78721-57T</t>
  </si>
  <si>
    <t>Alianca Geracao de Energia</t>
  </si>
  <si>
    <t>Operator of an energy production company based in Belo Horizonte, Brazil. The company engages in electricity generation by operating seven hydroelectric dams and a wind complex.</t>
  </si>
  <si>
    <t>44331-13T</t>
  </si>
  <si>
    <t>LFI Investimentos</t>
  </si>
  <si>
    <t>Provider of wealth management services. The company offers investment management and property management services.</t>
  </si>
  <si>
    <t>59900-59T</t>
  </si>
  <si>
    <t>Chegue.Lá Viagens e Turismo</t>
  </si>
  <si>
    <t>Operator of a online platform to find out information on bus routes and related charges. The company aggregates information from bus companies and their itineraries, and suggests the best route options and performs integrated ticket selling.</t>
  </si>
  <si>
    <t>ClickBus(Fernando Prado)</t>
  </si>
  <si>
    <t>78049-27T</t>
  </si>
  <si>
    <t>Porto Sudeste</t>
  </si>
  <si>
    <t>Operator of a private port terminal in Ilha da Madeira, Itaguaí, Brazil. The company handles and exports iron ore from Brazil's iron quadrangle to international markets.</t>
  </si>
  <si>
    <t>70232-95T</t>
  </si>
  <si>
    <t>Arquivar</t>
  </si>
  <si>
    <t>Developer of intelligent document and process management systems designed to optimize document search, recovery, and workflow automation for organizations. The company specializes in intelligent document and process management systems, workflow automation, and digital signatures, enabling businesses to optimize operations, enhance productivity, and ensure regulatory compliance while reducing errors and operational costs.</t>
  </si>
  <si>
    <t>Recall Holdings(Mark Wesley)</t>
  </si>
  <si>
    <t>146288-62T</t>
  </si>
  <si>
    <t>Microlocation</t>
  </si>
  <si>
    <t>Developer of a small wireless device designed to reach consumers through contextualized messages. The company's platform allows applications installed on mobile smart devices to receive information about the context location instantly and without requiring taps or clicks, enabling businesses to improve their customer acquisition with contextualized messages.</t>
  </si>
  <si>
    <t>Acelera MGTI</t>
  </si>
  <si>
    <t>45653-32T</t>
  </si>
  <si>
    <t>500 TukTuks, Monashees(Eric Acher), Ribbit Capital(Meyer Malka), Tiger Global Management, Valar Ventures</t>
  </si>
  <si>
    <t>93227-41T</t>
  </si>
  <si>
    <t>CityMile</t>
  </si>
  <si>
    <t>Developer of a usage-based car insurance software intended to bridge the gap between drivers, vehicles and insurers. The company's usage-based car insurance software measures fuel efficiency, tacks mileage statistics and monitors the health of the vehicle, enabling drivers and insurers to reduce cost of using the vehicle and capture data on driver's behavior for incentivising them to change their risky behaviour.</t>
  </si>
  <si>
    <t>Global Insurance Accelerator(Brian Hemesath)</t>
  </si>
  <si>
    <t>70127-74T</t>
  </si>
  <si>
    <t>Contech</t>
  </si>
  <si>
    <t>Operator of a specialty chemical company intended for global scale service and long-term partnerships. The company specializes in patented systems and products applied in the cellulose and paper sector and it also offers defoamers, antifouling, cooking aids, boil-outs, pitch and stickies control, chelators, and enzymatic treatment, enabling businesses to use it for enzymatic treatments in pulp and paper production.</t>
  </si>
  <si>
    <t>FORS Capital(Guillaume Sagez)</t>
  </si>
  <si>
    <t>51904-90T</t>
  </si>
  <si>
    <t>76681-72T</t>
  </si>
  <si>
    <t>Axxon Group, Spectra Investments, Telefónica Ventures</t>
  </si>
  <si>
    <t>53350-03T</t>
  </si>
  <si>
    <t>66475-99T</t>
  </si>
  <si>
    <t>Negocie Online</t>
  </si>
  <si>
    <t>Developer of digital software designed for customer care services. The company's platform offers resources to identify, offer self-service and connect the customer human service through digital self-service and artificial intelligence, enabling companies to migrate their conventional voice service to the digital world, offering a fully omnichannel experience.</t>
  </si>
  <si>
    <t>73650-61T</t>
  </si>
  <si>
    <t>Neolog Consultoria E Sistemas</t>
  </si>
  <si>
    <t>Developer of logistics software based in Itaim Bibi, Brazil. The company is engaged in the design and development of software for the logistics and supply chain management market.</t>
  </si>
  <si>
    <t>65793-88T</t>
  </si>
  <si>
    <t>72657-55T</t>
  </si>
  <si>
    <t>Cassio Spina, Confrapar Administração e Gestão de Recursos(Kadu Guillaume), Geraldo Camargo(Geraldo Camargo), Paulo Carvalho(Paulo Carvalho), Rio Venture Capital</t>
  </si>
  <si>
    <t>156047-50T</t>
  </si>
  <si>
    <t>45092-98T</t>
  </si>
  <si>
    <t>Monashees, Qualcomm Ventures(Patrick Eggen), StartCaps Ventures, Tiger Global Management</t>
  </si>
  <si>
    <t>46143-37T</t>
  </si>
  <si>
    <t>45990-19T</t>
  </si>
  <si>
    <t>IHM Stefanini</t>
  </si>
  <si>
    <t>Provider of engineering and automation services intended to help businesses improve efficiency, reduce costs, and increase safety. The company manages multidisciplinary industrial projects in mining, iron and steel, chemicals, paper and cellulose, agribusiness, food, automobiles, energy and oil and gas sectors.</t>
  </si>
  <si>
    <t>45214-39T</t>
  </si>
  <si>
    <t>W3net</t>
  </si>
  <si>
    <t>Developer of human capital management software. The company develops software for payroll, recruitment, employee relations, benefits, resignation and employee grievances.</t>
  </si>
  <si>
    <t>65808-46T</t>
  </si>
  <si>
    <t>45254-53T</t>
  </si>
  <si>
    <t>Aquarius Tecnologia e Informatica</t>
  </si>
  <si>
    <t>Provider of software and information technology services intended to serve various industries. The company develops software for business intelligence and offers services in the area of software development.</t>
  </si>
  <si>
    <t>40503-70T</t>
  </si>
  <si>
    <t>Damasio Educacional</t>
  </si>
  <si>
    <t>Provider of educational services based in Sao Paulo, Brazil. The company offers bar exam test preparation, undergraduate and graduate law programs, professional education, higher education and exam review services as well as offers onsite undergraduate and graduate law programs and online and distance learning graduate law programs through its network of learning centers.</t>
  </si>
  <si>
    <t>47151-91T</t>
  </si>
  <si>
    <t>Nativoo</t>
  </si>
  <si>
    <t>Developer of a travel planning platform intended to provide travel advice to users. The company's artificial intelligence platform creates travel itineraries automatically based on thousands of possibilities, like routes, schedules, time to spend on each place, user preferences, budget, and continuously learns, giving travelers their own perfect itineraries and advice on what to do, where to go and what to buy.</t>
  </si>
  <si>
    <t>Grupo sbtur</t>
  </si>
  <si>
    <t>48716-83T</t>
  </si>
  <si>
    <t>Ploog</t>
  </si>
  <si>
    <t>Provider of a portable desktop intended to serve people of Brazil. The company's desktop has management features such as centralized endpoint control panel, remote wipe, application usage monitoring, automatic backup and one-click full-system recover, enabling the users to take advantage of extended security.</t>
  </si>
  <si>
    <t>OBr.global, Seedstars International Ventures, Start-Up Brasil</t>
  </si>
  <si>
    <t>89535-25T</t>
  </si>
  <si>
    <t>UNG Universidade</t>
  </si>
  <si>
    <t>Operator of an educational institution based in Guarulhos, Brazil. The company offers undergraduate and postgraduate studies in pedagogy, mathematics, social studies, law and physical and biological sciences, enabling student to gain knowledge and solidify their career prospects.</t>
  </si>
  <si>
    <t>40576-15T</t>
  </si>
  <si>
    <t>89428-87T</t>
  </si>
  <si>
    <t>Danubio</t>
  </si>
  <si>
    <t>Producer of dairy products based in Cruzeiro, Brazil. The company's dairy products include cheese spread, cream cheese, fine cheese, cheese portions and fondue, enabling consumers to have fresh, ultra-filtered flavored products.</t>
  </si>
  <si>
    <t>166278-79T</t>
  </si>
  <si>
    <t>66238-48T</t>
  </si>
  <si>
    <t>Fontaine Fifth Wheel</t>
  </si>
  <si>
    <t>Manufacturer of fifth wheel couplings intended for truck assemblers, road implement manufacturers, and spare parts market. The company's products include farm wheels, mechanical lifting devices, and other truck components, providing truck owners with well-designed and advanced components for their heavy unit vehicles.</t>
  </si>
  <si>
    <t>122760-73T</t>
  </si>
  <si>
    <t>84541-15T</t>
  </si>
  <si>
    <t>e.bricks Ventures(Camila Sangali), Initial:Capital</t>
  </si>
  <si>
    <t>80637-85T</t>
  </si>
  <si>
    <t>Olook</t>
  </si>
  <si>
    <t>Provider of women's fashion, hair, and beauty information intended to offer tips and guidance. The company offers articles on clothing sizes, hairstyle trends, fashion styles, beauty advice, and tattoo trends, enabling individuals with comprehensive resources for fashion and beauty insights.</t>
  </si>
  <si>
    <t>108946-45T</t>
  </si>
  <si>
    <t>Smart Brasil</t>
  </si>
  <si>
    <t>Provider of information and network security services in São Paulo, Brazil.</t>
  </si>
  <si>
    <t>50838-58T</t>
  </si>
  <si>
    <t>500 Global(Bedy Yang), Andre Needham(Andre Needham), Cok Mudde(Cok Mudde), David Mandel(David Mandel), Jeff Cunningham(Jeff Cunningham), Kevin Simback(Kevin Simback), Lewis Golden(Lewis Golden), Polaris Investimentos, Scott Skinger(Scott Skinger), Talmadge O'Neill(Talmadge O'Neill), Tom Newbold(Tom Newbold)</t>
  </si>
  <si>
    <t>217207-54T</t>
  </si>
  <si>
    <t>Joao Kepler Braga(Joao Kepler Braga), Jose Guiotti(Jose Guiotti), Luis Rodeguero(Luis Rodeguero), Marco Poli(Marco Poli)</t>
  </si>
  <si>
    <t>60226-30T</t>
  </si>
  <si>
    <t>ZipCode</t>
  </si>
  <si>
    <t>Provider of credit information, risk management and data enhancement services. The company's services are offered through its team of experienced professionals that follows business rules and uses exclusive technology for data cleansing as well as performs the service in accordance to specific needs, enabling the collection, communication, real estate, credit, education, publishing, financial, telecommunications and transportation industries to increase efficiency, manage risks, reduce costs and drive in revenue.</t>
  </si>
  <si>
    <t>TransUnion (NYS: TRU)</t>
  </si>
  <si>
    <t>45074-98T</t>
  </si>
  <si>
    <t>AirServices Estudos e Avaliaçôes Ambientais</t>
  </si>
  <si>
    <t>Provider of air emission monitoring and testing services. The company offers air emission monitoring and testing, as well as environmental studies.</t>
  </si>
  <si>
    <t>SGS (SWX: SGSN)(Christopher Kirk)</t>
  </si>
  <si>
    <t>45088-03T</t>
  </si>
  <si>
    <t>Cronolab Referência em Análises Químicas e Ambientais</t>
  </si>
  <si>
    <t>Provider of laboratory services. The company provides equipment testing, water, soil and air testing services, technical support and consultation services.</t>
  </si>
  <si>
    <t>45068-41T</t>
  </si>
  <si>
    <t>EcoQuimica Industria e Comercio Produtos Quimica</t>
  </si>
  <si>
    <t>Manufacturer of professional cleaning and sanitizing products based in Sao Paulo, Brazil. The company manufactures cleaning products such as equipment, detergents, soaps, degreasers and cleaners, thereby enabling its clients to be provided with environmentally responsible raw materials, to solve ever-emerging needs.</t>
  </si>
  <si>
    <t>Lubrizol(Tesh Gor)</t>
  </si>
  <si>
    <t>45562-24T</t>
  </si>
  <si>
    <t>Blackstone (NYS: BX)(Viral Parikh), BNDESpar, International Finance (Washington D.C.), P2 Brasil(Felipe Pinto)</t>
  </si>
  <si>
    <t>93149-11T</t>
  </si>
  <si>
    <t>Daniel Gutenberg(Daniel Gutenberg), Discovery Capital Management, Hedosophia, Valor Capital Group</t>
  </si>
  <si>
    <t>64905-13T</t>
  </si>
  <si>
    <t>44936-38T</t>
  </si>
  <si>
    <t>Minerinvest Mineração</t>
  </si>
  <si>
    <t>Producer of iron ore. The company is engaged in the mining of iron ore and owns an iron ore project in Belo Vale, Brazil.</t>
  </si>
  <si>
    <t>73656-55T</t>
  </si>
  <si>
    <t>Pojuca</t>
  </si>
  <si>
    <t>Operator of hotels in Brazil. The company owns two hotels Tivoli São Paulo Hotel with 220 rooms in Sao Paulo, a Tivoli Ecoresort Prais do Forte Hotel containing 287 rooms in Bahia and has the rights to manage all Tivoli hotels in Brazil.</t>
  </si>
  <si>
    <t>Minor International (BKK: MINT)(William Heinecke)</t>
  </si>
  <si>
    <t>46773-82T</t>
  </si>
  <si>
    <t>Astella Investimentos, IG Expansion, Redpoint eventures, Verus Group</t>
  </si>
  <si>
    <t>233687-08T</t>
  </si>
  <si>
    <t>Empresa Catarinense de Transmissão de Energia</t>
  </si>
  <si>
    <t>Operator of an electricity transmission company intended to explore electricity transmission lines in the eastern and coastal regions of Santa Catarina.</t>
  </si>
  <si>
    <t>Alupar (BVMF: ALUP3)</t>
  </si>
  <si>
    <t>89558-02T</t>
  </si>
  <si>
    <t>Whitney do Brasil Holding</t>
  </si>
  <si>
    <t>Operator of a holding company. The company's activities include managing and investing in non-financial institutions in Brazil, namely, Universidade Veiga de Almeida (UVA) and Centro Universitario Jorge Amado (UniJorge).</t>
  </si>
  <si>
    <t>52356-34T</t>
  </si>
  <si>
    <t>Valor Capital Group(Michael Nicklas)</t>
  </si>
  <si>
    <t>44832-79T</t>
  </si>
  <si>
    <t>Keiper Tecnologia de Assentos Automotivos</t>
  </si>
  <si>
    <t>Manufacturer of automotive products. The company manufactures car seats such as rails, reclining mechanisms, modules complement and metal structures front and rear.</t>
  </si>
  <si>
    <t>Eastern Horizon Group</t>
  </si>
  <si>
    <t>44722-63T</t>
  </si>
  <si>
    <t>ZeroPaper</t>
  </si>
  <si>
    <t>Developer of financial-management software for enterprises. The company provides a mobile platform enabling business owners to generate financial reports, track key indicators, handle accounts payable and receivable, send receipt dockets, give controlled access to employees and receive alerts by e-mail and SMS.</t>
  </si>
  <si>
    <t>Intuit (NAS: INTU)</t>
  </si>
  <si>
    <t>216162-73T</t>
  </si>
  <si>
    <t>Pense Imóveis</t>
  </si>
  <si>
    <t>Operator of a real estate advisory platform based in Xangri-La, Brazil. The company's website reflects property available for buyers and sellers for purchase, sale and rent.</t>
  </si>
  <si>
    <t>ZAP Internet</t>
  </si>
  <si>
    <t>216400-60T</t>
  </si>
  <si>
    <t>Operator of an online real estate portal intended to provide information on real estate properties in Brazil. The company offers advertisements for the real estate industry that include content, custom products, enabling customers to choose from a variety of services.</t>
  </si>
  <si>
    <t>63025-84T</t>
  </si>
  <si>
    <t>Primus Processamento de Tubos</t>
  </si>
  <si>
    <t>Manufacturer of induction bends and steel elbows. The company provides corrosion-resistant polyethylene coating, carbon steel, alloy steel, stainless steel, duplex, super duplex, clad pipes and other engineering parts.</t>
  </si>
  <si>
    <t>Solina Global, TEAK (Singapore)</t>
  </si>
  <si>
    <t>44687-53T</t>
  </si>
  <si>
    <t>Dinieper Industria Metalurgica</t>
  </si>
  <si>
    <t>Manufacturer of parts for general industry equipment. The company provides thermoformer machines and special machines to industries in Brazil.</t>
  </si>
  <si>
    <t>Synerlink(Eric Lesbats)</t>
  </si>
  <si>
    <t>132877-18T</t>
  </si>
  <si>
    <t>Abril Plug And Play</t>
  </si>
  <si>
    <t>36662-86T</t>
  </si>
  <si>
    <t>Network1</t>
  </si>
  <si>
    <t>Distributor of communications equipment and services. The company's services include communications services, communications and collaboration, networking and performance, data center and virtualization, cloud, logical security, infrastructure and physical security.</t>
  </si>
  <si>
    <t>ScanSource (NAS: SCSC)(Michael Baur)</t>
  </si>
  <si>
    <t>62785-45T</t>
  </si>
  <si>
    <t>Cabe na Mala</t>
  </si>
  <si>
    <t>Operator of an online platform intended to connect travelers and locals. The company's platform connects people who want products from abroad to travelers willing to bring these orders in their luggage in exchange for a cash reward, enabling locals to get products from abroad in exchange for a reward.</t>
  </si>
  <si>
    <t>Abril Plug And Play(Roger Tamassia)</t>
  </si>
  <si>
    <t>44916-49T</t>
  </si>
  <si>
    <t>OCP International Cooperatieve</t>
  </si>
  <si>
    <t>56402-56T</t>
  </si>
  <si>
    <t>NutriSoft Brazil</t>
  </si>
  <si>
    <t>Operator of an online nutrition application intended to support dietary management and patient adherence. The company's platform offers a repository of nutritional data, intake assessment tools, and application interfaces, featuring functionalities for data input, dynamic nutritional analysis, enabling users to visualize reports, curated scientific references, and integrated communication channels for health support.</t>
  </si>
  <si>
    <t>48027-16T</t>
  </si>
  <si>
    <t>Prumo Logística</t>
  </si>
  <si>
    <t>Provider of infrastructure and logistics services intended for oil and gas, energy and industrial sectors. The company offers services catering to the handling and transportation of petroleum, iron ore, coal, solid and liquid bulk and general cargo as well as industrial leasing, thereby acting as an investment catalyst and the main partner for industrial, energy and infrastructure projects in the Southern Hemisphere.</t>
  </si>
  <si>
    <t>EIG(Kevin Lowder), Mubadala Investment Company</t>
  </si>
  <si>
    <t>48037-15T</t>
  </si>
  <si>
    <t>Kaszek(Nicolas Berman)</t>
  </si>
  <si>
    <t>45115-39T</t>
  </si>
  <si>
    <t>Simpress Comercio Locacao e Servicos</t>
  </si>
  <si>
    <t>Provider of printing services intended to serve the corporate public of large and medium-sized companies. The company's services include document management, registered scanning, digital transformation, thermal printing, and data collector outsourcing.</t>
  </si>
  <si>
    <t>44387-38T</t>
  </si>
  <si>
    <t>Mamoura Diversified Global Holding</t>
  </si>
  <si>
    <t>101969-11T</t>
  </si>
  <si>
    <t>Águia Química</t>
  </si>
  <si>
    <t>Manufacturer of industrial chemicals and resins in Brazil. The company specializes in the production and distribution of paints, composites, adhesives and abrasives and solvents including alkyd and acrylic resins across a variety of industries helping clients with their daily applications.</t>
  </si>
  <si>
    <t>Advent International(Ronald Ayles), Allnex(Frank Aranzana)</t>
  </si>
  <si>
    <t>176464-45T</t>
  </si>
  <si>
    <t>Sanovo Greenpack</t>
  </si>
  <si>
    <t>Manufacturer of packaging containers for eggs and fruits based in Sorocaba, Brasil. The company specializes in molded pulp made from natural raw materials obtained by separating newspaper scrap fibers, enabling customers to avail of biodegradable packaging solutions for the storage of eggs and fruits.</t>
  </si>
  <si>
    <t>Hartmann Packaging(Ulrik Hartvig)</t>
  </si>
  <si>
    <t>73153-36T</t>
  </si>
  <si>
    <t>Brastec Technologies</t>
  </si>
  <si>
    <t>Manufacturer of equipment for the oil and gas industry. The company manufactures equipment such as rim drives, caterpillar haul-offs, extruder, cooling troughs, armors, carcasses, tapping heads, interlocks, carousels, and storage systems for the oil and gas industry.</t>
  </si>
  <si>
    <t>Indofin Group, Royal IHC(Bram Roelse)</t>
  </si>
  <si>
    <t>209781-64T</t>
  </si>
  <si>
    <t>40593-88T</t>
  </si>
  <si>
    <t>Sociedade Educacional Ideal</t>
  </si>
  <si>
    <t>Provider of educational services. The company offers bar exam test preparation, undergraduate and graduate law programs, professional education, higher education and exam review services. It also offers onsite undergraduate and graduate law programs and online and distance learning graduate law programs through its network of learning centers.</t>
  </si>
  <si>
    <t>50716-45T</t>
  </si>
  <si>
    <t>211853-26T</t>
  </si>
  <si>
    <t>4BIO Medicamentos Especiais</t>
  </si>
  <si>
    <t>Retailer and distributor of specialty medicines intended to deliver medications that require special storage and transportation care. The company offers medicines for oncology, endocrinology, neurology, ophthalmology, infertility treatments and urology.</t>
  </si>
  <si>
    <t>100598-41T</t>
  </si>
  <si>
    <t>Start-Ed Labs</t>
  </si>
  <si>
    <t>100598-59T</t>
  </si>
  <si>
    <t>Santander UK (LON: SANB)</t>
  </si>
  <si>
    <t>87260-59T</t>
  </si>
  <si>
    <t>Agrid</t>
  </si>
  <si>
    <t>Provider of a instant service quotation tool intended to provide services related to weddings. The company's instant service quotation tool offers automatic estimates calculation in wedding and other events and instantly shows the price comparison with the other websites, enabling the user to get proper expense estimation and vendor information.</t>
  </si>
  <si>
    <t>279321-94T</t>
  </si>
  <si>
    <t>209461-87T</t>
  </si>
  <si>
    <t>APTA Resinas Termoplásticas</t>
  </si>
  <si>
    <t>Manufacturer of engineering plastics based in Estancia Velha, Brazil. The company specializes in the development of applications and commercialization of thermoplastic engineering resins and polyolefins.</t>
  </si>
  <si>
    <t>Vinmar International</t>
  </si>
  <si>
    <t>100659-43T</t>
  </si>
  <si>
    <t>100663-66T</t>
  </si>
  <si>
    <t>85533-94T</t>
  </si>
  <si>
    <t>52348-96T</t>
  </si>
  <si>
    <t>Hairdo, International Beauty Group, Keune, Marcelo Raskin(Marcelo Raskin), Pivot Point Brasil(Marcelo Raskin), Start-Up Brasil, Valor Capital Group</t>
  </si>
  <si>
    <t>193386-70T</t>
  </si>
  <si>
    <t>79957-27T</t>
  </si>
  <si>
    <t>Brasil Aromáticos</t>
  </si>
  <si>
    <t>Manufacturer of natural cosmetics products based in Sao Paulo, Brazil. The company's products use the application of neuroscience to areas of cosmetology, providing customers with products made from exotic fruits and flowers</t>
  </si>
  <si>
    <t>242663-23T</t>
  </si>
  <si>
    <t>Britanite</t>
  </si>
  <si>
    <t>Manufacturer of civil explosives based in Quatro Barras, Brazil.</t>
  </si>
  <si>
    <t>Enaex (Specialty Chemicals) (SGO: ENAEX)</t>
  </si>
  <si>
    <t>65930-32T</t>
  </si>
  <si>
    <t>Cadencimetro</t>
  </si>
  <si>
    <t>Manufacturer of an electronic fitness monitoring device. The company offers a luminous electronic device for weight training, physiotherapy and to control the run-time of physical exercises.</t>
  </si>
  <si>
    <t>110886-76T</t>
  </si>
  <si>
    <t>Capitale Energia</t>
  </si>
  <si>
    <t>Provider of electricity marketing services. The company offers energy management solutions, monthly seasonality of the contracted annual energy, reduction of the contract in case of scheduled shutdowns, verification of optimal allocation of energy, analysis of adequate hiring of wire, as well as provides consulting services related to investment, planning, and commercialization of electricity enabling consumers with reduced energy prices, free to choose energy contractor, and reduce the risks associated with sudden changes in tariffs.</t>
  </si>
  <si>
    <t>81851-77T</t>
  </si>
  <si>
    <t>Chilli Beans</t>
  </si>
  <si>
    <t>Manufacturer and retailer of sunglasses and accessories created to focus on fashion trends with reasonable prices. The company's eyewear products come with a pioneering concept of self-service optics which allows the customer to handle and try the products they like and its customization machine allows the customer to manufacture their own glasses.</t>
  </si>
  <si>
    <t>C2 Capital Partners (Portugal)(Ana Barbosa)</t>
  </si>
  <si>
    <t>130554-19T</t>
  </si>
  <si>
    <t>Rodrigo Galindo</t>
  </si>
  <si>
    <t>96090-13T</t>
  </si>
  <si>
    <t>Colegio QI</t>
  </si>
  <si>
    <t>Provider of pedagogical services based in Rio de Janeiro, Brazil. The company's pedagogical services focus on providing education, training and preparing students for the challenges of academic life, thereby enabling students to develop concepts, contextualization and a healthy study routine.</t>
  </si>
  <si>
    <t>Barbeito Group</t>
  </si>
  <si>
    <t>114646-33T</t>
  </si>
  <si>
    <t>146209-42T</t>
  </si>
  <si>
    <t>CVS Sistemas</t>
  </si>
  <si>
    <t>Developer of custom software intended to produce custom systems for businesses. The company offers tailored systems, mobile applications, and virtual stores, integrates with existing systems and APIs, and prioritizes a user-friendly experience, enabling clients with business planning, decision-making, and efficiency.</t>
  </si>
  <si>
    <t>166031-56T</t>
  </si>
  <si>
    <t>74859-76T</t>
  </si>
  <si>
    <t>207105-13T</t>
  </si>
  <si>
    <t>Dom Porquito</t>
  </si>
  <si>
    <t>Provider of meat products intended to serve food industry. The company offers pig farming and a slaughter house and export meat products like full carcass, palette, pernil, filet steak, carre and clippings, providing clients with a variety of packaged meat and food products.</t>
  </si>
  <si>
    <t>Kaeté Investimentos</t>
  </si>
  <si>
    <t>122937-13T</t>
  </si>
  <si>
    <t>122937-31T</t>
  </si>
  <si>
    <t>Synapse Innovation (Brazil)</t>
  </si>
  <si>
    <t>122377-24T</t>
  </si>
  <si>
    <t>Start-Up Brasil, Ventiur(Sandro Cortezia)</t>
  </si>
  <si>
    <t>133034-05T</t>
  </si>
  <si>
    <t>EchoFlow</t>
  </si>
  <si>
    <t>Manufacturer of hydraulic meters intended to identify and classify biphasic patterns. The company's hydraulic systems are designed to detect anomalies in water supply systems through online water balance flow meters, which are connected with water meters, enabling industries to ensure a stable water supply system.</t>
  </si>
  <si>
    <t>133042-51T</t>
  </si>
  <si>
    <t>Senai Cimatec</t>
  </si>
  <si>
    <t>126645-49T</t>
  </si>
  <si>
    <t>77804-20T</t>
  </si>
  <si>
    <t>291128-59T</t>
  </si>
  <si>
    <t>61427-89T</t>
  </si>
  <si>
    <t>211098-61T</t>
  </si>
  <si>
    <t>90826-84T</t>
  </si>
  <si>
    <t>FT Sistemas</t>
  </si>
  <si>
    <t>Developer of innovative and integrated intelligence systems designed to offer remotely piloted aircraft and drones. The company's systems focus on the segment of unmanned aerial vehicles (UAVs) and their features to provide security and surveillance, enabling clients to avail premium integrated services for better decision-making.</t>
  </si>
  <si>
    <t>Brazilian Development Bank, Desenvolve SP, Embraer (BVMF: EMBR3), Financiadora de Estudos e Projetos, Fundo Aeroespacial</t>
  </si>
  <si>
    <t>93174-22T</t>
  </si>
  <si>
    <t>Fumajet</t>
  </si>
  <si>
    <t>Developer of state-of-the-art technology and products designed to control epidemics and agricultural pests, and support public health care. The company allows focal spraying and surface disinfection without emission of noise and carbon dioxide, enabling communities to stay healthy, prevent deadly diseases and pest control in crop cultivation areas</t>
  </si>
  <si>
    <t>113514-85T</t>
  </si>
  <si>
    <t>Quebec Impact Assets</t>
  </si>
  <si>
    <t>291108-79T</t>
  </si>
  <si>
    <t>123403-96T</t>
  </si>
  <si>
    <t>94459-33T</t>
  </si>
  <si>
    <t>HCO Logistics</t>
  </si>
  <si>
    <t>Provider of health management intelligence platform designed to optimize a hospital's supply chain. The company's proprietary hospital management technology features joint purchases and price arbitrage management, material control and maintenance management and maintenance of revenue cycles, enabling hospitals and healthcare providers to increase operational and financial efficiency in delivering quality patient care in a sustainable way.</t>
  </si>
  <si>
    <t>69573-43T</t>
  </si>
  <si>
    <t>Miller Center for Social Entrepreneurship</t>
  </si>
  <si>
    <t>205664-68T</t>
  </si>
  <si>
    <t>ONEVC</t>
  </si>
  <si>
    <t>100718-02T</t>
  </si>
  <si>
    <t>110612-71T</t>
  </si>
  <si>
    <t>138643-48T</t>
  </si>
  <si>
    <t>Kaplen</t>
  </si>
  <si>
    <t>Developer of a card reconciliation platform designed to help retailers and e-commerces control their sales and card receipts. The company's platform facilitates its users to track, monitor and consolidate all electronic statements of debit and credit cards, enabling retailers and e-commerces to manage and reconcile business credit and debit cards in a secure manner.</t>
  </si>
  <si>
    <t>178039-72T</t>
  </si>
  <si>
    <t>107959-24T</t>
  </si>
  <si>
    <t>126644-32T</t>
  </si>
  <si>
    <t>126644-59T</t>
  </si>
  <si>
    <t>130915-63T</t>
  </si>
  <si>
    <t>LLA Investimentos</t>
  </si>
  <si>
    <t>Provider of financial advisory services to individual and institutional investors. The company specializes in investment fund valuation, distribution process and provides clients with selection process of the suggested assets and the disciplined and permanent management of the portfolio as per their need and specification.</t>
  </si>
  <si>
    <t>Andbank</t>
  </si>
  <si>
    <t>89599-78T</t>
  </si>
  <si>
    <t>Manabi</t>
  </si>
  <si>
    <t>Provider of iron exploration services. The company is engaged in pre-operational extraction and sale of high grade iron ore and other minerals for its customers in Brazil.</t>
  </si>
  <si>
    <t>MLog Brazil</t>
  </si>
  <si>
    <t>111238-93T</t>
  </si>
  <si>
    <t>Med-Tour Saude</t>
  </si>
  <si>
    <t>Provider of health care services based in Centro, Brazil. The company offers clinical and surgical hospitalizations for treatment of mental diseases, pregnancy complications and other injuries, providing patients with intense care services.</t>
  </si>
  <si>
    <t>79322-86T</t>
  </si>
  <si>
    <t>Menty</t>
  </si>
  <si>
    <t>Provider of an online mentorship platform intended to connect artists who need help with other artists who can provide help. The company's online mentorship platform allows artists to seek suggestions, mentorship and guidance on paintings, animation and similar artistic works by connecting to other co-artists, enabling artists to get online training courses and improve their skills.</t>
  </si>
  <si>
    <t>111135-88T</t>
  </si>
  <si>
    <t>Mineração Ibirité</t>
  </si>
  <si>
    <t>Provider of mining services in Brazil. The company engages in the business of mining iron ore by performing open-pit operations in the municipality of Brumadinho, in the state of Minas Gerais.</t>
  </si>
  <si>
    <t>Templewood Capital</t>
  </si>
  <si>
    <t>276316-84T</t>
  </si>
  <si>
    <t>Mobilita</t>
  </si>
  <si>
    <t>Developer of a mobile and cloud-based platform designed to improve the management and control of public health programs linked to primary care. The company offers technology that enables health organizations to monitor patient data, manage primary care units, and improve data-driven decision-making, enabling health care professionals to enhance the quality of care and achieve better health outcomes.</t>
  </si>
  <si>
    <t>Artemisia(Renan Rego)</t>
  </si>
  <si>
    <t>96507-73T</t>
  </si>
  <si>
    <t>Moradigna</t>
  </si>
  <si>
    <t>Provider of construction and renovation services intended to assist low-income households. The company's construction and renovation services focus on improving the health and housing conditions of people within a particular locality, enabling customers to get a better service and a healthy environment that is free from diseases mold, and humidity.</t>
  </si>
  <si>
    <t>Social Good Brasil</t>
  </si>
  <si>
    <t>138645-10T</t>
  </si>
  <si>
    <t>Motonow</t>
  </si>
  <si>
    <t>Developer of a logistics management platform intended to simplify courier transportation services. The company's platform facilitates the hiring, delivery and distribution of small packages by selecting the courier facility close to the user's location, thereby providing users with efficient delivery of their packages on time.</t>
  </si>
  <si>
    <t>158188-69T</t>
  </si>
  <si>
    <t>243415-54T</t>
  </si>
  <si>
    <t>85006-54T</t>
  </si>
  <si>
    <t>Patria Investments (NAS: PAX)(Roberto Cerdeira)</t>
  </si>
  <si>
    <t>85976-29T</t>
  </si>
  <si>
    <t>83877-94T</t>
  </si>
  <si>
    <t>PagueMob</t>
  </si>
  <si>
    <t>Developer of an online payment software designed to offer secure payment services in a managed service proposition for large international retailers. The company's online payment software accepts payments across multiple countries, in multiple currencies through a single platform by bundling terminals, PoS software and payment gateway, enabling merchants to accept and process payments.</t>
  </si>
  <si>
    <t>Boom Financial</t>
  </si>
  <si>
    <t>126518-41T</t>
  </si>
  <si>
    <t>Piggo</t>
  </si>
  <si>
    <t>Provider of an online platform designed to offer electronic change and mobile payment. The company's platform offers helps users to perform financial transactions with your customers and friends through agile and easy-to-use applications and systems, keep track of the account movement through detailed statements and all data is encrypted and stored on secure servers with strict backup policy, enabling merchant and consumers to make financial transactions between them without money in cashcard or smartphone.</t>
  </si>
  <si>
    <t>Bizmaker</t>
  </si>
  <si>
    <t>120763-72T</t>
  </si>
  <si>
    <t>Criatec 2</t>
  </si>
  <si>
    <t>132259-60T</t>
  </si>
  <si>
    <t>Plug &amp; Boom</t>
  </si>
  <si>
    <t>Operator of a game development company intended to create beautiful and fun games. The company develops a series of educational games, in addition to updating and adapting these products to new platforms, and develops a series of new games, including a set of musical games designed especially for teaching music in regular and specialized schools, also available via the web, enabling children and players with a fun learning experience.</t>
  </si>
  <si>
    <t>73389-43T</t>
  </si>
  <si>
    <t>PokerMetrics</t>
  </si>
  <si>
    <t>Developer of a poker game monitoring platform designed to bring all the information about financial poker life together in one place. The company's platform helps poker players to monitor, track and get insights in sessions played online and offline, allowing them to conduct in-depth analysis of every session and increase their profit.</t>
  </si>
  <si>
    <t>75321-19T</t>
  </si>
  <si>
    <t>101882-62T</t>
  </si>
  <si>
    <t>Ponto Solidário</t>
  </si>
  <si>
    <t>Operator of a socially responsible arts and crafts store intended to provide different, original handicrafts. The company's store is a place for the exhibition and sale of the artistic and artisanal production of various Brazilian NGOs, cooperatives, regional communities, indigenous peoples, artists, and other similar institutions, enabling local communities to have access to a marketplace to sell their goods at a livelihood-sustaining rate.</t>
  </si>
  <si>
    <t>59448-61T</t>
  </si>
  <si>
    <t>Radar da Produção</t>
  </si>
  <si>
    <t>Developer and provider of a search engine for event production. The company offers an online marketplace for events that enables users to find information about cultural programs and events and also promote their events.</t>
  </si>
  <si>
    <t>234907-84T</t>
  </si>
  <si>
    <t>Radix Engineering &amp; Software</t>
  </si>
  <si>
    <t>Provider of engineering and software development solutions for various industries. The company's services include engineering service, digital solutions, industrial automation service, software and information technology and consultancy services.</t>
  </si>
  <si>
    <t>Sotreq</t>
  </si>
  <si>
    <t>176482-36T</t>
  </si>
  <si>
    <t>10X Group, Rodrigo Schulz(Rodrigo Schulz), Stephan Paternot(Stephan Paternot)</t>
  </si>
  <si>
    <t>108946-99T</t>
  </si>
  <si>
    <t>Rede Otica Bahia</t>
  </si>
  <si>
    <t>Provider of fibreoptics telecommunication services in Brazil. The company offers communication and networking services through the medium of fiber optics.</t>
  </si>
  <si>
    <t>123154-93T</t>
  </si>
  <si>
    <t>139402-99T</t>
  </si>
  <si>
    <t>Show App</t>
  </si>
  <si>
    <t>Developer of an application software platform designed to maximize the marketing and sales of entertainment events. The company's platform offers a free-of -charge personalized Android App, in app push notifications, an integrated ticketing system with QR codes and QR reading app, full integration with social media and data-mining intelligence, with the possibility to apply up to last-minute discounts and promotions, enabling producers of events to reach target users.</t>
  </si>
  <si>
    <t>155343-52T</t>
  </si>
  <si>
    <t>Site Blindado</t>
  </si>
  <si>
    <t>Developer of cloud-based intrusion security services designed to assist virtual stores and internet business portals. The company's services aims at providing services such as security certification, shielding websites, penetration testing for online portals and performs daily security audits, simulating attacks on internet servers and web applications looking for vulnerabilities or security holes, that could lead to real attacks by malicious people, enabling businesses to minimize their vulnerability to attacks.</t>
  </si>
  <si>
    <t>213981-85T</t>
  </si>
  <si>
    <t>Stant (Business/Productivity Software)</t>
  </si>
  <si>
    <t>Developer of a service management software intended to facilitate and simplify construction management. The company's platform offers features such as concrete traceability, real-time feed job indicators, online check sheets, team control, and budgeting, enabling clients to seamlessly increase their productivity.</t>
  </si>
  <si>
    <t>277214-32T</t>
  </si>
  <si>
    <t>Taxijá UOL</t>
  </si>
  <si>
    <t>Operator of an online ride-hailing platform designed to connect passengers with drivers across São Paulo, Brazil.</t>
  </si>
  <si>
    <t>Vá De Táxi</t>
  </si>
  <si>
    <t>84789-64T</t>
  </si>
  <si>
    <t>223468-57T</t>
  </si>
  <si>
    <t>Trackmob</t>
  </si>
  <si>
    <t>Operator of a fundraising platform intended to manage and monitor external sales teams. The company's platform helps to create campaigns in an objective and captivating way, validate donor data, and demand payments in real-time through a simple and customizable page, enabling NGOs to attract, convert and raise donations efficiently.</t>
  </si>
  <si>
    <t>220178-08T</t>
  </si>
  <si>
    <t>Transire</t>
  </si>
  <si>
    <t>Manufacturer of POS machines intended to bring Asian experience and technology to the Brazilian market. The company offers mobile, pin pad, mini and POS terminal machines, enabling the creation of innovative products with unique characteristics of development and technology, associated with quality assurance in processes and information security.</t>
  </si>
  <si>
    <t>Tec Toy</t>
  </si>
  <si>
    <t>84839-41T</t>
  </si>
  <si>
    <t>Trocaria</t>
  </si>
  <si>
    <t>Provider of a peer-to-peer digital marketplace designed to stimulate fashion designing. The company's peer-to-peer digital marketplace offers an alternative to natural resources, enabling individuals, fashion retailers and fashionistas to trade, donate and recycle second-hand garments.</t>
  </si>
  <si>
    <t>188233-66T</t>
  </si>
  <si>
    <t>183311-65T</t>
  </si>
  <si>
    <t>Draper University, Plug and Play Tech Center</t>
  </si>
  <si>
    <t>78578-29T</t>
  </si>
  <si>
    <t>78579-37T</t>
  </si>
  <si>
    <t>Parque Tecnológico Unisinos</t>
  </si>
  <si>
    <t>123217-21T</t>
  </si>
  <si>
    <t>Brazilian Service of Support for Micro and Small Enterprises, Leland Stanford Junior University</t>
  </si>
  <si>
    <t>61693-21T</t>
  </si>
  <si>
    <t>Grupo GTM</t>
  </si>
  <si>
    <t>Distributor of raw materials and chemical products intended to serve a wide range of industries including mining, oil and gas, lubricants, printing and packing and the cosmetics industry. The company's products include industrial categories and specialty chemicals also offering logistical services and innovative solutions, thereby facilitating the sourcing of chemical solutions from producers to consumers around the world.</t>
  </si>
  <si>
    <t>Advent International(Mauricio Salgar), Caldic(Alexander Wessels)</t>
  </si>
  <si>
    <t>89596-90T</t>
  </si>
  <si>
    <t>Bycon Indústria e Comércio de Eletro Eletrônicos</t>
  </si>
  <si>
    <t>Manufacturer of audio and video recording and transmission systems. The company manufactures and distributes audio and video recording and transmission systems applied to electronic security, automation and management systems including analog, HD and IP cameras, digital recorders, monitoring software and fog generators for retail, banks, transport of values, industries, logistics, schools, public agencies, electric generating companies and distributors, air sector, among many others.</t>
  </si>
  <si>
    <t>192502-72T</t>
  </si>
  <si>
    <t>69345-64T</t>
  </si>
  <si>
    <t>BTG Pactual (BVMF: BPAC3), Caixa (BVMF: CRFF11)</t>
  </si>
  <si>
    <t>69210-28T</t>
  </si>
  <si>
    <t>108003-79T</t>
  </si>
  <si>
    <t>P2 Brasil(André Sales), Patria Investments (NAS: PAX)</t>
  </si>
  <si>
    <t>70238-17T</t>
  </si>
  <si>
    <t>ACTEGA Premiata</t>
  </si>
  <si>
    <t>Manufacturer of inks and packaging-related chemicals. The company manufacturers and sells printing inks, industrial chemicals and coatings for the packaging industry in Brazil.</t>
  </si>
  <si>
    <t>ACTEGA(Roland Peter)</t>
  </si>
  <si>
    <t>68972-68T</t>
  </si>
  <si>
    <t>Overlake</t>
  </si>
  <si>
    <t>Manufacturer of over-paint varnishes. The company's products include ultraviolet and water-based varnishes for a variety of applications, including printing processes.</t>
  </si>
  <si>
    <t>ACTEGA Colorchemie(Roland Peter)</t>
  </si>
  <si>
    <t>40687-57T</t>
  </si>
  <si>
    <t>Fosbrasil</t>
  </si>
  <si>
    <t>Producer of downstream phosphate-based products. The company is a producer of downstream phosphate-based products including purified phosphoric acid for the food market and phosphate-based fertilizers.</t>
  </si>
  <si>
    <t>Israel Chemicals (TAE: ICL)(Mark Volmer)</t>
  </si>
  <si>
    <t>40620-97T</t>
  </si>
  <si>
    <t>Moderm</t>
  </si>
  <si>
    <t>Provider of skin care products. The company provides cosmetic products for acne-prone skin or dry and sensitive skin.</t>
  </si>
  <si>
    <t>Galderma (SWX: GALD)(José Roberto Ferraz)</t>
  </si>
  <si>
    <t>89509-96T</t>
  </si>
  <si>
    <t>NZ Brasil Genetics Producao Animal</t>
  </si>
  <si>
    <t>Distributor of dairy genetic products located in Brazil.</t>
  </si>
  <si>
    <t>Livestock Improvement (NZE: LIC)(Wayne McNee)</t>
  </si>
  <si>
    <t>40618-99T</t>
  </si>
  <si>
    <t>46058-95T</t>
  </si>
  <si>
    <t>65866-87T</t>
  </si>
  <si>
    <t>Andre Molinari(Andre Molinari), Julien Turri(Julien Turri), Verus Group</t>
  </si>
  <si>
    <t>109927-09T</t>
  </si>
  <si>
    <t>Energias Renovaveis do Brasil</t>
  </si>
  <si>
    <t>Operator of energy co-generation units and biomass production assets committed to making sustainable energy a generator of value. The company designs invests, builds, and operates co-generation biomass-to-energy power plants using sustainable and innovative technologies developed by a team of professionals with experience in agroforestry, business development, project implementation, and commodity markets, enabling customers to receive continued energy supply while reducing energy costs and carbon emissions.</t>
  </si>
  <si>
    <t>96168-43T</t>
  </si>
  <si>
    <t>LaGeo</t>
  </si>
  <si>
    <t>Producer of geothermal power energy based in Salvador, Brazil. The company's geothermal power energy includes the production of geothermal energy, enabling the commercial sectors to access a wide range of products for their consumption.</t>
  </si>
  <si>
    <t>Inversiones Energeticas</t>
  </si>
  <si>
    <t>40402-90T</t>
  </si>
  <si>
    <t>Mellin do Brasil</t>
  </si>
  <si>
    <t>Manufacturer and distributor of oil and water pumps. The company offers water pumps for automobile companies. Its clientele includes General Motors, Volkswagen, Fiat and Harley Davidson.</t>
  </si>
  <si>
    <t>Pricol (BOM: 540293)(Vikram Mohan)</t>
  </si>
  <si>
    <t>212470-03T</t>
  </si>
  <si>
    <t>40388-05T</t>
  </si>
  <si>
    <t>Sinop Energy Company</t>
  </si>
  <si>
    <t>Manager of a hydroelectric project. The company built and operates a 400-megawatt hydroelectric dam in the state of Mato Grosso in western Brazil.</t>
  </si>
  <si>
    <t>EDF Norte Fluminense</t>
  </si>
  <si>
    <t>89398-27T</t>
  </si>
  <si>
    <t>Banco Commercial Investment Trust do Brasil</t>
  </si>
  <si>
    <t>Provider of commercial banking services. The company's commercial banking services include leasing, equipment financing, corporate loans and related credit facilities, enabling small and medium-sized IT enterprises to avail quality financing services for business growth.</t>
  </si>
  <si>
    <t>Banco Daycoval(Salim Dayan)</t>
  </si>
  <si>
    <t>89571-70T</t>
  </si>
  <si>
    <t>Dhaymer's Industria e Comercio de Produtos Químicos</t>
  </si>
  <si>
    <t>Manufacturer of special modified oils. The company's special modified oils include esters, synthetic oils, isopropyl myristate, octyl palmitate and other related oil products which are used in production of various skin care products, enabling customers to take care of their skin.</t>
  </si>
  <si>
    <t>Solvay (BRU: SOLB)(Emmanuel Butstraen)</t>
  </si>
  <si>
    <t>43902-01T</t>
  </si>
  <si>
    <t>The Campo Grande BioElectricidade</t>
  </si>
  <si>
    <t>The project will have installed capacity of 150 megawatts, and nearby railways will make it possible to sell wood during periods of low power demand.</t>
  </si>
  <si>
    <t>211166-56T</t>
  </si>
  <si>
    <t>Companhia de Canetas Compactor</t>
  </si>
  <si>
    <t>Manufacturer of writing instruments based in Rio de Janeiro, Brazil. The company's product portfolio includes ballpoint pens, fineliners, colored pencils, mechanical pencils, fountain pens, glues, notebooks and other stationary items..</t>
  </si>
  <si>
    <t>edding International (FRA: EDD3)</t>
  </si>
  <si>
    <t>37281-34T</t>
  </si>
  <si>
    <t>BRF (Dairy Units)</t>
  </si>
  <si>
    <t>Producer of dairy products. The company produces and distributes gourmet-cheese in the states of São Paulo and Minas Gerais.</t>
  </si>
  <si>
    <t>44225-83T</t>
  </si>
  <si>
    <t>AGRO Merchants Group, Aqua Capital(Sebastian Popik), Spectra Investments</t>
  </si>
  <si>
    <t>40101-31T</t>
  </si>
  <si>
    <t>Auteq Telematica</t>
  </si>
  <si>
    <t>Provider of agricultural automation technology. The company provides monitoring of agricultural operations, forestry and mining.</t>
  </si>
  <si>
    <t>John Deere (NYS: DE)(Paulo Herrmann)</t>
  </si>
  <si>
    <t>47512-45T</t>
  </si>
  <si>
    <t>GameFounders, Start-Up Chile</t>
  </si>
  <si>
    <t>89452-90T</t>
  </si>
  <si>
    <t>Gemacom Tech Indústria e Comércio</t>
  </si>
  <si>
    <t>Producer and supplier of stabilizer systems and ingredient blends. The company's production includes aromas, colorants, fruit preparations, jam preparations, toppings, sweet and salty fillings, stabilizers and thickeners, automatized powder mixtures, cheese pastes and condiments.</t>
  </si>
  <si>
    <t>Tate &amp; Lyle (LON: TATE)(Javed Ahmed)</t>
  </si>
  <si>
    <t>89487-82T</t>
  </si>
  <si>
    <t>Mentor Foods Importação e Distribuição de Alimentos</t>
  </si>
  <si>
    <t>Producer and distributor of gluten-free food products intended to contribute to the quality of life of consumers who need to follow a gluten-free diet. The company's philosophy is to work closely with associations of celiac, medical and nutritionist groups specializing in gluten-free foods.</t>
  </si>
  <si>
    <t>40144-78T</t>
  </si>
  <si>
    <t>The Carlyle Group (NAS: CG)(Brooke Coburn), Vanta Education(Curtis Uehlein)</t>
  </si>
  <si>
    <t>87261-31T</t>
  </si>
  <si>
    <t>45001-72T</t>
  </si>
  <si>
    <t>Kaszek(Hernan Kazah), Mark Galperin(Mark Galperin), Storm Ventures(Ryan Floyd)</t>
  </si>
  <si>
    <t>134900-11T</t>
  </si>
  <si>
    <t>40057-21T</t>
  </si>
  <si>
    <t>Visualoop</t>
  </si>
  <si>
    <t>Provider of data visualization services. The company provides services related to information design, digital cartography and visual journalism.</t>
  </si>
  <si>
    <t>Infogram(Uldis Leiterts)</t>
  </si>
  <si>
    <t>55563-49T</t>
  </si>
  <si>
    <t>Athenas</t>
  </si>
  <si>
    <t>Developer of software for mission-critical services intended for the maritime transportation and logistics industries. The company's software offers management, planning, asset optimization, scheduling, automation (IoT), emulation and robots, task/schedule/jobs manager, monitoring and control, automated billing, operational processes, legislation support, digital twin, external portal, audit of data and artificial intelligence, thus enabling clients to achieve a scalable framework for increasing productivity and speed of innovations.</t>
  </si>
  <si>
    <t>227243-80T</t>
  </si>
  <si>
    <t>Brazil Plus</t>
  </si>
  <si>
    <t>Provider of working capital financing focused on increasing financial inclusion for small and medium companies. The company structures and manages investment funds as well as engages in the selection, management and purchase of reliable and profitable receivables, thereby providing significant income to shareholders and entrepreneurs across the country.</t>
  </si>
  <si>
    <t>Bamboo Capital Partners(Ana Maria Aristizabal)</t>
  </si>
  <si>
    <t>40064-05T</t>
  </si>
  <si>
    <t>39964-96T</t>
  </si>
  <si>
    <t>BRNova Sistemas Nutriconais</t>
  </si>
  <si>
    <t>Producer of animal nutritional feeds. The company supplies and produces premixes and animal health products for broilers, layers, swine and dairy cows.</t>
  </si>
  <si>
    <t>Nutreco(Knut Nesse)</t>
  </si>
  <si>
    <t>39965-59T</t>
  </si>
  <si>
    <t>Fatec (Brazil)</t>
  </si>
  <si>
    <t>Provider of technical support services to agricultural producers. The company sells premixes, animal health products and feed specialties, including probiotics.</t>
  </si>
  <si>
    <t>215877-70T</t>
  </si>
  <si>
    <t>36301-69T</t>
  </si>
  <si>
    <t>Galvani Indústria, Comércio e Serviços</t>
  </si>
  <si>
    <t>Operator of a fertilizer company. The company is engaged in phosphate mining, single super phosphate production and distribution of fertilizers in the center and northeast of Brazil.</t>
  </si>
  <si>
    <t>Yara International (OSL: YAR)(Torgeir Kvidal)</t>
  </si>
  <si>
    <t>59561-29T</t>
  </si>
  <si>
    <t>Angel Ventures Mexico(Hernán Fernández), Riverwood Capital, Soldiers Field Angels</t>
  </si>
  <si>
    <t>210458-26T</t>
  </si>
  <si>
    <t>Steve Curtis(Steve Curtis)</t>
  </si>
  <si>
    <t>46774-27T</t>
  </si>
  <si>
    <t>Endeavor Catalyst, Headline, Peninsula Participacoes, Redpoint eventures(Manoel Lemos)</t>
  </si>
  <si>
    <t>211902-22T</t>
  </si>
  <si>
    <t>Samaritá</t>
  </si>
  <si>
    <t>Operator of an agriculture chemical company based in Artur Nogueira, Brazil. The company offers agricultural pesticides, fertilizers, foliar fertilizers and soluble salts and offers solutions for the biological treatment of industrial effluents, serving mainly paper, beverage, soft drink, cosmetics and electroplating companies also also makes its micronization equipment available to the market to provide industrial services.</t>
  </si>
  <si>
    <t>Bio Soja(Francisco Medeiros)</t>
  </si>
  <si>
    <t>44565-13T</t>
  </si>
  <si>
    <t>Trópico</t>
  </si>
  <si>
    <t>Provider of information and communication technology products and services catering to the telecommunication, agribusiness, mining, transport and logistics, utilities, and defence and security sectors.The company offers integrated connectivity and applications solutions composed of specialized services, communication networks, and applications.</t>
  </si>
  <si>
    <t>CPQD Foundation(Sebastiao Sahao)</t>
  </si>
  <si>
    <t>70381-27T</t>
  </si>
  <si>
    <t>Tyson do Brasil Alimentos</t>
  </si>
  <si>
    <t>Provider of poultry products. The company engages in processing and marketing poultry products such as chicken, beef and pork through its plants situated in Santa Catarina and Parana, Brazil.</t>
  </si>
  <si>
    <t>46211-14T</t>
  </si>
  <si>
    <t>Virtual Motors Páginas Eletrônicas</t>
  </si>
  <si>
    <t>Provider of digital marketing services for the auto sector in Brazil. The company provides online marketing services to automobile resellers and dealers. The company works with automotive clients to develop digital marketing plans and to construct e-commerce sites for their businesses.</t>
  </si>
  <si>
    <t>WebMotors(Maria Botter)</t>
  </si>
  <si>
    <t>40063-87T</t>
  </si>
  <si>
    <t>Great Hill Partners(John Hayes)</t>
  </si>
  <si>
    <t>39684-70T</t>
  </si>
  <si>
    <t>Silvana ASSA ABLOY</t>
  </si>
  <si>
    <t>Manufacturer of lock systems and door components catering to construction material stores, home centers, wholesalers, distributors, construction companies and door industries. The company's product portfolio includes residential, mechanical and digital locks, hinges in carbon steel, stainless steel and brass, bolts, net holders, tags, padlock holders, chains, residential numbers, peephole, handles and clamps, providing consumers with the best security systems on the market.</t>
  </si>
  <si>
    <t>39988-09T</t>
  </si>
  <si>
    <t>Laboratório de Engenharia e Consultoria</t>
  </si>
  <si>
    <t>Provider of engineering services. The company engages in designing, consulting and management of engineering projects. It develops, constructs and sells real estates, residential, metro, bridges, flyovers and shopping malls.</t>
  </si>
  <si>
    <t>Caisse des Depots Group, Egis Group</t>
  </si>
  <si>
    <t>39833-56T</t>
  </si>
  <si>
    <t>Nova Energia</t>
  </si>
  <si>
    <t>Provider of electricity marketing and trading services. The company is primarily engaged in providing trading, risk management and consultancy services to producers and consumers in the Brazilian electrical energy market.</t>
  </si>
  <si>
    <t>Macquarie Asset Management</t>
  </si>
  <si>
    <t>39771-55T</t>
  </si>
  <si>
    <t>LUTA</t>
  </si>
  <si>
    <t>Operator of sports, boxing and martial arts training center. The company provides a comprehensive program combining boxing, martial arts, education, personal development, youth leadership and employability support, as well as offering a range of youth support services.</t>
  </si>
  <si>
    <t>Reebok America(Matthew O'Toole)</t>
  </si>
  <si>
    <t>39873-25T</t>
  </si>
  <si>
    <t>Robtec</t>
  </si>
  <si>
    <t>Provider of 3D printing services. The company distributes 3D systems personal, professional and production 3D printers and GOM's scanning provisions in Brazil.</t>
  </si>
  <si>
    <t>3D Systems (NYS: DDD)(Abraham Reichental)</t>
  </si>
  <si>
    <t>212795-29T</t>
  </si>
  <si>
    <t>140999-77T</t>
  </si>
  <si>
    <t>Decoraki</t>
  </si>
  <si>
    <t>Developer of a three-dimensional simulator designed for decoration and furniture inside a housing environment. The company's platform helps to decorate and furnish homes using virtual reality that combines products and ideas under one platform, enabling users to decorate homes according to their needs.</t>
  </si>
  <si>
    <t>39773-80T</t>
  </si>
  <si>
    <t>Riverwood Capital(Francisco Alvarez-Demalde)</t>
  </si>
  <si>
    <t>133207-48T</t>
  </si>
  <si>
    <t>BRL Trust, Headline, Pinnacle Ventures, Redpoint Ventures</t>
  </si>
  <si>
    <t>39178-09T</t>
  </si>
  <si>
    <t>Dudalina</t>
  </si>
  <si>
    <t>Operator of an online e-commerce platform focused on the sale of clothes and accessories for men and women. The company offers shirts, blouses, shorts, skirts and jeans, thereby helping customers to get products of their choice and requirement.</t>
  </si>
  <si>
    <t>Veste (BVMF: VSTE3)</t>
  </si>
  <si>
    <t>39677-86T</t>
  </si>
  <si>
    <t>Metalika</t>
  </si>
  <si>
    <t>Manufacturer of security doors. The company provides door closers ranging from surface mounted door closers, concealed door closers, door stays, floor closers, screen door closers to electromechanical door operators.</t>
  </si>
  <si>
    <t>224391-43T</t>
  </si>
  <si>
    <t>Transinc Fundo DE Investimento (BVMF: TSNC11)</t>
  </si>
  <si>
    <t>Transinc Fundo DE Investimento Imobiliario-FII, Is a Brazil-based asset management company established with a focus on real estate operations in the financial and capital markets. It is involved in managing investment funds, real estate funds, private equity funds, mutual funds, and hedge funds.</t>
  </si>
  <si>
    <t>54882-82T</t>
  </si>
  <si>
    <t>BR Towers</t>
  </si>
  <si>
    <t>Operator of broadcast and wireless communications towers. The company offers leasing and subleasing of antennae sites on multi-tenant towers for radio and television broadcasting and a wide range of wireless communication industries--such as cellular phone systems, personal communications services and various mobile radio systems.</t>
  </si>
  <si>
    <t>American Tower (NYS: AMT)(Leah Stearns)</t>
  </si>
  <si>
    <t>39584-26T</t>
  </si>
  <si>
    <t>Digital Page Grafica E Editora</t>
  </si>
  <si>
    <t>Provider and publisher of books. The company offers book printing, publishing and content management services.</t>
  </si>
  <si>
    <t>Courier (Printing Services (B2B))(James Conway)</t>
  </si>
  <si>
    <t>211621-96T</t>
  </si>
  <si>
    <t>Centro de Ensino Unificado de Teresina</t>
  </si>
  <si>
    <t>Provider of education and training services based in Teresina, Brazil. The company offers graduation courses and postgraduation courses in human sciences, health, exact sciences and jury.</t>
  </si>
  <si>
    <t>107207-47T</t>
  </si>
  <si>
    <t>Movile(Fabricio Bloisi)</t>
  </si>
  <si>
    <t>149091-76T</t>
  </si>
  <si>
    <t>Pertoo</t>
  </si>
  <si>
    <t>Operator of a digital communication platform intended for communication and interaction between schools and parents. The company's platform helps in assisting parents in monitoring the activities performed by children in real-time at school through integrated web and mobile systems, enabling parents to exchange communication with teachers.</t>
  </si>
  <si>
    <t>36667-00T</t>
  </si>
  <si>
    <t>Ecil Met Tec</t>
  </si>
  <si>
    <t>Manufacturer of expendable sensors, probes and samplers with their respective instruments and hardware. The business division manufactures and supplies consumable thermocouples used to measure, amongst other things, the temperature of molten metal in the steel making process.</t>
  </si>
  <si>
    <t>39429-37T</t>
  </si>
  <si>
    <t>Harmonia Corretora de Seguros</t>
  </si>
  <si>
    <t>Provider of insurance brokerage services based in Sao Paulo, Brazil. The company provides employee benefits plans, risk management, property and casualty and marine insurance, thereby enabling clients to reduce losses for insured persons and businesses.</t>
  </si>
  <si>
    <t>Howden Broking Group(Adrian Colosso)</t>
  </si>
  <si>
    <t>72277-21T</t>
  </si>
  <si>
    <t>Hometeka</t>
  </si>
  <si>
    <t>Operator of an online marketplace intended to offer smart home essentials and interior designs and decors. The company's marketplace offers a range of home furniture, accessories, home utilities and interior designs, enabling customers to buy desired modern house products in a simple process and get them delivered to their homes.</t>
  </si>
  <si>
    <t>FORS Capital(Humberto Matsuda), Polaris Investimentos, Ricardo Normand</t>
  </si>
  <si>
    <t>39593-71T</t>
  </si>
  <si>
    <t>500 Startups LatAm, Lumia Capital, NXTP Ventures(Ariel Arrieta), Quasar Builders, South Ventures, Telefónica (MAD: TEF), Wayra Brazil</t>
  </si>
  <si>
    <t>61693-12T</t>
  </si>
  <si>
    <t>Guard Capital, QIWI Venture, Starta Ventures(Alexey Girin)</t>
  </si>
  <si>
    <t>252602-74T</t>
  </si>
  <si>
    <t>45339-67T</t>
  </si>
  <si>
    <t>Bessemer Venture Partners(Brian Feinstein)</t>
  </si>
  <si>
    <t>82236-52T</t>
  </si>
  <si>
    <t>Enalta Inovações Tecnológicas</t>
  </si>
  <si>
    <t>Developer of agricultural automation technologies designed to help in daily growth of business intelligence in the field. The company's technologies are used in machinery and equipment, enabling agro-industrial producers to change the process of planting, harvesting, transporting, spraying and irrigation with sustainability.</t>
  </si>
  <si>
    <t>Antera Gestão de Recursos, Criatec 2, FORS Capital(Guillaume Sagez), KPTL</t>
  </si>
  <si>
    <t>61319-80T</t>
  </si>
  <si>
    <t>BNDESpar, Oria Capital(Piero Rosatelli), Spectra Investments</t>
  </si>
  <si>
    <t>97893-46T</t>
  </si>
  <si>
    <t>Barela</t>
  </si>
  <si>
    <t>Broker for health insurance in Brazil. The company's dental and medical insurance plans are offered through their platform, enabling small and medium-sized companies as well as individuals and families to choose and manage their plans.</t>
  </si>
  <si>
    <t>97961-32T</t>
  </si>
  <si>
    <t>Grupo Raduan</t>
  </si>
  <si>
    <t>Provider of consulting services for corporate benefit programs. The company's consulting, operational and technical management services use technical and technological intelligence to provide advise on structuring, negotiating and managing benefit programs, enabling medium and large companies and class associations to operate their plans efficiently through the company's web platform, RH Connect.</t>
  </si>
  <si>
    <t>98021-71T</t>
  </si>
  <si>
    <t>Torres Benefícios</t>
  </si>
  <si>
    <t>Operator of corporate benefits consultancy in Brazil. The company's consulting, implementation, administration, risk management, claims restraint and legal advisory services use effective mechanisms for the reduction and control of claims and periodic benchmarking to constantly improve their processes, enabling corporate clients to manage and monitor their benefits and reduce their benefits costs.</t>
  </si>
  <si>
    <t>39047-05T</t>
  </si>
  <si>
    <t>D'Altomare Quimica</t>
  </si>
  <si>
    <t>Distributor of specialty chemicals. The company provides paints, varnishes, wallpaper, and other chemical supplies.</t>
  </si>
  <si>
    <t>Clayton, Dubilier &amp; Rice(David Wasserman), CVC Capital Partners (AMS: CVC)(Christopher Stadler), Univar Solutions(Jon Fyrwald)</t>
  </si>
  <si>
    <t>100302-04T</t>
  </si>
  <si>
    <t>Lemasa</t>
  </si>
  <si>
    <t>Manufacturer of pumps and systems intended for high pressure water jetting. The company's products include gravity pumps, fuild pumps, jet pump, pressure pump, booster pump and electric pumps, thereby enabling agricultural, construction, oil &amp; gas and ship-building industries to receive quality products at a competitive price.</t>
  </si>
  <si>
    <t>Emak (MIL: EM)</t>
  </si>
  <si>
    <t>256428-55T</t>
  </si>
  <si>
    <t>CAOA Chery</t>
  </si>
  <si>
    <t>Manufacturer of automotive vehicles based in Jacarei, Brazil. The company offers tiggo, arrizo and icar vehicles and parts.</t>
  </si>
  <si>
    <t>Grupo CAOA</t>
  </si>
  <si>
    <t>77795-56T</t>
  </si>
  <si>
    <t>David Kato, Joachim von Goetz</t>
  </si>
  <si>
    <t>210979-99T</t>
  </si>
  <si>
    <t>Timothy Draper(Timothy Draper)</t>
  </si>
  <si>
    <t>66151-36T</t>
  </si>
  <si>
    <t>212273-29T</t>
  </si>
  <si>
    <t>50694-94T</t>
  </si>
  <si>
    <t>Men's Market</t>
  </si>
  <si>
    <t>Operator of an e-commerce platform intended to sell men's grooming and hygiene products. The company's platform sells men's apparel, garments, accessories, and other personal care and grooming products, enabling users with a one-stop platform for purchasing their personal care products.</t>
  </si>
  <si>
    <t>65116-36T</t>
  </si>
  <si>
    <t>47097-55T</t>
  </si>
  <si>
    <t>73021-15T</t>
  </si>
  <si>
    <t>BRBI BR Partners (BVMF: BRBI11), Warburg Pincus</t>
  </si>
  <si>
    <t>245587-42T</t>
  </si>
  <si>
    <t>Verde Asset Management</t>
  </si>
  <si>
    <t>Provider of asset management services intended for diverse opportunities across all classes of assets. The company specializes in combining investment strategies by interacting with in-house managers and analysts in addition to a deep macro and microeconomic analysis process with a fundamentalist bias that contemplates local and international markets, ensuring its clients generate enhanced, long-term results efficiently.</t>
  </si>
  <si>
    <t>92023-21T</t>
  </si>
  <si>
    <t>Aladdin South America</t>
  </si>
  <si>
    <t>Manufacturer of thermal bottles as well as related food and beverage items. The company's thermal bottles as well as related food and beverage items are made up of recycled materials, enabling customers to receive a product which is made of innovative processes and materials that safeguard health and encourage healthful behavior.</t>
  </si>
  <si>
    <t>Joshua Green Corporation, Pacific Market International(Robert Harris)</t>
  </si>
  <si>
    <t>35950-06T</t>
  </si>
  <si>
    <t>Banco Santander (Brasil) SA is part of Santander Group, a Spanish bank. It operates across two segments; the Commercial Banking segment, catering to both individual and corporate client and the Global Wholesale Banking segment, which encompasses Investment Banking and Markets operations, including the Treasury and Equity Business Departments. The bank generates majority of its revenue from the Commercial Banking segment and has operations in Brazil and internationally.</t>
  </si>
  <si>
    <t>Banco Santander (MAD: SAN)(Conrado Engel)</t>
  </si>
  <si>
    <t>146208-97T</t>
  </si>
  <si>
    <t>38483-47T</t>
  </si>
  <si>
    <t>Total Alimentos</t>
  </si>
  <si>
    <t>Producer of pet foods based in Tres Coracoes, Brazil. The company offers pet snacks and meals such as cornflakes, puffed rice, turkey meat, mechanically separated chicken meat, liver and dried fish, and vegetables.</t>
  </si>
  <si>
    <t>ADM Germany(Thierry Blandinieres)</t>
  </si>
  <si>
    <t>38968-30T</t>
  </si>
  <si>
    <t>Dragoneer Investment Group, FJ Labs, Frontier Digital Ventures (ASX: FDV), GE32 Capital, Graph Ventures, Industry Ventures, Kaszek, Lead Edge Capital, Monashees(Eric Acher), Saints Capital, Spark Capital(Jeremy Philips), Valiant Capital Partners</t>
  </si>
  <si>
    <t>72805-24T</t>
  </si>
  <si>
    <t>Genesis Investment Management, GIC Private</t>
  </si>
  <si>
    <t>112456-99T</t>
  </si>
  <si>
    <t>Curua Energia</t>
  </si>
  <si>
    <t>Provider of renewable energy in Brazil.</t>
  </si>
  <si>
    <t>Bertin</t>
  </si>
  <si>
    <t>70657-66T</t>
  </si>
  <si>
    <t>Junior Alimentos</t>
  </si>
  <si>
    <t>Producer of prepared foods and drinks based in Sao Paulo, Brazil. The company offers jellies, sweeteners and sugar, spices, salad dressings, sauces and biscuits.</t>
  </si>
  <si>
    <t>Kerry Group (DUB: KRZ)</t>
  </si>
  <si>
    <t>38766-88T</t>
  </si>
  <si>
    <t>Banco Société Générale Brasil</t>
  </si>
  <si>
    <t>Provider of investment banking services. The company offers commercial and investment banking products and services to large Brazilian and multinational corporations and investors, financial institutions and local Government and administrations.</t>
  </si>
  <si>
    <t>89467-93T</t>
  </si>
  <si>
    <t>Instituto Santareno de Educação Superior</t>
  </si>
  <si>
    <t>Provider of educational services. The company's educational services are carried through a school offering education on wide range of subjects from class 6 onward along with offering a wide range of extra-curricular activities, enabling students to experience quality education and wholesome development.</t>
  </si>
  <si>
    <t>Ser Educacional (BVMF: SEER3)(Joaldo Diniz)</t>
  </si>
  <si>
    <t>89553-79T</t>
  </si>
  <si>
    <t>União de Ensino Superior do Pará</t>
  </si>
  <si>
    <t>Operator of an university. The university provides graduate and technical education in the field of business, law, psychology, engineering, and health sciences to students in Brazil.</t>
  </si>
  <si>
    <t>38683-99T</t>
  </si>
  <si>
    <t>Alakarte</t>
  </si>
  <si>
    <t>Provider of an online food ordering and home delivery services.. The company provides an application which helps deliver food ordered online in South Eastern cities of Brazil.</t>
  </si>
  <si>
    <t>iFood.com Agencia de Restaurantes Online(Patrick Sigrist)</t>
  </si>
  <si>
    <t>38722-24T</t>
  </si>
  <si>
    <t>Soros Fund Management, Tao Capital Partners(Jacob Pritzker)</t>
  </si>
  <si>
    <t>38684-71T</t>
  </si>
  <si>
    <t>Paparango</t>
  </si>
  <si>
    <t>Provider of food delivery services. The company provides food delivery services in Braziil through its platform.</t>
  </si>
  <si>
    <t>iFood.com Agencia de Restaurantes Online(Felipe Fioravante)</t>
  </si>
  <si>
    <t>38948-68T</t>
  </si>
  <si>
    <t>Vix Logistica</t>
  </si>
  <si>
    <t>Provider of fleet leasing and management services intended to add sustainably and value to logistics services. The company offers services including fleet services, chartering, automotive logistics, dedicated logistics and car renting services, enabling clients to get customized logistics operations at affordable costs.</t>
  </si>
  <si>
    <t>IFC Asset Management Company(Sujoy Bose), International Finance (Washington D.C.)(Gabriel Goldschmidt)</t>
  </si>
  <si>
    <t>113177-53T</t>
  </si>
  <si>
    <t>38077-39T</t>
  </si>
  <si>
    <t>Ouro Fino Saude Animal (BVMF: OFSA3)</t>
  </si>
  <si>
    <t>Ourofino SA is engaged in research, development, production and sales of medicines, vaccines and other veterinary products. The company's reportable segments are Production animals, Companion animals, and International operations. It generates maximum revenue from the Production animals segment. The product portfolio includes Anticoccidials, Antimastitics, Biological, Ectoparasiticides, Endectocides, and others.</t>
  </si>
  <si>
    <t>General Atlantic(Robbert Vorhoff)</t>
  </si>
  <si>
    <t>38596-42T</t>
  </si>
  <si>
    <t>Calmena Energy Services (Brazil operations)</t>
  </si>
  <si>
    <t>Provider of contract drilling and directional services. The unit provides well bore construction services utilizing technology based contract drilling fleet and directional drilling services.</t>
  </si>
  <si>
    <t>226878-40T</t>
  </si>
  <si>
    <t>Fundo Investimento Imobiliario FII SIA Corporate (BVMF: SAIC11)</t>
  </si>
  <si>
    <t>Fundo Investimento Imobiliario FII SIA Corporate, formely Sia Corp Fundo de Investimento Imobiliario is a real estate investment fund engaged in the real estate sector.</t>
  </si>
  <si>
    <t>55421-65T</t>
  </si>
  <si>
    <t>O2 Games</t>
  </si>
  <si>
    <t>Operator of a systems development company. The company offers entertainment and information through internet and electronic games.</t>
  </si>
  <si>
    <t>Tahiana D'Egmont(Tahiana D'Egmont)</t>
  </si>
  <si>
    <t>212273-47T</t>
  </si>
  <si>
    <t>38338-57T</t>
  </si>
  <si>
    <t>Subdelivery</t>
  </si>
  <si>
    <t>Provider of an online delivery services. The company provides a network of online food ordering where orders and payments can be placed online.</t>
  </si>
  <si>
    <t>Delivery Hero (ETR: DHER)(Niklas Östberg)</t>
  </si>
  <si>
    <t>39229-12T</t>
  </si>
  <si>
    <t>Vaivolta</t>
  </si>
  <si>
    <t>Provider of a marketplace designed to help construction companies rent and manage their equipment and machines. The company's marketplace offers an online platform through which is an online, easy-to-maintain sales channel, without worrying about security and without having to invest in advertising, enabling companies to advertise their products and services and lease equipment for construction and mining industries.</t>
  </si>
  <si>
    <t>500 Global(Christine Tsai)</t>
  </si>
  <si>
    <t>134868-88T</t>
  </si>
  <si>
    <t>Hookit (Services Non-Financial)</t>
  </si>
  <si>
    <t>Developer of an artificial intelligence platform intended to offer business assistance in the areas of retail, fashion and health. The company's platform creates applications which can recommend products and content, based on variables determined by the user's delivery experience, enabling users to to find clothes, accessories and objects by style and lifestyle that resemble their personality.</t>
  </si>
  <si>
    <t>257806-36T</t>
  </si>
  <si>
    <t>Faculdade Anglo Líder</t>
  </si>
  <si>
    <t>Provider of educational institute based in Pernambuco, Brazil.</t>
  </si>
  <si>
    <t>44501-59T</t>
  </si>
  <si>
    <t>Baidu (HKG: 09888)(Robin Li)</t>
  </si>
  <si>
    <t>78197-77T</t>
  </si>
  <si>
    <t>Cidadao21</t>
  </si>
  <si>
    <t>Provider of technology reducing bureaucracy. The company focuses on reducing bureaucracy and simplifying processes within civic authorities.</t>
  </si>
  <si>
    <t>Omraan</t>
  </si>
  <si>
    <t>66656-71T</t>
  </si>
  <si>
    <t>Yupi Devshop</t>
  </si>
  <si>
    <t>Operator of a web development company intended to add real value to businesses. The company uses tools and techniques to continuously test app core functionalities on real and virtual devices as well as improve the user interface and user experience as per specific requests, enabling clients to achieve better productive results.</t>
  </si>
  <si>
    <t>74159-29T</t>
  </si>
  <si>
    <t>Grupo Orbital</t>
  </si>
  <si>
    <t>Provider of airport services. The company has operations at 19 airports across Brazil and specializes in airport security services, cargo handling, technical advisory for security manuals, passenger services, ramp services and training services.</t>
  </si>
  <si>
    <t>3i Group (LON: III), Kepler Cheuvreux IFE, LBO France, WFS Global(Olivier Bijaoui)</t>
  </si>
  <si>
    <t>89685-91T</t>
  </si>
  <si>
    <t>Mineração Duas Barras</t>
  </si>
  <si>
    <t>Operator of diamond and gold exploration firm. The company operates mineral rights on approximately 1,404 acres.</t>
  </si>
  <si>
    <t>Atlas Lithium (NAS: ATLX)(Marc Fogassa)</t>
  </si>
  <si>
    <t>39030-31T</t>
  </si>
  <si>
    <t>Accel Management Company(Kevin Efrusy), Insight Partners (New York)(Jeffrey Lieberman), Monashees(Eric Acher), Startupi</t>
  </si>
  <si>
    <t>38279-26T</t>
  </si>
  <si>
    <t>Printi</t>
  </si>
  <si>
    <t>Provider of printing services through an online platform. The company provides online printing services in Brazil, offering on-demand, web-based services to the country's printing industry.</t>
  </si>
  <si>
    <t>Cimpress (NAS: CMPR)(Robert Keane)</t>
  </si>
  <si>
    <t>57514-42T</t>
  </si>
  <si>
    <t>Wedy (Services (B2C Non-Financial))</t>
  </si>
  <si>
    <t>Operator of a wedding planning website intended to plan and organize dream weddings. The company's website helps to publicize the event, receive cash gifts and attendance confirmations, and share feelings with guests, enabling customers to create an online gift registry, and track guests' attendance.</t>
  </si>
  <si>
    <t>42K Investimentos, Lando Kravetz, Launch Academy (Vancouver), Start-Up Brasil, Ventiur</t>
  </si>
  <si>
    <t>39108-25T</t>
  </si>
  <si>
    <t>Uncharted (Other Financial Services)</t>
  </si>
  <si>
    <t>96579-64T</t>
  </si>
  <si>
    <t>Asapp (Sao Paulo)</t>
  </si>
  <si>
    <t>Developer of a communication platform designed to spread out the most updated information to the sales force through various platforms. The company's platform allows users to create or edit content and share those with the team through mobile applications and websites, enabling users to reach the sales force with instant and organized communication at a low cost.</t>
  </si>
  <si>
    <t>62074-99T</t>
  </si>
  <si>
    <t>Atmmos Interatividade Virtual</t>
  </si>
  <si>
    <t>Provider of an online platform intended to create interactive presentations for architecture and engineering projects. The company's platform offer virtual reality technological services to architects and project designers in the real state market, enabling clients to get help in decision making and increase the level of interest and emotional connection with the enterprise.</t>
  </si>
  <si>
    <t>Start-Up Brasil, Wayra</t>
  </si>
  <si>
    <t>50676-49T</t>
  </si>
  <si>
    <t>Dujour</t>
  </si>
  <si>
    <t>Developer of an app-based community platform intended to let users find fashion inspiration and share their style with other community members. The company's platform gives fashion-related information and allows users to share their style, enabling fashion enthusiasts to find fashion inspiration and share their ideas with others.</t>
  </si>
  <si>
    <t>Amure Pinho(Amure Pinho), Andre Diamand(Andre Diamand), Giacomo Summa(Giacomo Summa), Joao Kepler Braga(Joao Kepler Braga), Karim Hardane(Karim Hardane), Wayra</t>
  </si>
  <si>
    <t>189672-40T</t>
  </si>
  <si>
    <t>Penguin Random House</t>
  </si>
  <si>
    <t>73373-05T</t>
  </si>
  <si>
    <t>Elo Concursos</t>
  </si>
  <si>
    <t>Provider of online preparatory courses intended to facilitate preparation for public competitions. The company's courses primarily focuses on civil servant examinations with the benefits of presence-based alternatives, enabling students preparing for civil examinations to improve the rate of succeeding in the examination.</t>
  </si>
  <si>
    <t>57728-08T</t>
  </si>
  <si>
    <t>Heatmaper</t>
  </si>
  <si>
    <t>Provider of cloud services for analyzing recorded videos. The company provides a cloud service which analyzes the recorded videos from existing cameras to reveal customer behavior insights by visually representing their movements while shopping.</t>
  </si>
  <si>
    <t>57904-12T</t>
  </si>
  <si>
    <t>132281-38T</t>
  </si>
  <si>
    <t>Improve+</t>
  </si>
  <si>
    <t>Provider of a platform intended to help in analyzing the current situation of a farm. The company's platform helps in checking the most and least profitable animal stock, enabling users in taking decisions that will increase the business profitability of the farm.</t>
  </si>
  <si>
    <t>57745-81T</t>
  </si>
  <si>
    <t>Lar21</t>
  </si>
  <si>
    <t>Developer of an employee management platform designed for managing labor requirements of domestic workers. The company develops an application that records the time employees check-in and check-out the organization every day, enabling users to log the working hours.</t>
  </si>
  <si>
    <t>89679-88T</t>
  </si>
  <si>
    <t>Mato Grosso Bovinos</t>
  </si>
  <si>
    <t>Operator of a slaughter house and meat processing facility. The company's activities include supplying beef to the catering industry.</t>
  </si>
  <si>
    <t>45142-21T</t>
  </si>
  <si>
    <t>Headline(Anderson Thees), Redpoint eventures(Anderson Thees), Valor Capital Group</t>
  </si>
  <si>
    <t>65668-33T</t>
  </si>
  <si>
    <t>Quanto Gastei</t>
  </si>
  <si>
    <t>Developer of personal finance management software designed to simplify financial life. The company develops a mobile application that allows users to find the status of their cash holdings and invest the surplus amount at the end of the month, enabling users to feel more secure in making decisions and realizing their dreams.</t>
  </si>
  <si>
    <t>126150-22T</t>
  </si>
  <si>
    <t>Quickly Travel</t>
  </si>
  <si>
    <t>Provider of travel &amp; tourism services in Sao Paulo, Brazil. The company offers self-booking, group logistics, national and international packages, cruises, travel insurance and bilingual services to its clients.</t>
  </si>
  <si>
    <t>AlaturJTB(Tetsu Suzuki)</t>
  </si>
  <si>
    <t>71158-51T</t>
  </si>
  <si>
    <t>Siemens Servicos de Monitoramento Eletronico</t>
  </si>
  <si>
    <t>provider of electronic security monitoring services. The company provides electronic monitoring and security systems products and services.</t>
  </si>
  <si>
    <t>ADT (IT Security Company) (NYS: ADT)</t>
  </si>
  <si>
    <t>70350-94T</t>
  </si>
  <si>
    <t>Barn Investimentos(Flavio Zaclis)</t>
  </si>
  <si>
    <t>192645-28T</t>
  </si>
  <si>
    <t>Sythex Tecnologia em Sistemas</t>
  </si>
  <si>
    <t>Operator of an IT company intended to develop management systems. The company develops and sells management systems, both vertical and specific systems, with solutions in ERP, Processes, CRM, WMS, TMS, HR, BI and BPM, enabling its clients to avail of solutions that integrate all systems in the production chain, from production to administration.</t>
  </si>
  <si>
    <t>66696-49T</t>
  </si>
  <si>
    <t>Apollo Asset Management (NYS: APO), BlackRock Private Equity Partners, Bregal Investments(Quentin Van Doosselaere), Caisse de dépôt et placement du Québec, Cercano Management(Cliff Su), Citigroup Alternative Investments, International Finance (Washington D.C.)(Gavin Wilson), Kohlberg Kravis Roberts (NYS: KKR)(Brian Carroll), Laureate Education (NAS: LAUR), Makena Capital Management, Stockdale Street, Stockwell Capital, TruArc Partners(Ian Snow)</t>
  </si>
  <si>
    <t>98025-76T</t>
  </si>
  <si>
    <t>75011-23T</t>
  </si>
  <si>
    <t>48172-96T</t>
  </si>
  <si>
    <t>500 Global, Bodley Group, Diogo Myrrha, Grit Invest, INVX, Lewis Golden, Marc Azar, Mario Martinez(Mario Martinez), Michael Seiman, Redpoint eventures, Robert Kunz(Robert Kunz), Simon Squibb(Simon Squibb), South Ventures, Surender Punia(Surender Punia), ZenStone Venture Capital</t>
  </si>
  <si>
    <t>51058-36T</t>
  </si>
  <si>
    <t>Just Eat Holding(Jerome Gavin)</t>
  </si>
  <si>
    <t>89418-97T</t>
  </si>
  <si>
    <t>Centro de Ensino Candanguinho</t>
  </si>
  <si>
    <t>Operator of a private school. The company's private school's includes nursery, pre-school, elementary school and high school offering early childhood education, elementary education, secondary education and the option of bilingual education, quality education that prepares children and young people in an integral formation.</t>
  </si>
  <si>
    <t>37896-04T</t>
  </si>
  <si>
    <t>Eugene Lockhart(Eugene Lockhart), Kaszek(Nicolas Szekasy), Nicolas Berggruen(Nicolas Berggruen), QED Investors(Nigel Morris), Sequoia Capital(Douglas Leone)</t>
  </si>
  <si>
    <t>50835-88T</t>
  </si>
  <si>
    <t>500 Global(Bedy Yang), Alessandro Arduini(Alessandro Arduini), Alykhan Govani(Alykhan Govani), Anirudh Deb(Anirudh Deb), John Delaney(John Delaney), Karlani Capital, Peter Fernandez(Peter Fernandez), Renato Ribeiro(Renato Ribeiro), Ruben Guerrero(Ruben Guerrero), South Ventures(Sebastian Ortega)</t>
  </si>
  <si>
    <t>111168-01T</t>
  </si>
  <si>
    <t>ECS Informática</t>
  </si>
  <si>
    <t>Provider of technology and data and analytics solutions catering to mercantile, construction, finance, agro, consumer and pharmaceutical sectors. The company specializes in corporate management solutions, collaborative portals and business intelligence solutions and software factory solutions, thereby helping clients increase sales, increase productivity, improve assertiveness and reduce costs.</t>
  </si>
  <si>
    <t>Interplayers Soluções Integradas(Arnaldo Sá Filho), Oria Capital, Spectra Investments</t>
  </si>
  <si>
    <t>38681-38T</t>
  </si>
  <si>
    <t>Koolen &amp; Partners(Kees Koolen), Monashees(Carlo Dapuzzo), Qualcomm Ventures</t>
  </si>
  <si>
    <t>226556-38T</t>
  </si>
  <si>
    <t>Inova Solution (IT Consulting and Outsourcing)</t>
  </si>
  <si>
    <t>Provider of ERP, project management and outsourcing IT solutions based in Sorocaba, Brazil.</t>
  </si>
  <si>
    <t>b2finance(Mauro Inagaki)</t>
  </si>
  <si>
    <t>213705-73T</t>
  </si>
  <si>
    <t>TrustSign</t>
  </si>
  <si>
    <t>Provider of cyber-security-related services catering to corporate and businesses. The company specializes in security intelligence that operates in the prevention, correction and management of risks, thereby offering services that include penetration testing, web application firewall, monitoring and management of incidents intending to combat vulnerabilities in web applications, servers and internal company systems.</t>
  </si>
  <si>
    <t>37743-31T</t>
  </si>
  <si>
    <t>Entrega Delivery</t>
  </si>
  <si>
    <t>Provider of a web platform for food delivery services. The company provides a web platform which provides online food delivery services. Its platform provides services like implementation and monitoring of food orders.</t>
  </si>
  <si>
    <t>Foodpanda</t>
  </si>
  <si>
    <t>54930-34T</t>
  </si>
  <si>
    <t>IF-JE Participacoes</t>
  </si>
  <si>
    <t>Provider of food delivery application software. The company offers a platform that enables users to order a variety of food from an online portal.</t>
  </si>
  <si>
    <t>Just Eat Holding(David Buttress)</t>
  </si>
  <si>
    <t>82384-48T</t>
  </si>
  <si>
    <t>Crystal Águas do Nordeste</t>
  </si>
  <si>
    <t>Manufactures and distributes beverages and syrups. The company's services include a variety of still beverages such as waters, enhanced waters, juices and juice drinks, ready-to-drink teas and coffees,energy and sports drinks.</t>
  </si>
  <si>
    <t>Coca-Cola (NYS: KO)</t>
  </si>
  <si>
    <t>224073-46T</t>
  </si>
  <si>
    <t>Fundo de Investimento Imobiliario Infra Real Estate (BVMF: FINF11)</t>
  </si>
  <si>
    <t>Fundo Investimento Imobiliario Infra Real Estate - FII, formely Fundo de Investimento Imobiliario Infra Real Estate is a real estate investment trust. The company invests in real estate projects for logistical and industrial operations, through the acquisition of land for the construction or acquisition of buildings.</t>
  </si>
  <si>
    <t>89467-66T</t>
  </si>
  <si>
    <t>Integrated Petroleum Expertise</t>
  </si>
  <si>
    <t>Provider of integrated geological and geophysical services and technology. The company's integrated geological and geophysical services and technology provide geology, geophysics, geochemistry, petroleum system modeling, biostratigraphy, environmental monitoring and licensing, chemical analyses, remote sensing, piston core sampling and heat flow measurement, oil seepage detection systems and E&amp;P databases to support petroleum exploration and production industry.</t>
  </si>
  <si>
    <t>Eurofins Scientific (PAR: ERF)</t>
  </si>
  <si>
    <t>47427-04T</t>
  </si>
  <si>
    <t>Precifica</t>
  </si>
  <si>
    <t>Developer of an intelligent price monitoring platform designed for the e-commerce market. The company offers smart pricing software to act on price control, price monitoring, and availability of products in online shops, enabling clients to make proactive, instant, and accurate decisions.</t>
  </si>
  <si>
    <t>89244-01T</t>
  </si>
  <si>
    <t>On Telecomunicações</t>
  </si>
  <si>
    <t>Provider of wireless broadband internet and other telecommunication services. The company provides high speed internet through advanced data transmission technology to schools, libraries and other public institutions in Southeast Brazil.</t>
  </si>
  <si>
    <t>International Finance (Washington D.C.)(Guillermo Mulville)</t>
  </si>
  <si>
    <t>100306-90T</t>
  </si>
  <si>
    <t>Seidor Véritas</t>
  </si>
  <si>
    <t>Provider of information technology based consulting services. The company's services involves software consultation and development services and offers tailored remedies for risk management, the definition of business models, data migration, web integration or the analysis of statistical information, , enabling clients to get access to integrated software services.</t>
  </si>
  <si>
    <t>Seidor(Josep Benito)</t>
  </si>
  <si>
    <t>37647-55T</t>
  </si>
  <si>
    <t>SGM Telecomunicações</t>
  </si>
  <si>
    <t>Provider of communication software services based in São Paulo, Brazil. The company provides mobile radio, analog and digital communications services to law enforcement, emergency response, utilities, public transport, mining, energy, and government industries.</t>
  </si>
  <si>
    <t>Tait Communications(Victor Agnellini)</t>
  </si>
  <si>
    <t>37623-70T</t>
  </si>
  <si>
    <t>Click Jogos</t>
  </si>
  <si>
    <t>Developer of an online gaming portal intended to provide free browser-based games for children and casual players in Brazil. The company operates a wide selection of classic and contemporary gaming platforms across genres such as action, adventure and puzzle and maintains daily updates to ensure a safe and engaging entertainment experience.</t>
  </si>
  <si>
    <t>H.I.G. Capital(Fernando Oliveira), No Zebra Network</t>
  </si>
  <si>
    <t>37561-42T</t>
  </si>
  <si>
    <t>Evidencias</t>
  </si>
  <si>
    <t>Provider of consultancy and research services. The company primarily focuses on providing consultancy and research services in pharmacoeconomic studies and analysis, local dossier submission packages, professional writing, market access and training.</t>
  </si>
  <si>
    <t>Cerner Enviza</t>
  </si>
  <si>
    <t>70332-67T</t>
  </si>
  <si>
    <t>Santal Equipamentos</t>
  </si>
  <si>
    <t>Manufacturer of agricultural machinery. The company specializes in the production of machinery for sugar-cane planting, harvesting, handling and transportation, as well as replacement parts.</t>
  </si>
  <si>
    <t>AGCO (NYS: AGCO)(Martin Richenhagen)</t>
  </si>
  <si>
    <t>66106-81T</t>
  </si>
  <si>
    <t>54902-17T</t>
  </si>
  <si>
    <t>Allan Schmitt(Allan Schmitt), Bernardo Quintao(Bernardo Quintao), Escala.vc, Informant, Luciano Tavares(Luciano Tavares), Marcelo Maziero(Marcelo Maziero)</t>
  </si>
  <si>
    <t>70278-13T</t>
  </si>
  <si>
    <t>Nahuel Bulián, Pablo Arrebola, Rodrigo Mallo</t>
  </si>
  <si>
    <t>37553-86T</t>
  </si>
  <si>
    <t>500 Southeast Asia, Asia Venture Group(Kai Kux), Tengelmann Ventures, Tim Marbach</t>
  </si>
  <si>
    <t>57545-11T</t>
  </si>
  <si>
    <t>48715-75T</t>
  </si>
  <si>
    <t>35600-32T</t>
  </si>
  <si>
    <t>Bill Lee(Bill Lee), Bridgescale, Endeavor Catalyst, Eric Hahn(Eric Hahn), Hindiana, International Finance (Washington D.C.), Sequoia Capital(Douglas Leone)</t>
  </si>
  <si>
    <t>256820-68T</t>
  </si>
  <si>
    <t>Wimoveis</t>
  </si>
  <si>
    <t>Operator of a real estate broker platform based in Brazil. The company's platform allows users to easily search for the desired property, view photos, and find out about features, prices, and conditions to search for residential and commercial spaces in Brazil.</t>
  </si>
  <si>
    <t>Imovelweb(Mateu Cuadras)</t>
  </si>
  <si>
    <t>89483-23T</t>
  </si>
  <si>
    <t>Maxipago Serviços de Internet</t>
  </si>
  <si>
    <t>Developer of an online payment software intended to provide more efficient payment solutions for Latin America. The company's online payment platform operates with a capacity for up to 4,000 transactions per second.</t>
  </si>
  <si>
    <t>89512-03T</t>
  </si>
  <si>
    <t>Naturalle Agro Mercantil</t>
  </si>
  <si>
    <t>Provider of agricultural services intended to offer research, production and logistical facilities of special grains. The company's agricultural services is dedicated in non-GMO grain market, featuring varieties of white hilo, high protein and differentiated grain products and seeds for human consumption, enabling the Brazilian agribusiness market to receive a continuous supply of consumable grains and seeds.</t>
  </si>
  <si>
    <t>Itochu (TKS: 8001)(Masahiro Okafuji)</t>
  </si>
  <si>
    <t>57513-79T</t>
  </si>
  <si>
    <t>86424-67T</t>
  </si>
  <si>
    <t>International Finance (Washington D.C.)(Hector Ang)</t>
  </si>
  <si>
    <t>78852-34T</t>
  </si>
  <si>
    <t>52355-44T</t>
  </si>
  <si>
    <t>South Ventures(Sebastian Ortega)</t>
  </si>
  <si>
    <t>65914-48T</t>
  </si>
  <si>
    <t>Buyttle</t>
  </si>
  <si>
    <t>Developer of multiplayer games that help businesses to increase sales. The company specializes in developing games that enable customers to compete for real prizes and thereby helps businesses to generate sales.</t>
  </si>
  <si>
    <t>87648-04T</t>
  </si>
  <si>
    <t>Brazil Manganês Corporation</t>
  </si>
  <si>
    <t>Producer of high quality manganese ore intended to supply high quality manganese for domestic markets, helping Brazil develop sustainable industries in agriculture, steel, health and new technologies. The company's locally produced high quality manganese plays a significant role in increasing the longevity, security and health of the Brazilian agricultural industry also enhancing the profitability of Brazil's exports around the globe.</t>
  </si>
  <si>
    <t>Cancana Resources(Anthony Julien), Sentient Equity Partners(Peter Weidmann)</t>
  </si>
  <si>
    <t>37427-23T</t>
  </si>
  <si>
    <t>74620-81T</t>
  </si>
  <si>
    <t>BlueOpex</t>
  </si>
  <si>
    <t>Provider of management consulting services intended to offer maritime human resources management and offshore operations planning. The company gathers and analyzes all relevant data from offshore or marine operations to identify the gaps in the processes and to indicate opportunities to improve, enabling clients to avail immediate efficiency, performance, and cost reduction gains.</t>
  </si>
  <si>
    <t>53266-42T</t>
  </si>
  <si>
    <t>Confrapar Administração e Gestão de Recursos(Kadu Guillaume)</t>
  </si>
  <si>
    <t>59365-27T</t>
  </si>
  <si>
    <t>Profes</t>
  </si>
  <si>
    <t>Developer of an educational platform designed to search for tutors. The company's platform connects private teachers to students who wish to reinforce fundamental concepts such as mathematics, physics, or chemistry, to those who wish to learn a new language or acquire a new skill, such as dancing or playing a musical instrument such as a guitar, keyboard, sax among others, enabling students to find and talk for free with private tutors from all over Brazil.</t>
  </si>
  <si>
    <t>Acelera Partners, BlueWhale Investments, Conselho Nacional de Desenvolvimento Científico e Tecnológico, GRID Investments, Iporanga Ventures, Leonardo Teixeira, Start-Up Brasil</t>
  </si>
  <si>
    <t>37287-55T</t>
  </si>
  <si>
    <t>Socotherm Brasil</t>
  </si>
  <si>
    <t>Provider of steel pipe products. The company provides steel pipe coating, thermal insulation and other services.</t>
  </si>
  <si>
    <t>Tenaris (MIL: TEN)</t>
  </si>
  <si>
    <t>35521-84T</t>
  </si>
  <si>
    <t>49773-07T</t>
  </si>
  <si>
    <t>Sambatech(Gustavo Caetano)</t>
  </si>
  <si>
    <t>40122-37T</t>
  </si>
  <si>
    <t>El Paso Energy (Brazil businesses)</t>
  </si>
  <si>
    <t>Oil and gas production plant. The plant runs crude oil and gas exploration activities.</t>
  </si>
  <si>
    <t>61427-17T</t>
  </si>
  <si>
    <t>66180-88T</t>
  </si>
  <si>
    <t>Galica Alimentacao &amp; Servicos</t>
  </si>
  <si>
    <t>Operator of restaurants. The company operates chain of restaurants and provides dinning services in Brazil.</t>
  </si>
  <si>
    <t>Griletto Franchising</t>
  </si>
  <si>
    <t>46341-55T</t>
  </si>
  <si>
    <t>Fundação de Amparo à Pesquisa no Estado de São Paulo, SP Ventures(Francisco Jardim)</t>
  </si>
  <si>
    <t>39778-03T</t>
  </si>
  <si>
    <t>Sascar</t>
  </si>
  <si>
    <t>Provider of fleet management services catering to the transportation industry. The company provides tracking services for light commercial vehicles with real-time monitoring technology, focusing on fleet management and monitoring, location and recovery of stolen vehicles, helping with cost control, accident prevention, and increasing logistical productivity.</t>
  </si>
  <si>
    <t>Groupe Michelin (PAR: ML)(Jean-Dominique Senard)</t>
  </si>
  <si>
    <t>65113-12T</t>
  </si>
  <si>
    <t>TechPlugX</t>
  </si>
  <si>
    <t>Provider of information technology services based in Porto Alegre, Brazil. The company provides services and solutions for information technology customers, especially for the financial and retail industry, through automation projects, helping retailers understand the habits of their customers.</t>
  </si>
  <si>
    <t>155456-92T</t>
  </si>
  <si>
    <t>46566-91T</t>
  </si>
  <si>
    <t>Cabo Telecom</t>
  </si>
  <si>
    <t>Provider of high-speed internet using fiber to the home technology services based in Natal, Brazil. The company offers fixed telephony, internet, and cable television services, ensuring convenience, quality, and ease to subscribers.</t>
  </si>
  <si>
    <t>39095-11T</t>
  </si>
  <si>
    <t>105407-11T</t>
  </si>
  <si>
    <t>00K e-business tools</t>
  </si>
  <si>
    <t>Developer of e-commerce automation and management tools designed to provide massification of products and services for the market. The company's tools promote online business through the use of integrated and behavioral analysis of its customers when visiting its website, enabling e-commerce businesses to enhance the dissemination of products to massify communication and consumer products.</t>
  </si>
  <si>
    <t>Mercado Libre Fund, Wayra</t>
  </si>
  <si>
    <t>222922-36T</t>
  </si>
  <si>
    <t>Capitania Securities II (BVMF: CPTS11)</t>
  </si>
  <si>
    <t>Capitania Securities II Fundo de Investimento Imobiliario is a real estate investment trust. The company invests in marketable securities. Its services include asset allocation, servicing, investment management, and treasury services.</t>
  </si>
  <si>
    <t>127535-14T</t>
  </si>
  <si>
    <t>Astella Investimentos(Edson Rigonatti), Cometa (Mexico), Grit Invest, Simile Venture Partners, TA Ventures</t>
  </si>
  <si>
    <t>37029-52T</t>
  </si>
  <si>
    <t>Nutrition &amp; Santé(Didier Suberbielle)</t>
  </si>
  <si>
    <t>52128-64T</t>
  </si>
  <si>
    <t>21212, Movile</t>
  </si>
  <si>
    <t>89536-51T</t>
  </si>
  <si>
    <t>Semlag</t>
  </si>
  <si>
    <t>Developer of game accelerator software based in São Paulo, Brazil. The company's game accelerator software uses VPN / Proxy tunneling technology and allows users to play Tibia and many other popular games, enabling gamers to play with more security, velocity and stability.</t>
  </si>
  <si>
    <t>WTFast(Rob Bartlett)</t>
  </si>
  <si>
    <t>82234-81T</t>
  </si>
  <si>
    <t>FORS Capital</t>
  </si>
  <si>
    <t>44498-44T</t>
  </si>
  <si>
    <t>Beberibe Ventures, Helmut Harz, Initial:Capital, Rising Ventures</t>
  </si>
  <si>
    <t>45117-28T</t>
  </si>
  <si>
    <t>Planedia</t>
  </si>
  <si>
    <t>Developer of a travel panning platform designed to help travelers plan their trips. The company's travel panning platform helps its users to organize their trips by suggesting travel destinations and hotels, enabling them to book flights and share travel experiences with their friends.</t>
  </si>
  <si>
    <t>106628-23T</t>
  </si>
  <si>
    <t>IncuBus Ventures</t>
  </si>
  <si>
    <t>53108-38T</t>
  </si>
  <si>
    <t>DN Capital(Steven Schlenker), Fabrice Grinda(Fabrice Grinda), FJ Labs, Jose Marin(Jose Marin)</t>
  </si>
  <si>
    <t>82616-77T</t>
  </si>
  <si>
    <t>Startup SC(Alexandre de Souza)</t>
  </si>
  <si>
    <t>46109-17T</t>
  </si>
  <si>
    <t>Desenvolve SP, DGF Investimentos(Patrick Arippol), SP Ventures(Francisco Jardim)</t>
  </si>
  <si>
    <t>31546-36T</t>
  </si>
  <si>
    <t>210601-45T</t>
  </si>
  <si>
    <t>175776-58T</t>
  </si>
  <si>
    <t>Sytax Systemas</t>
  </si>
  <si>
    <t>Operator of an IT company based in Brazil.</t>
  </si>
  <si>
    <t>Sage Group (LON: SGE)</t>
  </si>
  <si>
    <t>45569-80T</t>
  </si>
  <si>
    <t>White Martins Soluções Ambientais</t>
  </si>
  <si>
    <t>Operator of wastewater plants in Brazil. The company specializes in providing treatment for wastewater and develops, installs and manages those water plants too.</t>
  </si>
  <si>
    <t>Opersan(Sergio Werneck Filho), P2 Brasil</t>
  </si>
  <si>
    <t>216405-91T</t>
  </si>
  <si>
    <t>Saude Solucoes Participacoes</t>
  </si>
  <si>
    <t>Operator of a holding company based in Barueri, Brazil. The company specializes in health sector companies.</t>
  </si>
  <si>
    <t>66771-82T</t>
  </si>
  <si>
    <t>Syrix</t>
  </si>
  <si>
    <t>Provider of IT management services. The company offers application performance management (APM), infrastructure management (IM) and cloud system capacity management services.</t>
  </si>
  <si>
    <t>72732-34T</t>
  </si>
  <si>
    <t>CarBizz</t>
  </si>
  <si>
    <t>Provider of automotive services. The company provides motor vehicle auction services and specializes in used trucks and large fleets. It also provide services including repair, maintenance and servicing of automotive and organizing events for buying and selling used vehicles of large fleets.</t>
  </si>
  <si>
    <t>Manheim Source Edmonton(Carlos Domingues)</t>
  </si>
  <si>
    <t>63980-56T</t>
  </si>
  <si>
    <t>Itamaraty (Coffee Business)</t>
  </si>
  <si>
    <t>Producer and distributor of coffee. The company offers a wide range of coffee and coffee related products (filters and powders) in southern Brazil under various brands such as Itamaraty, Londrina, Charm, Ouriborn, Americano and Cafeare.</t>
  </si>
  <si>
    <t>122128-30T</t>
  </si>
  <si>
    <t>Mundo Verde</t>
  </si>
  <si>
    <t>Owner and operator of retail chain focused on natural, organic and wellness products. The company sells nutritional food products and supplements.</t>
  </si>
  <si>
    <t>223301-44T</t>
  </si>
  <si>
    <t>CSHG Atrium Shopping Santo Andre Fundo de Investi mento Imobiliario (BVMF: ATSA11)</t>
  </si>
  <si>
    <t>CSHG Atrium Shopping Santo Andre Fundo de Investi mento Imobiliario - FII is a real estate investment fund.</t>
  </si>
  <si>
    <t>92051-65T</t>
  </si>
  <si>
    <t>Vale Florestar</t>
  </si>
  <si>
    <t>Provider of investment services. The company's investment services include investment in reforestation, enabling the forestry department to access a wide range of services for their capital formation.</t>
  </si>
  <si>
    <t>Suzano Holding (BVMF: NEMO3)</t>
  </si>
  <si>
    <t>89419-24T</t>
  </si>
  <si>
    <t>Centro de Assistência ao Desen de Form Prof Unicel</t>
  </si>
  <si>
    <t>Provider of higher educational services.</t>
  </si>
  <si>
    <t>50720-95T</t>
  </si>
  <si>
    <t>Aircrm</t>
  </si>
  <si>
    <t>Provider of an integrated sales management platform intended to analyze business data and offer new insights to improve business strategy. The company's integrated sales management platform helps in registering contacts, managing business and track sales, enabling businesses to boost and analyze their productivity in real time.</t>
  </si>
  <si>
    <t>68913-01T</t>
  </si>
  <si>
    <t>Cambuhy Investimentos</t>
  </si>
  <si>
    <t>78009-85T</t>
  </si>
  <si>
    <t>Casa Dos Ventos Energias Renovaveis (Power Generating Assets)</t>
  </si>
  <si>
    <t>A portfolio of power generation assets with a total capacity of 122.6 megawatts. The assets are located in Brazil and specializes in wind and solar power generation.</t>
  </si>
  <si>
    <t>73160-38T</t>
  </si>
  <si>
    <t>Saútil.com.br</t>
  </si>
  <si>
    <t>Developer of an online healthcare information platform designed to help the population find information about the public health network. The company's platform offers information that is public and can be accessed on third-party websites, enabling users to avail of valuable information in a hassle freeway.</t>
  </si>
  <si>
    <t>59809-60T</t>
  </si>
  <si>
    <t>196166-35T</t>
  </si>
  <si>
    <t>100377-91T</t>
  </si>
  <si>
    <t>Arrow ECS Brasil Distribuidora</t>
  </si>
  <si>
    <t>Distributor of computing products. The company distributes electronic components to OEM manufacturers in Brazil.</t>
  </si>
  <si>
    <t>Arrow Electronics (NYS: ARW)(Sean Kerins)</t>
  </si>
  <si>
    <t>268415-83T</t>
  </si>
  <si>
    <t>BAUEN Auto Parts</t>
  </si>
  <si>
    <t>Manufacturer of automotive parts based in Curitiba, Brazil. The company specializes in making ventilation and cooling segments.</t>
  </si>
  <si>
    <t>ForceCar</t>
  </si>
  <si>
    <t>126024-04T</t>
  </si>
  <si>
    <t>58962-79T</t>
  </si>
  <si>
    <t>Quirinvest (Operational Assets)</t>
  </si>
  <si>
    <t>Provider of real estate services. The company is engaged in the operational and consulting activities of real estate sector.</t>
  </si>
  <si>
    <t>138978-82T</t>
  </si>
  <si>
    <t>ResolveAl</t>
  </si>
  <si>
    <t>Developer of a transportation platform designed to connect to transport with ease. The company's platform uses artificial intelligence to connect to cabs and towncars in major Brazilian cities thereby locating the taxis close to the desired location, dispatching rides automatically and tracking the cabs in real time while arriving at the location, enabling users to book public cabs with ease.</t>
  </si>
  <si>
    <t>49308-40T</t>
  </si>
  <si>
    <t>Scup Social</t>
  </si>
  <si>
    <t>Provider of social media monitoring, customer care and analytics technology. The company provides management and analysis tool that helps companies to know their target market, consumers and competitors, generating business insights and building relationships with their stakeholders.</t>
  </si>
  <si>
    <t>Sprinklr (NYS: CXM)(Ragy Thomas)</t>
  </si>
  <si>
    <t>158507-65T</t>
  </si>
  <si>
    <t>Vivat TI Educacional</t>
  </si>
  <si>
    <t>Provider of a web platform intended to create virtual environments for training, education and distance education. The company's platform creates and manages virtual classroom, resource room, video-lesson room, coordination room, it provides technological resources dedicated to the teaching and learning process, enabling universities, colleges, schools, education network, training and qualification companies to get access to technological resources dedicated to the teaching and learning process.</t>
  </si>
  <si>
    <t>89641-63T</t>
  </si>
  <si>
    <t>Provider of banking products and services. The company's banking products and services include credit and debit card transaction services.</t>
  </si>
  <si>
    <t>36492-13T</t>
  </si>
  <si>
    <t>Intel Capital(David Thomas), Oria Capital</t>
  </si>
  <si>
    <t>64898-47T</t>
  </si>
  <si>
    <t>Evermobile</t>
  </si>
  <si>
    <t>Developer of mobile software systems catering to financial and commercial institutions. The company designs and manufactures mobile wireless technology systems and operates a banking platform that enables financial transactions and payment processing services.</t>
  </si>
  <si>
    <t>Ciao Telecom(Eugenio Santos)</t>
  </si>
  <si>
    <t>36110-80T</t>
  </si>
  <si>
    <t>Vitrinepix</t>
  </si>
  <si>
    <t>Provider of an online retailer that allows users to create, buy and sell customized products. The company allows to create own online store for free and make money from their sales.</t>
  </si>
  <si>
    <t>Spread Group(Philip Rooke)</t>
  </si>
  <si>
    <t>219137-41T</t>
  </si>
  <si>
    <t>Operator of an electronic investment platform, intended to serve individual trading investors. The company provides online trading tools such as clear pro, application, profit trader clear, flash chart, meta trader, pro trader web, desktop and technical analyzers, thereby facilitating its clients to have easy and advanced online stock market investment options.</t>
  </si>
  <si>
    <t>Actis(Chu Kong), General Atlantic(Martin Escobari), XP Investimentos (NAS: XP)(Guilherme Benchimol)</t>
  </si>
  <si>
    <t>36882-10T</t>
  </si>
  <si>
    <t>Baby.com.br</t>
  </si>
  <si>
    <t>Developer of an electronic commerce website. The company provides a website through which it sells baby products such as toys, strollers, diapers, furniture and clothing.</t>
  </si>
  <si>
    <t>Bebe Store</t>
  </si>
  <si>
    <t>62335-72T</t>
  </si>
  <si>
    <t>Blumpa</t>
  </si>
  <si>
    <t>Operator of an online platform intended for hiring cleaning service. The company's platform connects individuals looking for on-demand recurrent cleaning services for their homes and small businesses to pre-screened independent cleaning professionals constantly evaluated for quality and efficiency, enabling customers to access cleaning services as and when required.</t>
  </si>
  <si>
    <t>NH Investimentos(Marcos Almeida)</t>
  </si>
  <si>
    <t>36930-88T</t>
  </si>
  <si>
    <t>70382-71T</t>
  </si>
  <si>
    <t>Itsemap (International Operations in Mexico, Brazil and Portugal)</t>
  </si>
  <si>
    <t>Provider of environmental engineering services. The company is engaged in safety, environmental risk, fire protection and other risk assessment services.</t>
  </si>
  <si>
    <t>Inerco(Pedro Marín Aranda)</t>
  </si>
  <si>
    <t>35862-49T</t>
  </si>
  <si>
    <t>In Press Porter Novelli</t>
  </si>
  <si>
    <t>Operator of communication agency. The company offers services including media relations, crisis management, internal communications, strategic planning, training, branded content, events communications and digital and social content.</t>
  </si>
  <si>
    <t>Diversified Agency Services(Dale Adams)</t>
  </si>
  <si>
    <t>59719-51T</t>
  </si>
  <si>
    <t>Sistema PRI Engenharia de Planejamento</t>
  </si>
  <si>
    <t>Provider of project management and engineering consulting services. The company offers project management assistance, supervision of works, planning, technical studies and technical assistance to the transportation, building and energy sectors.</t>
  </si>
  <si>
    <t>Bureau Veritas (PAR: BVI)(Didier Michaud-Daniel)</t>
  </si>
  <si>
    <t>49507-93T</t>
  </si>
  <si>
    <t>Oba (Rental)</t>
  </si>
  <si>
    <t>Developer of an online platform designed for real estate, vehicles and second-hand items. The company's platform helps buyers in finding the property to live, walk or work in a practical way with filters by location and average price, by more popular or quiet places, by square meters, search for smart filters and find the vehicles, enabling users to reach for the items they are looking for and communicate to sellers effortlessly.</t>
  </si>
  <si>
    <t>Marc Green(Marc Green)</t>
  </si>
  <si>
    <t>32203-54T</t>
  </si>
  <si>
    <t>Operator of an online shopping platform intended to offer baby and maternal products. The company's online shopping platform offers a wide variety of kids and baby care products from clothing, food, furniture to toys, enabling customers to avail premium quality products in one single platform.</t>
  </si>
  <si>
    <t>A5 Capital Partners, Atomico(Carolina Brochado), Endeavor Catalyst, W7 Venture Capital</t>
  </si>
  <si>
    <t>35718-67T</t>
  </si>
  <si>
    <t>Ceu Azul Alimentos</t>
  </si>
  <si>
    <t>Retailer of meat products and provider of poultry processing services based in Sao Paulo, Brazil. The company offers frozen chicken, gourmet food and packed chicken products.</t>
  </si>
  <si>
    <t>35699-68T</t>
  </si>
  <si>
    <t>Solimoes Project</t>
  </si>
  <si>
    <t>Owner and operator of an oil and gas exploration and production project. The company operated oil and gas exploration and production project is located in the Solimoes basin, Brazil.</t>
  </si>
  <si>
    <t>Rosneft (MISX: ROSN)</t>
  </si>
  <si>
    <t>35957-98T</t>
  </si>
  <si>
    <t>Breslau Capital Partners, Madison Dearborn Partners(Scott Pasquini)</t>
  </si>
  <si>
    <t>93038-95T</t>
  </si>
  <si>
    <t>Caixa Geral de Depósitos</t>
  </si>
  <si>
    <t>35654-86T</t>
  </si>
  <si>
    <t>Cyprus River Holdings</t>
  </si>
  <si>
    <t>36276-31T</t>
  </si>
  <si>
    <t>Gold Hunter</t>
  </si>
  <si>
    <t>Operator of a mining exploration company. The company mines for gold and silver in the Pampamali Project in Huancavelica, Peru.</t>
  </si>
  <si>
    <t>Blue Ridge Mountain Resources</t>
  </si>
  <si>
    <t>49519-45T</t>
  </si>
  <si>
    <t>HapBoo</t>
  </si>
  <si>
    <t>Developer of a messaging application intended to share voice message, text, photo or video on a selected future date.</t>
  </si>
  <si>
    <t>36350-56T</t>
  </si>
  <si>
    <t>Itau Unibanco (Insurance Assets)</t>
  </si>
  <si>
    <t>Provider of insurance services. The business unit specializes in oil, gas and infrastructure segments.</t>
  </si>
  <si>
    <t>Chubb (NYS: CB)</t>
  </si>
  <si>
    <t>33706-81T</t>
  </si>
  <si>
    <t>Anhanguera Educacional Participacoes</t>
  </si>
  <si>
    <t>Provider of educational courses focused on undergraduate, graduate, and extension programs. The company operates a private post-secondary institution, offering courses and degrees in graduation and post-graduation in administration, biomedicine, physical education, nursing, civil engineering, nutrition and psychology.</t>
  </si>
  <si>
    <t>89392-87T</t>
  </si>
  <si>
    <t>Arvus Tecnologia</t>
  </si>
  <si>
    <t>Provider of technology software services. The company's technology software services includes leasing of equipment for application of inputs and control of tractors, constant preventative and corrective maintenance, treatment of georeferenced data of operations with the help of which fertilizers and herbicides, inventory and operations are controlled, automatic integration with management system, specialized monitoring of the operation and complete portfolio of electronic equipment and software for precision farming to agriculture and forestry.</t>
  </si>
  <si>
    <t>Hexagon (STO: HEXA B)(Ola Rollén)</t>
  </si>
  <si>
    <t>39992-86T</t>
  </si>
  <si>
    <t>54921-52T</t>
  </si>
  <si>
    <t>Analytical Technology (BRAZIL)</t>
  </si>
  <si>
    <t>Provider of environmental testing services. The company provides services for atmospheric emissions, environmental monitoring and biofuel analysis.</t>
  </si>
  <si>
    <t>211676-32T</t>
  </si>
  <si>
    <t>Instituto de Estudos Superiores da Amazônia</t>
  </si>
  <si>
    <t>Operator of an education institute intended to train higher-level professionals committed to environmental issues and technology. The company provides courses for subjects including management, accounting science, product design, civil engineering and information system, thereby providing its students with the necessary knowledge to develop their potential and qualification for work.</t>
  </si>
  <si>
    <t>73988-02T</t>
  </si>
  <si>
    <t>DGF Investimentos(Patrick Arippol), Spectra Investments</t>
  </si>
  <si>
    <t>100598-86T</t>
  </si>
  <si>
    <t>Wave Accelerator</t>
  </si>
  <si>
    <t>40246-12T</t>
  </si>
  <si>
    <t>Fortune Light</t>
  </si>
  <si>
    <t>Manufacturer of lighting products and services based in Sao Paulo, Brazil. The company offers products including LED, halogen, fluorescent, high pressure and tungsten lamps, for home centers, supermarkets and specialized stores.</t>
  </si>
  <si>
    <t>Victoria Capital Partners(Mario Spinola e Castro)</t>
  </si>
  <si>
    <t>86699-17T</t>
  </si>
  <si>
    <t>Frooty Comércio e Indústria de Alimentos</t>
  </si>
  <si>
    <t>Manufacturer of açaí-based frozen yogurt and food products. The company specializes in frozen yogurts, smoothies and confectionery items that are distributed across Brazil through supermarkets, convenience stores, bakeries and fruit shops.</t>
  </si>
  <si>
    <t>224106-04T</t>
  </si>
  <si>
    <t>Fundo de Investimento Imobiliario Vida Nova - FII (BVMF: FIVN11)</t>
  </si>
  <si>
    <t>Fundo Investimento Imobiliario Vida Nova is a real estate investment trust. The objective of the Fund is capital appreciation. The company invests in the diversified portfolio of Shopping Center, Subcondomínio Offices, Subcondomínio Parking, &amp; Subcondomínio Hotels.</t>
  </si>
  <si>
    <t>62665-93T</t>
  </si>
  <si>
    <t>F50 Ventures</t>
  </si>
  <si>
    <t>52390-54T</t>
  </si>
  <si>
    <t>Plataforma Capital, Valor Capital Group</t>
  </si>
  <si>
    <t>89740-72T</t>
  </si>
  <si>
    <t>TCA Investimentos e Participações</t>
  </si>
  <si>
    <t>Provider of distance education services. The company's distance education services include 14 face-to-face courses, 13 distance-learning courses, 6 face-to-face post graduate course and 36 graduate and MBA in partnership with FGV, enabling students to choose their respective courses which are provided from their three campuses located in Ribeirão Preto, Araçatuba and São José do Rio Preto.</t>
  </si>
  <si>
    <t>68807-26T</t>
  </si>
  <si>
    <t>Zura!</t>
  </si>
  <si>
    <t>Provider of price comparison services based in Sao, Paulo. The company helps customers to learn about the product and its features, through other users' opinion queries, up to the purchase of the final product.</t>
  </si>
  <si>
    <t>96401-44T</t>
  </si>
  <si>
    <t>International Finance (Washington D.C.)</t>
  </si>
  <si>
    <t>213443-38T</t>
  </si>
  <si>
    <t>Companhia Energética do Jari - CEJA</t>
  </si>
  <si>
    <t>Operator of hydropower plant projects based in São Paulo, Brazil.</t>
  </si>
  <si>
    <t>71605-00T</t>
  </si>
  <si>
    <t>35146-90T</t>
  </si>
  <si>
    <t>Profarma Distribuidora de Produtos Farmacêuticos (BVMF: PFRM3)</t>
  </si>
  <si>
    <t>Profarma Distribuidora De Produtos Farmaceuticos SA is a Brazil-based company. It is engaged in wholesale and distribution of pharmaceuticals, cosmetics and similar products, and toiletries. Profarma also holds interests in other companies, regardless of their business sector. The company through its logistics department distributes products in the South, Southeast, Northeast and Center-West regions of Brazil. The firm operates in the pharmaceutical distribution, hospital and specialty, retail segments.</t>
  </si>
  <si>
    <t>Cencora (NYS: COR)(Steven Collis)</t>
  </si>
  <si>
    <t>70401-88T</t>
  </si>
  <si>
    <t>Comércio E Indústria De Massas Alimentícias Massa Leve</t>
  </si>
  <si>
    <t>Producer of pizza dough and pasta based in Rio Grande Da Serra, Brazil. The company produces ready meals, frozen pizzas, pasta products, pies, cheese bread, pastries, and sandwiches.</t>
  </si>
  <si>
    <t>JBS (Food Products) (NYS: JBS)(Gilberto Tomazoni)</t>
  </si>
  <si>
    <t>157460-95T</t>
  </si>
  <si>
    <t>Treecorp Investimentos (BVMF: TCPF11)(Luis Lomonaco)</t>
  </si>
  <si>
    <t>102136-69T</t>
  </si>
  <si>
    <t>MobilePeople Informática</t>
  </si>
  <si>
    <t>Developer of mobile based software. The company's mobile based software, enable the companies to implement the means of collecting, managing and monitoring information by sales agents, representatives or other field personnel.</t>
  </si>
  <si>
    <t>MC1 Tecnologia(Cesar Bertini)</t>
  </si>
  <si>
    <t>89417-26T</t>
  </si>
  <si>
    <t>Centauro-ON</t>
  </si>
  <si>
    <t>Provider of life insurance services intended to provide security and peace of mind today and for future generations. The company offers personal accident claims, term insurance, hospital indemnity, credit life insurance policies, employee benefit programs, claim settlement and reinsurance, enabling individuals and companies to protect themselves from any unanticipated contingencies.</t>
  </si>
  <si>
    <t>Ohio State Financial(Gary Huffman)</t>
  </si>
  <si>
    <t>31216-69T</t>
  </si>
  <si>
    <t>Companhia Providencia Industria E Comercio</t>
  </si>
  <si>
    <t>CIA Providencia Industria E Comercio is engaged in the manufacture and sale of nonwovens products in Brazil. The company offers its products under the KAMI brand. Its nonwoven products are primarily used in the manufacture of hygienic and personal care products. The business of the group is booming across the market of United States, Latin America, Europe, and Asia. The group primarily derives revenue through the sale of products.</t>
  </si>
  <si>
    <t>Avintiv(J. Hackney), Blackstone (NYS: BX)(Chinh Chu)</t>
  </si>
  <si>
    <t>94117-69T</t>
  </si>
  <si>
    <t>62075-98T</t>
  </si>
  <si>
    <t>133053-94T</t>
  </si>
  <si>
    <t>Crowdtask</t>
  </si>
  <si>
    <t>Developer of a crowd-sourcing platform designed to offer task outsourcing services. The company's platform uses the model to improve product identification and classification, image, audio, video transcription, text translation, and other tasks, enabling businesses to improve their productivity, and outsourcing small and repetitive tasks to other skilled users.</t>
  </si>
  <si>
    <t>67265-38T</t>
  </si>
  <si>
    <t>92334-97T</t>
  </si>
  <si>
    <t>Boulevard Corporate Tower</t>
  </si>
  <si>
    <t>A 17-storey high and 23,400 meter square area commercial building based in Belo Horizonte, Brazil. The building offers lease and rental space to its clients.</t>
  </si>
  <si>
    <t>99224-92T</t>
  </si>
  <si>
    <t>Bombas Leão</t>
  </si>
  <si>
    <t>Manufacturer of submersible groundwater pumping equipment intended to provide water pumping systems. The company's submersible groundwater pumping equipment includes submersible motor pumps, engines, trigger panels, command panels, pumping systems and accessories like retention valves and flow inductor tubes, enabling clients to avail quality pumping equipment and systems.</t>
  </si>
  <si>
    <t>Franklin Electric Co (NAS: FELE)(Gregg Sengstack)</t>
  </si>
  <si>
    <t>36998-11T</t>
  </si>
  <si>
    <t>Daniel Nogueira(Daniel Nogueira), Denis Minev(Denis Minev), DGF Investimentos, EB Capital(Pedro Melzer), Jack Fuchs(Jack Fuchs), Marco Perlman(Marco Perlman)</t>
  </si>
  <si>
    <t>66321-37T</t>
  </si>
  <si>
    <t>Fagundes Construcao e Mineracao</t>
  </si>
  <si>
    <t>Provider of mining and heavy construction services based in Rio de Janeiro, Brazil. The company is engaged in mining, dam building, heavy construction and concrete mixing, enabling clients to avail quality building and construction services.</t>
  </si>
  <si>
    <t>207584-83T</t>
  </si>
  <si>
    <t>133541-20T</t>
  </si>
  <si>
    <t>RST Recursos Minerais</t>
  </si>
  <si>
    <t>Developer of 10 mining concessions and 12 other mineral rights for diamond and gold.</t>
  </si>
  <si>
    <t>66475-00T</t>
  </si>
  <si>
    <t>Data Mundus</t>
  </si>
  <si>
    <t>Provider of online services intended for transforming documents, publications, or any source, structured or unstructured, analog or digital, into data and information. The company's products help verify information related to legal documents, bills and data management, enabling businesses to increase efficiency and effectiveness by managing information applied to positive actions to improve their activities.</t>
  </si>
  <si>
    <t>35813-44T</t>
  </si>
  <si>
    <t>iLab Sistemas</t>
  </si>
  <si>
    <t>Provider of planning and optimization services to the agro-business sector. The company primarily focuses on providing services to the sugar and ethanol industries related to agricultural processes and production.</t>
  </si>
  <si>
    <t>89553-25T</t>
  </si>
  <si>
    <t>UNUM Tecnologia e Consultoria em Informática</t>
  </si>
  <si>
    <t>Developer of business management software intended to provide innovative management services through commitment to its customers. The company's business management software adds new unctionalities and specific processes of the clients to the pre-existing system and also provide development and consulting services related to its domain, enabling clients to synergise its management in an agile and secured way.</t>
  </si>
  <si>
    <t>108946-63T</t>
  </si>
  <si>
    <t>Avvio Telecom</t>
  </si>
  <si>
    <t>Provider of infrastructure, telecommunication, connectivity and network integration services based in Sao Paulo, Brazil. The company builds, operates, maintains and optimizes the network, enabling operators, telecommunications service providers and public and private companies to transfer data, voice and image with total security and confidentiality, regardless of distance and without loss of performance.</t>
  </si>
  <si>
    <t>117756-82T</t>
  </si>
  <si>
    <t>Developer of a financing and credit asset management platform intended to help savers and borrowers achieve their goals. The company's platoform offers credit fund management, direct credit, and credit-as-a-service (CaaS) services, enabling companies to grow and stay healthy and viable while generating attractive and consistent returns for investors.</t>
  </si>
  <si>
    <t>Sightway Capital, Two Sigma Investments(Wray Thorn)</t>
  </si>
  <si>
    <t>123140-08T</t>
  </si>
  <si>
    <t>58143-88T</t>
  </si>
  <si>
    <t>EModa</t>
  </si>
  <si>
    <t>Provider of an online wholesale shopping platform intended to connect fashion brands and manufacturers with retailers. The company's platform helps brands and manufacturers to feature their collections, prospect for new retailers and manage all of their orders online, enabling them to grow their businesses.</t>
  </si>
  <si>
    <t>Davi Macêdo, Fabio Panucci, Luciano Kleiman, Luiz Trindade</t>
  </si>
  <si>
    <t>58978-45T</t>
  </si>
  <si>
    <t>Maritima Seguros</t>
  </si>
  <si>
    <t>Provider of insurance products and services. The company offers insurance products, such as life insurance, personal insurance, accident insurance, automotive insurance and other commercial insurances.</t>
  </si>
  <si>
    <t>Yasuda Marítima Seguros</t>
  </si>
  <si>
    <t>212274-64T</t>
  </si>
  <si>
    <t>Maxwell Bohr</t>
  </si>
  <si>
    <t>Operator of the engineering technology platform intended to serve various businesses. The company's platform specializes in designing and implementing platforms for a wide range of businesses, including public safety, education, and aerospace, to help large companies improve their production processes, enabling businesses to manufacture new products and services at affordable costs with high-quality standards and to meet technical and financial requirements.</t>
  </si>
  <si>
    <t>46774-00T</t>
  </si>
  <si>
    <t>Intact Ventures(Karim Hirji), Redpoint eventures(Yann De Vries)</t>
  </si>
  <si>
    <t>199880-29T</t>
  </si>
  <si>
    <t>207680-50T</t>
  </si>
  <si>
    <t>46635-40T</t>
  </si>
  <si>
    <t>Astella Investimentos(Edson Rigonatti)</t>
  </si>
  <si>
    <t>164645-02T</t>
  </si>
  <si>
    <t>111962-62T</t>
  </si>
  <si>
    <t>Tempo Dental</t>
  </si>
  <si>
    <t>Provider of dental insurance services. The company operates in the Brazilian dental care insurance market, with more than 524,000 customers and offers a strategic sales channel which allows the company to reach a less penetrated and competitive market than that of corporate contracts.</t>
  </si>
  <si>
    <t>Caixa Seguradora(Thierry Claudon)</t>
  </si>
  <si>
    <t>44695-00T</t>
  </si>
  <si>
    <t>Start-Up Chile, TheVentureCity</t>
  </si>
  <si>
    <t>95616-19T</t>
  </si>
  <si>
    <t>Anibal Messa, Bruno Onto(Bruno Onto), Mario Letelier(Mario Letelier), Plataforma Capital(Antônio Prado)</t>
  </si>
  <si>
    <t>30962-80T</t>
  </si>
  <si>
    <t>39759-58T</t>
  </si>
  <si>
    <t>Screencorp</t>
  </si>
  <si>
    <t>Developer of a mobile-based communication application intended for enterprise collaboration. The company's application offers a digital signage system that manages videos, images, RSS feeds, templates, and files for corporate television and digital panels, enabling companies to use tools for internal communication with teammates, create customized templates, and share real-time content.</t>
  </si>
  <si>
    <t>77793-76T</t>
  </si>
  <si>
    <t>100325-44T</t>
  </si>
  <si>
    <t>JPLUS Comércio e Distribuição</t>
  </si>
  <si>
    <t>Distributor of cleaning, hygiene supplies and disposable products. The company's products include aromatization, disposables, dispensers, dust collectors, cleaning discs and cloths, enabling cleaning and health sectors to get a range of hygiene supplies.</t>
  </si>
  <si>
    <t>Bunzl (Distributors/Wholesale) (LON: BNZL)</t>
  </si>
  <si>
    <t>35841-25T</t>
  </si>
  <si>
    <t>Dental Speed</t>
  </si>
  <si>
    <t>Operator of an e-commerce platform for dental consumable merchandise based in Brazil. The company offers a platform to sell endodontics, orthodontics, implant dentistry and other dental peripherals, enabling ts customers to avail the products for enhanced dental treatment and surgery.</t>
  </si>
  <si>
    <t>86193-91T</t>
  </si>
  <si>
    <t>H3 Polímeros</t>
  </si>
  <si>
    <t>Manufacturer of nylon polymers intended to reduce waste. The company's polymers are pure and compound, made using tissue wastes that will return to the industrial process through complete reverse logistics, enabling textile companies to meet the norms of the new National Solid Waste Policy and reduce environmental waste.</t>
  </si>
  <si>
    <t>56313-37T</t>
  </si>
  <si>
    <t>ArpexCapital, Crescera Capital(Alexandre Leão), Ingo Schmidt(Ingo Schmidt), Livia Palomo(Livia Palomo), Ross Baird(Ross Baird), Ruy Bueno de Arruda Camargo Neto(Ruy Bueno de Arruda Camargo Neto)</t>
  </si>
  <si>
    <t>36885-61T</t>
  </si>
  <si>
    <t>35963-47T</t>
  </si>
  <si>
    <t>Drogarias Pacheco</t>
  </si>
  <si>
    <t>Owner and operator of an online pharmacy. The company's online pharmacy provides drugs for diabetes, digestion, pain and fever, hypertension and other problems, enabling its client to procure drugs online in a hassel free manner.</t>
  </si>
  <si>
    <t>CVS Health (NYS: CVS)</t>
  </si>
  <si>
    <t>156049-30T</t>
  </si>
  <si>
    <t>Zase</t>
  </si>
  <si>
    <t>Developer of a mobile application designed earn points for shopping and redeem those points for rewards. The company's application platform include a marketing tool where sellers and the customers can interact that includes customized rewards with a loyalty program resulting frequency in purchase, each purchases result in earning points that can be redeemed for rewards such as discounts on tickets for concerts, free drinks at bars, coupons for online and in-store purchases, enabling customer engagement and elevated revenue streams.</t>
  </si>
  <si>
    <t>89554-96T</t>
  </si>
  <si>
    <t>Virtual Age Soluções em Tecnologia</t>
  </si>
  <si>
    <t>Developer of SaaS based software. The company's activities include development, manufacturing and license distribution of SaaS based software, enabling textile, confectionery, wholesale, retail, condominiums and fashion franchises to use the bar code for different products.</t>
  </si>
  <si>
    <t>138918-79T</t>
  </si>
  <si>
    <t>CAIS do Porto</t>
  </si>
  <si>
    <t>60584-41T</t>
  </si>
  <si>
    <t>Enel Chile (SGO: ENELCHILE)</t>
  </si>
  <si>
    <t>89527-51T</t>
  </si>
  <si>
    <t>Rezende Sistemas</t>
  </si>
  <si>
    <t>Developer and marketer of management and automation software. The company's management and automation software are developed generally for gas stations, convenience stores and food service.</t>
  </si>
  <si>
    <t>126196-21T</t>
  </si>
  <si>
    <t>Qualcomm Ventures(Nagraj Kashyap)</t>
  </si>
  <si>
    <t>59034-25T</t>
  </si>
  <si>
    <t>66484-00T</t>
  </si>
  <si>
    <t>ACE Ventures (Commercial Services), Start-Up Brasil</t>
  </si>
  <si>
    <t>35689-24T</t>
  </si>
  <si>
    <t>Flybridge (New York)(Jon Karlen)</t>
  </si>
  <si>
    <t>58225-78T</t>
  </si>
  <si>
    <t>Parala Games</t>
  </si>
  <si>
    <t>Developer of online games based in Curitiba, Brazil. The company specializes in game development and areas such as gambling, simulation, learning, and application, generally using three-dimensional and web technologies, enabling players to indulge in immersive AR and VR experiences.</t>
  </si>
  <si>
    <t>LEAP.Axlr8r</t>
  </si>
  <si>
    <t>126518-32T</t>
  </si>
  <si>
    <t>OBr.global, Start-Up Brasil</t>
  </si>
  <si>
    <t>33725-71T</t>
  </si>
  <si>
    <t>GIC Private(Wolfgang Schwerdtle), ICONIQ Growth, Kaszek(Nicolas Szekasy), Temasek Holdings, Tiger Global Management</t>
  </si>
  <si>
    <t>89378-38T</t>
  </si>
  <si>
    <t>2S Inovações Tecnológicas (Microsoft Solutions Business Unit)</t>
  </si>
  <si>
    <t>Provider of software management services, purchasing and asset management processes.</t>
  </si>
  <si>
    <t>Comparex Group</t>
  </si>
  <si>
    <t>89534-08T</t>
  </si>
  <si>
    <t>Santa Cruz</t>
  </si>
  <si>
    <t>Manufacturer of sugar, ethanol and related products.</t>
  </si>
  <si>
    <t>Sao Martinho (BVMF: SMTO3)</t>
  </si>
  <si>
    <t>195074-74T</t>
  </si>
  <si>
    <t>33555-07T</t>
  </si>
  <si>
    <t>Altiseg Equipamentos de Seguranca de Trabalho</t>
  </si>
  <si>
    <t>Manufacturer of fall protection systems and safety products in Brazil. The company designs, manufactures and sells a protection harnesses and lanyards. The company also provides training services to its customers.</t>
  </si>
  <si>
    <t>Capital Safety Group(Stephen Oswald), Kohlberg Kravis Roberts (NYS: KKR)</t>
  </si>
  <si>
    <t>45722-44T</t>
  </si>
  <si>
    <t>BRL Trust, Headline, Redpoint eventures(Manoel Lemos)</t>
  </si>
  <si>
    <t>55062-46T</t>
  </si>
  <si>
    <t>Plug and Play Tech Center(Alireza Masrour)</t>
  </si>
  <si>
    <t>36036-55T</t>
  </si>
  <si>
    <t>Mineração São Francisco de Assis</t>
  </si>
  <si>
    <t>Operator of a mining company. The company operates a mining operation for tin, as well as a concentration plant to extract and process the metal.</t>
  </si>
  <si>
    <t>122375-80T</t>
  </si>
  <si>
    <t>75005-20T</t>
  </si>
  <si>
    <t>Unidade Saúde Soluções</t>
  </si>
  <si>
    <t>Provider of health care management services based in Barueri, Brazil. The company provides self-managed health plans, group health plans, medical auditing, processing of medical bills, licensing of hospital network management systems and claims management services.</t>
  </si>
  <si>
    <t>30782-89T</t>
  </si>
  <si>
    <t>UniPay Gestão de Pagamentos</t>
  </si>
  <si>
    <t>Provider of a mobile payment platform. The company provides a unified payment platform for mobile payments using credit cards.</t>
  </si>
  <si>
    <t>44555-41T</t>
  </si>
  <si>
    <t>Arp Med</t>
  </si>
  <si>
    <t>Distributor of drugs and other pharmaceutical medicines. The company provides logistics services for the pharmaceutical industry. The company also offers home delivery services of special drugs to its customers.</t>
  </si>
  <si>
    <t>33520-87T</t>
  </si>
  <si>
    <t>Cobre Bem Tecnologia</t>
  </si>
  <si>
    <t>Provider of payment services in Latin America. The company offers single point access to local payment methods in Latin America, including eight different credit/debit card types and more than 20 banks for direct online transfers, direct debit and Boleto Bancario.</t>
  </si>
  <si>
    <t>Advent International(Humphrey Battcock), Bain Capital(Robin Marshall), WorldPay (Acquired in 2018)(Floris de Kort)</t>
  </si>
  <si>
    <t>54930-07T</t>
  </si>
  <si>
    <t>33445-27T</t>
  </si>
  <si>
    <t>Amadeus Capital Partners(Patrick Burtis), Bertelsmann Brazil Investments, Monashees(Eric Acher), Otto Capital</t>
  </si>
  <si>
    <t>119598-94T</t>
  </si>
  <si>
    <t>89416-99T</t>
  </si>
  <si>
    <t>Castillian Metais</t>
  </si>
  <si>
    <t>Operator of mineral exploration and development company. The company engages in exploration and development of mineral properties and holds a 100% interest in the Mangabal nickel-copper project in Goias State, Brazil.</t>
  </si>
  <si>
    <t>Falcon Metais</t>
  </si>
  <si>
    <t>49691-17T</t>
  </si>
  <si>
    <t>Adrien Bayle(Adrien Bayle), Andres Claro(Andres Claro), Anirudh Deb(Anirudh Deb), Fernando Terra(Fernando Terra), Oliver Flogel(Oliver Flogel), Pedro Englert(Pedro Englert), Renato Ribeiro(Renato Ribeiro), Ricardo Glass(Ricardo Glass), Ruy Bueno de Arruda Camargo Neto(Ruy Bueno de Arruda Camargo Neto), Thiago Bonini(Thiago Bonini), Tiago Mabilde(Tiago Mabilde)</t>
  </si>
  <si>
    <t>34875-55T</t>
  </si>
  <si>
    <t>Market Intermediary Services e Participacoes</t>
  </si>
  <si>
    <t>Provider of an electronic commerce platform for experience sharing. The company's platform allows users to buy, share and sell experiences to support social causes.</t>
  </si>
  <si>
    <t>61310-71T</t>
  </si>
  <si>
    <t>Argo Solutions</t>
  </si>
  <si>
    <t>Operator of a technology services company based in Sao Paulo, Brazil. The company simplifies the processes of travel and expenses management through a simple, efficient, friendly and flexible platform through their technology applications and services providing cost reconciliation services and a platform for the management of corporate events.</t>
  </si>
  <si>
    <t>Oria Capital, Spectra Investments</t>
  </si>
  <si>
    <t>265159-63T</t>
  </si>
  <si>
    <t>The Capital Hotel</t>
  </si>
  <si>
    <t>Operator of a hotel located in Sao Paulo, Brazil. The company's hotel contains 70 rooms.</t>
  </si>
  <si>
    <t>Brazil Hospitality Group(Eduardo Bartolomeo)</t>
  </si>
  <si>
    <t>57438-73T</t>
  </si>
  <si>
    <t>Simbio</t>
  </si>
  <si>
    <t>Developer of a financial management application based in Porto Alegre, Brazil. The company's application provides a financial management and inventory control application with the help of an organized cash flow, it helps in planning purchases in advance, providing clients with an online, simple, and complete system to manage their sales.</t>
  </si>
  <si>
    <t>59364-82T</t>
  </si>
  <si>
    <t>44556-94T</t>
  </si>
  <si>
    <t>37350-01T</t>
  </si>
  <si>
    <t>Fridom</t>
  </si>
  <si>
    <t>Operator of an e-commerce portal. The company's platform provides brands with established and advanced logistics partnerships, an 'American' customer service approach, and a technology platform customized for all the local integrations required.</t>
  </si>
  <si>
    <t>Kees Koolen(Kees Koolen), Levinthal Capital</t>
  </si>
  <si>
    <t>108480-52T</t>
  </si>
  <si>
    <t>Fanem(Djalma Rodrigues)</t>
  </si>
  <si>
    <t>35871-13T</t>
  </si>
  <si>
    <t>Pergamon Hotel</t>
  </si>
  <si>
    <t>Owner and operator of hotels. The company provides fooding, lodging and other services such as fitness room, minibar, restaurant, meeting rooms, banquet hall, piano bar, standard room, deluxe room and deluxe master room.</t>
  </si>
  <si>
    <t>73555-03T</t>
  </si>
  <si>
    <t>Pöyry Silviconsult Engenharia</t>
  </si>
  <si>
    <t>Provider of environmental consulting services. The company provides advisory and and socio-environmental management services for forest businesses.</t>
  </si>
  <si>
    <t>Pöyry(Marcelo Cordaro)</t>
  </si>
  <si>
    <t>75944-89T</t>
  </si>
  <si>
    <t>54826-84T</t>
  </si>
  <si>
    <t>Thinkr</t>
  </si>
  <si>
    <t>Developer of a social network application intended to help users to share special moments with the people they love. The company's application lets users to apply filter to photo, write a thought, and choose an emotion and have a different profile pictures operates a blog, enabling users to post location-tagged status updates and also share photos, videos and messages with profile pictures that express emotions.</t>
  </si>
  <si>
    <t>57817-90T</t>
  </si>
  <si>
    <t>Domínio Sistemas</t>
  </si>
  <si>
    <t>Developer of accounting software products catering to accountants throughout Brazil. The company specializes in the development and implementation of accounting management, tax management and cloud and remote access solutions, thereby enabling clients to have better management, efficiency and security.</t>
  </si>
  <si>
    <t>70000-21T</t>
  </si>
  <si>
    <t>Erca Industria E Comercio De Produtos (Specialty Chemical Business)</t>
  </si>
  <si>
    <t>Portfolio of specialty chemical assets and product line. The portfolio includes local specialty chemical assets, its portfolio of agrochemicals as well as home &amp; personal care products based in Itatiba, Brazil.</t>
  </si>
  <si>
    <t>54558-01T</t>
  </si>
  <si>
    <t>ERCA Química (Specialty Chemical Assets)</t>
  </si>
  <si>
    <t>Provider of specialty chemical products. The company serves the agrochemical, home and personal care, coatings, mining and oil and gas sectors.</t>
  </si>
  <si>
    <t>Solvay (BRU: SOLB)</t>
  </si>
  <si>
    <t>89738-29T</t>
  </si>
  <si>
    <t>Termoaçu</t>
  </si>
  <si>
    <t>Operator of a thermoelectric power plant.</t>
  </si>
  <si>
    <t>96576-76T</t>
  </si>
  <si>
    <t>252260-38T</t>
  </si>
  <si>
    <t>73822-96T</t>
  </si>
  <si>
    <t>Gafor Distribuidora</t>
  </si>
  <si>
    <t>Supplier of chemicals. The company is a distributor and seller of solvents and other chemicals in Brazil.</t>
  </si>
  <si>
    <t>Brenntag (ETR: BNR)</t>
  </si>
  <si>
    <t>89478-28T</t>
  </si>
  <si>
    <t>Latina Distribuidora de Petróleo</t>
  </si>
  <si>
    <t>Operator of a chain of fuel refilling stations. The company's chain of fuel refilling stations offer fuel transportation, refueling and fuel storage, enabling consumers to get a consistent supply of petroleum and gasoline throughout the year.</t>
  </si>
  <si>
    <t>Raízen Energia (BVMF: RAIZ4)(Teófilo Lacroze)</t>
  </si>
  <si>
    <t>74564-92T</t>
  </si>
  <si>
    <t>Maestro Locadora de Veículos</t>
  </si>
  <si>
    <t>Provider of car rental services based in São Paulo, Brazil. The company specializes in the outsourcing and fleet management of vehicles that include light, executive and electrical vehicles, fleet planning, own fleet management as well as demobilization services, enabling its clients with their desired services.</t>
  </si>
  <si>
    <t>37579-42T</t>
  </si>
  <si>
    <t>Provider of television and broadband services based in Fortaleza, Brazil. The company offers cable television, internet and digital telephony services, helping customers to stay connected through flexible and economical plans that suit their specific requirements.</t>
  </si>
  <si>
    <t>59492-71T</t>
  </si>
  <si>
    <t>Rent a Local Friend</t>
  </si>
  <si>
    <t>Operator of a travel platform intended to connect travelers with residents of a city. The company's platform connects people who love to travel with those who are passionate about where they live and have a local experience about the region and also offers regional support and sharing of local tips and information, enabling people to rent services and providing local perspectives changing the panorama of the traveling experience.</t>
  </si>
  <si>
    <t>32645-89T</t>
  </si>
  <si>
    <t>Kohlberg Kravis Roberts (NYS: KKR)(Alexander Navab)</t>
  </si>
  <si>
    <t>34390-09T</t>
  </si>
  <si>
    <t>A5 Capital Partners, KPTL, Media Development Investment Fund(Kevin Brockland), Omidyar Network</t>
  </si>
  <si>
    <t>89719-84T</t>
  </si>
  <si>
    <t>Rio das Contas Produtora de Petróleo</t>
  </si>
  <si>
    <t>Operator of a portfolio of mining assets.</t>
  </si>
  <si>
    <t>GeoPark (NYS: GPRK)(James Park)</t>
  </si>
  <si>
    <t>155894-05T</t>
  </si>
  <si>
    <t>SemSenha</t>
  </si>
  <si>
    <t>Provider of internet services intended for wi-fi hotspots. The company's platform helps to identify and interact with customers, display advertising, monitor and manage the performance of hotspots, offer quality internet, and even increase revenue, enabling companies to attract and retain customers.</t>
  </si>
  <si>
    <t>156969-19T</t>
  </si>
  <si>
    <t>Zoony</t>
  </si>
  <si>
    <t>Developer of a job searching platform intended to assist users to find jobs and develop their skills to become a well-prepared professional. The company's platform assists candidates to find the desired vacancy and also to develop skills according to the requirements, enabling candidates to find the right jobs.</t>
  </si>
  <si>
    <t>102648-16T</t>
  </si>
  <si>
    <t>Montana Indústria de Máquinas</t>
  </si>
  <si>
    <t>Manufacturer of farm equipment, specializing in fertilizer sprayers. The company's farm equipment includes tractors, mounted, trailed and large self-propelled sprayers, harvesters, telescopes, precision agriculture equipment, mist blower sprayers, self-propelled fertilizer spreaders and other related accessories.</t>
  </si>
  <si>
    <t>Kuhn Group(Michel Siebert)</t>
  </si>
  <si>
    <t>32867-56T</t>
  </si>
  <si>
    <t>Flybridge (New York)</t>
  </si>
  <si>
    <t>36116-56T</t>
  </si>
  <si>
    <t>GPS Investimentos Financeiros e Participações</t>
  </si>
  <si>
    <t>Provider of asset management services. The company primarily focuses on providing wealth management services in São Paulo, Brazil.</t>
  </si>
  <si>
    <t>Julius Baer Group (SWX: BAER)(Bernhard Hodler)</t>
  </si>
  <si>
    <t>34786-90T</t>
  </si>
  <si>
    <t>Hans Hickler, Kima Ventures</t>
  </si>
  <si>
    <t>45117-73T</t>
  </si>
  <si>
    <t>133038-10T</t>
  </si>
  <si>
    <t>Next User Experience (Information services)</t>
  </si>
  <si>
    <t>Provider of information platform intended to improve the consumer experience at points of sale. The company's platform is based on offering products and services through experience with the brand and data analysis, enabling consumers in creating mobile engagement and cross-channel experiences.</t>
  </si>
  <si>
    <t>133043-77T</t>
  </si>
  <si>
    <t>Valor da Construção</t>
  </si>
  <si>
    <t>Provider of a database platform designed to find quotations of construction materials. The company's platform offers customized search and quotation of different products and building budget estimate, enabling users to find quality construction materials as per the budget.</t>
  </si>
  <si>
    <t>72220-78T</t>
  </si>
  <si>
    <t>Work Image Comércio e Serviços</t>
  </si>
  <si>
    <t>Provider of document management services. The company specializes in providing services to organizations for guarding, integrating and management of their documents.</t>
  </si>
  <si>
    <t>89505-19T</t>
  </si>
  <si>
    <t>Minas Core Mining</t>
  </si>
  <si>
    <t>Provider of mining and exploration services. The company's mining and exploration services is carried out in the Rio Petro Diamond Project of Brazil.</t>
  </si>
  <si>
    <t>Resgreen Group International (PINX: RGGI)(Reno Calabrigo)</t>
  </si>
  <si>
    <t>75059-38T</t>
  </si>
  <si>
    <t>Geração Futuro</t>
  </si>
  <si>
    <t>Provider of brokerage services. The company provides brokerage services in the areas of funds, shares, and derivatives (forward, future, and option financial instruments). It also offers fund trustee services.</t>
  </si>
  <si>
    <t>142561-09T</t>
  </si>
  <si>
    <t>146288-26T</t>
  </si>
  <si>
    <t>149086-36T</t>
  </si>
  <si>
    <t>Playdea</t>
  </si>
  <si>
    <t>Provider of a web teaching platform intended to insert existing mechanisms in games to better engage students in school activities. The company's platform offers interactive games and interactive system, enabling teachers to improve monitoring and communication with students and allowing take more assertive actions regarding the difficulties of each student.</t>
  </si>
  <si>
    <t>156940-48T</t>
  </si>
  <si>
    <t>We Crowdcasting</t>
  </si>
  <si>
    <t>Provider of an application intended to create content in collaboration with audience. The company's application offers content management tools, enabling users to create groundbreaking and insightful real-time news</t>
  </si>
  <si>
    <t>56733-31T</t>
  </si>
  <si>
    <t>201637-72T</t>
  </si>
  <si>
    <t>Prentiss Quimica</t>
  </si>
  <si>
    <t>Manufacturer of agricultural chemicals intended to serve farmers. The company offers herbicides, fungicides and insecticides for protecting the crop against any kind of damage from insects, thereby helping farmers in having a productive harvest.</t>
  </si>
  <si>
    <t>The Tide Group</t>
  </si>
  <si>
    <t>89525-44T</t>
  </si>
  <si>
    <t>37307-08T</t>
  </si>
  <si>
    <t>Cless Comércio de Cosméticos</t>
  </si>
  <si>
    <t>Manufacturers of beauty and personal care products based in Barueri, Brazil. The company's portfolio includes body creams, lotions and make-up and hair care products, enabling customers to purchase their desired personal care hygiene products at affordable prices.</t>
  </si>
  <si>
    <t>One Equity Partners(Carlo Padovano), Sofiproteol</t>
  </si>
  <si>
    <t>226409-32T</t>
  </si>
  <si>
    <t>Reit Riviera Fundo de Investimento Imobiliario - FII (BVMF: REIT11)</t>
  </si>
  <si>
    <t>Singulare Fundo De Investimento Imobiliario is a real estate investment trust.</t>
  </si>
  <si>
    <t>50716-09T</t>
  </si>
  <si>
    <t>89476-03T</t>
  </si>
  <si>
    <t>Compreauto</t>
  </si>
  <si>
    <t>Provider of automobile dealership services. The company's automobile dealership services include buying, renting and selling of old and new vehicles, enabling the car owners to access a wide range of products according to their need under one roof. It also provides periodic car maintenance services.</t>
  </si>
  <si>
    <t>96097-60T</t>
  </si>
  <si>
    <t>Dobrevê Energia</t>
  </si>
  <si>
    <t>Provider of renewable energy generation services in Brazil.</t>
  </si>
  <si>
    <t>CPFL Energias Renovaveis</t>
  </si>
  <si>
    <t>57546-10T</t>
  </si>
  <si>
    <t>Fundação de Amparo à Pesquisa e Inovação</t>
  </si>
  <si>
    <t>90133-57T</t>
  </si>
  <si>
    <t>Alpargatas (BVMF: ALPA3)(Marcio Utsch)</t>
  </si>
  <si>
    <t>196926-67T</t>
  </si>
  <si>
    <t>Romero Rodrigues</t>
  </si>
  <si>
    <t>92021-59T</t>
  </si>
  <si>
    <t>Advent International(Juan Díaz-Laviada), Tinsa Group(Ben Osnabrug)</t>
  </si>
  <si>
    <t>45720-82T</t>
  </si>
  <si>
    <t>Astella Investimentos(Edson Rigonatti), Bernardo de Barros Franco(Bernardo de Barros Franco), Rodrigo de Andrade Campos Abdalla(Rodrigo de Andrade Campos Abdalla), Romero Rodrigues</t>
  </si>
  <si>
    <t>62166-97T</t>
  </si>
  <si>
    <t>Gauzz</t>
  </si>
  <si>
    <t>Provider of wireless fidelity analytics services. The company offers offline analysis services to the retail sector that helps in analyzing traffic corridors of malls, marketing campaign impact in supermarkets and department stores.</t>
  </si>
  <si>
    <t>89669-08T</t>
  </si>
  <si>
    <t>Louis Dreyfus Company</t>
  </si>
  <si>
    <t>99893-35T</t>
  </si>
  <si>
    <t>75320-29T</t>
  </si>
  <si>
    <t>102626-83T</t>
  </si>
  <si>
    <t>Tqx777</t>
  </si>
  <si>
    <t>Operator of a holding company. The company's services are primarily engaged in pharmaceutical products and medicine production, enabling medical industry to obtain essential drugs.</t>
  </si>
  <si>
    <t>Centro Comercializador Cosphar</t>
  </si>
  <si>
    <t>96258-34T</t>
  </si>
  <si>
    <t>Grupo Fitta</t>
  </si>
  <si>
    <t>Provider of currency exchange and prepaid currency cards. The company's currency exchange and prepaid currency cards include multi-currency fitta cash passport with the possibility to recharge in up to 6 different foreign currencies for small and medium-sized companies.</t>
  </si>
  <si>
    <t>Western Union (NYS: WU)</t>
  </si>
  <si>
    <t>117419-95T</t>
  </si>
  <si>
    <t>78043-78T</t>
  </si>
  <si>
    <t>Impala Terminals, Mamoura Diversified Global Holding</t>
  </si>
  <si>
    <t>37982-53T</t>
  </si>
  <si>
    <t>EB Capital, Flourish Ventures, Kaszek(Nicolas Szekasy), Valor Capital Group</t>
  </si>
  <si>
    <t>31883-05T</t>
  </si>
  <si>
    <t>Vostu</t>
  </si>
  <si>
    <t>Provider of an online social gaming platform. The company engages in providing downloadable games in Latin America for smart phones and tablets.</t>
  </si>
  <si>
    <t>33969-25T</t>
  </si>
  <si>
    <t>Dragoneer Investment Group</t>
  </si>
  <si>
    <t>56583-19T</t>
  </si>
  <si>
    <t>AppUpper</t>
  </si>
  <si>
    <t>Developer of a crowd-review application. The company helps in increasing the market response to the launch of marketing campaigns of the small business technology.</t>
  </si>
  <si>
    <t>74560-96T</t>
  </si>
  <si>
    <t>Hamilton Lane (NAS: HLNE), Stratus (Investor)(Eduardo Oliveira)</t>
  </si>
  <si>
    <t>166797-46T</t>
  </si>
  <si>
    <t>Level Up Latam</t>
  </si>
  <si>
    <t>Operator of an online game publishing studio intended to serve game enthusiasts, digital entertainment and gaming market. The company provides omputer games featuring shooting, arcade, wars, legends and other related types of genres in which people can create a character, level up, choose skills, select a class or be a part of a clan with the participants of several players around the world, helping game enthusiasts to enjoy and play different games.</t>
  </si>
  <si>
    <t>Asphere Innovations (BKK: AS)</t>
  </si>
  <si>
    <t>34653-34T</t>
  </si>
  <si>
    <t>112267-36T</t>
  </si>
  <si>
    <t>Air France-KLM (PAR: AF)</t>
  </si>
  <si>
    <t>66481-48T</t>
  </si>
  <si>
    <t>Task Sistemas de Computacao</t>
  </si>
  <si>
    <t>Developer of software for work management and safety technology systems. The company operates in four areas namely, workforce management, electronic point, physical access control, closed circuit television (CCTV) and solutions ID. It serves both public and private clients.</t>
  </si>
  <si>
    <t>Dormakaba Group (SWX: DOKA)(Riet Cadonau)</t>
  </si>
  <si>
    <t>91727-38T</t>
  </si>
  <si>
    <t>Sertão Mineração</t>
  </si>
  <si>
    <t>Operator of a holding company. The company's operations include maintenance and development of the Sertão and Antena mining leases, along in Brazil, along with offering exploration and drilling services.</t>
  </si>
  <si>
    <t>Orinoco Gold(Mark Papendieck)</t>
  </si>
  <si>
    <t>265163-32T</t>
  </si>
  <si>
    <t>Hotel Tulip Sete Lagoas</t>
  </si>
  <si>
    <t>Operator of Hotel, based out of Sete Lagoas, Brazil. The company offers amenities such as wi-fi, air condition, restaurant, bar, fitness center, and other facilities.</t>
  </si>
  <si>
    <t>134949-70T</t>
  </si>
  <si>
    <t>70505-20T</t>
  </si>
  <si>
    <t>FuturaInvest Group</t>
  </si>
  <si>
    <t>Provider of financial advisory services. The comapny offers financial consulting, asset management and other related services.</t>
  </si>
  <si>
    <t>37343-53T</t>
  </si>
  <si>
    <t>TMG Capital(Pedro Mateo)</t>
  </si>
  <si>
    <t>93128-95T</t>
  </si>
  <si>
    <t>LiveStyle</t>
  </si>
  <si>
    <t>133052-32T</t>
  </si>
  <si>
    <t>CrowdMobi</t>
  </si>
  <si>
    <t>Provider of a mobile application platform intended to help users in monitoring the performance of their telephone operators, identifying the places where the service is poor and charging for improvements. The company's platform offers its users to receive technical information from their operator's network as soon as they install the application, enabling them to contribute to the mapping of the service of the operators in the regions where they frequently visit.</t>
  </si>
  <si>
    <t>91889-65T</t>
  </si>
  <si>
    <t>31546-81T</t>
  </si>
  <si>
    <t>TuboPress Componentes Industriais</t>
  </si>
  <si>
    <t>Manufacturer of structural tube assemblies. The company's products are used in heavy and medium duty trucks and off road vehicles.</t>
  </si>
  <si>
    <t>Nelson Global(Tom Gosnell), Wind Point Partners(Michael Nelson)</t>
  </si>
  <si>
    <t>225025-12T</t>
  </si>
  <si>
    <t>51578-74T</t>
  </si>
  <si>
    <t>251566-03T</t>
  </si>
  <si>
    <t>Btowers Fundo (BVMF: BTWR11)</t>
  </si>
  <si>
    <t>Btowers Fundo Investimento Imobiliario aims to provide profit to shareholders through the distribution of results arising from rental contracts for units in the Brookfield Towers project.</t>
  </si>
  <si>
    <t>47997-91T</t>
  </si>
  <si>
    <t>Totvs (BVMF: TOTS3)(Alexandre Dinkelmann)</t>
  </si>
  <si>
    <t>89722-81T</t>
  </si>
  <si>
    <t>Rosa dos Ventos Geração e Comercialização de Energia</t>
  </si>
  <si>
    <t>Operator of wind power plants. The company has two wind power plants in the Northeast Region (Canoa Quebrada and Lagoa do Mato) and a wind project (Lagoa do Mato II), enabling industrial users to get a source of power generation unit.</t>
  </si>
  <si>
    <t>36903-34T</t>
  </si>
  <si>
    <t>Movile(Fabricio Bloisi), Prosus Ventures, Warehouse Investimentos</t>
  </si>
  <si>
    <t>98239-60T</t>
  </si>
  <si>
    <t>90630-55T</t>
  </si>
  <si>
    <t>Innova Capital (Brazil)(Felipe Moraes)</t>
  </si>
  <si>
    <t>81673-21T</t>
  </si>
  <si>
    <t>Fapeal, State Department of Planning and Economic Development</t>
  </si>
  <si>
    <t>89476-66T</t>
  </si>
  <si>
    <t>Laax Tecnologia de Informação</t>
  </si>
  <si>
    <t>Provider of information technology (IT) infrastructure services. The company's information technology (IT) infrastructure services include infrastructure of apparent channels for routing of electrical cables and data to labels for identification of the installation, through server racks, switch racks, mirrors, surface boxes, connectivity for UTP network cabling, enabling information technology (IT) companies to manage information from an office network point to their data center.</t>
  </si>
  <si>
    <t>EDGE Global Supply(Robert Eisenbrown)</t>
  </si>
  <si>
    <t>92905-39T</t>
  </si>
  <si>
    <t>Frinal</t>
  </si>
  <si>
    <t>Provider of meat processing services. The company's meat processing services include slaughtering and cutting of chickens and its derivatives, enabling both domestic and foreign customers to get quality meat products at appropriate prices.</t>
  </si>
  <si>
    <t>89468-74T</t>
  </si>
  <si>
    <t>Intereng Automação Industrial</t>
  </si>
  <si>
    <t>Distributor of technology hardware and software products based in Jaboticabal, Brazil. The company's technology hardware and software products include a broad range of technical services to complement the automation and electrical products, enabling customers to get excellent customer support and service.</t>
  </si>
  <si>
    <t>39107-62T</t>
  </si>
  <si>
    <t>89529-58T</t>
  </si>
  <si>
    <t>SCK Corretora e Administradora de Seguros</t>
  </si>
  <si>
    <t>Provider of employee benefits and insurance brokerage services. The company's employee benefits and insurance brokerage services includes property, casualty and affinity insurance products and services.</t>
  </si>
  <si>
    <t>Jardine Lloyd Thompson Group</t>
  </si>
  <si>
    <t>31230-82T</t>
  </si>
  <si>
    <t>International Finance (Washington D.C.)(Atul Mehta)</t>
  </si>
  <si>
    <t>31195-63T</t>
  </si>
  <si>
    <t>Americanas (Brazil), GP Investments (LUX: GPINA), Tiger Global Management</t>
  </si>
  <si>
    <t>78198-85T</t>
  </si>
  <si>
    <t>Central do Delivery</t>
  </si>
  <si>
    <t>Operator of an online portal for the delivery of food products. The company provides delivery services which allows you to request food requests via the internet.</t>
  </si>
  <si>
    <t>92907-46T</t>
  </si>
  <si>
    <t>Metasa</t>
  </si>
  <si>
    <t>Provider of engineering, manufacturing and assembly solutions catering to the oil, gas and mining industries. The company produces engineering, manufacturing and assembly solutions in metallic constructions for the oil and gas, petrochemical, steel, mining, infrastructure and pulp and paper industries.</t>
  </si>
  <si>
    <t>Codeme Engenharia</t>
  </si>
  <si>
    <t>251376-94T</t>
  </si>
  <si>
    <t>Reag Multi Ativos (BVMF: RMAI11)</t>
  </si>
  <si>
    <t>Reag Multi Ativos Imobiliarios - Fii is a Brazil based company. It focused on developing investment and credit solutions. It offers a broad portfolio of products and integrated services that allow us to meet the unique needs of each client, considering their specific demands and different suitability profiles. Its area of operations Management, Fiduciary Services, Credit, Distribution and Financial Advisory.</t>
  </si>
  <si>
    <t>66440-08T</t>
  </si>
  <si>
    <t>JZ Brasil</t>
  </si>
  <si>
    <t>Provider of professional conference organizing services. The company offers to organize regional conferences to world events to large audiences and also offers marketing and promotion services.</t>
  </si>
  <si>
    <t>MCI Group Holding</t>
  </si>
  <si>
    <t>54826-75T</t>
  </si>
  <si>
    <t>48716-02T</t>
  </si>
  <si>
    <t>106615-90T</t>
  </si>
  <si>
    <t>RJ Consultores</t>
  </si>
  <si>
    <t>Provider of information technology development and support services intended to serve the road passenger transport sector in several countries. The company's information technology services include software development, support, training, maintenance and consulting for retail, food service and hospitality industries.</t>
  </si>
  <si>
    <t>Bematech(Cleber Pereira de Morais)</t>
  </si>
  <si>
    <t>89383-15T</t>
  </si>
  <si>
    <t>Ahlstrom Fabricação de Não-Tecidos</t>
  </si>
  <si>
    <t>Manufacturer of non-woven fabrics. The company's non-woven fabrics utilizes modern spunlace technology for manufacturing wiping products, enabling the clothing industry to get adequate supply of such fabrics for their end products.</t>
  </si>
  <si>
    <t>Suominen (HEL: SUY1V)(Nina Kopola)</t>
  </si>
  <si>
    <t>54014-41T</t>
  </si>
  <si>
    <t>MobiClub</t>
  </si>
  <si>
    <t>Developer of digital loyalty management software designed to make payments by integrating customers with merchants. The company offers an application that helps to avoid queues at restaurants, car parks, nightclubs, and cinemas by connecting the customers to merchants to view the consumption and allow the users to make payments, enabling businesses to grow their business and engage customers.</t>
  </si>
  <si>
    <t>73685-26T</t>
  </si>
  <si>
    <t>Oki Electric Industry Company (TKS: 6703)</t>
  </si>
  <si>
    <t>48715-03T</t>
  </si>
  <si>
    <t>102648-43T</t>
  </si>
  <si>
    <t>De Santis Distribuição Industrial</t>
  </si>
  <si>
    <t>Distributor of personal protection equipment. The company's equipment include paints, complements, abrasives, cutting, stripping, adhesives, chemicals, adhesive tapes and packaging systems, enabling the users to access proper and relevant products for their use.</t>
  </si>
  <si>
    <t>70624-81T</t>
  </si>
  <si>
    <t>Reason Tecnologia</t>
  </si>
  <si>
    <t>Developer and distributor of automation network products based in Florianopolis, Brazil. The company produces measurement products and substation automation systems for energy transmission and distribution clients.</t>
  </si>
  <si>
    <t>Alstom Grid(Hervé Amossé)</t>
  </si>
  <si>
    <t>30675-97T</t>
  </si>
  <si>
    <t>Graph Ventures, Social Capital</t>
  </si>
  <si>
    <t>49690-90T</t>
  </si>
  <si>
    <t>192757-42T</t>
  </si>
  <si>
    <t>60856-21T</t>
  </si>
  <si>
    <t>API Moscow</t>
  </si>
  <si>
    <t>131697-28T</t>
  </si>
  <si>
    <t>Starta Ventures(Alexey Girin)</t>
  </si>
  <si>
    <t>37588-06T</t>
  </si>
  <si>
    <t>Armada Investment, Bulb Capital, NXTP Ventures, South Ventures</t>
  </si>
  <si>
    <t>267886-54T</t>
  </si>
  <si>
    <t>85535-02T</t>
  </si>
  <si>
    <t>210249-64T</t>
  </si>
  <si>
    <t>Black Dragons</t>
  </si>
  <si>
    <t>Operator of an esports organization based in Brazil. The company operates a gaming platform comprising of various teams, thereby catering to sports enthusiasts.</t>
  </si>
  <si>
    <t>127591-03T</t>
  </si>
  <si>
    <t>73376-65T</t>
  </si>
  <si>
    <t>BLZ</t>
  </si>
  <si>
    <t>96510-07T</t>
  </si>
  <si>
    <t>Manufacturer of high-yield thermomechanical fiber papers used in the production of printing and writing papers for the publishing market. The company manufactures paper that is used in the printing of newspapers as well as for the printing of flyers, magazines, telephone directories and books.</t>
  </si>
  <si>
    <t>Sur Capital</t>
  </si>
  <si>
    <t>82465-39T</t>
  </si>
  <si>
    <t>Bracert</t>
  </si>
  <si>
    <t>Provider of management systems certification services intended to offer quality services to the Brazilian market. The company's integrated solutions for management systems certifications are based on the main national and international standards, ranging from customized training to second and third party audits enabling businesses to update and improve their management system.</t>
  </si>
  <si>
    <t>Neuberger Berman, Rina</t>
  </si>
  <si>
    <t>79955-11T</t>
  </si>
  <si>
    <t>75012-58T</t>
  </si>
  <si>
    <t>89615-62T</t>
  </si>
  <si>
    <t>Campo Grande Diesel</t>
  </si>
  <si>
    <t>Operator of a trading company intended for parts and accessories of motor vehicles. The company's products include parts of cars, vans, auto parts and other related automobile accessories, enabling customers to get the products at competitive prices.</t>
  </si>
  <si>
    <t>201360-79T</t>
  </si>
  <si>
    <t>Connvert</t>
  </si>
  <si>
    <t>Developer of customer engagement platform serving contact center and digital customer relationship management (CRM) sectors. The company's platform offers end-to-end relationships and engagement between brands and consumers, helping simplify contact between companies and their customers.</t>
  </si>
  <si>
    <t>262702-36T</t>
  </si>
  <si>
    <t>291101-05T</t>
  </si>
  <si>
    <t>78198-22T</t>
  </si>
  <si>
    <t>70639-75T</t>
  </si>
  <si>
    <t>Distribuidora e Importadora Irmaos Avelino</t>
  </si>
  <si>
    <t>Distributor of food products. The company offers logistics services for more than 8,000 clients in businesses of restaurants, steakhouses, bars, hotels, clubs, hospitals and companies.</t>
  </si>
  <si>
    <t>The Bidvest Group (JSE: BVT)</t>
  </si>
  <si>
    <t>134521-57T</t>
  </si>
  <si>
    <t>Dona Cegonha</t>
  </si>
  <si>
    <t>Provider of an online platform intended to create a memory book for babies baby. The company's platform permits mothers to share the products and services that they buy for their babies, enabling them to share experiences with other moms.</t>
  </si>
  <si>
    <t>83036-53T</t>
  </si>
  <si>
    <t>Emotion.ME</t>
  </si>
  <si>
    <t>Operator of an online platform built for engaged couples and wedding professionals. The company brings technology to the Brazillian wedding market and is the leading one-stop-wedding planner in Brazil, overseeing bridegrooms and wedding vendors, everything in one product that is beautiful and easy to use, enabling brides and grooms to plan, budget, find suppliers, and get gifts from the well-known stores in Brazil.</t>
  </si>
  <si>
    <t>291222-19T</t>
  </si>
  <si>
    <t>124760-35T</t>
  </si>
  <si>
    <t>GAG Investimentos</t>
  </si>
  <si>
    <t>64688-77T</t>
  </si>
  <si>
    <t>Farmin (Business/Productivity Software)</t>
  </si>
  <si>
    <t>Developer of livestock management software designed to keep information about the herd up to date. The company's platform helps to detect problems early and improve profitability and productivity, trace records of the herd, and access herd information from anywhere, enabling users to simplify decision-making for cattle farms by simplifying data collection.</t>
  </si>
  <si>
    <t>184920-67T</t>
  </si>
  <si>
    <t>Afranio Almeida(Afranio Almeida), Crystian Rezende(Crystian Rezende), Daniel Prata(Daniel Prata), Fabiano Justino(Fabiano Justino), Jose Antonio dos Santos Neto(Jose Antonio dos Santos Neto), Ricardo Masstalerz(Ricardo Masstalerz), Rodrigo Jangola(Rodrigo Jangola), Wesley Rover(Wesley Rover)</t>
  </si>
  <si>
    <t>226856-17T</t>
  </si>
  <si>
    <t>Fiori</t>
  </si>
  <si>
    <t>Manufacturer of sanitary ware intended to serve the Brazilian market. The company offers various products like alpinia seat access, amaryllis seat, dahlia seat, phlox seat, institutional seat, lily seat, phlox basin with coupled box and amaryllis basin with coupled box.</t>
  </si>
  <si>
    <t>Kohler</t>
  </si>
  <si>
    <t>93171-52T</t>
  </si>
  <si>
    <t>SAP Exponentes</t>
  </si>
  <si>
    <t>93177-28T</t>
  </si>
  <si>
    <t>90818-83T</t>
  </si>
  <si>
    <t>Geocontrol</t>
  </si>
  <si>
    <t>Developer of integrated technologies intended to optimize everyday life and improve the provision of services. The company specializes in the creation, development and production of technologies for the areas of urban mobility, public security, justice, and national defense, enabling clients to have technological products that are georeferenced by photogrammetry and help in facing challenges and meet the needs of the users.</t>
  </si>
  <si>
    <t>218974-51T</t>
  </si>
  <si>
    <t>132281-83T</t>
  </si>
  <si>
    <t>Goosit</t>
  </si>
  <si>
    <t>Developer of a trip planning platform designed to note down all travelling experience. The company's platform offers detailed trip plans, tourism information, tourism guide, recommendation according to past trips, sharing them with family and friends, enabling users to gather information before and after travelling and sharing them.</t>
  </si>
  <si>
    <t>139421-26T</t>
  </si>
  <si>
    <t>GreenClick</t>
  </si>
  <si>
    <t>Provider of social and environmental development services intended to convert the audience of websites into planted trees to neutralize the emission of carbon dioxide generated by the energy consumption of servers. The company's services calculate carbon dioxide emissions and find out how many trees should be planted to neutralize it, enabling companies to have sustainable practices in a simplified way and give back to the planet what was wrongly taken away.</t>
  </si>
  <si>
    <t>HiPartners Capital &amp; Work, Ricardo Ramos(Ricardo Ramos)</t>
  </si>
  <si>
    <t>62863-39T</t>
  </si>
  <si>
    <t>254681-38T</t>
  </si>
  <si>
    <t>Have A Coffee</t>
  </si>
  <si>
    <t>Provider of subscription-based coffee services intended to deliver coffee directly from producers to customers' homes. The company offers custom roasting, carefully selected grains, and direct trade, enabling customers to enjoy a range of roasted coffee while exploring the characteristics of different origins.</t>
  </si>
  <si>
    <t>Antonio Simenson(Antonio Simenson), Start You Up Ventures</t>
  </si>
  <si>
    <t>66101-32T</t>
  </si>
  <si>
    <t>135390-61T</t>
  </si>
  <si>
    <t>111450-61T</t>
  </si>
  <si>
    <t>253095-85T</t>
  </si>
  <si>
    <t>Hub2b</t>
  </si>
  <si>
    <t>Operator of a marketplace integration platform intended to simplify marketplace management for businesses. The company offers integration with various marketplaces, enabling businesses to automate tasks and streamline their marketplace operations, saving them time and effort.</t>
  </si>
  <si>
    <t>49108-33T</t>
  </si>
  <si>
    <t>FORS Capital, Project A Ventures</t>
  </si>
  <si>
    <t>40042-63T</t>
  </si>
  <si>
    <t>IQ Friends</t>
  </si>
  <si>
    <t>Developer of a social training gaming platform designed to make scientific brain training fun and social. The company's platform helps in combining brain training with casual gaming by making boring brain training social, gamified, and on mobile with Input from both neurologists as well as game designers, enabling users to play and thus train their brains in a fun and social way.</t>
  </si>
  <si>
    <t>Lisbon Challenge, SOSV, Start-Up Brasil</t>
  </si>
  <si>
    <t>293896-63T</t>
  </si>
  <si>
    <t>79756-84T</t>
  </si>
  <si>
    <t>65097-46T</t>
  </si>
  <si>
    <t>Kajoo Smart Solutions</t>
  </si>
  <si>
    <t>Developer of a computer vision technology platform designed to count and classify products. The company's system counts and classifies any product from raw material to final product using computer vision like eggs or people and also does plug-and-play installation that does not require cabling, or panels, enabling clients to easily sort products by computer vision.</t>
  </si>
  <si>
    <t>210265-30T</t>
  </si>
  <si>
    <t>Katrium Indústrias Químicas</t>
  </si>
  <si>
    <t>Manufacturer of potassium hydroxide focused on food industries, fertilizers, agribusiness, water treatment and sanitation. The company specializes in the production and trade of potassium salts and chlorine derivatives used mainly in the manufacture of pesticides and foliar fertilizers.</t>
  </si>
  <si>
    <t>Quimpac (LIM: QUIMPAC1)</t>
  </si>
  <si>
    <t>69494-59T</t>
  </si>
  <si>
    <t>Litmus PutsMail</t>
  </si>
  <si>
    <t>Developer of Hypertext Markup Language (HTML) testing software intended for professionals. The company offers assistance to email designers to perform quick tests of their campaigns.</t>
  </si>
  <si>
    <t>Litmus (Boston)</t>
  </si>
  <si>
    <t>100332-28T</t>
  </si>
  <si>
    <t>Santander International Entrepreneurship Center</t>
  </si>
  <si>
    <t>50777-65T</t>
  </si>
  <si>
    <t>133962-04T</t>
  </si>
  <si>
    <t>132282-28T</t>
  </si>
  <si>
    <t>Mupi</t>
  </si>
  <si>
    <t>Developer of an e-learning platform designed to bring online courses to empower educators. The company's platform uses innovative technology to deliver online courses, enabling students to gain skills.</t>
  </si>
  <si>
    <t>291119-68T</t>
  </si>
  <si>
    <t>125720-38T</t>
  </si>
  <si>
    <t>Banco Santander Brasil (BVMF: SANB3), SENAI, Synapse Innovation (Brazil)</t>
  </si>
  <si>
    <t>106744-15T</t>
  </si>
  <si>
    <t>211895-47T</t>
  </si>
  <si>
    <t>169580-35T</t>
  </si>
  <si>
    <t>TPG Alternative &amp; Renewable Technologies</t>
  </si>
  <si>
    <t>291088-81T</t>
  </si>
  <si>
    <t>Osalim Agribusiness</t>
  </si>
  <si>
    <t>Developer of a digital platform designed for programmed trading in the agribusiness supply chain. The company's service is a customized and exclusive forum where the seller and buyer negotiate agricultural commodities, enabling traders to gain business margins due to the reduction of intermediaries.</t>
  </si>
  <si>
    <t>33644-71T</t>
  </si>
  <si>
    <t>Piggme</t>
  </si>
  <si>
    <t>Developer of a Brazilian social commerce site. The company operates an online social platform that provides deals and other promotional offers to their customers in exchange for a cash donation to a particular charity.</t>
  </si>
  <si>
    <t>65661-13T</t>
  </si>
  <si>
    <t>180096-85T</t>
  </si>
  <si>
    <t>190912-87T</t>
  </si>
  <si>
    <t>Maurício Kavinski</t>
  </si>
  <si>
    <t>71488-99T</t>
  </si>
  <si>
    <t>Prestum Seguros</t>
  </si>
  <si>
    <t>Operator of a network of a platform intended to search for information related to financial products. The company's platform compares the information of financial and insurance products by price or specific characteristics and locates clients for banks and insurance companies through online marketing campaigns, enabling financial institutions and companies to increase revenues and individuals can easily compare and buy financial products.</t>
  </si>
  <si>
    <t>MoneyGuru Negócios de Internet</t>
  </si>
  <si>
    <t>59439-79T</t>
  </si>
  <si>
    <t>Quero Rock</t>
  </si>
  <si>
    <t>Provider of a platform which lists all the rock bands by genre. The compnay helps to connect with the rock bands which can be shared and also organizes a rock festival.</t>
  </si>
  <si>
    <t>52084-45T</t>
  </si>
  <si>
    <t>Razoom</t>
  </si>
  <si>
    <t>Provider of an online tour and travel information services. The company offers a platform that allows users to books hotels, flight tickets, travel guide availability and receive online payments.</t>
  </si>
  <si>
    <t>21212, Start-Up Brasil</t>
  </si>
  <si>
    <t>66485-53T</t>
  </si>
  <si>
    <t>128837-80T</t>
  </si>
  <si>
    <t>66470-32T</t>
  </si>
  <si>
    <t>Sunland Entertainment Studios</t>
  </si>
  <si>
    <t>Developer of mobile games designed to develop creative games for niches. The company develops games in various genres like arcade, racing, and puzzles, enabling users by providing entertainment and innovation.</t>
  </si>
  <si>
    <t>106763-50T</t>
  </si>
  <si>
    <t>Tegma Gestao Logistica ( E-commerce Delivery Business )</t>
  </si>
  <si>
    <t>Provider of logistic services. The company's services include transporting goods from a source location to a predefined destination.</t>
  </si>
  <si>
    <t>B2W Cia Digital</t>
  </si>
  <si>
    <t>65101-78T</t>
  </si>
  <si>
    <t>ThinkTank Desenvolvimento de Projetos</t>
  </si>
  <si>
    <t>Provider of technological development services. The company provides research and development services to business enterprises and assists them in the product development phase.</t>
  </si>
  <si>
    <t>72690-40T</t>
  </si>
  <si>
    <t>291085-39T</t>
  </si>
  <si>
    <t>193122-28T</t>
  </si>
  <si>
    <t>44693-56T</t>
  </si>
  <si>
    <t>44695-18T</t>
  </si>
  <si>
    <t>66485-98T</t>
  </si>
  <si>
    <t>106645-51T</t>
  </si>
  <si>
    <t>291124-00T</t>
  </si>
  <si>
    <t>302281-39T</t>
  </si>
  <si>
    <t>Veste SA Estilo is engaged in apparel industry retailers and high-end accessories in Brazil. The Company's main objectives are: development, exploration of the industry, trade, import and export of clothing and clothing accessories and trading in decorative, hygiene and cosmetic objects, among others. It produces clothes, accessories, footwear, and articles for the home, always in line with contemporary lifestyle, bringing joy, elegance, and well-being to customers under its brands Le Lis, Dudalina, john john, Stew, and Individual. The company focuses on designing, developing, manufacturing, and trading apparel and accessories for women and men.</t>
  </si>
  <si>
    <t>225827-38T</t>
  </si>
  <si>
    <t>BRZ Investimentos, Spectra Investments</t>
  </si>
  <si>
    <t>67075-57T</t>
  </si>
  <si>
    <t>Wikidu</t>
  </si>
  <si>
    <t>Provider of a knowledge sharing platform. The company offers a Web-based platform that enables students to create projects, develop skills and share their work with others across Brazil.</t>
  </si>
  <si>
    <t>78578-02T</t>
  </si>
  <si>
    <t>132281-29T</t>
  </si>
  <si>
    <t>Youlinked</t>
  </si>
  <si>
    <t>Developer of an internet platform intended to increase self-awareness about what people value most about their organization. The company's platform offers personal values assessment, organizational values assessment, brand values assessment and product or service values assessment, enabling users to seamlessly monitor their values.</t>
  </si>
  <si>
    <t>101735-29T</t>
  </si>
  <si>
    <t>Gala Capital, Temasek Holdings</t>
  </si>
  <si>
    <t>66574-45T</t>
  </si>
  <si>
    <t>Coremal</t>
  </si>
  <si>
    <t>Distributor of chemical products. The company distributes paints, adhesives, plastics and rubbers.</t>
  </si>
  <si>
    <t>Grupo Pochteca (MEX: POCHTECB)(Armando González)</t>
  </si>
  <si>
    <t>89734-33T</t>
  </si>
  <si>
    <t>Stock Comercializadora de Energia</t>
  </si>
  <si>
    <t>Distributor of industrial raw materials, minerals, metals and agricultural products.</t>
  </si>
  <si>
    <t>Noble Resources Trading Holdings</t>
  </si>
  <si>
    <t>37983-79T</t>
  </si>
  <si>
    <t>Kees Koolen(Kees Koolen), Koolen &amp; Partners, Odontoprev (BVMF: ODPV3)(Randal Zanetti), Trindade Investimentos(Danilo Amaral), Valor Capital Group(Scott Sobel)</t>
  </si>
  <si>
    <t>62244-37T</t>
  </si>
  <si>
    <t>CR Almeida</t>
  </si>
  <si>
    <t>78688-00T</t>
  </si>
  <si>
    <t>Crescera Capital(Sergio Salles Pinto), FMR (United States), Peterson Partners</t>
  </si>
  <si>
    <t>92206-27T</t>
  </si>
  <si>
    <t>Caixa Seguradora</t>
  </si>
  <si>
    <t>55361-71T</t>
  </si>
  <si>
    <t>Fisgo</t>
  </si>
  <si>
    <t>Developer of a search engine designed to search cars and real estate classifieds. The company's search engine website aggregates, rates and presents content from various sites related to cars, real estate, jobs and others themes and filters all offers available in these segments, enabling users to choose from relevant deals available in the market.</t>
  </si>
  <si>
    <t>102165-22T</t>
  </si>
  <si>
    <t>JM Growth Equity Partners, Peterson Partners</t>
  </si>
  <si>
    <t>34578-82T</t>
  </si>
  <si>
    <t>Intel Capital, Oria Capital, Spectra Investments</t>
  </si>
  <si>
    <t>133043-32T</t>
  </si>
  <si>
    <t>ToNails ( Personal Products)</t>
  </si>
  <si>
    <t>Provider of nail films intended to make women's nails more beautiful for longer. The company's films can be created by the user with photographs or prints through the portal or application, enabling users to get beautiful nails.</t>
  </si>
  <si>
    <t>108087-31T</t>
  </si>
  <si>
    <t>Ferroport Logística Comercial Exportadora</t>
  </si>
  <si>
    <t>Operator of an iron ore port based in Rio de Janeiro, Brazil. The company specializes in developing and operating port facilities with the help of a team of professionals who plan and generate the processes with operational efficiency in a safe and sustainable way, enabling clients to receive the required results with a reduced impact and cost.</t>
  </si>
  <si>
    <t>Anglo American (LON: AAL)</t>
  </si>
  <si>
    <t>89627-95T</t>
  </si>
  <si>
    <t>Ferrari Termoelétrica</t>
  </si>
  <si>
    <t>Operator of thermal electric energy project for sugarcane biomass. The company's thermal electric energy project with an installed capacity of 65.5 MW and a commercial capacity of 23.2 average MW.</t>
  </si>
  <si>
    <t>35757-64T</t>
  </si>
  <si>
    <t>141000-49T</t>
  </si>
  <si>
    <t>223511-14T</t>
  </si>
  <si>
    <t>Domo Fundo de Investimento Imobiliario FII (BVMF: DOMC11)</t>
  </si>
  <si>
    <t>Domo Fundo de Investimento Imobiliario FII is a real estate investment fund.</t>
  </si>
  <si>
    <t>33294-43T</t>
  </si>
  <si>
    <t>Advent International, Warburg Pincus(Azor Barros)</t>
  </si>
  <si>
    <t>89629-84T</t>
  </si>
  <si>
    <t>Fidelle Administradora e Corretora</t>
  </si>
  <si>
    <t>Provider of insurance brokerage services. The company provides insurance brokerage services in group life insurance and personal accident insurance.</t>
  </si>
  <si>
    <t>28518-49T</t>
  </si>
  <si>
    <t>Treecorp Investimentos (BVMF: TCPF11), Warburg Pincus(Alain Belda)</t>
  </si>
  <si>
    <t>119835-64T</t>
  </si>
  <si>
    <t>Klabin SA operates in various segments of the pulp and paper industry, supplying domestic and foreign markets with wood, bleached pulp, packaging paper, paper sacks, and corrugated cardboard boxes. The firm organizes itself into four segments based on product type: Forestry, Paper, Conversion, and Pulp. The Forestry segment involves operations related to planting and growing pine and eucalyptus trees and selling timber to third parties. The Paper segment mainly involves the production of cardboard, Kraftliner, and recycled paper rolls and their sale. The Conversion segment, which derives maximum revenue, involves the production and sale of corrugated cardboard boxes, cardboard, and industrial bags. The Pulp segment includes the production and sale of short, long, and fluff fiber pulp.</t>
  </si>
  <si>
    <t>SeaTown Holdings International, Temasek Holdings</t>
  </si>
  <si>
    <t>44588-35T</t>
  </si>
  <si>
    <t>Pixis (app)</t>
  </si>
  <si>
    <t>Provider of an educational application. The company's platform offers a story series for children and parents, to teach them about sustainability, offering lyrical, engaging stories, with hand-painted illustrations, with each story carrying a message.</t>
  </si>
  <si>
    <t>54901-72T</t>
  </si>
  <si>
    <t>25255-81T</t>
  </si>
  <si>
    <t>Blackstone (NYS: BX), Patria Investments (NAS: PAX), Spectra Investments</t>
  </si>
  <si>
    <t>29206-81T</t>
  </si>
  <si>
    <t>31613-95T</t>
  </si>
  <si>
    <t>Andreas Penna(Andreas Penna), Monashees, Qualcomm Ventures(Patrick Eggen)</t>
  </si>
  <si>
    <t>70128-55T</t>
  </si>
  <si>
    <t>Neotriad</t>
  </si>
  <si>
    <t>Developer of a team management software intended to enhance day-to-day productivity. The company's software offers an online team and personnel management system that tracks all activities from start to finish and optimizes each step for more results, enabling businesses to increase the execution capacity, coordinate projects, reduce urgencies and plan without the hustle and bustle of everyday life.</t>
  </si>
  <si>
    <t>FORS Capital(Humberto Matsuda)</t>
  </si>
  <si>
    <t>182103-67T</t>
  </si>
  <si>
    <t>RealLogs</t>
  </si>
  <si>
    <t>Processor and distributor of merchant &amp; engineer grade Brazilian Eucalyptus timber &amp; plantations intended for mega-agriculture, infrastructure, mass timber &amp; heavy construction, utility poles, highway, and other further engineer finish applications. The company performs strict quality control during all stages of the cultivation and processing of the eucalyptus and offers reforested wood for construction, landscaping, electrification, and manufacturing furniture, helping customers to ensure the long life and high durability of the wood.</t>
  </si>
  <si>
    <t>56020-15T</t>
  </si>
  <si>
    <t>Gera Venture Capital(Leila Orenstein)</t>
  </si>
  <si>
    <t>134891-47T</t>
  </si>
  <si>
    <t>38904-58T</t>
  </si>
  <si>
    <t>Metachem Nutrientes Industrial e Comercial</t>
  </si>
  <si>
    <t>Producer and seller of animal feed additives in Brazil. The company's product portfolio includes both powder and liquid feed additives, enabling farmers and cattle raiser to avail quality products.</t>
  </si>
  <si>
    <t>Royal Agrifirm Group</t>
  </si>
  <si>
    <t>76104-19T</t>
  </si>
  <si>
    <t>89640-10T</t>
  </si>
  <si>
    <t>G2KA Sistemas</t>
  </si>
  <si>
    <t>Provider of electronic accounting and tax services. The company's accounting services are designed to increase productivity in operational activities of organizations, enabling clients to get e-accounting and e-tax solutions.</t>
  </si>
  <si>
    <t>Agentrics</t>
  </si>
  <si>
    <t>95638-78T</t>
  </si>
  <si>
    <t>Moinhos Vera Cruz</t>
  </si>
  <si>
    <t>Manufacturer of whole grains. The company's whole grains include flours, enabling the baking industry to access a wide range of raw material for the preparation of biscuits, pasta, industrial baking and cereals.</t>
  </si>
  <si>
    <t>36915-94T</t>
  </si>
  <si>
    <t>87262-03T</t>
  </si>
  <si>
    <t>127194-49T</t>
  </si>
  <si>
    <t>Bonasa</t>
  </si>
  <si>
    <t>Operator of a poultry-raising company based in Recanto das Emas, Brazil. The company is involved in each part of the production process, from poultry and swine farming, grain storage and feed manufacturing, to slaughtering, processing and distributing products all over Brazil.</t>
  </si>
  <si>
    <t>131850-19T</t>
  </si>
  <si>
    <t>46627-75T</t>
  </si>
  <si>
    <t>Dualtec Informática</t>
  </si>
  <si>
    <t>Provider of cloud computing services. The company offers cloud computing services for hosting, email, applications, private networks and data communication.</t>
  </si>
  <si>
    <t>Compass UOL</t>
  </si>
  <si>
    <t>50676-40T</t>
  </si>
  <si>
    <t>132875-29T</t>
  </si>
  <si>
    <t>65586-97T</t>
  </si>
  <si>
    <t>Overdrive (Brazil)</t>
  </si>
  <si>
    <t>Provider of an educational platform. The company provides an educational platform enabling students to learn about robotics and information technology.</t>
  </si>
  <si>
    <t>46626-58T</t>
  </si>
  <si>
    <t>ArpexCapital, Astella Investimentos(Edson Rigonatti), Internet Intelligence</t>
  </si>
  <si>
    <t>57878-20T</t>
  </si>
  <si>
    <t>Bela Vista Investimentos, Graycliff Partners</t>
  </si>
  <si>
    <t>110575-27T</t>
  </si>
  <si>
    <t>SoftSite(Yure Sabino)</t>
  </si>
  <si>
    <t>102652-75T</t>
  </si>
  <si>
    <t>TurboTech Engenharia</t>
  </si>
  <si>
    <t>Provider of engineering services in Brazil. The company's services maintenance, overhaul and monitoring services for turbo machinery.</t>
  </si>
  <si>
    <t>Hoerbiger</t>
  </si>
  <si>
    <t>90327-43T</t>
  </si>
  <si>
    <t>Brasil Terminal Portuario</t>
  </si>
  <si>
    <t>Operator of a shipping port based in Sao Paulo, brazil. The company offers container import storage, cargo security and customs transit as well as goods loading and unloading services to clients.</t>
  </si>
  <si>
    <t>APM Terminals Management</t>
  </si>
  <si>
    <t>38948-86T</t>
  </si>
  <si>
    <t>Seventeen Tecnologia da Informacao em Informatica</t>
  </si>
  <si>
    <t>Developer of management software. The company offers information and system management software for the Information technology and healthcare industries.</t>
  </si>
  <si>
    <t>40042-09T</t>
  </si>
  <si>
    <t>Guillaume Sampic(Guillaume Sampic), Holger Sprengel(Holger Sprengel), LAUNCHub Ventures, Renato Toi(Renato Toi)</t>
  </si>
  <si>
    <t>216305-92T</t>
  </si>
  <si>
    <t>LZT Soluções em Informática</t>
  </si>
  <si>
    <t>Developer of enterprise resource planning solutions catering to gas stations and management consultants.</t>
  </si>
  <si>
    <t>38984-32T</t>
  </si>
  <si>
    <t>NSF Bioensaios</t>
  </si>
  <si>
    <t>Owner and operator of analytical and testing laboratories. The company providing services of chemical and biological analyses for the environmental, chemical and food industries.</t>
  </si>
  <si>
    <t>NSF International(Kevan Lawlor)</t>
  </si>
  <si>
    <t>57354-13T</t>
  </si>
  <si>
    <t>Women Startup Lab</t>
  </si>
  <si>
    <t>86532-76T</t>
  </si>
  <si>
    <t>Changi Airport, Novonor(Paulo Cesena)</t>
  </si>
  <si>
    <t>222913-09T</t>
  </si>
  <si>
    <t>Caixa Rio Bravo Fundo de Fundos de Investimentos Imobiliario - FII (BVMF: CXRI11)</t>
  </si>
  <si>
    <t>Caixa Rio Bravo Fundo de Fundos de Investimentos Imobiliario - FII is a closed-end fund. It operates as a real estate investment fund.</t>
  </si>
  <si>
    <t>76062-43T</t>
  </si>
  <si>
    <t>IBM SmartCamp</t>
  </si>
  <si>
    <t>55549-72T</t>
  </si>
  <si>
    <t>Instaquadros</t>
  </si>
  <si>
    <t>Provider of a platform for creating online photo galleries. The company provides a crowdsourced marketplace where photographers can create free, online galleries and easily turn their digital photos into custom made decorations to use themselves or sell to others.</t>
  </si>
  <si>
    <t>55488-70T</t>
  </si>
  <si>
    <t>Monograme</t>
  </si>
  <si>
    <t>Operator of an online clothing shop intended to make latest fashion affordable. The company's shop provides all season clothing for men, women and kids, enabling them to get clothes for all purpose conveniently.</t>
  </si>
  <si>
    <t>55708-93T</t>
  </si>
  <si>
    <t>Vinitude</t>
  </si>
  <si>
    <t>Developer of an e-commerce platform intended for the retail of wines. The company's platform offers a wide variety of local wines and international wines and also provides a monthly subscription plan, to avail customers of a variety of wines at favorable prices.</t>
  </si>
  <si>
    <t>89761-60T</t>
  </si>
  <si>
    <t>Mind Services Informática</t>
  </si>
  <si>
    <t>Provider of technology consulting and development services. The company's technology consulting and development services include development of taylor-made projects, outsourcing project, software and test manufacturing services, allocation of specialized personnel, ready-made solutions and consultancy and training.</t>
  </si>
  <si>
    <t>Reply (IT Consulting and Outsourcing) (MIL: REY)(Mario Rizzante)</t>
  </si>
  <si>
    <t>70737-49T</t>
  </si>
  <si>
    <t>DHF Automotive Solutions</t>
  </si>
  <si>
    <t>Supplier of aftermarket automotive parts. The company is a manufacturer and distributor of automotive hitching and accessory products in Brazil.</t>
  </si>
  <si>
    <t>TriMas (NAS: TRS)(Paul Caruso)</t>
  </si>
  <si>
    <t>77391-73T</t>
  </si>
  <si>
    <t>70142-14T</t>
  </si>
  <si>
    <t>Geociclo</t>
  </si>
  <si>
    <t>Producer of organic bio-fertilizers based in Uberlândia, Brazil. The company collects agricultural and industrial waste and treats it to create a fertilizer compound through the application of biotechnology and develops sustainable organic fertilizers which increase crop productivity in an ecologically correct, economically profitable and socially responsible way, providing an alternative to chemical products.</t>
  </si>
  <si>
    <t>FORS Capital(Guillaume Sagez), Mantiq Investimentos</t>
  </si>
  <si>
    <t>62899-48T</t>
  </si>
  <si>
    <t>Latin American Media Group</t>
  </si>
  <si>
    <t>Operator of an online website for lifestyle products. The company offers an online platform which provides various social contents related to beauty, hairstyling, fashion, health, relationships, family, entertainment and the labour market for women.</t>
  </si>
  <si>
    <t>Panna Cotta PCG</t>
  </si>
  <si>
    <t>66118-15T</t>
  </si>
  <si>
    <t>Global Innovation Technology</t>
  </si>
  <si>
    <t>Provider of a multimedia collaboration tool. The company provides a tool which integrates with any visual education platform and offers the ability to comment and interact at specific moments during the duration of the video.</t>
  </si>
  <si>
    <t>95731-66T</t>
  </si>
  <si>
    <t>Avalia.aí</t>
  </si>
  <si>
    <t>Developer of an online customer satisfaction assessment software designed for clients to know what their customers are thinking instantaneously. The company's platform allows businesses to gather customer feedback in real time, analyze data to identify trends, and respond to customer concerns through direct communication channels, enabling businesses to improve customer satisfaction, build loyalty, and make data-driven decisions to enhance their products and services.</t>
  </si>
  <si>
    <t>155852-20T</t>
  </si>
  <si>
    <t>Canguru</t>
  </si>
  <si>
    <t>Developer of a Femtech mobile application designed to manage health during pregnancy. The company's application offers personalized pregnancy information and messages and makes it easier for pregnant women to securely connect with physicians, other pregnant women and healthcare organizations, enabling future mothers to help take care of themselves.</t>
  </si>
  <si>
    <t>SEED - Startups and Entrepreneurship Ecosystem Development(Leandro Campos)</t>
  </si>
  <si>
    <t>141378-31T</t>
  </si>
  <si>
    <t>Funplace</t>
  </si>
  <si>
    <t>Producer of health supplements products intended to provide nutrition to the body. The company's products are made with natural ingredients which can contribute to lose weight and avoid diseases, enabling consumers to get the right amount of vitamins and minerals for their body and maintain a balanced and healthy diet plan.</t>
  </si>
  <si>
    <t>141391-81T</t>
  </si>
  <si>
    <t>HOMESTAY BRAZIL</t>
  </si>
  <si>
    <t>Provider of homestay services intended to list, discover, and book accommodations in Brazil. The company's services offer its guests a nice place to stay for a good price and connecting people from all around the world with Brazilians and their lifestyle, enabling guests to enjoy the Brazilian culture.</t>
  </si>
  <si>
    <t>156029-68T</t>
  </si>
  <si>
    <t>62784-28T</t>
  </si>
  <si>
    <t>SEED - Startups and Entrepreneurship Ecosystem Development(André Barrence)</t>
  </si>
  <si>
    <t>85330-81T</t>
  </si>
  <si>
    <t>141047-29T</t>
  </si>
  <si>
    <t>Donuz</t>
  </si>
  <si>
    <t>Developer of customer loyalty software designed to engage employees, and influencers, retain customers and increase sales. The company's software offers a customer loyalty program, an employee points program, a points program for sellers, a points program for influencers, a point program for referrals, and a membership loyalty program, enabling companies to grow and stand out with the best strategies.</t>
  </si>
  <si>
    <t>149061-25T</t>
  </si>
  <si>
    <t>O X da Questão</t>
  </si>
  <si>
    <t>Developer of a board game intended to make learning multiplication tables faster and more fun. The company's games offers multiplication table, enabling users to improve their math skills that are crucial for the high-tech jobs of the future.</t>
  </si>
  <si>
    <t>132282-46T</t>
  </si>
  <si>
    <t>Pictastik</t>
  </si>
  <si>
    <t>Developer of a location based photo sharing application designed to provide updates with happenings in the cities around the world. The company's application organizes all the photos shared by users by cities and countries and automatically adds the users location to the photo they post, enabling users to see what's happening in the cities around the world.</t>
  </si>
  <si>
    <t>149065-66T</t>
  </si>
  <si>
    <t>250755-22T</t>
  </si>
  <si>
    <t>Xmile Learning</t>
  </si>
  <si>
    <t>Developer of online educational games intended to be built for elementary school kids. The company offers interdisciplinary games as per the national curriculum guidelines and captures student interactions with the game while providing a real-time performance report to teachers, enabling the education community to stimulate learning experiences, develop imagination and consolidate concepts in learners.</t>
  </si>
  <si>
    <t>156048-22T</t>
  </si>
  <si>
    <t>29590-84T</t>
  </si>
  <si>
    <t>Denham Capital Management(Caroline Donally)</t>
  </si>
  <si>
    <t>73140-22T</t>
  </si>
  <si>
    <t>Spring Activator</t>
  </si>
  <si>
    <t>67878-46T</t>
  </si>
  <si>
    <t>Alternate Technologies</t>
  </si>
  <si>
    <t>Developer of software designed for pharmaceutical compounding. The company is engaged in developing and supplying software and technology tools for pharmaceutical compounding, thereby enabling its clients to provided with quality services at a competitive price.</t>
  </si>
  <si>
    <t>Fagron (BRU: FAGR)(Gerardus van Jeveren)</t>
  </si>
  <si>
    <t>39032-47T</t>
  </si>
  <si>
    <t>Guimar Engenharia</t>
  </si>
  <si>
    <t>Provider of engineering and project management services catering to pulp and paper, petroleum and chemicals industries.</t>
  </si>
  <si>
    <t>Jacobs Solutions (NYS: J)(Gary Mandel)</t>
  </si>
  <si>
    <t>54636-94T</t>
  </si>
  <si>
    <t>OAK Soluções Empresariais em Informática</t>
  </si>
  <si>
    <t>Provider of online voting and digital certification technology in Brazil. The company's product includes WebVoto, an online voting platform for private sector elections and ICP-Bravo, an encryption and digital certification suite of applications fully compliant with Brazilian rules and regulations.</t>
  </si>
  <si>
    <t>Scytl</t>
  </si>
  <si>
    <t>88357-06T</t>
  </si>
  <si>
    <t>Amapa Iron Ore Mine</t>
  </si>
  <si>
    <t>Operator of iron ore processing facility located in Ampara, Brazil.</t>
  </si>
  <si>
    <t>Zamin Ferrous</t>
  </si>
  <si>
    <t>29467-90T</t>
  </si>
  <si>
    <t>Monashees(Eric Acher), Napkn Ventures(Manoel Lemos), Ribbit Capital(Meyer Malka), Valar Ventures</t>
  </si>
  <si>
    <t>33598-45T</t>
  </si>
  <si>
    <t>182796-85T</t>
  </si>
  <si>
    <t>25617-07T</t>
  </si>
  <si>
    <t>Biocapital</t>
  </si>
  <si>
    <t>Producer of biofuels products intended to be used in various raw materials. The company's products include the production of biodiesel from various types of vegetable oils, including soybean, cotton, peanut, sunflower, palm, jatropha, castor, and also animal tallow, enabling clients to purchase biodiesel at affordable prices.</t>
  </si>
  <si>
    <t>Venture Partners do Brasil(Danilo Gaspar)</t>
  </si>
  <si>
    <t>53229-88T</t>
  </si>
  <si>
    <t>BRF (Beef Division)</t>
  </si>
  <si>
    <t>Producer of meat products. The company engages in the production and processing of beef and beef products.</t>
  </si>
  <si>
    <t>89629-93T</t>
  </si>
  <si>
    <t>FKG Capital</t>
  </si>
  <si>
    <t>Provider of investment management services. The company's investment management services specializes in acting as an exclusive sub-adviser.</t>
  </si>
  <si>
    <t>58097-44T</t>
  </si>
  <si>
    <t>75006-19T</t>
  </si>
  <si>
    <t>Itapebi Geração de Energia</t>
  </si>
  <si>
    <t>Owner and operator of a hydroelectric power plant in Brazil. The company operates a 462 megawatt power plant comprising of three generating units of 150 megawatt each, and with a capacity to generate a total of 1.88 million megawatt per hour of clean and renewable form of energy used to power the nearby residential and commercial units.</t>
  </si>
  <si>
    <t>Termopernambuco</t>
  </si>
  <si>
    <t>62285-05T</t>
  </si>
  <si>
    <t>Kartela</t>
  </si>
  <si>
    <t>Developer of an application software for restaurants. The company develops a mobile application software which enables people to accumulate points that can be exchanged for prizes every time they get a meal.</t>
  </si>
  <si>
    <t>38681-47T</t>
  </si>
  <si>
    <t>João Zecchin(João Zecchin), Kees Koolen(Kees Koolen), Matthieu Hautefort(Matthieu Hautefort), Nicolas Gautier(Nicolas Gautier), Thibaud Lecuyer(Thibaud Lecuyer)</t>
  </si>
  <si>
    <t>29312-74T</t>
  </si>
  <si>
    <t>Óleo e Gás Participações</t>
  </si>
  <si>
    <t>Oleo e Gas Participacoes SA. produces, explores, and distributes oil and natural gas. It is also involved in refining and marketing of natural gas, transportation of petroleum and exploration and distribution of oil and natural gas. The company's exploration and production assets portfolio in the oil and gas sector is composed of blocks located in the sedimentary Campos and Santos Basins, in Brazil.</t>
  </si>
  <si>
    <t>Cambuhy Investimentos, E.ON (ETR: EOAN)</t>
  </si>
  <si>
    <t>46632-70T</t>
  </si>
  <si>
    <t>Ótica My Style Comércio</t>
  </si>
  <si>
    <t>Retailer of eyewear. The company offers an online platform to sell prescription glasses and frames, contact lenses and sunglasses, as well as accessories such as watches.</t>
  </si>
  <si>
    <t>95768-38T</t>
  </si>
  <si>
    <t>PGS Participacoes</t>
  </si>
  <si>
    <t>Operator of a holding company. The company's services include operation of a chain of restaurants offering multi-cuisine dining facilities, enabling customers to enjoy their food with family and friends at a fair price.</t>
  </si>
  <si>
    <t>Bloomin' Brands (NAS: BLMN)</t>
  </si>
  <si>
    <t>45170-11T</t>
  </si>
  <si>
    <t>57568-33T</t>
  </si>
  <si>
    <t>Reglare</t>
  </si>
  <si>
    <t>Developer of software and provider of data processing services through research and rules. The company develops enterprise search software, web search, profiling components, performance capture and creates personal rules to filter large volumes of data from different sources and take automated actions in real time.</t>
  </si>
  <si>
    <t>66703-87T</t>
  </si>
  <si>
    <t>75979-81T</t>
  </si>
  <si>
    <t>Vital Renewable Energy</t>
  </si>
  <si>
    <t>Operator of a renewable energy company in Brazil. The company constructs and operates sugar cane-based ethanol facilities with integrated electricity co-generation.</t>
  </si>
  <si>
    <t>Darby Overseas Investments(Richard Frank)</t>
  </si>
  <si>
    <t>99337-69T</t>
  </si>
  <si>
    <t>Vivere Brasil Serviços e Soluções</t>
  </si>
  <si>
    <t>Developer of a real estate lending platform. The company's real estate lending platform obtains customer information as well as provides financing simulations, document certification and ticketing, enabling clients to reduce human intervention and process documents efficiently.</t>
  </si>
  <si>
    <t>Accenture (NYS: ACN)(Luis Simões)</t>
  </si>
  <si>
    <t>29336-68T</t>
  </si>
  <si>
    <t>Citrix Systems(Isaac Leonard), Intel Capital(David Thomas)</t>
  </si>
  <si>
    <t>89689-78T</t>
  </si>
  <si>
    <t>Nelson Quintas Telecomunicações</t>
  </si>
  <si>
    <t>Operator of fiber optic network services. The company's fiber optic network operates in the wholesale market for data transmission and internet access in the state of Rio de Janeiro.</t>
  </si>
  <si>
    <t>Internexa(Rogério Antunes)</t>
  </si>
  <si>
    <t>39119-95T</t>
  </si>
  <si>
    <t>Spaipa</t>
  </si>
  <si>
    <t>Provider of The Coca-Cola Company trademark beverages. The company manufactures and distributes soft drinks, alcoholic beverages and juice products.</t>
  </si>
  <si>
    <t>Coca-Cola FEMSA (PINX: COCSF)(Carlos Lomelin)</t>
  </si>
  <si>
    <t>65808-19T</t>
  </si>
  <si>
    <t>65578-96T</t>
  </si>
  <si>
    <t>Leva Lá</t>
  </si>
  <si>
    <t>Provider of an online logistics facilitating platform. The company provides an online platform which allows business enterprises to find freight trucks which can transport their cargo at competitive prices.</t>
  </si>
  <si>
    <t>39137-95T</t>
  </si>
  <si>
    <t>TM Data</t>
  </si>
  <si>
    <t>Provider of wireless communication services. The company provides managed M2M services such as managed connectivity across all M2M verticals and ancillary services in network management, consulting and equipment lifecycle management.</t>
  </si>
  <si>
    <t>Wyless Europe(Dan McDuffie)</t>
  </si>
  <si>
    <t>89693-92T</t>
  </si>
  <si>
    <t>Nova Pontocom Comércio Eletrônico</t>
  </si>
  <si>
    <t>Operator of online retail store for electronic products.</t>
  </si>
  <si>
    <t>32726-26T</t>
  </si>
  <si>
    <t>102774-79T</t>
  </si>
  <si>
    <t>Lupatech (Tubular Unit)</t>
  </si>
  <si>
    <t>Provider of pipeline engineering services in Rio de Janerio, Brazil.</t>
  </si>
  <si>
    <t>Vallourec Soluções Tubulares do Brasil</t>
  </si>
  <si>
    <t>33956-83T</t>
  </si>
  <si>
    <t>ZoeMob</t>
  </si>
  <si>
    <t>Developer of a family assistant application designed to back family members to locate each other. The company's application offers a safe way to track location by using a private family map feature, enabling individuals and families to stay safe, communicate and organize their activities and commitments together.</t>
  </si>
  <si>
    <t>RocketSpace</t>
  </si>
  <si>
    <t>57780-55T</t>
  </si>
  <si>
    <t>Pergunter</t>
  </si>
  <si>
    <t>Owner and operator of a social network created for users to ask questions through or about photos and videos. The company's platform allows users to share questions through Facebook, Twitter and Google.</t>
  </si>
  <si>
    <t>27923-95T</t>
  </si>
  <si>
    <t>EIG(Kevin Lowder)</t>
  </si>
  <si>
    <t>216384-13T</t>
  </si>
  <si>
    <t>Asyst Internacional Serviços de Informática</t>
  </si>
  <si>
    <t>Provider of IT outsourcing and computer systems design-related services based in Santa Efigênia de Minas, Brazil. The company's line of business is in the transfer of the information technology processes, managing the entire department and guaranteeing the client the exclusive focus to their business needs.</t>
  </si>
  <si>
    <t>Algar Tech</t>
  </si>
  <si>
    <t>224055-46T</t>
  </si>
  <si>
    <t>Fii Nch Brasil Recebiveis Imobiliarios Para Fii Fyto Recebiveis (BVMF: FYTO11)</t>
  </si>
  <si>
    <t>Fii Nch Brasil Recebiveis Imobiliarios Para Fii Fyto Recebiveis Imob Formerly FDO INV IMOB - FII Nextcap Recebiveis Imobiliarios is a real estate investment fund.</t>
  </si>
  <si>
    <t>33181-75T</t>
  </si>
  <si>
    <t>34876-09T</t>
  </si>
  <si>
    <t>A5 Capital Partners(Paulo Humberg), Kaszek(Nicolas Berman), KPTL</t>
  </si>
  <si>
    <t>92049-13T</t>
  </si>
  <si>
    <t>29056-78T</t>
  </si>
  <si>
    <t>IFC Asset Management Company</t>
  </si>
  <si>
    <t>33918-40T</t>
  </si>
  <si>
    <t>Devex Tecnologia e Sistemas</t>
  </si>
  <si>
    <t>Provider of mine-management software services. The company engages in providing automation services for open-pit and underground mines.</t>
  </si>
  <si>
    <t>Hexagon (STO: HEXA B)</t>
  </si>
  <si>
    <t>29789-47T</t>
  </si>
  <si>
    <t>Aqua Capital(Agustín Blanco), DEG, Spectra Investments</t>
  </si>
  <si>
    <t>89598-70T</t>
  </si>
  <si>
    <t>Época Cosméticos</t>
  </si>
  <si>
    <t>Operator of an e-commerce platform intended to offer beauty products. The company's e-commerce platform offers a wide range of beauty products such as cosmetics, hair products, skin care products and other related products.</t>
  </si>
  <si>
    <t>32028-31T</t>
  </si>
  <si>
    <t>Administração de Cursos Educacionais</t>
  </si>
  <si>
    <t>Provider of educational services. The company provides primary and secondary education. It primarily offers preparatory courses for public exams, distance learning and language courses.</t>
  </si>
  <si>
    <t>Somos Educação(Manoel Amorim)</t>
  </si>
  <si>
    <t>29068-57T</t>
  </si>
  <si>
    <t>Ally Financial (Brazilian Auto Finance and Financial Services Business)</t>
  </si>
  <si>
    <t>Auto finance and financial services business in Brazil. It also includes vehicle finance like four wheeler vehicle finance as well as motorcycle finance services.</t>
  </si>
  <si>
    <t>General Motors Financial Company</t>
  </si>
  <si>
    <t>44256-97T</t>
  </si>
  <si>
    <t>Ally Financial (European and Latin American operations)</t>
  </si>
  <si>
    <t>Owner and operator of an auto financing business. The company is engaged in purchasing, selling and securitizing automotive retail contracts and leases with retail customers, as well as collecting and processing services to those contracts. The company also provides fleet financing to automotive dealers.</t>
  </si>
  <si>
    <t>29355-94T</t>
  </si>
  <si>
    <t>Brasil Telematics</t>
  </si>
  <si>
    <t>Manufacturer of equipments for measuring, monitoring and fleet management, whether for light and heavy vehicles, boating and more. The company provides specialized care by experienced professionals, which helps customers find workable solutions to improve the performance of vehicles, drivers and other activities monitored by telemetry equipment.</t>
  </si>
  <si>
    <t>196091-65T</t>
  </si>
  <si>
    <t>Turim</t>
  </si>
  <si>
    <t>50664-43T</t>
  </si>
  <si>
    <t>Cargobr</t>
  </si>
  <si>
    <t>Developer of logistics platform designed for the purchase and sale of fractional and closed freight. The company's platform facilitates the transport chain by connecting carriers and shippers' cargo customers in the process of listing, purchasing, and sale of freight, enabling clients with improved communication and optimized procedures.</t>
  </si>
  <si>
    <t>Acelera Partners, Start-Up Chile</t>
  </si>
  <si>
    <t>106633-72T</t>
  </si>
  <si>
    <t>Dock Brasil Engenharia e Serviços</t>
  </si>
  <si>
    <t>Provider of repair and maintenance services for offshore vessels and floating structures. The company is involved in construction of ports, canals, dikes, locks, docks and offers rental, maintenance &amp; repair of commercial and industrial machinery and equipment.</t>
  </si>
  <si>
    <t>Mantiq Investimentos, Mare Investimentos, Spectra Investments</t>
  </si>
  <si>
    <t>44555-50T</t>
  </si>
  <si>
    <t>Drogasmil</t>
  </si>
  <si>
    <t>Operator of an online pharmaceutical retail platform intended to make healthcare accessible and affordable for consumers in Brazil. The company's platform delivers prescription drugs, proprietary drugs, hygiene products, baby products, nutritional supplements and non-prescription medicines, enabling consumers to meet all their healthcare needs from a single source hassle-free.</t>
  </si>
  <si>
    <t>216391-33T</t>
  </si>
  <si>
    <t>Grana AQUI</t>
  </si>
  <si>
    <t>Operator of a financial consultation firm intended to provide free advice on obtaining real estate credit (refinancing of residential and commercial properties) for individuals and companies in Brazil. The company offers real estate financing, vehicle refinancing, home credit enabling customers to choose from variety of services.</t>
  </si>
  <si>
    <t>Creditas Soluções Financeiras(Ann Williams)</t>
  </si>
  <si>
    <t>213970-60T</t>
  </si>
  <si>
    <t>PMS Informática</t>
  </si>
  <si>
    <t>Developer of human resource business management software based in Sao Paulo, Brazil. The company specializes in providing human resource systems, business management, people management, asset security integration, access control and security systems.</t>
  </si>
  <si>
    <t>50699-62T</t>
  </si>
  <si>
    <t>69405-40T</t>
  </si>
  <si>
    <t>QuickLessons</t>
  </si>
  <si>
    <t>Operator of an e-learning platform. The company offers an online platform for employees which enables them to share, track and engage in developmental learning courses.</t>
  </si>
  <si>
    <t>34533-10T</t>
  </si>
  <si>
    <t>Producer of processed meat product catering to the domestic market. The company specializes in the sale of ready-to-eat frozen vegetable items, fish meals, meatballs, sausages, pizzas, hamburgers and related bread snacks.</t>
  </si>
  <si>
    <t>24353-02T</t>
  </si>
  <si>
    <t>Armilar Venture Partners</t>
  </si>
  <si>
    <t>90445-42T</t>
  </si>
  <si>
    <t>Excelsior Alimentos (BVMF: BAUH3)</t>
  </si>
  <si>
    <t>Excelsior Alimentos SA produces processed pork and chicken products in Brazil. The company offers pâté in tubes, sausages, hams, cold cuts, mortadellas, pâtés, pizzas, cheese breads, morcelas, lasagnas, hamburgers, and cold fries. It distributes its products through retailers, distributors, resellers, and small commercial stores.</t>
  </si>
  <si>
    <t>29968-21T</t>
  </si>
  <si>
    <t>Flybridge (New York)(Jeffrey Bussgang), Initial:Capital, Kaszek(Nicolas Berman)</t>
  </si>
  <si>
    <t>68815-54T</t>
  </si>
  <si>
    <t>Trade Energy Comercializadora de Energia</t>
  </si>
  <si>
    <t>Supplier of electricity. The company generates electricity from renewable sources and distributes it to consumers in Brazil.</t>
  </si>
  <si>
    <t>Tradener</t>
  </si>
  <si>
    <t>44555-77T</t>
  </si>
  <si>
    <t>Prodiet Farmacêutica</t>
  </si>
  <si>
    <t>Distributor of pharmaceutical products. The company is a distributor of pharmaceuticals, cosmetics, enteral nutrition, home care and personal care products to hospitals, clinics and municipal governments.</t>
  </si>
  <si>
    <t>73385-11T</t>
  </si>
  <si>
    <t>149063-23T</t>
  </si>
  <si>
    <t>FIESP</t>
  </si>
  <si>
    <t>28782-73T</t>
  </si>
  <si>
    <t>500 Global, Grit Invest, John Richards(John Richards), Plug and Play Tech Center(Alireza Masrour), Redpoint eventures, Start Capital, Start-Up Chile</t>
  </si>
  <si>
    <t>59364-64T</t>
  </si>
  <si>
    <t>53748-46T</t>
  </si>
  <si>
    <t>EcoSynth</t>
  </si>
  <si>
    <t>Manufacturer and supplier of products for water and waste-water treatment. The company offers products for water purification, sewage removal, sewage plants and oil filtration services.</t>
  </si>
  <si>
    <t>28675-36T</t>
  </si>
  <si>
    <t>Ferrexpo (LON: FXPO)</t>
  </si>
  <si>
    <t>179327-26T</t>
  </si>
  <si>
    <t>OSX Brasil</t>
  </si>
  <si>
    <t>OSX Brasil SA provides equipment and services for Brazil's offshore oil and gas industry. It is engaged in the equipment and service segment for the offshore oil and natural gas industry, with integrated operations in shipbuilding, chartering of exploration and production units (E&amp;P) and operation and maintenance industries (O&amp;M).</t>
  </si>
  <si>
    <t>28603-63T</t>
  </si>
  <si>
    <t>Ontario Teachers' Pension Plan(Wayne Kozun)</t>
  </si>
  <si>
    <t>89682-58T</t>
  </si>
  <si>
    <t>Mais Fruta Indústria e Comércio</t>
  </si>
  <si>
    <t>Manufacturer and marketer of frozen fruits, fruit purees and concentrates based in Rio Grande Do Sul, Brazil. The company's products include fruits and vegetable purees and juices in tetra packs, bottles and glass jars, enabling customers to have fresh and healthy food.</t>
  </si>
  <si>
    <t>Döhler</t>
  </si>
  <si>
    <t>34695-37T</t>
  </si>
  <si>
    <t>Foodpanda(Emerson Calegaretti)</t>
  </si>
  <si>
    <t>89687-71T</t>
  </si>
  <si>
    <t>Mineradora Rio Bravo</t>
  </si>
  <si>
    <t>Producer of iron ore. The company's iron ore production business include extraction, processing, storage and transportation of iron ore, enabling heavy metal industries to get a consistent supply of iron ore and iron products throughout the year.</t>
  </si>
  <si>
    <t>MMX Mineração e Metálicos (BVMF: MMXM11)(Eike Batista)</t>
  </si>
  <si>
    <t>92688-40T</t>
  </si>
  <si>
    <t>224074-90T</t>
  </si>
  <si>
    <t>Fundo de Investimento Imobiliario Novo Horizonte (BVMF: NVHO11)</t>
  </si>
  <si>
    <t>Fundo Invest Imobiliario Novo Horizonte is a real estate investment trust.</t>
  </si>
  <si>
    <t>28573-93T</t>
  </si>
  <si>
    <t>Emac Engenharia de Manutencao</t>
  </si>
  <si>
    <t>Provider of heating, air conditioning and ventilation services. The company offers systems operations and maintenance services in industrial and commercial buildings. The company also offers preventative and corrective maintenance services to clients.</t>
  </si>
  <si>
    <t>Cofely EDF Suez</t>
  </si>
  <si>
    <t>28425-16T</t>
  </si>
  <si>
    <t>88156-90T</t>
  </si>
  <si>
    <t>Loja Integrada</t>
  </si>
  <si>
    <t>Developer of an e-commerce marketplace creation tool intended to enable businesses to create online stores in a hassle-free way. The company's platform provides businesses with responsive designs that can run on smartphones, desktops, and tablets, in addition to providing professional customization and ready-made themes that serve a variety of segments.</t>
  </si>
  <si>
    <t>VTEX (NYS: VTEX)(Geraldo Thomaz)</t>
  </si>
  <si>
    <t>67550-86T</t>
  </si>
  <si>
    <t>TV Show Brasil</t>
  </si>
  <si>
    <t>Provider of broadband connectivity services. The company provides television broadcasting and internet access services in Fortaleza, Brazil.</t>
  </si>
  <si>
    <t>29832-31T</t>
  </si>
  <si>
    <t>28357-12T</t>
  </si>
  <si>
    <t>Actis(Michael Till)</t>
  </si>
  <si>
    <t>89763-40T</t>
  </si>
  <si>
    <t>IMCD Brasil</t>
  </si>
  <si>
    <t>Distributor of chemicals and allied products. The company's chemicals and allied products covers a wide range of market sectors including detergents, pharmaceuticals, personal care, coatings, food &amp; nutrition, lubricants, synthesis, plastics and other industries, it has two application labs, one for coatings and one for nutrition, to provide expert technical support and added value for its partners.</t>
  </si>
  <si>
    <t>IMCD (AMS: IMCD)</t>
  </si>
  <si>
    <t>28674-73T</t>
  </si>
  <si>
    <t>BlackRock Private Equity Partners, Eneva (BVMF: ENEV3)</t>
  </si>
  <si>
    <t>28811-80T</t>
  </si>
  <si>
    <t>Air Amazonia Serviços Aeronauticos</t>
  </si>
  <si>
    <t>Operator of defense and aerospace services. The company offers consulting services related to aerospace.</t>
  </si>
  <si>
    <t>Erickson (PINX: EKSN)(Udo Rieder)</t>
  </si>
  <si>
    <t>34532-47T</t>
  </si>
  <si>
    <t>Graph Ventures, Monashees(Eric Acher)</t>
  </si>
  <si>
    <t>75009-07T</t>
  </si>
  <si>
    <t>Transportadora e Logística Expresso Jundiaí</t>
  </si>
  <si>
    <t>Provider of trucking and logistics services intended to serve the food, pharmaceutical, cosmetics and fashion industry. The company specializes in the transportation of bulk cargo and perishable products and also offers inventory management, labeling and storage services.</t>
  </si>
  <si>
    <t>Fomento Economico Mexicano (MEX: FEMSAUBD)</t>
  </si>
  <si>
    <t>52122-52T</t>
  </si>
  <si>
    <t>Access Club</t>
  </si>
  <si>
    <t>Operator of closed community platform. The company operates a platform only for guests, providing convenience to its members and privileges in various brands, services and market outlets.</t>
  </si>
  <si>
    <t>Edouard De Waldner(Edouard De Waldner)</t>
  </si>
  <si>
    <t>95118-85T</t>
  </si>
  <si>
    <t>Mindset Communicaco e Marketing</t>
  </si>
  <si>
    <t>Provider of business advisory services. The company's business advisory service includes consultancy service, harnessing the creative minds and industry expertise and providing clients with access to a dedicated team of consultants</t>
  </si>
  <si>
    <t>Ascential (Media and Information Services)</t>
  </si>
  <si>
    <t>95628-97T</t>
  </si>
  <si>
    <t>Mindset Comunicacao e Marketing</t>
  </si>
  <si>
    <t>Provider of marketing consulting and advisory services in Sao Paulo, Brazil.</t>
  </si>
  <si>
    <t>WGSN</t>
  </si>
  <si>
    <t>58966-66T</t>
  </si>
  <si>
    <t>Admiral | Technos</t>
  </si>
  <si>
    <t>Provider of insurance services and products. The company provides insurance brokerage service and products, such as life insurance, car insurance, personal insurance and health insurance.</t>
  </si>
  <si>
    <t>Admiral Seguros</t>
  </si>
  <si>
    <t>39783-07T</t>
  </si>
  <si>
    <t>Cacho.la</t>
  </si>
  <si>
    <t>Provider of a social networking platform intended to gather all kinds of online content and share the knowledge with others. The company's platform facilitates e-Learning and authoring tool by creating virtual class and filling boards that is organised in a timeline, enabling users to get all information regarding different subjects easily.</t>
  </si>
  <si>
    <t>84589-12T</t>
  </si>
  <si>
    <t>Clickae</t>
  </si>
  <si>
    <t>Operator of ecommerce platform intended to serve merchants and marketplaces. The company provides online deals, merchant offers and discounts.</t>
  </si>
  <si>
    <t>RecargaPay Instituição de Pagamento(Gustavo Victorica)</t>
  </si>
  <si>
    <t>58100-59T</t>
  </si>
  <si>
    <t>Econodata</t>
  </si>
  <si>
    <t>Developer of a Business to Business (B2B) sales intelligence platform designed to help teams generate more opportunities with reliable information in Brazil. The company offers a prospecting platform with intelligence beyond qualified leads, enabling commercial teams to accurately map potential markets, identify leads most likely to buy their products or services validate telephone numbers, and find valid e-mails from partners and decision-makers.</t>
  </si>
  <si>
    <t>111103-39T</t>
  </si>
  <si>
    <t>Eurolaf</t>
  </si>
  <si>
    <t>Provider of vehicles transformation services in Brazil. The company's transformation services are for the segments of health, public safety and passenger transport, enabling clients to avail quality services.</t>
  </si>
  <si>
    <t>52107-04T</t>
  </si>
  <si>
    <t>58962-70T</t>
  </si>
  <si>
    <t>Lecca Financeira (credit card operations)</t>
  </si>
  <si>
    <t>Provider of credit services. The company offers credit services such as consumer credit, house loan, credit cards, car loan and other loan services.</t>
  </si>
  <si>
    <t>Senffnet</t>
  </si>
  <si>
    <t>217206-46T</t>
  </si>
  <si>
    <t>55708-84T</t>
  </si>
  <si>
    <t>34159-33T</t>
  </si>
  <si>
    <t>European Founders Fund</t>
  </si>
  <si>
    <t>70868-08T</t>
  </si>
  <si>
    <t>Braservice</t>
  </si>
  <si>
    <t>Provider of supply chain services. The company offers services such as logistics, customs brokerage ans supply chain services with a domestic network of seventeen offices including Sao Paulo, Rio de Janeiro and Brasilia in Brazil.</t>
  </si>
  <si>
    <t>Kerry Logistics Network (HKG: 00636)</t>
  </si>
  <si>
    <t>254513-26T</t>
  </si>
  <si>
    <t>160872-58T</t>
  </si>
  <si>
    <t>Papaya Ventures (Accelerator)</t>
  </si>
  <si>
    <t>66658-60T</t>
  </si>
  <si>
    <t>71833-06T</t>
  </si>
  <si>
    <t>Digital SK</t>
  </si>
  <si>
    <t>Provider of E-learning services in Brazil. The company provides multilingual training programs and offers learner marketing, project management, information technology services, course designs and integrated distance learning and training formats.</t>
  </si>
  <si>
    <t>CrossKnowledge(Mickaël Ohana), Orium</t>
  </si>
  <si>
    <t>149065-12T</t>
  </si>
  <si>
    <t>39270-07T</t>
  </si>
  <si>
    <t>Companhia Fluminense de Refrigerantes</t>
  </si>
  <si>
    <t>Producer and distributor of beverages. The company offers beers and distributes sparkling drinks in the states of Rio de Janeiro, São Paulo and Minas Gerais, Brazil.</t>
  </si>
  <si>
    <t>Coca-Cola FEMSA (PINX: COCSF)</t>
  </si>
  <si>
    <t>28101-88T</t>
  </si>
  <si>
    <t>LBR Lacteos Brasil</t>
  </si>
  <si>
    <t>Provider of dairy products in Brazil. The company provides composite milk, pasteurized milk, milk powders, yogurt, grated cheese, cream, curd, butter and dairy drinks and nectar soy beverages.</t>
  </si>
  <si>
    <t>Lactalis Canada</t>
  </si>
  <si>
    <t>39328-21T</t>
  </si>
  <si>
    <t>Pro Metalurgia</t>
  </si>
  <si>
    <t>Manufacturer of bicycles based in Sao Paulo, Brazil. The company is engaged in the production of mountain bikes, racing cycles and city riding bikes for children and bikers of different ages.</t>
  </si>
  <si>
    <t>Dorel Industries (TSE: DII.A)(Martin Schwartz)</t>
  </si>
  <si>
    <t>45780-31T</t>
  </si>
  <si>
    <t>89599-60T</t>
  </si>
  <si>
    <t>Carlos Mena Resources</t>
  </si>
  <si>
    <t>Operator of a holding company. The company's activities include owning, developing and investing in the mineral rights for the Arara Project, with occurrences of tin, niobium, tantalum, and rare-earth oxide, in addition, the company manages 412 drill holes, having a nominal spacing of approximately 100m by 100m, focusing on the main supergene or residual enriched oxide mineralization in the alluvial and saprolite domains.</t>
  </si>
  <si>
    <t>Search Minerals (TSX: SMY)</t>
  </si>
  <si>
    <t>36924-49T</t>
  </si>
  <si>
    <t>MegaMenu</t>
  </si>
  <si>
    <t>Provide of an online platform to find restaurants and order food. The company's platform allows users to browse restaurants and order food online.</t>
  </si>
  <si>
    <t>30803-86T</t>
  </si>
  <si>
    <t>500 Global, Gera Venture Capital, MI Ventures(Aamer Abdullah), Monashees(Eric Acher)</t>
  </si>
  <si>
    <t>133110-28T</t>
  </si>
  <si>
    <t>Innova Petrochemical</t>
  </si>
  <si>
    <t>Operator of a petrochemical company based in Porto Alegre, Brazil. The company offers ethylbenzene, styrene and polystyrene for the petrochemical industry</t>
  </si>
  <si>
    <t>94439-98T</t>
  </si>
  <si>
    <t>Nanoselect</t>
  </si>
  <si>
    <t>Provider of nanotechnology intended to manufacture high performance absorbing selective surfaces. The company's nanotechnology creates absorbing nano film that is used to generate thermal energy from thermo-solar conversion, with considerable increase in energy conversion efficiency.</t>
  </si>
  <si>
    <t>33063-76T</t>
  </si>
  <si>
    <t>Janamesa Serviços de Informática</t>
  </si>
  <si>
    <t>Provider of a food ordering platform. The company offers online meal delivery services and enables users to orders food from any restaurant on their platform.</t>
  </si>
  <si>
    <t>Foodpanda(Ralf Wenzel)</t>
  </si>
  <si>
    <t>56570-77T</t>
  </si>
  <si>
    <t>Vitrina (Social/Platform Software)</t>
  </si>
  <si>
    <t>Developer of a social commerce platform. The company develops a platform that enables people to share, buy and sell handmade fashion products such as toys, mobile cases, bags and purses.</t>
  </si>
  <si>
    <t>Christian Ribeiro(Christian Ribeiro)</t>
  </si>
  <si>
    <t>263796-22T</t>
  </si>
  <si>
    <t>Bunge Fertilizantes</t>
  </si>
  <si>
    <t>Operator of food grains and fertilizers processing plants intended to connect farmers to consumers. The company offers grain origination and processing, fertilizer, textiles, animal feeds, and cereals.</t>
  </si>
  <si>
    <t>Yara Brasil</t>
  </si>
  <si>
    <t>28511-65T</t>
  </si>
  <si>
    <t>VB Servicos Comercio e Administracao</t>
  </si>
  <si>
    <t>Provider of transportation cards and vouchers. The company provides transportation cards in Brazil where employers are required by legislation to provide certain employees with prepaid public transportation cards to subsidize their commuting expenses. It also markets food cards.</t>
  </si>
  <si>
    <t>70256-53T</t>
  </si>
  <si>
    <t>Bunge Brasil (Fertilizer Business in Brazil)</t>
  </si>
  <si>
    <t>Producer of fertilizers in Brazil. The company is engaged in the production and marketing of mixed nutrients and liquid fertilizer products to farmers and distributors in South America.</t>
  </si>
  <si>
    <t>Yara International (OSL: YAR)(Jorgen Haslestad)</t>
  </si>
  <si>
    <t>76103-11T</t>
  </si>
  <si>
    <t>Serviços Urbanos</t>
  </si>
  <si>
    <t>Provider of electrical services. The company specializes in the construction and maintenance of high electrical networks, media and low voltage as well as other infrastructure services.</t>
  </si>
  <si>
    <t>29968-39T</t>
  </si>
  <si>
    <t>e.bricks Ventures(Thiago Maluf), Flybridge (New York)(Jon Karlen)</t>
  </si>
  <si>
    <t>95616-28T</t>
  </si>
  <si>
    <t>Start-Up Brasil(Felipe Matos)</t>
  </si>
  <si>
    <t>64792-36T</t>
  </si>
  <si>
    <t>e.bricks Ventures, EB Capital, Igah Ventures</t>
  </si>
  <si>
    <t>132283-09T</t>
  </si>
  <si>
    <t>I-Dutto</t>
  </si>
  <si>
    <t>Developer of engineering and software alternative technology designed for industrial automation and logistics. The company's services include web and mobile environments, electronic devices, installation and deployment services, and developments for process automation, task execution, and service orders in industrial environments through computers, tablets, smartphones, sensors, wireless integrations, IoT devices, enabling clients to access products, technical support and software and device deployment and development services.</t>
  </si>
  <si>
    <t>89653-15T</t>
  </si>
  <si>
    <t>Iceberg Aromas e Fragrâncias (Flavor Division)</t>
  </si>
  <si>
    <t>Producer of flavors, fragrances and botanical extracts. The division's nature identical flavoring chemicals are produced in a state-of-the-art labs which serve as a hub of new product creation and customer collaboration for the South American market.</t>
  </si>
  <si>
    <t>Bell Flavors &amp; Fragrances(James Heinz)</t>
  </si>
  <si>
    <t>36927-01T</t>
  </si>
  <si>
    <t>IPLSHOP</t>
  </si>
  <si>
    <t>Provider of a marketing platform. The company provides a network platform of waxing professionals and consultants in Brazil.</t>
  </si>
  <si>
    <t>28295-74T</t>
  </si>
  <si>
    <t>DFJ Tamir Fishman(Benny Zeevi), Draper Fisher Jurvetson Management(Jennifer Fonstad), Horizons Ventures(Jason Wong), Infinity Group(Mark Chess), International Finance (Washington D.C.), Kleiner Perkins(Brook Porter), Kreos Capital, Mitsui Global Investment, Musea Ventures, Oberlee Holdings, TriplePoint Capital</t>
  </si>
  <si>
    <t>27676-90T</t>
  </si>
  <si>
    <t>LG Lugar de Gente</t>
  </si>
  <si>
    <t>Developer of human resources software products intended for people management. The company offers businesses payroll, benefits, recruitment, training, and feedback, in addition to incorporating gamification, people analytics, artificial intelligence, chatbots and mobility, thereby optimising people management, gaining agility, increasing team productivity and saving among organizations.</t>
  </si>
  <si>
    <t>174409-03T</t>
  </si>
  <si>
    <t>Maremonti Restaurants</t>
  </si>
  <si>
    <t>Operator of a chain of restaurants across São Paulo City, Brazil. The company serves and delivers products including dinner, pizza and handmade pasta made with pure flour and eggs as well as other traditional dishes.</t>
  </si>
  <si>
    <t>132283-45T</t>
  </si>
  <si>
    <t>Otimize Nesting</t>
  </si>
  <si>
    <t>Developer of cutting optimization software intended to obtain nesting layouts for one and two-dimensional pieces. The company's software is utilized for cutting rectangular sheets made of glass, wood, woodworking, metal, furniture, or any other material, enabling clients to produce more parts with less material, reduce fabrication time, produce faster quotes, and minimize waste.</t>
  </si>
  <si>
    <t>132281-92T</t>
  </si>
  <si>
    <t>50700-25T</t>
  </si>
  <si>
    <t>102684-97T</t>
  </si>
  <si>
    <t>TÜV SÜD Bureau de Projetos</t>
  </si>
  <si>
    <t>Provider of construction and infrastructure project management services. The company's project management services include geotechnical projects, structural monitoring services, field instrumentation, infrastructure consulting, environmental geoengineering, architecture, engineering, rehabilitation of unused industrial land or mines and related management services.</t>
  </si>
  <si>
    <t>TÜV SÜD</t>
  </si>
  <si>
    <t>132281-65T</t>
  </si>
  <si>
    <t>Zeppelin Game Studio</t>
  </si>
  <si>
    <t>Operator of a game studio intended to develop educational games for children. The company's games are focused at children's engagement in an activity involving decisions and school related content, which is measured via an online platform, enabling teachers and parents to have real time information on their performance and motor skills.</t>
  </si>
  <si>
    <t>71125-75T</t>
  </si>
  <si>
    <t>Balkis Indústria e Comércio de Laticínios</t>
  </si>
  <si>
    <t>Producer of cheese. The company is engaged in the production and distribution of various types of cheese such as cottage cheese, mozzarella, ricotta, burrata and frescal cheese. It also offers sour cream and curds.</t>
  </si>
  <si>
    <t>69013-54T</t>
  </si>
  <si>
    <t>Banco CR2</t>
  </si>
  <si>
    <t>Provider of commercial banking services in Brazil. The company provides money lending, corporate financing, portfolio management, online banking and financial advisory services.</t>
  </si>
  <si>
    <t>ABN AMRO Bank (AMS: ABN)</t>
  </si>
  <si>
    <t>110095-48T</t>
  </si>
  <si>
    <t>134087-95T</t>
  </si>
  <si>
    <t>Dataevent Tecnologia</t>
  </si>
  <si>
    <t>Developer of an event management software designed to plan, manage and execute events. The company's software provides integrating tools to create an event website, online registration for reserving a place in events, validation of members along with external lists generation, accreditation, label printing and room control, enabling event managers to efficiently manage their events.</t>
  </si>
  <si>
    <t>62810-20T</t>
  </si>
  <si>
    <t>Responde Ai</t>
  </si>
  <si>
    <t>Developer of a study platform designed to offer study material and resources to help with homework. The company's platform offers summaries, old tests, and step-by-step exercises from books and test materials, providing students with access to the content of their choice so that they can study faster and do well in exams.</t>
  </si>
  <si>
    <t>89689-33T</t>
  </si>
  <si>
    <t>Natique Osborne</t>
  </si>
  <si>
    <t>Producer of spirits and beverages based in Sao Paulo, Brazil. The company's spirits and beverages include vodka, cachaça, brandy and flavored spirits produced by freshly harvested crops, thereby enabling drinkers to access a wide range of products for their consumption under one roof.</t>
  </si>
  <si>
    <t>Osborne Group(Ignacio Osborne Cólogan)</t>
  </si>
  <si>
    <t>50664-07T</t>
  </si>
  <si>
    <t>34588-00T</t>
  </si>
  <si>
    <t>Foxx Inova Ambiental</t>
  </si>
  <si>
    <t>89607-07T</t>
  </si>
  <si>
    <t>Conbras Engenharia</t>
  </si>
  <si>
    <t>Provider of building, industrial infrastructure operations and management services. The company's building, industrial infrastructure operations and management services specializes in engineering support services, company specializing in complex asset management and infrastructure in mission critical environments, enabling clients to get various types of engineering services under one roof.</t>
  </si>
  <si>
    <t>Babcock International Group (LON: BAB)(Archie Bethel)</t>
  </si>
  <si>
    <t>224684-83T</t>
  </si>
  <si>
    <t>JHSF Rio Bravo Fazenda Boa Vista Capital Protegido FII (BVMF: RBBV11)</t>
  </si>
  <si>
    <t>JHSF Rio Bravo Fazenda Boa Vista Capital Protegido FDO Inv Imob is a real estate investment fund. It invests directly or indirectly in a diversified portfolio of developed residential real estate.</t>
  </si>
  <si>
    <t>89737-75T</t>
  </si>
  <si>
    <t>71837-38T</t>
  </si>
  <si>
    <t>Cassiopae Brasil</t>
  </si>
  <si>
    <t>Provider of financial software. The company specializes in providing software for lease and loan management. It caters its customers throughout Latin American region.</t>
  </si>
  <si>
    <t>BNP Paribas (PAR: BNP), Cassiopae(Emmanuel Gillet)</t>
  </si>
  <si>
    <t>181954-45T</t>
  </si>
  <si>
    <t>Operator of a renewable energy development company based in Sao Paulo, Brazil. The company engages in the generation of renewable energy and operates small hydropower plants, biomass power plants and wind farms as well as develops and operates a portfolio of small and medium-sized power plants.</t>
  </si>
  <si>
    <t>55493-74T</t>
  </si>
  <si>
    <t>Oficialize</t>
  </si>
  <si>
    <t>Operator of an online business consulting platform. The company operates a web-based consulting platform to provide business inception guidance to Brazilian startups, entrepreneurs, and small to medium size business owners, enabling them to get business guidance.</t>
  </si>
  <si>
    <t>27298-99T</t>
  </si>
  <si>
    <t>Creme Mel Sorvetes</t>
  </si>
  <si>
    <t>Producer of ice cream and popsicle products based in Goiânia, Brazil. The company's different flavored ice creams and popsicle products are transported via a fleet of trucks and are distributed mainly in the Midwest region of Brazil, enabling the customers to get products with different qualities and flavors.</t>
  </si>
  <si>
    <t>36894-16T</t>
  </si>
  <si>
    <t>RIGI Ventures</t>
  </si>
  <si>
    <t>52734-97T</t>
  </si>
  <si>
    <t>ArpexCapital, GRID Investments</t>
  </si>
  <si>
    <t>89721-64T</t>
  </si>
  <si>
    <t>RMS Software</t>
  </si>
  <si>
    <t>Developer of business management services. The company's business management services include the development and commercialization of integrated enterprise management software and related services, enabling retail and supermarket segments in the management and delivery of information technology services.</t>
  </si>
  <si>
    <t>70742-17T</t>
  </si>
  <si>
    <t>Vistatek Produtos Óticos</t>
  </si>
  <si>
    <t>Distributor of ophthamic products in Brazil. The company is engaged in the marketing and distribution of vision-care treatment products, cataract and laser vision correction products.</t>
  </si>
  <si>
    <t>Abbott (NYS: ABT)(Murthy Simhambhatla)</t>
  </si>
  <si>
    <t>89604-19T</t>
  </si>
  <si>
    <t>Companhia de Bebidas Ipiranga</t>
  </si>
  <si>
    <t>Producer and distributor of soft drinks. The company's soft drinks include carbonated and non-carbonated drinks, mineral water, juices and other related products under the Coca-Cola brand name, enabling customers to avail a wide range of products at a lower cost.</t>
  </si>
  <si>
    <t>Río De Janeiro Refrescos</t>
  </si>
  <si>
    <t>27289-18T</t>
  </si>
  <si>
    <t>Stratus Group (Financial Advisory Division)</t>
  </si>
  <si>
    <t>Provider of financial advisory services. The company offers mid-market investment bank services in Sao Paulo and fourteen offices worldwide. It also provides services to Brazilian and multinational clients through the development of mergers, acquisitions and other corporate finance transactions.</t>
  </si>
  <si>
    <t>Lincoln International(Lawrence Lawson)</t>
  </si>
  <si>
    <t>51498-19T</t>
  </si>
  <si>
    <t>ISG(David Lawther)</t>
  </si>
  <si>
    <t>70954-39T</t>
  </si>
  <si>
    <t>VipsCards</t>
  </si>
  <si>
    <t>Provider of discount cards intended to offer unmissable discounts in several establishments in the city of Barretos.</t>
  </si>
  <si>
    <t>CAEC</t>
  </si>
  <si>
    <t>224028-46T</t>
  </si>
  <si>
    <t>Fundo de Investimento Imobiliario - FII TB Office (BVMF: TBOF11)</t>
  </si>
  <si>
    <t>Fundo Invest Imobiliario FII TB Office is a real estate investment trust.</t>
  </si>
  <si>
    <t>29354-59T</t>
  </si>
  <si>
    <t>Soros Fund Management(George Soros)</t>
  </si>
  <si>
    <t>79591-69T</t>
  </si>
  <si>
    <t>Kaszek(Nicolas Szekasy), Sequoia Capital(Douglas Leone)</t>
  </si>
  <si>
    <t>89706-07T</t>
  </si>
  <si>
    <t>Park Carapuceiro Serviços</t>
  </si>
  <si>
    <t>Distributor and retailer of stationary products. The company's stationary products include school books, stationary and uniforms, enabling school students to get quality stationary products at reasonable prices.</t>
  </si>
  <si>
    <t>89601-31T</t>
  </si>
  <si>
    <t>Centro de Ensino Brasiliense</t>
  </si>
  <si>
    <t>Operator of elementary school. The company's elementary school provides educational services, enabling students to increase their knowledge.</t>
  </si>
  <si>
    <t>49519-00T</t>
  </si>
  <si>
    <t>276076-54T</t>
  </si>
  <si>
    <t>Ligado no Enem</t>
  </si>
  <si>
    <t>Operator of an online learning platform based in Sao Paulo. The company specializes in preparatory content for the national high school exams, enabling students with free-of-charge learning.</t>
  </si>
  <si>
    <t>36930-07T</t>
  </si>
  <si>
    <t>21212, TOTVS Ventures</t>
  </si>
  <si>
    <t>166519-54T</t>
  </si>
  <si>
    <t>50719-15T</t>
  </si>
  <si>
    <t>40267-36T</t>
  </si>
  <si>
    <t>Beleza Natural</t>
  </si>
  <si>
    <t>Owner and operator of a beauty institute chain in Brazil. The company's beauty institute chain offers products for the treatment of curly and wavy hair. It also offers intensive care products, tip repair products, children line products and treatment creams.</t>
  </si>
  <si>
    <t>GP Investments (LUX: GPINA)(Fersen Lambranho)</t>
  </si>
  <si>
    <t>89602-93T</t>
  </si>
  <si>
    <t>Colégio Motivo</t>
  </si>
  <si>
    <t>Operator of an educational institution based in Recife, Brazil. The company's educational institution offers courses, degrees and other related educational services in various academic subjects, thereby enabling students to gain knowledge and learn various subjects.</t>
  </si>
  <si>
    <t>81998-02T</t>
  </si>
  <si>
    <t>Tarpon Capital(Jose Alexandre Borges)</t>
  </si>
  <si>
    <t>58100-68T</t>
  </si>
  <si>
    <t>34033-15T</t>
  </si>
  <si>
    <t>Innova Property Management</t>
  </si>
  <si>
    <t>Provider of property management services intended to generate savings and add value to the assets of its partners. The company's property management services include condominium administration, facilities management, utilities management, and contract administration, enabling customers to increase their cost efficiency across multiple aspects of a project.</t>
  </si>
  <si>
    <t>Treecorp Investimentos (BVMF: TCPF11)(Carlos Augusto Fagundes Gentil)</t>
  </si>
  <si>
    <t>50694-67T</t>
  </si>
  <si>
    <t>Koolen &amp; Partners(Kees Koolen)</t>
  </si>
  <si>
    <t>50198-23T</t>
  </si>
  <si>
    <t>Minu (Business/Productivity Software)</t>
  </si>
  <si>
    <t>Developer of a micro reward mobile platform designed to promote customer relationships, engagement, and loyalty. The company's platform offers customer loyalty programs and promotes brands, products, and services, conducts surveys, promotions, and offers, enabling companies to have the autonomy and agility to create rewarded actions to retain their customers and attract new customers to their business.</t>
  </si>
  <si>
    <t>57763-45T</t>
  </si>
  <si>
    <t>Moove In</t>
  </si>
  <si>
    <t>Provider of an online roommate search platform designed to connect people to share rent. The company's platform offers to search roommates according to their locations, interests and social connections, enabling users to seek like-minded people to share their living spaces in a convenient manner.</t>
  </si>
  <si>
    <t>96104-71T</t>
  </si>
  <si>
    <t>Omnitrans Logística E Transportes</t>
  </si>
  <si>
    <t>Provider of transportation and storage services. The company's service includes storage and transportation of chemical and related products, enabling chemical and adhesive industries to get the required chemicals of their requirement at low cost.</t>
  </si>
  <si>
    <t>Gelog(Adriano Fajardo)</t>
  </si>
  <si>
    <t>111096-82T</t>
  </si>
  <si>
    <t>Pisani Plastics</t>
  </si>
  <si>
    <t>Provider of plastic boxes, containers, and packaging products for horticultural companies, auto parts industries, fish industries, general industries, furniture stores, and supermarkets. The company offers plastic boxes, containers, and specialty packaging for transport, distribution, stacking, and storage, enabling clients to efficiently manage logistics and organization.</t>
  </si>
  <si>
    <t>111717-01T</t>
  </si>
  <si>
    <t>Operator of a digital accelerator firm intended for clients across Brazil. The company specializes in incubation, seed, startup, growth capital, and early-stage investments, enabling startups and entrepreneurs in the Brazilian digital market to get mentorship and financial help for business enhancement.</t>
  </si>
  <si>
    <t>Coffin Capital &amp; Ventures, DXA Invest</t>
  </si>
  <si>
    <t>34677-10T</t>
  </si>
  <si>
    <t>Construdecor</t>
  </si>
  <si>
    <t>Owner and operator of home improvement stores. The company owns 57 home improvement stores in Brazil.</t>
  </si>
  <si>
    <t>Falabella (BOG: FALABELLCO)(Sandro Solari)</t>
  </si>
  <si>
    <t>83036-44T</t>
  </si>
  <si>
    <t>224071-48T</t>
  </si>
  <si>
    <t>Fundo Invest Imobiliario General Shopping Ativo Renda FII (BVMF: FIGS11)</t>
  </si>
  <si>
    <t>Fundo Invest Imobiliario General Shopping Ativo Renda FII is a real estate investment trust.</t>
  </si>
  <si>
    <t>168003-91T</t>
  </si>
  <si>
    <t>89583-67T</t>
  </si>
  <si>
    <t>Arpol Red Spot Tintas</t>
  </si>
  <si>
    <t>Manufacturer and distributor of paint coatings. The company's paint coatings are applied to change the surface properties of the substrate such as adhesion, wetability, corrosion resistance, or wear resistance. In other cases like semiconductor device fabrication.</t>
  </si>
  <si>
    <t>Red Spot Paint &amp; Varnish</t>
  </si>
  <si>
    <t>89626-87T</t>
  </si>
  <si>
    <t>Exen Engenharia Industrial</t>
  </si>
  <si>
    <t>Provider of engineering services. The company is specialized in handling industrial projects in the power and petrochemical sectors including refineries, agricultural pesticides units, thermal generation plants and other energy projects.</t>
  </si>
  <si>
    <t>33817-78T</t>
  </si>
  <si>
    <t>MMX Mineração e Metálicos (BVMF: MMXM11)</t>
  </si>
  <si>
    <t>MMX Mineracao E Metalicos SA (MMX) is a Brazil-based company engaged in iron ore mining. The company has installed capacity to produce about 7 million metric tons of iron ore per year in its two systems, namely The Southeast System and the Corumba System. The Southeast System is formed by the Serra Azul and Bom Sucesso Units. It exploits the Tico-Tico and Ipe mines, located in the Serra Azul Region-in the iron mining area of Minas Gerais State. The company has also acquired the mining rights for the Pau de Vinho Mine. The iron ore produced by the Serra Azul Unit is sold to customers in Brazil and other countries.</t>
  </si>
  <si>
    <t>66326-05T</t>
  </si>
  <si>
    <t>Usiminas Mecanica</t>
  </si>
  <si>
    <t>Manufacturer of steel products. The company supplies equipment and assemblies to the steel, mining, automotive, energy, petrochemical, marine and infrastructure industries.</t>
  </si>
  <si>
    <t>26659-63T</t>
  </si>
  <si>
    <t>Operator of companies in the education services industry. The company provides educational services for different age groups and manufactures computers.</t>
  </si>
  <si>
    <t>89583-85T</t>
  </si>
  <si>
    <t>Associação de Ensino de Santa Catarina</t>
  </si>
  <si>
    <t>Provider of higher education courses. The company's higher education courses include undergraduate and postgraduate studies in management, social communication, gastronomy, hospitality, tourism, public administration, political science, strategic marketing, event management, environmental management and finance, enabling students to gain knowledge and avail better career prospects.</t>
  </si>
  <si>
    <t>53712-91T</t>
  </si>
  <si>
    <t>Barn Investimentos(Flavio Zaclis), Confrapar Administração e Gestão de Recursos(Thiago Domenici de Morais)</t>
  </si>
  <si>
    <t>25864-66T</t>
  </si>
  <si>
    <t>Barra Energia Petroleo e Gas</t>
  </si>
  <si>
    <t>Operator of an oil and gas exploration, development and production company based in Rio de Janeiro, Brazil. The company specializes in technical and commercial expertise and local knowledge, which has been used to find, develop and produce hydrocarbon resources in Brazilian petroleum basins, offshore Santos, Campos and Espírito Santo.</t>
  </si>
  <si>
    <t>94439-26T</t>
  </si>
  <si>
    <t>136467-01T</t>
  </si>
  <si>
    <t>26471-35T</t>
  </si>
  <si>
    <t>Sete Brasil Participações</t>
  </si>
  <si>
    <t>Operator of a holding company based in Rio de Janeiro, Brazil. The company is focused on the management of energy assets in Brazil that are targeted for oil and gas production.</t>
  </si>
  <si>
    <t>Mantiq Investimentos, Petróleo Brasileiro (BVMF: PETR3)</t>
  </si>
  <si>
    <t>77830-12T</t>
  </si>
  <si>
    <t>Gávea Investimentos, Kinea Investimentos (BVMF: KNHY11), Spectra Investments, Vinci Compass Investments (NAS: VINP)</t>
  </si>
  <si>
    <t>66707-92T</t>
  </si>
  <si>
    <t>Jadi Industria Eletronica</t>
  </si>
  <si>
    <t>Manufacturer of semiconductors and other electronic components. The company offers electronic components, circuit boards with surface mount technology and other parts and components for the automotive marketplace.</t>
  </si>
  <si>
    <t>Levine Leichtman Capital Partners(Lauren Leichtman), Luminator Technology Group</t>
  </si>
  <si>
    <t>26462-08T</t>
  </si>
  <si>
    <t>Gafisa (BVMF: GFSA3)(Alceu Calciolari)</t>
  </si>
  <si>
    <t>224086-06T</t>
  </si>
  <si>
    <t>Fundo de Investimento Imobiliario Torre Almirante (BVMF: ALMI11)</t>
  </si>
  <si>
    <t>Fundo Invest Imobiliario TORRE Almirante, formerly Fundo de Investimento Imobiliario Torre Almirante is a real estate investment trust.</t>
  </si>
  <si>
    <t>29342-71T</t>
  </si>
  <si>
    <t>Denham Capital Management(Victor Muñoz)</t>
  </si>
  <si>
    <t>93770-20T</t>
  </si>
  <si>
    <t>Drive Consultoria e Informática</t>
  </si>
  <si>
    <t>Developer of management software application. The company's management software application are commercialized, enabling asset managers to access a wide range of products for their administration and management.</t>
  </si>
  <si>
    <t>89684-65T</t>
  </si>
  <si>
    <t>MCS Engenharia</t>
  </si>
  <si>
    <t>Manufacturer and system integrator of standard and customized motion controllers and complementary motion control components. The company's motion controllers offers motion control system for machine tool, packaging, textile, metal-forming, lens generation, and specialty machines, enabling customers to get customized products at competitive prices.</t>
  </si>
  <si>
    <t>Kollmorgen(Ray Butler)</t>
  </si>
  <si>
    <t>35763-94T</t>
  </si>
  <si>
    <t>Plexbond Quimica</t>
  </si>
  <si>
    <t>Manufacturer of specialty chemical products. The company provides chemical polyurethane specialties and polyester resins based in Curitiba, Brazil.</t>
  </si>
  <si>
    <t>H.B. Fuller (NYS: FUL)</t>
  </si>
  <si>
    <t>110803-96T</t>
  </si>
  <si>
    <t>Contemar Ambiental</t>
  </si>
  <si>
    <t>Manufacturer of plastic containers and garbage dumps intended to serve public agencies, hospitals and other industries. The company offers trash containers and garbage collectors along with mechanized collection and containerization services with quality waste bins to dispose of their waste.</t>
  </si>
  <si>
    <t>Contenur(Inigo Querejeta), Demeter Partners, Miura Partners</t>
  </si>
  <si>
    <t>26792-02T</t>
  </si>
  <si>
    <t>26593-30T</t>
  </si>
  <si>
    <t>Shoes4you</t>
  </si>
  <si>
    <t>Operator of a subscription-based website intended to bring in a new concept in the sale of women's shoes. The company provides a personalized selection of shoes to its members according to their profile where they can purchase one or more models from this list every month, allowing users to exchange tips, share opinions and showcase their purchases.</t>
  </si>
  <si>
    <t>Muccashop</t>
  </si>
  <si>
    <t>61817-77T</t>
  </si>
  <si>
    <t>99jobs</t>
  </si>
  <si>
    <t>Developer of an online collaborative platform intended for job search and career information. The company's platform offers a variety of features, including job listings, resume submissions, and messaging, enabling the job market to function more efficiently, by connecting job seekers with employers.</t>
  </si>
  <si>
    <t>Walter Bernacca(Walter Bernacca)</t>
  </si>
  <si>
    <t>107945-92T</t>
  </si>
  <si>
    <t>AGBI Real Assets</t>
  </si>
  <si>
    <t>89796-70T</t>
  </si>
  <si>
    <t>Petróleo Brasileiro (BVMF: PETR3)(Maria Foster)</t>
  </si>
  <si>
    <t>203073-49T</t>
  </si>
  <si>
    <t>Ceagro Agronegocios</t>
  </si>
  <si>
    <t>Producer and supplier of soybean and corn catering to the domestic and international markets. The company offers grain cultivation, storage and logistics for the supply of grains, enabling access to an array of food products from a single source.</t>
  </si>
  <si>
    <t>Mitsubishi (TKS: 8058)</t>
  </si>
  <si>
    <t>50079-79T</t>
  </si>
  <si>
    <t>Asia Venture Group, Project A Ventures, Tim Marbach</t>
  </si>
  <si>
    <t>58344-94T</t>
  </si>
  <si>
    <t>50685-40T</t>
  </si>
  <si>
    <t>GoBooks</t>
  </si>
  <si>
    <t>Operator of a textbook rental platform. The company provides book renting services to students that enable them to save money on textbooks by renting them online at a considerable lower price.</t>
  </si>
  <si>
    <t>Carlos Lago, Edgard Pinaud, Fernando Almendra, Ricardo Saad</t>
  </si>
  <si>
    <t>34157-53T</t>
  </si>
  <si>
    <t>27812-17T</t>
  </si>
  <si>
    <t>Fabrice Grinda(Fabrice Grinda), Headline(Romero Rodrigues), KI Capital, Pinnacle Ventures(Kenneth Pelowski), Redpoint eventures(Anderson Thees)</t>
  </si>
  <si>
    <t>125267-95T</t>
  </si>
  <si>
    <t>RIO Ventures Holdings</t>
  </si>
  <si>
    <t>226470-61T</t>
  </si>
  <si>
    <t>Rio Bravo IFIX FII (BVMF: RBFF11)</t>
  </si>
  <si>
    <t>Rio Bravo Ifix Fundo DE Fundos Investimento Imobiliario - FII which invests in real estate assets such as mortgage bills and real estate receivables.</t>
  </si>
  <si>
    <t>53876-44T</t>
  </si>
  <si>
    <t>Ilusis Interactive Graphics</t>
  </si>
  <si>
    <t>Operator of a game development studio intended to create fun content and spread it around the globe. The company's portfolio of projects and titles can be used for multiple platforms including Android, iOS, Sony and Nintendo consoles.</t>
  </si>
  <si>
    <t>89578-99T</t>
  </si>
  <si>
    <t>Andrade Energia</t>
  </si>
  <si>
    <t>Producer and distributor of ethanol and biomass energy.</t>
  </si>
  <si>
    <t>33958-99T</t>
  </si>
  <si>
    <t>Santiago and Beverage Trade Lemos</t>
  </si>
  <si>
    <t>Owner and operator of a beer club. The company also publishes a magazine covering articles on the brewery industry. This apart, the company also mails a kit containing a selection of four bottles of beer to its customers. The company also operates as a beer retailer through an online platform.</t>
  </si>
  <si>
    <t>Wine.com</t>
  </si>
  <si>
    <t>92255-32T</t>
  </si>
  <si>
    <t>156961-36T</t>
  </si>
  <si>
    <t>Wanna Migrate</t>
  </si>
  <si>
    <t>Provider of an immigration platform intended to allow its user to identify countries where they will be allowed to live and work. The company's platform uses a points-based immigration system and the service is able to pair high skilled professionals with countries experiencing skill shortages, enabling users to migrate to their desired countries.</t>
  </si>
  <si>
    <t>31511-89T</t>
  </si>
  <si>
    <t>Kaszek(Hernan Kazah), Tiger Global Management</t>
  </si>
  <si>
    <t>96093-01T</t>
  </si>
  <si>
    <t>Bahiasat</t>
  </si>
  <si>
    <t>Provider of internet services.</t>
  </si>
  <si>
    <t>50609-44T</t>
  </si>
  <si>
    <t>Airu</t>
  </si>
  <si>
    <t>Developer of an online fashion and handicraft portal. The company offers handicraft, art and vintage products, as well as supplies for small producers and entrepreneurs to market their products directly to their consumers.</t>
  </si>
  <si>
    <t>Rocket Internet (HAM: RKET)</t>
  </si>
  <si>
    <t>28579-69T</t>
  </si>
  <si>
    <t>Felicis(Renata Quintini), Imaginable Futures Services, Monashees</t>
  </si>
  <si>
    <t>45569-26T</t>
  </si>
  <si>
    <t>HZT Solucoes Ambientais</t>
  </si>
  <si>
    <t>Provider of waste management and disposal services.</t>
  </si>
  <si>
    <t>Opersan, P2 Brasil</t>
  </si>
  <si>
    <t>35756-56T</t>
  </si>
  <si>
    <t>Wolters Kluwer (AMS: WKL)(Kevin Robert)</t>
  </si>
  <si>
    <t>36928-63T</t>
  </si>
  <si>
    <t>Basico.com</t>
  </si>
  <si>
    <t>Developer of an online retail platform designed to offer clothing and other wearables. The company's platform assists to sell t-shirts, polos, tank tops and lingeries made from organic materials, enabling people to avail good quality clothing at a fair price range.</t>
  </si>
  <si>
    <t>Initial:Capital(Roi Carthy)</t>
  </si>
  <si>
    <t>38829-61T</t>
  </si>
  <si>
    <t>65823-40T</t>
  </si>
  <si>
    <t>Azuki (Software Development Applications)</t>
  </si>
  <si>
    <t>Developer of software development tools designed to facilitate cloud computing. The company's software development tools facilitate the deployment of 
applications to any participant cloud provider, enabling clients to automatically install and configure development environments on their local machine.</t>
  </si>
  <si>
    <t>224137-27T</t>
  </si>
  <si>
    <t>Gavea Fundo de Fundos de Investimento Imobiliario - FII (BVMF: FOFT11)</t>
  </si>
  <si>
    <t>CSHG TOP FOFII 2 Fundo de Investimento Imobiliario, formerly Gavea Fundo de Fundos de Investimento Imobiliario - FII is an investment management firm. The company is engaged in providing hedge funds, private equity funds, equity funds &amp; real estate funds.</t>
  </si>
  <si>
    <t>25992-46T</t>
  </si>
  <si>
    <t>500 Global(David McClure), Garan Ventures</t>
  </si>
  <si>
    <t>227537-47T</t>
  </si>
  <si>
    <t>Vector Queluz Lajes Corporativas (BVMF: VLJS11)</t>
  </si>
  <si>
    <t>Vector Queluz Lajes Corporativas Fundo Invest Imobiliario, formerly Vector Queluz Lajes Corporativas Fundo de Investimento Imobiliario FII is a real estate investment company. It invests in real estate properties such as office buildings and high-end offices.</t>
  </si>
  <si>
    <t>29661-13T</t>
  </si>
  <si>
    <t>Resource Capital Funds(Peter Nicholson)</t>
  </si>
  <si>
    <t>95683-69T</t>
  </si>
  <si>
    <t>Omega Corretora de Seguros</t>
  </si>
  <si>
    <t>Provider of insurance brokerage services. The company's insurance brokerage services include risk management, commercial and personal lines insurance, association
programs, retirement planning and employee benefits along with offering insurance consultancy services, enabling individuals and companies to stay protected against any unforeseen contingencies.</t>
  </si>
  <si>
    <t>Alper Consultoria e Corretora de Seguros(Luis Fischman)</t>
  </si>
  <si>
    <t>123564-97T</t>
  </si>
  <si>
    <t>Windeo Green Futur</t>
  </si>
  <si>
    <t>Developer of alternative energy equipment and technical consulting services intended to assist in the management of solar photovoltaic and wind energy projects. The company's equipment portfolio includes solar panels, solar plates, wind turbines, photovoltaic solar modules, and heating systems along with pre-project technical consultancy, project financing, administrative management, installation, and operational management services, enabling clients to avail of comprehensive service offerings for renewable energy projects.</t>
  </si>
  <si>
    <t>DO Group Invest</t>
  </si>
  <si>
    <t>140437-36T</t>
  </si>
  <si>
    <t>70877-26T</t>
  </si>
  <si>
    <t>BRF-Brasil Foods (refrigerated pork and poultry unit)</t>
  </si>
  <si>
    <t>Operator of pork processing plant and poultry farms. The company operates a refrigerated pork and poultry unit in Rio Grande do Sul, Brazil.</t>
  </si>
  <si>
    <t>50665-24T</t>
  </si>
  <si>
    <t>25864-84T</t>
  </si>
  <si>
    <t>Alta Rail Technology</t>
  </si>
  <si>
    <t>Provider of railroad technology products and services. The company's technology products and services are provided for the railroad industry clients, enabling them to improve operational safety, minimize the costs of accidents and reduce operational costs on maintenance, fuel consumption and human resources.</t>
  </si>
  <si>
    <t>89590-33T</t>
  </si>
  <si>
    <t>Brasil Fashion Comercio de Roupas</t>
  </si>
  <si>
    <t>Operator of retail stores. The company's retail stores provides clothing, garments, accessories and fragrances, enabling men, women and kids to get a range of branded clothes and accessories at affordable rates.</t>
  </si>
  <si>
    <t>Salvatore Ferragamo (MIL: SFER)</t>
  </si>
  <si>
    <t>223863-04T</t>
  </si>
  <si>
    <t>Fator IFIX Fundo de Investimento Imobiliario (BVMF: FIXX11)</t>
  </si>
  <si>
    <t>Fator IFIX Fundo de Investimento Imobiliario - FII is a real estate investment fund.</t>
  </si>
  <si>
    <t>34678-00T</t>
  </si>
  <si>
    <t>OGX (Two Brazilian offshore oil blocks)</t>
  </si>
  <si>
    <t>Owner and operator of two offshore oil blocks in Brazil. The company operates Tubarão Martelo, an oil field under development and three oil accumulations.</t>
  </si>
  <si>
    <t>Petronas Gas (KLS: 6033)</t>
  </si>
  <si>
    <t>99355-15T</t>
  </si>
  <si>
    <t>177829-57T</t>
  </si>
  <si>
    <t>International Finance (Washington D.C.)(Oscar Chemerinski)</t>
  </si>
  <si>
    <t>88906-42T</t>
  </si>
  <si>
    <t>Credicard</t>
  </si>
  <si>
    <t>Provider of financial payment services and credit card solutions based in São Paulo, Brazil. The company offers no-annual-fee credit cards, virtual cards for online purchases and a mobile app for real-time expense tracking, delivering convenience and providing flexible and secure payment options to its users.</t>
  </si>
  <si>
    <t>89687-98T</t>
  </si>
  <si>
    <t>Affinity Petcare</t>
  </si>
  <si>
    <t>93628-00T</t>
  </si>
  <si>
    <t>Carbocloro Indústrias Químicas</t>
  </si>
  <si>
    <t>Manufacturer of industrial chemicals. The company is engaged in the manufacture, sale, import and export caustic soda, sodium hypochlorite, hydrochloric acid and chlorine and other related chemicals.</t>
  </si>
  <si>
    <t>224696-53T</t>
  </si>
  <si>
    <t>JPP Capital Fundo de Investimento Imobiliario - FII (BVMF: JPPC11)</t>
  </si>
  <si>
    <t>Jpp Capital Fundo Invest Imobiliario FII is a real estate investment fund. It invests in the acquisition of real rights on real estate and real estate development, directly or indirectly by construction, development or subdivision of property.</t>
  </si>
  <si>
    <t>98442-91T</t>
  </si>
  <si>
    <t>Corning Tecnologias de Comunicação</t>
  </si>
  <si>
    <t>Manufacturer of thermoinjected products designed to provide wireless connectivity services. The company's products include distribution blocks, underground splices, CLV connectors, top connectors, subscriber terminals; telephone interconnection devices and other related products, enabling telecommunication companies to provide uninterrupted wireless services.</t>
  </si>
  <si>
    <t>Corning (NYS: GLW)(Clark Kinlin)</t>
  </si>
  <si>
    <t>95920-30T</t>
  </si>
  <si>
    <t>Suspensys Sistemas Automotivos</t>
  </si>
  <si>
    <t>Manufacturer of automotive parts catering to the agriculture and automobile industry. The company offers suspensions, axles, engine components, agro truck kits, agro mechanical suspension and other related products, thereby enabling customers to manufacture trucks and buses.</t>
  </si>
  <si>
    <t>210884-23T</t>
  </si>
  <si>
    <t>29746-81T</t>
  </si>
  <si>
    <t>La Banque Privee Saint-Germain</t>
  </si>
  <si>
    <t>65823-31T</t>
  </si>
  <si>
    <t>33648-94T</t>
  </si>
  <si>
    <t>Coquelux</t>
  </si>
  <si>
    <t>Provider of fashion purchase club website. The company is online shopping club that caters towards premium and luxury markets and provides information about the latest fashion, home decoration, beauty, cooking, technology, events and entertainment products.</t>
  </si>
  <si>
    <t>Ventas Privadas</t>
  </si>
  <si>
    <t>44555-86T</t>
  </si>
  <si>
    <t>40121-11T</t>
  </si>
  <si>
    <t>73808-65T</t>
  </si>
  <si>
    <t>Enger Engenharia</t>
  </si>
  <si>
    <t>Provider of infrastructure consulting services. The company offers engineering consulting services for the infrastructure and building market primarily in Sao Paulo, Brazil. It provides program management services including conception, feasibility, deployment and operation stages utilizing its own management methodology.</t>
  </si>
  <si>
    <t>SGS (SWX: SGSN)(Chris Kirk)</t>
  </si>
  <si>
    <t>126553-15T</t>
  </si>
  <si>
    <t>Periferia em Movimento</t>
  </si>
  <si>
    <t>Operator of a journalism firm intended to provide news about slums. The company generates and distributes information like interviews and reports with residents, social movement activists, and culture-makers with an inside-in perspective, enabling customers to be aware of the situation in the suburbs and shape public opinion.</t>
  </si>
  <si>
    <t>Impact Hub Fellowship</t>
  </si>
  <si>
    <t>157443-49T</t>
  </si>
  <si>
    <t>Seller</t>
  </si>
  <si>
    <t>Operator of department stores in Brazil. The company has 75 stores distributed across the states of São Paulo, Mato Grosso do Sul and Minas Gerais.</t>
  </si>
  <si>
    <t>BTG Pactual Credito Imobiliario (BVMF: BTCI11), União de Lojas Leader</t>
  </si>
  <si>
    <t>63538-21T</t>
  </si>
  <si>
    <t>25700-32T</t>
  </si>
  <si>
    <t>The Cisneros Group(Victor Kong)</t>
  </si>
  <si>
    <t>52808-14T</t>
  </si>
  <si>
    <t>89685-55T</t>
  </si>
  <si>
    <t>221310-19T</t>
  </si>
  <si>
    <t>BB Seguridade Participacoes (BVMF: BBSE3)</t>
  </si>
  <si>
    <t>BB Seguridade Participacoes SA is a diversified insurance company that operates two segments: insurance and brokerage. The revenue generation is mostly split between these two segments. Its insurance segment focuses on life, property, vehicle, and special-risk insurance. It also provides capitalization plans as well as reinsurance. The company's brokerage segment operates the facilitation of business insurance and reinsurance. BB Seguridade generates its maximum revenue from Insurance Segment. The company considers mergers and acquisitions as a component of its operational growth plan.</t>
  </si>
  <si>
    <t>89712-82T</t>
  </si>
  <si>
    <t>Potássio Occidental Mineraco</t>
  </si>
  <si>
    <t>Provider of mineral exploration services. The company's mineral exploration activities include developing and commercializing high margin potassium projects in Brazil.</t>
  </si>
  <si>
    <t>Pacific Silk Road Resources Group (TSX: PP.H)</t>
  </si>
  <si>
    <t>86619-61T</t>
  </si>
  <si>
    <t>Romagnoli Alimentos</t>
  </si>
  <si>
    <t>Producer of high-quality dairy and beef cattle feeds intended to offer special formulations according to the needs of each producer with studies and feasibility projects. The company's high-quality dairy and beef cattle feeds include pellets and meal, which can be made available in bags of 40 kilos or in bulk, enabling farmers avail animal nutrition for both the dairy herd and the beef cattle for cattle breeding enhancement.</t>
  </si>
  <si>
    <t>De Heus Voeders</t>
  </si>
  <si>
    <t>73399-78T</t>
  </si>
  <si>
    <t>221142-88T</t>
  </si>
  <si>
    <t>Alupar Investimento SA is an investment in other entities operating in the energy and infrastructure industries, in Brazil and abroad. It has two segments Transmission segment and the Generation segment. Its sources of revenue include energy transmission revenue, infrastructure revenue, revenue from the remuneration of concession assets, and revenue from energy supply. The majority of revenue comes from the remuneration of concession assets. It generates the vast majority of its revenue in Brazil.</t>
  </si>
  <si>
    <t>112168-09T</t>
  </si>
  <si>
    <t>89718-85T</t>
  </si>
  <si>
    <t>PRX Soluções em Gestão Agroindustrial</t>
  </si>
  <si>
    <t>Developer of production management software (PIMS). The company's production management software (PIMS) manages the production of crops such as sugar cane, grains and citrus, enabling agricultural sector to manage the end to end needs of the agribusiness.</t>
  </si>
  <si>
    <t>227020-06T</t>
  </si>
  <si>
    <t>Sp Downtown Fundo Invest Imobiliario FII (BVMF: SPTW11)</t>
  </si>
  <si>
    <t>Sp Downtown Fundo Invest Imobiliario FII is a real estate investment fund.</t>
  </si>
  <si>
    <t>92934-37T</t>
  </si>
  <si>
    <t>89647-75T</t>
  </si>
  <si>
    <t>Habtec Engenharia Ambiental</t>
  </si>
  <si>
    <t>Provider of environmental engineering consulting services. The company's consulting services include environmental impact study, simplified environmental report, environmental viability study, seismic environmental study, environmental control report, environmental evaluation report, environmental control project, basic environmental project, environmental management plan, seismic environmental report, risk analysis and environmental inventory, enabling energy production and offshore exploration companies to get environmental engineering services.</t>
  </si>
  <si>
    <t>Mott MacDonald Group(Keith Howells)</t>
  </si>
  <si>
    <t>70990-39T</t>
  </si>
  <si>
    <t>Motorola Mobility (Manufacturing Operations)</t>
  </si>
  <si>
    <t>Operator of manufacturing and operations unit. The company operates manufacturing unit of mobile devices which includes cell phones, smart phones, tablets and other wireless accessories.</t>
  </si>
  <si>
    <t>Flex (BPO/Outsource Services) (NAS: FLEX)(Michael Mcnamara)</t>
  </si>
  <si>
    <t>224054-38T</t>
  </si>
  <si>
    <t>Fundo Invest Imobiliario FII Brasil Plural Absoluto Fundo Fundos</t>
  </si>
  <si>
    <t>Fundo Invest Imobiliario FII Brasil Plural Absoluto Fundo Fundos is a real estate investment trust.</t>
  </si>
  <si>
    <t>70992-46T</t>
  </si>
  <si>
    <t>Manfra &amp; Companhia</t>
  </si>
  <si>
    <t>Distributor and seller of topography software systems. The company develops Posicao topography software to surveying, engineering, construction, mining and agriculture industries in the south and west Brazilian markets.</t>
  </si>
  <si>
    <t>32386-87T</t>
  </si>
  <si>
    <t>Crescera Capital(Paulo Todaro)</t>
  </si>
  <si>
    <t>52353-91T</t>
  </si>
  <si>
    <t>Enrique Dubois(Enrique Dubois), Michael Hennessey(Michael Hennessey), Mola(Paco Gimena)</t>
  </si>
  <si>
    <t>25358-68T</t>
  </si>
  <si>
    <t>40078-72T</t>
  </si>
  <si>
    <t>Softway</t>
  </si>
  <si>
    <t>Developer of a foreign trade management software intended for small and medium-sized enterprises (SMEs). The company's platform provides assistance with the execution of the export and import processes, enabling clients to have more control and better management.</t>
  </si>
  <si>
    <t>Thomson Reuters (TSE: TRI)(Gonzalo Lissarrague), TIVIT</t>
  </si>
  <si>
    <t>213094-63T</t>
  </si>
  <si>
    <t>Triunfo Participações E Investimentos (BVMF: TPIS3)</t>
  </si>
  <si>
    <t>TPI Triunfo Participacoes e Investimentos SA provides construction and operations of infrastructure facilities. The company's operating segments include Toll Roads Segment, Energy Segment, Logistic Segment and Other. Company generates majority of the revenue from Toll roads segment.</t>
  </si>
  <si>
    <t>59792-23T</t>
  </si>
  <si>
    <t>Tortuga Companhia Zootécnica Agrária</t>
  </si>
  <si>
    <t>Producer of feed supplements for livestock. The company offers mineral supplements, organic trace minerals and related products in Brazil and nine other Latin American countries, meeting the needs of rural entrepreneurs working in the areas of livestock (beef and dairy), swine, poultry, equine, sheep, goats and pets.</t>
  </si>
  <si>
    <t>DSM-Firmenich (AMS: DSFIR)(Feike Sijbesma)</t>
  </si>
  <si>
    <t>124417-36T</t>
  </si>
  <si>
    <t>Peixes da Amazônia</t>
  </si>
  <si>
    <t>Operator of fish farming complex dedicated to breeding and processing of regional fish. The company specializes in producing fingerlings, fish and fish feed, thereby producing fish for wholesalers, Brazilians and foreigners in a sustainable and profitable way.</t>
  </si>
  <si>
    <t>36920-80T</t>
  </si>
  <si>
    <t>Kaszek(Hernan Kazah), Monashees, Otto Capital</t>
  </si>
  <si>
    <t>33443-92T</t>
  </si>
  <si>
    <t>Bertelsmann Brazil Investments, Monashees(Eric Acher), Otto Capital</t>
  </si>
  <si>
    <t>89687-62T</t>
  </si>
  <si>
    <t>Mineral Fanton Industrial e Comercio</t>
  </si>
  <si>
    <t>Provider and supplier of free choice minerals for cattle, horses and sheep.</t>
  </si>
  <si>
    <t>H.J. Baker &amp; Bro.(Christopher Smith)</t>
  </si>
  <si>
    <t>96010-57T</t>
  </si>
  <si>
    <t>Civitella &amp; Cia</t>
  </si>
  <si>
    <t>Manufacturer and seller of wireless communication tools and equipment. The company's are used for the installation of telephone networks, enabling electrical, construction, oil, gas and telecommunications industries avail prompt technical assistance to products and constant analysis of satisfaction assessments.</t>
  </si>
  <si>
    <t>Klein Tools(Thomas Klein)</t>
  </si>
  <si>
    <t>49394-71T</t>
  </si>
  <si>
    <t>Pró Cirurgia Especializada</t>
  </si>
  <si>
    <t>Distributor of video surgery products and services intended to serve the healthcare industry. The company offers various surgical products, catering to hospitals, clinics and health insurance companies.</t>
  </si>
  <si>
    <t>Smith &amp; Nephew (LON: SN.)(Olivier Bohuon)</t>
  </si>
  <si>
    <t>54596-71T</t>
  </si>
  <si>
    <t>b-cam</t>
  </si>
  <si>
    <t>Provider of backup as a service platform intended to offer cloud storage for images. The company's platform offers data protection services with high technology and absolute security and facilitates quick management and retrieval, enabling pharmacies, online retailers, convenience stores, laboratories and others to capture, store and protect data and information at a lower cost.</t>
  </si>
  <si>
    <t>Haya Investimentos(Marcelo Hayashi)</t>
  </si>
  <si>
    <t>138527-20T</t>
  </si>
  <si>
    <t>Baixou</t>
  </si>
  <si>
    <t>Operator of an online marketplace intended to give reminders when products go down in price. The company's website offers several tools to provide price comparison, and monitoring of individual products with receipt of low prices by email and SMS, enabling users to make purchases of the products at the right time and price.</t>
  </si>
  <si>
    <t>89590-42T</t>
  </si>
  <si>
    <t>BMG Seguradora</t>
  </si>
  <si>
    <t>Provider of insurance services.</t>
  </si>
  <si>
    <t>Itau BMG Consignado</t>
  </si>
  <si>
    <t>27576-73T</t>
  </si>
  <si>
    <t>Fundo Pitanga(Fernando de Castro Reinach)</t>
  </si>
  <si>
    <t>124147-63T</t>
  </si>
  <si>
    <t>Knijnik</t>
  </si>
  <si>
    <t>Provider of HVAC and plumbing services. The company offers expertise in the development of structural, electrical, plumbing and air conditioning projects.</t>
  </si>
  <si>
    <t>25992-37T</t>
  </si>
  <si>
    <t>61560-91T</t>
  </si>
  <si>
    <t>Vozero</t>
  </si>
  <si>
    <t>Provider of a voice based social networking platform. The company offers a voice based social networking platform allowing users to connect with other users through voice.</t>
  </si>
  <si>
    <t>75015-19T</t>
  </si>
  <si>
    <t>Corpesca</t>
  </si>
  <si>
    <t>36915-40T</t>
  </si>
  <si>
    <t>Clube de Autores</t>
  </si>
  <si>
    <t>Operator of a self-publishing platform designed to help independent authors to publish their works. The company's platform offers on-demand book printing, publishing and selling services to authors, enabling writers to publish their works with circulation facilities at minimum cost.</t>
  </si>
  <si>
    <t>Bzplan(Marcelo Wolowski), Draper Fisher Jurvetson Management, FIR Capital, Invisto, Spectra Investments</t>
  </si>
  <si>
    <t>61323-40T</t>
  </si>
  <si>
    <t>Oria Capital(Jorge Steffens), Spectra Investments</t>
  </si>
  <si>
    <t>33957-19T</t>
  </si>
  <si>
    <t>500 Global, Altivia Ventures, Antoine Colaço(Antoine Colaço), e.bricks Ventures, EB Capital(Fabio Bruggioni), Mario Letelier(Mario Letelier)</t>
  </si>
  <si>
    <t>25473-79T</t>
  </si>
  <si>
    <t>Atomico(Carolina Brochado), W7 Venture Capital</t>
  </si>
  <si>
    <t>293968-36T</t>
  </si>
  <si>
    <t>Grupo Dumont Saab</t>
  </si>
  <si>
    <t>Operator of an online retailer of high-quality watches and accessories in Manaus, Brazil. The company offers a wide range of renowned brands and accessories.</t>
  </si>
  <si>
    <t>Grupo Technos (BVMF: TECN3)(Joaquim Ribeiro)</t>
  </si>
  <si>
    <t>79367-41T</t>
  </si>
  <si>
    <t>Netuno International</t>
  </si>
  <si>
    <t>Distributor of shrimp products. The company engages in manufacturing and distribution of different types of sea foods, fishes and meats throughout Brazil.</t>
  </si>
  <si>
    <t>60860-53T</t>
  </si>
  <si>
    <t>Rustars Ventures(Anton Starskiy), Starta Ventures</t>
  </si>
  <si>
    <t>49684-96T</t>
  </si>
  <si>
    <t>71014-87T</t>
  </si>
  <si>
    <t>Previsul</t>
  </si>
  <si>
    <t>Provider of life insurance services based in Porto Alegre, Brazil.</t>
  </si>
  <si>
    <t>Caixa (BVMF: CRFF11), Caixa Seguradora</t>
  </si>
  <si>
    <t>86440-42T</t>
  </si>
  <si>
    <t>24159-25T</t>
  </si>
  <si>
    <t>71013-34T</t>
  </si>
  <si>
    <t>Wehrtec Tecnologia Agricola</t>
  </si>
  <si>
    <t>Operator of an agricultural company. The company is engaged in producing crops such as soybean, corn, sorghum, potatoes and garlic.</t>
  </si>
  <si>
    <t>Bayer CropScience (BOM: 506285)</t>
  </si>
  <si>
    <t>71016-04T</t>
  </si>
  <si>
    <t>Char*Pointer Tecnologia</t>
  </si>
  <si>
    <t>Developer of software applications. The company designs and develops software applications for surveying and civil engineering industry.</t>
  </si>
  <si>
    <t>Bentley Systems (NAS: BSY)(Malcolm Walter)</t>
  </si>
  <si>
    <t>55077-13T</t>
  </si>
  <si>
    <t>24927-40T</t>
  </si>
  <si>
    <t>BNDESpar, Intel Capital(David Thomas), Spectra Investments</t>
  </si>
  <si>
    <t>65640-61T</t>
  </si>
  <si>
    <t>Pagapramim</t>
  </si>
  <si>
    <t>Developer of a bill extension platform based in Vitória/ES, Brazil. The company's platform provides a bill payment portal, enabling users to avoid paying late bills and also helps in registering bills.</t>
  </si>
  <si>
    <t>29933-92T</t>
  </si>
  <si>
    <t>ACE Ventures (Commercial Services), ASA Capital, Bolt Ventures, Cassio Spina, Demiurgus, EB Capital, Initial Capital, Jacard Investimentos, Kravla Partners, Michael Nicklas(Michael Nicklas), Nicolas Gautier(Nicolas Gautier), Redpoint eventures, Roi Carthy(Roi Carthy), Trindade Investimentos</t>
  </si>
  <si>
    <t>24879-07T</t>
  </si>
  <si>
    <t>3i Group (LON: III), Neuberger Berman, Siguler Guff(Cesar Collier)</t>
  </si>
  <si>
    <t>225228-79T</t>
  </si>
  <si>
    <t>Mérito Desenvolvimento (BVMF: MFII11)</t>
  </si>
  <si>
    <t>Merito Desenvolvimento Imobiliario I FII Fundo de Investimento Imobiliario is a real estate investment trust. It is engaged in the acquisition of interests in real estate development projects developed in partnership with developers.</t>
  </si>
  <si>
    <t>89738-38T</t>
  </si>
  <si>
    <t>Testtech Laboratorios De Avaliacao Da Conformidade</t>
  </si>
  <si>
    <t>Provider of electrical safety testing services. The company's electrical safety testing services include home appliance safety testing and performance testing services for automotive parts, luminaries and other lighting products, enabling customers to get safe electrical products according to their needs.</t>
  </si>
  <si>
    <t>UL Solutions (NYS: ULS)(Ben Miller)</t>
  </si>
  <si>
    <t>227750-41T</t>
  </si>
  <si>
    <t>XP Corporate Macae Fundo de Investimento Imobiliario FII (BVMF: XPCM11)</t>
  </si>
  <si>
    <t>Xp Corporate Macae Fundo Invest Imobiliario FII is obtaining gains from the acquisition, of commercial operations, and buildings.</t>
  </si>
  <si>
    <t>32386-60T</t>
  </si>
  <si>
    <t>Amor aos Pedaços</t>
  </si>
  <si>
    <t>Operator of a chain of confectionery stores. The company's sweets and delicacies are also processed in a variant of being sugar, gluten and lactose free.</t>
  </si>
  <si>
    <t>57929-68T</t>
  </si>
  <si>
    <t>u.sit</t>
  </si>
  <si>
    <t>Developer of a customer relationship management application intended for restaurants. The company offers a digital intelligence system that manages the restaurant's waitlist and notifies customers through a short messaging service when their table is ready, enabling restaurants to become more efficient and customers to save time.</t>
  </si>
  <si>
    <t>90133-48T</t>
  </si>
  <si>
    <t>33868-90T</t>
  </si>
  <si>
    <t>71396-74T</t>
  </si>
  <si>
    <t>Agroveneto</t>
  </si>
  <si>
    <t>Operator of a poultry -processing facility. The company is engaged in the processing of chicken and other domestic fowl in Brazil.</t>
  </si>
  <si>
    <t>33182-47T</t>
  </si>
  <si>
    <t>Antoine Colaço(Antoine Colaço), Carlos Curioni(Carlos Curioni), Daniel Abdo(Daniel Abdo), EB Capital, Florian Otto(Florian Otto), Guilherme Horn, Ricardo Taveira(Ricardo Taveira), Valor Capital Group</t>
  </si>
  <si>
    <t>122381-38T</t>
  </si>
  <si>
    <t>33185-62T</t>
  </si>
  <si>
    <t>Juvalia Comercio Acessorios</t>
  </si>
  <si>
    <t>Operator of an e-commerce platform. The company is an online retailer of Brazilian jewelry and accessories.</t>
  </si>
  <si>
    <t>EB Capital, RIGI Ventures</t>
  </si>
  <si>
    <t>29933-74T</t>
  </si>
  <si>
    <t>Headline, Redpoint eventures(Manoel Lemos), Valor Capital Group</t>
  </si>
  <si>
    <t>69414-58T</t>
  </si>
  <si>
    <t>Plaay (Application Software)</t>
  </si>
  <si>
    <t>Developer of a music streaming application designed to offer the people of Brazil an enhanced musical experience. The company's music streaming application helps to listen songs for free and share the song playlists with friends and other members, enabling users to get enlighten with exposure to a broad musical world.</t>
  </si>
  <si>
    <t>50795-92T</t>
  </si>
  <si>
    <t>Rabixo</t>
  </si>
  <si>
    <t>Provider of a subscription based website for mens utility. The company's platform provides socks, underwear, t-shirts, razors, deodorants and many more products.</t>
  </si>
  <si>
    <t>Bruno Yoshimura(Bruno Yoshimura)</t>
  </si>
  <si>
    <t>217206-28T</t>
  </si>
  <si>
    <t>256806-28T</t>
  </si>
  <si>
    <t>Zinco do Brasil Mineracao</t>
  </si>
  <si>
    <t>Provider of mining-related services based in Brazil.</t>
  </si>
  <si>
    <t>Zinco do Brasil</t>
  </si>
  <si>
    <t>60226-21T</t>
  </si>
  <si>
    <t>Advent International(Chris Egan), Bain Capital, Goldman Sachs Asset Management(Steven Feldman), Madison Dearborn Partners(Timothy Hurd), TransUnion (NYS: TRU)</t>
  </si>
  <si>
    <t>202939-93T</t>
  </si>
  <si>
    <t>70925-05T</t>
  </si>
  <si>
    <t>Repom</t>
  </si>
  <si>
    <t>Developer of road freight management software intended to help with financial and operational administration. The company offers supply, toll voucher, maintenance and expense management services, thereby providing businesses with security for an intelligent and functional routine.</t>
  </si>
  <si>
    <t>Edenred Group (PAR: EDEN)(Oswaldo Melantonio Filho)</t>
  </si>
  <si>
    <t>60164-38T</t>
  </si>
  <si>
    <t>40275-01T</t>
  </si>
  <si>
    <t>24719-86T</t>
  </si>
  <si>
    <t>127722-97T</t>
  </si>
  <si>
    <t>91604-71T</t>
  </si>
  <si>
    <t>Link Investimentos</t>
  </si>
  <si>
    <t>Provider of independent brokerage services. The company's services include private wealth management and asset management, enabling clients to manage their assets efficiently.</t>
  </si>
  <si>
    <t>UBS Group (SWX: UBSG)(Carsten Kengeter)</t>
  </si>
  <si>
    <t>89695-54T</t>
  </si>
  <si>
    <t>Nytron</t>
  </si>
  <si>
    <t>Manufacturer of tensioners and pulleys. The company's tensioners and pulleys include drive belt and timing tensioners, pulleys and hydraulic cylinders and actuators for the automotive aftermarket.</t>
  </si>
  <si>
    <t>Dayco Products(Ed Rammel)</t>
  </si>
  <si>
    <t>33967-45T</t>
  </si>
  <si>
    <t>EB Capital, The Astor Group</t>
  </si>
  <si>
    <t>110267-83T</t>
  </si>
  <si>
    <t>25009-21T</t>
  </si>
  <si>
    <t>Intel Capital(David Thomas)</t>
  </si>
  <si>
    <t>24588-73T</t>
  </si>
  <si>
    <t>500 Global(David McClure), EB Capital(Pedro Melzer), Initial:Capital(Daniel da Cunha), RBS Participações, Rhodium</t>
  </si>
  <si>
    <t>202694-41T</t>
  </si>
  <si>
    <t>Araucaria Participações</t>
  </si>
  <si>
    <t>Provider of financial services based in Rio De Janeiro, Brazil.</t>
  </si>
  <si>
    <t>75016-90T</t>
  </si>
  <si>
    <t>Canal Rural Produções</t>
  </si>
  <si>
    <t>Provider of broadcasting services aimed at agribusiness in Brazil through journalism, service provision and entertainment. The company's television channel broadcasts the techniques of agriculture, animal husbandry and agricultural branch news and also offers news portals, auctions, events, applications and educational services, enabling farmers and agribusiness decision-makers to consume informative content and make smarter decisions.</t>
  </si>
  <si>
    <t>27872-65T</t>
  </si>
  <si>
    <t>Bertelsmann, Bertelsmann Brazil Investments, Monashees</t>
  </si>
  <si>
    <t>30992-32T</t>
  </si>
  <si>
    <t>Felicis, Venture Initiation Program</t>
  </si>
  <si>
    <t>24921-46T</t>
  </si>
  <si>
    <t>Draper Associates, Kaszek(Nicolas Szekasy), Otto Capital, Start-Up Chile, Timothy Draper(Timothy Draper)</t>
  </si>
  <si>
    <t>89614-81T</t>
  </si>
  <si>
    <t>Compasso Informática</t>
  </si>
  <si>
    <t>Provider of information technology consulting and services. the company's service is specialized in custom software development, maintenance, integration, testing and implementation enabling their customers to gain competitive advantage through reliable, high-performance technology applications.</t>
  </si>
  <si>
    <t>89662-78T</t>
  </si>
  <si>
    <t>itBrain Serviços em Tecnologia da Informação</t>
  </si>
  <si>
    <t>Provider of information technology and consulting services.</t>
  </si>
  <si>
    <t>Compusoftware Informatica(Max Camargo)</t>
  </si>
  <si>
    <t>24467-59T</t>
  </si>
  <si>
    <t>Bolsa de Mulher</t>
  </si>
  <si>
    <t>Provider of social networking, education and multi platform content for women. The company portal includes editorial content, interactive tools, videos and a social network.</t>
  </si>
  <si>
    <t>Vix (Movies, Music and Entertainment)</t>
  </si>
  <si>
    <t>62785-63T</t>
  </si>
  <si>
    <t>Startup Weekend</t>
  </si>
  <si>
    <t>50774-68T</t>
  </si>
  <si>
    <t>Lagiar</t>
  </si>
  <si>
    <t>Operator of a retail platform intended for gift suggestions. The company's platform offers filters to determine what the user should get as a present for the other person, enabling users to find an exact gift according to their needs.</t>
  </si>
  <si>
    <t>24006-07T</t>
  </si>
  <si>
    <t>58868-56T</t>
  </si>
  <si>
    <t>36938-80T</t>
  </si>
  <si>
    <t>Easyaula</t>
  </si>
  <si>
    <t>Provider of online platform to connect teachers and students. The company operates an online marketplace that connects teachers and students directly, allowing students to learn the professional subjects they need.</t>
  </si>
  <si>
    <t>21212, Macmillan Digital Education(Matthias Ick), Start-Up Brasil</t>
  </si>
  <si>
    <t>36903-07T</t>
  </si>
  <si>
    <t>89706-70T</t>
  </si>
  <si>
    <t>Alicorp (LIM: ALICORC1)</t>
  </si>
  <si>
    <t>25087-06T</t>
  </si>
  <si>
    <t>Veduca</t>
  </si>
  <si>
    <t>Developer of an online video platform designed to offer educational content. The company's platform aggregates and curates educational content from different universities and imparts the same through video lectures, enabling students to have access to quality education, in a simple and accessible way and at pace.</t>
  </si>
  <si>
    <t>500 Global, Bolt Ventures(Cyrill Wiget), DigitalEd, Kohlmann, Macmillan Digital Education, Nicolas Gautier(Nicolas Gautier)</t>
  </si>
  <si>
    <t>102656-08T</t>
  </si>
  <si>
    <t>Lodging Media</t>
  </si>
  <si>
    <t>Provider of property rental services based in Rio de Janeiro, Brazil. The company is engaged in providing rental services with a website that will operate as an online marketplace for the short-term for-rent-by-owner property industry.</t>
  </si>
  <si>
    <t>224898-76T</t>
  </si>
  <si>
    <t>Lateres Fundo de Investimento Imobiliario</t>
  </si>
  <si>
    <t>Operator of a real estate investment trust based in Rio de Janeiro, Brazil. The company offers investment opportunity, like a mutual fund, that makes it possible for banks, and hedge funds-to benefit from valuable real estate, present the opportunity to access dividend-based income and total returns, and help communities grow, thrive, and revitalize.</t>
  </si>
  <si>
    <t>53819-02T</t>
  </si>
  <si>
    <t>Listus</t>
  </si>
  <si>
    <t>Provider of a wish-list platform. The company offers a wish-list platform for online and real-life retailers to manage gift registries to personal wish lists.</t>
  </si>
  <si>
    <t>Carlos Ferraz(Carlos Ferraz), Devise, Lab22(Fernando Campos), Polaris Investimentos</t>
  </si>
  <si>
    <t>117473-86T</t>
  </si>
  <si>
    <t>187401-88T</t>
  </si>
  <si>
    <t>TMG Capital(Paulo Knorich Zuffo)</t>
  </si>
  <si>
    <t>89716-96T</t>
  </si>
  <si>
    <t>ProFUSION</t>
  </si>
  <si>
    <t>Provider of software development services catering to mobile telephony, automobile, and state-of-the-art appliance designing companies. The company offers consulting, training, and development of embedded systems and the Internet of Things, enabling clients to create differentiated products leveraging free or open source software.</t>
  </si>
  <si>
    <t>Intel (NAS: INTC)(Imad Sousou)</t>
  </si>
  <si>
    <t>110984-95T</t>
  </si>
  <si>
    <t>Independência Participações</t>
  </si>
  <si>
    <t>Producer of beef and leather products in Brazil.</t>
  </si>
  <si>
    <t>73718-47T</t>
  </si>
  <si>
    <t>TOTVS Ventures</t>
  </si>
  <si>
    <t>49775-86T</t>
  </si>
  <si>
    <t>53847-91T</t>
  </si>
  <si>
    <t>89720-74T</t>
  </si>
  <si>
    <t>Rei Indústria e Comércio de Abrasivos</t>
  </si>
  <si>
    <t>Manufacturer of abrasive solids. The company's abrasive solids offer grinding wheels, and cutting and grinding discs, grinding files and stones, manual grinding stones, cutting and trimming discs and mounted tips, enabling the abrasives market to get different type of products at competitive prices.</t>
  </si>
  <si>
    <t>Weiler Corporation(Claudio Santos)</t>
  </si>
  <si>
    <t>71055-01T</t>
  </si>
  <si>
    <t>Redetrel - Rede Transações Eletrônicas</t>
  </si>
  <si>
    <t>Provider of online mobile prepaid card recharging services. The company provides distribution of electronic prepaid products in Brazil.</t>
  </si>
  <si>
    <t>39229-21T</t>
  </si>
  <si>
    <t>79759-63T</t>
  </si>
  <si>
    <t>Brazilian Development Bank, Ideiasnet (BVMF: PDTC3)</t>
  </si>
  <si>
    <t>169893-46T</t>
  </si>
  <si>
    <t>W&amp;D Participacoes</t>
  </si>
  <si>
    <t>Operator of a holding company which develops software for distribution and retail segments in Barbacena, Brazil.</t>
  </si>
  <si>
    <t>83713-60T</t>
  </si>
  <si>
    <t>Atlântica Sementes</t>
  </si>
  <si>
    <t>Producer of agricultural products intended to import, export and commercialization of seeds in Brazil. The company's product offerings include sorghum and sunflower seeds, ryegrass seeds enabling customers to choose from variety.</t>
  </si>
  <si>
    <t>Nuseed Global(Rodrigo Sarria)</t>
  </si>
  <si>
    <t>74581-57T</t>
  </si>
  <si>
    <t>223303-69T</t>
  </si>
  <si>
    <t>CSHG GR Louveira Fundo de Investimento Imobiliario - FII (BVMF: GRLV11)</t>
  </si>
  <si>
    <t>CSHG GR Louveira Fundo de Investimento Imobiliario - FII is a real estate investment fund.</t>
  </si>
  <si>
    <t>179215-75T</t>
  </si>
  <si>
    <t>GranBio</t>
  </si>
  <si>
    <t>Provider of biochemicals and clean energy focused on converting biomass into biofuels from cellulose carbon. The company offers straw harvest, 2G ethanol production, nanocellulose, disruptive biomaterial and biorefinery technology, thereby enabling clients to reduce dependence on fossil carbon and mitigate the human impact on global warming.</t>
  </si>
  <si>
    <t>89652-25T</t>
  </si>
  <si>
    <t>Idéia Produções e Design</t>
  </si>
  <si>
    <t>Provider of graphic designing and printing services. The company's graphic designing and printing services include creating graphic and packaging designs, designing custom logos, business cards, flyers, posters, folders, stickers, invitations, botton, labels acts and providing custom fabrication, enabling companies to get a comprehensive design layout for its products.</t>
  </si>
  <si>
    <t>110267-65T</t>
  </si>
  <si>
    <t>Cedae</t>
  </si>
  <si>
    <t>Provider of water sanitation and sewage treatment services intended for production of clean water and disposal of wastewater for Brazilian citizens. The company holds concession contracts for the operation and maintenance of the state's water distribution systems, including water collection, treatment, transport and distribution, as well as the collection, transport, treatment and disposal of wastewater.</t>
  </si>
  <si>
    <t>71058-16T</t>
  </si>
  <si>
    <t>Metalúrgica Barros Monteiro</t>
  </si>
  <si>
    <t>Manufacturer of railroad equipment. The company is engaged in the production and distribution of switches, turnouts and other railway electronic equipment in Brazil.</t>
  </si>
  <si>
    <t>Vossloh (ETR: VOS)(Werner Andree)</t>
  </si>
  <si>
    <t>31643-65T</t>
  </si>
  <si>
    <t>Alessandro Raposo, Marcelo Astrachan, Qualcomm Ventures, Riverwood Capital</t>
  </si>
  <si>
    <t>255097-09T</t>
  </si>
  <si>
    <t>Artemis Transmissora de Energia</t>
  </si>
  <si>
    <t>Provider of electricity transmission services based out in Santa Catarina, Brazil.</t>
  </si>
  <si>
    <t>Eletrosul</t>
  </si>
  <si>
    <t>49684-60T</t>
  </si>
  <si>
    <t>95120-02T</t>
  </si>
  <si>
    <t>71061-94T</t>
  </si>
  <si>
    <t>Gasket Vedações Técnicas</t>
  </si>
  <si>
    <t>Manufacturer and distributor of gaskets and related products. The company is engaged in manufacturing and supplying of ring-type joints for the onshore and offshore drilling markets, as well as distributing additional gasket types for the refining and petrochemical markets.</t>
  </si>
  <si>
    <t>Lamons(Kurt Allen)</t>
  </si>
  <si>
    <t>89659-27T</t>
  </si>
  <si>
    <t>Instituto Excelência</t>
  </si>
  <si>
    <t>Provider of educational services based in Belo Horizonte, Brazil. The company's educational services offers undergraduate and postgraduate courses, enabling the students to access a wide range of services for gaining their knowledge under one roof.</t>
  </si>
  <si>
    <t>210869-20T</t>
  </si>
  <si>
    <t>39265-12T</t>
  </si>
  <si>
    <t>Flexpack Soluções em Embalagens</t>
  </si>
  <si>
    <t>Manufacturer of packaging materials. The company manufactures bags for retail beverages, fountain syrup, food ingredients, food-service products and non-food applications.</t>
  </si>
  <si>
    <t>Scholle(Ryan Balock)</t>
  </si>
  <si>
    <t>89860-33T</t>
  </si>
  <si>
    <t>CT MAIN Engenheiros</t>
  </si>
  <si>
    <t>Provider of project management and engineering services for energy and infrastructure companies. The company's project management and engineering services include electrical system studies, feasibility reports, consulting, design, construction supervision and management, enabling industrial and infrastructure customers to receive reliable services.</t>
  </si>
  <si>
    <t>Parsons (NYS: PSN)(Charles Harrington)</t>
  </si>
  <si>
    <t>26450-92T</t>
  </si>
  <si>
    <t>FJ Labs, Flybridge (New York)(Jeffrey Bussgang)</t>
  </si>
  <si>
    <t>24186-79T</t>
  </si>
  <si>
    <t>500 Global(David McClure), Monashees(Eric Acher), Napkn Ventures(Manoel Lemos), Ribbit Capital(Meyer Malka), TPG (NAS: TPG)</t>
  </si>
  <si>
    <t>51565-33T</t>
  </si>
  <si>
    <t>Proprietário Direto</t>
  </si>
  <si>
    <t>Operator of a real estate social network intended to connect real estate buyers and sellers. The company's platform allows users to list their properties for sale or rent and allows buyers and renters to filter out available properties and set aside listings of interest, providing end-users with a great reduction in time and cost in the process of buying and selling properties.</t>
  </si>
  <si>
    <t>Wayra(Carlos Filho)</t>
  </si>
  <si>
    <t>51579-37T</t>
  </si>
  <si>
    <t>34939-63T</t>
  </si>
  <si>
    <t>Cometa (Mexico), Rising Ventures, Simile Venture Partners, South Ventures, Unique Investment, Varif Ventures</t>
  </si>
  <si>
    <t>61316-83T</t>
  </si>
  <si>
    <t>Oria Capital(Jorge Steffens)</t>
  </si>
  <si>
    <t>105406-75T</t>
  </si>
  <si>
    <t>232670-80T</t>
  </si>
  <si>
    <t>Absolute Investimentos</t>
  </si>
  <si>
    <t>Provider of investment management services based out of Brazil.</t>
  </si>
  <si>
    <t>133658-29T</t>
  </si>
  <si>
    <t>Bulb Capital, South Ventures</t>
  </si>
  <si>
    <t>266173-03T</t>
  </si>
  <si>
    <t>Amazônia Cacau</t>
  </si>
  <si>
    <t>Manufacturer of chocolates based in Santa Bárbara do Pará, Brazil. The company products are made with certified organic Amazonian cacao almonds.</t>
  </si>
  <si>
    <t>94352-05T</t>
  </si>
  <si>
    <t>MIDI Tecnológico</t>
  </si>
  <si>
    <t>65819-44T</t>
  </si>
  <si>
    <t>274116-97T</t>
  </si>
  <si>
    <t>Operator of a poultry farm based in Lauro Muller, Brazil. The company specializes in free range eggs, thereby helping customers with organic and fresh eggs.</t>
  </si>
  <si>
    <t>131769-46T</t>
  </si>
  <si>
    <t>39780-64T</t>
  </si>
  <si>
    <t>Bizut</t>
  </si>
  <si>
    <t>Developer of a recruitment platform designed to reduce the selection process time. The company's platform offers standardized resumes, candidate screening, and competency-based selection features, enabling companies to streamline recruitment efforts and make hiring decisions.</t>
  </si>
  <si>
    <t>52221-25T</t>
  </si>
  <si>
    <t>BrainOn (Application Software)</t>
  </si>
  <si>
    <t>Developer of a digital game platform for cognitive attendance and evaluation. The company's platform offers cognitive training, database for cognitive evaluation, increases the range for identification of learning disorders and follow the player's cognitive development.</t>
  </si>
  <si>
    <t>77794-48T</t>
  </si>
  <si>
    <t>116559-01T</t>
  </si>
  <si>
    <t>Caixa (BVMF: CRFF11), Fundação dos Economiários Federais</t>
  </si>
  <si>
    <t>126548-83T</t>
  </si>
  <si>
    <t>Casas e Cafofos</t>
  </si>
  <si>
    <t>Operator of a designing company intended to assist in developing interiors for businesses and houses. The company specializes in conceptualizing and reinventing spaces through the installation of recycled products and furniture as per the needs of clients, enabling consumers and companies with interior design solutions.</t>
  </si>
  <si>
    <t>207912-52T</t>
  </si>
  <si>
    <t>Europ Assistance Brasil</t>
  </si>
  <si>
    <t>26041-51T</t>
  </si>
  <si>
    <t>98093-98T</t>
  </si>
  <si>
    <t>Gera Venture Capital</t>
  </si>
  <si>
    <t>85332-52T</t>
  </si>
  <si>
    <t>77791-24T</t>
  </si>
  <si>
    <t>53311-69T</t>
  </si>
  <si>
    <t>Rockaway Ventures</t>
  </si>
  <si>
    <t>72027-37T</t>
  </si>
  <si>
    <t>Daneva Máquinas E Condutores Elétricos</t>
  </si>
  <si>
    <t>Manufacturer and supplier of electrical equipment. The company is engaged in the production and distribution of extension cords, multi-sockets and adapters in Brazil.</t>
  </si>
  <si>
    <t>Legrand (PAR: LR)(André Vidal)</t>
  </si>
  <si>
    <t>234225-73T</t>
  </si>
  <si>
    <t>279945-91T</t>
  </si>
  <si>
    <t>108347-32T</t>
  </si>
  <si>
    <t>DOM Group</t>
  </si>
  <si>
    <t>Operator of a restaurant chain in Brazil. The company's restaurants are the only 2 Michelin star in the country, providing customers with authentic flavors of Brazilian cuisine under a contemporary look and an ambience that has a harmonious balance between classic and modern.</t>
  </si>
  <si>
    <t>279949-06T</t>
  </si>
  <si>
    <t>80388-19T</t>
  </si>
  <si>
    <t>Econ Supermercados</t>
  </si>
  <si>
    <t>Operator of super market retail chain. The company offers variety of products and services like non-alcoholic beverages, alcoholic beverages, biscuits, products on cleaning and hygiene, basic groceries and other items.</t>
  </si>
  <si>
    <t>Martinho Paiva Moreira(Martinho Paiva Moreira)</t>
  </si>
  <si>
    <t>99342-01T</t>
  </si>
  <si>
    <t>Fabapp</t>
  </si>
  <si>
    <t>Developer of a mobile application platform intended to support amateur developers in creating mobile applications. The company's platform provides the simplest, most intuitive way to develop mobile applications and empowers the developers to democratize the development of information technologies and thus positively impact human development, enabling users to build an application without programming skills</t>
  </si>
  <si>
    <t>208462-24T</t>
  </si>
  <si>
    <t>Fastcash</t>
  </si>
  <si>
    <t>Developer of an online cash payments platform designed to create a microfinance ecosystem. The company's platform allows merchants to accept payments online by net banking, payments cards, mobile wallets, and cash, and offers digital money, wallets, and microfinance, enabling businesses to provide convenience to their customers and grow their business.</t>
  </si>
  <si>
    <t>Marcelo Bruni(Marcelo Bruni), Mario Letelier(Mario Letelier), Rodolphe Mulliez(Rodolphe Mulliez)</t>
  </si>
  <si>
    <t>94163-50T</t>
  </si>
  <si>
    <t>276359-77T</t>
  </si>
  <si>
    <t>211098-52T</t>
  </si>
  <si>
    <t>84769-48T</t>
  </si>
  <si>
    <t>G4S Interativa Service</t>
  </si>
  <si>
    <t>Provider of security system installation and related support services. The company's security system installation and related support services including unarmed security and facilities services are provided across Brazil in key sectors such as education, transportation, financial institutions, healthcare, public services, construction, chemicals and others.</t>
  </si>
  <si>
    <t>Falcão II Participações(Fernando Miguel Kelly)</t>
  </si>
  <si>
    <t>66692-44T</t>
  </si>
  <si>
    <t>JP Morgan Asset Management(Pierre-Yves Bareau)</t>
  </si>
  <si>
    <t>50685-04T</t>
  </si>
  <si>
    <t>21212(Rafael Duton)</t>
  </si>
  <si>
    <t>279917-74T</t>
  </si>
  <si>
    <t>250259-68T</t>
  </si>
  <si>
    <t>233093-71T</t>
  </si>
  <si>
    <t>Hydromol</t>
  </si>
  <si>
    <t>Manufacturer of fertilizers based in Jaboticabal, Brazil. The company offers a laboratory for analysis and an intelligent storage system, as well as production capacity for foliar and soil fertilizers, of high concentration and nanotechnology.</t>
  </si>
  <si>
    <t>Santa Clara Group(João Cury)</t>
  </si>
  <si>
    <t>132283-63T</t>
  </si>
  <si>
    <t>173970-37T</t>
  </si>
  <si>
    <t>I.ndigo</t>
  </si>
  <si>
    <t>Provider of software development services intended to commercialize web and mobile platforms in a software-as-a-service format for Brazilian and international clients. The company's services include designing, research, software development, maintenance services and other related services, helping clients to grow their business and launch applications.</t>
  </si>
  <si>
    <t>Taqtile(John Tomizuka)</t>
  </si>
  <si>
    <t>114192-01T</t>
  </si>
  <si>
    <t>108321-58T</t>
  </si>
  <si>
    <t>65574-55T</t>
  </si>
  <si>
    <t>Kiduca</t>
  </si>
  <si>
    <t>Developer of educational games designed to stimulate and motivate the learning of children. The company provides an interactive environment that aims to create a context of fictional characters in which situations will be created to stimulate the student's curiosity, enabling children to learn several subjects of the school curriculum, citizenship and moral values with full control and monitoring by the school, teachers and parents.</t>
  </si>
  <si>
    <t>65104-93T</t>
  </si>
  <si>
    <t>291079-90T</t>
  </si>
  <si>
    <t>99326-98T</t>
  </si>
  <si>
    <t>98099-29T</t>
  </si>
  <si>
    <t>126648-10T</t>
  </si>
  <si>
    <t>Iporanga Ventures(Guilherme Assis)</t>
  </si>
  <si>
    <t>37302-58T</t>
  </si>
  <si>
    <t>223858-90T</t>
  </si>
  <si>
    <t>96110-20T</t>
  </si>
  <si>
    <t>Mega Transreta</t>
  </si>
  <si>
    <t>Provider of transport and lifting services. The company has state-of-the-art equipment and a team of technicians specialized in the vertical and horizontal movement of loads, performing services with excellence recognized by the market.</t>
  </si>
  <si>
    <t>65111-86T</t>
  </si>
  <si>
    <t>91766-08T</t>
  </si>
  <si>
    <t>Grupo Éxito</t>
  </si>
  <si>
    <t>99363-25T</t>
  </si>
  <si>
    <t>65187-01T</t>
  </si>
  <si>
    <t>Metamaquina</t>
  </si>
  <si>
    <t>Developer of 3D printers. The company's 3D printers are operated by free software and based on open hardware, enabling customers to avail the products at a low cost.</t>
  </si>
  <si>
    <t>65183-23T</t>
  </si>
  <si>
    <t>Meu Carrinho</t>
  </si>
  <si>
    <t>Developer of a mobile application for supermarket price comparison. The company develops a mobile application which allows the user to compare prices of specified items across supermarkets.</t>
  </si>
  <si>
    <t>65104-12T</t>
  </si>
  <si>
    <t>MobGeek</t>
  </si>
  <si>
    <t>Provider of an online platform for taking courses in programming. The company provides an online platform which allows the users to learn about programming languages, coding-decoding and application development.</t>
  </si>
  <si>
    <t>55993-15T</t>
  </si>
  <si>
    <t>Moovia</t>
  </si>
  <si>
    <t>Developer of a social collaboration platform designed to offer an engaging platform for team, project and task management. The company's platform hosts team projects, tasks, meetings, ideas, messages and documents, enabling clients to improve communication, productivity and engagement.</t>
  </si>
  <si>
    <t>Whapp</t>
  </si>
  <si>
    <t>65081-89T</t>
  </si>
  <si>
    <t>104373-01T</t>
  </si>
  <si>
    <t>126761-86T</t>
  </si>
  <si>
    <t>Iporanga Ventures, Érico Sodre Quirino</t>
  </si>
  <si>
    <t>176626-99T</t>
  </si>
  <si>
    <t>JSL (BVMF: JSLG3)(Fernando Simões)</t>
  </si>
  <si>
    <t>62395-03T</t>
  </si>
  <si>
    <t>MyTraining</t>
  </si>
  <si>
    <t>Developer of a mobile application intended for sharing updates on fitness. The company application helps users to plan their workouts and gain support from the fitness community, enabling users to stay fit.</t>
  </si>
  <si>
    <t>Mujtaba Badat(Mujtaba Badat), Rafael Ferri(Rafael Ferri), StartupsBR</t>
  </si>
  <si>
    <t>98241-85T</t>
  </si>
  <si>
    <t>174330-19T</t>
  </si>
  <si>
    <t>Newage Software And Solutions</t>
  </si>
  <si>
    <t>Developer of enterprise resource planning software for medium and large-scale industries.</t>
  </si>
  <si>
    <t>glendonTodd Capital(Todd Furniss), Performa Partners, Toutatis</t>
  </si>
  <si>
    <t>134904-07T</t>
  </si>
  <si>
    <t>State of Bahia Research Support Foundation</t>
  </si>
  <si>
    <t>25992-28T</t>
  </si>
  <si>
    <t>SENAI(Arioston Rodrigues)</t>
  </si>
  <si>
    <t>122818-06T</t>
  </si>
  <si>
    <t>Polinova (polymer consultancy)</t>
  </si>
  <si>
    <t>Manufacturer of cold coatings and polymer solutions created for corrosion protection, chemical attack and structural recovery of equipment. The company's products includes adhesives for industrial piping applications that can prevent leaks and explosions in oil storage tanks and high performance inks which prevent corrosion in tanks and ships, enabling clients to protect against corrosion, leaks, abrasive wear and structural damages.</t>
  </si>
  <si>
    <t>276362-11T</t>
  </si>
  <si>
    <t>76711-87T</t>
  </si>
  <si>
    <t>Leblon Equities, Spectra Investments</t>
  </si>
  <si>
    <t>63355-78T</t>
  </si>
  <si>
    <t>65665-81T</t>
  </si>
  <si>
    <t>ProGolden Technology Solutions</t>
  </si>
  <si>
    <t>Developer of a software tool designed for the incorporation of feedback. The company's software tool is based on practical aspects of strategic management or if it already exists start automating this management and obtain significant results in the company's performance, enabling business enterprises and government organizations to receive and sort feedback and suggestions as per their content.</t>
  </si>
  <si>
    <t>Start You Up Accelerator, Start-Up Brasil</t>
  </si>
  <si>
    <t>102094-21T</t>
  </si>
  <si>
    <t>278717-14T</t>
  </si>
  <si>
    <t>Refrescos Guararapes</t>
  </si>
  <si>
    <t>Provider of bottling services based in Jaboatao dos Guararapes, Brazil.</t>
  </si>
  <si>
    <t>28580-95T</t>
  </si>
  <si>
    <t>500 Global(Bedy Yang), Monashees(Eric Acher), Startupbootcamp</t>
  </si>
  <si>
    <t>59527-54T</t>
  </si>
  <si>
    <t>Sabesim</t>
  </si>
  <si>
    <t>Operator of a corporate social network platform based in Sao Paulo, Brazil. The company's platform provides communication with employees, defining rules, demanding failures, delegating tasks, tracking results, obtaining and accurately reporting data, debating, giving opinions, suggesting, listening, enabling clients in engagements, and management of people and projects.</t>
  </si>
  <si>
    <t>66471-40T</t>
  </si>
  <si>
    <t>Sensorbox</t>
  </si>
  <si>
    <t>Developer of a monitoring platform intended to offer operational parameters remotely. The company's devices' functions are monitoring the level and electrical fluctuations, battery voltage in UPS or DC sources, temperature, humidity, energy efficiency, and dry contact alarms, among others, enabling clients to get information on the variations and take security actions.</t>
  </si>
  <si>
    <t>66095-92T</t>
  </si>
  <si>
    <t>158356-09T</t>
  </si>
  <si>
    <t>65857-42T</t>
  </si>
  <si>
    <t>133037-38T</t>
  </si>
  <si>
    <t>TAllent Interactive Games</t>
  </si>
  <si>
    <t>Developer of computer games created for entertainment purposes. The company specializes in developing 3D games for smartphones, tablets, and PC for its customers, enabling them to have access to more interactive games.</t>
  </si>
  <si>
    <t>66702-52T</t>
  </si>
  <si>
    <t>Leblon Equities(Marcelo Mesquita)</t>
  </si>
  <si>
    <t>66702-97T</t>
  </si>
  <si>
    <t>277213-87T</t>
  </si>
  <si>
    <t>Universo Online</t>
  </si>
  <si>
    <t>276790-06T</t>
  </si>
  <si>
    <t>Gavea Angels</t>
  </si>
  <si>
    <t>99402-13T</t>
  </si>
  <si>
    <t>TicEduca</t>
  </si>
  <si>
    <t>Developer of an education platform intended to offer courses, workshops, and lectures for educators. The company's services include training educators to transform their practice, proposals for teaching and learning, digital technologies to support teaching, social-emotional skills for students' success, identification and inclusion of students with cognitive difficulties due to disorders and neuroeducation services, enabling students to develop their skills and educators to research and develop interactive classes.</t>
  </si>
  <si>
    <t>66479-68T</t>
  </si>
  <si>
    <t>Timobox</t>
  </si>
  <si>
    <t>Developer of a software tool for business management. The company develops a software tool for business management for managing information in cloud specifically for industries in the manufacturing industry.</t>
  </si>
  <si>
    <t>66113-29T</t>
  </si>
  <si>
    <t>Tippz</t>
  </si>
  <si>
    <t>Developer of a business intelligence platform designed to deliver online real-time dynamic reports on consumer behavior in bars and restaurants. The company's platform offers a business intelligence platform providing reports that are modeled in each consumer's profile or persona such as age, material status, and location, enabling retailers in strategic decision-making in commercial and marketing areas of companies.</t>
  </si>
  <si>
    <t>57928-96T</t>
  </si>
  <si>
    <t>108415-18T</t>
  </si>
  <si>
    <t>56873-71T</t>
  </si>
  <si>
    <t>WEX (NYS: WEX)(Michael Dubyak)</t>
  </si>
  <si>
    <t>135257-68T</t>
  </si>
  <si>
    <t>228715-57T</t>
  </si>
  <si>
    <t>UTE Borborema</t>
  </si>
  <si>
    <t>Operator of an electrical energy production company based in Campina Grande, Brazil. The company makes use of fuel combustion to transform mechanical energy into electrical energy.</t>
  </si>
  <si>
    <t>Bolognesi Energia</t>
  </si>
  <si>
    <t>65591-47T</t>
  </si>
  <si>
    <t>53384-05T</t>
  </si>
  <si>
    <t>Via Syxt</t>
  </si>
  <si>
    <t>Provider of a recruitment platform. The company offers an online platform that enables users to search for jobs in Brazil.</t>
  </si>
  <si>
    <t>133042-69T</t>
  </si>
  <si>
    <t>VibeZone (Social/Platform Software)</t>
  </si>
  <si>
    <t>Developer of a social online platform designed for posting establishments in real-time. The company's platform consists of promotions, chat and browsing establishments, enabling users to enjoy products at special prices and still interact with other users.</t>
  </si>
  <si>
    <t>215377-93T</t>
  </si>
  <si>
    <t>Virtual Interactions</t>
  </si>
  <si>
    <t>Developer of artificial intelligence-based customer relationship technology designed to offer fast, intelligent and personalized services. The company's technology can answer questions presented by customers and consumers including suggestions, complaints, doubts and compliments about the products and services, thereby helping companies to serve multiple customers simultaneously.</t>
  </si>
  <si>
    <t>Plusoft</t>
  </si>
  <si>
    <t>36935-56T</t>
  </si>
  <si>
    <t>Widbook</t>
  </si>
  <si>
    <t>Developer of an online collaborative ebook community designed to offer books and e-books. The company's community includes a complete collection of tens of thousands of free books, enabling readers to read, write and publish books anytime</t>
  </si>
  <si>
    <t>KPTL, W7 Venture Capital(Henrique Iwamoto)</t>
  </si>
  <si>
    <t>117005-77T</t>
  </si>
  <si>
    <t>99360-19T</t>
  </si>
  <si>
    <t>Worcademy</t>
  </si>
  <si>
    <t>Operator of an educational platform intended to assist with connection with professional opportunities in areas of innovation and education. The company's platform offers postgraduate courses, micro certifications, and educational programs, enabling users to develop skills and competencies.</t>
  </si>
  <si>
    <t>56025-19T</t>
  </si>
  <si>
    <t>KPTL, Rockaway Capital</t>
  </si>
  <si>
    <t>59452-84T</t>
  </si>
  <si>
    <t>Empresa Construtora Brasil</t>
  </si>
  <si>
    <t>Operator of an engineering and construction company catering to the civil engineering industry. The company offers road, airport and industrial construction services.</t>
  </si>
  <si>
    <t>Mota-Engil (LIS: EGL)(Carlos Santos)</t>
  </si>
  <si>
    <t>71830-63T</t>
  </si>
  <si>
    <t>Heliotek Maquinas e Equipamentos</t>
  </si>
  <si>
    <t>Manufacturer and distributor of solar thermal systems based in Sao Paulo, Brazil. The company's water heating solutions include swimming pool heaters, solar panels and thermal pump equipment for water heating in the residential segment.</t>
  </si>
  <si>
    <t>Bosch Thermotechnology(Uwe Glock)</t>
  </si>
  <si>
    <t>81734-41T</t>
  </si>
  <si>
    <t>BRK Ambiental(Fernando Santos-Reis)</t>
  </si>
  <si>
    <t>89721-82T</t>
  </si>
  <si>
    <t>Finishtec - Acabamentos Técnicos em Metais</t>
  </si>
  <si>
    <t>Manufacturer of industrial electrical switches. The company's industrial electrical switches includes insulating equipment for the domestic power sector, it has also launched a new product line targeting the renewable energy sector.</t>
  </si>
  <si>
    <t>Craven House Capital (LON: CRV)(Mark Pajak)</t>
  </si>
  <si>
    <t>33062-95T</t>
  </si>
  <si>
    <t>A5 Capital Partners, Accel Management Company(Andrew Braccia), Kaszek(Hernan Kazah), KPTL, W7 Venture Capital</t>
  </si>
  <si>
    <t>122146-75T</t>
  </si>
  <si>
    <t>89839-45T</t>
  </si>
  <si>
    <t>Carraro Corretora de Seguros</t>
  </si>
  <si>
    <t>Provider of insurance brokerage and risk management services. The company's insurance brokerage and risk management services include excess and surplus, fleet, transport and life insurance, professional business liability and other specialty insurance products and services for independent insurance agents and brokers, enabling corp[orate clients to receive support facilities that adds real value their business.</t>
  </si>
  <si>
    <t>71324-47T</t>
  </si>
  <si>
    <t>Usina Acucareira Passos</t>
  </si>
  <si>
    <t>Producer of sugar. The company engages in processing of sugarcane with a crane crushing capacity of 1.75 million metric tons and an output capacity of 200,000 metric tons of sugar annually.</t>
  </si>
  <si>
    <t>73504-63T</t>
  </si>
  <si>
    <t>Alvorada Petróleo</t>
  </si>
  <si>
    <t>Provider of oil and gas exploration services. The company is engaged in the extraction and sale of oil, natural gas and other hydrocarbons.</t>
  </si>
  <si>
    <t>Alvopetro Energy, Petrominerales</t>
  </si>
  <si>
    <t>25942-06T</t>
  </si>
  <si>
    <t>227744-11T</t>
  </si>
  <si>
    <t>Fundo Invest Imobiliario Polo Shopping Indaiatuba (BVMF: VPSI11)</t>
  </si>
  <si>
    <t>Fundo Invest Imobiliario Polo Shopping Indaiatuba is a real estate investment fund.</t>
  </si>
  <si>
    <t>32726-17T</t>
  </si>
  <si>
    <t>Graph Ventures, Social Capital(Theodore Maidenberg)</t>
  </si>
  <si>
    <t>226470-79T</t>
  </si>
  <si>
    <t>Rio Bravo Credito Imobiliario II</t>
  </si>
  <si>
    <t>Rio Bravo Credito Imobiliario Ii Fundo Invest Imobiliario FII is an investment management firm. It is classified as a Real Estate Investment Trust.</t>
  </si>
  <si>
    <t>23366-80T</t>
  </si>
  <si>
    <t>Fabrice Grinda(Fabrice Grinda), Jeff Holmes(Jeff Holmes), Kaszek(Nicolas Szekasy), Monashees(Eric Acher), Valiant Capital Partners</t>
  </si>
  <si>
    <t>89805-70T</t>
  </si>
  <si>
    <t>Axia Value Chain</t>
  </si>
  <si>
    <t>Provider of management consulting services. The company's management consulting services offers organizations to improve their performance, operating primarily through the analysis of existing organizational problems and the development of plans for improvement.</t>
  </si>
  <si>
    <t>Ernst &amp; Young Global</t>
  </si>
  <si>
    <t>224050-24T</t>
  </si>
  <si>
    <t>Fundo de Investimento Imobiliario BR Hoteis - FII (BVMF: BRHT11)</t>
  </si>
  <si>
    <t>Fundo Investimento Imobiliario BR Hoteis is a real estate investment fund.</t>
  </si>
  <si>
    <t>136783-54T</t>
  </si>
  <si>
    <t>Plug and Play Tech Center(Fernando Zornig)</t>
  </si>
  <si>
    <t>226105-39T</t>
  </si>
  <si>
    <t>Polo Fundo de Investimento Imobiliario - Recebiveis Imobiliarios II (BVMF: PORD11)</t>
  </si>
  <si>
    <t>Polo Credito Imobiliario - Fundo DE Investimento Imobiliario, formerly Polo Fundo de Investimento Imobiliario - Recebiveis Imobiliarios II - FII is a real estate investment fund.</t>
  </si>
  <si>
    <t>33707-80T</t>
  </si>
  <si>
    <t>BlackRock Private Equity Partners</t>
  </si>
  <si>
    <t>90102-25T</t>
  </si>
  <si>
    <t>Resitec Industria Quimica</t>
  </si>
  <si>
    <t>Provides chemical products intended to support the rubber, lubricants, food and adhesives markets.</t>
  </si>
  <si>
    <t>Ingevity (NYS: NGVT)(Michael Wilson)</t>
  </si>
  <si>
    <t>90193-33T</t>
  </si>
  <si>
    <t>Branco Motores</t>
  </si>
  <si>
    <t>Manufacturer of industrial machinery and equipment catering to the power and energy sector. The company offers a portfolio that includes products in the lines of engines, generators, motor pumps, motor cultivators, cutters, chainsaws, trimmers, blowers and products for construction and gardening.</t>
  </si>
  <si>
    <t>Briggs &amp; Stratton(Todd Teske)</t>
  </si>
  <si>
    <t>27014-59T</t>
  </si>
  <si>
    <t>HV Capital, JP Morgan Asset Management, Kinnevik (STO: KINV A), Quadrant Capital Advisors, Summit Partners</t>
  </si>
  <si>
    <t>23045-41T</t>
  </si>
  <si>
    <t>216400-51T</t>
  </si>
  <si>
    <t>Infoglobo</t>
  </si>
  <si>
    <t>30675-61T</t>
  </si>
  <si>
    <t>500 Global, David Beyer(David Beyer), Ed Roman(Ed Roman), Eric Ries(Eric Ries), Saad AlSogair(Saad AlSogair), Social Capital, Valar Ventures, Valor Capital Group(Antoine Colaço)</t>
  </si>
  <si>
    <t>89950-24T</t>
  </si>
  <si>
    <t>Indústria de Tintas e Vernizes Paumar</t>
  </si>
  <si>
    <t>Manufacturer of paints, varnishes, enamels and lacquers. The company's activities include researching and developing industrial and automotive paints, colors and finishes, enabling the automotive and industrial sectors to access quality products.</t>
  </si>
  <si>
    <t>90083-89T</t>
  </si>
  <si>
    <t>Perfecta Curitiba</t>
  </si>
  <si>
    <t>Manufacturer of bakery equipment. The company's bakery equipment include baking ovens, food mixers, fermentation chamber, manual divider, slicer, rolling mill and other related products, enabling the bakery and confectionery industries to produce their products.</t>
  </si>
  <si>
    <t>ITW Food Equipment Group(Luca Boselli)</t>
  </si>
  <si>
    <t>62203-15T</t>
  </si>
  <si>
    <t>Kreab Worldwide</t>
  </si>
  <si>
    <t>224048-08T</t>
  </si>
  <si>
    <t>Fundo de Investimento Imobiliario BM Cyrela Thera Corporate (BVMF: THRA11)</t>
  </si>
  <si>
    <t>Fundo de Investimento Imobiliario Cyrela Thera Corporate - FII is a real estate investment fund. It is engaged in acquiring corporate office buildings.</t>
  </si>
  <si>
    <t>81997-03T</t>
  </si>
  <si>
    <t>181350-10T</t>
  </si>
  <si>
    <t>Elo Sistemas Eletrônicos</t>
  </si>
  <si>
    <t>Distributor of electric meters, automatic meter reading equipment and related systems. The company provides integrated product and system packages to utilities to automate processes, such as the collection and treatment of metering data and also offers maintenance, support and training services for product operators.</t>
  </si>
  <si>
    <t>33063-31T</t>
  </si>
  <si>
    <t>Bolt Ventures, Mountain Partners, Otto Capital</t>
  </si>
  <si>
    <t>216396-64T</t>
  </si>
  <si>
    <t>78345-19T</t>
  </si>
  <si>
    <t>Brazahav Resources</t>
  </si>
  <si>
    <t>55746-10T</t>
  </si>
  <si>
    <t>BomTrip.com</t>
  </si>
  <si>
    <t>Developer of an online travel planning platform designed for luxury travel experiences. The company's platform provides users access to a unique luxury travel planning service, ensuring that they have a spectacular journey.</t>
  </si>
  <si>
    <t>134881-03T</t>
  </si>
  <si>
    <t>Pitadela</t>
  </si>
  <si>
    <t>Operator of an organic food club intended to give users news about healthy eating and sustainability. The company's food club users get a different kit with organic foods chosen, evaluated, and commented by experts and promote sustainable production, enabling users with proper information regarding various organic snacks.</t>
  </si>
  <si>
    <t>81637-93T</t>
  </si>
  <si>
    <t>Locaweb Internet Services (BVMF: LWSA3)(Gilberto Mautner), Silver Lake(Kyle Ryland)</t>
  </si>
  <si>
    <t>31515-85T</t>
  </si>
  <si>
    <t>David Gilboa(David Gilboa), Diego Berdakin(Diego Berdakin), ICONIQ Growth, Kaszek(Nicolas Szekasy), KG Investments, Plataforma Capital, Temasek Holdings, Tiger Global Management</t>
  </si>
  <si>
    <t>228081-25T</t>
  </si>
  <si>
    <t>UNIUOL Gestao de Empreendimentos Educacionais e Participacoes</t>
  </si>
  <si>
    <t>Provider of education and training services based in Joao Pessoa, Brazil. The company offers undergraduate courses to institutions.</t>
  </si>
  <si>
    <t>55933-12T</t>
  </si>
  <si>
    <t>Canal do Credito</t>
  </si>
  <si>
    <t>Operator of financial product comparison site intended to offer relevant information while financing and borrowing products. The company's services include guiding and monitoring the entire online process until the final product hire, enabling clients to compare financial products, presenting interest rate and other relevant information for making the credit loan process hassle-free.</t>
  </si>
  <si>
    <t>Grupo Paranaense de Comunicacao(Mariano Lemanski)</t>
  </si>
  <si>
    <t>134949-16T</t>
  </si>
  <si>
    <t>257965-21T</t>
  </si>
  <si>
    <t>Multivagas Estacionamentos</t>
  </si>
  <si>
    <t>Operator of parking lots intended to serve in Brazil. The company offers signage, price lists, automation, control, supervision, and event valet services, thereby helping clients park their vehicles affordably and risk-free.</t>
  </si>
  <si>
    <t>BR Investimentos, BTG Pactual (BVMF: BPAC3), Estapar (BVMF: ALPK3)</t>
  </si>
  <si>
    <t>30675-79T</t>
  </si>
  <si>
    <t>500 Global, Gávea Investimentos, Social Capital</t>
  </si>
  <si>
    <t>40331-53T</t>
  </si>
  <si>
    <t>226709-02T</t>
  </si>
  <si>
    <t>SDI Logistica Rio - Fundo de Investimento Imobiliario - FII</t>
  </si>
  <si>
    <t>SDI Logistica RIO Fundo Invest Imobiliario FII is a real estate investment fund.</t>
  </si>
  <si>
    <t>95239-18T</t>
  </si>
  <si>
    <t>Ansell (ASX: ANN)(Douglas Tough)</t>
  </si>
  <si>
    <t>195247-00T</t>
  </si>
  <si>
    <t>Ecogen Brazil</t>
  </si>
  <si>
    <t>Provider of environmentally responsible utility solutions intended to promote integrated energy in a sustainable manner. The company offers co-generation of natural gas, generation of electric energy viz natural gas, biomass, substation, cold water units, solar, batteries, compressed air, biogas, gas to wire and reused water energy, thereby enabling its customers to avail the alternative source of energy for consumption and enhancing environment.</t>
  </si>
  <si>
    <t>ME Servicos de Energia do Brasil</t>
  </si>
  <si>
    <t>212170-78T</t>
  </si>
  <si>
    <t>Informatec</t>
  </si>
  <si>
    <t>Developer of billing software catering to the company and hotel market. The company products include telephone billing, account import and prepaid and call management systems.</t>
  </si>
  <si>
    <t>90097-48T</t>
  </si>
  <si>
    <t>Prosperitas Industrial Empreendimentos e Participações</t>
  </si>
  <si>
    <t>Provider of asset and property management services.</t>
  </si>
  <si>
    <t>GLP(Ming Mei)</t>
  </si>
  <si>
    <t>134669-08T</t>
  </si>
  <si>
    <t>Tree Labs</t>
  </si>
  <si>
    <t>89945-11T</t>
  </si>
  <si>
    <t>Índico Consultoria de Benefícios e Corretagem de Seguros</t>
  </si>
  <si>
    <t>Provider of benefit compensation services. The company' activities include providing brokerage and consulting services to various types of insurance, such as automotive, life, health and industrial policies operating in Brazil.</t>
  </si>
  <si>
    <t>57395-80T</t>
  </si>
  <si>
    <t>34158-61T</t>
  </si>
  <si>
    <t>GP Investments (LUX: GPINA), Partners Group (SWX: PGHN)</t>
  </si>
  <si>
    <t>59448-97T</t>
  </si>
  <si>
    <t>53971-66T</t>
  </si>
  <si>
    <t>Eventials</t>
  </si>
  <si>
    <t>Developer of an event management platform designed to let users organize live webinars. The company's platform lets event organizers schedule webinars, define whether it will be public or private and whether registration will be free or paid and sends emails that remind subscribers of the date and time of the webinar in order to feed marketing tools with leads and their activities, enabling clients to host webinars and online events in a hassle-free manner.</t>
  </si>
  <si>
    <t>84830-05T</t>
  </si>
  <si>
    <t>AC Café</t>
  </si>
  <si>
    <t>Producer and exporter of coffee and related products. The company grows, harvests, processes, produces and exports specialty coffee which means that all coffees produced by it has a score of 80 and above according to the SCAA - Specialty Coffee Association of America - cupping standards.</t>
  </si>
  <si>
    <t>224020-81T</t>
  </si>
  <si>
    <t>Fundo de Investimento Imobiliario - FII CEO Cyrela Comercial Properties (BVMF: CEOC11)</t>
  </si>
  <si>
    <t>Fundo Invest Imobiliario FII Ceo Cyrela Commercial Properties, formerly Fundo de Investimento Imobiliario - FII CEO Cyrela Commercial Properties is a real estate investment fund. It is engaged in acquiring commercial office properties called Corporate CEO South.</t>
  </si>
  <si>
    <t>46616-68T</t>
  </si>
  <si>
    <t>227426-95T</t>
  </si>
  <si>
    <t>TRX Edificios Corporativos Fundo de Investimento Imobiliario - FII (BVMF: VVCO11)</t>
  </si>
  <si>
    <t>V2 Edificios Corporativos Fundo De Investimento Imobiliario is a real estate investment fund.</t>
  </si>
  <si>
    <t>102184-03T</t>
  </si>
  <si>
    <t>Jardim Cidade School | PlayPen</t>
  </si>
  <si>
    <t>Operator of a bilingual education school in Sao Paulo, Brazil. The company operates preschool, primary schools and middle schools that integrate national and international curricula in English and Portuguese, thereby enabling students to be fully prepared to meet national and international standards for continued education.</t>
  </si>
  <si>
    <t>Bregal Capital(Edmund Lazarus), Cognita Schools(Adriano Figueiredo)</t>
  </si>
  <si>
    <t>224809-12T</t>
  </si>
  <si>
    <t>Kinea Rendimentos Imobiliarios Fundo de Investimento Imobiliario - FII (BVMF: KNCR11)</t>
  </si>
  <si>
    <t>Kinea Rendimentos Imobiliarios Fundo de Investimento Imobiliario - FII is a real estate investment fund. It invests in real estate including financial assets &amp; mortgage-backed securities.</t>
  </si>
  <si>
    <t>222991-57T</t>
  </si>
  <si>
    <t>Castello Branco Office Park Fundo de Investimento Imobiliario (BVMF: CBOP11)</t>
  </si>
  <si>
    <t>Castello Branco Office Park Fundo de Investimento Imobiliario - FII operates as a real estate investment fund.</t>
  </si>
  <si>
    <t>95628-34T</t>
  </si>
  <si>
    <t>288951-31T</t>
  </si>
  <si>
    <t>Goias Turismo</t>
  </si>
  <si>
    <t>Provider of online tourism services based in Goiania, Brazil. The company offers an online booking tool, tourism, internet and marketing services.</t>
  </si>
  <si>
    <t>Hotelogix(Vineet Mendiratta)</t>
  </si>
  <si>
    <t>89300-26T</t>
  </si>
  <si>
    <t>Marcosa</t>
  </si>
  <si>
    <t>Manufacturer of construction equipment intended for civil construction businesses. The company offers leases and provides technical support for heavy-duty machines, equipment, generators, and engines.</t>
  </si>
  <si>
    <t>50694-40T</t>
  </si>
  <si>
    <t>247461-67T</t>
  </si>
  <si>
    <t>Pargim</t>
  </si>
  <si>
    <t>Provider of real estate services based in Rio de Janeiro, Brazil. The company specializes in real estate investment trusts of shopping malls.</t>
  </si>
  <si>
    <t>36580-51T</t>
  </si>
  <si>
    <t>#adm Ventures, FJ Labs, Simile Venture Partners(Tatiana Kim), TA Ventures</t>
  </si>
  <si>
    <t>65868-22T</t>
  </si>
  <si>
    <t>23404-60T</t>
  </si>
  <si>
    <t>Cuponomia</t>
  </si>
  <si>
    <t>Operator of an online marketplace intended to discover and share coupon codes. The company's platform gathers coupons that can be used during online shopping, helps to save money and gains benefits every time one makes a purchase over the Internet, enabling shoppers to avail desired discounts and cashbacks on their favorite products.</t>
  </si>
  <si>
    <t>89950-42T</t>
  </si>
  <si>
    <t>Injetel Indústria e Comércio de Componentes Plásticos</t>
  </si>
  <si>
    <t>Manufacturer of electrical and telecommunication services intended to offer better living conditions with quality products and low price, guaranteeing satisfaction and safety. The company's electrical and telecommunication services manufactures power switches, power outlets, and plugs, enabling customers to receive quality products at affordable prices.</t>
  </si>
  <si>
    <t>90074-08T</t>
  </si>
  <si>
    <t>Orinoco Resources</t>
  </si>
  <si>
    <t>Provider of gold mining services. The company's gold mining services include gold exploration and gold extraction, enabling clients to get gold and other related products.</t>
  </si>
  <si>
    <t>Orinoco Gold</t>
  </si>
  <si>
    <t>30926-62T</t>
  </si>
  <si>
    <t>Amo Muito Comércio de Roupas e Acessórios</t>
  </si>
  <si>
    <t>Online retailer of clothing. The company exclusively sells women's accessories and clothing</t>
  </si>
  <si>
    <t>75032-83T</t>
  </si>
  <si>
    <t>Laureate Education (NAS: LAUR)</t>
  </si>
  <si>
    <t>298962-10T</t>
  </si>
  <si>
    <t>Minerva SA produces and markets beef and other meat products out of South America. The company's activities include the slaughtering of livestock and processing of meat, the sale of fresh chilled, frozen, and processed meat and the exporting of live cattle. It has several different facilities to help with processing. Slaughtering and boning plants acquire the livestock and kick-start the process. A processing plant works on turning raw materials into finished products, and distribution centers are located around the globe to ensure quality and timely deliveries. International trading offices are strategically placed to help strengthen relationships in different regions.</t>
  </si>
  <si>
    <t>226678-69T</t>
  </si>
  <si>
    <t>Santander Agencias Fundo de Investimento Imobiliario - FII (BVMF: SAAG11)</t>
  </si>
  <si>
    <t>Santander Agencias Fundo de Investimento Imobiliario - FII is a real estate investment fund.</t>
  </si>
  <si>
    <t>244105-03T</t>
  </si>
  <si>
    <t>Woopi</t>
  </si>
  <si>
    <t>Developer of artificial intelligence products based out of Brazil. The company offers automated voice translator, virtual assistant, human resource solutions, health technology, financial solutions and educational solutions.</t>
  </si>
  <si>
    <t>224031-07T</t>
  </si>
  <si>
    <t>Fundo de Investimento Imobiliario Agencias Caixa- FII (BVMF: AGCX11)</t>
  </si>
  <si>
    <t>Fundo de Investimento Imobiliario Agencias Caixa- FII is an investment management firm. It is classified as a real estate investment trust.</t>
  </si>
  <si>
    <t>52122-43T</t>
  </si>
  <si>
    <t>25086-97T</t>
  </si>
  <si>
    <t>500 Global, Bolt Ventures(Nicolas Gautier)</t>
  </si>
  <si>
    <t>90134-92T</t>
  </si>
  <si>
    <t>Tercek Usinagem de Precisão</t>
  </si>
  <si>
    <t>Manufacturer of electric automotive lifts. The company developed and manufactures the vehicular lift for buses, called Libero.</t>
  </si>
  <si>
    <t>Palfinger (WBO: PAL)(Herbert Ortner)</t>
  </si>
  <si>
    <t>86203-27T</t>
  </si>
  <si>
    <t>WTI (Business/Productivity Software)</t>
  </si>
  <si>
    <t>Developer of a monitoring software designed to manage IT infrastructure and reduce the likelihood of failures. The company's management software is based on the Internet of Things and specializes in IT governance and automation, enabling multiple manufacturers to communicate and work together independently.</t>
  </si>
  <si>
    <t>Antera Gestão de Recursos, KPTL</t>
  </si>
  <si>
    <t>73504-81T</t>
  </si>
  <si>
    <t>Brasfrigo</t>
  </si>
  <si>
    <t>Provider of logistics services for frozen food based in Itajai, Brazil. The company is engaged in logistics andthe exportation of frozen food, including canned vegetables, tomato products, soups and dressings and also owns four brands, Jurema, Jussara, Tomatino and Terrabella, enabling clients to avail quality frozen food products.</t>
  </si>
  <si>
    <t>Goiás Verde Alimentos</t>
  </si>
  <si>
    <t>26452-99T</t>
  </si>
  <si>
    <t>Guilherme Weege, Silvio Genesini, Unique Partners (Brazil)</t>
  </si>
  <si>
    <t>168494-86T</t>
  </si>
  <si>
    <t>31516-48T</t>
  </si>
  <si>
    <t>Tiger Global Management</t>
  </si>
  <si>
    <t>70922-80T</t>
  </si>
  <si>
    <t>Howden Broking Group(Timothy Coles)</t>
  </si>
  <si>
    <t>102756-52T</t>
  </si>
  <si>
    <t>Empresa Brasileria de Sistemas</t>
  </si>
  <si>
    <t>Developer of financial software platform designed to offer integrated and practical services. The company's financial software platform include accounting software platform, business management and tax software, enabling business houses to avail the products and services.</t>
  </si>
  <si>
    <t>Sage Group (LON: SGE)(Guy Berruyer)</t>
  </si>
  <si>
    <t>55477-09T</t>
  </si>
  <si>
    <t>Site Sustentavel</t>
  </si>
  <si>
    <t>Provider of sustainability certificate intended to reinforce a company's sustainable image. The company plants trees to offset emissions on behalf of clients, enabling clients to access sustainability certificate.</t>
  </si>
  <si>
    <t>21212(Benjamin White), Andre Diamand</t>
  </si>
  <si>
    <t>89910-55T</t>
  </si>
  <si>
    <t>FAI - Financeira Americanas Itaú</t>
  </si>
  <si>
    <t>Distributor of financial products and services.</t>
  </si>
  <si>
    <t>26791-75T</t>
  </si>
  <si>
    <t>Monashees(Eric Acher)</t>
  </si>
  <si>
    <t>28579-78T</t>
  </si>
  <si>
    <t>Bertelsmann Brazil Investments, MBS Seguros(Joao Luiz de Souza Dantas Herreros), Monashees(Eric Acher), Otto Capital</t>
  </si>
  <si>
    <t>27879-04T</t>
  </si>
  <si>
    <t>25095-88T</t>
  </si>
  <si>
    <t>Kaszek, Meyer Malka(Meyer Malka), Monashees(Eric Acher), Shervin Pishevar(Shervin Pishevar), Thrive Capital, Valar Ventures(Peter Thiel)</t>
  </si>
  <si>
    <t>24379-21T</t>
  </si>
  <si>
    <t>PagPop</t>
  </si>
  <si>
    <t>Provider of an online payment platform intended to help in accepting all major credit and debit cards. The company's platform makes it easy, accessible and secure for professionals and small business owners to accept credit cards using only a smartphone and a credit card swipe attachment, enabling clients to reduce the usage of cash and save time while making payments.</t>
  </si>
  <si>
    <t>Intel Capital</t>
  </si>
  <si>
    <t>27812-44T</t>
  </si>
  <si>
    <t>55social Marketing and Technology</t>
  </si>
  <si>
    <t>Provider of social media marketing services. The company provides a social media marketing platform that enables companies to manage all of their social conversations and helps to create interactive and engaging marketing campaigns while obtaining data and analysis of all of their actions in social media.</t>
  </si>
  <si>
    <t>FJ Labs, Redpoint eventures</t>
  </si>
  <si>
    <t>29832-13T</t>
  </si>
  <si>
    <t>Abertis(Carlos Cabrera), Brookfield Infrastructure Partners (TSE: BIP.UN)</t>
  </si>
  <si>
    <t>50729-77T</t>
  </si>
  <si>
    <t>boosk</t>
  </si>
  <si>
    <t>Provider of an event discovery application. The company offers a location-based application that allows users to view events and entertainment spots around their location and also allows users to book tickets for these events.</t>
  </si>
  <si>
    <t>196091-47T</t>
  </si>
  <si>
    <t>Crescera Capital, EIG</t>
  </si>
  <si>
    <t>29874-07T</t>
  </si>
  <si>
    <t>C2 Capital Partners (Portugal)(Pedro Figueiredo), Rodrigo Baer(Rodrigo Baer)</t>
  </si>
  <si>
    <t>108489-43T</t>
  </si>
  <si>
    <t>Cyberlynxx</t>
  </si>
  <si>
    <t>Provider of information technology and consulting services in Brazil. The company offers a broad range of IT solutions involving hardware, software, products and services to automate and simplify the end-to-end business of its customers, enabling clients to streamline processes and reduce costs.</t>
  </si>
  <si>
    <t>Riverwood Capital(Francisco Alvarez-Demalde), Synapsis Soluciones y Servicios IT(Leonardo Covalschi)</t>
  </si>
  <si>
    <t>22280-32T</t>
  </si>
  <si>
    <t>Astella Investimentos, Headline, IG Expansion, Redpoint eventures(Anderson Thees)</t>
  </si>
  <si>
    <t>90160-03T</t>
  </si>
  <si>
    <t>Watercryl Quimica</t>
  </si>
  <si>
    <t>Manufacturer of coating additives. The company's additives include curable resins, powder coating resins, cross linkers and pigment wetting additives, enabling customers to get waterproofing and coating products.</t>
  </si>
  <si>
    <t>Elementis (LON: ELM)</t>
  </si>
  <si>
    <t>69034-24T</t>
  </si>
  <si>
    <t>Novaprolink Tecnologia</t>
  </si>
  <si>
    <t>Provider of legal software services. The company develops software for law firms to facilitate the routine of lawyers in Brazil.</t>
  </si>
  <si>
    <t>Thomson Reuters (TSE: TRI)(Gonzalo Lissarrague)</t>
  </si>
  <si>
    <t>24186-61T</t>
  </si>
  <si>
    <t>500 Global(David McClure), Monashees(Eric Acher), Napkn Ventures(Manoel Lemos)</t>
  </si>
  <si>
    <t>212577-58T</t>
  </si>
  <si>
    <t>Operator of a electronic payments company intended to provide credit and debit card transaction services. The company offers acquiring, capturing, transmission, processing and settlement of credit and debit card transactions. It provides commercial acquisition services for the credit and debit card brands. It is also engaged in providing products and service such as point of sale (POS) equipment rental, check verification services, prepaid mobile phone recharging services, capture and transmission services for transactions carried out with voucher, private-label cards and cell phones, and an online capture technology for purchases made through websites and virtual stores.</t>
  </si>
  <si>
    <t>90132-67T</t>
  </si>
  <si>
    <t>Thermosystem Industria Eletro Eletronica</t>
  </si>
  <si>
    <t>Manufacturer of electronic systems. The company's electronic systems include electronic showers and solar heating systems.</t>
  </si>
  <si>
    <t>Duratex Europe</t>
  </si>
  <si>
    <t>70578-19T</t>
  </si>
  <si>
    <t>Cenize Informática</t>
  </si>
  <si>
    <t>Developer of accounting software. The company develops and markets accounting software for small and micro businesses in Brazil.</t>
  </si>
  <si>
    <t>Folhamatic</t>
  </si>
  <si>
    <t>50845-24T</t>
  </si>
  <si>
    <t>TextCorner</t>
  </si>
  <si>
    <t>Developer of a crowdsourcing platform for freelance writers. The company develops a content generation and crowdsourced platform where new writers can earn money by publishing their writings.</t>
  </si>
  <si>
    <t>Luciano Tavares(Luciano Tavares), Manoel Lemos(Manoel Lemos)</t>
  </si>
  <si>
    <t>68131-09T</t>
  </si>
  <si>
    <t>74639-17T</t>
  </si>
  <si>
    <t>Kromav Engenharia</t>
  </si>
  <si>
    <t>Provider of marine and offshore engineering services. The company provides design engineering and planning services for ships, vessels and offshore platforms in Brazil.</t>
  </si>
  <si>
    <t>Amec Foster Wheeler</t>
  </si>
  <si>
    <t>70758-64T</t>
  </si>
  <si>
    <t>G4s Vanguarda Segurança e Vigilância</t>
  </si>
  <si>
    <t>Provider of security systems services. The company specializes in offering security personnel, security systems and monitoring services and mobile patrols to key strategic sectors such as banking, transportation, commercial buildings, education, health and public services.</t>
  </si>
  <si>
    <t>G4S(Nick Buckles)</t>
  </si>
  <si>
    <t>212369-23T</t>
  </si>
  <si>
    <t>81850-96T</t>
  </si>
  <si>
    <t>Gávea Investimentos(Arminio Fraga)</t>
  </si>
  <si>
    <t>90061-84T</t>
  </si>
  <si>
    <t>MktTV Soluções Interativas</t>
  </si>
  <si>
    <t>Provider of system architecture and intelligence to marketing firms. The company helps implementing data network and storage areas providing customers a powerful and innovative scalable architecture.</t>
  </si>
  <si>
    <t>Agile Content (MAD: AGIL)</t>
  </si>
  <si>
    <t>90288-55T</t>
  </si>
  <si>
    <t>Banco Prosper</t>
  </si>
  <si>
    <t>Provider of commercial banking services in Rio de Janeiro, São Paulo and Salvador in Brazil. The company provides with commercial, credit, financing and investment portfolio. It also offers risk management and foreign exchange services.</t>
  </si>
  <si>
    <t>Banco Cruzeiro do Sul</t>
  </si>
  <si>
    <t>22331-35T</t>
  </si>
  <si>
    <t>212364-10T</t>
  </si>
  <si>
    <t>Greenhouse Technology Group</t>
  </si>
  <si>
    <t>78235-30T</t>
  </si>
  <si>
    <t>Shopcliq</t>
  </si>
  <si>
    <t>Developer of social commerce platform. The company offers an online social commerce platform for users to interact and find fashion products and brands.</t>
  </si>
  <si>
    <t>BuscaPe Company Informacao e Techologia(Romero Rodrigues)</t>
  </si>
  <si>
    <t>224023-69T</t>
  </si>
  <si>
    <t>Fundo de Investimento Imobiliario - FII Edificio Galeria (BVMF: EDGA11)</t>
  </si>
  <si>
    <t>Fundo Invest Imobiliario Bm Edificio Galeria FII is a real estate investment fund. It is engaged in investing in real estate, through the acquisition of corporate buildings. The objective of the fund is capital appreciation.</t>
  </si>
  <si>
    <t>20737-99T</t>
  </si>
  <si>
    <t>RLJ Equity Partners(Jerry Johnson), Spectra Investments, The Carlyle Group (NAS: CG)(Daniel Sterenberg)</t>
  </si>
  <si>
    <t>71280-91T</t>
  </si>
  <si>
    <t>Day Brasil (Printing Blankets Business)</t>
  </si>
  <si>
    <t>Manufacturer of printed blankets. The company serves blankets for coldset, heatset, sheetfed, coating, packaging, metal decorating, plastic pot, business forms, security and special printing machines.</t>
  </si>
  <si>
    <t>Trelleborg Group (STO: TREL B)</t>
  </si>
  <si>
    <t>53562-52T</t>
  </si>
  <si>
    <t>E-Trade Lab Tecnologia da Informacao</t>
  </si>
  <si>
    <t>Provider of systems and information management services. The company provides hosting, managed connectivity, order routing and trade monitoring services.</t>
  </si>
  <si>
    <t>Perseus Asset Management(Jock Percy)</t>
  </si>
  <si>
    <t>221293-90T</t>
  </si>
  <si>
    <t>Banrisul Novas Fronteiras Fundo de Investimento Imobiliario - FII (BVMF: BNFS11)</t>
  </si>
  <si>
    <t>Banrisul Novas Fronteiras Fundo de Investimento Imobiliario - FII is a real estate investment fund.</t>
  </si>
  <si>
    <t>33087-61T</t>
  </si>
  <si>
    <t>CNA Inglês Definitivo</t>
  </si>
  <si>
    <t>Operator of a traditional language school chain based in São Paulo, Brazil. The company's language school chain provides English language training services, enabling children, teenagers and in particular young adults to improve their career prospects by learning English.</t>
  </si>
  <si>
    <t>Actis(Patrick Ledoux)</t>
  </si>
  <si>
    <t>90128-26T</t>
  </si>
  <si>
    <t>Suporte Consultoria e Projetos</t>
  </si>
  <si>
    <t>Provider of engineering and consulting services intended to provide superior quality of services. The company's engineering and consulting services designs offshore structures and subsea pipelines and offers structural engineering services, enabling clients to meet their requirements.</t>
  </si>
  <si>
    <t>Genesis Oil And Gas Consultants(John Cambridge)</t>
  </si>
  <si>
    <t>125386-75T</t>
  </si>
  <si>
    <t>89843-05T</t>
  </si>
  <si>
    <t>Cibrafértil Companhia Brasileira de Fertilizantes</t>
  </si>
  <si>
    <t>Manufacturer of fertilizers. The company's fertilizers include phosphate, nitrogenated, protected area, bonedust and potassium for plants.</t>
  </si>
  <si>
    <t>OFD Holding</t>
  </si>
  <si>
    <t>102687-40T</t>
  </si>
  <si>
    <t>Digibras Participaçoes</t>
  </si>
  <si>
    <t>Manufacturer of electronics and electronic components. The company's electronics and electronic components include desktops, notebooks, netbooks, mobile phones, enabling customers to get access to the electronics.</t>
  </si>
  <si>
    <t>Lenovo (HKG: 00992)</t>
  </si>
  <si>
    <t>82442-08T</t>
  </si>
  <si>
    <t>Faculdade do Vale do Ipojuca</t>
  </si>
  <si>
    <t>Provider of educational services intended to offer undergraduate and graduate programs. The company's educational services include courses on law, business, psychology and nutrition.</t>
  </si>
  <si>
    <t>Adtalem Global Education (NYS: ATGE)(Daniel Hamburger)</t>
  </si>
  <si>
    <t>133553-62T</t>
  </si>
  <si>
    <t>Nutrifarms</t>
  </si>
  <si>
    <t>Producer of animal feed and nutritional supplements located in Rio Claro, Brazil. The company offers vitamin and mineral supplements, premixes, additives and cores enriched with macro and micro minerals, vitamins and food efficiency promoters capable of promoting the best zootechnical performance as per cattles need and requirement.</t>
  </si>
  <si>
    <t>De Heus Voeders(Koen De Heus)</t>
  </si>
  <si>
    <t>50662-18T</t>
  </si>
  <si>
    <t>BuyOnSocial</t>
  </si>
  <si>
    <t>Operator of a social blogging platform intended to get information about various topics. The company's platform uploads blogs on lifestyle, business, education, technology, and many more, enabling viewers to gain knowledge about a variety of topics.</t>
  </si>
  <si>
    <t>166949-56T</t>
  </si>
  <si>
    <t>Macnica DHW</t>
  </si>
  <si>
    <t>Distributor of semiconductor products based in Florianopolis, Brazil. The company provides semiconductor lines, transceivers, memoirs, antennas, displays, connectors, sensor and interface, microcontroller, diode, transisstors, processor as well as offers specialized technical support and on-demand creation services.</t>
  </si>
  <si>
    <t>Macnica</t>
  </si>
  <si>
    <t>27812-35T</t>
  </si>
  <si>
    <t>Headline(Anderson Thees), Redpoint eventures(Anderson Thees)</t>
  </si>
  <si>
    <t>89885-71T</t>
  </si>
  <si>
    <t>ELB Participações</t>
  </si>
  <si>
    <t>Operator of an educational institute.</t>
  </si>
  <si>
    <t>72037-54T</t>
  </si>
  <si>
    <t>Laboratórios Griffith do Brasil</t>
  </si>
  <si>
    <t>Producer of food additives. The company is engaged in the production of condiments, additives, hydrocolloids and proteins for the food and beverage industry.</t>
  </si>
  <si>
    <t>141111-91T</t>
  </si>
  <si>
    <t>Envia La</t>
  </si>
  <si>
    <t>Developer of an online movie platform intended to provide an easy, fast and safe way for filmmakers to send and apply their films to cinema festivals. The company's platform helps filmmakers to upload their movies by first applying, filling up the movie profile with main information and then launch it online, enabling users to get a variety of movie to download and upload under one platform.</t>
  </si>
  <si>
    <t>131203-18T</t>
  </si>
  <si>
    <t>Sorocaba Refrescos</t>
  </si>
  <si>
    <t>Producer and retailer of beverages located in Sorocaba, Brazil. The company manufactures various types of drinks including soft drinks, beers, nutrition drinks, energy drinks and flavored hydration drinks to customers.</t>
  </si>
  <si>
    <t>25943-41T</t>
  </si>
  <si>
    <t>Spectra Investments, Vinci Compass Investments (NAS: VINP)</t>
  </si>
  <si>
    <t>33960-97T</t>
  </si>
  <si>
    <t>224026-66T</t>
  </si>
  <si>
    <t>Fundo de Investimento do Nordeste (BVMF: FNOR11)</t>
  </si>
  <si>
    <t>90035-29T</t>
  </si>
  <si>
    <t>Libório Imóveis</t>
  </si>
  <si>
    <t>Provider of real estate brokerage services intended for property transactions and asset management. The company offers residential and commercial property listings, lease agreements, valuation assessments, legal documentation support, financing assistance, market analysis, transaction facilitation, and regulatory compliance, enabling homebuyers, investors, and businesses to access structured real estate solutions, secure property investments, navigate legal requirements, and optimize asset acquisition strategies.</t>
  </si>
  <si>
    <t>59082-40T</t>
  </si>
  <si>
    <t>57989-35T</t>
  </si>
  <si>
    <t>CRP Companhia de Participacoes(Dalton Schmitt)</t>
  </si>
  <si>
    <t>135951-13T</t>
  </si>
  <si>
    <t>Movere.Me</t>
  </si>
  <si>
    <t>Provider of crowdfunding services based in Rio De Janeiro, Brazil. The company provides funding for independent projects thereby allowing its clients to raise funds for their projects.</t>
  </si>
  <si>
    <t>Ideame(Becca Plofker)</t>
  </si>
  <si>
    <t>221309-29T</t>
  </si>
  <si>
    <t>BB Progressivo II Fundo de Investimento</t>
  </si>
  <si>
    <t>BB Progressivo Il Fundo Invest Imobiliario FII is a closed-end real estate fund. The Fund will invest in commercial real estate properties including bank branches and office buildings.</t>
  </si>
  <si>
    <t>224036-83T</t>
  </si>
  <si>
    <t>Fundo de Investimento Imobiliario BB Progressivo (BVMF: BBFI11)</t>
  </si>
  <si>
    <t>BB Fundo Invest Imobiliario Progressivo is an investment REIT. The firm invests in commercial real estate developments that generate frequent revenue, such as commercial buildings, hospitals, shopping malls, distribution, and logistics centers. It is managed by Caixa Economica Federal. Its assets are leased to the Bank of Brazil.</t>
  </si>
  <si>
    <t>90128-35T</t>
  </si>
  <si>
    <t>Local flavor operation in Sao Paulo</t>
  </si>
  <si>
    <t>Producer of food based flavors. The company's food based flavors include extracts and essences for bakery, beverages, confectioneries, dairy and nutrition products, enabling clients to enhance the taste of their products.</t>
  </si>
  <si>
    <t>Synergy Flavors(Roderick Sowders)</t>
  </si>
  <si>
    <t>22185-64T</t>
  </si>
  <si>
    <t>EIG</t>
  </si>
  <si>
    <t>22186-54T</t>
  </si>
  <si>
    <t>245546-74T</t>
  </si>
  <si>
    <t>Tivio Renda Imobiliaria (BVMF: TVRI11)</t>
  </si>
  <si>
    <t>Tivio Renda Imobiliaria Fundo De Investimento Imobiliario is a real estate investment fund which is created with the aim of acquiring agencies and administrative centers of Banco do Brasil, to rent them to Banco do Brasil itself for the initial term of ten years in turn providing shareholders monthly income arising from the lease. It has has 64 properties, located in different regions of the Brazil.</t>
  </si>
  <si>
    <t>52122-34T</t>
  </si>
  <si>
    <t>Claudio E. Amaral(Claudio E. Amaral)</t>
  </si>
  <si>
    <t>52093-36T</t>
  </si>
  <si>
    <t>Craques</t>
  </si>
  <si>
    <t>Developer of an online sports platform. The company is a social platform where soccer players, agents, managers, scouts, sponsors and advertisers from around the globe can seamlessly connect with each other.</t>
  </si>
  <si>
    <t>52086-97T</t>
  </si>
  <si>
    <t>21212, CAIS do Porto, Start-Up Brasil</t>
  </si>
  <si>
    <t>22184-38T</t>
  </si>
  <si>
    <t>90104-23T</t>
  </si>
  <si>
    <t>Rocco, Vidal + Arquitetos</t>
  </si>
  <si>
    <t>Provider of architecture and design services. The company's architecture and design services involves residential, commercial, interior and institutional architectural designing services, enabling clients to get their demands and requirements fulfilled.</t>
  </si>
  <si>
    <t>Perkins+Will(Philip Harrison)</t>
  </si>
  <si>
    <t>36834-31T</t>
  </si>
  <si>
    <t>NXTP Ventures, Start-Up Chile</t>
  </si>
  <si>
    <t>52089-13T</t>
  </si>
  <si>
    <t>AindaTem</t>
  </si>
  <si>
    <t>Developer of an online ticket booking platform. The company helps in booking tickets online so that people can travel places.</t>
  </si>
  <si>
    <t>Leonardo Oliveira(Leonardo Oliveira)</t>
  </si>
  <si>
    <t>34830-10T</t>
  </si>
  <si>
    <t>Operator of shopping malls created for leasing stores and commercial space. The company's line of offerings include management, leasing of stores and spaces, and the planning and development of malls, allowing it to offer extensive retail space to business clients.</t>
  </si>
  <si>
    <t>General Growth Properties</t>
  </si>
  <si>
    <t>54275-68T</t>
  </si>
  <si>
    <t>Mena International Group</t>
  </si>
  <si>
    <t>Provider of security services based in Sao Paulo, Brazil. The company's service offerings include crisis management, executive protection, gps tracking, security surveys, vehicle armoring and other security services to its clients.</t>
  </si>
  <si>
    <t>AFIMAC Global</t>
  </si>
  <si>
    <t>75104-47T</t>
  </si>
  <si>
    <t>Concept Mobility Services</t>
  </si>
  <si>
    <t>Provider of relocation and move management services. The company provides a full menu of domestic and international relocation services, including destination orientation, visa and immigration, household goods moving, and family services to clients moving employees to, from and within Brazil.</t>
  </si>
  <si>
    <t>SIRVA BGRS Worldwide(Deborah Balli)</t>
  </si>
  <si>
    <t>224807-41T</t>
  </si>
  <si>
    <t>Kinea II Real Estate Equity (BVMF: KNRE11)</t>
  </si>
  <si>
    <t>Kinea Ii Real Estate Equity Fundo Invest Imobiliario FII is a real estate investment trust. The company invests in residential properties developed for sale.</t>
  </si>
  <si>
    <t>90042-85T</t>
  </si>
  <si>
    <t>Malteria do Vale</t>
  </si>
  <si>
    <t>Producer and supplier of malt. The company's malt production is supported from a plant in Sao Paulo ,with a production capacity of 105 000 tonnes, which is supplied to Brazilian breweries and whiskey distillers.</t>
  </si>
  <si>
    <t>Soufflet Malt</t>
  </si>
  <si>
    <t>50844-07T</t>
  </si>
  <si>
    <t>24213-43T</t>
  </si>
  <si>
    <t>Flybridge (New York)(Jeffrey Bussgang), Kaszek(Nicolas Berman)</t>
  </si>
  <si>
    <t>92261-98T</t>
  </si>
  <si>
    <t>Quattro Consultoria em Telecomunicações</t>
  </si>
  <si>
    <t>Provider of wireless broadband network. The company offers wireless network in Sao Paulo, Brazil.</t>
  </si>
  <si>
    <t>Soros Fund Management</t>
  </si>
  <si>
    <t>224105-14T</t>
  </si>
  <si>
    <t>Fundo Invest Imobiliario Vila Olimpia Corporate</t>
  </si>
  <si>
    <t>Fundo Invest Imobiliario Vila Olimpia Corporate is a real estate investment trust.</t>
  </si>
  <si>
    <t>33188-50T</t>
  </si>
  <si>
    <t>Kees Koolen(Kees Koolen), Odontoprev (BVMF: ODPV3)(Randal Zanetti), Trindade Investimentos(Danilo Amaral), Valor Capital Group(Scott Sobel)</t>
  </si>
  <si>
    <t>22103-74T</t>
  </si>
  <si>
    <t>Elike</t>
  </si>
  <si>
    <t>Provider of an e-commerce platform intended to help users create online shops on social media to sell products. The company's platform offers leading brands and retailers the opportunity to increase income from social commerce through its proprietary suite of tools, enabling online stores to have their full control over the items displayed, promotions and inventory.</t>
  </si>
  <si>
    <t>Intel Capital, The Astor Group</t>
  </si>
  <si>
    <t>22063-33T</t>
  </si>
  <si>
    <t>Realtime (Communication Software)</t>
  </si>
  <si>
    <t>Developer of a cloud-based message broking system intended to integrate into real-time web, mobile and social. The company's product has various features including auto-scalability, security, time-saving, and adaptation to future protocol changes and creates apps for the e-commerce and advertising verticals allowing website visitors to interact in real-time with web servers, enabling developers to build cross-platform apps that require real-time communication between devices.</t>
  </si>
  <si>
    <t>BRZtech Holdings, The Ongoing Group</t>
  </si>
  <si>
    <t>32948-38T</t>
  </si>
  <si>
    <t>Cap-Meridian Ventures, FJ Labs, Greenoaks Capital Partners, Joseph Lonsdale(Joseph Lonsdale), Riverwood Capital, Zarco Investment Group</t>
  </si>
  <si>
    <t>102737-53T</t>
  </si>
  <si>
    <t>ETEP Consultoria, Gerenciamento e Serviços</t>
  </si>
  <si>
    <t>Provider of project management and consulting services in Sao Paulo. The company's services include environmental sanitation, loss control and reduction in water supply systems, industrial sector, urban infra structure, environmental consulting and planning, environment management system implementation and compliance process services.</t>
  </si>
  <si>
    <t>Arcadis (AMS: ARCAD)(Friedrich Schneider)</t>
  </si>
  <si>
    <t>22043-62T</t>
  </si>
  <si>
    <t>BTG Pactual (BVMF: BPAC3), EIG</t>
  </si>
  <si>
    <t>159936-13T</t>
  </si>
  <si>
    <t>Tereos Internacional</t>
  </si>
  <si>
    <t>Producer and seller of sugar products in São Paulo, Brazil. The company offers sugar, starch, ethanol and alcohol products.</t>
  </si>
  <si>
    <t>78215-23T</t>
  </si>
  <si>
    <t>Provider of human capital services. The company specializes in providing recruitment and employment service such as executive search and head hunting service on behalf of its clients across various industries in Brazil.</t>
  </si>
  <si>
    <t>GPS Participacoes E Empreendimentos (BVMF: GGPS3), Neo Investimentos</t>
  </si>
  <si>
    <t>61569-73T</t>
  </si>
  <si>
    <t>Appies</t>
  </si>
  <si>
    <t>Developer of a business dashboard. The company's platform helps application developers in creating business by providing them with business assets.</t>
  </si>
  <si>
    <t>Trindade Investimentos</t>
  </si>
  <si>
    <t>31514-05T</t>
  </si>
  <si>
    <t>Kaszek(Nicolas Berman), RIGI Ventures</t>
  </si>
  <si>
    <t>90151-75T</t>
  </si>
  <si>
    <t>União Educacional Candido Rondon</t>
  </si>
  <si>
    <t>Provider of educational services. The company's educational services include courses on economics, accounting, social sciences, auditing, master program and other related courses, enabling the students to educate themselves.</t>
  </si>
  <si>
    <t>36903-79T</t>
  </si>
  <si>
    <t>Bzplan(Rodrigo Ventura de Oliveira), FIR Capital, Invisto</t>
  </si>
  <si>
    <t>93109-78T</t>
  </si>
  <si>
    <t>BlackRock (NYS: BLK), Spring Mountain Capital</t>
  </si>
  <si>
    <t>71610-13T</t>
  </si>
  <si>
    <t>GAS Tecnologia</t>
  </si>
  <si>
    <t>Developer of Internet security software products. The company provides mobile banking security services in Brasilia, Brazil.</t>
  </si>
  <si>
    <t>Diebold Nixdorf (NYS: DBD)</t>
  </si>
  <si>
    <t>65861-83T</t>
  </si>
  <si>
    <t>Evandro Lobo(Evandro Lobo), Joao Kepler Braga(Joao Kepler Braga), Nuno Abreu(Nuno Abreu), Sergio Papini(Sergio Papini)</t>
  </si>
  <si>
    <t>46632-16T</t>
  </si>
  <si>
    <t>LojasKD</t>
  </si>
  <si>
    <t>Developer of an e-commerce platform intended to sell furniture. The company's platform offers a range of furniture for the decoration of houses, enabling users to buy quality furniture online at an affordable price.</t>
  </si>
  <si>
    <t>Astella Investimentos(Edson Rigonatti), Edson Rigonatti, Martino Bagini</t>
  </si>
  <si>
    <t>90065-71T</t>
  </si>
  <si>
    <t>Neocontrol</t>
  </si>
  <si>
    <t>Manufacturer of home automation products based in Belo Horizonte, Brazil. The company offers audio and video automation, lighting, access control, curtains, security and air conditioning products, thereby helping clients to directly integrate with the ethernet network that allows the use of multiple interfaces for control, monitoring and integration, as well as the practicality and ease of access provided by the internet.</t>
  </si>
  <si>
    <t>Somfy Systems (PAR: SO)(Jean-Michel Orsat)</t>
  </si>
  <si>
    <t>28580-32T</t>
  </si>
  <si>
    <t>500 Global(Bedy Yang), Monashees(Eric Acher)</t>
  </si>
  <si>
    <t>90113-86T</t>
  </si>
  <si>
    <t>Sobral Invicta</t>
  </si>
  <si>
    <t>Manufacturer of vacuum bottles, glasses and utensils catering to the kitchenware industry. The company's vacuum bottles, glasses and utensils include jars, kit pots, thermal boxes and door ice, thereby enabling the commercial sectors and individuals to access a wide range of products for their operation under one roof.</t>
  </si>
  <si>
    <t>The Coleman Company</t>
  </si>
  <si>
    <t>90114-49T</t>
  </si>
  <si>
    <t>Sociedade Educacional do Rio Grande do Sul</t>
  </si>
  <si>
    <t>Provider of educational courses. The company's educational courses include English language, management studies, mathematics, biology, chemistry, communication courses and speaking English courses, enabling students to gain knowledge and get better career prospects.</t>
  </si>
  <si>
    <t>104931-19T</t>
  </si>
  <si>
    <t>Spotwish</t>
  </si>
  <si>
    <t>Provider of an online social networking platform. The company develops a social networking platform that helps to find friends and people to do activities.</t>
  </si>
  <si>
    <t>Evernote Accelerator</t>
  </si>
  <si>
    <t>90176-77T</t>
  </si>
  <si>
    <t>Usina Fortaleza Indústria e Comércio de Massa Fina</t>
  </si>
  <si>
    <t>Manufacturer of adhesive and construction products. The company's adhesive and construction products include plaster fortress, tiles and mortar for waterproofing, enabling the construction industry to access a wide range of products for their operation under one roof.</t>
  </si>
  <si>
    <t>Bostik</t>
  </si>
  <si>
    <t>20909-26T</t>
  </si>
  <si>
    <t>500 Global, Ariel Poler(Ariel Poler), Errol Damelin(Errol Damelin), Florian Otto(Florian Otto), Gordon Rubenstein(Gordon Rubenstein), Gregory Waldorf(Gregory Waldorf), Jeff Fluhr(Jeff Fluhr), Jeff Holmes(Jeff Holmes), Kaszek(Nicolas Szekasy), Meyer Malka(Meyer Malka), Monashees(Eric Acher), Shaun Di Gregorio(Shaun Di Gregorio), Simon Baker(Simon Baker), Social Capital, Wenceslao Casares(Wenceslao Casares)</t>
  </si>
  <si>
    <t>70018-03T</t>
  </si>
  <si>
    <t>Yoki Alimentos</t>
  </si>
  <si>
    <t>Producer and distributor of packaged food products and beverages based in Sao Paulo, Brazil. The company produces and distributes products such as popcorn, natural and industrial condiments, snacks, herbs, teas, cake mixes, desserts, confectionery, soups, soft drinks, cereals, corn starches, flours cassava, wheat flours and pet food under the brands Yoki, Kitano, Yokitos More Vita, Lin Tea, Tori and Chef Line.</t>
  </si>
  <si>
    <t>30213-91T</t>
  </si>
  <si>
    <t>3i Group (LON: III)(Marcelo Di Lorenzo), Atlântico Sul Capital Partners</t>
  </si>
  <si>
    <t>28582-93T</t>
  </si>
  <si>
    <t>Dabee</t>
  </si>
  <si>
    <t>Operator of a cross-border trade platform for e-commerce services. The company facilitates its users to purchase products online from retailers.</t>
  </si>
  <si>
    <t>500 Global, Monashees, Napkn Ventures, NH Investimentos</t>
  </si>
  <si>
    <t>75021-58T</t>
  </si>
  <si>
    <t>LGR Macaé</t>
  </si>
  <si>
    <t>Provider of real estate development services. The company operates as real estate development firm and primarily focuses on developing shopping malls in Macaé region, Brazil.</t>
  </si>
  <si>
    <t>86193-37T</t>
  </si>
  <si>
    <t>Mapfre Nossa Caixa Vida e Previdência</t>
  </si>
  <si>
    <t>Operator of a insurance agency. The company specializes in offering life and pensions services and has a portfolio of 100 thousand customers and private pension assets.</t>
  </si>
  <si>
    <t>BrasilPrev Previdencia Privada(Miguel Cícero Terra Lima)</t>
  </si>
  <si>
    <t>90164-62T</t>
  </si>
  <si>
    <t>Winco Equipamentos Ferroviarios</t>
  </si>
  <si>
    <t>Provider of freight transportation services. The company's freight transportation services include value-added, technology-based products and services for the rail industry.</t>
  </si>
  <si>
    <t>Westinghouse Air Brake Technologies (NYS: WAB)</t>
  </si>
  <si>
    <t>22196-08T</t>
  </si>
  <si>
    <t>CAS Tecnologia</t>
  </si>
  <si>
    <t>Developer of software and hardware for metering infrastructure and distribution automation applications. The company applies technology, science and engineering services that enable clients to arrive at conclusions to critical problems.</t>
  </si>
  <si>
    <t>Sensus USA(Jose Hernandez)</t>
  </si>
  <si>
    <t>71666-65T</t>
  </si>
  <si>
    <t>Engetran Engenharia, Industria, e Comercio de Pecas e Acessorios Veiculares</t>
  </si>
  <si>
    <t>Manufacturer of towing products. The company manufactures products including trailer hitches, skid plates and related accessories.</t>
  </si>
  <si>
    <t>Horizon Global</t>
  </si>
  <si>
    <t>58859-11T</t>
  </si>
  <si>
    <t>Alantra (MAD: ALNT), N+1 Mercapital</t>
  </si>
  <si>
    <t>33827-14T</t>
  </si>
  <si>
    <t>Suplicy Cafés Especiais</t>
  </si>
  <si>
    <t>Owner and operator of a coffeehouse chain based in Sao Paulo, Brazil. The company's trained professionals are highly qualified for the correct preparation of specialty coffee drinks, enabling the customers to savor tasty coffee at an affordable price range.</t>
  </si>
  <si>
    <t>Spectra Investments, Treecorp Investimentos (BVMF: TCPF11)(Daniel McQuoid)</t>
  </si>
  <si>
    <t>90134-02T</t>
  </si>
  <si>
    <t>Touch da Amazônia Indústria e Comércio de Relógios</t>
  </si>
  <si>
    <t>Operator of watch dealership. The company's vehicle dealership business include buying and selling of new and used watches under the Touch brand name along with offering repair, maintenance and after sale services, enabling consumers to get all new and older version of Touch watches under one roof.</t>
  </si>
  <si>
    <t>Techno Group</t>
  </si>
  <si>
    <t>86599-72T</t>
  </si>
  <si>
    <t>Touch Watches Franchising do Brasil</t>
  </si>
  <si>
    <t>Manufacturer of watches based in Rio De Janeiro, Brazil. The company's watches are of various types such as analog and digital with both metal and leather bands for men and women.</t>
  </si>
  <si>
    <t>Grupo Technos (BVMF: TECN3)</t>
  </si>
  <si>
    <t>90176-23T</t>
  </si>
  <si>
    <t>You Time Relógios</t>
  </si>
  <si>
    <t>Retailer of watches and accessories. The company's watches and accessories outlet sells watches and related accessories under the company's brand name, enabling customers to buy new and trendy watch and accessories.</t>
  </si>
  <si>
    <t>44555-95T</t>
  </si>
  <si>
    <t>90100-72T</t>
  </si>
  <si>
    <t>Red Balloon</t>
  </si>
  <si>
    <t>Provider of educational services intended to teach English to children and teenagers using an exclusive, modern, and effective methodology. The company's services involve online English language tutoring services, including understanding and interactive sessions, thereby enabling children to better understand their study lessons.</t>
  </si>
  <si>
    <t>21925-45T</t>
  </si>
  <si>
    <t>Accel Management Company, Greenoaks Capital Partners, Menlo Ventures, Shervin Pishevar(Shervin Pishevar), Social Capital, Tiger Global Management, Valor Capital Group</t>
  </si>
  <si>
    <t>23023-54T</t>
  </si>
  <si>
    <t>Brazilian Finance E Real Estate S.A.,Brazilian Finance E Real Estate</t>
  </si>
  <si>
    <t>Brazilian Finance E Real Estate SA provides real estate financial services for individuals and companies in Brazil. The company offers real estate investment funds, individual credit, corporate financing, and LH and LCI mortgage notes; performing asset mortgage backed securities, non-performing asset mortgage backed securities, and real estate receivables from housing plots; and receivables from leasing, and corporate real estate assets.</t>
  </si>
  <si>
    <t>Banco Pan, BTG Pactual (BVMF: BPAC3)</t>
  </si>
  <si>
    <t>224027-83T</t>
  </si>
  <si>
    <t>Fundo de Investimento Imobiliario - FII Shopping Jardim Sul</t>
  </si>
  <si>
    <t>Fundo Investimento Imobiliario FII Shopping Jardim SUL, formerly Fundo de Investimento Imobiliario - FII Shopping Jardim Sul is a real estate investment trust. The company invests in Shopping Centers.</t>
  </si>
  <si>
    <t>96511-24T</t>
  </si>
  <si>
    <t>28583-11T</t>
  </si>
  <si>
    <t>Christian Friedland(Christian Friedland), Flybridge (New York)(Jeffrey Bussgang), Kaszek(Nicolas Szekasy), Monashees(Eric Acher), Niraj Shah(Niraj Shah)</t>
  </si>
  <si>
    <t>21883-60T</t>
  </si>
  <si>
    <t>90041-86T</t>
  </si>
  <si>
    <t>Marcas Comestíveis</t>
  </si>
  <si>
    <t>Operator of fast food restaurant chain.</t>
  </si>
  <si>
    <t>International Meal Company Alimentação(Julio Millan)</t>
  </si>
  <si>
    <t>90073-72T</t>
  </si>
  <si>
    <t>Orange Fantasy Lanchonetes</t>
  </si>
  <si>
    <t>Operator of a chain of restaurants.</t>
  </si>
  <si>
    <t>28580-14T</t>
  </si>
  <si>
    <t>Kaszek(Hernan Kazah), Monashees, Tiger Global Management</t>
  </si>
  <si>
    <t>90120-43T</t>
  </si>
  <si>
    <t>Squadro Lanchonetes</t>
  </si>
  <si>
    <t>Operator of a chain of restaurants. The company's restaurants provides snacks and beverages of various types, enabling customers to enjoy the food at competitive prices.</t>
  </si>
  <si>
    <t>223337-26T</t>
  </si>
  <si>
    <t>Cshg Real Estate Fundo Invest Imobiliario (BVMF: HGRE11)</t>
  </si>
  <si>
    <t>Cshg Real Estate Fundo Invest Imobiliario is engaged in the acquisition of commercial real estate projects for commercial operation.</t>
  </si>
  <si>
    <t>71699-41T</t>
  </si>
  <si>
    <t>Rheoset Indústria e Comércio de Aditivos</t>
  </si>
  <si>
    <t>Manufacturer of concrete admixtures in Brazil. The company is engaged in the production of construction and building materials such as concrete and cement.</t>
  </si>
  <si>
    <t>W. R. Grace &amp; Company(Andrew Bonham)</t>
  </si>
  <si>
    <t>50690-71T</t>
  </si>
  <si>
    <t>All Solutions</t>
  </si>
  <si>
    <t>224031-16T</t>
  </si>
  <si>
    <t>Fundo de Investimento Imobiliario ABC Plaza Shopping (BVMF: ABCP11)</t>
  </si>
  <si>
    <t>Fundo Invest Imobiliario Grand Plaza Shopping, formerly Fundo de Investimento Imobiliario ABC Plaza Shopping is a real estate investment trust.</t>
  </si>
  <si>
    <t>224054-56T</t>
  </si>
  <si>
    <t>Fundo de Investimento Imobiliario Europar (BVMF: EURO11)</t>
  </si>
  <si>
    <t>Fundo Invest Imobiliario Europar, formerly Fundo de Investimento Imobiliario Europar is a real estate investment trust.</t>
  </si>
  <si>
    <t>54901-45T</t>
  </si>
  <si>
    <t>Officer</t>
  </si>
  <si>
    <t>Operator of an e-commerce portal intended to distribute computers and related products in Brazil. The company's portal distributes computers, laptops, computer peripheral equipment and computer software and also offers technical support, configuration services, and pre and post-sale training to consumers, enabling customers to buy electronics and get related services.</t>
  </si>
  <si>
    <t>Ideiasnet (BVMF: PDTC3)(Sami Haddad)</t>
  </si>
  <si>
    <t>102116-98T</t>
  </si>
  <si>
    <t>Raul Fulgêncio Consultoria de Imóveis</t>
  </si>
  <si>
    <t>Provider of real estate services based in Londrina, Brazil. The company offers buying and selling of apartments, commercial rooms, renting facilities, and land lots, enabling customers to buy and sell properties according to their requirements.</t>
  </si>
  <si>
    <t>LPS Brasil Consultoria de Imoveis (BVMF: LPSB3)(Marcello Leone)</t>
  </si>
  <si>
    <t>73314-73T</t>
  </si>
  <si>
    <t>Bregal Investments(Quentin Van Doosselaere), Caisse de dépôt et placement du Québec, Cercano Management(Cliff Su), Citigroup Alternative Investments, Kohlberg Kravis Roberts (NYS: KKR)(Brian Carroll), Laureate Education (NAS: LAUR), Makena Capital Management, Point72 Asset Management, Sterling Partners(Steven Taslitz), Stockdale Street, Stockwell Capital, Torreal, TruArc Partners(Ian Snow)</t>
  </si>
  <si>
    <t>89910-82T</t>
  </si>
  <si>
    <t>90194-50T</t>
  </si>
  <si>
    <t>Gravena- Pesquisa, Consultoria e Treinamento Agrícola</t>
  </si>
  <si>
    <t>Provider of agricultural research, training and consulting services.</t>
  </si>
  <si>
    <t>SGS (SWX: SGSN)</t>
  </si>
  <si>
    <t>102739-60T</t>
  </si>
  <si>
    <t>CP Eletrônica</t>
  </si>
  <si>
    <t>Manufacturer of power applications products. The company's products include UPS, solar energy equipment, stabilizers, electrical and electronic equipment, enabling IT and telecom companies, power companies, office buildings and hospitals to get a range of energy resources.</t>
  </si>
  <si>
    <t>Schneider Electric (Electrical Equipment) (PAR: SU)(Jesús Carmona)</t>
  </si>
  <si>
    <t>72114-85T</t>
  </si>
  <si>
    <t>Rapidão Cometa</t>
  </si>
  <si>
    <t>Provider of air freight transportation and logistics services. The company serves its clients in freight handling and related operations through its 5,300 locations in more than 220 countries.</t>
  </si>
  <si>
    <t>FedEx (NYS: FDX)(Michael Ducker)</t>
  </si>
  <si>
    <t>89808-76T</t>
  </si>
  <si>
    <t>Barcas (Brazil)</t>
  </si>
  <si>
    <t>Provider of transportation services. The company's transportation services is engaged in the coastal shipping and waterway transportation of passengers and goods.</t>
  </si>
  <si>
    <t>Cia de Participacoes</t>
  </si>
  <si>
    <t>55900-90T</t>
  </si>
  <si>
    <t>HSystem</t>
  </si>
  <si>
    <t>Developer of a complete platform designed for the hospitality industry. The company's platform offers various tools such as a booking engine, channel manager, hotel chatbot, rate optimizer, and more, enabling hotels across Brazil to integrate with channels, direct sales, guest service, and optimization of their prices.</t>
  </si>
  <si>
    <t>GPinheiro</t>
  </si>
  <si>
    <t>70552-00T</t>
  </si>
  <si>
    <t>Myers Industries (NYS: MYE)(John Orr)</t>
  </si>
  <si>
    <t>92109-70T</t>
  </si>
  <si>
    <t>Usaciga Acucar, Alcool e Energia Electrica</t>
  </si>
  <si>
    <t>Operator of sugar mill. The company produce and process sugar, alcohol and energy.</t>
  </si>
  <si>
    <t>Usina de Açúcar Santa Terezinha</t>
  </si>
  <si>
    <t>90159-13T</t>
  </si>
  <si>
    <t>Voloto Consultoria Empresarial</t>
  </si>
  <si>
    <t>Operator of a holding company.</t>
  </si>
  <si>
    <t>21825-91T</t>
  </si>
  <si>
    <t>LM Sistemas</t>
  </si>
  <si>
    <t>Developer of an interactive voice response (IVR) software intended for customer contact centers in Brazil. The company provides self-service software that designs, delivers, monitors and optimizes self-service applications and related infrastructure, thereby enabling clients through enhanced branding and increased levels of automation.</t>
  </si>
  <si>
    <t>Banneker Partners(Stephen Davis), Carlyle AlpInvest, Genesys(Paul Segre), L Capital, Permira(Brian Ruder), TCV(Jake Reynolds)</t>
  </si>
  <si>
    <t>89845-48T</t>
  </si>
  <si>
    <t>Cimento Açai</t>
  </si>
  <si>
    <t>Manufacturer of building materials intended for structural and civil engineering applications. The company offers blended cement products with resistance to sulfates, high compressive strength, reduced porosity, and sustainable production practices using industrial by-products, enabling the construction market to meet performance requirements in diverse environmental conditions.</t>
  </si>
  <si>
    <t>Cementos Tudela Veguín</t>
  </si>
  <si>
    <t>30812-50T</t>
  </si>
  <si>
    <t>58294-54T</t>
  </si>
  <si>
    <t>Finxi</t>
  </si>
  <si>
    <t>Provider of technology development and management services intended for startups, venture building, and corporate building. The company's platform offers augmented reality in a mobile environment, using image recognition and computer vision within the international scientific community technological services, enabling clients to reduce costs and risks associated with technological infrastructure and physical space for the development team.</t>
  </si>
  <si>
    <t>90101-44T</t>
  </si>
  <si>
    <t>Riber - KWS Sementes</t>
  </si>
  <si>
    <t>Producer and marketer of corn, sorghum and soybean seeds. The company provides hybrid seeds developed according to geographic position, altitude, climate, disease incidence, level of crop investment, planting season, management system.</t>
  </si>
  <si>
    <t>KWS Saat (ETR: KWS)(Christoph Amberger)</t>
  </si>
  <si>
    <t>66702-07T</t>
  </si>
  <si>
    <t>Leblon Equities</t>
  </si>
  <si>
    <t>76968-19T</t>
  </si>
  <si>
    <t>Tetra Tech do Brasil Minérios e Metais</t>
  </si>
  <si>
    <t>Provider of mining engineering services. The company develops engineering projects and engages in land mining and land filling services.</t>
  </si>
  <si>
    <t>Tetra Tech (NAS: TTEK)(Dan Batrack)</t>
  </si>
  <si>
    <t>56003-05T</t>
  </si>
  <si>
    <t>Confrapar Administração e Gestão de Recursos(Rodrigo Esteves), Guilherme Cohn(Guilherme Cohn)</t>
  </si>
  <si>
    <t>73510-21T</t>
  </si>
  <si>
    <t>Tangara Importadora e Exportadora</t>
  </si>
  <si>
    <t>Distributor of dairy products in Brazil. The company distributes various food products such as milk powder, chocolate powder,etc.</t>
  </si>
  <si>
    <t>Neo Investimentos(Lucas Freire)</t>
  </si>
  <si>
    <t>31882-96T</t>
  </si>
  <si>
    <t>31888-27T</t>
  </si>
  <si>
    <t>Developer of tax and accounting software. The company develops software for billing, conducting payroll, invoicing, electronic invoicing and tax filing.</t>
  </si>
  <si>
    <t>92262-70T</t>
  </si>
  <si>
    <t>Pbkids Brinquedos</t>
  </si>
  <si>
    <t>Operator of a toy store chain catering to the Brazilian market. The company's range of items for kids includes toys, musical instruments, bicycles, skateboards, mini cars, gaming consoles, doll houses, robots and baby toys.</t>
  </si>
  <si>
    <t>55155-61T</t>
  </si>
  <si>
    <t>Tam SA</t>
  </si>
  <si>
    <t>Provider of air transportation services. The company operates as a airline company and provides air transportation services in USA.</t>
  </si>
  <si>
    <t>84417-49T</t>
  </si>
  <si>
    <t>69828-76T</t>
  </si>
  <si>
    <t>89808-58T</t>
  </si>
  <si>
    <t>Banco WestLB do Brasil</t>
  </si>
  <si>
    <t>Provider of banking services. The company's banking services include checking, loans remittance, credit financing, saving account, certificate of deposits and mortgaging, enabling clients to avail transparent and efficient banking services.</t>
  </si>
  <si>
    <t>Mizuho Corporate Bank(Yasuhiro Sato)</t>
  </si>
  <si>
    <t>89842-42T</t>
  </si>
  <si>
    <t>CFF Participações</t>
  </si>
  <si>
    <t>Operator of an investment holding company. The company's investment holding portfolio comprises of ABA Porto Participações, which in turn owns Tecondi Terminal para Contêineres da Margem Direita, Terminais Marítimos Especializados and Termlog Transporte e Logística.</t>
  </si>
  <si>
    <t>90121-42T</t>
  </si>
  <si>
    <t>Stardur Tintas Especiais</t>
  </si>
  <si>
    <t>Manufacturer of industrial paints and coatings. The company's products include coatings such as high and low solids, engineered plastics, water soluble, coil coating and automotive coatings.</t>
  </si>
  <si>
    <t>102741-67T</t>
  </si>
  <si>
    <t>Viapol</t>
  </si>
  <si>
    <t>Provider of building materials and construction services intended to provide chemical products aimed at civil construction in Latin America. The company's building materials and construction services are focused on anchorage, craft, settling mortar, resin molds, floors, walls, lift pits, swimming pool waterproofing, and joints, enabling their clients to avail of construction services.</t>
  </si>
  <si>
    <t>RPM International (NYS: RPM)(Frank Sullivan)</t>
  </si>
  <si>
    <t>92915-65T</t>
  </si>
  <si>
    <t>93254-23T</t>
  </si>
  <si>
    <t>Lupatech (BVMF: LUPA3)</t>
  </si>
  <si>
    <t>Lupatech SA provides equipment and renders services to the oil and gas industry. It is classified into two segments, products, and services. The products segment mainly produces industrial valves; valves for oil and gas; synthetic fiber ropes for anchoring oil platforms and several other applications; and artifacts of composite materials, such as poles and tubular sleeves for coating oil pipelines. Geographically the company generates the majority of its revenue from Brazil.</t>
  </si>
  <si>
    <t>BNDESpar, Fundação Petrobras de Seguridade Social, GP Investments (LUX: GPINA)</t>
  </si>
  <si>
    <t>97978-15T</t>
  </si>
  <si>
    <t>100802-80T</t>
  </si>
  <si>
    <t>Aeroservice Consultoria e Engenharia de Projeto</t>
  </si>
  <si>
    <t>Provider of consulting services. The company's consulting services provide airport planning and engineering consultancy, including air transportation, infrastructure, aeronautics and airspace areas.</t>
  </si>
  <si>
    <t>Egis Group</t>
  </si>
  <si>
    <t>38829-52T</t>
  </si>
  <si>
    <t>65961-19T</t>
  </si>
  <si>
    <t>CPM Braxis Capgemini</t>
  </si>
  <si>
    <t>Provider of information technology consulting services. The company offers software integration, development and maintenance, and remote infrastructure support services.</t>
  </si>
  <si>
    <t>Caixa Participacoes</t>
  </si>
  <si>
    <t>90535-33T</t>
  </si>
  <si>
    <t>Lemontree Participações</t>
  </si>
  <si>
    <t>Provider of cable television services in Brazil.</t>
  </si>
  <si>
    <t>25961-05T</t>
  </si>
  <si>
    <t>33958-54T</t>
  </si>
  <si>
    <t>21596-23T</t>
  </si>
  <si>
    <t>Crenlo do Brasil</t>
  </si>
  <si>
    <t>Manufacturer of cabins intended for agricultural and earthmoving machinery original equipment manufacturer (OEMs) in the South American market. The company offers products for agricultural, construction and forestry machinery as well as for locomotives and assemblies welded in thick carbon steel sheets, thereby ensuring its clients get products with improved ergonomics, comfort, finishing and ease of operation.</t>
  </si>
  <si>
    <t>Crenlo Engineered Cabs(Stephen Andrews), KPS Capital Partners(David Shapiro)</t>
  </si>
  <si>
    <t>72020-17T</t>
  </si>
  <si>
    <t>Campneus Líder de Pneumáticos</t>
  </si>
  <si>
    <t>Retailer of tires based in Sao Paulo, Brazil. The company is engaged in the sales of different types of tires for cars, trucks and buses and also provides oil and car care services.</t>
  </si>
  <si>
    <t>89867-89T</t>
  </si>
  <si>
    <t>Delta Pesquisa e Sementes</t>
  </si>
  <si>
    <t>Producer of corns. The company's corn producing services include corn breeding, corn plantation and corns growing, enabling clients and customers to get corns and related products.</t>
  </si>
  <si>
    <t>54848-98T</t>
  </si>
  <si>
    <t>Estrela Digital</t>
  </si>
  <si>
    <t>Operator of a gaming platform. The company operates a platform that offers multiplayer and multi platform games through its own store.</t>
  </si>
  <si>
    <t>73237-78T</t>
  </si>
  <si>
    <t>Flores Online</t>
  </si>
  <si>
    <t>Operator of an e-commerce gifts business intended to offer personalized gifting choices to consumers. The company offers bouquets of flowers, potted plants, liquor, chocolates, candles and pre-made gift baskets, enabling clients to deliver premium gifts to their friends and family.</t>
  </si>
  <si>
    <t>1-800-Flowers.com (NAS: FLWS)(Amit Shah), X8 Investimentos</t>
  </si>
  <si>
    <t>89959-33T</t>
  </si>
  <si>
    <t>Itaforte BioProdutos</t>
  </si>
  <si>
    <t>Provider of biological pest and disease control services. The company's biological pest and disease control services include chemicals used for fighting against insects, mites and phytopathogens, enabling the agricultural sectors to access a wide range of products for securing their crops and cultivate healthy crops under one roof.</t>
  </si>
  <si>
    <t>Koppert(Henri Oosthoek)</t>
  </si>
  <si>
    <t>45567-01T</t>
  </si>
  <si>
    <t>Opersan</t>
  </si>
  <si>
    <t>Provider of wastewater treatment services based in Sao Paulo, Brazil. The company specializes in providing environmental solutions focused on water and effluent treatment for corporate clients such as the development of projects, construction and operation of water treatment systems and operations with hazardous industrial effluents, using modern technologies for biological, physical-chemical and term vacuum compression.</t>
  </si>
  <si>
    <t>P2 Brasil, Patria Investments (NAS: PAX)</t>
  </si>
  <si>
    <t>71718-22T</t>
  </si>
  <si>
    <t>Senergy Sistemas de Medição</t>
  </si>
  <si>
    <t>Provider of technical services for the energy sector. The company offers software metering services for revenue assurance and for the prevention as well as reduction of non-technical losses in the power distribution grid. It also can access, collect and process data from smart meters and integrate the whole system of the IT environment of distribution power utilities.</t>
  </si>
  <si>
    <t>Siemens (ETR: SIE)(Jan Mrosik)</t>
  </si>
  <si>
    <t>29660-50T</t>
  </si>
  <si>
    <t>72655-93T</t>
  </si>
  <si>
    <t>SEEK (ASX: SEK)</t>
  </si>
  <si>
    <t>90064-18T</t>
  </si>
  <si>
    <t>Navita Tecnologia (Corporate Portal &amp; Intranet Business)</t>
  </si>
  <si>
    <t>Provider of intranet services.</t>
  </si>
  <si>
    <t>65822-95T</t>
  </si>
  <si>
    <t>McKesson Europe(Markus Pinger)</t>
  </si>
  <si>
    <t>87561-91T</t>
  </si>
  <si>
    <t>CD Capital(Carmel Daniele)</t>
  </si>
  <si>
    <t>71822-80T</t>
  </si>
  <si>
    <t>Wyse Sistemas de Informática</t>
  </si>
  <si>
    <t>Provider of automation software. The company offers software suites for hospitality sector in São Paulo, Brazil.</t>
  </si>
  <si>
    <t>NCR Voyix (NYS: VYX)(Mauricio Medeiros)</t>
  </si>
  <si>
    <t>71824-51T</t>
  </si>
  <si>
    <t>Meizler UCB Biopharma</t>
  </si>
  <si>
    <t>Supplier of pharmaceutical products and drugs. The company is engaged in the warehousing and distribution of medical instruments, drugs and hospital products for public and private institutions, hospitals and specialized clinics.</t>
  </si>
  <si>
    <t>UCB (BRU: UCB)(Roch Doliveux)</t>
  </si>
  <si>
    <t>102516-04T</t>
  </si>
  <si>
    <t>MK Seguros</t>
  </si>
  <si>
    <t>Provider of surety insurance services. The company provides life, car, home and real estate insurance and business insurance management with the help of a specialized technical team, thereby enabling clients to benefit from necessary support in risk management.</t>
  </si>
  <si>
    <t>Grupo Casanueva Perez</t>
  </si>
  <si>
    <t>33960-25T</t>
  </si>
  <si>
    <t>e.bricks Ventures</t>
  </si>
  <si>
    <t>29660-41T</t>
  </si>
  <si>
    <t>Lancaster Park, Perpetual (ASX: PPT)</t>
  </si>
  <si>
    <t>134455-15T</t>
  </si>
  <si>
    <t>Eletron</t>
  </si>
  <si>
    <t>Operator of a holding company based in Rio de Janeiro, Brazil. The company participates in real estate developments and investment funds.</t>
  </si>
  <si>
    <t>89902-00T</t>
  </si>
  <si>
    <t>Evrecy Participações</t>
  </si>
  <si>
    <t>Provider electricity transmission services. The company's electricity transmission services operate as a concessionaire of electric services, focuses primarily on the transmission of electric power, including related activities such as planning, infrastructure execution, operation and maintenance of lines and transmission facilities.</t>
  </si>
  <si>
    <t>67154-05T</t>
  </si>
  <si>
    <t>90174-88T</t>
  </si>
  <si>
    <t>Ypióca Bebidas</t>
  </si>
  <si>
    <t>Producer of cachaça, a distilled spirit made from fermented sugarcane juice. The company operates a liquor distillery, a bottling plant and a warehouse to produce Ypióca, a cachaça brand.</t>
  </si>
  <si>
    <t>Diageo (LON: DGE)</t>
  </si>
  <si>
    <t>46967-86T</t>
  </si>
  <si>
    <t>90106-75T</t>
  </si>
  <si>
    <t>Sao Camilo Mineradora</t>
  </si>
  <si>
    <t>Provider of exploration and mining services.</t>
  </si>
  <si>
    <t>Alternative Investment (PINX: AIKO)(Bing HE)</t>
  </si>
  <si>
    <t>60496-21T</t>
  </si>
  <si>
    <t>Globalweb(Cristina Boner)</t>
  </si>
  <si>
    <t>30316-06T</t>
  </si>
  <si>
    <t>One Equity Partners(Veronica Serra)</t>
  </si>
  <si>
    <t>89788-06T</t>
  </si>
  <si>
    <t>Aliança Administradora de Benefícios de Saúde</t>
  </si>
  <si>
    <t>Provider of health benefits administration services catering to public and private organizations. The company offers medical and dental assistance plans, insurance claim settlement, risk management and financial consultancy services, thereby enabling its clients to get in-depth technical and regulatory support.</t>
  </si>
  <si>
    <t>29660-14T</t>
  </si>
  <si>
    <t>211598-65T</t>
  </si>
  <si>
    <t>Topaz (Financial Software)</t>
  </si>
  <si>
    <t>Developer of a full banking platform designed to develop and drive the evolution of the digital transformation of financial businesses. The company's platform offers features such as core banking to open finance, including digital channels, combating and preventing fraud, payments and money laundering, enabling clients to evolve their businesses with scalability and growth by optimizing the launch of products and services with agility, flexibility and speed, reducing IT and operations costs.</t>
  </si>
  <si>
    <t>97586-56T</t>
  </si>
  <si>
    <t>Saab (STO: SAAB B)(Dan Jangblad)</t>
  </si>
  <si>
    <t>72030-16T</t>
  </si>
  <si>
    <t>DPG Plan Artelia</t>
  </si>
  <si>
    <t>Provider of engineering and project management services. The company specialized in the fields of building construction and industrial facilities, including life sciences, water infrastructure and the environment.</t>
  </si>
  <si>
    <t>Artelia</t>
  </si>
  <si>
    <t>21898-36T</t>
  </si>
  <si>
    <t>Insight Partners (New York)(Lawrence Handen)</t>
  </si>
  <si>
    <t>221309-47T</t>
  </si>
  <si>
    <t>BB Renda de Papeis Imobiliarios Fundo de Investimento Imobiliario - FII (BVMF: RNDP11)</t>
  </si>
  <si>
    <t>BB Renda Papeis Imobiliarios Fundo Invest Imobiliario FII operates as a real estate investment fund. The fund is managed by BV Distribuidora de Titulos e Valores Mobiliarios S.A.</t>
  </si>
  <si>
    <t>72597-97T</t>
  </si>
  <si>
    <t>CADAM</t>
  </si>
  <si>
    <t>Producer of fine-particle kaolin. The company specializes in the production and export of kaolin, a type of clay used in production of ceramics, refractory bricks, pigments and coatings. It operates a mine in the Amazon region of Brazil and also has offices and warehouses in Antwerp, Belgium and Shanghai, China.</t>
  </si>
  <si>
    <t>Imin Partners(Tom Chambers), KaMin(Rankin Hobbs)</t>
  </si>
  <si>
    <t>74270-62T</t>
  </si>
  <si>
    <t>89886-97T</t>
  </si>
  <si>
    <t>Elucid Solutions</t>
  </si>
  <si>
    <t>Provider of information technology consulting services. The company's information technology consulting services include development, sale, implementation, integration and support services, enabling electric sector to reduce cost and improve their productivity.</t>
  </si>
  <si>
    <t>Sonda (SGO: SONDA)(Raúl Olea)</t>
  </si>
  <si>
    <t>71832-34T</t>
  </si>
  <si>
    <t>Mazzaferro Group (Nylon Polymer Business)</t>
  </si>
  <si>
    <t>Manufacturer of nylon polymers in Brazil. The division manufactures nylon (or polyamide) polymers. Its polymerization facility produces approximately 20,000 tons annually. It is located at Sao Bernardo do Campo, in the metropolitan area of Sao Paulo.</t>
  </si>
  <si>
    <t>BASF (ETR: BAS)(Wolfgang Hapke)</t>
  </si>
  <si>
    <t>91830-43T</t>
  </si>
  <si>
    <t>Natvita</t>
  </si>
  <si>
    <t>Producer of pulps of tropical fruits intended to offer clarified juices ready for consumption. The company's pulps of tropical fruits are available in conventional and organic form that preserves the functional characteristics and flavor, enabling the beverage and food industry to offer authentic products, with a pleasant experience for each unit consumed.</t>
  </si>
  <si>
    <t>96509-62T</t>
  </si>
  <si>
    <t>B.O. Packaging (thermoforming unit)</t>
  </si>
  <si>
    <t>67142-80T</t>
  </si>
  <si>
    <t>Crinale</t>
  </si>
  <si>
    <t>Provider of housing development services based in Mococa, Brazil. The company specializes in the acquisition of land, construction of houses and sale of homes to low-income customers financed by a government-funded housing program, thereby providing the low-income population with fully developed and constructed low-cost homes.</t>
  </si>
  <si>
    <t>Bamboo Capital Partners(Natalia Mouhapé)</t>
  </si>
  <si>
    <t>55865-44T</t>
  </si>
  <si>
    <t>Fábio Póvoa(Fábio Póvoa), Harpia Ventures, Helisson Lemos(Helisson Lemos), RIGI Ventures, Wayra</t>
  </si>
  <si>
    <t>51406-66T</t>
  </si>
  <si>
    <t>FilaExpress</t>
  </si>
  <si>
    <t>Provider of a line management system for enterprises. The company offers a queue management tool for stores enabling them to manage virtual waiting list.</t>
  </si>
  <si>
    <t>MIT NextLab, Wayra</t>
  </si>
  <si>
    <t>72091-99T</t>
  </si>
  <si>
    <t>Itatex Indústria e Comércio de Minerais</t>
  </si>
  <si>
    <t>Producer of kaolin substance. The company produces and sells kaolin, elastomers, thermoplastic and coatings for paint, polymer and rubber markets.</t>
  </si>
  <si>
    <t>46777-69T</t>
  </si>
  <si>
    <t>Xangô</t>
  </si>
  <si>
    <t>50795-38T</t>
  </si>
  <si>
    <t>44559-55T</t>
  </si>
  <si>
    <t>Santa Luzia Assistência Médica</t>
  </si>
  <si>
    <t>Provider of medical insurance services catering to individuals and organizations. The company provides employee health plans, individual and corporate plans, telehealth services and other medical insurance health plans.</t>
  </si>
  <si>
    <t>51631-03T</t>
  </si>
  <si>
    <t>55708-75T</t>
  </si>
  <si>
    <t>52052-68T</t>
  </si>
  <si>
    <t>Youca.St</t>
  </si>
  <si>
    <t>Operator of a collaborative news agency. The company supplies the media with content generated by amateur videographers through a mobile application.</t>
  </si>
  <si>
    <t>90708-04T</t>
  </si>
  <si>
    <t>Stronghold Brasil Mineração</t>
  </si>
  <si>
    <t>Operator of gold exploration company. The company holds a 100% interest in the Tucuma gold project (the "Tucuma Property") which consists of 6 mineral concessions covering a total of 11,456.31 hectares located in the Carajas metallogenic province in the state of Para, Brazil.</t>
  </si>
  <si>
    <t>Soma Gold (TSX: SOMA)</t>
  </si>
  <si>
    <t>227451-70T</t>
  </si>
  <si>
    <t>Unicasa Ind Moveis (BVMF: UCAS3)</t>
  </si>
  <si>
    <t>Unicasa Ind Moveis SA is a Brazil-based company engaged in the production and trade of furniture. The company is active in the manufacture, sale, import and export of furniture made of wood, iron, steel, and aluminium. It is involved in the production of furniture made of medium-density fiberboard and medium density particleboard. Additionally, the firm sells accessories and decoration items. Its product portfolio includes a range of furnishing solutions, including kitchens, bedrooms, closets, home theatres, laundries, and toilets, as well as furniture equipment for offices and children's rooms. Unicasa has a network of stores in Brazil and abroad, which sell its products under the brand names Dell Anno, Favorita, New and Casa Brasileira.</t>
  </si>
  <si>
    <t>23813-02T</t>
  </si>
  <si>
    <t>90469-45T</t>
  </si>
  <si>
    <t>Gold Aura do Brasil Mineração</t>
  </si>
  <si>
    <t>Operator of a mineral mining and exploration company. The company's mineral mining and exploration includes metals such as gold.</t>
  </si>
  <si>
    <t>Kenai Resources(Daniel Kunz)</t>
  </si>
  <si>
    <t>75064-15T</t>
  </si>
  <si>
    <t>Outlet Premium</t>
  </si>
  <si>
    <t>Operator of outlet malls based in Sao Paulo, Brazil. The company operates malls in São Paulo, Brasília, Salvador and Rio de Janeiro that feature different brands in the fashion, food, optics and home utility segments and offers public service facilities such as baby changing and nursing rooms, motorized wheelchair lending and free parking, enabling consumers to shop for a wide range of products at reasonable prices with complete security and comfort.</t>
  </si>
  <si>
    <t>BRBI BR Partners (BVMF: BRBI11)(Gregory Reider), General Shopping e Outlets do Brasil (BVMF: GSHP3)</t>
  </si>
  <si>
    <t>84853-27T</t>
  </si>
  <si>
    <t>224082-55T</t>
  </si>
  <si>
    <t>Fundo de Investimento Imobiliario Rio Negro - FII (BVMF: RNGO11)</t>
  </si>
  <si>
    <t>Fundo Invest Imobiliario RIO Negro FII is a real estate investment trust.</t>
  </si>
  <si>
    <t>139522-96T</t>
  </si>
  <si>
    <t>Servitec (Multi-line Mining)</t>
  </si>
  <si>
    <t>Provider of mineral drilling services based in Crixás, Brazil. The company specializes in providing diamond and reverse circulation drilling services for major and junior mining companies in Brazil.</t>
  </si>
  <si>
    <t>Foraco International (TSE: FAR)</t>
  </si>
  <si>
    <t>76957-48T</t>
  </si>
  <si>
    <t>Internet Group do Brasil</t>
  </si>
  <si>
    <t>Provider of internet services intended to provide web-based information portal based in Sao Paulo, Brazil. The company's internet services include dial-up and broadband internet services, enabling users to get news and highlights on economy, sports, music, celebrities, technology and fashion.</t>
  </si>
  <si>
    <t>Ongoing Strategy Investments</t>
  </si>
  <si>
    <t>21296-35T</t>
  </si>
  <si>
    <t>CEVIU.com.br</t>
  </si>
  <si>
    <t>Provider of internet portal focused on the employability of professionals in information technology.</t>
  </si>
  <si>
    <t>CareerBuilder</t>
  </si>
  <si>
    <t>89969-95T</t>
  </si>
  <si>
    <t>Kalassa Corretora</t>
  </si>
  <si>
    <t>Provider of insurance brokerage, business consultancy and business development services based in Sao Paulo, Brazil. The company provides traditional insurance brokerage such as health insurance, dental insurance and other individual insurance, serves as a counsel to clients and helps businesses to develop and implement new products for the insurance market.</t>
  </si>
  <si>
    <t>90711-55T</t>
  </si>
  <si>
    <t>System Mud Industria e Comercio</t>
  </si>
  <si>
    <t>Manufacturer of biodegradable fluids. The company's biodegradable fluids are used for drilling and maintenance of wellshydrogeology, mining, non-destructive technologies, oil and gas, geotechnics, sanitation and automotive cleaning, enabling the commercial sectors to access a wide range of product for their operation under one roof.</t>
  </si>
  <si>
    <t>Imdex (ASX: IMD)</t>
  </si>
  <si>
    <t>92288-98T</t>
  </si>
  <si>
    <t>Paladin Realty Partners(James Worms)</t>
  </si>
  <si>
    <t>22052-44T</t>
  </si>
  <si>
    <t>BSM Engenharia</t>
  </si>
  <si>
    <t>Provider of heavy-duty equipment rental services intended for the oil and gas, infrastructure and mining industries. The company offers equipment leasing, cargo handling, port operations, logistics support and specific services for lifting special loads, enabling access to specialized logistics management equipment at a fair price.</t>
  </si>
  <si>
    <t>ACON Investments(Andre Bhatia), JZ Capital Partners (LON: JZCP)</t>
  </si>
  <si>
    <t>90197-47T</t>
  </si>
  <si>
    <t>Environ Cientifica</t>
  </si>
  <si>
    <t>Operator of occupational health and industrial hygiene services. The company's occupational health and industrial hygiene services include testing and studying of samples for water, waste, atmospheric and indoor air, enabling the commercial sectors to keep their environment clean.</t>
  </si>
  <si>
    <t>SGS (SWX: SGSN)(Jean-Luc de Buman)</t>
  </si>
  <si>
    <t>75022-84T</t>
  </si>
  <si>
    <t>Poit Energia</t>
  </si>
  <si>
    <t>Provider of power rental services. The company's power rental services offer generators, lighting towers, containers and loadbanks, as well as accessories such as cables, transformers and switchgear.</t>
  </si>
  <si>
    <t>Aggreko(Rupert Soames)</t>
  </si>
  <si>
    <t>21216-25T</t>
  </si>
  <si>
    <t>Vision Capital(Christophe Browne)</t>
  </si>
  <si>
    <t>78454-81T</t>
  </si>
  <si>
    <t>Eurofins Alac</t>
  </si>
  <si>
    <t>Provider of food and environmental testing services. The company offers physicochemical and microbiological analyses for food, feed and environment in Brazil. It also offers laboratory-based testing services for water, wastewater and human toxicology.</t>
  </si>
  <si>
    <t>225085-69T</t>
  </si>
  <si>
    <t>Maxi Renda Fundo Invest Imobiliario FII (BVMF: MXRF11)</t>
  </si>
  <si>
    <t>Maxi Renda Fundo Invest Imobiliario FII, formerly Maxi Renda Fundo de Investimento Imobiliario is a real estate investment fund.</t>
  </si>
  <si>
    <t>225425-53T</t>
  </si>
  <si>
    <t>Newport Renda Urbana FII (BVMF: NEWU11)</t>
  </si>
  <si>
    <t>Newport Renda Urbana Fundo Investimento Imobiliario, formerly Newport Renda Urbana FII is a real estate investment company. It invests in real estate funds.</t>
  </si>
  <si>
    <t>89866-18T</t>
  </si>
  <si>
    <t>Delphia Produtos</t>
  </si>
  <si>
    <t>Manufacturer of automotive ignition wire harnesses. The company manufactures advanced technology harnesses for cables and also includes automotive parts such as generic products, ignition cable terminals, ignition cables, resistive boots, resistors, supressive boots, using copper and steel metals.</t>
  </si>
  <si>
    <t>General Cable(Gregory Kenny)</t>
  </si>
  <si>
    <t>72034-84T</t>
  </si>
  <si>
    <t>Expresso.Coffee</t>
  </si>
  <si>
    <t>Retailer of espresso coffee. The company specializes in selling espresso coffee, serving the out-of-home small business, vending and bakeries segments in Brazil.</t>
  </si>
  <si>
    <t>Sara Lee(Michiel Herkemij)</t>
  </si>
  <si>
    <t>70519-51T</t>
  </si>
  <si>
    <t>FircoSoft Brazil Consultoria e Serviços de Informática</t>
  </si>
  <si>
    <t>Provider of business software and services. The company is engaged in offering software such as MTNotify and serves financial institutions and other users of Society for Worldwide Interbank Financial Telecommunications (SWIFT), which helps convert SWIFT messages in electronic archive.</t>
  </si>
  <si>
    <t>FircoSoft, Idinvest Partners(François Lacoste), Keensight Capital(Jérôme Pujol)</t>
  </si>
  <si>
    <t>86194-99T</t>
  </si>
  <si>
    <t>Metrics Sistemas de Informação Serviços e Comércio</t>
  </si>
  <si>
    <t>Provider of enterprise resource planning management information systems. The company's enterprise resource planning management information systems enables corporate clients primarily in the printing and packaging industries in Latin America to use a system of integrated applications and manage the daily operations alongside automating several back office functions related to technology, services and human resources.</t>
  </si>
  <si>
    <t>Electronics For Imaging(Guy Gecht)</t>
  </si>
  <si>
    <t>21187-63T</t>
  </si>
  <si>
    <t>Softcorp</t>
  </si>
  <si>
    <t>Provider of information technology and communications products for resale.</t>
  </si>
  <si>
    <t>Techresult</t>
  </si>
  <si>
    <t>21153-70T</t>
  </si>
  <si>
    <t>Catalyst (Consulting Services (B2B)), Endeavor Catalyst, Intel Capital</t>
  </si>
  <si>
    <t>226062-64T</t>
  </si>
  <si>
    <t>Pixit Soluções em Vídeo</t>
  </si>
  <si>
    <t>Developer of innovative digital solutions for communication and marketing focused on creating immersive and interactive solutions. The company's activities include the creation, production, compression and hosting of videos for Web and Mobile applications.</t>
  </si>
  <si>
    <t>Ampm Worldwide</t>
  </si>
  <si>
    <t>226416-79T</t>
  </si>
  <si>
    <t>Renda de Escritorios Fundo de Investimento Imobiiliario - FII (BVMF: RDES11)</t>
  </si>
  <si>
    <t>Renda de Escritorios Fundo de Investimento Imobiiliario - FII is a real estate investment trust.</t>
  </si>
  <si>
    <t>71807-05T</t>
  </si>
  <si>
    <t>Prysmian Optical Fibre Brasil</t>
  </si>
  <si>
    <t>Developer of optical fibers. The company designs, develops and manufactures optical fiber cables for the data networks and the telecommunications industry.</t>
  </si>
  <si>
    <t>Prysmian (MIL: PRY)(Valerio Battista)</t>
  </si>
  <si>
    <t>68318-92T</t>
  </si>
  <si>
    <t>Telcon</t>
  </si>
  <si>
    <t>Manufacturer of cables. The company manufactures optical cables, metallic cables, data transfer cables and wires for telecommunication industry.</t>
  </si>
  <si>
    <t>Prysmian (MIL: PRY)(Luca Caserta)</t>
  </si>
  <si>
    <t>54580-06T</t>
  </si>
  <si>
    <t>Bellman Nutriçao Animal</t>
  </si>
  <si>
    <t>Producer of animal food products. The company manufactures and distributes protein, mineral, ready-to-use and urea supplement for cows, sheep and other domestic cattles.</t>
  </si>
  <si>
    <t>Nutreco(Jerry Vergeer)</t>
  </si>
  <si>
    <t>221242-69T</t>
  </si>
  <si>
    <t>Atico Renda Fundo de Investimento Imobiliario - FII (BVMF: ATCR11)</t>
  </si>
  <si>
    <t>HAZ Fundo DE Investimento Imobiliario is a real estate investment fund.</t>
  </si>
  <si>
    <t>33063-22T</t>
  </si>
  <si>
    <t>Bolt Ventures</t>
  </si>
  <si>
    <t>21792-61T</t>
  </si>
  <si>
    <t>65186-92T</t>
  </si>
  <si>
    <t>21024-01T</t>
  </si>
  <si>
    <t>Equity International(Gary Garrabrant)</t>
  </si>
  <si>
    <t>29926-72T</t>
  </si>
  <si>
    <t>72128-44T</t>
  </si>
  <si>
    <t>Turotest</t>
  </si>
  <si>
    <t>Manufacturer of instrument panels catering to the Brazilian agriculture and industrial markets. The company designs and manufactures instrument panels, gauges and senders including ammeters, hour meters, manometers, function flags and accessories.</t>
  </si>
  <si>
    <t>Enerpac Tool Group (NYS: EPAC)(Bill Blackmore)</t>
  </si>
  <si>
    <t>32646-16T</t>
  </si>
  <si>
    <t>General Atlantic(Patricia Hedley)</t>
  </si>
  <si>
    <t>57524-95T</t>
  </si>
  <si>
    <t>O Entregador</t>
  </si>
  <si>
    <t>Operator of an online food ordering platform intended to help businesses fulfill home delivery. The company is currently operating in Stealth mode.</t>
  </si>
  <si>
    <t>86821-66T</t>
  </si>
  <si>
    <t>Mitsubishi (TKS: 8058), Tchibo</t>
  </si>
  <si>
    <t>20901-07T</t>
  </si>
  <si>
    <t>Insight Partners (New York)(Jeffrey Lieberman)</t>
  </si>
  <si>
    <t>280980-64T</t>
  </si>
  <si>
    <t>Pomi Frutas</t>
  </si>
  <si>
    <t>Producer of natural and processed apples based in Fraiburgo, Brazil. The company is primarily involved in the production and sale of apples and offers varieties including gala and Fuji and specializes across Brazil and international market under brand names such as Star apples, BR apples, Lais, and PomiFrai.</t>
  </si>
  <si>
    <t>89787-97T</t>
  </si>
  <si>
    <t>Amplus Mineraçao</t>
  </si>
  <si>
    <t>Provider of mineral exploration services. The company's mineral exploration services is engaged in development, extraction, production exploration of iron ore.</t>
  </si>
  <si>
    <t>NMDC (BOM: 526371)</t>
  </si>
  <si>
    <t>65711-89T</t>
  </si>
  <si>
    <t>Kohler(Herbert Kohler)</t>
  </si>
  <si>
    <t>90177-49T</t>
  </si>
  <si>
    <t>ZPS MW Corretora de Seguros</t>
  </si>
  <si>
    <t>Provider of insurance consulting services in Brazil. The company services both individual and corporate insurance needs, seeking to minimize risk through expert analysis and advice.</t>
  </si>
  <si>
    <t>223303-06T</t>
  </si>
  <si>
    <t>CSHG Brasil Shopping FII (BVMF: HGBS11)</t>
  </si>
  <si>
    <t>Hedge Brasil Shopping Fundo DE Investimento Imobiliario is a Brazilian real estate investment fund with objective to obtain capital appreciation by acquisition of interests in shopping centers. The objective of the Fund is the acquisition for commercial exploitation of commercial real estate projects, which are duly built or are subject to renovations, improvements or expansions, through the acquisition of portions and/or the entirety of real estate projects, directly or indirectly, through the assets provided for in the Regulation, for subsequent sale, rental or leasing, including assets and rights related to them.</t>
  </si>
  <si>
    <t>54613-18T</t>
  </si>
  <si>
    <t>Nutreco Fri-Ribe Nutrição Animal</t>
  </si>
  <si>
    <t>Manufacturer of animal feed. The company manufactures and distributes animal nutrition supplement, fish feeds and processed animal food for fishes, cattle, horse, pigs, sheep and dogs.</t>
  </si>
  <si>
    <t>24539-59T</t>
  </si>
  <si>
    <t>Rio Bravo Investimentos(Luiz Medeiros)</t>
  </si>
  <si>
    <t>210112-75T</t>
  </si>
  <si>
    <t>Pars Produtos de Processamento de Dados</t>
  </si>
  <si>
    <t>Provider of software distribution services intended to offer technology solutions to the distribution market. The company specializes in the commercialization of software and hardware solutions.</t>
  </si>
  <si>
    <t>71886-88T</t>
  </si>
  <si>
    <t>Econ Indústria e Comercio de Produtos de Higiene e Limpeza</t>
  </si>
  <si>
    <t>Producer and provider of cleaning and sanitizing products. The company provides the food service industry in Brazil with sanitizers and disinfectants.</t>
  </si>
  <si>
    <t>Ecolab (NYS: ECL)(Douglas Baker)</t>
  </si>
  <si>
    <t>73040-23T</t>
  </si>
  <si>
    <t>25940-89T</t>
  </si>
  <si>
    <t>90141-13T</t>
  </si>
  <si>
    <t>Transbank Segurança e Transporte de Valores</t>
  </si>
  <si>
    <t>Provider of transport of securities and management of cash services.</t>
  </si>
  <si>
    <t>253772-83T</t>
  </si>
  <si>
    <t>70325-29T</t>
  </si>
  <si>
    <t>Aplix(Sandrine Pelletier), Crédit Mutuel Equity</t>
  </si>
  <si>
    <t>51465-25T</t>
  </si>
  <si>
    <t>Joyfu</t>
  </si>
  <si>
    <t>Operator of a social gifting e-commerce platform. The company provides an Internet retail site which enables users to purchase and exchange gift products.</t>
  </si>
  <si>
    <t>66154-51T</t>
  </si>
  <si>
    <t>MEK Engenharia e Consultoria</t>
  </si>
  <si>
    <t>Provider of engineering consultancy services in power sector. The company provides designing and consultancy services for construction of hydro power stations, wind power projects and other energy related projects.</t>
  </si>
  <si>
    <t>Hatch (Mississauga)(John Pearson)</t>
  </si>
  <si>
    <t>20766-16T</t>
  </si>
  <si>
    <t>52352-20T</t>
  </si>
  <si>
    <t>72164-53T</t>
  </si>
  <si>
    <t>Utilfertil by Agrium</t>
  </si>
  <si>
    <t>Distributor of agricultural products. The company is engaged in distributing fertilizers, nutrients, adjuvant and pesticides. It also offers soil sampling and bulk deliveries.</t>
  </si>
  <si>
    <t>Nutrien (Canada) Holdings</t>
  </si>
  <si>
    <t>24554-62T</t>
  </si>
  <si>
    <t>Connect Parts</t>
  </si>
  <si>
    <t>Operator of an online store intended to sell automotive parts and accessories. The company offers domestic and imported auto parts and accessories with competitive pricing, as well as gives promotions and discounts on selected products, enabling customers to avail of products at a reasonable rate.</t>
  </si>
  <si>
    <t>Atomico(Niklas Zennström)</t>
  </si>
  <si>
    <t>32093-65T</t>
  </si>
  <si>
    <t>Equity International(Gary Garrabrant), GP Investments (LUX: GPINA)(Carlos Medeiros)</t>
  </si>
  <si>
    <t>90060-58T</t>
  </si>
  <si>
    <t>Miranda Imobiliária</t>
  </si>
  <si>
    <t>Provider of real estate services. The company's real estate services include construction, buying, selling and renting of homes in Brazil, enabling customers to buy and sell homes at competitive prices.</t>
  </si>
  <si>
    <t>86200-57T</t>
  </si>
  <si>
    <t>89910-19T</t>
  </si>
  <si>
    <t>DANVIA 58</t>
  </si>
  <si>
    <t>117168-94T</t>
  </si>
  <si>
    <t>BVP S.A.</t>
  </si>
  <si>
    <t>Operator of an investment holding company in Brazil. The company's activities include owning and operating a portfolio of wind power projects across Brazil.</t>
  </si>
  <si>
    <t>89951-14T</t>
  </si>
  <si>
    <t>Innotec do Brasil</t>
  </si>
  <si>
    <t>Developer of engineering software for integrated plant management. The company's Comos engineering system is a tool capable of meeting the needs of an industrial plant or machinery throughout its life cycle, from planning, construction, operation, maintenance, modifications, extensions, until its decommissioning.</t>
  </si>
  <si>
    <t>Siemens (ETR: SIE)(Eckard Eberle)</t>
  </si>
  <si>
    <t>111571-12T</t>
  </si>
  <si>
    <t>BMT Scientific Marine Services(Tom Johnson)</t>
  </si>
  <si>
    <t>71914-24T</t>
  </si>
  <si>
    <t>Visiant Do Brasil Servicos De Informatica</t>
  </si>
  <si>
    <t>Provider of information technology services. The company specializes in advanced IT security services and serves the Brazilian business sector from its offices in San Paolo and Rio de Janeiro.</t>
  </si>
  <si>
    <t>Exprivia(Domenico Favuzzi)</t>
  </si>
  <si>
    <t>20704-06T</t>
  </si>
  <si>
    <t>Acofran Acos e Metais</t>
  </si>
  <si>
    <t>Provider of metals and other materials in Brazil. The company offers carbon steel, stainless steel, alloy steels and aluminum, nickel, and red metals in various shapes, including coils, sheets, rounds, hexagons, square and flat bars, plates, structurals and tubing.</t>
  </si>
  <si>
    <t>NexPhase Capital, Platinum Equity(Tom Gores), Ryerson (NYS: RYI)</t>
  </si>
  <si>
    <t>52585-30T</t>
  </si>
  <si>
    <t>Supremo Secil Cimentos</t>
  </si>
  <si>
    <t>Manufacturer of cement and concrete based in Pomerode, Brazil. The company offers composite portland cement, portland pozzolanic cement, high-strength cement, conventional concrete, pumpable concrete and specialized concrete.</t>
  </si>
  <si>
    <t>Sociedade de Investimento e Gestão (LIS: SEM)</t>
  </si>
  <si>
    <t>20663-38T</t>
  </si>
  <si>
    <t>20661-67T</t>
  </si>
  <si>
    <t>Fashion Me Portal de Internet</t>
  </si>
  <si>
    <t>Provider of social e-commerce platform. The company provides destination for fun and intelligent fashion conversations.</t>
  </si>
  <si>
    <t>500 Global, Intel Capital</t>
  </si>
  <si>
    <t>71919-73T</t>
  </si>
  <si>
    <t>Takarada</t>
  </si>
  <si>
    <t>Manufacturer of hydraulic components. The company produces and distributes auto parts such as power take-offs and other hydraulic components for industrial vehicles.</t>
  </si>
  <si>
    <t>84515-77T</t>
  </si>
  <si>
    <t>Zuppa (Social/Platform Software)</t>
  </si>
  <si>
    <t>Operator of an online reservation platform. The company's online reservation platform provides free and instant table reservation and also allows for searching restaurants according to preferences such as location, price and type of cuisine, maps, available times and information about each restaurant, enabling customers to avail restaurant booking conveniently and quickly.</t>
  </si>
  <si>
    <t>Peixe Urbano(Julio Vasconcellos)</t>
  </si>
  <si>
    <t>99020-26T</t>
  </si>
  <si>
    <t>Huapont Life Sciences Company (SHE: 002004)</t>
  </si>
  <si>
    <t>71954-47T</t>
  </si>
  <si>
    <t>Mylner</t>
  </si>
  <si>
    <t>Producer of flavor substances. The company develops and markets flavoring chemical, focusing mainly on sweet flavors for beverages and baked goods and natural flavor products.</t>
  </si>
  <si>
    <t>89807-86T</t>
  </si>
  <si>
    <t>Bamberg Planejamento e Empreendimento Imobiliários</t>
  </si>
  <si>
    <t>Provider of real estate services. The company's real estate services include developing both commercial and residential properties and serving as real estate brokers.</t>
  </si>
  <si>
    <t>55359-28T</t>
  </si>
  <si>
    <t>224131-15T</t>
  </si>
  <si>
    <t>Fundo de Investimento BM Brascan Lajes Corporativas - FII (BVMF: BMLC11)</t>
  </si>
  <si>
    <t>Fundo de Investimento BM Brascan Lajes Corporativas - FII is a real estate investment trust. The Fund aims to invest in real estate developments, through the acquisition and exploitation of commercial properties, ready or under construction, land, parking spaces or other types of properties where commercial enterprises can be developed.</t>
  </si>
  <si>
    <t>110886-40T</t>
  </si>
  <si>
    <t>89930-80T</t>
  </si>
  <si>
    <t>Light Energia</t>
  </si>
  <si>
    <t>92254-78T</t>
  </si>
  <si>
    <t>Cidade Internet</t>
  </si>
  <si>
    <t>Operator of internet portals in Brazil. The company's portal provides information, entertainment and a variety of services and offers numerous advantages for advertisers to communicate efficiently and differentiated with their target audience.</t>
  </si>
  <si>
    <t>Populis Ireland(Luca Ascani)</t>
  </si>
  <si>
    <t>71729-29T</t>
  </si>
  <si>
    <t>POS Integrated Solutions</t>
  </si>
  <si>
    <t>Provider of software services for hospitality sectors. The company offers operational management services, taxation supports and sales point management to food and hospitality sector.</t>
  </si>
  <si>
    <t>71768-62T</t>
  </si>
  <si>
    <t>Radiant Distribution Solutions</t>
  </si>
  <si>
    <t>Provider of hardware distribution services. The company distributes hardware at point of service to its customers in Sao Paulo, Brazil.</t>
  </si>
  <si>
    <t>NCR Voyix (NYS: VYX)(Jessica Bryant)</t>
  </si>
  <si>
    <t>90691-12T</t>
  </si>
  <si>
    <t>Simpar Concessionárias</t>
  </si>
  <si>
    <t>Operator of automobile dealer agency. The company has a network of new and used cars, buses and trucks.</t>
  </si>
  <si>
    <t>90132-04T</t>
  </si>
  <si>
    <t>Tgl Consultoria Administracao E Corretagem De Seguros</t>
  </si>
  <si>
    <t>Provider of insurance consulting and brokerage services. The company's insurance consulting and brokerage services include individual pension plans, retirement plans, investment consulting and coverage planning services, enabling clients to ensure the financial security of their family and to plan a reserve for their retirement.</t>
  </si>
  <si>
    <t>55189-18T</t>
  </si>
  <si>
    <t>89820-64T</t>
  </si>
  <si>
    <t>Biológica Sistemas</t>
  </si>
  <si>
    <t>Developer biological data collection systems intended to create components to be used by the business and integration cores. The company's biological data collection systems include a fingerprint scanner and criminal identification scanner, which are used to capture photo, signature and fingerprint of a document, besides allowing the scanning of documents attachments, generates images WSQ, JPG and TIF encapsulated in XML files, thereby enabling the corporate sector to keep a proper record of its employees through biological data.</t>
  </si>
  <si>
    <t>Itautec(Wilton Ruas)</t>
  </si>
  <si>
    <t>65707-48T</t>
  </si>
  <si>
    <t>Battistella Distribuidora e Industria de Peças e Equipamentos</t>
  </si>
  <si>
    <t>Manufacturer of generator sets. The company is engaged in manufacturing, marketing and servicing of generator sets.</t>
  </si>
  <si>
    <t>SDMo do Brasil</t>
  </si>
  <si>
    <t>96668-02T</t>
  </si>
  <si>
    <t>Economize No Seguro Administradora E Corretora De Seguros</t>
  </si>
  <si>
    <t>Provider of web-traded insurance policy services. The company's insurance policy services include car insurance, home insurance, dental insurance, phone insurance, travel insurance, life insurance and business insurance, enabling their clients to access a wide range of online insurance according to their needs.</t>
  </si>
  <si>
    <t>213471-46T</t>
  </si>
  <si>
    <t>Acessozero</t>
  </si>
  <si>
    <t>Developer of a classified website intended to provide personalized online advertising services. The company's platform provides help in searching for places, services and facilities in respective cities enabling small and medium businesses to gain visibility.</t>
  </si>
  <si>
    <t>Apontador Busca Local</t>
  </si>
  <si>
    <t>50656-15T</t>
  </si>
  <si>
    <t>Atacatto Fashion Marketplace</t>
  </si>
  <si>
    <t>Provider of an online fashion wholesale marketplace in Brazil. The company offers brands and retail a marketplace space, specifically tailored to their needs and engineered to the challenges of the Brazilian market.</t>
  </si>
  <si>
    <t>29207-08T</t>
  </si>
  <si>
    <t>40274-20T</t>
  </si>
  <si>
    <t>90035-11T</t>
  </si>
  <si>
    <t>LTD Transportes</t>
  </si>
  <si>
    <t>Provider of product distribution service. The company's product distribution service include freight and logistics services, enabling e-commerce sector to deliver products within the stipulated period of time.</t>
  </si>
  <si>
    <t>Tegma Gestão Logística (BVMF: TGMA3)(Gennaro Oddone)</t>
  </si>
  <si>
    <t>63698-68T</t>
  </si>
  <si>
    <t>MobWise</t>
  </si>
  <si>
    <t>Provider of a traffic information application designed to revolutionize the current model of urban mobility. The company's TrafficWise platform offers a new experience of urban mobility, transportation, road systems, logistics and infrastructure, generated from vehicle data collection, generation and management of statistics and real-time traffic information and informs the users about the condition of the traffic and suggests the best route to reach a destination.</t>
  </si>
  <si>
    <t>Inova Ventures Participações(Fabricio Bloisi)</t>
  </si>
  <si>
    <t>90199-90T</t>
  </si>
  <si>
    <t>Bausch Health Companies (TSE: BHC)(Michael Pearson)</t>
  </si>
  <si>
    <t>67111-30T</t>
  </si>
  <si>
    <t>Sistema de Informacao do Investidor</t>
  </si>
  <si>
    <t>Developer of a business software for the financial market. The company provides financial consultancy and information to assist investors in decision-making, tax calculation and monitoring investments.</t>
  </si>
  <si>
    <t>45561-43T</t>
  </si>
  <si>
    <t>Alberta Investment Management, Sheares Investments, Temasek Holdings</t>
  </si>
  <si>
    <t>21743-20T</t>
  </si>
  <si>
    <t>Veloce Logistica</t>
  </si>
  <si>
    <t>Provider of transportation services. The company offers internal movement, storage management, control, packaging, reverse logistics, domestic and international transport and international documentation.</t>
  </si>
  <si>
    <t>70315-93T</t>
  </si>
  <si>
    <t>WillScot (NAS: WSC)(Duncan Gillis)</t>
  </si>
  <si>
    <t>122446-09T</t>
  </si>
  <si>
    <t>Net Servicos De Comunicacao</t>
  </si>
  <si>
    <t>Provider of pay-television &amp; Internet services based in Sao Paulo, Brazil. A multi-service company, which is engaged in the pay-television and broadband Internet industries offering customers with services such as cable tv, video on demand and broadband internet services.</t>
  </si>
  <si>
    <t>Claro Enterprise Solutions</t>
  </si>
  <si>
    <t>80306-65T</t>
  </si>
  <si>
    <t>89929-27T</t>
  </si>
  <si>
    <t>Grupo Solare</t>
  </si>
  <si>
    <t>Operator of a hotel management company intended to manage 7 hotels in Sao Luis, Brazil. The company's activities include managing of hotels in categories ranging from budget, economy, midscale to luxury, enabling customers of various affordability to have a pleasant stay.</t>
  </si>
  <si>
    <t>Brazil Hospitality Group(Peter Van Voorst Vader)</t>
  </si>
  <si>
    <t>48214-90T</t>
  </si>
  <si>
    <t>Actis(Chu Kong)</t>
  </si>
  <si>
    <t>33907-15T</t>
  </si>
  <si>
    <t>BDMI, Hanse Ventures, Headline</t>
  </si>
  <si>
    <t>20444-05T</t>
  </si>
  <si>
    <t>AgriService</t>
  </si>
  <si>
    <t>Provider of integrated services to the importing and exporting of agricultural commodities. The company also provides overseas transport (chartering), inland logistics in Brazil (transport and storage), physical and futures brokerage, financial services.</t>
  </si>
  <si>
    <t>General Atlantic, Ospraie Management(John Duryea), TowerBrook Capital Partners, Viterra USA</t>
  </si>
  <si>
    <t>166797-10T</t>
  </si>
  <si>
    <t>Tencent Holdings (HKG: 00700)</t>
  </si>
  <si>
    <t>20375-29T</t>
  </si>
  <si>
    <t>General Atlantic, Morgan Stanley Expansion Capital, Signia Venture Partners, T. Rowe Price Group (NAS: TROW), Tiger Global Management</t>
  </si>
  <si>
    <t>21650-68T</t>
  </si>
  <si>
    <t>80284-24T</t>
  </si>
  <si>
    <t>Crivo Sistemas em Informatica</t>
  </si>
  <si>
    <t>Developer of financial applications. The company develops and markets financial applications and software for the banks and other non-banking financial companies.</t>
  </si>
  <si>
    <t>TransUnion (NYS: TRU)(Andrew Knight)</t>
  </si>
  <si>
    <t>224072-47T</t>
  </si>
  <si>
    <t>Fundo de Investimento Imobiliario GWI Renda Imobiliaria - FII (BVMF: GWIR11)</t>
  </si>
  <si>
    <t>Fundo de Investimento Imobiliario GWI Renda Imobiliaria - FII owns, develops and operates industrial properties, focused on high-end distribution parks in Brazil. It leases industrial space to third-party logistics providers, transportation companies etc.</t>
  </si>
  <si>
    <t>68816-44T</t>
  </si>
  <si>
    <t>Mime Distribuidora de Petroleo</t>
  </si>
  <si>
    <t>Distributor of oil. The company is engaged in the distribution of oil, fuel and related petroleum products in Brazil. It also operates convenience store which offers snacks and dining.</t>
  </si>
  <si>
    <t>102160-63T</t>
  </si>
  <si>
    <t>Aorta Entretenimento</t>
  </si>
  <si>
    <t>Operator of a mobile application development platform.</t>
  </si>
  <si>
    <t>RBS Participações(Claudio Toigo)</t>
  </si>
  <si>
    <t>86198-05T</t>
  </si>
  <si>
    <t>55471-69T</t>
  </si>
  <si>
    <t>Simpply</t>
  </si>
  <si>
    <t>Operator of an online business management platform based in Rio De Janeiro, Brazil. The company offers a sales and business process automation and management platform, allowing companies to reduce paperwork and complexity.</t>
  </si>
  <si>
    <t>21212(Benjamin White)</t>
  </si>
  <si>
    <t>59717-62T</t>
  </si>
  <si>
    <t>Sociact</t>
  </si>
  <si>
    <t>Owner and operator of a fundraising organization. The company offers fundraising programs and supports the improvement of the Human Development Index nationally and globally.</t>
  </si>
  <si>
    <t>Rogério Maia</t>
  </si>
  <si>
    <t>70331-14T</t>
  </si>
  <si>
    <t>89824-87T</t>
  </si>
  <si>
    <t>Blinda Industria e Comercio</t>
  </si>
  <si>
    <t>Manufacturer of electrical equipment for classified area. The company produces mainly with aluminum products which meet national standards and are known for their quality, innovation and reliability.</t>
  </si>
  <si>
    <t>Cooper Industries(Kirk Hachigian)</t>
  </si>
  <si>
    <t>90042-94T</t>
  </si>
  <si>
    <t>Maxifértil Fertilizantes</t>
  </si>
  <si>
    <t>Manufacturer of fertilizers.</t>
  </si>
  <si>
    <t>Fertilizantes Heringer (BVMF: FHER3)(Dalton Carlos Heringer)</t>
  </si>
  <si>
    <t>89782-03T</t>
  </si>
  <si>
    <t>Acom Comunicações</t>
  </si>
  <si>
    <t>Provider of paid television services. The company's paid television services include providing wireless microwave-based satellite connection, enabling customers to experience quality picture viewing.</t>
  </si>
  <si>
    <t>73506-07T</t>
  </si>
  <si>
    <t>Ancona Engenharia</t>
  </si>
  <si>
    <t>Provider of construction engineering services. The company engages in construction of residential house and building as well as commercial premises in Belo Horizonte, Brazil.</t>
  </si>
  <si>
    <t>Grupo Tracbel</t>
  </si>
  <si>
    <t>166314-25T</t>
  </si>
  <si>
    <t>66915-73T</t>
  </si>
  <si>
    <t>267148-72T</t>
  </si>
  <si>
    <t>Banco BRP</t>
  </si>
  <si>
    <t>Operator of a regionalized financial institution to foster economic activity in Ribeirao Preto, Brazil. The company offers various financial services including value generation, long-term relationships, and financial advisory services, thereby assisting companies with credit and investments.</t>
  </si>
  <si>
    <t>25473-70T</t>
  </si>
  <si>
    <t>Atomico(Carolina Brochado), KPTL</t>
  </si>
  <si>
    <t>45779-86T</t>
  </si>
  <si>
    <t>Garan Ventures(Rafael Moraes)</t>
  </si>
  <si>
    <t>127895-05T</t>
  </si>
  <si>
    <t>Bracor</t>
  </si>
  <si>
    <t>Developer of corporate properties. The company acquires and develops corporate properties, primarily single-tenant office and industrial assets, leased to high credit quality corporations such as IBM and Nestle, where accretive debt capital may be achieved. It is primarily involved in built-to-suit, sale leaseback, and acquisition transactions.</t>
  </si>
  <si>
    <t>52219-00T</t>
  </si>
  <si>
    <t>52224-76T</t>
  </si>
  <si>
    <t>26025-85T</t>
  </si>
  <si>
    <t>Brandsclub</t>
  </si>
  <si>
    <t>Operator of an online shopping website based in Sao Paulo, Brazil. The company The company's portal offers several branded products across a range of categories, enabling customers to buy products of their choice with several payment options.</t>
  </si>
  <si>
    <t>190855-54T</t>
  </si>
  <si>
    <t>Fernando Okumura(Fernando Okumura)</t>
  </si>
  <si>
    <t>242663-05T</t>
  </si>
  <si>
    <t>Enaex (Specialty Chemicals) (SGO: ENAEX), The Brescia Group</t>
  </si>
  <si>
    <t>211863-52T</t>
  </si>
  <si>
    <t>Brumafer Mineracao</t>
  </si>
  <si>
    <t>Operator of an iron ore company based in Sabara, Brazil.</t>
  </si>
  <si>
    <t>294983-20T</t>
  </si>
  <si>
    <t>104294-80T</t>
  </si>
  <si>
    <t>Casa do Pao de Queijo</t>
  </si>
  <si>
    <t>Operator of a chain of fast food restaurants in Brazil. The company's restaurant chain offers various fast food items.</t>
  </si>
  <si>
    <t>58848-94T</t>
  </si>
  <si>
    <t>CCM</t>
  </si>
  <si>
    <t>Provider of booking and financial software designed to manage agencies in the European market. The company's booking and financial software ensures data security, technical support and customization, enabling agencies to manage bookings, mailing, agendas, finances.</t>
  </si>
  <si>
    <t>Internet Attitude(Beatrice de Mahieu)</t>
  </si>
  <si>
    <t>125628-58T</t>
  </si>
  <si>
    <t>63626-05T</t>
  </si>
  <si>
    <t>Delamano</t>
  </si>
  <si>
    <t>Distributor of electrical equipment. The company offers repair, maintenance services and operational distributorship. It operates three distribution centers based in Santo André, Campinas and Vitoria and seven branches inside customers' facilities.</t>
  </si>
  <si>
    <t>Rexel Development (PAR: RXL)</t>
  </si>
  <si>
    <t>89617-51T</t>
  </si>
  <si>
    <t>Dinamica Tratores Implementos</t>
  </si>
  <si>
    <t>Distributor of parts for agricultural tractors. The company supplies agricultural tractor parts for leading tractor brands such as Massey Ferguson, Ford, Valmet, CBT, SLC, New Holland and Massey Ferguson.</t>
  </si>
  <si>
    <t>TVH-Dinamica Peças</t>
  </si>
  <si>
    <t>128904-67T</t>
  </si>
  <si>
    <t>197393-95T</t>
  </si>
  <si>
    <t>22107-34T</t>
  </si>
  <si>
    <t>Arnon de Mello(Arnon de Mello), Mickey Klein(Mickey Klein), Seth Zalkin(Seth Zalkin), The Astor Group</t>
  </si>
  <si>
    <t>69562-54T</t>
  </si>
  <si>
    <t>E.ON (ETR: EOAN)</t>
  </si>
  <si>
    <t>63626-86T</t>
  </si>
  <si>
    <t>Etil Comércio De Material Elétrico</t>
  </si>
  <si>
    <t>Distributor of electrical equipment and supplies catering to hotels, business offices ad restaurants. The company offers a range of electrical apparatus and equipment such as wires, cables, switches and lighting products.</t>
  </si>
  <si>
    <t>126521-74T</t>
  </si>
  <si>
    <t>96824-71T</t>
  </si>
  <si>
    <t>Trivella Investments</t>
  </si>
  <si>
    <t>114417-10T</t>
  </si>
  <si>
    <t>Icahn Enterprises (NAS: IEP)(Carl Icahn)</t>
  </si>
  <si>
    <t>70145-74T</t>
  </si>
  <si>
    <t>128890-45T</t>
  </si>
  <si>
    <t>Home24</t>
  </si>
  <si>
    <t>34882-57T</t>
  </si>
  <si>
    <t>A5 Capital Partners, Axel Springer, Flávio Jansen(Flávio Jansen), KPTL</t>
  </si>
  <si>
    <t>263329-30T</t>
  </si>
  <si>
    <t>256549-69T</t>
  </si>
  <si>
    <t>IntelAzul</t>
  </si>
  <si>
    <t>Provider of guide, tour, and air transportation services based in Santana do Paraíso, Brazil.</t>
  </si>
  <si>
    <t>Azul (Air), Gávea Investimentos, Main Post Partners(Michael Lazarus), Pequot Capital Management, Peterson Partners, TPG (NAS: TPG), Weston Presidio(Michael Lazarus), Wexford Capital</t>
  </si>
  <si>
    <t>216238-60T</t>
  </si>
  <si>
    <t>Inter Digital Corretora e Consultoria em Seguros</t>
  </si>
  <si>
    <t>Provider of insurance services to individuals and companies. The company's insurance offerings include life, auto, mobile home, health, travel and corporate coverage.</t>
  </si>
  <si>
    <t>293896-54T</t>
  </si>
  <si>
    <t>211685-86T</t>
  </si>
  <si>
    <t>257726-98T</t>
  </si>
  <si>
    <t>John John</t>
  </si>
  <si>
    <t>Operator of a clothing company based in Sao Paulo, Brazil. The company specializes in t-shirts, pants, bermuda, jackets, coats, shirts, knitting, shoes, boots, tennis, leather, party, skirts, pants and other clothings.</t>
  </si>
  <si>
    <t>65111-77T</t>
  </si>
  <si>
    <t>Innovation Incubator University of Technology</t>
  </si>
  <si>
    <t>62394-94T</t>
  </si>
  <si>
    <t>53712-19T</t>
  </si>
  <si>
    <t>Gávea Angel Group, Lab22(Fernando Campos)</t>
  </si>
  <si>
    <t>125721-55T</t>
  </si>
  <si>
    <t>223459-48T</t>
  </si>
  <si>
    <t>Orbitall Payments</t>
  </si>
  <si>
    <t>Operator of an online financial services marketplace based out Sao Paulo, Brazil. The company provides digital payment, integrated banking, onboarding, virtual credit card and other financials services.</t>
  </si>
  <si>
    <t>70436-80T</t>
  </si>
  <si>
    <t>Orsa International Paper Embalagens</t>
  </si>
  <si>
    <t>Manufacturer of paper and packaging products. The cmpany is engaged in the production and distribution of industrial and corrugated packaging products.</t>
  </si>
  <si>
    <t>International Paper (NYS: IP)(John Faraci)</t>
  </si>
  <si>
    <t>80373-61T</t>
  </si>
  <si>
    <t>102196-18T</t>
  </si>
  <si>
    <t>A Geradora, Angra Partners(Alberto Guth)</t>
  </si>
  <si>
    <t>46621-99T</t>
  </si>
  <si>
    <t>Portal Educação</t>
  </si>
  <si>
    <t>Developer of an online learning platform based in Campo Grande, Brazil. The company offers an online platform that provides various educational courses, learning materials and career development counseling.</t>
  </si>
  <si>
    <t>176235-58T</t>
  </si>
  <si>
    <t>Radio Telecom</t>
  </si>
  <si>
    <t>Developer of wireless internet systems in Curitiba, Brazil. The company also focuses on systems for remote metering of energy consumption, management and logistics for education, monitoring and management of fleets, automation and security.</t>
  </si>
  <si>
    <t>SmartGreen Tecnologia(Sandro Vieira)</t>
  </si>
  <si>
    <t>219824-38T</t>
  </si>
  <si>
    <t>IMM (Brazil), Mamoura Diversified Global Holding</t>
  </si>
  <si>
    <t>129403-18T</t>
  </si>
  <si>
    <t>RockBee</t>
  </si>
  <si>
    <t>Provider of an online platform intended to offer event tickets. The company's platform offers a simple interface that creates a custom page of the event and helps in promoting the event, enabling event organizers to promote events for a segmented audience.</t>
  </si>
  <si>
    <t>MIT NextLab</t>
  </si>
  <si>
    <t>257819-95T</t>
  </si>
  <si>
    <t>Rosa Chá</t>
  </si>
  <si>
    <t>Manufacturer of bikini products based in Brazil.</t>
  </si>
  <si>
    <t>80467-21T</t>
  </si>
  <si>
    <t>BRZ Investimentos, JCR Group</t>
  </si>
  <si>
    <t>89729-11T</t>
  </si>
  <si>
    <t>Sistran Engenharia</t>
  </si>
  <si>
    <t>Provider of engineering consulting services based in Sao Paulo, Brazil. The company's services include consulting engineering, studies, projects, supervision and management., enabling public and private sectors to attain insights into engineering details.</t>
  </si>
  <si>
    <t>Sam Schwartz.</t>
  </si>
  <si>
    <t>214706-71T</t>
  </si>
  <si>
    <t>52353-19T</t>
  </si>
  <si>
    <t>158502-52T</t>
  </si>
  <si>
    <t>TG Studio</t>
  </si>
  <si>
    <t>Developer of gamification tools intended to bring gamification to sectors of commerce that apparently have no connection with the world of electronic games. The company's tools offer game design techniques, web applications, flash sites, banners and web marketing campaigns, enabling customers to connect with people in an enriching and playful context for a better experience with a service or product.</t>
  </si>
  <si>
    <t>179017-21T</t>
  </si>
  <si>
    <t>52784-11T</t>
  </si>
  <si>
    <t>Kinnevik (STO: KINV A), Millicom International Cellular (NAS: TIGO), Rocket Internet (HAM: RKET)</t>
  </si>
  <si>
    <t>139111-75T</t>
  </si>
  <si>
    <t>Trop Frutas do Brasil</t>
  </si>
  <si>
    <t>Manufacturer of beverages based in Lavras, Brazil. The company provides fruit pulp and coconut water to its customers.</t>
  </si>
  <si>
    <t>71187-22T</t>
  </si>
  <si>
    <t>Manufacturer of agricultural equipment parts based in Sao Paulo, Brazil. The company is engaged in manufacturing agricultural and industrial equipment parts including agricultural machinery, implements, tractor parts and accessories.</t>
  </si>
  <si>
    <t>TVH Parts Holding</t>
  </si>
  <si>
    <t>86700-79T</t>
  </si>
  <si>
    <t>UNICID</t>
  </si>
  <si>
    <t>Provider of educational services intended to contribute to the integral formation of man. The company offers graduate, post-graduate and technical courses in the fields of nutrition, pharmacy, biomedicine, interior design and financial management</t>
  </si>
  <si>
    <t>Actis, Cruzeiro do Sul Educacional (BVMF: CSED3)</t>
  </si>
  <si>
    <t>106418-80T</t>
  </si>
  <si>
    <t>98643-61T</t>
  </si>
  <si>
    <t>215910-55T</t>
  </si>
  <si>
    <t>Valmari Dermocosméticos</t>
  </si>
  <si>
    <t>Manufacturer of skincare and cosmetic products dedicated to body and facial aesthetic treatment. The company offers a wide range of dermo-cosmetic products for daily care, enabling consumers to care for their skin health.</t>
  </si>
  <si>
    <t>Bratus Capital</t>
  </si>
  <si>
    <t>65943-91T</t>
  </si>
  <si>
    <t>Grupo Isolux Corsán</t>
  </si>
  <si>
    <t>123181-84T</t>
  </si>
  <si>
    <t>52053-49T</t>
  </si>
  <si>
    <t>99097-48T</t>
  </si>
  <si>
    <t>31382-29T</t>
  </si>
  <si>
    <t>Myreks</t>
  </si>
  <si>
    <t>Provider of an e-commerce enabling platform intended to enrich the social commerce experience. The company's platform provides a purchase recommendation system platform between friends, enabling its users to provide recommendations to others in exchange for rewards.</t>
  </si>
  <si>
    <t>Bzplan, FIR Capital, Invisto</t>
  </si>
  <si>
    <t>90216-01T</t>
  </si>
  <si>
    <t>ADAVO'S Consultoria e Corretagem de Seguros</t>
  </si>
  <si>
    <t>Provider of insurance services. The company's insurance services include personal insurance, property insurance, insurance brokerage and other related services, enabling the clients the certainty that they can count on agility in services and brokerage support whenever necessary.</t>
  </si>
  <si>
    <t>90521-47T</t>
  </si>
  <si>
    <t>J Brandão Comércio e Indústria</t>
  </si>
  <si>
    <t>Producer and distributor of food products. The company's food products include cookies, crackers, pasta and snacks, enabling customers to get a wide range of food products at a competitive price.</t>
  </si>
  <si>
    <t>90594-10T</t>
  </si>
  <si>
    <t>Pelagio Participaçoes</t>
  </si>
  <si>
    <t>Seller of cookies, crackers, pasta and snacks.</t>
  </si>
  <si>
    <t>160687-63T</t>
  </si>
  <si>
    <t>Delta Air Lines (NYS: DAL)</t>
  </si>
  <si>
    <t>19995-04T</t>
  </si>
  <si>
    <t>Unopar</t>
  </si>
  <si>
    <t>Provider of educational services in Brazil.</t>
  </si>
  <si>
    <t>Advent International(Juan Pablo Zucchini), Cogna Educação (BVMF: COGN3)</t>
  </si>
  <si>
    <t>62568-01T</t>
  </si>
  <si>
    <t>LatinIFS Tecnologia da Informacao</t>
  </si>
  <si>
    <t>Developer and distributor of application software. The company develops computer application software for enterprise resource planning.</t>
  </si>
  <si>
    <t>Industrial and Financial Systems(Alastair Sorbie)</t>
  </si>
  <si>
    <t>215226-19T</t>
  </si>
  <si>
    <t>Apax Partners(Mitch Truwit), Hub International(Martin Hughes), KarpReilly, Morgan Stanley (NYS: MS)(Alice Milligan)</t>
  </si>
  <si>
    <t>90684-82T</t>
  </si>
  <si>
    <t>SHT Administração e Corretora de Seguros</t>
  </si>
  <si>
    <t>Provider of insurance brokerage services in Brazil.</t>
  </si>
  <si>
    <t>58080-88T</t>
  </si>
  <si>
    <t>DP7 Digital Informática</t>
  </si>
  <si>
    <t>Developer of mobile application software focusing on usability and information architecture. The company develops application software that helps the user to keep track of their favorite blogs by alerting them when they update.</t>
  </si>
  <si>
    <t>76322-35T</t>
  </si>
  <si>
    <t>73502-02T</t>
  </si>
  <si>
    <t>Brasil 1 Esporte e Entretenimento</t>
  </si>
  <si>
    <t>Provider sports and entertainment marketing services. The company specializes in consulting, content development and management of events in sports and entertainment industry.</t>
  </si>
  <si>
    <t>72544-96T</t>
  </si>
  <si>
    <t>GS Internacional</t>
  </si>
  <si>
    <t>Distributor of house ware products. The company is a wholesale distributor, importer and exporter of branded houseware products including dinnerware, glassware, home decor, kitchenware and barware in Brazil and markets to major department stores, housewares retailers and independent shops throughout Brazil.</t>
  </si>
  <si>
    <t>Lifetime Brands (NAS: LCUT)(Jeffrey Siegel)</t>
  </si>
  <si>
    <t>221085-64T</t>
  </si>
  <si>
    <t>Aesapar Fundo de Investimento Imobiliário - FII (BVMF: AEFI11)</t>
  </si>
  <si>
    <t>AESAPAR Fundo de Investimento Imobiliario - FII is a real estate investment fund.</t>
  </si>
  <si>
    <t>70295-95T</t>
  </si>
  <si>
    <t>ThyssenKrupp Automotive Systems Industrial do Brasil</t>
  </si>
  <si>
    <t>Manufacturer of suspension systems and front- and rear-control arms for automobiles. The company operates four Brazilian plants, producing and assembling chassis components and modules for the Brazilian automotive customers.</t>
  </si>
  <si>
    <t>Cosma International(Horst Prelog)</t>
  </si>
  <si>
    <t>82370-44T</t>
  </si>
  <si>
    <t>Agrenco</t>
  </si>
  <si>
    <t>Agrenco was a provider of agricultural services. The company's services included full cycle from production to consumption for agricultural products with financing for growers and consumers, origination, tracing, storage, logistics, port operations, charter freight, export and distribution enabling the customers in agribusiness and biofuel sectors in their activities of distribution and trade of grains and derivatives. The company was liquidated and ceased operations on August 5, 2013.</t>
  </si>
  <si>
    <t>Global Emerging Markets</t>
  </si>
  <si>
    <t>82606-42T</t>
  </si>
  <si>
    <t>Brapenta</t>
  </si>
  <si>
    <t>Manufacturer of metal detection and check-weighing solutions. The company's customized metal detection, check-weighing solutions and x ray inspection systems are used by customers in the food production, security, and chemical industries.</t>
  </si>
  <si>
    <t>Loma Systems(Simon Spencer)</t>
  </si>
  <si>
    <t>84769-03T</t>
  </si>
  <si>
    <t>SSE Do Brasil</t>
  </si>
  <si>
    <t>63910-45T</t>
  </si>
  <si>
    <t>Goodyear Tire &amp; Rubber (LatAm Farm Tire Business)</t>
  </si>
  <si>
    <t>Manufacturer and provider of farm tires. The company, based in Sao Paulo, sells farm tires used in tractors and harvestors.</t>
  </si>
  <si>
    <t>72401-86T</t>
  </si>
  <si>
    <t>Grupo Tecnol</t>
  </si>
  <si>
    <t>Seller and distributor of sunglasses. The company engages in selling eye-wears under various brands such as Platini, Jean Monnier and Tecnol, through a retail optical chain of 90 stores in the state of San Paolo, Brazil under the name Oticas Iris.</t>
  </si>
  <si>
    <t>EssilorLuxottica (PAR: EL)(Andrea Guerra)</t>
  </si>
  <si>
    <t>75489-58T</t>
  </si>
  <si>
    <t>Ineo do Brasil</t>
  </si>
  <si>
    <t>Provider of communication technologies. The company offers its technologies for telecommunications and air-traffic control, security and safety systems for the oil and gas industry, as well as urban information systems.</t>
  </si>
  <si>
    <t>Cofely Ineo</t>
  </si>
  <si>
    <t>19948-24T</t>
  </si>
  <si>
    <t>Accel Management Company(Andrew Braccia), Kaszek(Hernan Kazah)</t>
  </si>
  <si>
    <t>57902-41T</t>
  </si>
  <si>
    <t>Sand Sign</t>
  </si>
  <si>
    <t>Provider of an online personalized signs gifting platform. The company offers a web-based platform that enables the users to send personalized signs, e-cards and gifts online.</t>
  </si>
  <si>
    <t>Start Fellows</t>
  </si>
  <si>
    <t>73160-29T</t>
  </si>
  <si>
    <t>Potencia Ventures, Village Capital, Vox Capital(Antonio Ermirio de Moraes Neto)</t>
  </si>
  <si>
    <t>210581-74T</t>
  </si>
  <si>
    <t>210584-80T</t>
  </si>
  <si>
    <t>22280-77T</t>
  </si>
  <si>
    <t>Pinnacle Ventures(Kenneth Pelowski), Redpoint eventures(Anderson Thees)</t>
  </si>
  <si>
    <t>59701-96T</t>
  </si>
  <si>
    <t>224103-88T</t>
  </si>
  <si>
    <t>Fundo de Investimento Imobiliario TRX Caixa Logistica Renda (BVMF: CXTL11)</t>
  </si>
  <si>
    <t>Fundo DE Investimento Imobiliario Caixa SEQ Logistica Renda is engaged in acquisition, development and financing of real assets. It offers solutions to companies with respect to finance and real estate.</t>
  </si>
  <si>
    <t>90560-26T</t>
  </si>
  <si>
    <t>Mineração Ouro Negro</t>
  </si>
  <si>
    <t>Operator of iron ore reserves company in Brazil.</t>
  </si>
  <si>
    <t>58041-64T</t>
  </si>
  <si>
    <t>SmartKids</t>
  </si>
  <si>
    <t>Provider of educational games for children. The company hosts an online portal where they provide digital educational content for children in the form of games, quizzes, stories and activities.</t>
  </si>
  <si>
    <t>Astella Investimentos(Laura Constantini)</t>
  </si>
  <si>
    <t>74213-56T</t>
  </si>
  <si>
    <t>51581-53T</t>
  </si>
  <si>
    <t>75021-67T</t>
  </si>
  <si>
    <t>Terlogs Terminal Marítimo</t>
  </si>
  <si>
    <t>Provider of marine cargo handling and logistics services based in Sao Francisco Do Sul, Brazil. The company owns and operates a marine terminal that allows the storage, loading and unloading of cargo in bulk in São Francisco do Sul, Brazil.</t>
  </si>
  <si>
    <t>Marubeni (TKS: 8002)(Fumiya Kokubu)</t>
  </si>
  <si>
    <t>61543-99T</t>
  </si>
  <si>
    <t>68819-32T</t>
  </si>
  <si>
    <t>Tedesco Tecnologia</t>
  </si>
  <si>
    <t>Provider of IT services for law firms. The company designs and develops software for corporate legal departments and provides license, support and software maintenance services.</t>
  </si>
  <si>
    <t>46629-64T</t>
  </si>
  <si>
    <t>Imobox Imóveis</t>
  </si>
  <si>
    <t>Operator of an online real estate portal in Brazil. The company operates an online real estate search tool for those seeking the property in Brazil.</t>
  </si>
  <si>
    <t>90650-98T</t>
  </si>
  <si>
    <t>Rodoviário Schio</t>
  </si>
  <si>
    <t>Provider of logistics services. The company's logistics services provide logistics services for temperature controlled products, enabling supply chain management and logistical support to clients.</t>
  </si>
  <si>
    <t>73152-28T</t>
  </si>
  <si>
    <t>Embraequip</t>
  </si>
  <si>
    <t>86200-21T</t>
  </si>
  <si>
    <t>Antera Gestão de Recursos, KPTL, Opus Capital</t>
  </si>
  <si>
    <t>247686-04T</t>
  </si>
  <si>
    <t>Petrogal Brasil</t>
  </si>
  <si>
    <t>Provider of exploration services intended for oil and gas. The company specializes in performing geophysical, geological, and other exploration services.</t>
  </si>
  <si>
    <t>Sinopec (HKG: 00386)</t>
  </si>
  <si>
    <t>92052-91T</t>
  </si>
  <si>
    <t>Radio Itapema FM de São Paulo</t>
  </si>
  <si>
    <t>Operator of a radio network. The company's radio network consists of two radio channels playing both old and latest songs of renowned artists, enabling music lovers to enjoy their favorite music throughout the day.</t>
  </si>
  <si>
    <t>Rádio Holding Participações(Paulo Cardoso), The Walt Disney (NYS: DIS)</t>
  </si>
  <si>
    <t>258672-97T</t>
  </si>
  <si>
    <t>90500-59T</t>
  </si>
  <si>
    <t>Heloisa Industria e Comercio de Produtos Lacteos</t>
  </si>
  <si>
    <t>Producer of cheese and dairy products. The company's cheese and dairy products include all kinds of cheese, butter, yogurt, dairy ingredients and related products, it also produces 600 thousand liters of milk per day.</t>
  </si>
  <si>
    <t>130923-19T</t>
  </si>
  <si>
    <t>Faro Capital</t>
  </si>
  <si>
    <t>74745-82T</t>
  </si>
  <si>
    <t>Pepsico (NAS: PEP)(John Compton)</t>
  </si>
  <si>
    <t>90513-82T</t>
  </si>
  <si>
    <t>InsetCenter</t>
  </si>
  <si>
    <t>Provider of pest elimination services focused on property protection. The company's pest elimination services are delivered through cupimfim system, a network of irrigation ducts under the building through which anti-pest biological or synthetic products are injected, thereby enabling customers to protect their houses from and other pests.</t>
  </si>
  <si>
    <t>102779-29T</t>
  </si>
  <si>
    <t>Danny Comércio Importação Exportação</t>
  </si>
  <si>
    <t>Supplier of personal protection equipment catering to automotive, consumer goods, food processing, petrochemical and mining sectors. The company's equipment includes gloves and safety glasses, steel mesh, special cutting sleeves and accessories, thereby helping clients to get precautionary equipment.</t>
  </si>
  <si>
    <t>91607-32T</t>
  </si>
  <si>
    <t>ACSER</t>
  </si>
  <si>
    <t>Provider of automation services designed to improve processes and customer satisfaction. The company's automation services apply knowledge and technology, automizes projects for the various industrial segments, enabling rail and automotive sector to gains reduction in production cycle time and the need for labor.</t>
  </si>
  <si>
    <t>71477-74T</t>
  </si>
  <si>
    <t>Kirin Holdings (TKS: 2503)(Senji Miyake)</t>
  </si>
  <si>
    <t>90450-10T</t>
  </si>
  <si>
    <t>Florestal Vale do Corisco</t>
  </si>
  <si>
    <t>Provider of forestry management services based in Jaguariaiva, Brazil. The company's services include management of forestry assets, reforestation, forestation, wood and sub products sales, enabling clients to get timber products.</t>
  </si>
  <si>
    <t>Arauco, Klabin (BVMF: KLBN3)(Fabio Schvartsman)</t>
  </si>
  <si>
    <t>90522-55T</t>
  </si>
  <si>
    <t>Jadangil Participações e Representações</t>
  </si>
  <si>
    <t>Producer of beer and soft drinks.</t>
  </si>
  <si>
    <t>70692-22T</t>
  </si>
  <si>
    <t>Net Tour Viagens E Turismo</t>
  </si>
  <si>
    <t>Provider of travel-management services. The company operates as a corporate travel agency and provides management services to corporate travelers and business travelers by arranging travel packages, business meetings and related corporate activities.</t>
  </si>
  <si>
    <t>CWT (Other Commercial Services)(Andre Carvalhal), J.P. Morgan</t>
  </si>
  <si>
    <t>22495-69T</t>
  </si>
  <si>
    <t>Headline, IG Expansion, Redpoint eventures, Redpoint Ventures</t>
  </si>
  <si>
    <t>100633-69T</t>
  </si>
  <si>
    <t>53424-82T</t>
  </si>
  <si>
    <t>CupomNow</t>
  </si>
  <si>
    <t>Provider of coupons from local businesses. The company offers discount coupons for travel, restaurants, technological products, cultural programming and health.</t>
  </si>
  <si>
    <t>62864-02T</t>
  </si>
  <si>
    <t>102780-91T</t>
  </si>
  <si>
    <t>Tradição Planejamento e Tecnologia de Serviços</t>
  </si>
  <si>
    <t>Provider of employment services. The company's employment services offers skilled and efficient employee, enabling companies to employ according to their requirements.</t>
  </si>
  <si>
    <t>Kelly Services (NAS: KELYA)</t>
  </si>
  <si>
    <t>57770-92T</t>
  </si>
  <si>
    <t>AES Atimus Group</t>
  </si>
  <si>
    <t>Provider of telecommunication infrastructure services. The company provides operations and maintenance center, mobile station, telephone network, tower array and other related services in Rio de Janeiro and Sao Paulo.</t>
  </si>
  <si>
    <t>Tim Participacoes (BVMF: TIMS3)(Luca Luciani)</t>
  </si>
  <si>
    <t>226103-86T</t>
  </si>
  <si>
    <t>Polo Fundo de Investimento Imobiliario - FII Recebiveis Imobiliarios I (BVMF: PLRI11)</t>
  </si>
  <si>
    <t>Polo FII - FII Recebiveis Imobiliarios I is a real estate investment fund.</t>
  </si>
  <si>
    <t>52117-30T</t>
  </si>
  <si>
    <t>igluu</t>
  </si>
  <si>
    <t>Provider of an online food menu discovery platform. The company offers a web-based platform which offers users a customized periodic meal plan according to their tastes, preferences and ingredients available with them. Users can also opt to purchase ingredients using the platform's price comparison mechanism.</t>
  </si>
  <si>
    <t>73505-17T</t>
  </si>
  <si>
    <t>Constru service</t>
  </si>
  <si>
    <t>Provider of equipment rental services catering to companies in the construction industry. The company is engaged in leasing cranes that operate in the materials handling sector.</t>
  </si>
  <si>
    <t>Elba Equipamentos e Serviços(Flávio Barbosa), Jardim Botânico Investimentos(Jose Osorio)</t>
  </si>
  <si>
    <t>73507-60T</t>
  </si>
  <si>
    <t>Bratus Capital, Endurance Capital Partners(André De Vivo), Spectra Investments</t>
  </si>
  <si>
    <t>90510-13T</t>
  </si>
  <si>
    <t>Imóveis no Morumbi</t>
  </si>
  <si>
    <t>Provider of real estate brokerage and consultancy services intended to offer complete assistance in finding the desired real estate properties. The company real estate brokerage and consultancy services include research, analytics, consultancy, transactions, project development, leasing and investment services along with offering integrated facility management, property, purchase and sale and asset management, enabling its clients to select the right property at the right price.</t>
  </si>
  <si>
    <t>Nexpe Participacoes (BVMF: NEXP3)(Julio Pina)</t>
  </si>
  <si>
    <t>214740-28T</t>
  </si>
  <si>
    <t>Senso Investimentos</t>
  </si>
  <si>
    <t>Provider of foreign exchange, bond and security brokering services based in Rio de Janeiro, Brazil. The company provides a conglomerate of humanized, exclusive and excellent quality investment services, including investment clubs, managed portfolios and fixed income services, providing investors with clear, efficient and timely information.</t>
  </si>
  <si>
    <t>21198-88T</t>
  </si>
  <si>
    <t>Buzzero.com</t>
  </si>
  <si>
    <t>Developer of an online distance learning platform designed to bring an unprecedented possibility for anyone to learn and teach in Brazil. The company's platform lets independent authors and institutions create and deliver courses to users interested in a very diverse set of themes, enabling teachers to download new theoretical and practical knowledge for the students and share it along.</t>
  </si>
  <si>
    <t>Denis Engel(Denis Engel), Monashees</t>
  </si>
  <si>
    <t>90510-49T</t>
  </si>
  <si>
    <t>Lopes Imóvel A</t>
  </si>
  <si>
    <t>Provider of real estate advisory focused on the high-end market. The company specializes in the buying and selling of luxury property which is conducted through an online portal and offers personalized property consulting services, enabling clients to locate properties of their choice.</t>
  </si>
  <si>
    <t>LPS Brasil Consultoria de Imoveis (BVMF: LPSB3)(Alcides Tapias)</t>
  </si>
  <si>
    <t>44556-04T</t>
  </si>
  <si>
    <t>20506-87T</t>
  </si>
  <si>
    <t>Felicis, GFO Companies, Monashees, SV Angel, Thrive Capital, Tiger Global Management</t>
  </si>
  <si>
    <t>90634-15T</t>
  </si>
  <si>
    <t>Repsol Gas Brasil</t>
  </si>
  <si>
    <t>Provider of LPG distribution services in Brazil.</t>
  </si>
  <si>
    <t>Ultragaz</t>
  </si>
  <si>
    <t>92306-62T</t>
  </si>
  <si>
    <t>HCD Consultoria Empresarial</t>
  </si>
  <si>
    <t>Developer of training software. The company's software helps enterprises improve their employee effectiveness and hence improve their profitability.</t>
  </si>
  <si>
    <t>Citigroup Alternative Investments, MSX International(Frederick Minturn)</t>
  </si>
  <si>
    <t>90535-78T</t>
  </si>
  <si>
    <t>Les Colorants Wackherr do Brasil</t>
  </si>
  <si>
    <t>Manufacturer and distributor of cosmetic products. The company's cosmetic products include nail polish, make-up and skin care products, enabling customers to get a wide range of beauty products at a cost effective price.</t>
  </si>
  <si>
    <t>Sensient Technologies (NYS: SXT)(Paul Manning)</t>
  </si>
  <si>
    <t>22499-56T</t>
  </si>
  <si>
    <t>Austral Capital Partners(Felipe Camposano), Sequoia Capital(David Osorno)</t>
  </si>
  <si>
    <t>90540-91T</t>
  </si>
  <si>
    <t>Livecam Mobile</t>
  </si>
  <si>
    <t>Developer of mobile applications. The company's mobile applications uses live mobile video technologies, which have been approved for use in Apple iOS, Android, Facebook and Qualcomm's BREW MP application platforms, enabling media, entertainment, industry, government and telecom sectors to get content distribution on smartphone and tablet devices, social networks, wireless operators and off-deck mobile entertainment portals.</t>
  </si>
  <si>
    <t>AppTech Payments (PINX: APCX)(Eric Ottens)</t>
  </si>
  <si>
    <t>74698-12T</t>
  </si>
  <si>
    <t>20900-98T</t>
  </si>
  <si>
    <t>Accel Management Company(Kevin Efrusy), Monashees(Eric Acher)</t>
  </si>
  <si>
    <t>24186-52T</t>
  </si>
  <si>
    <t>72499-78T</t>
  </si>
  <si>
    <t>Terminal Portuário de Guarujá</t>
  </si>
  <si>
    <t>Operator of ports. The company owns, as a perpetual concession, an area of 35 hectares in Guarujá, Brazil.</t>
  </si>
  <si>
    <t>Saipem (MIL: SPM)</t>
  </si>
  <si>
    <t>25924-96T</t>
  </si>
  <si>
    <t>36202-78T</t>
  </si>
  <si>
    <t>Banco Santander (Latin American Insurance Units)</t>
  </si>
  <si>
    <t>Provider of insurance services based in Brazil. The company provides life, auto, travel and related insurance solutions.</t>
  </si>
  <si>
    <t>Zurich Insurance Group (SWX: ZURN)</t>
  </si>
  <si>
    <t>92314-81T</t>
  </si>
  <si>
    <t>74353-42T</t>
  </si>
  <si>
    <t>Santander (life insurance, pension and general insurance operations)</t>
  </si>
  <si>
    <t>Provider of general insurance services. The company engages in providing life insurance, pension, business insurance, car insurance, health insurance and other related services in Brazil, Mexico, Chile, Argentina and Uruguay.</t>
  </si>
  <si>
    <t>Zurich Insurance Group (SWX: ZURN)(Martin Senn)</t>
  </si>
  <si>
    <t>99337-51T</t>
  </si>
  <si>
    <t>74796-31T</t>
  </si>
  <si>
    <t>Zurich Santander Brasil Seguros e Previdência</t>
  </si>
  <si>
    <t>Provider of insurance products and services. The company offers auto, fleet, equipment, travel and related insurance products and services. It also offers pension plans and retirement schemes across Brazil.</t>
  </si>
  <si>
    <t>72686-71T</t>
  </si>
  <si>
    <t>Ampla Energia e Serviços (BVMF: CBEE3)</t>
  </si>
  <si>
    <t>Ampla Energia E Servicos SA is engaged in the distribution and sale of electricity to residential, commercial, and industrial customers in Brazil. It also participates in the research linked to electric industries.</t>
  </si>
  <si>
    <t>Endesa (MAD: ELE)</t>
  </si>
  <si>
    <t>24921-37T</t>
  </si>
  <si>
    <t>204618-34T</t>
  </si>
  <si>
    <t>Sistema Maxi de Ensino</t>
  </si>
  <si>
    <t>Operator of an teaching system intended to promote consistent, practical and quality teaching. The company offers teaching and study material for childhood education, elementary school, high school and pre university level.</t>
  </si>
  <si>
    <t>Somos Educação(Mario Ghio)</t>
  </si>
  <si>
    <t>227080-36T</t>
  </si>
  <si>
    <t>88789-78T</t>
  </si>
  <si>
    <t>ClickOn</t>
  </si>
  <si>
    <t>Provider of a group-buying platform. The company provides an online platform for collective buying and offers products and services in various segments including tourism, entertainment, bars, restaurants, beauty and health.</t>
  </si>
  <si>
    <t>Globo</t>
  </si>
  <si>
    <t>55010-98T</t>
  </si>
  <si>
    <t>Instapagar</t>
  </si>
  <si>
    <t>Provider of loan services. The company develops an online lending platform that helps to borrow bitcoins in Brazil.</t>
  </si>
  <si>
    <t>74561-77T</t>
  </si>
  <si>
    <t>242809-03T</t>
  </si>
  <si>
    <t>Mat Inset</t>
  </si>
  <si>
    <t>Manufacturer of insecticide products based in Brazil. The company offers a complete line of indoor and outdoor insecticides, thereby ensuring complete and effective solutions to protect the family from insects.</t>
  </si>
  <si>
    <t>Flora (Brazil)</t>
  </si>
  <si>
    <t>55538-11T</t>
  </si>
  <si>
    <t>Ticies</t>
  </si>
  <si>
    <t>Operator of a social networking platform intended to provide information about commercial places to users. The company's platform helps to plan where to go with friends, relatives, and acquaintances in all cities of the world, enabling users to find good locations.</t>
  </si>
  <si>
    <t>Joaquim Venancio</t>
  </si>
  <si>
    <t>67102-75T</t>
  </si>
  <si>
    <t>59774-77T</t>
  </si>
  <si>
    <t>Scotiabank Brasil</t>
  </si>
  <si>
    <t>Provider of banking and financial services. The company offers personal banking products such as credit facilities, savings deposit accounts, IRAs, certificate of deposits and loan products.</t>
  </si>
  <si>
    <t>Scotiabank (TSE: BNS)(Stephen Mcdonald)</t>
  </si>
  <si>
    <t>102815-29T</t>
  </si>
  <si>
    <t>Ideal Global Sistemas de Higiene</t>
  </si>
  <si>
    <t>Supplier of cleaning and hygiene consumable products. The company's cleaning and hygiene consumable products, enables facilities management companies, contract cleaners and other customers in the industrial, healthcare and education sectors to get medical disposable products.</t>
  </si>
  <si>
    <t>90520-84T</t>
  </si>
  <si>
    <t>Itaplan Brasil Consultoria de Imóveis</t>
  </si>
  <si>
    <t>Provider of real estate consulting and brokerage services intended to be one of the largest and best real estate companies with a dynamic service. The company's real estate consulting and brokerage services offers real estate technical advisory and correspondent banking services, enabling customers to get the best available opportunity.</t>
  </si>
  <si>
    <t>LPS Brasil Consultoria de Imoveis (BVMF: LPSB3)</t>
  </si>
  <si>
    <t>102785-86T</t>
  </si>
  <si>
    <t>S2Publicom</t>
  </si>
  <si>
    <t>Provider of consulting services. The company's consulting services are focused on crisis management, communication planning, image audit, formulation for communication policies, managing sensitive topics and message positioning and development, enabling companies to analyse business decisions in the light of its public impact.</t>
  </si>
  <si>
    <t>The Interpublic Group of Companies (NYS: IPG)(Harris Diamond)</t>
  </si>
  <si>
    <t>55421-56T</t>
  </si>
  <si>
    <t>90601-93T</t>
  </si>
  <si>
    <t>Oji Papéis Especiais</t>
  </si>
  <si>
    <t>Manufacturer of thermal and carbonless printing paper based in Piracicaba, Brazil. The company's activities include manufacturing thermal and carbonless printing paper from sugar cane bagasse pulp.</t>
  </si>
  <si>
    <t>Oji Holdings (TKS: 3861)</t>
  </si>
  <si>
    <t>19347-31T</t>
  </si>
  <si>
    <t>RestauranteWeb</t>
  </si>
  <si>
    <t>Provider of online food ordering services.</t>
  </si>
  <si>
    <t>66154-06T</t>
  </si>
  <si>
    <t>Interadapt Solutions</t>
  </si>
  <si>
    <t>Provider of IT consulting and outsourcing services. The company provides information technology service management, software support, application performance management and information security services to clients in Brazil.</t>
  </si>
  <si>
    <t>Osiatis</t>
  </si>
  <si>
    <t>226472-41T</t>
  </si>
  <si>
    <t>90208-00T</t>
  </si>
  <si>
    <t>Academia Paulista Anchieta</t>
  </si>
  <si>
    <t>Operator of an educational institution. The company's educational institution offers courses, degrees and other related educational services in various academic subjects, enabling students to gain knowledge and learn various subjects.</t>
  </si>
  <si>
    <t>25942-51T</t>
  </si>
  <si>
    <t>81454-60T</t>
  </si>
  <si>
    <t>BP Biocombustiveis</t>
  </si>
  <si>
    <t>Producer of bio-fuel. The company owns and operates ethanol refineries and produces bio-fuel using sugarcane and ethanol.</t>
  </si>
  <si>
    <t>BP (LON: BP.)(Phillip New)</t>
  </si>
  <si>
    <t>90863-20T</t>
  </si>
  <si>
    <t>Maringá Armazéns Gerais</t>
  </si>
  <si>
    <t>Operator of a dry port and warehousing facility.</t>
  </si>
  <si>
    <t>Elog</t>
  </si>
  <si>
    <t>90789-67T</t>
  </si>
  <si>
    <t>WPD Informática</t>
  </si>
  <si>
    <t>Provider of healthcare information technology services. The company's healthcare information technology service supports health information management across computerized systems and the secure exchange of health information between consumers, providers, payers and quality monitors.</t>
  </si>
  <si>
    <t>Agfa HealthCare</t>
  </si>
  <si>
    <t>19957-33T</t>
  </si>
  <si>
    <t>#adm Ventures, Accel Management Company, FJ Labs, Flybridge (New York), Headline, IG Expansion, Redpoint eventures, TA Ventures</t>
  </si>
  <si>
    <t>73332-64T</t>
  </si>
  <si>
    <t>Puras do Brasil</t>
  </si>
  <si>
    <t>Provider of business maintenance services. The company offers on-site maintenance services, building maintenance, food catering, cleaning and maintenance of air conditioning and public spaces in Brazil.</t>
  </si>
  <si>
    <t>Sodexo (PAR: SW)(Michel Landel)</t>
  </si>
  <si>
    <t>105288-94T</t>
  </si>
  <si>
    <t>Videolog</t>
  </si>
  <si>
    <t>Provider of an online video platform intended to outsource content production. The company's platform specializes in the research and development of services for broadcast and video sharing, enabling users to express themselves through video content.</t>
  </si>
  <si>
    <t>19092-79T</t>
  </si>
  <si>
    <t>Arinos Quimica</t>
  </si>
  <si>
    <t>Distributor of specialty and commodity chemicals. The company manufactures and distributes petrochemical resins.</t>
  </si>
  <si>
    <t>Clayton, Dubilier &amp; Rice(David Wasserman), CVC Capital Partners (AMS: CVC)(Christopher Stadler), Parcom Ventures, Univar Solutions(John Zillmer)</t>
  </si>
  <si>
    <t>139313-89T</t>
  </si>
  <si>
    <t>Cianet</t>
  </si>
  <si>
    <t>Provider of fiber optic network services intended to deliver state-of-the-art internet technology. The company offers tools, optical networks, and data transmission services, enabling businesses to develop, industrialize, and market telecommunications products and services with a focus on improving and complying with applicable requirements.</t>
  </si>
  <si>
    <t>Antera Gestão de Recursos, Criatec Fund</t>
  </si>
  <si>
    <t>70063-12T</t>
  </si>
  <si>
    <t>69832-45T</t>
  </si>
  <si>
    <t>Eichenberg &amp; Transeich Logistic Center</t>
  </si>
  <si>
    <t>Provider of logistic services. The company provides foreign trade, logistics, domestic and international transportation, storage and distribution services. It also provides domestic airfreight forwarding services.</t>
  </si>
  <si>
    <t>Kuehne + Nagel (SWX: KNIN)(Karl Gernandt)</t>
  </si>
  <si>
    <t>19098-64T</t>
  </si>
  <si>
    <t>Alothon Group(Ettore Biagioni)</t>
  </si>
  <si>
    <t>26803-63T</t>
  </si>
  <si>
    <t>71413-66T</t>
  </si>
  <si>
    <t>Pro Descart Industria e Comercio</t>
  </si>
  <si>
    <t>Manufacturer and distributor of sanitary and hygiene products. The company is a seller of incontinence care products like baby diapers, wet wipes, napkins and tissue papers.</t>
  </si>
  <si>
    <t>Svenska Cellulosa Aktiebolaget (STO: SCA A)</t>
  </si>
  <si>
    <t>36919-72T</t>
  </si>
  <si>
    <t>Kaszek(Hernan Kazah), Monashees</t>
  </si>
  <si>
    <t>58261-15T</t>
  </si>
  <si>
    <t>Scandiflex</t>
  </si>
  <si>
    <t>Manufacturer of plasticizers. The company provides polymeric plasticizers and monomeric including phthalates, adipates, citrates, maleates, sebacates, azelates and trimellitates, intended for various industries such as paints, varnishes , movies, calendared, adhesives, wire and cable, briquettes, packaging, plastics, rubber, textiles, plastisols, hospital, veterinary and crop protection products.</t>
  </si>
  <si>
    <t>Eastman Chemical (NYS: EMN)(Ronald Lindsay)</t>
  </si>
  <si>
    <t>56018-98T</t>
  </si>
  <si>
    <t>Confrapar Administração e Gestão de Recursos(Felipe Godoi)</t>
  </si>
  <si>
    <t>65101-69T</t>
  </si>
  <si>
    <t>90754-84T</t>
  </si>
  <si>
    <t>Vanguarda Participaçoes</t>
  </si>
  <si>
    <t>Producer of soyabean crop and soyabean oil.</t>
  </si>
  <si>
    <t>90756-01T</t>
  </si>
  <si>
    <t>Vega Engenharia e Consultoria</t>
  </si>
  <si>
    <t>Provider of engineering and consulting services catering to residential, commercial, industrial, hospital and educational sectors. The company offers interior design, project management, architectural projects, concrete structure project and electrical installations as well as structure and installations, technical consultancy, surveys and inspection services to clients.</t>
  </si>
  <si>
    <t>257778-82T</t>
  </si>
  <si>
    <t>Drogaria Sao Paulo</t>
  </si>
  <si>
    <t>Operator of a pharmacy chain intended to provide services through physical and online stores. The company specializes in retail prescription, proprietary drugs, vaccines, online consultation, blood pressure, injectables, personal hygiene products, and beauty products, thereby providing quality healthcare products and services to customers.</t>
  </si>
  <si>
    <t>73186-12T</t>
  </si>
  <si>
    <t>Prisma Pack Indústria de Filmes Técnicos e Embalagens</t>
  </si>
  <si>
    <t>Manufacturer of hygienic films. The company manufactures hygienic films that are used in personal care products including disposable diapers, feminine protection and incontinence diapers.</t>
  </si>
  <si>
    <t>Huhtamäki (HEL: HUH1V)(Jukka Moisio)</t>
  </si>
  <si>
    <t>72603-91T</t>
  </si>
  <si>
    <t>Colauto Adesivos e Massas</t>
  </si>
  <si>
    <t>Manufacturer of adhesives and sealants. The company offers structural adhesives, reinforcement adhesives, sealing material, sound absorbing line, cavity filters, and other related products for automotive industry.</t>
  </si>
  <si>
    <t>Sika Group (SWX: SIKA)(Thomas Hasler)</t>
  </si>
  <si>
    <t>27923-77T</t>
  </si>
  <si>
    <t>Norges Bank</t>
  </si>
  <si>
    <t>226395-73T</t>
  </si>
  <si>
    <t>RB Capital General Shopping Sulacap Fundo de Investimento Imobiliario - FII (BVMF: RBGS11)</t>
  </si>
  <si>
    <t>RB Capital General Shopping Sulacap Fundo de Investimento Imobiliario - FII is a real estate investment trust.</t>
  </si>
  <si>
    <t>90541-36T</t>
  </si>
  <si>
    <t>Linear Equipamentos Eletrônicos</t>
  </si>
  <si>
    <t>Manufacturer of electrical equipment. The company's electrical equipment include communication transmitting equipment.</t>
  </si>
  <si>
    <t>Hitachi Kokusai Electric</t>
  </si>
  <si>
    <t>111091-06T</t>
  </si>
  <si>
    <t>Librelato</t>
  </si>
  <si>
    <t>Manufacturer of truck and heavy commercial vehicles parts and accessories based in Icara, Brazil. The company's line of products include carbon steel and stainless steel tank line, refrigerated van, aluminium van, bulk and forest line containers, providing customers with a range of truck and trailer parts.</t>
  </si>
  <si>
    <t>CRP Companhia de Participacoes(Andre Lenz), Spectra Investments</t>
  </si>
  <si>
    <t>90694-99T</t>
  </si>
  <si>
    <t>SolteirosComFilhos</t>
  </si>
  <si>
    <t>Operator of a dating website. The company's website operates an online dating site for single parents.</t>
  </si>
  <si>
    <t>Cupid (Cyprus)</t>
  </si>
  <si>
    <t>90268-12T</t>
  </si>
  <si>
    <t>AondeNamoro.com</t>
  </si>
  <si>
    <t>Provider of online dating services. The company's online dating services involves social interaction, enabling users a new platform to exchange emotions with one another.</t>
  </si>
  <si>
    <t>IDE Group</t>
  </si>
  <si>
    <t>72681-94T</t>
  </si>
  <si>
    <t>Sisgraph</t>
  </si>
  <si>
    <t>Supplier of engineering and geospatial software. The company provides installation, consulting and training services for Intergraph, a engineering and geospatial software, in Brazil.</t>
  </si>
  <si>
    <t>46627-12T</t>
  </si>
  <si>
    <t>90564-94T</t>
  </si>
  <si>
    <t>Springs Global Participacoes (BVMF: SGPS3)</t>
  </si>
  <si>
    <t>53314-03T</t>
  </si>
  <si>
    <t>CromoUp</t>
  </si>
  <si>
    <t>Provider of an online video album platform. The company's online video album platform creates personal video albums via the internet enabling users to buy and trade virtual packages of stickers and content from celebrities.</t>
  </si>
  <si>
    <t>226469-89T</t>
  </si>
  <si>
    <t>Rio Bravo Credito Imobiliario I Fundo de Investimento Imobiliario (BVMF: RBCB11)</t>
  </si>
  <si>
    <t>Rio Bravo Credito Imobiliario I Fundo de Investimento Imobiliario is an investment management firm. It is classified as a Real Estate Investment Trust.</t>
  </si>
  <si>
    <t>35804-08T</t>
  </si>
  <si>
    <t>Mobjoy</t>
  </si>
  <si>
    <t>Developer of mobile games. The company develops and offers games for ipad and iphones custom-built to these platforms to ensure the best possible experience, providing gamers with new experiences by delivering high standard, visually stunning and joyful gaming.</t>
  </si>
  <si>
    <t>90755-92T</t>
  </si>
  <si>
    <t>Vera Bernardes Assessoria Imobiliária</t>
  </si>
  <si>
    <t>Provider of real estate brokerage services based in Porto Alegre, Brazil. The company offers management and sale of properties which include apartments, homes, condos, terra ville, alphaville and other standard properties, thereby enabling the customers to buy homes of their choice.</t>
  </si>
  <si>
    <t>Nexpe Participacoes (BVMF: NEXP3)(Álvaro Soares)</t>
  </si>
  <si>
    <t>90332-83T</t>
  </si>
  <si>
    <t>Brasmilho Industria e Comercio de Alimentos</t>
  </si>
  <si>
    <t>Manufacturer and distributor of agricultural seeds. The company's seed products include seeds of maize, sorghum and soybean, enabling customers to get agricultural products at a cost-effective price.</t>
  </si>
  <si>
    <t>75030-04T</t>
  </si>
  <si>
    <t>Sagatiba Brasil</t>
  </si>
  <si>
    <t>Producer of alcoholic beverage. The company is engaged in producing and distributing cachaca and cachaca-based products, wines and other spirits.</t>
  </si>
  <si>
    <t>Gruppo Campari (MIL: CPR)</t>
  </si>
  <si>
    <t>98135-65T</t>
  </si>
  <si>
    <t>Topz Indústria e Comércio de Cosméticos</t>
  </si>
  <si>
    <t>Manufacture of cosmetics and toiletry products. The company's cosmetics and toiletry products include cream, shampoo, soap and moisturizing mask fo children, men and women, enabling users to keep themselves clean and tidy.</t>
  </si>
  <si>
    <t>Cremer (Blumenau)(Daniel Gushi)</t>
  </si>
  <si>
    <t>90376-75T</t>
  </si>
  <si>
    <t>Cimcorp Comercio Internacional e Informatica</t>
  </si>
  <si>
    <t>Provider of data center and information technology infrastructure services based out of Sao Paulo, Brazil. The company offers cloud, big data, social business, mobility and data center services, thereby enabling companies to virtualize and implement cloud-based systems.</t>
  </si>
  <si>
    <t>Midas Medici Group Holdings(Nana Baffour)</t>
  </si>
  <si>
    <t>36902-89T</t>
  </si>
  <si>
    <t>Warehouse Investimentos</t>
  </si>
  <si>
    <t>27856-72T</t>
  </si>
  <si>
    <t>72732-97T</t>
  </si>
  <si>
    <t>Suntech Group</t>
  </si>
  <si>
    <t>Developer of communications intelligence applications based in Florianopolis, Brazil. The company's platform offers features for lawful interception, data retention and network performance management to major communication service providers and governments.</t>
  </si>
  <si>
    <t>Verint Systems (NAS: VRNT)</t>
  </si>
  <si>
    <t>90710-83T</t>
  </si>
  <si>
    <t>Supermercados Cardoso</t>
  </si>
  <si>
    <t>Operator of grocery stores.</t>
  </si>
  <si>
    <t>Cencosud (SGO: CENCOSUD)</t>
  </si>
  <si>
    <t>90753-04T</t>
  </si>
  <si>
    <t>Urban Transit Serviços do Brasil</t>
  </si>
  <si>
    <t>Provider of engineering services in Sao Paulo, Brazil.</t>
  </si>
  <si>
    <t>Scomi Engineering</t>
  </si>
  <si>
    <t>257375-17T</t>
  </si>
  <si>
    <t>Bau da Felicidade</t>
  </si>
  <si>
    <t>Provider of retail store based in Sao Paulo, Brazil.</t>
  </si>
  <si>
    <t>73337-05T</t>
  </si>
  <si>
    <t>SMS Electronic Technology</t>
  </si>
  <si>
    <t>Manufacturer of power protection and energy management products designed for electrical reliability and equipment safety. The company offers uninterruptible power supplies, voltage stabilizers, battery modules, surge protection systems, and energy monitoring software, enabling residential, corporate, and industrial users to maintain continuous power availability, prevent data loss, and safeguard electronic devices.</t>
  </si>
  <si>
    <t>Legrand (PAR: LR)</t>
  </si>
  <si>
    <t>224106-49T</t>
  </si>
  <si>
    <t>Fundo de Investimento Industrial do Brasil (BVMF: FIIB11)</t>
  </si>
  <si>
    <t>Fundo Invest Imobiliario INDL Brasil is a real estate investment fund. The Company invests in the Perini Business Park, an industrial condominium in Pirabeiraba.</t>
  </si>
  <si>
    <t>90509-50T</t>
  </si>
  <si>
    <t>Lopes Condessa Imóveis</t>
  </si>
  <si>
    <t>Provider of real estate consulting services intended to offer its clients comprehensive real estate consulting solutions. The company's real estate service includes buying property, renting, property management, as well as the purchase of commercial shops, enabling clients to own real estate property as per their requirements.</t>
  </si>
  <si>
    <t>90603-91T</t>
  </si>
  <si>
    <t>Politec Tecnologia da Informação</t>
  </si>
  <si>
    <t>Provider if information technology services. The company offers information technology services such as software factory, system support, outsourcing, system integration, environmental monitoring are tailored to the interests of customers and allied to the latest technologies and methodologies, delivering low cost and high efficiency solutions.</t>
  </si>
  <si>
    <t>Indra Sistemas (MAD: IDR)</t>
  </si>
  <si>
    <t>96511-33T</t>
  </si>
  <si>
    <t>86601-07T</t>
  </si>
  <si>
    <t>Nuvital Nutrientes</t>
  </si>
  <si>
    <t>Producer of animal feeding products. The company's animal feeding products include vitamin mixtures, mineral mixtures and other products for animal feed, enabling pet food traders to access a wide range of pet foods under one roof.</t>
  </si>
  <si>
    <t>IberoQuímica Magistral</t>
  </si>
  <si>
    <t>18830-35T</t>
  </si>
  <si>
    <t>BNDESpar, General Atlantic(Brett Rochkind)</t>
  </si>
  <si>
    <t>225913-33T</t>
  </si>
  <si>
    <t>Personale I Fundo de Investimento Imobiliario - FII (BVMF: PRSN11)</t>
  </si>
  <si>
    <t>Personale I Fundo Invest Imobiliario, formerly Personale I Fundo de Investimento Imobiliario - FII is a real estate investment fund. The services provided include asset allocation, asset servicing, investment management, pershing clearing services, and treasury services.</t>
  </si>
  <si>
    <t>257697-46T</t>
  </si>
  <si>
    <t>PraxiSolutions Business Consulting and Insurance Broker</t>
  </si>
  <si>
    <t>Provider of insurance broker services based in Sao Paulo, Brazil. The company specializes in the development and distribution of mass insurance through retail channels, having generated premiums.</t>
  </si>
  <si>
    <t>90482-23T</t>
  </si>
  <si>
    <t>Re/Max Home Hunters</t>
  </si>
  <si>
    <t>Provider of real estate advisory services. The company's real estate advisory services are conducted through an online portal where comprehensive and relevant information are posted for new, resell and rent properties, enabling clients to locate properties of their choice.</t>
  </si>
  <si>
    <t>32401-90T</t>
  </si>
  <si>
    <t>47167-39T</t>
  </si>
  <si>
    <t>UPL do Brasil</t>
  </si>
  <si>
    <t>Producer of agricultural chemicals. The company produces and distributes crop-protection chemicals and pesticides in the Brazilian agro-chemicals market.</t>
  </si>
  <si>
    <t>UPL (NSE: UPL)(Jaidev Shroff)</t>
  </si>
  <si>
    <t>72736-12T</t>
  </si>
  <si>
    <t>Steck Industria Eletrica</t>
  </si>
  <si>
    <t>Manufacturer and distributor of electrical products intended for residential, commercial and industrial uses. The company specializes in the design, manufacturing and distribution of products and systems for electrical installations and also offers products such as industrial plugs and sockets, contractors, miniature circuit breakers, wiring devices and installation systems and enclosures, thereby enabling its clients to be provided with safe and reliable products with cost-benefit and less impact on the environment.</t>
  </si>
  <si>
    <t>Schneider Electric (Electrical Equipment) (PAR: SU)(Julio Rodrìguez)</t>
  </si>
  <si>
    <t>107977-24T</t>
  </si>
  <si>
    <t>90445-33T</t>
  </si>
  <si>
    <t>73496-80T</t>
  </si>
  <si>
    <t>SK do Brasil</t>
  </si>
  <si>
    <t>Producer and explorer of oil. The company is engaged in the production, distribution and drilling of oil and gas wells in Brazil. It has a net current production of approximately 10,000 barrels of oil a day in Polvo field.</t>
  </si>
  <si>
    <t>Maersk Oil(Jakob Thomasen)</t>
  </si>
  <si>
    <t>90446-68T</t>
  </si>
  <si>
    <t>Fazon Corretora de Seguros</t>
  </si>
  <si>
    <t>Provider of insurance services. The company specializes in the health, life, auto, fleet and pension plan segments.</t>
  </si>
  <si>
    <t>90854-47T</t>
  </si>
  <si>
    <t>Engefiltro Comércio Importação e Exportação</t>
  </si>
  <si>
    <t>Provider of filtration, separation and purification systems to mining, oil and gas, chemical and petrochemical, power generation, food processing and pharmaceutical industries.</t>
  </si>
  <si>
    <t>Pall</t>
  </si>
  <si>
    <t>90451-81T</t>
  </si>
  <si>
    <t>Foose Cool Jeans</t>
  </si>
  <si>
    <t>Manufacturer of denim products. The company's denim products include jeans for men, women and kids, as well as jackets, dresses, beachwear, shirts and bags, enabling customers to buy branded denim products at affordable prices.</t>
  </si>
  <si>
    <t>25933-42T</t>
  </si>
  <si>
    <t>Temasek Holdings, Vinci Compass Investments (NAS: VINP)</t>
  </si>
  <si>
    <t>90853-03T</t>
  </si>
  <si>
    <t>Convenção SA Corretora de Valores e Cambio</t>
  </si>
  <si>
    <t>Provider of brokerage services. The company's brokerage services include trading in stocks, derivatives and various capital market instruments, enabling clients to get complete and quality brokerage services.</t>
  </si>
  <si>
    <t>TP ICAP (LON: TCAP)</t>
  </si>
  <si>
    <t>97097-32T</t>
  </si>
  <si>
    <t>Stratema Indústria e Comércio</t>
  </si>
  <si>
    <t>Manufacturer of fuel dispensers. The company's fuel dispensers include automated and non-automated petrol, diesel and gasoline dispensers, in addition, it also offers maintenance, installation and repairing services, enabling retail petroleum, commercial fueling stations, regional and local oil companies and independent retailers to get a diverse range of dispensers and related services.</t>
  </si>
  <si>
    <t>Gilbarco Veeder-Root(Peter Dilnot)</t>
  </si>
  <si>
    <t>90534-07T</t>
  </si>
  <si>
    <t>Laboratório de Controle de Qualidade Pharma Nostra</t>
  </si>
  <si>
    <t>Supplier of pharmaceutical raw materials. The company's pharmaceutical raw materials include laboratory equipment and other pharmaceutical products, enabling the healthcare and medical industry to access a wide range of products for their operation under one roof.</t>
  </si>
  <si>
    <t>Arseus Medical Group</t>
  </si>
  <si>
    <t>20909-17T</t>
  </si>
  <si>
    <t>Great Oaks Venture Capital</t>
  </si>
  <si>
    <t>75009-25T</t>
  </si>
  <si>
    <t>Mappel</t>
  </si>
  <si>
    <t>Manufacturer and Packager of cosmetics products. The company specializes in filling sachets for the pharmaceutical, cosmetic and veterinary.</t>
  </si>
  <si>
    <t>21 Invest (Veneto), Ileos(Philippe Gelblat)</t>
  </si>
  <si>
    <t>102817-90T</t>
  </si>
  <si>
    <t>Aeróleo Táxi Aéreo</t>
  </si>
  <si>
    <t>Provider of helicopter transport services. The company's helicopter transport services include air logistic services, inspection operations on transmission lines and pipelines, offshore and onshore seismography, aircraft maintenance services, enabling clients to get access to the services.</t>
  </si>
  <si>
    <t>Era Group (Air)</t>
  </si>
  <si>
    <t>256438-90T</t>
  </si>
  <si>
    <t>Faculdade Atenas Maranhense</t>
  </si>
  <si>
    <t>Provider of education and training services based in Imperatriz, Brazil. The company offers undergraduate and postgraduate courses in different areas, thereby enabling students with integral development, intellectual growth, and developing ethical, and moral values and environmental awareness.</t>
  </si>
  <si>
    <t>256446-28T</t>
  </si>
  <si>
    <t>Faculdade União</t>
  </si>
  <si>
    <t>Provider of education and training services based in Paraná, Brazil. The company offers undergraduate and postgraduate courses in different areas, thereby enabling students with integral development, intellectual growth, and developing ethical, and moral values and environmental awareness.</t>
  </si>
  <si>
    <t>37581-85T</t>
  </si>
  <si>
    <t>Technos SA is primarily engaged in the manufacture and marketing of watches. The company produces and sells watches to middle class under brand name Technos, Mormii and Seiko. It acquired the rights to distribute and use the Timex brand exclusively throughout the national territory. In addition, the company also distribute brand name called Allora and Touch in the fashion segment. It derives most of its revenues from the sale of the watches and yarn and has operations spread across Brazil.</t>
  </si>
  <si>
    <t>134682-58T</t>
  </si>
  <si>
    <t>Webjet (Brazil)</t>
  </si>
  <si>
    <t>Operator of airlines based in Rio de Janeiro, Brazil. The airlines company operates in domestic as well as international routes with about operations in 6 countries</t>
  </si>
  <si>
    <t>90233-20T</t>
  </si>
  <si>
    <t>AES Communications Rio de Janeiro</t>
  </si>
  <si>
    <t>Provider of telecommunication services in Rio de Janeiro Brazil.</t>
  </si>
  <si>
    <t>TIM (Brazil)</t>
  </si>
  <si>
    <t>79843-96T</t>
  </si>
  <si>
    <t>Cosan (BVMF: CSAN3)(Marcelo Martins)</t>
  </si>
  <si>
    <t>76956-94T</t>
  </si>
  <si>
    <t>GC Investments</t>
  </si>
  <si>
    <t>22962-61T</t>
  </si>
  <si>
    <t>220791-52T</t>
  </si>
  <si>
    <t>Brasil Pharma</t>
  </si>
  <si>
    <t>Brasil Pharma SA is a Brazil-based company primarily engaged in the pharmaceutical retail sector. The company operates in the retail sale of medicines, perfumes, cosmetics, skincare and beauty products and toiletries. The operating segments of the company are Retail sector and Service sector, of which majority of the revenue is generated from the Retail segment. The group has its presence in all the regions of Brazil through its own stores and a franchise network. The owned stores of the company are operated under the Big Ben, Guararapes, District Pharmacy Rosary, Sant'Ana and Mais Economica brands. The company's franchises operate under the Farmais brand.</t>
  </si>
  <si>
    <t>224052-04T</t>
  </si>
  <si>
    <t>Fundo Invest Imobiliario Bm Cenesp FII (BVMF: CNES11)</t>
  </si>
  <si>
    <t>Fundo Invest Imobiliario Bm Cenesp FII, formerly Fundo de Investimento Imobiliario CENESP - FII is a real estate investment fund. It is engaged in developing commercial office properties.</t>
  </si>
  <si>
    <t>91488-79T</t>
  </si>
  <si>
    <t>Galvão Vendas de Imóveis</t>
  </si>
  <si>
    <t>Provider of real estate management and brokerage services based in Curitiba, Brazil. The company specializes in real estate evaluation, legal advice, asset consultancy, construction, buying, selling and renting of homes, project planning and management, enabling customers to buy and sell homes at competitive prices.</t>
  </si>
  <si>
    <t>31516-30T</t>
  </si>
  <si>
    <t>Kaszek(Nicolas Szekasy), Tiger Global Management</t>
  </si>
  <si>
    <t>216200-08T</t>
  </si>
  <si>
    <t>RJ Capital Partners</t>
  </si>
  <si>
    <t>Operator of a venture capital investment company based in Rio de Janeiro, Brazil. The company is a startup and real estate investment company specializing in technology startups and also specializes in the acquisition, sale and dealing of securities of public and private companies.</t>
  </si>
  <si>
    <t>86198-50T</t>
  </si>
  <si>
    <t>Nevoa Networks</t>
  </si>
  <si>
    <t>Provider of cloud storage technologies intended to improve cloud storage systems. The company's products focus on infrastructure storage, security, distribution, and data management, enabling companies, institutions, and data centers to seamlessly increase their cloud-based storage capacity.</t>
  </si>
  <si>
    <t>95495-14T</t>
  </si>
  <si>
    <t>Hoepers</t>
  </si>
  <si>
    <t>Operator of a credit and financial asset recovery company intended to serve corporate clients. The company provides credit recovery and financial asset management, recovering assets by turning them into results.</t>
  </si>
  <si>
    <t>EOS Group (Private Equity)(Hans-Werner Scherer)</t>
  </si>
  <si>
    <t>102819-16T</t>
  </si>
  <si>
    <t>Macrofértil Industria e Comercio de Fertilizantes</t>
  </si>
  <si>
    <t>Manufacturer and distributor of fertilizers in Brazil.</t>
  </si>
  <si>
    <t>90594-01T</t>
  </si>
  <si>
    <t>PED Distribuidora de Produtos Farmacêuticos</t>
  </si>
  <si>
    <t>Distributor of pharmaceutical products.</t>
  </si>
  <si>
    <t>Amgen (NAS: AMGN)</t>
  </si>
  <si>
    <t>221306-86T</t>
  </si>
  <si>
    <t>BB Renda Corporativa (BVMF: BBRC11)</t>
  </si>
  <si>
    <t>BB Renda Corporativa Fundo Invest Imobiliario FII operates as a real estate investment fund.</t>
  </si>
  <si>
    <t>94438-90T</t>
  </si>
  <si>
    <t>74095-30T</t>
  </si>
  <si>
    <t>Axxiom Technology Solutions</t>
  </si>
  <si>
    <t>Provider of engineering and information technology services intended for utility companies. The company offers development and technical systems maintenance and systems integration software and services, thereby helping in developing and maintaining management systems and integration with legacy systems.</t>
  </si>
  <si>
    <t>24927-31T</t>
  </si>
  <si>
    <t>KPTL, SP Ventures(Francisco Jardim)</t>
  </si>
  <si>
    <t>19213-03T</t>
  </si>
  <si>
    <t>Insight Partners (New York)(Michael Triplett)</t>
  </si>
  <si>
    <t>37578-43T</t>
  </si>
  <si>
    <t>Brasil Trade Shows Partners Participacoes</t>
  </si>
  <si>
    <t>Organizer of trade shows and publisher of magazines. The company organizes trade shows in the food &amp; beverage services, furniture manufacturing and franchising sectors, with leading brands including Fispal, ABF and ForMobile.</t>
  </si>
  <si>
    <t>Informa (LON: INF)(Peter Rigby)</t>
  </si>
  <si>
    <t>73940-05T</t>
  </si>
  <si>
    <t>Ikeda</t>
  </si>
  <si>
    <t>Provider of e-commerce software. The company provides retailers with a SaaS-based platform enabling clients to build web-based comerce sites, and to provide advisory services to support their online retail operations.</t>
  </si>
  <si>
    <t>Rakuten Group (TKS: 4755)(Hiroshi Mikitani)</t>
  </si>
  <si>
    <t>50690-53T</t>
  </si>
  <si>
    <t>224696-98T</t>
  </si>
  <si>
    <t>JS Real Estate Multigestao-FII (BVMF: JSRE11)</t>
  </si>
  <si>
    <t>JS Real Estate Multigestao-FII is a real estate investment fund.</t>
  </si>
  <si>
    <t>91727-74T</t>
  </si>
  <si>
    <t>Seival Participações</t>
  </si>
  <si>
    <t>Eneva (BVMF: ENEV3)(Eduardo Karrer)</t>
  </si>
  <si>
    <t>72766-09T</t>
  </si>
  <si>
    <t>VIXIA Consultoria e Tecnologia</t>
  </si>
  <si>
    <t>Provider of business consulting and information technology support services. The company offers operational software, business consulting and systems integration services to insurance, reinsurance and financial institutions in Brazil.</t>
  </si>
  <si>
    <t>Computer Sciences( IT Consulting and Outsourcing)(Raymond August)</t>
  </si>
  <si>
    <t>224104-06T</t>
  </si>
  <si>
    <t>Fundo de Investimento Imobiliario VBI FL 4440 - FII (BVMF: FVBI11B)</t>
  </si>
  <si>
    <t>Fundo de Investimento Imobiliario VBI FL 4440 - FII is a real estate investment fund.</t>
  </si>
  <si>
    <t>28619-29T</t>
  </si>
  <si>
    <t>46618-21T</t>
  </si>
  <si>
    <t>AM Media Box</t>
  </si>
  <si>
    <t>Provider of health products. The company is engaged in the distribution and sales of health, wellness, and beauty products on a subscription basis.</t>
  </si>
  <si>
    <t>92256-85T</t>
  </si>
  <si>
    <t>19948-15T</t>
  </si>
  <si>
    <t>102174-04T</t>
  </si>
  <si>
    <t>Ledervin Industria e Comercio</t>
  </si>
  <si>
    <t>Manufacturer of textiles. The company's manufacturing unit is engaged in the production of textiles for fashion, gifts, furniture and decoration and offers products that have features such as unparalleled touch and comfort, variety of colors, textures and unique prints, enabling clients to get access to the textiles according to their requirements.</t>
  </si>
  <si>
    <t>178745-59T</t>
  </si>
  <si>
    <t>Matec Group (Textile Business)</t>
  </si>
  <si>
    <t>Provider of textile services based in Sumaré, Brazil.</t>
  </si>
  <si>
    <t>61693-39T</t>
  </si>
  <si>
    <t>Operator of a payment platform designed to offer currency exchange and money transfer services. The company's services include foreign currency exchange, international prepaid cards, and scheduled exchange services.</t>
  </si>
  <si>
    <t>3i Group (LON: III), Apax Partners(Stephen Green), Travelex Group</t>
  </si>
  <si>
    <t>39210-85T</t>
  </si>
  <si>
    <t>22285-18T</t>
  </si>
  <si>
    <t>General Catalyst(Joel Cutler), Redpoint Ventures(Jeffrey Brody)</t>
  </si>
  <si>
    <t>32402-62T</t>
  </si>
  <si>
    <t>Southern Cross Group(Norberto Morita)</t>
  </si>
  <si>
    <t>228236-77T</t>
  </si>
  <si>
    <t>CIMS</t>
  </si>
  <si>
    <t>CIMS SA participates in the capital of other companies, primarily operating in the energy sector.</t>
  </si>
  <si>
    <t>210064-69T</t>
  </si>
  <si>
    <t>Braspag</t>
  </si>
  <si>
    <t>Developer of payment processing technology designed for e-commerce and call centers in Latin America. The company's platform offers features such as gateway, conciliation, anti-fraud, tokenization and one-click purchase as well as subscriptions and automatic division, thereby consolidating the accounts receivable process of Brazil's leading online stores and offering them a comprehensive range of services in the segment of online transaction processing.</t>
  </si>
  <si>
    <t>40570-39T</t>
  </si>
  <si>
    <t>Femepe Industria e Comercio de Pescados</t>
  </si>
  <si>
    <t>Provider of fish products. The company offers canned fish products.</t>
  </si>
  <si>
    <t>99957-97T</t>
  </si>
  <si>
    <t>Koblitz Energia</t>
  </si>
  <si>
    <t>Provider of integrated services intended for power generation and co generation from renewable sources. The company's integrated services for power generation and co generation involves development of advanced concepts in electric and thermodynamic systems that are based out of constant pursue of alternatives for energy systems integration aligned with modern times and with environmental concerns, thereby enabling industries to get access to renewable source of energy and create sustainable development and preservation to benefit future generations.</t>
  </si>
  <si>
    <t>Orano(Anil Srivastava)</t>
  </si>
  <si>
    <t>90095-41T</t>
  </si>
  <si>
    <t>Portx Operacoes Portuarias</t>
  </si>
  <si>
    <t>Operator of a sea port. The company's sea port offers water transportation services, enabling clients to make use of the company's transportation services.</t>
  </si>
  <si>
    <t>110760-58T</t>
  </si>
  <si>
    <t>Vetec Química Fina</t>
  </si>
  <si>
    <t>Manufacturer of high purity chemicals that are used for research, development, and manufacturing processes in the academic and industrial markets. The company provides a wide range of analytical reagents and raw materials with high purity, supplied in various flexible packaging forms.</t>
  </si>
  <si>
    <t>Sigma-Aldrich Chemicals(Eric Green)</t>
  </si>
  <si>
    <t>78216-76T</t>
  </si>
  <si>
    <t>Drillfor Perfurações do Brasil</t>
  </si>
  <si>
    <t>Provider of oil and gas exploration services. The company is engaged in the drilling of oil wells and extraction of oil and natural gas in Brazil.</t>
  </si>
  <si>
    <t>Tuscany International Drilling</t>
  </si>
  <si>
    <t>33690-97T</t>
  </si>
  <si>
    <t>Mastersaf Brazil</t>
  </si>
  <si>
    <t>Developer of tax and accounting software and management tools. The company offers legal, tax and accounting software and compliance suite to process taxes and generate data required by tax authorities. It also offers e-invoicing software and online tax information portal.</t>
  </si>
  <si>
    <t>Thomson Reuters (TSE: TRI)(Brian Peccarelli)</t>
  </si>
  <si>
    <t>90602-74T</t>
  </si>
  <si>
    <t>BRIC Integrated Corporate Communications</t>
  </si>
  <si>
    <t>224073-73T</t>
  </si>
  <si>
    <t>Fundo de Investimento Imobiliario Mercantil do Brasil- FII (BVMF: RBOP11)</t>
  </si>
  <si>
    <t>Fundo De Investimento Imobiliario Mercantil Do Brasil FII formerly Fundo De Investimento Imobiliario Rio Bravo Oportunidades Imobiliarias is a real estate investment fund. The company is engaged in commercial operation through leasing of real estate.</t>
  </si>
  <si>
    <t>212354-65T</t>
  </si>
  <si>
    <t>Nossa Caixa Seguros E Previdencia</t>
  </si>
  <si>
    <t>Provider of insurance services based in Brazil. The company offers auto insurance, life insurance, residential insurance and related services, thereby providing clients with complete insurance coverage.</t>
  </si>
  <si>
    <t>31408-66T</t>
  </si>
  <si>
    <t>64408-96T</t>
  </si>
  <si>
    <t>Redentor Energia</t>
  </si>
  <si>
    <t>Producer and distributor of electricity. The company is active in the segments of distribution, generation and commercialization of electric energy in Brazil.</t>
  </si>
  <si>
    <t>BTG Pactual Credito Imobiliario (BVMF: BTCI11), Parati (Rio de Janeiro)</t>
  </si>
  <si>
    <t>73510-48T</t>
  </si>
  <si>
    <t>Sanes Brasil</t>
  </si>
  <si>
    <t>Distributor of food products. The company imports food products such as fish, olive oil, garlic and olives for supermarket chains, hypermarkets and wholesalers in Brazil.</t>
  </si>
  <si>
    <t>Tangara Importadora e Exportadora(Jose Teixeira)</t>
  </si>
  <si>
    <t>50391-82T</t>
  </si>
  <si>
    <t>Scarlat Industrial</t>
  </si>
  <si>
    <t>Manufacturer and distributor of home cleaning products. The company manufactures cleaning products such as fabric softeners, disinfectants, coconut soap mostly under the brand names Baby Soft, Clean Max, Scarlim and Dipol.</t>
  </si>
  <si>
    <t>Actis(Chu Kong), Gtex Brasil</t>
  </si>
  <si>
    <t>73339-93T</t>
  </si>
  <si>
    <t>SPG Mineração</t>
  </si>
  <si>
    <t>Explorer of iron ore. The company owns licenses to explore iron ore deposits in the northern state of Brazil.</t>
  </si>
  <si>
    <t>Severstal (MISX: CHMF)</t>
  </si>
  <si>
    <t>40078-45T</t>
  </si>
  <si>
    <t>Amundi Private Equity Funds, DGF Investimentos, Spectra Investments</t>
  </si>
  <si>
    <t>52618-15T</t>
  </si>
  <si>
    <t>Multigrain</t>
  </si>
  <si>
    <t>Distributor of agricultural commodities. The company distributes soya beans, wheat flour, bread pre-mixes, cotton, sugar, cotton and fertilizers.</t>
  </si>
  <si>
    <t>18427-69T</t>
  </si>
  <si>
    <t>General Atlantic, Graph Ventures, Tiger Global Management</t>
  </si>
  <si>
    <t>24513-67T</t>
  </si>
  <si>
    <t>A5 Capital Partners(Paulo Humberg), Mangrove Capital Partners, Mosaico</t>
  </si>
  <si>
    <t>16626-07T</t>
  </si>
  <si>
    <t>108314-38T</t>
  </si>
  <si>
    <t>Alfaias</t>
  </si>
  <si>
    <t>Producer and distributor of bed and bath products. The company engages in producing and distributing bed and bath products with the help of a team of professionals, enabling customers to receive quality and affordable products.</t>
  </si>
  <si>
    <t>187477-84T</t>
  </si>
  <si>
    <t>BTG Pactual (BVMF: BPAC3)(Roberto Sallouti), Caixa (BVMF: CRFF11)</t>
  </si>
  <si>
    <t>18593-56T</t>
  </si>
  <si>
    <t>Riverstone Holdings(John Lancaster)</t>
  </si>
  <si>
    <t>57523-60T</t>
  </si>
  <si>
    <t>Best, Cool &amp; Fun Games - Free Game App Creation Desenvolvimento de Aplicativos</t>
  </si>
  <si>
    <t>Developer of Web based and mobile games for android devices. The company develops mobile games including Ant Smasher, Fireworks and Bunny Shooter.</t>
  </si>
  <si>
    <t>ArpexCapital, Daniel Gutenberg(Daniel Gutenberg), Madrone Capital Partners</t>
  </si>
  <si>
    <t>77421-16T</t>
  </si>
  <si>
    <t>36116-47T</t>
  </si>
  <si>
    <t>22184-83T</t>
  </si>
  <si>
    <t>Korea Investment Corporation</t>
  </si>
  <si>
    <t>97300-81T</t>
  </si>
  <si>
    <t>Tecsis</t>
  </si>
  <si>
    <t>Manufacturer and supplier of blades intended for the wind energy sector. The company specializes in aerodynamic and structural design, manufacturing processes, industrial series production, and product testing of wind turbine blades, enabling clients to get repowered and life extension projects.</t>
  </si>
  <si>
    <t>BNDESpar, Estater Gestao de Investimentos, Unipar (Brazil)</t>
  </si>
  <si>
    <t>280201-78T</t>
  </si>
  <si>
    <t>Wizard by Pearson</t>
  </si>
  <si>
    <t>Provider of language learning courses based in Recife, Brazil. The company offers a variety of subjects, including English, Spanish, German, Italian, Chinese, Japanese, and Portuguese, enabling students to achieve learning objectives.</t>
  </si>
  <si>
    <t>218474-74T</t>
  </si>
  <si>
    <t>23546-71T</t>
  </si>
  <si>
    <t>Companhia Nacional de Acucar e Alcool</t>
  </si>
  <si>
    <t>Owner and operator of greenfield sugar and ethanol production facilities. The company was formed as a joint venture between Santa Elisa and Global Foods Holding. The company owns ethanol production plants in the Center-South Region of Brazil. The company engages in processing of sugar, alcohol and co-generation of electricity by means of sugarcane bagasse.</t>
  </si>
  <si>
    <t>73179-73T</t>
  </si>
  <si>
    <t>20909-08T</t>
  </si>
  <si>
    <t>Gregory Waldorf(Gregory Waldorf)</t>
  </si>
  <si>
    <t>110927-98T</t>
  </si>
  <si>
    <t>Energias Renováveis</t>
  </si>
  <si>
    <t>Provider of renewable energy services in Brazil. The company is primarily involved in the operation of small hydropower plants, biomass power plants, and wind farms.</t>
  </si>
  <si>
    <t>86194-27T</t>
  </si>
  <si>
    <t>HortiAgro</t>
  </si>
  <si>
    <t>Producer of hybrid vegetable seeds designed to increase and improve productivity. The company's hybrid vegetable seeds are genetically modified and offer more than 40,000 variety of seeds with including seeds of tomatoes, peppers, cauliflower, eggplant and cucumber cultivars, enabling users to produce disease-resistant crops.</t>
  </si>
  <si>
    <t>86998-69T</t>
  </si>
  <si>
    <t>Talent Group (Brazil)</t>
  </si>
  <si>
    <t>Provider of human capital services intended to provide tailored placement for personal and professional goals. The company's consultancy specializes in recruitment &amp; selection of professionals with the objective of meeting the specific needs of your company, through differentiated and customized services.</t>
  </si>
  <si>
    <t>Publicis Groupe (PAR: PUB)(Jean-Yves Naouri)</t>
  </si>
  <si>
    <t>102824-74T</t>
  </si>
  <si>
    <t>CDC Brasil Distribuidora de Tecnologias Especiais</t>
  </si>
  <si>
    <t>Distributor of technology products to resellers. The company's products include barcode and also offers voice, data networking and other technology services to various organizations.</t>
  </si>
  <si>
    <t>18346-42T</t>
  </si>
  <si>
    <t>215003-71T</t>
  </si>
  <si>
    <t>T4F Entretenimento SA is a Brazil-based company. The company is primarily engaged in the management, promotion, organization, production, representation, programming, and undertaking of live entertainment-related activities, such as sports, artistic and cultural events, shows and performances of various nature, as well as the management and operation of performing arts venues. The company also sells ticket live concerts and shows, stage plays, and exhibits; sale of food and beverages. Most of its revenue is earned from Argentina market, while it also has a presence in Brasil, Chile, and Peru market.</t>
  </si>
  <si>
    <t>70831-45T</t>
  </si>
  <si>
    <t>Veyance Technologies (Offshore Oil and Gas Business in Brazil)</t>
  </si>
  <si>
    <t>Producer of oil and gas in Brazil. The company focuses on specially designed oil hoses for surface and deep-sea applications for the offshore oil and gas extraction industry. It also operates a plant located in Santana de Parnaiba, close to São Paulo.</t>
  </si>
  <si>
    <t>Trelleborg Group (STO: TREL B)(Lennart Karl Ragnar Johansson)</t>
  </si>
  <si>
    <t>68832-46T</t>
  </si>
  <si>
    <t>Viappiani do Brasil</t>
  </si>
  <si>
    <t>Provider of label printing services. The company offers printing services for shielded, prime, dual printed labels and other related products for cosmetics, pharmaceuticals, chemicals, food and beverage industries.</t>
  </si>
  <si>
    <t>CTI Invest (Label Manufacture)(Christian Trierenberg)</t>
  </si>
  <si>
    <t>90452-17T</t>
  </si>
  <si>
    <t>Focal Aviation</t>
  </si>
  <si>
    <t>Provider of military aero engineering services. The company's military aero engineering services include aero engine maintenance, repair and overhaul, enabling the aviation industry to access a wide range of services for keeping their vehicle running in proper order under one roof.</t>
  </si>
  <si>
    <t>Avio (MIL: AVIO)</t>
  </si>
  <si>
    <t>216398-08T</t>
  </si>
  <si>
    <t>Café Fino Grão</t>
  </si>
  <si>
    <t>Producer of coffee products based in Contagem, Brazil. The company offers roasted and ground beans in traditional and extra strong version.</t>
  </si>
  <si>
    <t>34625-17T</t>
  </si>
  <si>
    <t>Insight Partners (New York)(Nnamdi Okike)</t>
  </si>
  <si>
    <t>40330-63T</t>
  </si>
  <si>
    <t>77225-14T</t>
  </si>
  <si>
    <t>Swiss Re Corporate Solutions Brasil Seguros</t>
  </si>
  <si>
    <t>Provider of insurance products and services based in Sao Paulo, Brazil. The company specializes in offering guarantees and rural insurance to mid-sized and large multinational corporations across the globe.</t>
  </si>
  <si>
    <t>International Finance (Washington D.C.), Swiss Re (SWX: SREN)(Rudolf Flunger)</t>
  </si>
  <si>
    <t>20646-28T</t>
  </si>
  <si>
    <t>DFJ Tamir Fishman(Benny Zeevi), Draper Fisher Jurvetson Management(Jennifer Fonstad), Helix Center Biotech Incubator, Kleiner Perkins(Brook Porter), Mitsui Global Investment</t>
  </si>
  <si>
    <t>188208-73T</t>
  </si>
  <si>
    <t>Medlink Connectividade Em Saude</t>
  </si>
  <si>
    <t>Provider of connectivity solutions intended to help operators and providers exchange files seamlessly.
.</t>
  </si>
  <si>
    <t>90263-35T</t>
  </si>
  <si>
    <t>Anchortec</t>
  </si>
  <si>
    <t>Manufacturer of construction and building industries chemical products. The company's chemical products include grouts, repair mortars, adhesives, waterproofing, flooring, concrete admixtures, coatings and markets many other products imported from Europe, Asia and Middle East.</t>
  </si>
  <si>
    <t>Weber Marine &amp; Offshore(Carlos Orlando)</t>
  </si>
  <si>
    <t>52482-07T</t>
  </si>
  <si>
    <t>Belden (NYS: BDC)(John Stroup)</t>
  </si>
  <si>
    <t>91754-56T</t>
  </si>
  <si>
    <t>Brado Logística</t>
  </si>
  <si>
    <t>Provider of logistics and good transportation services intended for container movement to the main production and consumption hubs in Brazil. The company offers services including railway inter-modality, modal integrating warehousing and distribution, as well as rail, road and sea transport services, thereby enabling its clients to receive their deliveries on time effectively.</t>
  </si>
  <si>
    <t>90379-09T</t>
  </si>
  <si>
    <t>Coniexpress SA Indústrias Alimentícias</t>
  </si>
  <si>
    <t>Manufacturer of tomato-based sauces, tomato paste, ketchup and condiments catering to the food industry. The company's products include frozen vegetables, mayonnaise, processed tuna, maize starch, olive oil and tomato bases, thereby enabling customers to cook up new dishes with these ingredients.</t>
  </si>
  <si>
    <t>The Kraft Heinz (NAS: KHC)(William Johnson)</t>
  </si>
  <si>
    <t>92022-76T</t>
  </si>
  <si>
    <t>33956-20T</t>
  </si>
  <si>
    <t>Cassio Spina, Ricardo Taveira(Ricardo Taveira)</t>
  </si>
  <si>
    <t>195190-57T</t>
  </si>
  <si>
    <t>Elizabeth Louças Sanitárias</t>
  </si>
  <si>
    <t>Manufacturer and distributor of ceramic tiles based out of Brazil. The company's range of products include sanitaryware in different colors and shapes designed to offer comfort, beauty, functionality and durability, enabling customers to receive quality products.</t>
  </si>
  <si>
    <t>Dexco (BVMF: DXCO3)</t>
  </si>
  <si>
    <t>294621-94T</t>
  </si>
  <si>
    <t>ComunIP</t>
  </si>
  <si>
    <t>Developer of real-time multimedia communication systems designed for voice and video transmission over internet protocol (IP) networks intended for use by internet service provider (ISP) and telecommunications providers. The company's platform supports instant communication features such as messaging, voice, and video integration, enabling telecom operators and service providers to deploy scalable, interoperable, and real-time communication services efficiently across their networks.</t>
  </si>
  <si>
    <t>18251-47T</t>
  </si>
  <si>
    <t>Sertrading, Warburg Pincus(Azor Barros)</t>
  </si>
  <si>
    <t>223866-19T</t>
  </si>
  <si>
    <t>Fator Verita Fundo de Investimento Imobiliario (BVMF: VRTA11)</t>
  </si>
  <si>
    <t>Fator Verita Fundo de Investimento Imobiliario - FII is a real estate investment trust. The Fund is a pool of resources and its purpose is to acquire certificates of real estate receivables, real estate credit bills, mortgage bills, shares of real estate investment funds, shares of investment fund in credit rights, investment fund shares classified as fixed income and debentures.</t>
  </si>
  <si>
    <t>80466-13T</t>
  </si>
  <si>
    <t>65456-11T</t>
  </si>
  <si>
    <t>Gerresheimer Plásticos São Paulo</t>
  </si>
  <si>
    <t>Manufacturer of pharmaceutical packaging products. The company offers a wide range of plastic products such as bottles, applicators, cups, caps, droppers and syringes.</t>
  </si>
  <si>
    <t>Gerresheimer (ETR: GXI)(Uwe Rohrhoff)</t>
  </si>
  <si>
    <t>102824-02T</t>
  </si>
  <si>
    <t>Floresta do Rico Doce Agroderivados</t>
  </si>
  <si>
    <t>Operator of a cocoa factory. The company's cocoa factory mainly produces chocolate, enabling chocolate lovers to taste different kinds of chocolate.</t>
  </si>
  <si>
    <t>Puratos(Eddy Van Belle)</t>
  </si>
  <si>
    <t>30861-64T</t>
  </si>
  <si>
    <t>30314-89T</t>
  </si>
  <si>
    <t>British Columbia Investment Management, One Equity Partners(Richard Smith)</t>
  </si>
  <si>
    <t>109207-90T</t>
  </si>
  <si>
    <t>Maeda Agroindustrial</t>
  </si>
  <si>
    <t>Provider of cotton and vegetable oils. The company produces cotton, grows corn and soybeans as well as raising livestock offering ISO 9001 certified vegetable oil with a processing capacity of 120 thousand tons of cotton seed per year.</t>
  </si>
  <si>
    <t>73521-37T</t>
  </si>
  <si>
    <t>Dynpro Sistemas</t>
  </si>
  <si>
    <t>Provider of information technology services. The company develops and designs products related to information technology. It specializes in the 
SAP system integration market in Brazil.</t>
  </si>
  <si>
    <t>Engineering Do Brasil(Paolo Pandozy)</t>
  </si>
  <si>
    <t>74826-46T</t>
  </si>
  <si>
    <t>Unilever (Tomato Products Business in Brazil)</t>
  </si>
  <si>
    <t>Manufacturer of tomato products. The company is engaged in the manufacture and distribution of tomato sauce, pastes, tomato pulp and purees under different brands in Brazil.</t>
  </si>
  <si>
    <t>Cargill(Marcelo Martins)</t>
  </si>
  <si>
    <t>28160-65T</t>
  </si>
  <si>
    <t>Grupo ECOS(Salvador Escobedo), MOV Investimentos(Paulo Bellotti), Pragma Patrimônio(Bellotti Paulo)</t>
  </si>
  <si>
    <t>36911-71T</t>
  </si>
  <si>
    <t>Direct Express</t>
  </si>
  <si>
    <t>Provider of logistics services intended to meet the needs of the e-commerce markets, catalogs and others, with a focus on cargo and express orders. The company's services include logistics services for freight and express shipments, from storage to the execution and delivery of information, including receiving and managing the product values eventually received upon delivery, enabling clients to get access to an easy and cost effective transport experience.</t>
  </si>
  <si>
    <t>Tegma Gestão Logística (BVMF: TGMA3)</t>
  </si>
  <si>
    <t>101177-29T</t>
  </si>
  <si>
    <t>Companhia Hipotecária Unibanco Rodobens</t>
  </si>
  <si>
    <t>Provider of real estate financing services. The company's real estate financing services include granting financing for the construction, refurbishment, sale of residential and business properties, urban land plot, purchasing selling, refinancing and managing own or thirdparty mortgage loans, managing real estate investment funds, enabling mortgage companies to use onlending funds to finance the construction or purchase of residential properties and other transactions.</t>
  </si>
  <si>
    <t>Grupo Verdi</t>
  </si>
  <si>
    <t>127961-74T</t>
  </si>
  <si>
    <t>Quattor Petroquimica</t>
  </si>
  <si>
    <t>Manufacturer of chemicals based in Sao Paulo, Brazil. The company is engaged in the production and distribution of polypropylene, polyethylene and basic chemical products.</t>
  </si>
  <si>
    <t>110692-54T</t>
  </si>
  <si>
    <t>Laep Investments(Marcus Elias)</t>
  </si>
  <si>
    <t>91686-16T</t>
  </si>
  <si>
    <t>Polibutenos</t>
  </si>
  <si>
    <t>Manufacturer of polybutenes and related products. The company's product is used to manufacture adhesives, lubricants, wrap films, chemical reactions and dieletric applications.</t>
  </si>
  <si>
    <t>72908-38T</t>
  </si>
  <si>
    <t>Isocoat Tintas e Vernizes</t>
  </si>
  <si>
    <t>Manufacturer of dust coatings. The company manufactures powder coatings used in appliance, building products, transportation and other general industrial markets and serves customers in Brazil, Argentina and Colombia.</t>
  </si>
  <si>
    <t>Valspar(Gary Hendrickson)</t>
  </si>
  <si>
    <t>92067-58T</t>
  </si>
  <si>
    <t>Romelsa Comercio de Moveis</t>
  </si>
  <si>
    <t>Operator of retail stores. The company's retails stores offers furniture, electrical and electronic household appliances.</t>
  </si>
  <si>
    <t>18054-10T</t>
  </si>
  <si>
    <t>ALOG Data Centers</t>
  </si>
  <si>
    <t>Provider of hosting, collocation and IT infrastructure services. The company also provides virtual private network, intrusion detection system, groupware, email, storage and monitoring services.</t>
  </si>
  <si>
    <t>Equinix (NAS: EQIX)</t>
  </si>
  <si>
    <t>74569-42T</t>
  </si>
  <si>
    <t>224279-29T</t>
  </si>
  <si>
    <t>221203-63T</t>
  </si>
  <si>
    <t>Aquilla Fundo de Investimento Imobiliario (BVMF: AQLL11)</t>
  </si>
  <si>
    <t>Aquilla Fundo de Investimento Imobiliario is a financial institution and a distributor of securities in the financial market. It offers various financial products and services, with an emphasis on the capital market and financial engineering.</t>
  </si>
  <si>
    <t>91774-45T</t>
  </si>
  <si>
    <t>Provider of cellular telecommunication services based in Sao Paulo, Brazil. The company's cellular telecommunication services provide the cell with the network coverage which can be used for transmission of voice, data and others.</t>
  </si>
  <si>
    <t>223771-78T</t>
  </si>
  <si>
    <t>119599-57T</t>
  </si>
  <si>
    <t>73512-55T</t>
  </si>
  <si>
    <t>Lati Vale</t>
  </si>
  <si>
    <t>Provider of food services. The company produces powdered milk, condensed milk and cream</t>
  </si>
  <si>
    <t>122121-28T</t>
  </si>
  <si>
    <t>Azzas 2154 SA formerly Arezzo Industria E Comercio SA together with its subsidiaries engages in the manufacturing, development, molding, and sale of footwear, bags, and women's clothing and accessories. It operates more than 400 franchises and approximately 48 stores and an e-commerce website for the sale of products under the brand names Schutz, Arezzo, Alexandre Birman, Fiever, Vans, Reserva, Reserva Mini, Reserva Go, Oficina, INK, EVA, Troc, Baw, MyShoes, Carol Bassi, Brizza, Reversa, Simples Reserva, Unbrand Reserva and Anacapri. The company derives revenue through the sale of products and Royalty income. Its segments include: Footwear and accessories, women's clothing, men's clothing, and democratic clothing, of which it derives maximum revenue from Footwear and accessories.</t>
  </si>
  <si>
    <t>117484-48T</t>
  </si>
  <si>
    <t>79985-26T</t>
  </si>
  <si>
    <t>Mineração Paragominas</t>
  </si>
  <si>
    <t>Provider of bauxite mining services. The company offers bauxite exploration, extraction and other related services in Brazil.</t>
  </si>
  <si>
    <t>Norsk Hydro (OSL: NHY)</t>
  </si>
  <si>
    <t>18012-16T</t>
  </si>
  <si>
    <t>One Equity Partners(Brad Coppens)</t>
  </si>
  <si>
    <t>65866-78T</t>
  </si>
  <si>
    <t>92376-37T</t>
  </si>
  <si>
    <t>Vescon Equipamentos Industriais</t>
  </si>
  <si>
    <t>Manufacturer of industrial equipment intended for the oil and gas industry. The company's products include onshore wellheads, christmas tree systems and API 6A and 6D valves.</t>
  </si>
  <si>
    <t>Cameron International(Gary Halverson)</t>
  </si>
  <si>
    <t>68824-81T</t>
  </si>
  <si>
    <t>Incorporadora Pinheiro Pereira</t>
  </si>
  <si>
    <t>Provider of property development services. The company is engaged in the development and sale of residential and commercial houses in Brazil.</t>
  </si>
  <si>
    <t>João Fortes Engenharia(Luiz Henrique Rimes)</t>
  </si>
  <si>
    <t>63880-39T</t>
  </si>
  <si>
    <t>Intermarítima Terminais</t>
  </si>
  <si>
    <t>232490-44T</t>
  </si>
  <si>
    <t>Telecomunicacoes Brasileiras (BVMF: TELB3)</t>
  </si>
  <si>
    <t>Telecomunicacoes Brasileiras SA is a Brazil-based company. Along with its subsidiaries, the firm offers telecommunication services in the areas of fixed line and mobile communication and internet access services. Its product portfolio includes IP (Internet Protocol) Telebras, Telebras Point-to-Point, and Telebras MPLS (Multiprotocol Label Switching) Network. The company also provides broadband services and infrastructure support services.</t>
  </si>
  <si>
    <t>55187-83T</t>
  </si>
  <si>
    <t>69901-12T</t>
  </si>
  <si>
    <t>Nortel Suprimentos Industriais</t>
  </si>
  <si>
    <t>Distributor of electrical goods based in Sao Paulo, Brazil. The company is engaged in the distribution of electric and safety equipment, tools, industrial panels and industrial automation as well as provides maintenance, repair and operation services.</t>
  </si>
  <si>
    <t>Rexel Development (PAR: RXL)(Guillaume Chainier)</t>
  </si>
  <si>
    <t>90545-86T</t>
  </si>
  <si>
    <t>Marcos Pedrilson Produtos Hospitalares</t>
  </si>
  <si>
    <t>Producer and distributor of pharmaceutical products intended to improve the quality of life and represent innovative products in the health area. The company's pharmaceutical products distributes medicinal products for the treatment of blood and immune diseases, as well as products for the hygiene monitoring of air and work surfaces, enabling patients in proper treatment of their diseases.</t>
  </si>
  <si>
    <t>Biotest</t>
  </si>
  <si>
    <t>17903-80T</t>
  </si>
  <si>
    <t>Advent International(Luiz Antonio Alves)</t>
  </si>
  <si>
    <t>219125-17T</t>
  </si>
  <si>
    <t>LF Tel</t>
  </si>
  <si>
    <t>Owner and operator of an investment holding company intended to invest in telecommunications sector.</t>
  </si>
  <si>
    <t>68897-53T</t>
  </si>
  <si>
    <t>Usinas Siderurgicas de Minas Gerais SA is a Brazil-based company engaged in producing and distributing flat steel products. The company's product portfolio comprises ordinary heavy plates, Sincron series premium heavy plates, hot strips, cold-rolled, and galvanized products. These products are used in automotive, civil construction, railway, electric, white goods, offshore platforms, and agricultural and construction machinery. The Brazilian domestic market represents the majority of the company's sales, while the United States, Argentina, and Turkey are the export destination markets for the company.</t>
  </si>
  <si>
    <t>Cia Siderúrgica Nacional</t>
  </si>
  <si>
    <t>18427-60T</t>
  </si>
  <si>
    <t>Benchmark Capital Holdings(Matthew Cohler), Dave Goldberg(Dave Goldberg), Meyer Malka(Meyer Malka), Monashees</t>
  </si>
  <si>
    <t>40062-88T</t>
  </si>
  <si>
    <t>57775-06T</t>
  </si>
  <si>
    <t>Auto Reg Servicos Tecnicos de Seguros</t>
  </si>
  <si>
    <t>Provider of vehicle insurance services intended to serve insurance companies in Brazil. The company's services include insurance claim settlement and vehicle insurance damage inspections such as offering technical inspections and statistics reporting for damaged cars.</t>
  </si>
  <si>
    <t>Bureau Veritas (PAR: BVI)(Frank Piedelièvre)</t>
  </si>
  <si>
    <t>224085-70T</t>
  </si>
  <si>
    <t>Fundo de Investimento Imobiliario The One (BVMF: ONEF11)</t>
  </si>
  <si>
    <t>Fundo Invest Imobiliario The One is a real estate investment fund.</t>
  </si>
  <si>
    <t>90888-76T</t>
  </si>
  <si>
    <t>Adantech Industria e Comercio de Metal</t>
  </si>
  <si>
    <t>Manufacturer of metal friction products. The company's metal friction products include variety of brakes shoes and pads for subway cars, locomotives and freight cars, enabling automotive manufacturers to get friction products at an affordable prices.</t>
  </si>
  <si>
    <t>Westinghouse Air Brake Technologies (NYS: WAB)(Albert Neupaver)</t>
  </si>
  <si>
    <t>98031-16T</t>
  </si>
  <si>
    <t>Uniplen Industria de Polimeros</t>
  </si>
  <si>
    <t>Manufacturer of specialty engineered materials and polymer based plastic materials. The company's specialty engineered materials specializes in medical grade thermoplastic urethane for a host of catheter applications, enabling clients to get access to quality based thermoplastics products.</t>
  </si>
  <si>
    <t>Avient (NYS: AVNT)(Stephen Newlin)</t>
  </si>
  <si>
    <t>108326-35T</t>
  </si>
  <si>
    <t>Area Objetos</t>
  </si>
  <si>
    <t>Operator of a home decor store in Rio de Janeiro. The company retails home decor and lifestyle goods, such as lamps, carpets, textiles, ornaments and baskets sourced from Indonesia, China, Morocco and Bali through both its brick-and-mortar store and online website, enabling customers with ethnic yet contemporary decor pieces.</t>
  </si>
  <si>
    <t>36903-43T</t>
  </si>
  <si>
    <t>Jacard Investimentos(Marcelo Amorim)</t>
  </si>
  <si>
    <t>99086-50T</t>
  </si>
  <si>
    <t>Banco Pérola</t>
  </si>
  <si>
    <t>Provider of financial services intended to provide credit as a means of education, fortification of social bonds, and sustainable community development. The company's micro-credit services offer opportunities for disadvantaged entrepreneurs who often find some difficulty in accessing the traditional financial market, enabling micro-entrepreneurs, micro-enterprises, and small businesses to receive micro-credit financing as a means of opportunity.</t>
  </si>
  <si>
    <t>31511-71T</t>
  </si>
  <si>
    <t>126598-51T</t>
  </si>
  <si>
    <t>Big (Brazil)</t>
  </si>
  <si>
    <t>Developer of an E-commerce platform based in Sao Paolo, Brazil.</t>
  </si>
  <si>
    <t>74411-38T</t>
  </si>
  <si>
    <t>BR3 Agrobiotecnologia</t>
  </si>
  <si>
    <t>Developer of chemical and biological technologies designed to use in agro-chemical products. The company's technologies provide design for the development of bio-stimulant product plants and bio-pesticides to fight fungi and spores that help to improve the quality of agriculture, human health, and sustainability, enabling clients to promote efficiency in the production of crops.</t>
  </si>
  <si>
    <t>117773-56T</t>
  </si>
  <si>
    <t>Morgan Rio Capital Management(Jacobo Buzali)</t>
  </si>
  <si>
    <t>99094-78T</t>
  </si>
  <si>
    <t>44225-38T</t>
  </si>
  <si>
    <t>287630-47T</t>
  </si>
  <si>
    <t>48215-44T</t>
  </si>
  <si>
    <t>44741-44T</t>
  </si>
  <si>
    <t>Dinda</t>
  </si>
  <si>
    <t>Provider of online shopping platform designed to offer a range of kids products. The company's platform offers shoes, dress, jackets and towels for kids, enabling customers to buy products of their own choice.</t>
  </si>
  <si>
    <t>Accel Management Company, Felicis, Menlo Ventures, Monashees, SV Angel, Thrive Capital, Tiger Global Management, Valar Ventures</t>
  </si>
  <si>
    <t>207108-28T</t>
  </si>
  <si>
    <t>Thanet District Council</t>
  </si>
  <si>
    <t>277226-92T</t>
  </si>
  <si>
    <t>Elvin Lubrificantes</t>
  </si>
  <si>
    <t>Manufacturer of lubricating oils intended for the industrial and automotive sectors. The company offers lubricants and grease as well as offers manufacturing outsourcing services to clients.</t>
  </si>
  <si>
    <t>51397-12T</t>
  </si>
  <si>
    <t>Eu decido</t>
  </si>
  <si>
    <t>Operator of an online shopping platform. The company provides footwear through its platform in Brazil.</t>
  </si>
  <si>
    <t>99089-92T</t>
  </si>
  <si>
    <t>218420-20T</t>
  </si>
  <si>
    <t>Farmalife</t>
  </si>
  <si>
    <t>Retailer of pharmaceutical and personal care products based in Rio de Janeiro, Brazil. The company offers medicines, health care, children's products, dermocosmetics, personal care, hair, skin, solar and other related products.</t>
  </si>
  <si>
    <t>216357-76T</t>
  </si>
  <si>
    <t>FingerTips</t>
  </si>
  <si>
    <t>Developer of mobile apps, games and websites based in Sao Paulo, Brazil.</t>
  </si>
  <si>
    <t>256989-34T</t>
  </si>
  <si>
    <t>Flow Corretora de Mercadorias</t>
  </si>
  <si>
    <t>Operator of a brokerage firm based in Sao Paulo, Brazil.</t>
  </si>
  <si>
    <t>66732-04T</t>
  </si>
  <si>
    <t>Ibero</t>
  </si>
  <si>
    <t>58309-66T</t>
  </si>
  <si>
    <t>Food Brasil</t>
  </si>
  <si>
    <t>Developer of an online platform for evaluating bars and restaurants. The company develops an internet portal where users could evaluate the establishments based on their dining experiences.</t>
  </si>
  <si>
    <t>Mobigroup</t>
  </si>
  <si>
    <t>27015-04T</t>
  </si>
  <si>
    <t>Christoph Lange(Christoph Lange), Filip Dames(Filip Dames), Florian Heinemann(Florian Heinemann), Rocket Internet (HAM: RKET)</t>
  </si>
  <si>
    <t>76692-79T</t>
  </si>
  <si>
    <t>Bratus Capital, Spectra Investments</t>
  </si>
  <si>
    <t>256307-68T</t>
  </si>
  <si>
    <t>GSI Online</t>
  </si>
  <si>
    <t>Developer of an e-learning platform intended for the educational sector. The company focuses on distance learning courses and packages.</t>
  </si>
  <si>
    <t>+A Educação, Brazilian Development Bank(Jorge Moraes), CRP Companhia de Participacoes(Dalton Schmitt)</t>
  </si>
  <si>
    <t>277244-38T</t>
  </si>
  <si>
    <t>Weber-Hydraulik</t>
  </si>
  <si>
    <t>218590-84T</t>
  </si>
  <si>
    <t>Inaceres</t>
  </si>
  <si>
    <t>Producer of a food company specializing in the cultivation, processing, and commercialization of peach palm hearts in Centro, Brazil. The company cultivates palms and manufactures canned and bottled hearts of palm products, palm cream, palm empanadas and palm-arugula.</t>
  </si>
  <si>
    <t>Agroceres</t>
  </si>
  <si>
    <t>133111-18T</t>
  </si>
  <si>
    <t>65574-46T</t>
  </si>
  <si>
    <t>Artemisia, Village Capital</t>
  </si>
  <si>
    <t>278541-73T</t>
  </si>
  <si>
    <t>Laborit</t>
  </si>
  <si>
    <t>Developer of innovative products and technologies designed to solve complex problems and improve people's lives. The company leverages technology, data, behavior, product and innovation, enabling businesses to accelerate innovation and drive sustainable growth.</t>
  </si>
  <si>
    <t>28099-90T</t>
  </si>
  <si>
    <t>BNDESpar, Bom Gosto, GP Investments (LUX: GPINA), Laep Investments</t>
  </si>
  <si>
    <t>155350-09T</t>
  </si>
  <si>
    <t>MineInside</t>
  </si>
  <si>
    <t>Developer and provider of virtual reality software for planning, monitoring, reconstitution and analysis of mining operation scenarios. The company's platform reconstructs the three-dimensional environment of the mine in which equipment involved in mining operations is positioned and animated in real-time.</t>
  </si>
  <si>
    <t>73508-68T</t>
  </si>
  <si>
    <t>Pedreiras Omacil Comércio e Indústria</t>
  </si>
  <si>
    <t>Provider of mining and construction services. The company offers mineral exploration, mineral mining, metal mining and others.</t>
  </si>
  <si>
    <t>ICAL - Indústria de Calcinação</t>
  </si>
  <si>
    <t>98799-67T</t>
  </si>
  <si>
    <t>Pilar Alimentos</t>
  </si>
  <si>
    <t>Producer of snack foods in Brazil. The company's activities include producing biscuits and pasta, enabling customers to enjoy their favorite snack as per requirement.</t>
  </si>
  <si>
    <t>37559-89T</t>
  </si>
  <si>
    <t>International Finance (Washington D.C.), Principia Capital Partners, Victoria Capital Partners(Rafael Mendes)</t>
  </si>
  <si>
    <t>172357-75T</t>
  </si>
  <si>
    <t>FundersClub, GP Investments (LUX: GPINA), Iporanga Ventures(Guilherme Assis), Y Combinator</t>
  </si>
  <si>
    <t>90628-75T</t>
  </si>
  <si>
    <t>Quinua Real Brasil</t>
  </si>
  <si>
    <t>Producer and distributor of quinoa products. The company's activities include production, distribution and importing of organic agricultural products, quinoa products, andean food products and other related products, enabling customers to get a wide range of products under one roof.</t>
  </si>
  <si>
    <t>La Finestra sul Cielo</t>
  </si>
  <si>
    <t>102168-01T</t>
  </si>
  <si>
    <t>R.Peotta Engenharia &amp; Consultoria</t>
  </si>
  <si>
    <t>Provider of consultancy and development services intended for structural projects. The company's activities include conducting economic feasibility studies, specialized inspections and surveys, building works, sanitation works, underwater inspections in maritime structures, thereby enabling customers to get quality services at affordable costs.</t>
  </si>
  <si>
    <t>Progen</t>
  </si>
  <si>
    <t>211725-91T</t>
  </si>
  <si>
    <t>Santa Casa da Bahia</t>
  </si>
  <si>
    <t>Operator of philanthropic institutions based in Salvador, Brazil. The company's line of business is in exercising charity and providing services in the areas of health, teaching and research, culture, social assistance and education, thereby helping society by healing the sick, redeeming the captives and visiting the prisoners, clothing the naked, feeding the hungry, giving drink to the thirsty giving lodging to pilgrims and burying the dead.</t>
  </si>
  <si>
    <t>257462-92T</t>
  </si>
  <si>
    <t>Santa Marina</t>
  </si>
  <si>
    <t>Distributor of household utilities products intended to collaborate in reducing social inequalities. The company offers ovens, bowls, jar lines and measuring jars to clients based in Sao Paulo, Brazil.</t>
  </si>
  <si>
    <t>126600-04T</t>
  </si>
  <si>
    <t>Sappos</t>
  </si>
  <si>
    <t>Operator of a platform intended to allow viewers to interact while they are watching TV shows. The company's platform allows television viewers to communicate with one another while they are watching the television and suggests the viewers what to watch based on their behavior as well as what their friends are watching, thereby offering users innovation in the way they watch TV.</t>
  </si>
  <si>
    <t>Iporanga Ventures(Felix Scheuffelen)</t>
  </si>
  <si>
    <t>297282-97T</t>
  </si>
  <si>
    <t>SATO Auto-ID do Brasil</t>
  </si>
  <si>
    <t>Manufacturer of electronic printers intended to serve manufacturing, healthcare, retail, transportation and logistics industries. The company develops and supplies printers, labels, software and data capture systems with integrated maintenance and support services, thereby helping businesses improve traceability and operational efficiency.</t>
  </si>
  <si>
    <t>Sato Holdings (TKS: 6287)</t>
  </si>
  <si>
    <t>73160-11T</t>
  </si>
  <si>
    <t>73497-16T</t>
  </si>
  <si>
    <t>Warburg Pincus(Alain Belda)</t>
  </si>
  <si>
    <t>47167-21T</t>
  </si>
  <si>
    <t>Sipcam UPL Brasil</t>
  </si>
  <si>
    <t>Distributor of agrochemical products for the Brazilian market. The company offers herbicides, insecticides and fungicides.</t>
  </si>
  <si>
    <t>UPL (NSE: UPL)</t>
  </si>
  <si>
    <t>214706-44T</t>
  </si>
  <si>
    <t>99097-57T</t>
  </si>
  <si>
    <t>251161-30T</t>
  </si>
  <si>
    <t>66701-71T</t>
  </si>
  <si>
    <t>22113-10T</t>
  </si>
  <si>
    <t>Arnon de Mello(Arnon de Mello), Seth Zalkin(Seth Zalkin), The Astor Group</t>
  </si>
  <si>
    <t>99419-68T</t>
  </si>
  <si>
    <t>Works (Other Commercial Services)</t>
  </si>
  <si>
    <t>Provider of shared office spaces intended to help businesses work and progress in collaborative environments. The company's spaces include shared back-office spaces that provide entrepreneurs with aid in negotiating the process of starting a business and managing the formal aspects of an ongoing venture, enabling small business owners to start and help their businesses grow in co-working zones.</t>
  </si>
  <si>
    <t>298350-37T</t>
  </si>
  <si>
    <t>WX7 Solutions</t>
  </si>
  <si>
    <t>Developer of web-based platform designed for process optimization. The company's platform offers customized high-quality solutions, advanced methodologies, continuous learning, information and consulting.</t>
  </si>
  <si>
    <t>VTEX (NYS: VTEX)(Marcelo Couto)</t>
  </si>
  <si>
    <t>156979-18T</t>
  </si>
  <si>
    <t>Zuggi</t>
  </si>
  <si>
    <t>Provider of a digital search engine platform intended for children to find news about education, technology and child behavior. The company's platform blocks inappropriate content and also promotes educational content, enabling kids to learn in schools.</t>
  </si>
  <si>
    <t>91685-62T</t>
  </si>
  <si>
    <t>Periscopio Equipamentos Optronicos</t>
  </si>
  <si>
    <t>Supplier of defense electronic systems to military Rio de Janeiro, Brazil.</t>
  </si>
  <si>
    <t>Elbit Systems (TAE: ESLT)(Joseph Gaspar)</t>
  </si>
  <si>
    <t>234363-25T</t>
  </si>
  <si>
    <t>Brascan Imobiliária Hotelaria e Turismo</t>
  </si>
  <si>
    <t>Provider of real estate management services catering to the hospitality industry. The company specializes in the operation and management of hotels in the country</t>
  </si>
  <si>
    <t>30924-82T</t>
  </si>
  <si>
    <t>153679-33T</t>
  </si>
  <si>
    <t>Laticinios Morrinhos</t>
  </si>
  <si>
    <t>Provider of dairy products in Brazil. The company's offerings include powdered milk, condensed milk, cream, flavored milk drinks, cheeses and ultra-high temperature milk, thus providing consumers with good quality products.</t>
  </si>
  <si>
    <t>LBR Lacteos Brasil(Fernando Falco)</t>
  </si>
  <si>
    <t>18039-52T</t>
  </si>
  <si>
    <t>Aleris International (Brazil Operations)</t>
  </si>
  <si>
    <t>Manufacturer of aluminum rolled products and extrusions, aluminum recycling, and specification alloy products. The acquired assets include 11 scrap collection centers located throughout Brazil and two melting sites in Pindamonhangaba, Brazil.</t>
  </si>
  <si>
    <t>MCN Empreendimentos e Participacoes</t>
  </si>
  <si>
    <t>111090-97T</t>
  </si>
  <si>
    <t>Camera Agroalimentos</t>
  </si>
  <si>
    <t>Producer of agricultural products intended to facilitate distribution of all organic fresh edibles. The company is engaged in the production of grains, rice, wheat, corn, and soybean including vegetables and biofuel, enabling consumers with fresh and quality food products.</t>
  </si>
  <si>
    <t>CRP Companhia de Participacoes, Spectra Investments</t>
  </si>
  <si>
    <t>224036-65T</t>
  </si>
  <si>
    <t>Fundo de Investimento Imobiliario BB Votorantim JHSF C Jard Cont Tower (BVMF: BBVJ11)</t>
  </si>
  <si>
    <t>Fundo de Investimento Imobiliario BB Votorantim JHSF C Jard Cont Tower is a real estate investment trust.</t>
  </si>
  <si>
    <t>18032-68T</t>
  </si>
  <si>
    <t>Media Factory</t>
  </si>
  <si>
    <t>Provider of of internet marketing solutions. The company provides business services which includes traffic generation, lead and traffic re-targeting, online customer relationship management (CRM), lead generation and the sale of tailor-made technology solutions for behavioral and semantic targeting.</t>
  </si>
  <si>
    <t>The Blockchain Group (PAR: ALTBG)(Stephane Darracq), Truffle Capital(Bernard Roques)</t>
  </si>
  <si>
    <t>91687-69T</t>
  </si>
  <si>
    <t>Pronto Ducati Consultoria de Imóveis</t>
  </si>
  <si>
    <t>Provider of real estate management services in Rio Grande do Sul, Brazil.The company's real estate services include real estate consulting and brokerage, technical assistance, correspondent banking and real estate management services, enabling customers to find house or apartment according to their choices.</t>
  </si>
  <si>
    <t>54919-00T</t>
  </si>
  <si>
    <t>Brazil Tungsten Holdings</t>
  </si>
  <si>
    <t>Operator of tungsten mine. The company owns, operates and mines tungsten in Brazil.</t>
  </si>
  <si>
    <t>Gunsynd (LON: GUN)(David Lenigas)</t>
  </si>
  <si>
    <t>102865-24T</t>
  </si>
  <si>
    <t>TSK Biosistemas</t>
  </si>
  <si>
    <t>Provider of waste water treatment services. The company's waste water treatment services involves conversion of wastewater into an effluent and include treatment of industrial water and urban wastewater, enabling commercial undertakings and residential places in effective management of waste water.</t>
  </si>
  <si>
    <t>TSK ( Commercial Services)</t>
  </si>
  <si>
    <t>76242-25T</t>
  </si>
  <si>
    <t>MSL Group Andreoli</t>
  </si>
  <si>
    <t>Provider of consultancy and strategic planning services based in Sao Paulo, Brazil. The company is engaged in offering business Intelligence, prevention and risk analysis, crisis management, financial communication and investor relation services.</t>
  </si>
  <si>
    <t>Publicis Groupe (PAR: PUB)</t>
  </si>
  <si>
    <t>40598-38T</t>
  </si>
  <si>
    <t>Movie Mouth</t>
  </si>
  <si>
    <t>Developer of an online language learning application in São Paulo, Brazil. The company's application helps in learning English in an online setup and also uses movies as a curriculum to teach a foreign language to its users, thereby helping users to learn English.</t>
  </si>
  <si>
    <t>91697-14T</t>
  </si>
  <si>
    <t>Glencane Bioenergia</t>
  </si>
  <si>
    <t>Manufacturer and distributor of ethanol products. The company's ethanol products are manufactured and processed in the factory located in the city of Junqueiropolis, Brazil.</t>
  </si>
  <si>
    <t>Glencore (LON: GLEN), Viterra (Distributors/Wholesale)</t>
  </si>
  <si>
    <t>91605-88T</t>
  </si>
  <si>
    <t>Local Consultoria de Imóveis</t>
  </si>
  <si>
    <t>Provider of real estate services catering to the South and West regions of São Paulo, Brazil. The company specializes in the sale and rental of houses, apartments, and commercial properties and also provides real estate consulting and brokerage, technical assistance, correspondent banking and real estate management services, enabling customers to find their house or apartment according to their choices.</t>
  </si>
  <si>
    <t>28548-01T</t>
  </si>
  <si>
    <t>91415-98T</t>
  </si>
  <si>
    <t>CIMA Empreendimentos do Brasil</t>
  </si>
  <si>
    <t>Owner and operator of a shopping mall. The company's shopping mall operates stores, theaters, restaurants and food courts, enabling customers to get a one-stop destination for all their shopping and entertainment needs.</t>
  </si>
  <si>
    <t>75092-68T</t>
  </si>
  <si>
    <t>Bregal Investments(Quentin Van Doosselaere), Caisse de dépôt et placement du Québec, Citigroup Alternative Investments, Kohlberg Kravis Roberts (NYS: KKR)(Brian Carroll), Sterling Partners(Steven Taslitz), Stockwell Capital, Torreal, TruArc Partners(Ian Snow)</t>
  </si>
  <si>
    <t>17720-83T</t>
  </si>
  <si>
    <t>Abu Dhabi Investment Authority, China Investment Corporation(Linbo He), Exor (AMS: EXO), GIC Private, Grupo Santo Domingo, Inversiones Bahia, J.C. Flowers &amp; Co.(John Oros), Ontario Teachers' Pension Plan, RIT Capital Partners (LON: RCP), Wolfensohn Fund Management</t>
  </si>
  <si>
    <t>248951-08T</t>
  </si>
  <si>
    <t>Colep Consumer Products</t>
  </si>
  <si>
    <t>58309-21T</t>
  </si>
  <si>
    <t>86675-50T</t>
  </si>
  <si>
    <t>Agrovia</t>
  </si>
  <si>
    <t>Provider of agriculture logistics services based in Brazil. The company offers storage, load lifting, and multimodal transportation services for sugar, grains, ethanol, fertilizers and other agricultural commodities making use of railway network strategically positioned in the producing regions enabling trading companies and mills to benefit from an alternative to road transportation.</t>
  </si>
  <si>
    <t>Angra Partners, BRZ Investimentos, ED&amp;F Man Holdings, Pampa Capital, Spectra Investments</t>
  </si>
  <si>
    <t>91410-67T</t>
  </si>
  <si>
    <t>Martom Seguranca Electronica</t>
  </si>
  <si>
    <t>Provider of security services. The company's security services offers alarm system, monitoring, closed circuit digital television, perimeter protection and access control enabling individuals and commercial sectors to access a wide range of services for their secure operation under one roof.</t>
  </si>
  <si>
    <t>32388-22T</t>
  </si>
  <si>
    <t>Apax Partners(Jason Wright)</t>
  </si>
  <si>
    <t>74675-08T</t>
  </si>
  <si>
    <t>Café Damasco</t>
  </si>
  <si>
    <t>Manufacturer of roasted coffee serving the Brazilian market. The company offers soluble, grains, roasted and ground, ranging from regular to extra strong roast.</t>
  </si>
  <si>
    <t>Sara Lee(Frank van Oers)</t>
  </si>
  <si>
    <t>22222-54T</t>
  </si>
  <si>
    <t>Alothon Group(Ettore Biagioni), Partners Group (SWX: PGHN)</t>
  </si>
  <si>
    <t>66672-37T</t>
  </si>
  <si>
    <t>19511-02T</t>
  </si>
  <si>
    <t>Accel Management Company(James Breyer), General Catalyst(Neil Sequeira), Intel Capital, Tiger Global Management</t>
  </si>
  <si>
    <t>74298-70T</t>
  </si>
  <si>
    <t>Comercial Maripa</t>
  </si>
  <si>
    <t>Manufacturer of oral hygiene products. The company, based in Brazil, manufactures and wholesales oral care and hygiene products.</t>
  </si>
  <si>
    <t>Hypera (Pharmaceuticals) (BVMF: HYPE3)(Claudio Bergamo)</t>
  </si>
  <si>
    <t>74267-47T</t>
  </si>
  <si>
    <t>IPH&amp;C Indústria de Produtos de Higiene e Cosméticos</t>
  </si>
  <si>
    <t>Manufacturer of hygiene products. The company offers oral care, childcare and health and a range of beauty and personal care products.</t>
  </si>
  <si>
    <t>23044-33T</t>
  </si>
  <si>
    <t>92911-15T</t>
  </si>
  <si>
    <t>91609-93T</t>
  </si>
  <si>
    <t>Mafipa Serviços de Informática</t>
  </si>
  <si>
    <t>Provider of computer facilities management services in Brazil. The company's computer facilities management services is engaged in providing on-site management and operation of computer and data processing facilities, enabling clients to receive support in their business activities at affordable prices.</t>
  </si>
  <si>
    <t>73554-40T</t>
  </si>
  <si>
    <t>88927-66T</t>
  </si>
  <si>
    <t>Glassec Viracon</t>
  </si>
  <si>
    <t>Provider of architectural glass fabrication services intended to transform architects' views into innovative, aesthetic, and sustainable offerings. The company's architectural glass portfolio consists of insulated, monolithic, and laminated glasses used in the construction of buildings, malls, offices, etc, enabling architects and builders to receive products that comply with budgets, technical specifications, and strict environmental requirements.</t>
  </si>
  <si>
    <t>Viracon</t>
  </si>
  <si>
    <t>22285-00T</t>
  </si>
  <si>
    <t>FJ Labs, IG Expansion, Redpoint Ventures(Jeffrey Brody)</t>
  </si>
  <si>
    <t>224024-50T</t>
  </si>
  <si>
    <t>Fundo de Investimento Imobiliario - FII Eldorado (BVMF: ELDO11)</t>
  </si>
  <si>
    <t>Fundo Investimento Imobiliario FII Eldorado is a real estate investment fund.</t>
  </si>
  <si>
    <t>58866-40T</t>
  </si>
  <si>
    <t>Gtex Brasil</t>
  </si>
  <si>
    <t>Manufacturer of cleaning products intended in Brazil. The company's products that include soaps, softeners, disinfectants and other items for cleaning purposes are offered under different brand names and produced in an eco-friendly manner from fully biodegradable ingredients, enabling individuals to maintain personal hygiene without affecting the environment.</t>
  </si>
  <si>
    <t>81253-36T</t>
  </si>
  <si>
    <t>Odebrecht Transport</t>
  </si>
  <si>
    <t>74270-26T</t>
  </si>
  <si>
    <t>DPH Distribuidora de Produtos de Higiene</t>
  </si>
  <si>
    <t>Provider of oral hygiene products. The company manufactures, distributes and sells dental hygiene products such as toothbrushes, dental floss and tape, mouthwashes, toothpaste distributed under 'Bitufo' brand.</t>
  </si>
  <si>
    <t>91490-14T</t>
  </si>
  <si>
    <t>Gama Special Gases</t>
  </si>
  <si>
    <t>Manufacturer of special, medical and industrial gases catering to welding, metallurgy, chemical, petrochemical, hospital, laboratory and telecommunications industries. The company specializes in the production of pure gases, including argon, acetylene, oxygen, nitrogen, helium, customized gas mixtures and standard mixtures.</t>
  </si>
  <si>
    <t>91604-89T</t>
  </si>
  <si>
    <t>Libro Companhia Securitizadora de Créditos Financeiros</t>
  </si>
  <si>
    <t>Provider of investment and portfolio management services. The company's investment and portfolio management services include asset management, financial consultancy and investment in the fixed income and distressed assets, enabling small and medium sizes enterprises (SME) to define ambitious strategies, while implementing a clear, explicit shareholder approach.</t>
  </si>
  <si>
    <t>74744-92T</t>
  </si>
  <si>
    <t>Mash Indústria e Comércio de Compostos Plásticos</t>
  </si>
  <si>
    <t>Producer of resin-based concentrates and color compounds. The company produces a wide range of additive concentrates, fillers and glass fibers, resin blends, color concentrates and base resins.</t>
  </si>
  <si>
    <t>Lyondellbasell Advanced Polymers(Joseph Gingo)</t>
  </si>
  <si>
    <t>178618-87T</t>
  </si>
  <si>
    <t>75061-54T</t>
  </si>
  <si>
    <t>Grupo Itatiaia (Heavy vehicle division)</t>
  </si>
  <si>
    <t>Provider of heavy vehicles. The company's heavy vehicles include trucks, mobile crane, heavy goods vehicles, earth moving vehicles and tankers, enabling industries to carry on their heavy goods transportation services.</t>
  </si>
  <si>
    <t>45169-48T</t>
  </si>
  <si>
    <t>Headline, Index Ventures, Pinnacle Ventures, Redpoint eventures(Manoel Lemos), Redpoint Ventures</t>
  </si>
  <si>
    <t>77815-90T</t>
  </si>
  <si>
    <t>RH Build Up</t>
  </si>
  <si>
    <t>Provider of human resource management services. The company provides business model, ASP outsourcing processing, in-sourcing assisted, BSP outsourcing payroll, BPO full outsourcing of personnel administration, frequency control automation and HR portal. It also provides asset management services.</t>
  </si>
  <si>
    <t>TCI BPO</t>
  </si>
  <si>
    <t>55933-03T</t>
  </si>
  <si>
    <t>94440-61T</t>
  </si>
  <si>
    <t>PuraInova</t>
  </si>
  <si>
    <t>Operator of a dermatological laboratory. The company integrates the benefits of pure mineral water to its cosmetic products, it offers treatment of the sensitive skin using the mineral water properties of Serra do Japi and natural biotechnological assets.</t>
  </si>
  <si>
    <t>221091-94T</t>
  </si>
  <si>
    <t>Affluent Power Transmission (BVMF: AFLT3)</t>
  </si>
  <si>
    <t>Afluente Transmissao de Energia Eletrica SA operates in the electric power transmission industry. It is active in the study, planning, design, construction, operation, maintenance, and exploration of systems of electric power transmission. The firm operates transmission lines and sub-stations in Bahia, Brazil.</t>
  </si>
  <si>
    <t>69399-37T</t>
  </si>
  <si>
    <t>224808-31T</t>
  </si>
  <si>
    <t>Kinea Renda Imobiliaria Fundo de Investimento Imobiliario - FII (BVMF: KNRI11)</t>
  </si>
  <si>
    <t>Kinea Renda Imobiliaria Fundo Invest Imobiliario FII is a real estate investment fund. It has a diversified portfolio, with 16 commercial and logistics properties.</t>
  </si>
  <si>
    <t>91623-79T</t>
  </si>
  <si>
    <t>Bamin</t>
  </si>
  <si>
    <t>Producer of iron ore resources based in Salvador, Brazil. The company provides research, mining, geological survey, processing, import, export, and trade of mineral, chemical and industrial products services.</t>
  </si>
  <si>
    <t>Eurasian Natural Resources</t>
  </si>
  <si>
    <t>92311-30T</t>
  </si>
  <si>
    <t>92086-12T</t>
  </si>
  <si>
    <t>SUEZ Energia Renovável</t>
  </si>
  <si>
    <t>Provider of energy generation and energy distribution services in Brazil.</t>
  </si>
  <si>
    <t>73512-28T</t>
  </si>
  <si>
    <t>Bretas</t>
  </si>
  <si>
    <t>Operator of a supermarket based in Goiania, Brazil. The company offers alcoholic beverages, non-alcoholic drinks, meat and poultry, and frozen food.</t>
  </si>
  <si>
    <t>GBarbosa</t>
  </si>
  <si>
    <t>102352-60T</t>
  </si>
  <si>
    <t>86998-60T</t>
  </si>
  <si>
    <t>78163-75T</t>
  </si>
  <si>
    <t>Metalex (Brazil)</t>
  </si>
  <si>
    <t>Provider of metal recycling services. The company provides aluminum recycling services to produce billets in Araçariguama, Brazil.</t>
  </si>
  <si>
    <t>Nexa Resources (Precious Metals and Minerals Mining) (NYS: NEXA)</t>
  </si>
  <si>
    <t>223336-45T</t>
  </si>
  <si>
    <t>CSHG JHSF Prime Offices Fundo de Investimento Imobiliario - FII (BVMF: HGJH11)</t>
  </si>
  <si>
    <t>CSHG JHSF Prime Offices Fundo de Investimento Imobiliario - FII is a real estate investment fund.</t>
  </si>
  <si>
    <t>65961-10T</t>
  </si>
  <si>
    <t>Capgemini (PAR: CAP)(Paul Hermelin)</t>
  </si>
  <si>
    <t>91791-46T</t>
  </si>
  <si>
    <t>BS Serviços de Injeção</t>
  </si>
  <si>
    <t>Manufacturer and provider of advanced pipeline coatings. The company supplies the anti-corrosion and insulation coatings to the offshore Brazil market.</t>
  </si>
  <si>
    <t>Mattr Infratech (TSE: MATR)</t>
  </si>
  <si>
    <t>34929-37T</t>
  </si>
  <si>
    <t>G5 Partners</t>
  </si>
  <si>
    <t>Provider of financial advisory services catering to a diverse set of clients and investors, including leading local and multinational corporations, family-based enterprises and high-net-worth individuals. The company offers investment advisory, corporate restructuring, succession and tax planning and mergers and acquisitions advisory services.</t>
  </si>
  <si>
    <t>Evercore Group (NYS: EVR)</t>
  </si>
  <si>
    <t>59347-90T</t>
  </si>
  <si>
    <t>73973-17T</t>
  </si>
  <si>
    <t>Polimaster Indústria e Comércio de Pigmentos Pláticos</t>
  </si>
  <si>
    <t>Producer of color concentrate for plastics. The company develops color concentrates in pellets, micro pellets, liquid or powder, and master-batches additives to be used in plastic products.</t>
  </si>
  <si>
    <t>Avient (NYS: AVNT)</t>
  </si>
  <si>
    <t>28622-80T</t>
  </si>
  <si>
    <t>Patria Investments (NAS: PAX)(Felipe Pinto)</t>
  </si>
  <si>
    <t>24538-33T</t>
  </si>
  <si>
    <t>T&amp;A Pré-Fabricados</t>
  </si>
  <si>
    <t>Manufacturer of prefabricated concrete works for small and large construction projects. The company's products are used in construction projects including ports and shipyards, parking garages, piers, shopping malls, supermarkets, and sports stadiums.</t>
  </si>
  <si>
    <t>82680-58T</t>
  </si>
  <si>
    <t>Toesa Service</t>
  </si>
  <si>
    <t>Provider of ambulance and emergency healthcare services. The company's ambulance and emergency healthcare services enables healthcare facilities and individuals with relation to pre-medical hospital care, operational patient support, inter-hospital patient transfers and neo-natal advanced support.</t>
  </si>
  <si>
    <t>ATP Private Equity Partners, Falck, GoldFish Fund, Nordic Capital</t>
  </si>
  <si>
    <t>73836-64T</t>
  </si>
  <si>
    <t>Magna Seating Brazil</t>
  </si>
  <si>
    <t>Supplier of automotive parts. The company is a supplier of seat frames and stampings for the automotive industry in Sao Joaquim de Bicas, Brazil.</t>
  </si>
  <si>
    <t>Magna Seating(Joe Pittel)</t>
  </si>
  <si>
    <t>117098-92T</t>
  </si>
  <si>
    <t>Blackstone (NYS: BX)</t>
  </si>
  <si>
    <t>74598-94T</t>
  </si>
  <si>
    <t>226394-92T</t>
  </si>
  <si>
    <t>RB Capital Desenvolvimento Residencial II (BVMF: RBDS11)</t>
  </si>
  <si>
    <t>Rb Capital Desenvolvimento Residencial Ii Fundo Invest Imobiliario FII is a real estate investment trust.</t>
  </si>
  <si>
    <t>60206-86T</t>
  </si>
  <si>
    <t>Zapata Torrenegra Labs</t>
  </si>
  <si>
    <t>17314-75T</t>
  </si>
  <si>
    <t>Tarpon Capital, Warburg Pincus(Alain Belda)</t>
  </si>
  <si>
    <t>17293-87T</t>
  </si>
  <si>
    <t>Silver Lake, Sumeru Equity Partners(Kyle Ryland)</t>
  </si>
  <si>
    <t>90541-99T</t>
  </si>
  <si>
    <t>LLX Sudeste Operações Portuárias</t>
  </si>
  <si>
    <t>Provider of mining and exploration services.</t>
  </si>
  <si>
    <t>90689-86T</t>
  </si>
  <si>
    <t>Edelman Significa</t>
  </si>
  <si>
    <t>Operator of integrated communications agency that applies Public Relations precepts to build, promote and protect brands. The company's service architecture fits the competencies necessary to take care of the essential dimensions of the brand: being, acting, being - and continuously learning by adopting an expanded view of Public Relations, in which the engagement strategies developed for their clients are based on brand identity and behavior rather than a seductive discourse.</t>
  </si>
  <si>
    <t>Edelman(Richard Edelman)</t>
  </si>
  <si>
    <t>74003-77T</t>
  </si>
  <si>
    <t>Nilfisk-Advance Brazil</t>
  </si>
  <si>
    <t>Manufacturer of floor-cleaning equipment. The company produces, sells and services a range of floor machines, wet/dry vacuum cleaners and scrubbers.</t>
  </si>
  <si>
    <t>Nilfisk (CSE: NLFSK)(Jørgen Jensen)</t>
  </si>
  <si>
    <t>32406-49T</t>
  </si>
  <si>
    <t>Crescera Capital(Jaime Cardoso)</t>
  </si>
  <si>
    <t>74708-56T</t>
  </si>
  <si>
    <t>Geris Engenharia e Serviços</t>
  </si>
  <si>
    <t>Provide of project engineering services. The company offer comprehensive advice from design, site selection, analysis of technical and economic viability, fundraising, development and project analysis, planning, programming, physical and financial control, implementation monitoring, environmental licensing, operation and maintenance.</t>
  </si>
  <si>
    <t>TÜV Rheinland</t>
  </si>
  <si>
    <t>225728-38T</t>
  </si>
  <si>
    <t>Nutriplant Industria (BVMF: NUTR3)</t>
  </si>
  <si>
    <t>Nutriplant Industria &amp; Comercio SA produces, imports, exports and markets micronutrients and intermediate products for fertilizers. The company primarily operates under the FTE, COMOSOL, ENDURENE, FOSKALIUM, GREEN TOP, ORIGINAL CAFÉ, SUPREMUS, TECHNUTRI, and VIP brand names. It servers agriculture industry.</t>
  </si>
  <si>
    <t>74302-84T</t>
  </si>
  <si>
    <t>Cia. Industrial de Vidros</t>
  </si>
  <si>
    <t>Producer of glass containers. The company operates in domestic and international markets, producing packaging for food, beverage and pharmacy. It also manufactures cups, bowls, vases and thermoses.</t>
  </si>
  <si>
    <t>O-I Glass (NYS: OI)(Albert Stroucken)</t>
  </si>
  <si>
    <t>35057-44T</t>
  </si>
  <si>
    <t>Actis(Paul Fletcher)</t>
  </si>
  <si>
    <t>74045-26T</t>
  </si>
  <si>
    <t>Pearson (LON: PSON)(John Fallon)</t>
  </si>
  <si>
    <t>92380-51T</t>
  </si>
  <si>
    <t>Pomifrai Fruticultura</t>
  </si>
  <si>
    <t>92373-76T</t>
  </si>
  <si>
    <t>Producer of apples. The company engages in the production and cultivation of apples in Brazil. It exports its products to various countries in America, Europe, and Asia.</t>
  </si>
  <si>
    <t>32387-77T</t>
  </si>
  <si>
    <t>Villa Germania Alimentos</t>
  </si>
  <si>
    <t>Producer and exporter of duck meat in Latin America. The company produces, processes and exports mainly duck meat, and to a lesser extent chicken and rabbit meat products. The products are also exported to Asia (Japan and Hong Kong) Africa and Middle East, with an average market share of 54%.</t>
  </si>
  <si>
    <t>Crescera Capital(Alcineides Ferreira de Souza)</t>
  </si>
  <si>
    <t>102881-17T</t>
  </si>
  <si>
    <t>A.M. Supply Comércio Representação e Serviços</t>
  </si>
  <si>
    <t>Supplier of personal protection equipment. The company's personal protection equipment are used for the oil and petrochemical sectors.</t>
  </si>
  <si>
    <t>66154-15T</t>
  </si>
  <si>
    <t>Plantech Engenharia e Sistemas</t>
  </si>
  <si>
    <t>Manufacturer of building security and management systems. The company develops systems and technical support for building management and physical security and also offers services for monitoring, control and management of energy consumption for production facilities.</t>
  </si>
  <si>
    <t>17864-74T</t>
  </si>
  <si>
    <t>17208-73T</t>
  </si>
  <si>
    <t>90322-84T</t>
  </si>
  <si>
    <t>Bióleo Industrial e Comercial</t>
  </si>
  <si>
    <t>Provider of vegetable oils. The company's services include extraction and processing of vegetable oils, enabling customers in Brazil to get vegetable oils.</t>
  </si>
  <si>
    <t>Petrobras Biocombustível</t>
  </si>
  <si>
    <t>188337-16T</t>
  </si>
  <si>
    <t>68823-19T</t>
  </si>
  <si>
    <t>Damp Electric Engenharia Torres e Ferragens</t>
  </si>
  <si>
    <t>Provider of engineering services. The company is engaged in manufacturing of metallic structures for electrical energy transmission.</t>
  </si>
  <si>
    <t>Abengoa Construcao Brasil</t>
  </si>
  <si>
    <t>64408-24T</t>
  </si>
  <si>
    <t>54596-26T</t>
  </si>
  <si>
    <t>Starbucks (NAS: SBUX)(Pablo Arizmendi)</t>
  </si>
  <si>
    <t>110904-94T</t>
  </si>
  <si>
    <t>Coomex</t>
  </si>
  <si>
    <t>Provider of energy consulting services based in Brazil. The company offers energy trading and origination, regulatory consultancy, assets generation, conceptual engineering and integration.</t>
  </si>
  <si>
    <t>77937-04T</t>
  </si>
  <si>
    <t>Teck Cominco Brasil</t>
  </si>
  <si>
    <t>Operator of a mining company in Brazil. The company owns the Araguaia nickel project in northern Brazil.</t>
  </si>
  <si>
    <t>Horizonte Minerals</t>
  </si>
  <si>
    <t>159934-87T</t>
  </si>
  <si>
    <t>36355-69T</t>
  </si>
  <si>
    <t>Turfal</t>
  </si>
  <si>
    <t>Producer and distributor of microorganisms for fertilizer substitutes. The company is located in Brazil.</t>
  </si>
  <si>
    <t>Novonesis (CSE: NSIS B)(Thomas Videbæk)</t>
  </si>
  <si>
    <t>28621-45T</t>
  </si>
  <si>
    <t>British International Investment, Patria Investments (NAS: PAX)</t>
  </si>
  <si>
    <t>71990-56T</t>
  </si>
  <si>
    <t>Sonda Procwork (Business Process Outsourcing Facility)</t>
  </si>
  <si>
    <t>Provider of business process outsourcing services. The company offers information technology services to its customers located in Gaspar region in Brazil.</t>
  </si>
  <si>
    <t>Capgemini (PAR: CAP)(David Poole)</t>
  </si>
  <si>
    <t>222865-30T</t>
  </si>
  <si>
    <t>BTG Pactual Logistica</t>
  </si>
  <si>
    <t>Operator of a real estate investment trust based in Rio de Janeiro, Brazil. The company's aim is to acquire properties whose real rights will be the object of investment and will be commercial, built, and intended for the operation of logistical and/or retail warehouses.</t>
  </si>
  <si>
    <t>227427-31T</t>
  </si>
  <si>
    <t>BTG Pactual Logistica FII (BVMF: BTLG11)</t>
  </si>
  <si>
    <t>BTG Pactual Logistica FII is a real estate investment trust. The company invests in real estate for the operation of logistics warehouses and industrial plants.</t>
  </si>
  <si>
    <t>73771-66T</t>
  </si>
  <si>
    <t>Cielo (Financial Software)(Benjamin Palleiko), Valid (IT Services and Consulting) (BVMF: VLID3)(Carlos Affonso)</t>
  </si>
  <si>
    <t>169896-79T</t>
  </si>
  <si>
    <t>SRC Serviços em Informática</t>
  </si>
  <si>
    <t>Developer of business management software intended to enhance service performance of the businesses.</t>
  </si>
  <si>
    <t>18338-86T</t>
  </si>
  <si>
    <t>Cerealle Indústria e Comércio de Alimentos</t>
  </si>
  <si>
    <t>Producer and seller of cereal ingredients, cereals, rice, flour and related products. The company's ingredients are produced by using organic raw materials and food safety controls for the elimination of contaminants and allergens through the segregation of production lines, enabling the clients in the food industries to avail gluten-free and healthy ingredients.</t>
  </si>
  <si>
    <t>Graycliff Partners</t>
  </si>
  <si>
    <t>89398-90T</t>
  </si>
  <si>
    <t>91508-32T</t>
  </si>
  <si>
    <t>Geo Vision Soluções Ambientais e Energia</t>
  </si>
  <si>
    <t>Provider of waste management services. The company's waste management services include transportation of electric, gas, water and sanitary utilities, enabling individuals to keep their surroundings clean and tidy.</t>
  </si>
  <si>
    <t>SUMA Group</t>
  </si>
  <si>
    <t>74755-18T</t>
  </si>
  <si>
    <t>Pará Pigmentos</t>
  </si>
  <si>
    <t>Provider of mineral mining services. The company is engaged in nonmetallic mineral mining and quarrying services.</t>
  </si>
  <si>
    <t>75684-25T</t>
  </si>
  <si>
    <t>Brasil Pharma(André Sá)</t>
  </si>
  <si>
    <t>35921-98T</t>
  </si>
  <si>
    <t>Lojas Maia</t>
  </si>
  <si>
    <t>Owner and operator of a chain of retail stores. The company operates a retail network in nine northeastern states of Brazil.</t>
  </si>
  <si>
    <t>Capital Group Private Markets, Magazine Luiza (BVMF: MGLU3)</t>
  </si>
  <si>
    <t>32398-03T</t>
  </si>
  <si>
    <t>BR Investimentos</t>
  </si>
  <si>
    <t>27856-63T</t>
  </si>
  <si>
    <t>90725-77T</t>
  </si>
  <si>
    <t>Tam Milor</t>
  </si>
  <si>
    <t>Provider of air taxi services. The company's air taxi services offers short flights on demand through small commercial aircraft.</t>
  </si>
  <si>
    <t>247308-22T</t>
  </si>
  <si>
    <t>VNC Private Homes</t>
  </si>
  <si>
    <t>Provider of real estate services based in Sao Paulo, Brazil. The company specializes in property rental, legal consultancy, management and administration of real estate property.</t>
  </si>
  <si>
    <t>96888-43T</t>
  </si>
  <si>
    <t>Gávea Investimentos, TPG (NAS: TPG)</t>
  </si>
  <si>
    <t>90652-33T</t>
  </si>
  <si>
    <t>Sack's Perfumaria</t>
  </si>
  <si>
    <t>Distributor of personal care products. The company's personal care products include perfume, make up kits, body wash, cosmetics and related products, enabling customers to get a variety of beauty products under one roof.</t>
  </si>
  <si>
    <t>Sephora</t>
  </si>
  <si>
    <t>74125-45T</t>
  </si>
  <si>
    <t>Canberra Pumps do Brasil Indústria e Comércio</t>
  </si>
  <si>
    <t>Manufacturer of industrial pump equipment. The company serves customers in the oil and gas, chemical, pulp and paper and general industry pump markets in Brazil.</t>
  </si>
  <si>
    <t>ITT (NYS: ITT)(Gretchen McClain)</t>
  </si>
  <si>
    <t>33868-54T</t>
  </si>
  <si>
    <t>225076-69T</t>
  </si>
  <si>
    <t>Marisa Lojas (BVMF: AMAR3)</t>
  </si>
  <si>
    <t>Marisa Lojas SA is a retail stores operator in Brazil. Its stores offer products related to fashion, underwear, footwear, and accessories for women, men, and children. Its products also include beds, tablecloths, children's bathrobes and towels for home use. The company's income derives from three operating segments. The retail segment, which is the key revenue generator, includes the sale of clothing items, perfumes, beauty products, and watches, in physical stores and e-commerce. The credit card transactions segment is managed by the subsidiary and offered to the company's clients for the credit purchase of products, insurance, and payment of bills. The consumer credit segment offers personal loans to the company's consumers.</t>
  </si>
  <si>
    <t>161100-37T</t>
  </si>
  <si>
    <t>ClubeUrbano</t>
  </si>
  <si>
    <t>Operator of a daily deal company in São Paulo, Brazil.</t>
  </si>
  <si>
    <t>Groupon (NAS: GRPN)(Andrew Mason)</t>
  </si>
  <si>
    <t>91575-10T</t>
  </si>
  <si>
    <t>Kaizen Consultoria E Servicos</t>
  </si>
  <si>
    <t>Provider of information technology services intended to focus on consulting, infrastructure, systems integration and outsourcing. The company's services utilize intellectual capital as its main input with a team of certified professionals, enabling companies and governments achieve performance results with effective gains in the application of information technology</t>
  </si>
  <si>
    <t>109621-18T</t>
  </si>
  <si>
    <t>Renuka do Brasil</t>
  </si>
  <si>
    <t>Manufacturer of sugar and sugar by-products intended to serve the food and confectionary industries. The company specializes in the sugar extraction, purification and concentration of sugar.</t>
  </si>
  <si>
    <t>Shree Renuka Sugars (BOM: 532670)</t>
  </si>
  <si>
    <t>16751-62T</t>
  </si>
  <si>
    <t>Unnafibras</t>
  </si>
  <si>
    <t>Manufacturer of polyester fibers made from recycled PET in Brazil. The company recycles 1 billion PET bottles per year into raw materials used by the textile, automotive parts, and furniture industries.</t>
  </si>
  <si>
    <t>44560-63T</t>
  </si>
  <si>
    <t>Asacorp Empreendimentos e Participações</t>
  </si>
  <si>
    <t>Provider of construction services. The company is engaged in providing residential building construction and development services.</t>
  </si>
  <si>
    <t>46408-06T</t>
  </si>
  <si>
    <t>Traviu Empreendimentos Imobiliarios</t>
  </si>
  <si>
    <t>Operator of warehouses in São Paulo, Brazil. The company operates two industrial warehouses having a combined leasable area of 88.6 square meters. The buildings are located at an industrial park in the city of Louveira, in São Paulo, adjacent to the Anhanguera Highway.</t>
  </si>
  <si>
    <t>35924-50T</t>
  </si>
  <si>
    <t>Agre Empreendimentos Imobiliários</t>
  </si>
  <si>
    <t>Provider of construction and engineering services. The company specializes in home and building construction.</t>
  </si>
  <si>
    <t>40077-19T</t>
  </si>
  <si>
    <t>DGF Investimentos(Eduardo Pamplona)</t>
  </si>
  <si>
    <t>101909-35T</t>
  </si>
  <si>
    <t>Instalarme</t>
  </si>
  <si>
    <t>Provider of electronic software and hardware integration services. The company's activities include manufacturing, maintenance and installation of electrical and electronic equipment, developing new technologies, products and services for the security and monitoring market and primarily serves the residential, business and commercial sectors.</t>
  </si>
  <si>
    <t>134684-11T</t>
  </si>
  <si>
    <t>Viacabo</t>
  </si>
  <si>
    <t>Operator of a pay television channel broadcasting company based in Rio Grande do Sul, Brazil. The company broadcasts its channel in s states of Brazil.</t>
  </si>
  <si>
    <t>91468-45T</t>
  </si>
  <si>
    <t>Eletrônica Selenium</t>
  </si>
  <si>
    <t>Manufacturer of loudspeakers. The company's loudspeakers include subwoofers, midbass, woofers, drivers, horns, tweeters, car audio equipment and monitor speakers.</t>
  </si>
  <si>
    <t>Harman International Industries (Stamford)</t>
  </si>
  <si>
    <t>224019-28T</t>
  </si>
  <si>
    <t>Fundo de Investimento Imobiliario - FII Campus Faria Lima (BVMF: FCFL11)</t>
  </si>
  <si>
    <t>Fundo Invest Imobiliario Campus Faria Lima, formerly Fundo de Investimento Imobiliario - FII Campus Faria Lima is a real estate investment trust.</t>
  </si>
  <si>
    <t>91062-19T</t>
  </si>
  <si>
    <t>CGD Investimentos Corretora de Valores e Câmbio</t>
  </si>
  <si>
    <t>Provider of financial brokerage services. The company's financial brokerage services operates in the São Paulo stock exchange, enabling a direct investment to be made in one of the financial markets with the highest worldwide growth rates.</t>
  </si>
  <si>
    <t>17489-71T</t>
  </si>
  <si>
    <t>Advent International(Antonio Moya-Angeler), Advent-Morro Equity Partners, British Columbia Investment Management, GIC Private</t>
  </si>
  <si>
    <t>102155-41T</t>
  </si>
  <si>
    <t>Vocal Comércio de Veículos</t>
  </si>
  <si>
    <t>Operator of a truck and bus dealership. The company's dealership provides a variety of Volvo truck and buses of different models, their spare parts and accessories as well as vehicle servicing, enabling clients to own a bus or truck as required.</t>
  </si>
  <si>
    <t>Nors Group</t>
  </si>
  <si>
    <t>90519-13T</t>
  </si>
  <si>
    <t>Italo Manera</t>
  </si>
  <si>
    <t>Producer of food products. The company's food products include pastas of various flavors and powdered juices and pudding.</t>
  </si>
  <si>
    <t>103056-58T</t>
  </si>
  <si>
    <t>Epiris</t>
  </si>
  <si>
    <t>169898-68T</t>
  </si>
  <si>
    <t>TQTVD Software</t>
  </si>
  <si>
    <t>Developer of software solutions for digital television in Rio de Janeiro, Brazil. The company offers interactive components for fixed and mobile receivers and advertising solutions.</t>
  </si>
  <si>
    <t>Totvs (BVMF: TOTS3)(José Rogerio Luiz)</t>
  </si>
  <si>
    <t>92087-11T</t>
  </si>
  <si>
    <t>Sul Financeira</t>
  </si>
  <si>
    <t>Provider of financial advisory services. The company's financial advisory services include personal loans, payroll loans, CDC, vehicle financing and other financing related services, enabling clients to get financial support easily.</t>
  </si>
  <si>
    <t>218373-76T</t>
  </si>
  <si>
    <t>Usina Mandu</t>
  </si>
  <si>
    <t>Developer of software solutions catering to the Foreign Trade Industry. The company offers solutions in import, export, automating operations, drawback, training, implementation, development of its software, and also offers financing options, thereby ensuring the timely delivery of clients' projects.</t>
  </si>
  <si>
    <t>Tereos Açúcar e Energia Brasil(Jacyr da Silva Costa Filho)</t>
  </si>
  <si>
    <t>109207-09T</t>
  </si>
  <si>
    <t>Veremonte International(Marcelo Paracchini)</t>
  </si>
  <si>
    <t>108488-89T</t>
  </si>
  <si>
    <t>FIR Capital(Marcus Regueira)</t>
  </si>
  <si>
    <t>32390-65T</t>
  </si>
  <si>
    <t>Dasym</t>
  </si>
  <si>
    <t>74846-08T</t>
  </si>
  <si>
    <t>Zeit Comercio e Montagem de Equipamentos</t>
  </si>
  <si>
    <t>Manufacturer of automation equipment. The company produces and supplies automation equipment for locomotives and electronic components such as panels, displays, on-board computers and digital speedometers.</t>
  </si>
  <si>
    <t>MGE Equipamentos &amp; Serviços Ferroviários</t>
  </si>
  <si>
    <t>19510-66T</t>
  </si>
  <si>
    <t>General Catalyst(Neil Sequeira), Intel Capital</t>
  </si>
  <si>
    <t>91801-90T</t>
  </si>
  <si>
    <t>Sanifill</t>
  </si>
  <si>
    <t>Manufacturer of dental and personal hygiene products based in Brazil. The company's dental products include toothbrush, floss, dental gel, yarns and oral antiseptics and are also being distributed.</t>
  </si>
  <si>
    <t>91566-46T</t>
  </si>
  <si>
    <t>Integrated Biodiesel Industries</t>
  </si>
  <si>
    <t>Producer of renewable fuels. the company produces biodiesel and other renewable fuels, making full use of the feedstock value chain and on adding more value to otherwise low margin byproducts.</t>
  </si>
  <si>
    <t>Kaya Holdings (PINX: KAYS)(Craig Frank)</t>
  </si>
  <si>
    <t>26024-68T</t>
  </si>
  <si>
    <t>A5 Capital Partners, FJ Labs, Naspers (JSE: NPN), Raffay, Trayas Investments</t>
  </si>
  <si>
    <t>91621-00T</t>
  </si>
  <si>
    <t>Mídia Digital</t>
  </si>
  <si>
    <t>Provider of web development services. The company's web development services include digital and search marketing services.</t>
  </si>
  <si>
    <t>WPP (LON: WPP)</t>
  </si>
  <si>
    <t>75716-47T</t>
  </si>
  <si>
    <t>Vivendi (PAR: VIV)</t>
  </si>
  <si>
    <t>33690-34T</t>
  </si>
  <si>
    <t>Cassis Capital Brazil, DGF Investimentos(Sidney Chameh)</t>
  </si>
  <si>
    <t>98570-80T</t>
  </si>
  <si>
    <t>Odebrecht Realizacoes</t>
  </si>
  <si>
    <t>Developer of residential, business, commercial, hotel and mixed use projects. The company uses cutting-edge construction technologies and specializes in real estate development services focused on sustainable development, environmental conservation and preservation standards, enabling customers to enjoy sustainable living.</t>
  </si>
  <si>
    <t>91735-66T</t>
  </si>
  <si>
    <t>SoftBrasil Automação</t>
  </si>
  <si>
    <t>Developer and provider of information technology solutions for industrial automation.</t>
  </si>
  <si>
    <t>Schneider Electric (Electrical Equipment) (PAR: SU)</t>
  </si>
  <si>
    <t>16621-21T</t>
  </si>
  <si>
    <t>First Reserve(Will Honeybourne)</t>
  </si>
  <si>
    <t>96509-71T</t>
  </si>
  <si>
    <t>77721-85T</t>
  </si>
  <si>
    <t>Escola 24 Horas</t>
  </si>
  <si>
    <t>Provider of educational services through the internet intended to help students prepare for exams and competitions. The company's services include offering a series of resources for studying like online tutorials, with an audio and video system and the possibility of interaction with the teacher, recorded video classes, audio classes in MP4, for the student to download and listen to anywhere, text interpretation services, essay correction services, multimedia classes for reviewing materials, with infographics and animations, simulations, exams commented by teachers, in audio and video, special sections for entrance exams, applications for exercises in calculations with game dynamics, applications for spelling in Portuguese, English and Spanish, virtual study groups with teacher moderation, enabling students to study, recover their grades, or prepare for exams independently.</t>
  </si>
  <si>
    <t>Invest Tech(Miguel Perrotti)</t>
  </si>
  <si>
    <t>46621-63T</t>
  </si>
  <si>
    <t>25254-64T</t>
  </si>
  <si>
    <t>223336-99T</t>
  </si>
  <si>
    <t>CSHG Logistica - Fundo de Investimento Imobiliario - FII (BVMF: HGLG11)</t>
  </si>
  <si>
    <t>CSHG Logistica - Fundo de Investimento Imobiliario - FII is a real estate investment fund.</t>
  </si>
  <si>
    <t>224027-56T</t>
  </si>
  <si>
    <t>Fundo de Investimento Imobiliario - FII Max Retail (BVMF: MAXR11)</t>
  </si>
  <si>
    <t>Fundo Invest Imobiliario Max Retail is a real estate investment fund. It is engaged in investing in real estate, through the acquisition of commercial properties for the operation of retail units.</t>
  </si>
  <si>
    <t>224017-12T</t>
  </si>
  <si>
    <t>Fundo de Investimento Imobilario Presidente Vargas (BVMF: PRSV11)</t>
  </si>
  <si>
    <t>Fundo de Investimento Imobilario Presidente Vargas is a real estate investment trust.</t>
  </si>
  <si>
    <t>91733-77T</t>
  </si>
  <si>
    <t>Soft Team Sistemas de Computação e Informática</t>
  </si>
  <si>
    <t>Developer of financial software. The company's financial software includes fiscal, tax and auditing areas for large companies and fiscal BPO services, enabling clients to get financial software.</t>
  </si>
  <si>
    <t>Sonda do Brasil</t>
  </si>
  <si>
    <t>92378-35T</t>
  </si>
  <si>
    <t>Unibanco Saude Seguradora</t>
  </si>
  <si>
    <t>Provider of health insurance services. The company offers a variety of health plans and insurance carriers for individuals, family and small businesses.</t>
  </si>
  <si>
    <t>91468-90T</t>
  </si>
  <si>
    <t>e-Horus</t>
  </si>
  <si>
    <t>Provider of internet security services. The company's internet security services include risk management, internet threat exposure evaluation, virtualization strategies and other related services, enabling financial service, technology, construction, health, medical, education and telecommunications industries to get protection for their business.</t>
  </si>
  <si>
    <t>Kaizen USA(Alfredo Arcieri)</t>
  </si>
  <si>
    <t>119835-37T</t>
  </si>
  <si>
    <t>73474-57T</t>
  </si>
  <si>
    <t>Telsinc Comércio De Equipamentos De Informática</t>
  </si>
  <si>
    <t>Provider of information technology services. The company provides information technology services focused on infrastructure integration, virtualization, communications and security.</t>
  </si>
  <si>
    <t>91469-35T</t>
  </si>
  <si>
    <t>Elouveira do Brasil Projetos Imobiliários</t>
  </si>
  <si>
    <t>Operator of a real estate company in Louveira, Brazil.</t>
  </si>
  <si>
    <t>92092-42T</t>
  </si>
  <si>
    <t>Sul Americana de Metais</t>
  </si>
  <si>
    <t>Operator of iron ore extraction and commercialization company. The company holds a total of 85 exploration rights, mainly for iron ore, located in Minas State and Bahia State, covering a total area of about 1,220 square kilometers.</t>
  </si>
  <si>
    <t>Esperento Mineral, Honbridge Holdings (HKG: 08137), Infinite Sky, New Trinity</t>
  </si>
  <si>
    <t>46410-40T</t>
  </si>
  <si>
    <t>Vinhedo do Brasil Projetos Imobiliarios</t>
  </si>
  <si>
    <t>Owner and operator of warehouses in São Paulo. The company manages real estate properties along with owning and operating warehouses.</t>
  </si>
  <si>
    <t>209166-49T</t>
  </si>
  <si>
    <t>75062-08T</t>
  </si>
  <si>
    <t>PSBR Produtos e Serviços de Técnologia</t>
  </si>
  <si>
    <t>Distributor of internet security products. The company is engaged in the supply and distribution of information technology security products used during cloud computing to its customers in Brazil.</t>
  </si>
  <si>
    <t>Atlantic Bridge Capital, Gala Capital, HarbourVest Partners, Investindustrial, Investing Profit Wisely, Panda Security(Juan Santana)</t>
  </si>
  <si>
    <t>110646-10T</t>
  </si>
  <si>
    <t>Mills Locacao Servicos e Logistica (BVMF: MILS3)</t>
  </si>
  <si>
    <t>Mills Locacao Servicos e Logistica SA operates in the infrastructure, construction, and manufacturing industries. Its activity includes Rental and sale, including imports and exports, of steel and aluminum tubular structures, shoring and access equipment for construction works, as well as reusable concrete formworks. Sale, rental, and distribution of aerial work platforms and telescopic handlers. It has a Formwork and Shoring segment and Rental segment, and the majority of the revenue derives from the Rental business segment.</t>
  </si>
  <si>
    <t>102161-62T</t>
  </si>
  <si>
    <t>Even Construtora E Incorporadora (BVMF: EVEN3)</t>
  </si>
  <si>
    <t>Even Construtora E Incorporadora SA engages in residential property development. The firm develops residential building projects and also offers commercial properties. It is involved in site prospecting, property development, brokerage and project construction activities. Geographically, the company mainly operates in following segments: States of Sao Paulo, Rio de Janeiro and the Rio Grande do Sul and Other Markets. The States of Sao Paulo segment accounts for the majority of the firm's revenue.</t>
  </si>
  <si>
    <t>91625-77T</t>
  </si>
  <si>
    <t>Mineracao Pedra Branca do Amapari</t>
  </si>
  <si>
    <t>Provider of mining and exploration services. The company's mining and exploration services include gold and silver mining and explorations through its Amapari Gold Mine in Brazil.</t>
  </si>
  <si>
    <t>Beadell Resources</t>
  </si>
  <si>
    <t>219124-18T</t>
  </si>
  <si>
    <t>BCO Nossa Caixa</t>
  </si>
  <si>
    <t>Provider of commercial banking and financial services intended for small and medium-sized companies. The company's products and services include credit operations, investment-funds, treasury operations, private pension plans, house and car pools, insurances and prize-linked savings plans, real estate and auto financing pools, enabling organizations with financial solutions.</t>
  </si>
  <si>
    <t>Banco do Brasil (BVMF: BBAS3)(Marcelo Lima)</t>
  </si>
  <si>
    <t>92342-71T</t>
  </si>
  <si>
    <t>Biovail(Michael Pearson)</t>
  </si>
  <si>
    <t>91628-47T</t>
  </si>
  <si>
    <t>Mitsui Motion Máquinas</t>
  </si>
  <si>
    <t>Manufacturer and supplier of CNC machines, fixing systems and turn key systems. The company provides agile machines, fixing for parts and tools with full integration with the Fanuc machines, machining, and automation solution.</t>
  </si>
  <si>
    <t>21198-79T</t>
  </si>
  <si>
    <t>Denis Engel(Denis Engel)</t>
  </si>
  <si>
    <t>62243-20T</t>
  </si>
  <si>
    <t>73530-55T</t>
  </si>
  <si>
    <t>Elba Equipamentos e Serviços</t>
  </si>
  <si>
    <t>Provider of logistics and supply chain services intended for the industrial sector. The company specializes in the logistics of handling finished products and heavy equipment and provides receiving, warehousing, shipping, and transportation services, providing clients with the required support throughout the supply and production logistics chain.</t>
  </si>
  <si>
    <t>Jardim Botânico Investimentos(Jose Osorio), Spectra Investments</t>
  </si>
  <si>
    <t>60253-21T</t>
  </si>
  <si>
    <t>MCN Technology &amp; Consulting</t>
  </si>
  <si>
    <t>Provider of technology consulting services. The company offers services such as portal management, technology outsourcing, PMO services and others in Brazil.</t>
  </si>
  <si>
    <t>Ebix Latin America</t>
  </si>
  <si>
    <t>28159-48T</t>
  </si>
  <si>
    <t>Biolatina Energias Renováveis</t>
  </si>
  <si>
    <t>Developer of decentralized units for the production of bio-fuels. The company develops equipment for processing biofuels from vegetable oils and animal fats. The company also provides related financing, operation and maintenance of the bio-fuel producing units.</t>
  </si>
  <si>
    <t>Grupo ECOS</t>
  </si>
  <si>
    <t>15777-01T</t>
  </si>
  <si>
    <t>86199-22T</t>
  </si>
  <si>
    <t>179126-38T</t>
  </si>
  <si>
    <t>89720-38T</t>
  </si>
  <si>
    <t>Martifer (LIS: MAR)</t>
  </si>
  <si>
    <t>72800-83T</t>
  </si>
  <si>
    <t>CSM South America</t>
  </si>
  <si>
    <t>Provider of automotive forecast information services. The company is engaged in the sales of automotive and related customer relationship management services. It also provides information and forecasts regrading automotive sales for all South American countries.</t>
  </si>
  <si>
    <t>IHS Markit(Jerre Stead)</t>
  </si>
  <si>
    <t>16481-35T</t>
  </si>
  <si>
    <t>OpenGate Capital(Julien Lagrèze), Optimal Investment Group</t>
  </si>
  <si>
    <t>90913-60T</t>
  </si>
  <si>
    <t>ASL- Assistência a Saúde</t>
  </si>
  <si>
    <t>Provider of insurance services. The company's insurance services include life insurance and health insurance services, enabling customers to lower their risks of living at a low premium rate.</t>
  </si>
  <si>
    <t>Amil Assistencia Medica Internacional</t>
  </si>
  <si>
    <t>19948-06T</t>
  </si>
  <si>
    <t>91708-21T</t>
  </si>
  <si>
    <t>RT Financial</t>
  </si>
  <si>
    <t>Provider of financial consultancy services. The company's financial services specializes in offshore investment and wealth planning with high net worth individuals, enabling clients to manage their wealth according to their needs.</t>
  </si>
  <si>
    <t>deVere Group(Nigel Green)</t>
  </si>
  <si>
    <t>37009-90T</t>
  </si>
  <si>
    <t>Qualimidia Veiculação e Divulgação</t>
  </si>
  <si>
    <t>Provider of online rental services. The company operates a web portal which offers online vacation and rental services for connecting travelers and owners in Brazil.</t>
  </si>
  <si>
    <t>HomeAway(Brian Sharples)</t>
  </si>
  <si>
    <t>46402-66T</t>
  </si>
  <si>
    <t>73342-81T</t>
  </si>
  <si>
    <t>75056-68T</t>
  </si>
  <si>
    <t>Sapeka-Indústria e Comércio de Fraldas Descartáveis</t>
  </si>
  <si>
    <t>Manufacturer of diapers based in Aparecida de Goiania, Brazil. The company offers disposable diapers and sanitary napkins along with teaching activities to parents for their children, thereby stimulating the creativity and development of children.</t>
  </si>
  <si>
    <t>91016-02T</t>
  </si>
  <si>
    <t>Babysol Comércio do Vestuário</t>
  </si>
  <si>
    <t>Operator of retail store chain for children. The company sells childcare articles, clothing, footwear, accessories, dressings, and furniture for baby and children's fashion through its retail stores.</t>
  </si>
  <si>
    <t>Marisol Vestuário</t>
  </si>
  <si>
    <t>195724-81T</t>
  </si>
  <si>
    <t>Foregon</t>
  </si>
  <si>
    <t>Developer of a financial products search portal designed to help people make financial progress. The company's portal aggregates a range of traditional and alternative data to enable the online acquisition, risk, and fraud scoring and lead generation from customers involving extensive layers of security, both for the user and for the issuer of the financial product, enabling clients to find and get the financial product that fits their profile.</t>
  </si>
  <si>
    <t>58970-89T</t>
  </si>
  <si>
    <t>MA1 Corretora</t>
  </si>
  <si>
    <t>Provider of capital management and insurance services. The company offers services such as capital asset management, insurance brokerage service and other financial services.</t>
  </si>
  <si>
    <t>APR Seguros</t>
  </si>
  <si>
    <t>165094-93T</t>
  </si>
  <si>
    <t>Usina Vertent</t>
  </si>
  <si>
    <t>Operator of a sugar processing plant intended to serve pharmaceuticals, paints, cosmetics, rubber and energy industries. The company manufactures and produces ethanol, sugar, bioenergy and cogenerated energy, thereby serving customers with sustainable products.</t>
  </si>
  <si>
    <t>68986-72T</t>
  </si>
  <si>
    <t>Brenco</t>
  </si>
  <si>
    <t>Operator of a renewable energy production company. The company implements industrial plants to produce ethanol and electricity from sugar cane.</t>
  </si>
  <si>
    <t>ETH Bioenergia</t>
  </si>
  <si>
    <t>91697-95T</t>
  </si>
  <si>
    <t>RiskControl Servios</t>
  </si>
  <si>
    <t>Provider of financial risk management services. The company's financial risk management services include financial monitoring, risk evaluation and manage market risk fluctuation, enabling the commercial sectors to access a wide range of financial services for their smooth financial operation under one roof.</t>
  </si>
  <si>
    <t>96452-02T</t>
  </si>
  <si>
    <t>Securitas Re</t>
  </si>
  <si>
    <t>Provider of reinsurance brokerage services. The company's reinsurance brokerage services include property and casualty, surety and construction coverage, enabling petrochemical, energy and construction industries to get reinsurance services.</t>
  </si>
  <si>
    <t>75091-69T</t>
  </si>
  <si>
    <t>Moema Par</t>
  </si>
  <si>
    <t>Operator of a holding company. The company wholly owns one sugarcane mill in Brazil and has ownership interests in five others, with a total annual crushing capacity of 15.4m tonnes/year. The mills produce two types of sugar (raw and crystal) and two types of ethanol (hydrous and anhydrous).</t>
  </si>
  <si>
    <t>Bunge Global (NYS: BG)(Alberto Weisser)</t>
  </si>
  <si>
    <t>91629-64T</t>
  </si>
  <si>
    <t>Tégula Soluções para Telhados</t>
  </si>
  <si>
    <t>Manufacturer of construction materials intended to offer tiles. The company's products include concrete tiles, prime tiles, flat tiles, etherfoil, birdwatcher, ridge rod, pigment, crystal tile, and attic ladder.</t>
  </si>
  <si>
    <t>91527-85T</t>
  </si>
  <si>
    <t>GPTI Tecnologia da Informação</t>
  </si>
  <si>
    <t>Provider of IT support services. The company's IT support services include computer programming and system designing focused on alternatives and drawing role models from the synergy of its products and services, enabling clients to get complete customized services for their technical needs.</t>
  </si>
  <si>
    <t>16041-52T</t>
  </si>
  <si>
    <t>91158-49T</t>
  </si>
  <si>
    <t>Boa Vista Gold</t>
  </si>
  <si>
    <t>Provider of gold exploration services intended to identify and develop gold resources. The company's gold exploration portfolio consist of Boa Vista Gold Project, located in Pará State in northern Brazil.</t>
  </si>
  <si>
    <t>Brazilian Gold(John Stalker)</t>
  </si>
  <si>
    <t>86193-55T</t>
  </si>
  <si>
    <t>Escribo</t>
  </si>
  <si>
    <t>Developer of an e-learning platform designed to strengthen early childhood education. The company's platform offers educational games that motivate children to learn better and generate learning indicators, enabling the school and parents to follow the evolution of each class and each student.</t>
  </si>
  <si>
    <t>211741-30T</t>
  </si>
  <si>
    <t>90175-06T</t>
  </si>
  <si>
    <t>101176-48T</t>
  </si>
  <si>
    <t>Rodobens Participacoes</t>
  </si>
  <si>
    <t>214689-34T</t>
  </si>
  <si>
    <t>DEG, International Finance (Washington D.C.)(Guy Ellena), Proparco</t>
  </si>
  <si>
    <t>16571-44T</t>
  </si>
  <si>
    <t>224053-12T</t>
  </si>
  <si>
    <t>Fundo de Investimento Imobiliario Caixa Cedae (BVMF: CXCE11)</t>
  </si>
  <si>
    <t>Fundo de Investimento Imobiliario Caixa Cedae is a real estate investment trust. The Company is backed by commercial property which is tailored in turn-key mode and leased to State Company for Water and Sewage.</t>
  </si>
  <si>
    <t>24538-24T</t>
  </si>
  <si>
    <t>Multdia</t>
  </si>
  <si>
    <t>Manufacturer of infant food products. The company produces baby foods including porridge, cereals, cake mix and chocolate. The company also acts as a marketing and distribution firm to market its branded products.</t>
  </si>
  <si>
    <t>Rio Bravo Energy, Rio Bravo Investimentos</t>
  </si>
  <si>
    <t>91723-06T</t>
  </si>
  <si>
    <t>SANMAK Indústria de Máquinas</t>
  </si>
  <si>
    <t>Manufacturer of sorting machines. The company's activities include designing, manufacturing, marketing and installation of sorting machines for food and non-food processing industries.</t>
  </si>
  <si>
    <t>Bühler</t>
  </si>
  <si>
    <t>102106-63T</t>
  </si>
  <si>
    <t>Maguary</t>
  </si>
  <si>
    <t>Manufacturer of concentrated juices and beverages. The company's concentrated juices and beverages include various flavors such as passion fruit, mango, peach, grape and orange, enabling customers to enjoy fresh juices.</t>
  </si>
  <si>
    <t>224109-28T</t>
  </si>
  <si>
    <t>Fundos de Investimentos Imobiliarios- FII BTG Pactual Fundo De Fundos</t>
  </si>
  <si>
    <t>Fundo Invest Imobiliario FII Btg Pactual Fundo Fundos, formerly Fundo de Investimento Imobiliario - FII BTG Pactual Fundo de Fundos is a real estate investment fund.</t>
  </si>
  <si>
    <t>90331-39T</t>
  </si>
  <si>
    <t>Brasilcap Capitalização</t>
  </si>
  <si>
    <t>Provider of financial services and capital planning services.</t>
  </si>
  <si>
    <t>33286-60T</t>
  </si>
  <si>
    <t>Banco Do Nordeste (BVMF: BNBR3), Brazilian Development Bank, SP Ventures(Francisco Jardim)</t>
  </si>
  <si>
    <t>169906-78T</t>
  </si>
  <si>
    <t>M2S Servicos de Suporte</t>
  </si>
  <si>
    <t>Provider of information technology consultancy services in Salvador, Brazil. The company specializes in retail trading of computer equipment and supplies.</t>
  </si>
  <si>
    <t>91624-33T</t>
  </si>
  <si>
    <t>Midbyte Informatica</t>
  </si>
  <si>
    <t>Developer of Integrated Management System and Store Management System software. The company's systems are fully integrated, online and multi-user, making it flexible and structured to meet requirements of retail industries.</t>
  </si>
  <si>
    <t>118364-68T</t>
  </si>
  <si>
    <t>Insit Embalagens</t>
  </si>
  <si>
    <t>Provider of packaging solutions based in Brazil.</t>
  </si>
  <si>
    <t>Bemis Company</t>
  </si>
  <si>
    <t>91780-30T</t>
  </si>
  <si>
    <t>Vibracoustic do Brasil</t>
  </si>
  <si>
    <t>Manufacturer of automotive vibration technology products. The company's automotive vibration technology products include engine mounts and chassis parts.</t>
  </si>
  <si>
    <t>Vibracoustic</t>
  </si>
  <si>
    <t>111222-46T</t>
  </si>
  <si>
    <t>102891-79T</t>
  </si>
  <si>
    <t>Alunorte Alumina Norte Brasil</t>
  </si>
  <si>
    <t>Manufacturer of aluminum products based in Barcarena, Brazil.</t>
  </si>
  <si>
    <t>89797-15T</t>
  </si>
  <si>
    <t>99104-23T</t>
  </si>
  <si>
    <t>Auire</t>
  </si>
  <si>
    <t>Developer of a color identifier designed to detect and communicate color and related details of a currency note for blind people. The company's electronic device combines a color identification technology and 3 color sensors that recognize color variations and all real notes when the objects are scanned and monitored, enabling visually impaired users to avoid color identification issues and recognize real currencies, while reducing frauds and dependencies.</t>
  </si>
  <si>
    <t>112216-33T</t>
  </si>
  <si>
    <t>269926-75T</t>
  </si>
  <si>
    <t>Bayadeira</t>
  </si>
  <si>
    <t>Manufacturer of stationery items and supplies based in Porto Alegre, Brazil. The company provides books, stickers, banners, plots and other items for various uses.</t>
  </si>
  <si>
    <t>77711-77T</t>
  </si>
  <si>
    <t>Bertini</t>
  </si>
  <si>
    <t>Provider of services for software development. The company specializes in Oracle consulting and focuses on service development for major corporations aiming at facilitating and automating business processes through information technology applications.</t>
  </si>
  <si>
    <t>97988-41T</t>
  </si>
  <si>
    <t>Blue Tec Solução Sascar</t>
  </si>
  <si>
    <t>Provider of telemetry resources intended to meet the specifications and needs providing products that ensure complete automated control. The company's telemetry resources includes embedded devices and software packages that automate the system and perform data analysis, both with full maintenance and after sale technical support, enabling clients to get access to better control and monitoring of their devices.</t>
  </si>
  <si>
    <t>GRV Solutions</t>
  </si>
  <si>
    <t>73515-70T</t>
  </si>
  <si>
    <t>Bony Açaí</t>
  </si>
  <si>
    <t>Producer of juices, powders and mixes. The company provides energy drinks, fruit juices, protein powders and also offers caps and sports apparel for men and women.</t>
  </si>
  <si>
    <t>266662-45T</t>
  </si>
  <si>
    <t>BP Solutions</t>
  </si>
  <si>
    <t>Distributor of data capture and POS services for commercial and industrial applications.</t>
  </si>
  <si>
    <t>203402-53T</t>
  </si>
  <si>
    <t>Grupo Los Grobo</t>
  </si>
  <si>
    <t>281467-54T</t>
  </si>
  <si>
    <t>Casa Saba Brasil Holdings</t>
  </si>
  <si>
    <t>133574-32T</t>
  </si>
  <si>
    <t>Energ Power</t>
  </si>
  <si>
    <t>Provider of power energy equipment based in Belo Horizonte, Brazil. The company supplies electrical and mechanical equipment for hydroelectric plants, substations and transmission lines such as power plants, hydraulic turbines, generators, clean-grating machines, dispersing valves and butterfly valves.</t>
  </si>
  <si>
    <t>SNEF (France)</t>
  </si>
  <si>
    <t>109882-72T</t>
  </si>
  <si>
    <t>Caixa (BVMF: CRFF11), Rioforte Investments</t>
  </si>
  <si>
    <t>32401-09T</t>
  </si>
  <si>
    <t>BTG Pactual (BVMF: BPAC3)(Marcelo Hallack)</t>
  </si>
  <si>
    <t>111222-19T</t>
  </si>
  <si>
    <t>Farmabase Saude Animal</t>
  </si>
  <si>
    <t>Manufacturer of veterinary drugs plant based in Brazil aimed at maintaining the animal health of poultry and pigs. The company provides a large portfolio of animal health feeds for the control of enteric diseases, fungal infections, enhance intestinal health, endoparasites, growth promoter and others for the poultry and swine markets.</t>
  </si>
  <si>
    <t>32386-51T</t>
  </si>
  <si>
    <t>75357-37T</t>
  </si>
  <si>
    <t>Gemelo</t>
  </si>
  <si>
    <t>Manufacturer of data centers designed for oragnizations to save their data. The company offers data centers in various sizes which are easy to install through plug and play technique and are alo mainatined by the company, providing clients with centers as per their needs.</t>
  </si>
  <si>
    <t>BGS Venture, Invest Tech</t>
  </si>
  <si>
    <t>228802-06T</t>
  </si>
  <si>
    <t>Hidrotérmica (Business Unit in Palmeira de Goias )</t>
  </si>
  <si>
    <t>Operator of energy projects based in Palmeira de Goias, Brazil.</t>
  </si>
  <si>
    <t>Engebra</t>
  </si>
  <si>
    <t>45560-17T</t>
  </si>
  <si>
    <t>P2 Brasil(Felipe Pinto)</t>
  </si>
  <si>
    <t>256737-16T</t>
  </si>
  <si>
    <t>Imovelweb</t>
  </si>
  <si>
    <t>The operator of a portal that includes buying and selling of real estate properties based in Brazil. The company's platform offers purchase, sell, invest, and rent properties enabling users to search for residential and commercial spaces in Brazil.</t>
  </si>
  <si>
    <t>Navent, Tiger Global Management(Lee Fixel)</t>
  </si>
  <si>
    <t>75149-92T</t>
  </si>
  <si>
    <t>Industrias Romi (BVMF: ROMI3)</t>
  </si>
  <si>
    <t>Romi SA is a supplier of machinery and equipment. Its business operations include the assembly and sale of capital goods in general, including machine tools, plastic injection molding machines, industrial equipment and accessories, castings, and parts. In addition, it manufactures and sells rough cast parts and machined cast parts. The company is organized into three business units, Romi Machinery, Burkhardt plus Weber Machinery, and Cast and Machined Products segment. It generates revenue from Latin America. The company also operates in Europe, Africa and Asia, North America.</t>
  </si>
  <si>
    <t>Demais</t>
  </si>
  <si>
    <t>75151-18T</t>
  </si>
  <si>
    <t>Fundação Petrobras de Seguridade Social</t>
  </si>
  <si>
    <t>178037-65T</t>
  </si>
  <si>
    <t>246327-58T</t>
  </si>
  <si>
    <t>Klabin Segall</t>
  </si>
  <si>
    <t>Provider of real estate development services catering to the states of Sao Paulo, Minas Gerais and Rio de Janeiro. The company provides real estate services being engaged in the development and sale of residential and commercial properties in Brazil.</t>
  </si>
  <si>
    <t>Agra Empreendimentos Imobiliarios, Veremonte Participações</t>
  </si>
  <si>
    <t>228908-71T</t>
  </si>
  <si>
    <t>Maber Empreendimentos Imobiliários</t>
  </si>
  <si>
    <t>16017-31T</t>
  </si>
  <si>
    <t>211890-79T</t>
  </si>
  <si>
    <t>Move (Services (B2C Non-Financial))</t>
  </si>
  <si>
    <t>Provider of undisclosed products and services based in Brazil.</t>
  </si>
  <si>
    <t>98241-13T</t>
  </si>
  <si>
    <t>96099-04T</t>
  </si>
  <si>
    <t>Neugel</t>
  </si>
  <si>
    <t>Manufacturer of chemicals based in São Paulo, Brazil. The company's chemicals include resins, plasticizers and other related chemical components.</t>
  </si>
  <si>
    <t>Grupo Formitex</t>
  </si>
  <si>
    <t>232216-03T</t>
  </si>
  <si>
    <t>Plus Imóveis</t>
  </si>
  <si>
    <t>Provider of real estate services based in São Paulo, Brazil. The company offers houses, apartments, commercial complexes, flats, townhouses and land.</t>
  </si>
  <si>
    <t>33961-24T</t>
  </si>
  <si>
    <t>81900-91T</t>
  </si>
  <si>
    <t>Pearson (LON: PSON)</t>
  </si>
  <si>
    <t>90628-30T</t>
  </si>
  <si>
    <t>Quórum Corretora de Seguros</t>
  </si>
  <si>
    <t>Provider of insurance brokerage services. The company's insurance brokerage services provides brokerage services related to insurance, enabling clients to get proper negotiation related to insurance.</t>
  </si>
  <si>
    <t>MDS SGPS</t>
  </si>
  <si>
    <t>158816-98T</t>
  </si>
  <si>
    <t>22499-47T</t>
  </si>
  <si>
    <t>Austral Capital Partners(Felipe Camposano)</t>
  </si>
  <si>
    <t>33829-30T</t>
  </si>
  <si>
    <t>Splack</t>
  </si>
  <si>
    <t>Developer and supplier of pharmaceutical packaging and desiccant solutions for various industries. The company's product offerings include capsules, injected tubes, caps with silica, covers, container bags, mix sachets, sachets of coal and threaded bottles for the pharmaceutical industry in Brazil, also exporting to the US, Mexico, Canada, India and Europe.</t>
  </si>
  <si>
    <t>75041-74T</t>
  </si>
  <si>
    <t>Bregal Investments(Quentin Van Doosselaere), Brenthurst Funds, Caisse de dépôt et placement du Québec, Cercano Management(Cliff Su), Citigroup Alternative Investments, Kohlberg Kravis Roberts (NYS: KKR)(Brian Carroll), Laureate Education (NAS: LAUR), Makena Capital Management, Point72 Asset Management, Sterling Partners(Steven Taslitz), Stockwell Capital, Torreal, TruArc Partners(Ian Snow)</t>
  </si>
  <si>
    <t>75093-76T</t>
  </si>
  <si>
    <t>Apollo Asset Management (NYS: APO), BlackRock Private Equity Partners, Bregal Investments(Quentin Van Doosselaere), Caisse de dépôt et placement du Québec, Cercano Management(Cliff Su), Citigroup Alternative Investments, Kohlberg Kravis Roberts (NYS: KKR)(Brian Carroll), Laureate Education (NAS: LAUR), Makena Capital Management, Point72 Asset Management, Sterling Partners(Steven Taslitz), Stockwell Capital, Torreal, TruArc Partners(Ian Snow)</t>
  </si>
  <si>
    <t>205525-81T</t>
  </si>
  <si>
    <t>Usina Rio Vermelho</t>
  </si>
  <si>
    <t>Developer of electric power generation lines and related structures based in Santa Catarina, Brazil. The company engages in electric generation, construction of electric power generation lines and related structures and Electricity distribution.</t>
  </si>
  <si>
    <t>95554-18T</t>
  </si>
  <si>
    <t>Usina Termoelectrica Winimport</t>
  </si>
  <si>
    <t>Producer of biomass energy.</t>
  </si>
  <si>
    <t>Grupo Gaia</t>
  </si>
  <si>
    <t>© PitchBook Data, Inc.  2025</t>
  </si>
  <si>
    <t>Tipos de Operação: M&amp;A, reverse merger, LBO, PE Investment</t>
  </si>
  <si>
    <t>Communication Services</t>
  </si>
  <si>
    <t>Utilities</t>
  </si>
  <si>
    <t>Real Estate</t>
  </si>
  <si>
    <t>Segmentos Utilizados</t>
  </si>
  <si>
    <t>Consumer Staples</t>
  </si>
  <si>
    <t>Energy</t>
  </si>
  <si>
    <t>Industrials</t>
  </si>
  <si>
    <t>Information Technology</t>
  </si>
  <si>
    <t>Consumer Discretionary</t>
  </si>
  <si>
    <t>Financials</t>
  </si>
  <si>
    <t>Materials</t>
  </si>
  <si>
    <t>Health Care</t>
  </si>
  <si>
    <t>Segmentos</t>
  </si>
  <si>
    <t>Industry</t>
  </si>
  <si>
    <t>Deal Sizes</t>
  </si>
  <si>
    <t>Beverages, Food Products, Personal Products, Clothing, Footwear, Specialty Retail</t>
  </si>
  <si>
    <t>Agricultural Chemicals, Alternative Energy Equipment, Coal Mining, Energy Exploration, Energy Production, Energy Traders and Brokers, Energy Transportation, Gas Utilities</t>
  </si>
  <si>
    <t>Automotive, Building Products, Buildings and Property, Consulting Services (B2B), Cultivation, Distributors/Wholesale, Environmental Services (B2B), Forestry Processing, Industrial Chemicals, Industrial Supplies and Parts, Infrastructure, Logistics, Rail, Road, Other Commercial Services, Other Containers and Packaging</t>
  </si>
  <si>
    <t>Hotels and Resorts, Real Estate Services (B2C), Other Restaurants, Hotels and Leisure</t>
  </si>
  <si>
    <t>Application Software, Business/Productivity Software, Educational Software, Financial Software, Computers, Parts and Peripherals, Internet Service Providers, IT Consulting and Outsourcing</t>
  </si>
  <si>
    <t>Accessories, Clothing, Footwear, Internet Retail, Leisure Facilities, Specialty Retail, Other Consumer Durables, Other Consumer Non-Durables</t>
  </si>
  <si>
    <t>Electric Utilities, Gas Utilities, Telecommunications Service Providers</t>
  </si>
  <si>
    <t>Internet Service Providers, Telecommunications Service Providers, Other Services (B2C Non-Financial)</t>
  </si>
  <si>
    <t>Asset Management, Brokerage, Consumer Finance, Insurance Brokers, Managed Care, Multi-line Insurance, Other Capital Markets/Institutions, Specialized Finance, Holding Companies</t>
  </si>
  <si>
    <t>Agricultural Chemicals, Industrial Chemicals, Multi-line Chemicals, Specialty Chemicals, Gold Mining, Other Metals, Minerals and Mining</t>
  </si>
  <si>
    <t>Medical Supplies, Managed Care, Educational and Training Services (B2C)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</si>
</sst>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m\-yyyy"/>
    <numFmt numFmtId="165" formatCode="#,##0.00;[Red]\(#,##0.00\)"/>
    <numFmt numFmtId="166" formatCode="#,###"/>
  </numFmts>
  <fonts count="12" x14ac:knownFonts="1">
    <font>
      <sz val="11"/>
      <color theme="1"/>
      <name val="Calibri"/>
      <family val="2"/>
      <scheme val="minor"/>
    </font>
    <font>
      <sz val="8"/>
      <color rgb="FF000000"/>
      <name val="Open Sans"/>
      <family val="2"/>
    </font>
    <font>
      <b/>
      <sz val="8"/>
      <color rgb="FF000000"/>
      <name val="Open Sans"/>
      <family val="2"/>
    </font>
    <font>
      <sz val="8"/>
      <color rgb="FF26649E"/>
      <name val="Open Sans"/>
      <family val="2"/>
    </font>
    <font>
      <b/>
      <sz val="8"/>
      <color rgb="FF26649E"/>
      <name val="Open Sans"/>
      <family val="2"/>
    </font>
    <font>
      <b/>
      <sz val="16"/>
      <color rgb="FF000000"/>
      <name val="Open Sans"/>
      <family val="2"/>
    </font>
    <font>
      <b/>
      <sz val="8"/>
      <color rgb="FFFFFFFF"/>
      <name val="Open Sans"/>
      <family val="2"/>
    </font>
    <font>
      <b/>
      <sz val="14"/>
      <color rgb="FF000000"/>
      <name val="Open Sans"/>
      <family val="2"/>
    </font>
    <font>
      <i/>
      <sz val="10"/>
      <color rgb="FF000000"/>
      <name val="Open Sans"/>
      <family val="2"/>
    </font>
    <font>
      <i/>
      <sz val="10"/>
      <color rgb="FF26649E"/>
      <name val="Open Sans"/>
      <family val="2"/>
    </font>
    <font>
      <sz val="8"/>
      <color rgb="FF000000"/>
      <name val="Open Sans"/>
      <family val="2"/>
    </font>
    <font>
      <b/>
      <sz val="11"/>
      <color theme="1"/>
      <name val="Calibri"/>
      <family val="2"/>
      <scheme val="minor"/>
    </font>
  </fonts>
  <fills count="5">
    <fill>
      <patternFill patternType="none"/>
    </fill>
    <fill>
      <patternFill patternType="gray125"/>
    </fill>
    <fill>
      <patternFill patternType="solid">
        <fgColor rgb="FF051C38"/>
        <bgColor rgb="FF051C38"/>
      </patternFill>
    </fill>
    <fill>
      <patternFill patternType="solid">
        <fgColor rgb="FFF8F5EF"/>
        <bgColor rgb="FFF8F5EF"/>
      </patternFill>
    </fill>
    <fill>
      <patternFill patternType="solid">
        <fgColor rgb="FFFFFFFF"/>
      </patternFill>
    </fill>
  </fills>
  <borders count="14">
    <border>
      <left/>
      <right/>
      <top/>
      <bottom/>
      <diagonal/>
    </border>
    <border>
      <left/>
      <right style="thin">
        <color rgb="FFD3D3D3"/>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top/>
      <bottom style="thin">
        <color indexed="64"/>
      </bottom>
      <diagonal/>
    </border>
  </borders>
  <cellStyleXfs count="18">
    <xf numFmtId="0" fontId="0" fillId="0" borderId="0"/>
    <xf numFmtId="0" fontId="1" fillId="0" borderId="0">
      <alignment horizontal="right" vertical="center"/>
    </xf>
    <xf numFmtId="0" fontId="2" fillId="0" borderId="0">
      <alignment horizontal="left" vertical="center"/>
    </xf>
    <xf numFmtId="0" fontId="1" fillId="0" borderId="0">
      <alignment horizontal="right" vertical="top"/>
    </xf>
    <xf numFmtId="0" fontId="4" fillId="0" borderId="0">
      <alignment horizontal="left" vertical="top"/>
    </xf>
    <xf numFmtId="0" fontId="2" fillId="0" borderId="0">
      <alignment horizontal="left" vertical="top" wrapText="1"/>
    </xf>
    <xf numFmtId="0" fontId="5" fillId="0" borderId="0">
      <alignment horizontal="left" vertical="center"/>
    </xf>
    <xf numFmtId="0" fontId="6" fillId="0" borderId="0">
      <alignment horizontal="center" vertical="center" wrapText="1"/>
    </xf>
    <xf numFmtId="0" fontId="1" fillId="0" borderId="1">
      <alignment horizontal="left" vertical="center" indent="1"/>
    </xf>
    <xf numFmtId="0" fontId="1" fillId="0" borderId="1">
      <alignment horizontal="right" vertical="center" indent="1"/>
    </xf>
    <xf numFmtId="0" fontId="1" fillId="0" borderId="1">
      <alignment horizontal="center" vertical="center"/>
    </xf>
    <xf numFmtId="0" fontId="3" fillId="0" borderId="1">
      <alignment horizontal="left" vertical="center" indent="1"/>
    </xf>
    <xf numFmtId="0" fontId="3" fillId="0" borderId="1">
      <alignment horizontal="right" vertical="center" indent="1"/>
    </xf>
    <xf numFmtId="0" fontId="10" fillId="0" borderId="0">
      <alignment horizontal="left" vertical="center"/>
    </xf>
    <xf numFmtId="0" fontId="7" fillId="0" borderId="0">
      <alignment horizontal="left" vertical="center"/>
    </xf>
    <xf numFmtId="0" fontId="8" fillId="4" borderId="0">
      <alignment horizontal="left" vertical="center"/>
    </xf>
    <xf numFmtId="0" fontId="9" fillId="4" borderId="0">
      <alignment horizontal="left" vertical="center"/>
    </xf>
    <xf numFmtId="0" fontId="8" fillId="4" borderId="0">
      <alignment horizontal="right" vertical="center"/>
    </xf>
  </cellStyleXfs>
  <cellXfs count="46">
    <xf numFmtId="0" fontId="0" fillId="0" borderId="0" xfId="0"/>
    <xf numFmtId="0" fontId="1" fillId="0" borderId="0" xfId="1">
      <alignment horizontal="right" vertical="center"/>
    </xf>
    <xf numFmtId="0" fontId="2" fillId="0" borderId="0" xfId="2">
      <alignment horizontal="left" vertical="center"/>
    </xf>
    <xf numFmtId="164" fontId="2" fillId="0" borderId="0" xfId="2" applyNumberFormat="1">
      <alignment horizontal="left" vertical="center"/>
    </xf>
    <xf numFmtId="0" fontId="1" fillId="0" borderId="0" xfId="3">
      <alignment horizontal="right" vertical="top"/>
    </xf>
    <xf numFmtId="0" fontId="6" fillId="2" borderId="0" xfId="7" applyFill="1">
      <alignment horizontal="center" vertical="center" wrapText="1"/>
    </xf>
    <xf numFmtId="0" fontId="4" fillId="0" borderId="0" xfId="4">
      <alignment horizontal="left" vertical="top"/>
    </xf>
    <xf numFmtId="0" fontId="5" fillId="0" borderId="0" xfId="6">
      <alignment horizontal="left" vertical="center"/>
    </xf>
    <xf numFmtId="164" fontId="1" fillId="0" borderId="1" xfId="9" applyNumberFormat="1">
      <alignment horizontal="right" vertical="center" indent="1"/>
    </xf>
    <xf numFmtId="0" fontId="1" fillId="0" borderId="1" xfId="8">
      <alignment horizontal="left" vertical="center" indent="1"/>
    </xf>
    <xf numFmtId="165" fontId="1" fillId="0" borderId="1" xfId="9" applyNumberFormat="1">
      <alignment horizontal="right" vertical="center" indent="1"/>
    </xf>
    <xf numFmtId="40" fontId="1" fillId="0" borderId="1" xfId="9" applyNumberFormat="1">
      <alignment horizontal="right" vertical="center" indent="1"/>
    </xf>
    <xf numFmtId="166" fontId="1" fillId="0" borderId="1" xfId="8" applyNumberFormat="1">
      <alignment horizontal="left" vertical="center" indent="1"/>
    </xf>
    <xf numFmtId="0" fontId="3" fillId="3" borderId="1" xfId="11" applyFill="1">
      <alignment horizontal="left" vertical="center" indent="1"/>
    </xf>
    <xf numFmtId="0" fontId="3" fillId="0" borderId="1" xfId="11">
      <alignment horizontal="left" vertical="center" indent="1"/>
    </xf>
    <xf numFmtId="0" fontId="1" fillId="3" borderId="1" xfId="8" applyFill="1">
      <alignment horizontal="left" vertical="center" indent="1"/>
    </xf>
    <xf numFmtId="166" fontId="1" fillId="3" borderId="1" xfId="8" applyNumberFormat="1" applyFill="1">
      <alignment horizontal="left" vertical="center" indent="1"/>
    </xf>
    <xf numFmtId="164" fontId="1" fillId="3" borderId="1" xfId="9" applyNumberFormat="1" applyFill="1">
      <alignment horizontal="right" vertical="center" indent="1"/>
    </xf>
    <xf numFmtId="40" fontId="1" fillId="3" borderId="1" xfId="9" applyNumberFormat="1" applyFill="1">
      <alignment horizontal="right" vertical="center" indent="1"/>
    </xf>
    <xf numFmtId="165" fontId="1" fillId="3" borderId="1" xfId="9" applyNumberFormat="1" applyFill="1">
      <alignment horizontal="right" vertical="center" indent="1"/>
    </xf>
    <xf numFmtId="0" fontId="10" fillId="0" borderId="0" xfId="13">
      <alignment horizontal="left" vertical="center"/>
    </xf>
    <xf numFmtId="0" fontId="0" fillId="0" borderId="0" xfId="0"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11" fillId="0" borderId="5" xfId="0" applyFont="1" applyBorder="1" applyAlignment="1">
      <alignment horizontal="center"/>
    </xf>
    <xf numFmtId="0" fontId="0" fillId="0" borderId="7" xfId="0" applyBorder="1" applyAlignment="1">
      <alignment horizontal="center"/>
    </xf>
    <xf numFmtId="0" fontId="0" fillId="0" borderId="8" xfId="0" applyBorder="1"/>
    <xf numFmtId="0" fontId="2" fillId="0" borderId="0" xfId="5">
      <alignment horizontal="left" vertical="top" wrapText="1"/>
    </xf>
    <xf numFmtId="0" fontId="0" fillId="0" borderId="0" xfId="0"/>
    <xf numFmtId="0" fontId="11" fillId="0" borderId="0" xfId="0" applyFont="1" applyBorder="1" applyAlignment="1">
      <alignment horizontal="center"/>
    </xf>
    <xf numFmtId="0" fontId="0" fillId="0" borderId="0" xfId="0" applyBorder="1" applyAlignment="1">
      <alignment horizontal="center"/>
    </xf>
    <xf numFmtId="4" fontId="0" fillId="0" borderId="0" xfId="0" applyNumberFormat="1" applyBorder="1" applyAlignment="1">
      <alignment horizontal="center"/>
    </xf>
    <xf numFmtId="0" fontId="0" fillId="0" borderId="0" xfId="0" applyBorder="1"/>
    <xf numFmtId="4" fontId="0" fillId="0" borderId="12" xfId="0" applyNumberFormat="1" applyBorder="1" applyAlignment="1">
      <alignment horizontal="center"/>
    </xf>
    <xf numFmtId="0" fontId="0" fillId="0" borderId="13" xfId="0" applyBorder="1" applyAlignment="1">
      <alignment horizontal="center"/>
    </xf>
    <xf numFmtId="0" fontId="0" fillId="0" borderId="7" xfId="0" applyBorder="1"/>
    <xf numFmtId="0" fontId="0" fillId="0" borderId="8" xfId="0" applyBorder="1" applyAlignment="1">
      <alignment horizontal="center"/>
    </xf>
    <xf numFmtId="0" fontId="11" fillId="0" borderId="3" xfId="0" applyFont="1" applyBorder="1" applyAlignment="1">
      <alignment horizontal="center" wrapText="1"/>
    </xf>
    <xf numFmtId="0" fontId="0" fillId="0" borderId="4" xfId="0" applyBorder="1" applyAlignment="1">
      <alignment horizontal="left" vertical="center"/>
    </xf>
    <xf numFmtId="4" fontId="0" fillId="0" borderId="6" xfId="0" applyNumberFormat="1" applyBorder="1" applyAlignment="1">
      <alignment horizontal="center" vertical="center"/>
    </xf>
    <xf numFmtId="0" fontId="0" fillId="0" borderId="8" xfId="0" applyBorder="1" applyAlignment="1">
      <alignment horizontal="left" vertical="center" wrapText="1"/>
    </xf>
    <xf numFmtId="0" fontId="0" fillId="0" borderId="7" xfId="0" applyBorder="1" applyAlignment="1">
      <alignment horizontal="left" vertical="center"/>
    </xf>
    <xf numFmtId="4" fontId="0" fillId="0" borderId="0" xfId="0" applyNumberFormat="1" applyBorder="1" applyAlignment="1">
      <alignment horizontal="center" vertical="center"/>
    </xf>
    <xf numFmtId="0" fontId="0" fillId="0" borderId="9" xfId="0" applyBorder="1" applyAlignment="1">
      <alignment horizontal="left" vertical="center"/>
    </xf>
    <xf numFmtId="4" fontId="0" fillId="0" borderId="10" xfId="0" applyNumberFormat="1" applyBorder="1" applyAlignment="1">
      <alignment horizontal="center" vertical="center"/>
    </xf>
    <xf numFmtId="0" fontId="0" fillId="0" borderId="11" xfId="0" applyBorder="1" applyAlignment="1">
      <alignment horizontal="left" vertical="center" wrapText="1"/>
    </xf>
  </cellXfs>
  <cellStyles count="18">
    <cellStyle name="bold" xfId="2" xr:uid="{00000000-0005-0000-0000-000002000000}"/>
    <cellStyle name="defaultStyle" xfId="13" xr:uid="{00000000-0005-0000-0000-00000E000000}"/>
    <cellStyle name="fontSize10Italic" xfId="15" xr:uid="{00000000-0005-0000-0000-000010000000}"/>
    <cellStyle name="fontSize10ItalicHyperlink" xfId="16" xr:uid="{00000000-0005-0000-0000-000011000000}"/>
    <cellStyle name="fontSize10ItalicRight" xfId="17" xr:uid="{00000000-0005-0000-0000-000012000000}"/>
    <cellStyle name="fontSize14Bold" xfId="14" xr:uid="{00000000-0005-0000-0000-00000F000000}"/>
    <cellStyle name="fontSize16Bold" xfId="6" xr:uid="{00000000-0005-0000-0000-000007000000}"/>
    <cellStyle name="horizontalCenterWrapWhiteBold" xfId="7" xr:uid="{00000000-0005-0000-0000-000008000000}"/>
    <cellStyle name="horizontalRight" xfId="1" xr:uid="{00000000-0005-0000-0000-000001000000}"/>
    <cellStyle name="Normal" xfId="0" builtinId="0"/>
    <cellStyle name="tableCellStyleCenter" xfId="10" xr:uid="{00000000-0005-0000-0000-00000B000000}"/>
    <cellStyle name="tableCellStyleLeft" xfId="8" xr:uid="{00000000-0005-0000-0000-000009000000}"/>
    <cellStyle name="tableCellStyleLeftHyperlink" xfId="11" xr:uid="{00000000-0005-0000-0000-00000C000000}"/>
    <cellStyle name="tableCellStyleRight" xfId="9" xr:uid="{00000000-0005-0000-0000-00000A000000}"/>
    <cellStyle name="tableCellStyleRightHyperlink" xfId="12" xr:uid="{00000000-0005-0000-0000-00000D000000}"/>
    <cellStyle name="verticalTopBoldWrapBold" xfId="5" xr:uid="{00000000-0005-0000-0000-000006000000}"/>
    <cellStyle name="verticalTopHorizontalRight" xfId="3" xr:uid="{00000000-0005-0000-0000-000003000000}"/>
    <cellStyle name="verticalTopHyperlinkBold" xfId="4" xr:uid="{00000000-0005-0000-0000-000005000000}"/>
  </cellStyles>
  <dxfs count="19">
    <dxf>
      <fill>
        <patternFill patternType="solid">
          <fgColor rgb="FF051C38"/>
          <bgColor rgb="FF051C38"/>
        </patternFill>
      </fill>
    </dxf>
    <dxf>
      <fill>
        <patternFill patternType="solid">
          <fgColor rgb="FFF8F5EF"/>
          <bgColor rgb="FFF8F5EF"/>
        </patternFill>
      </fill>
    </dxf>
    <dxf>
      <fill>
        <patternFill patternType="solid">
          <fgColor rgb="FFF8F5EF"/>
          <bgColor rgb="FFF8F5EF"/>
        </patternFill>
      </fill>
    </dxf>
    <dxf>
      <numFmt numFmtId="166" formatCode="#,###"/>
      <fill>
        <patternFill patternType="solid">
          <fgColor rgb="FFF8F5EF"/>
          <bgColor rgb="FFF8F5EF"/>
        </patternFill>
      </fill>
    </dxf>
    <dxf>
      <fill>
        <patternFill patternType="solid">
          <fgColor rgb="FFF8F5EF"/>
          <bgColor rgb="FFF8F5EF"/>
        </patternFill>
      </fill>
    </dxf>
    <dxf>
      <numFmt numFmtId="164" formatCode="dd\-mmm\-yyyy"/>
      <fill>
        <patternFill patternType="solid">
          <fgColor rgb="FFF8F5EF"/>
          <bgColor rgb="FFF8F5EF"/>
        </patternFill>
      </fill>
    </dxf>
    <dxf>
      <numFmt numFmtId="8" formatCode="#,##0.00;[Red]\-#,##0.00"/>
      <fill>
        <patternFill patternType="solid">
          <fgColor rgb="FFF8F5EF"/>
          <bgColor rgb="FFF8F5EF"/>
        </patternFill>
      </fill>
    </dxf>
    <dxf>
      <numFmt numFmtId="8" formatCode="#,##0.00;[Red]\-#,##0.00"/>
      <fill>
        <patternFill patternType="solid">
          <fgColor rgb="FFF8F5EF"/>
          <bgColor rgb="FFF8F5EF"/>
        </patternFill>
      </fill>
    </dxf>
    <dxf>
      <numFmt numFmtId="8" formatCode="#,##0.00;[Red]\-#,##0.00"/>
      <fill>
        <patternFill patternType="solid">
          <fgColor rgb="FFF8F5EF"/>
          <bgColor rgb="FFF8F5EF"/>
        </patternFill>
      </fill>
    </dxf>
    <dxf>
      <numFmt numFmtId="8" formatCode="#,##0.00;[Red]\-#,##0.00"/>
      <fill>
        <patternFill patternType="solid">
          <fgColor rgb="FFF8F5EF"/>
          <bgColor rgb="FFF8F5EF"/>
        </patternFill>
      </fill>
    </dxf>
    <dxf>
      <numFmt numFmtId="8" formatCode="#,##0.00;[Red]\-#,##0.00"/>
      <fill>
        <patternFill patternType="solid">
          <fgColor rgb="FFF8F5EF"/>
          <bgColor rgb="FFF8F5EF"/>
        </patternFill>
      </fill>
    </dxf>
    <dxf>
      <numFmt numFmtId="165" formatCode="#,##0.00;[Red]\(#,##0.00\)"/>
      <fill>
        <patternFill patternType="solid">
          <fgColor rgb="FFF8F5EF"/>
          <bgColor rgb="FFF8F5EF"/>
        </patternFill>
      </fill>
    </dxf>
    <dxf>
      <numFmt numFmtId="165" formatCode="#,##0.00;[Red]\(#,##0.00\)"/>
      <fill>
        <patternFill patternType="solid">
          <fgColor rgb="FFF8F5EF"/>
          <bgColor rgb="FFF8F5EF"/>
        </patternFill>
      </fill>
    </dxf>
    <dxf>
      <numFmt numFmtId="165" formatCode="#,##0.00;[Red]\(#,##0.00\)"/>
      <fill>
        <patternFill patternType="solid">
          <fgColor rgb="FFF8F5EF"/>
          <bgColor rgb="FFF8F5EF"/>
        </patternFill>
      </fill>
    </dxf>
    <dxf>
      <numFmt numFmtId="8" formatCode="#,##0.00;[Red]\-#,##0.00"/>
      <fill>
        <patternFill patternType="solid">
          <fgColor rgb="FFF8F5EF"/>
          <bgColor rgb="FFF8F5EF"/>
        </patternFill>
      </fill>
    </dxf>
    <dxf>
      <fill>
        <patternFill patternType="solid">
          <fgColor rgb="FFF8F5EF"/>
          <bgColor rgb="FFF8F5EF"/>
        </patternFill>
      </fill>
    </dxf>
    <dxf>
      <numFmt numFmtId="8" formatCode="#,##0.00;[Red]\-#,##0.00"/>
      <fill>
        <patternFill patternType="solid">
          <fgColor rgb="FFF8F5EF"/>
          <bgColor rgb="FFF8F5EF"/>
        </patternFill>
      </fill>
    </dxf>
    <dxf>
      <fill>
        <patternFill patternType="solid">
          <fgColor rgb="FFF8F5EF"/>
          <bgColor rgb="FFF8F5EF"/>
        </patternFill>
      </fill>
    </dxf>
    <dxf>
      <fill>
        <patternFill patternType="solid">
          <fgColor rgb="FFF8F5EF"/>
          <bgColor rgb="FFF8F5E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91440</xdr:colOff>
      <xdr:row>0</xdr:row>
      <xdr:rowOff>91440</xdr:rowOff>
    </xdr:from>
    <xdr:to>
      <xdr:col>0</xdr:col>
      <xdr:colOff>1388745</xdr:colOff>
      <xdr:row>0</xdr:row>
      <xdr:rowOff>304800</xdr:rowOff>
    </xdr:to>
    <xdr:pic>
      <xdr:nvPicPr>
        <xdr:cNvPr id="2" name="Graphic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a:fillRect/>
        </a:stretch>
      </xdr:blipFill>
      <xdr:spPr>
        <a:xfrm>
          <a:off x="85725" y="85725"/>
          <a:ext cx="1314450" cy="219075"/>
        </a:xfrm>
        <a:prstGeom prst="rect">
          <a:avLst/>
        </a:prstGeom>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8E4649-947B-4A09-B72B-710D012408D9}" name="Table1" displayName="Table1" ref="A1:R136" totalsRowShown="0" headerRowDxfId="0" headerRowCellStyle="horizontalCenterWrapWhiteBold">
  <autoFilter ref="A1:R136" xr:uid="{BB8E4649-947B-4A09-B72B-710D012408D9}"/>
  <tableColumns count="18">
    <tableColumn id="1" xr3:uid="{8AF81AD4-96E1-4220-9285-AC84E9EEE8FA}" name="Deal ID" dataDxfId="18" dataCellStyle="tableCellStyleLeft"/>
    <tableColumn id="2" xr3:uid="{6BB8CDF3-4D86-4E03-8877-9EA1DBF18D6E}" name="Companies" dataDxfId="17" dataCellStyle="tableCellStyleLeft"/>
    <tableColumn id="3" xr3:uid="{857DE912-EA47-4746-9443-24866E6C0FEC}" name="Implied EV/EBITDA" dataDxfId="16" dataCellStyle="tableCellStyleRight"/>
    <tableColumn id="4" xr3:uid="{52F759CC-8087-429D-8433-45CA8A1A1153}" name="Description" dataDxfId="15" dataCellStyle="tableCellStyleLeft"/>
    <tableColumn id="5" xr3:uid="{5FBAEDAE-4796-485A-AFE7-8DAF49AF65BB}" name="EBIT" dataDxfId="14" dataCellStyle="tableCellStyleRight"/>
    <tableColumn id="6" xr3:uid="{9E4CB34C-F69F-46B7-8F93-B4C0F7B4F15E}" name="Implied EV" dataDxfId="13" dataCellStyle="tableCellStyleRight"/>
    <tableColumn id="7" xr3:uid="{B046F83F-F5D1-455C-819E-002BFEC1962F}" name="Deal Size" dataDxfId="12" dataCellStyle="tableCellStyleRight"/>
    <tableColumn id="8" xr3:uid="{3CC48A96-C1E1-4764-A83A-82D5D9FB9B86}" name="Post Valuation" dataDxfId="11" dataCellStyle="tableCellStyleRight"/>
    <tableColumn id="9" xr3:uid="{B3EC077F-C831-44B2-80C3-44427F0C1316}" name="EBITDA" dataDxfId="10" dataCellStyle="tableCellStyleRight"/>
    <tableColumn id="10" xr3:uid="{FD76FFD1-4F16-41BE-991F-615420929CCC}" name="Valuation/EBITDA" dataDxfId="9" dataCellStyle="tableCellStyleRight"/>
    <tableColumn id="11" xr3:uid="{3B758EB9-22D0-4FAC-8463-5ABEC42331EE}" name="Revenue" dataDxfId="8" dataCellStyle="tableCellStyleRight"/>
    <tableColumn id="12" xr3:uid="{0473F19B-1D32-4AC7-8E90-B0D3C6F777C2}" name="Valuation/Revenue" dataDxfId="7" dataCellStyle="tableCellStyleRight"/>
    <tableColumn id="13" xr3:uid="{76B43014-5504-4B2D-89A9-13BC8CC4F0F8}" name="Net Income" dataDxfId="6" dataCellStyle="tableCellStyleRight"/>
    <tableColumn id="14" xr3:uid="{69CF18B4-BF15-4249-B7D3-B221F97DC4A6}" name="Deal Date" dataDxfId="5" dataCellStyle="tableCellStyleRight"/>
    <tableColumn id="15" xr3:uid="{5F84BB25-8007-41B0-9A75-54A3E644D824}" name="Deal Type" dataDxfId="4" dataCellStyle="tableCellStyleLeft"/>
    <tableColumn id="16" xr3:uid="{FDBB344A-72AC-47DA-9FF0-9554FD52B7AF}" name="Investors" dataDxfId="3" dataCellStyle="tableCellStyleLeft"/>
    <tableColumn id="17" xr3:uid="{99890112-5840-4E1C-AC6D-781EF66230E6}" name="Primary Industry Code" dataDxfId="2" dataCellStyle="tableCellStyleLeft"/>
    <tableColumn id="18" xr3:uid="{CEFACAF5-316A-424A-9B5D-7855A48640A3}" name="View Company Online" dataDxfId="1" dataCellStyle="tableCellStyleLeftHyperlink"/>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y.pitchbook.com/?pcc=1193632-2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2331"/>
  <sheetViews>
    <sheetView showGridLines="0" workbookViewId="0">
      <selection activeCell="B51" sqref="B51"/>
    </sheetView>
  </sheetViews>
  <sheetFormatPr defaultRowHeight="14.4" x14ac:dyDescent="0.3"/>
  <cols>
    <col min="1" max="1" width="21.6640625" customWidth="1"/>
    <col min="2" max="2" width="55.109375" customWidth="1"/>
    <col min="3" max="3" width="22.6640625" customWidth="1"/>
    <col min="4" max="4" width="39.6640625" customWidth="1"/>
    <col min="5" max="5" width="15.109375" customWidth="1"/>
    <col min="6" max="6" width="21" customWidth="1"/>
    <col min="7" max="7" width="15.109375" customWidth="1"/>
    <col min="8" max="8" width="22.44140625" customWidth="1"/>
    <col min="9" max="9" width="19.5546875" customWidth="1"/>
    <col min="10" max="10" width="21.88671875" customWidth="1"/>
    <col min="11" max="11" width="20.33203125" customWidth="1"/>
    <col min="12" max="12" width="23.109375" customWidth="1"/>
    <col min="13" max="13" width="20.33203125" customWidth="1"/>
    <col min="14" max="14" width="17.5546875" customWidth="1"/>
    <col min="15" max="15" width="18.44140625" customWidth="1"/>
    <col min="16" max="16" width="26.6640625" customWidth="1"/>
    <col min="17" max="17" width="29.88671875" customWidth="1"/>
    <col min="18" max="18" width="18.6640625" customWidth="1"/>
  </cols>
  <sheetData>
    <row r="1" spans="1:18" ht="25.05" customHeight="1" x14ac:dyDescent="0.3">
      <c r="D1" s="7" t="s">
        <v>7</v>
      </c>
    </row>
    <row r="3" spans="1:18" x14ac:dyDescent="0.3">
      <c r="A3" s="1" t="s">
        <v>0</v>
      </c>
      <c r="B3" s="3">
        <v>45862</v>
      </c>
    </row>
    <row r="4" spans="1:18" x14ac:dyDescent="0.3">
      <c r="A4" s="1" t="s">
        <v>1</v>
      </c>
      <c r="B4" s="2" t="s">
        <v>2</v>
      </c>
    </row>
    <row r="5" spans="1:18" x14ac:dyDescent="0.3">
      <c r="A5" s="4" t="s">
        <v>3</v>
      </c>
      <c r="B5" s="6" t="s">
        <v>4</v>
      </c>
    </row>
    <row r="6" spans="1:18" ht="30" customHeight="1" x14ac:dyDescent="0.3">
      <c r="A6" s="4" t="s">
        <v>5</v>
      </c>
      <c r="B6" s="27" t="s">
        <v>6</v>
      </c>
      <c r="C6" s="28"/>
      <c r="D6" s="28"/>
    </row>
    <row r="8" spans="1:18" ht="34.950000000000003" customHeight="1" x14ac:dyDescent="0.3">
      <c r="A8" s="5" t="s">
        <v>8</v>
      </c>
      <c r="B8" s="5" t="s">
        <v>9</v>
      </c>
      <c r="C8" s="5" t="s">
        <v>10</v>
      </c>
      <c r="D8" s="5" t="s">
        <v>11</v>
      </c>
      <c r="E8" s="5" t="s">
        <v>12</v>
      </c>
      <c r="F8" s="5" t="s">
        <v>13</v>
      </c>
      <c r="G8" s="5" t="s">
        <v>14</v>
      </c>
      <c r="H8" s="5" t="s">
        <v>15</v>
      </c>
      <c r="I8" s="5" t="s">
        <v>16</v>
      </c>
      <c r="J8" s="5" t="s">
        <v>17</v>
      </c>
      <c r="K8" s="5" t="s">
        <v>18</v>
      </c>
      <c r="L8" s="5" t="s">
        <v>19</v>
      </c>
      <c r="M8" s="5" t="s">
        <v>20</v>
      </c>
      <c r="N8" s="5" t="s">
        <v>21</v>
      </c>
      <c r="O8" s="5" t="s">
        <v>22</v>
      </c>
      <c r="P8" s="5" t="s">
        <v>23</v>
      </c>
      <c r="Q8" s="5" t="s">
        <v>24</v>
      </c>
      <c r="R8" s="5" t="s">
        <v>25</v>
      </c>
    </row>
    <row r="9" spans="1:18" hidden="1" x14ac:dyDescent="0.3">
      <c r="A9" s="15" t="s">
        <v>26</v>
      </c>
      <c r="B9" s="15" t="s">
        <v>27</v>
      </c>
      <c r="C9" s="18" t="s">
        <v>28</v>
      </c>
      <c r="D9" s="15" t="s">
        <v>29</v>
      </c>
      <c r="E9" s="18" t="s">
        <v>28</v>
      </c>
      <c r="F9" s="19" t="s">
        <v>28</v>
      </c>
      <c r="G9" s="19" t="s">
        <v>28</v>
      </c>
      <c r="H9" s="19" t="s">
        <v>28</v>
      </c>
      <c r="I9" s="18" t="s">
        <v>28</v>
      </c>
      <c r="J9" s="18" t="s">
        <v>28</v>
      </c>
      <c r="K9" s="18" t="s">
        <v>28</v>
      </c>
      <c r="L9" s="18" t="s">
        <v>28</v>
      </c>
      <c r="M9" s="18" t="s">
        <v>28</v>
      </c>
      <c r="N9" s="17">
        <v>45663</v>
      </c>
      <c r="O9" s="15" t="s">
        <v>30</v>
      </c>
      <c r="P9" s="16" t="s">
        <v>31</v>
      </c>
      <c r="Q9" s="15" t="s">
        <v>32</v>
      </c>
      <c r="R9" s="13" t="str">
        <f>HYPERLINK("https://my.pitchbook.com?c=281500-03T","View Company Online")</f>
        <v>View Company Online</v>
      </c>
    </row>
    <row r="10" spans="1:18" hidden="1" x14ac:dyDescent="0.3">
      <c r="A10" s="9" t="s">
        <v>33</v>
      </c>
      <c r="B10" s="9" t="s">
        <v>34</v>
      </c>
      <c r="C10" s="11" t="s">
        <v>28</v>
      </c>
      <c r="D10" s="9" t="s">
        <v>35</v>
      </c>
      <c r="E10" s="11" t="s">
        <v>28</v>
      </c>
      <c r="F10" s="10" t="s">
        <v>28</v>
      </c>
      <c r="G10" s="10" t="s">
        <v>28</v>
      </c>
      <c r="H10" s="10" t="s">
        <v>28</v>
      </c>
      <c r="I10" s="11" t="s">
        <v>28</v>
      </c>
      <c r="J10" s="11" t="s">
        <v>28</v>
      </c>
      <c r="K10" s="11" t="s">
        <v>28</v>
      </c>
      <c r="L10" s="11" t="s">
        <v>28</v>
      </c>
      <c r="M10" s="11" t="s">
        <v>28</v>
      </c>
      <c r="N10" s="8">
        <v>45663</v>
      </c>
      <c r="O10" s="9" t="s">
        <v>30</v>
      </c>
      <c r="P10" s="12" t="s">
        <v>36</v>
      </c>
      <c r="Q10" s="9" t="s">
        <v>37</v>
      </c>
      <c r="R10" s="14" t="str">
        <f>HYPERLINK("https://my.pitchbook.com?c=288162-46T","View Company Online")</f>
        <v>View Company Online</v>
      </c>
    </row>
    <row r="11" spans="1:18" hidden="1" x14ac:dyDescent="0.3">
      <c r="A11" s="15" t="s">
        <v>38</v>
      </c>
      <c r="B11" s="15" t="s">
        <v>39</v>
      </c>
      <c r="C11" s="18" t="s">
        <v>28</v>
      </c>
      <c r="D11" s="15" t="s">
        <v>40</v>
      </c>
      <c r="E11" s="18" t="s">
        <v>28</v>
      </c>
      <c r="F11" s="19" t="s">
        <v>28</v>
      </c>
      <c r="G11" s="19" t="s">
        <v>28</v>
      </c>
      <c r="H11" s="19" t="s">
        <v>28</v>
      </c>
      <c r="I11" s="18" t="s">
        <v>28</v>
      </c>
      <c r="J11" s="18" t="s">
        <v>28</v>
      </c>
      <c r="K11" s="18" t="s">
        <v>28</v>
      </c>
      <c r="L11" s="18" t="s">
        <v>28</v>
      </c>
      <c r="M11" s="18" t="s">
        <v>28</v>
      </c>
      <c r="N11" s="17">
        <v>45662</v>
      </c>
      <c r="O11" s="15" t="s">
        <v>41</v>
      </c>
      <c r="P11" s="16" t="s">
        <v>42</v>
      </c>
      <c r="Q11" s="15" t="s">
        <v>43</v>
      </c>
      <c r="R11" s="13" t="str">
        <f>HYPERLINK("https://my.pitchbook.com?c=281504-35T","View Company Online")</f>
        <v>View Company Online</v>
      </c>
    </row>
    <row r="12" spans="1:18" hidden="1" x14ac:dyDescent="0.3">
      <c r="A12" s="9" t="s">
        <v>44</v>
      </c>
      <c r="B12" s="9" t="s">
        <v>45</v>
      </c>
      <c r="C12" s="11" t="s">
        <v>28</v>
      </c>
      <c r="D12" s="9" t="s">
        <v>46</v>
      </c>
      <c r="E12" s="11" t="s">
        <v>28</v>
      </c>
      <c r="F12" s="10" t="s">
        <v>28</v>
      </c>
      <c r="G12" s="10">
        <v>0.85</v>
      </c>
      <c r="H12" s="10" t="s">
        <v>28</v>
      </c>
      <c r="I12" s="11" t="s">
        <v>28</v>
      </c>
      <c r="J12" s="11" t="s">
        <v>28</v>
      </c>
      <c r="K12" s="11" t="s">
        <v>28</v>
      </c>
      <c r="L12" s="11" t="s">
        <v>28</v>
      </c>
      <c r="M12" s="11" t="s">
        <v>28</v>
      </c>
      <c r="N12" s="8">
        <v>45658</v>
      </c>
      <c r="O12" s="9" t="s">
        <v>47</v>
      </c>
      <c r="P12" s="12" t="s">
        <v>28</v>
      </c>
      <c r="Q12" s="9" t="s">
        <v>48</v>
      </c>
      <c r="R12" s="14" t="str">
        <f>HYPERLINK("https://my.pitchbook.com?c=300848-32T","View Company Online")</f>
        <v>View Company Online</v>
      </c>
    </row>
    <row r="13" spans="1:18" hidden="1" x14ac:dyDescent="0.3">
      <c r="A13" s="15" t="s">
        <v>49</v>
      </c>
      <c r="B13" s="15" t="s">
        <v>50</v>
      </c>
      <c r="C13" s="18" t="s">
        <v>28</v>
      </c>
      <c r="D13" s="15" t="s">
        <v>51</v>
      </c>
      <c r="E13" s="18" t="s">
        <v>28</v>
      </c>
      <c r="F13" s="19" t="s">
        <v>28</v>
      </c>
      <c r="G13" s="19" t="s">
        <v>28</v>
      </c>
      <c r="H13" s="19" t="s">
        <v>28</v>
      </c>
      <c r="I13" s="18" t="s">
        <v>28</v>
      </c>
      <c r="J13" s="18" t="s">
        <v>28</v>
      </c>
      <c r="K13" s="18" t="s">
        <v>28</v>
      </c>
      <c r="L13" s="18" t="s">
        <v>28</v>
      </c>
      <c r="M13" s="18" t="s">
        <v>28</v>
      </c>
      <c r="N13" s="17">
        <v>45658</v>
      </c>
      <c r="O13" s="15" t="s">
        <v>52</v>
      </c>
      <c r="P13" s="16" t="s">
        <v>53</v>
      </c>
      <c r="Q13" s="15" t="s">
        <v>54</v>
      </c>
      <c r="R13" s="13" t="str">
        <f>HYPERLINK("https://my.pitchbook.com?c=294761-17T","View Company Online")</f>
        <v>View Company Online</v>
      </c>
    </row>
    <row r="14" spans="1:18" hidden="1" x14ac:dyDescent="0.3">
      <c r="A14" s="9" t="s">
        <v>55</v>
      </c>
      <c r="B14" s="9" t="s">
        <v>56</v>
      </c>
      <c r="C14" s="11" t="s">
        <v>28</v>
      </c>
      <c r="D14" s="9" t="s">
        <v>57</v>
      </c>
      <c r="E14" s="11" t="s">
        <v>28</v>
      </c>
      <c r="F14" s="10" t="s">
        <v>28</v>
      </c>
      <c r="G14" s="10">
        <v>442.73</v>
      </c>
      <c r="H14" s="10" t="s">
        <v>28</v>
      </c>
      <c r="I14" s="11" t="s">
        <v>28</v>
      </c>
      <c r="J14" s="11" t="s">
        <v>28</v>
      </c>
      <c r="K14" s="11" t="s">
        <v>28</v>
      </c>
      <c r="L14" s="11" t="s">
        <v>28</v>
      </c>
      <c r="M14" s="11" t="s">
        <v>28</v>
      </c>
      <c r="N14" s="8">
        <v>45658</v>
      </c>
      <c r="O14" s="9" t="s">
        <v>58</v>
      </c>
      <c r="P14" s="12" t="s">
        <v>28</v>
      </c>
      <c r="Q14" s="9" t="s">
        <v>59</v>
      </c>
      <c r="R14" s="14" t="str">
        <f>HYPERLINK("https://my.pitchbook.com?c=283849-12T","View Company Online")</f>
        <v>View Company Online</v>
      </c>
    </row>
    <row r="15" spans="1:18" hidden="1" x14ac:dyDescent="0.3">
      <c r="A15" s="15" t="s">
        <v>60</v>
      </c>
      <c r="B15" s="15" t="s">
        <v>61</v>
      </c>
      <c r="C15" s="18" t="s">
        <v>28</v>
      </c>
      <c r="D15" s="15" t="s">
        <v>62</v>
      </c>
      <c r="E15" s="18" t="s">
        <v>28</v>
      </c>
      <c r="F15" s="19" t="s">
        <v>28</v>
      </c>
      <c r="G15" s="19" t="s">
        <v>28</v>
      </c>
      <c r="H15" s="19" t="s">
        <v>28</v>
      </c>
      <c r="I15" s="18" t="s">
        <v>28</v>
      </c>
      <c r="J15" s="18" t="s">
        <v>28</v>
      </c>
      <c r="K15" s="18" t="s">
        <v>28</v>
      </c>
      <c r="L15" s="18" t="s">
        <v>28</v>
      </c>
      <c r="M15" s="18" t="s">
        <v>28</v>
      </c>
      <c r="N15" s="17">
        <v>45658</v>
      </c>
      <c r="O15" s="15" t="s">
        <v>30</v>
      </c>
      <c r="P15" s="16" t="s">
        <v>63</v>
      </c>
      <c r="Q15" s="15" t="s">
        <v>64</v>
      </c>
      <c r="R15" s="13" t="str">
        <f>HYPERLINK("https://my.pitchbook.com?c=284914-36T","View Company Online")</f>
        <v>View Company Online</v>
      </c>
    </row>
    <row r="16" spans="1:18" hidden="1" x14ac:dyDescent="0.3">
      <c r="A16" s="9" t="s">
        <v>65</v>
      </c>
      <c r="B16" s="9" t="s">
        <v>66</v>
      </c>
      <c r="C16" s="11" t="s">
        <v>28</v>
      </c>
      <c r="D16" s="9" t="s">
        <v>67</v>
      </c>
      <c r="E16" s="11" t="s">
        <v>28</v>
      </c>
      <c r="F16" s="10" t="s">
        <v>28</v>
      </c>
      <c r="G16" s="10" t="s">
        <v>28</v>
      </c>
      <c r="H16" s="10" t="s">
        <v>28</v>
      </c>
      <c r="I16" s="11" t="s">
        <v>28</v>
      </c>
      <c r="J16" s="11" t="s">
        <v>28</v>
      </c>
      <c r="K16" s="11" t="s">
        <v>28</v>
      </c>
      <c r="L16" s="11" t="s">
        <v>28</v>
      </c>
      <c r="M16" s="11" t="s">
        <v>28</v>
      </c>
      <c r="N16" s="8">
        <v>45658</v>
      </c>
      <c r="O16" s="9" t="s">
        <v>52</v>
      </c>
      <c r="P16" s="12" t="s">
        <v>68</v>
      </c>
      <c r="Q16" s="9" t="s">
        <v>69</v>
      </c>
      <c r="R16" s="14" t="str">
        <f>HYPERLINK("https://my.pitchbook.com?c=297901-27T","View Company Online")</f>
        <v>View Company Online</v>
      </c>
    </row>
    <row r="17" spans="1:18" hidden="1" x14ac:dyDescent="0.3">
      <c r="A17" s="15" t="s">
        <v>70</v>
      </c>
      <c r="B17" s="15" t="s">
        <v>71</v>
      </c>
      <c r="C17" s="18" t="s">
        <v>28</v>
      </c>
      <c r="D17" s="15" t="s">
        <v>72</v>
      </c>
      <c r="E17" s="18" t="s">
        <v>28</v>
      </c>
      <c r="F17" s="19" t="s">
        <v>28</v>
      </c>
      <c r="G17" s="19" t="s">
        <v>28</v>
      </c>
      <c r="H17" s="19" t="s">
        <v>28</v>
      </c>
      <c r="I17" s="18" t="s">
        <v>28</v>
      </c>
      <c r="J17" s="18" t="s">
        <v>28</v>
      </c>
      <c r="K17" s="18" t="s">
        <v>28</v>
      </c>
      <c r="L17" s="18" t="s">
        <v>28</v>
      </c>
      <c r="M17" s="18" t="s">
        <v>28</v>
      </c>
      <c r="N17" s="17">
        <v>45658</v>
      </c>
      <c r="O17" s="15" t="s">
        <v>73</v>
      </c>
      <c r="P17" s="16" t="s">
        <v>74</v>
      </c>
      <c r="Q17" s="15" t="s">
        <v>75</v>
      </c>
      <c r="R17" s="13" t="str">
        <f>HYPERLINK("https://my.pitchbook.com?c=282760-66T","View Company Online")</f>
        <v>View Company Online</v>
      </c>
    </row>
    <row r="18" spans="1:18" hidden="1" x14ac:dyDescent="0.3">
      <c r="A18" s="9" t="s">
        <v>76</v>
      </c>
      <c r="B18" s="9" t="s">
        <v>77</v>
      </c>
      <c r="C18" s="11" t="s">
        <v>28</v>
      </c>
      <c r="D18" s="9" t="s">
        <v>78</v>
      </c>
      <c r="E18" s="11" t="s">
        <v>28</v>
      </c>
      <c r="F18" s="10" t="s">
        <v>28</v>
      </c>
      <c r="G18" s="10" t="s">
        <v>28</v>
      </c>
      <c r="H18" s="10" t="s">
        <v>28</v>
      </c>
      <c r="I18" s="11" t="s">
        <v>28</v>
      </c>
      <c r="J18" s="11" t="s">
        <v>28</v>
      </c>
      <c r="K18" s="11" t="s">
        <v>28</v>
      </c>
      <c r="L18" s="11" t="s">
        <v>28</v>
      </c>
      <c r="M18" s="11" t="s">
        <v>28</v>
      </c>
      <c r="N18" s="8">
        <v>45658</v>
      </c>
      <c r="O18" s="9" t="s">
        <v>79</v>
      </c>
      <c r="P18" s="12" t="s">
        <v>80</v>
      </c>
      <c r="Q18" s="9" t="s">
        <v>75</v>
      </c>
      <c r="R18" s="14" t="str">
        <f>HYPERLINK("https://my.pitchbook.com?c=285704-92T","View Company Online")</f>
        <v>View Company Online</v>
      </c>
    </row>
    <row r="19" spans="1:18" hidden="1" x14ac:dyDescent="0.3">
      <c r="A19" s="15" t="s">
        <v>81</v>
      </c>
      <c r="B19" s="15" t="s">
        <v>82</v>
      </c>
      <c r="C19" s="18" t="s">
        <v>28</v>
      </c>
      <c r="D19" s="15" t="s">
        <v>83</v>
      </c>
      <c r="E19" s="18" t="s">
        <v>28</v>
      </c>
      <c r="F19" s="19">
        <v>147</v>
      </c>
      <c r="G19" s="19">
        <v>147</v>
      </c>
      <c r="H19" s="19">
        <v>147</v>
      </c>
      <c r="I19" s="18" t="s">
        <v>28</v>
      </c>
      <c r="J19" s="18" t="s">
        <v>28</v>
      </c>
      <c r="K19" s="18" t="s">
        <v>28</v>
      </c>
      <c r="L19" s="18" t="s">
        <v>28</v>
      </c>
      <c r="M19" s="18" t="s">
        <v>28</v>
      </c>
      <c r="N19" s="17">
        <v>45658</v>
      </c>
      <c r="O19" s="15" t="s">
        <v>30</v>
      </c>
      <c r="P19" s="16" t="s">
        <v>84</v>
      </c>
      <c r="Q19" s="15" t="s">
        <v>85</v>
      </c>
      <c r="R19" s="13" t="str">
        <f>HYPERLINK("https://my.pitchbook.com?c=282620-71T","View Company Online")</f>
        <v>View Company Online</v>
      </c>
    </row>
    <row r="20" spans="1:18" hidden="1" x14ac:dyDescent="0.3">
      <c r="A20" s="9" t="s">
        <v>86</v>
      </c>
      <c r="B20" s="9" t="s">
        <v>87</v>
      </c>
      <c r="C20" s="11" t="s">
        <v>28</v>
      </c>
      <c r="D20" s="9" t="s">
        <v>88</v>
      </c>
      <c r="E20" s="11" t="s">
        <v>28</v>
      </c>
      <c r="F20" s="10" t="s">
        <v>28</v>
      </c>
      <c r="G20" s="10" t="s">
        <v>28</v>
      </c>
      <c r="H20" s="10" t="s">
        <v>28</v>
      </c>
      <c r="I20" s="11" t="s">
        <v>28</v>
      </c>
      <c r="J20" s="11" t="s">
        <v>28</v>
      </c>
      <c r="K20" s="11" t="s">
        <v>28</v>
      </c>
      <c r="L20" s="11" t="s">
        <v>28</v>
      </c>
      <c r="M20" s="11" t="s">
        <v>28</v>
      </c>
      <c r="N20" s="8">
        <v>45658</v>
      </c>
      <c r="O20" s="9" t="s">
        <v>52</v>
      </c>
      <c r="P20" s="12" t="s">
        <v>89</v>
      </c>
      <c r="Q20" s="9" t="s">
        <v>75</v>
      </c>
      <c r="R20" s="14" t="str">
        <f>HYPERLINK("https://my.pitchbook.com?c=285509-62T","View Company Online")</f>
        <v>View Company Online</v>
      </c>
    </row>
    <row r="21" spans="1:18" hidden="1" x14ac:dyDescent="0.3">
      <c r="A21" s="15" t="s">
        <v>90</v>
      </c>
      <c r="B21" s="15" t="s">
        <v>91</v>
      </c>
      <c r="C21" s="18" t="s">
        <v>28</v>
      </c>
      <c r="D21" s="15" t="s">
        <v>92</v>
      </c>
      <c r="E21" s="18" t="s">
        <v>28</v>
      </c>
      <c r="F21" s="19" t="s">
        <v>28</v>
      </c>
      <c r="G21" s="19" t="s">
        <v>28</v>
      </c>
      <c r="H21" s="19" t="s">
        <v>28</v>
      </c>
      <c r="I21" s="18" t="s">
        <v>28</v>
      </c>
      <c r="J21" s="18" t="s">
        <v>28</v>
      </c>
      <c r="K21" s="18" t="s">
        <v>28</v>
      </c>
      <c r="L21" s="18" t="s">
        <v>28</v>
      </c>
      <c r="M21" s="18" t="s">
        <v>28</v>
      </c>
      <c r="N21" s="17">
        <v>45658</v>
      </c>
      <c r="O21" s="15" t="s">
        <v>93</v>
      </c>
      <c r="P21" s="16" t="s">
        <v>94</v>
      </c>
      <c r="Q21" s="15" t="s">
        <v>95</v>
      </c>
      <c r="R21" s="13" t="str">
        <f>HYPERLINK("https://my.pitchbook.com?c=281175-76T","View Company Online")</f>
        <v>View Company Online</v>
      </c>
    </row>
    <row r="22" spans="1:18" hidden="1" x14ac:dyDescent="0.3">
      <c r="A22" s="9" t="s">
        <v>96</v>
      </c>
      <c r="B22" s="9" t="s">
        <v>97</v>
      </c>
      <c r="C22" s="11" t="s">
        <v>28</v>
      </c>
      <c r="D22" s="9" t="s">
        <v>98</v>
      </c>
      <c r="E22" s="11" t="s">
        <v>28</v>
      </c>
      <c r="F22" s="10" t="s">
        <v>28</v>
      </c>
      <c r="G22" s="10" t="s">
        <v>28</v>
      </c>
      <c r="H22" s="10" t="s">
        <v>28</v>
      </c>
      <c r="I22" s="11" t="s">
        <v>28</v>
      </c>
      <c r="J22" s="11" t="s">
        <v>28</v>
      </c>
      <c r="K22" s="11" t="s">
        <v>28</v>
      </c>
      <c r="L22" s="11" t="s">
        <v>28</v>
      </c>
      <c r="M22" s="11" t="s">
        <v>28</v>
      </c>
      <c r="N22" s="8">
        <v>45658</v>
      </c>
      <c r="O22" s="9" t="s">
        <v>99</v>
      </c>
      <c r="P22" s="12" t="s">
        <v>100</v>
      </c>
      <c r="Q22" s="9" t="s">
        <v>54</v>
      </c>
      <c r="R22" s="14" t="str">
        <f>HYPERLINK("https://my.pitchbook.com?c=284848-12T","View Company Online")</f>
        <v>View Company Online</v>
      </c>
    </row>
    <row r="23" spans="1:18" hidden="1" x14ac:dyDescent="0.3">
      <c r="A23" s="15" t="s">
        <v>101</v>
      </c>
      <c r="B23" s="15" t="s">
        <v>102</v>
      </c>
      <c r="C23" s="18" t="s">
        <v>28</v>
      </c>
      <c r="D23" s="15" t="s">
        <v>103</v>
      </c>
      <c r="E23" s="18" t="s">
        <v>28</v>
      </c>
      <c r="F23" s="19" t="s">
        <v>28</v>
      </c>
      <c r="G23" s="19" t="s">
        <v>28</v>
      </c>
      <c r="H23" s="19" t="s">
        <v>28</v>
      </c>
      <c r="I23" s="18" t="s">
        <v>28</v>
      </c>
      <c r="J23" s="18" t="s">
        <v>28</v>
      </c>
      <c r="K23" s="18" t="s">
        <v>28</v>
      </c>
      <c r="L23" s="18" t="s">
        <v>28</v>
      </c>
      <c r="M23" s="18" t="s">
        <v>28</v>
      </c>
      <c r="N23" s="17">
        <v>45658</v>
      </c>
      <c r="O23" s="15" t="s">
        <v>73</v>
      </c>
      <c r="P23" s="16" t="s">
        <v>104</v>
      </c>
      <c r="Q23" s="15" t="s">
        <v>105</v>
      </c>
      <c r="R23" s="13" t="str">
        <f>HYPERLINK("https://my.pitchbook.com?c=301923-73T","View Company Online")</f>
        <v>View Company Online</v>
      </c>
    </row>
    <row r="24" spans="1:18" hidden="1" x14ac:dyDescent="0.3">
      <c r="A24" s="9" t="s">
        <v>106</v>
      </c>
      <c r="B24" s="9" t="s">
        <v>107</v>
      </c>
      <c r="C24" s="11" t="s">
        <v>28</v>
      </c>
      <c r="D24" s="9" t="s">
        <v>108</v>
      </c>
      <c r="E24" s="11" t="s">
        <v>28</v>
      </c>
      <c r="F24" s="10" t="s">
        <v>28</v>
      </c>
      <c r="G24" s="10" t="s">
        <v>28</v>
      </c>
      <c r="H24" s="10" t="s">
        <v>28</v>
      </c>
      <c r="I24" s="11" t="s">
        <v>28</v>
      </c>
      <c r="J24" s="11" t="s">
        <v>28</v>
      </c>
      <c r="K24" s="11" t="s">
        <v>28</v>
      </c>
      <c r="L24" s="11" t="s">
        <v>28</v>
      </c>
      <c r="M24" s="11" t="s">
        <v>28</v>
      </c>
      <c r="N24" s="8">
        <v>45658</v>
      </c>
      <c r="O24" s="9" t="s">
        <v>52</v>
      </c>
      <c r="P24" s="12" t="s">
        <v>68</v>
      </c>
      <c r="Q24" s="9" t="s">
        <v>109</v>
      </c>
      <c r="R24" s="14" t="str">
        <f>HYPERLINK("https://my.pitchbook.com?c=297953-29T","View Company Online")</f>
        <v>View Company Online</v>
      </c>
    </row>
    <row r="25" spans="1:18" hidden="1" x14ac:dyDescent="0.3">
      <c r="A25" s="15" t="s">
        <v>110</v>
      </c>
      <c r="B25" s="15" t="s">
        <v>111</v>
      </c>
      <c r="C25" s="18" t="s">
        <v>28</v>
      </c>
      <c r="D25" s="15" t="s">
        <v>112</v>
      </c>
      <c r="E25" s="18" t="s">
        <v>28</v>
      </c>
      <c r="F25" s="19" t="s">
        <v>28</v>
      </c>
      <c r="G25" s="19" t="s">
        <v>28</v>
      </c>
      <c r="H25" s="19" t="s">
        <v>28</v>
      </c>
      <c r="I25" s="18" t="s">
        <v>28</v>
      </c>
      <c r="J25" s="18" t="s">
        <v>28</v>
      </c>
      <c r="K25" s="18" t="s">
        <v>28</v>
      </c>
      <c r="L25" s="18" t="s">
        <v>28</v>
      </c>
      <c r="M25" s="18" t="s">
        <v>28</v>
      </c>
      <c r="N25" s="17">
        <v>45658</v>
      </c>
      <c r="O25" s="15" t="s">
        <v>99</v>
      </c>
      <c r="P25" s="16" t="s">
        <v>113</v>
      </c>
      <c r="Q25" s="15" t="s">
        <v>114</v>
      </c>
      <c r="R25" s="13" t="str">
        <f>HYPERLINK("https://my.pitchbook.com?c=267355-45T","View Company Online")</f>
        <v>View Company Online</v>
      </c>
    </row>
    <row r="26" spans="1:18" hidden="1" x14ac:dyDescent="0.3">
      <c r="A26" s="9" t="s">
        <v>115</v>
      </c>
      <c r="B26" s="9" t="s">
        <v>116</v>
      </c>
      <c r="C26" s="11" t="s">
        <v>28</v>
      </c>
      <c r="D26" s="9" t="s">
        <v>117</v>
      </c>
      <c r="E26" s="11" t="s">
        <v>28</v>
      </c>
      <c r="F26" s="10" t="s">
        <v>28</v>
      </c>
      <c r="G26" s="10">
        <v>19.68</v>
      </c>
      <c r="H26" s="10" t="s">
        <v>28</v>
      </c>
      <c r="I26" s="11" t="s">
        <v>28</v>
      </c>
      <c r="J26" s="11" t="s">
        <v>28</v>
      </c>
      <c r="K26" s="11">
        <v>2.23</v>
      </c>
      <c r="L26" s="11" t="s">
        <v>28</v>
      </c>
      <c r="M26" s="11" t="s">
        <v>28</v>
      </c>
      <c r="N26" s="8">
        <v>45658</v>
      </c>
      <c r="O26" s="9" t="s">
        <v>73</v>
      </c>
      <c r="P26" s="12" t="s">
        <v>118</v>
      </c>
      <c r="Q26" s="9" t="s">
        <v>119</v>
      </c>
      <c r="R26" s="14" t="str">
        <f>HYPERLINK("https://my.pitchbook.com?c=294723-37T","View Company Online")</f>
        <v>View Company Online</v>
      </c>
    </row>
    <row r="27" spans="1:18" hidden="1" x14ac:dyDescent="0.3">
      <c r="A27" s="15" t="s">
        <v>120</v>
      </c>
      <c r="B27" s="15" t="s">
        <v>121</v>
      </c>
      <c r="C27" s="18" t="s">
        <v>28</v>
      </c>
      <c r="D27" s="15" t="s">
        <v>122</v>
      </c>
      <c r="E27" s="18" t="s">
        <v>28</v>
      </c>
      <c r="F27" s="19" t="s">
        <v>28</v>
      </c>
      <c r="G27" s="19" t="s">
        <v>28</v>
      </c>
      <c r="H27" s="19" t="s">
        <v>28</v>
      </c>
      <c r="I27" s="18" t="s">
        <v>28</v>
      </c>
      <c r="J27" s="18" t="s">
        <v>28</v>
      </c>
      <c r="K27" s="18" t="s">
        <v>28</v>
      </c>
      <c r="L27" s="18" t="s">
        <v>28</v>
      </c>
      <c r="M27" s="18" t="s">
        <v>28</v>
      </c>
      <c r="N27" s="17">
        <v>45658</v>
      </c>
      <c r="O27" s="15" t="s">
        <v>79</v>
      </c>
      <c r="P27" s="16" t="s">
        <v>123</v>
      </c>
      <c r="Q27" s="15" t="s">
        <v>75</v>
      </c>
      <c r="R27" s="13" t="str">
        <f>HYPERLINK("https://my.pitchbook.com?c=281515-87T","View Company Online")</f>
        <v>View Company Online</v>
      </c>
    </row>
    <row r="28" spans="1:18" hidden="1" x14ac:dyDescent="0.3">
      <c r="A28" s="9" t="s">
        <v>124</v>
      </c>
      <c r="B28" s="9" t="s">
        <v>125</v>
      </c>
      <c r="C28" s="11" t="s">
        <v>28</v>
      </c>
      <c r="D28" s="9" t="s">
        <v>126</v>
      </c>
      <c r="E28" s="11" t="s">
        <v>28</v>
      </c>
      <c r="F28" s="10" t="s">
        <v>28</v>
      </c>
      <c r="G28" s="10">
        <v>5.74</v>
      </c>
      <c r="H28" s="10" t="s">
        <v>28</v>
      </c>
      <c r="I28" s="11" t="s">
        <v>28</v>
      </c>
      <c r="J28" s="11" t="s">
        <v>28</v>
      </c>
      <c r="K28" s="11">
        <v>7.42</v>
      </c>
      <c r="L28" s="11" t="s">
        <v>28</v>
      </c>
      <c r="M28" s="11" t="s">
        <v>28</v>
      </c>
      <c r="N28" s="8">
        <v>45658</v>
      </c>
      <c r="O28" s="9" t="s">
        <v>79</v>
      </c>
      <c r="P28" s="12" t="s">
        <v>127</v>
      </c>
      <c r="Q28" s="9" t="s">
        <v>128</v>
      </c>
      <c r="R28" s="14" t="str">
        <f>HYPERLINK("https://my.pitchbook.com?c=270144-37T","View Company Online")</f>
        <v>View Company Online</v>
      </c>
    </row>
    <row r="29" spans="1:18" hidden="1" x14ac:dyDescent="0.3">
      <c r="A29" s="15" t="s">
        <v>129</v>
      </c>
      <c r="B29" s="15" t="s">
        <v>130</v>
      </c>
      <c r="C29" s="18" t="s">
        <v>28</v>
      </c>
      <c r="D29" s="15" t="s">
        <v>131</v>
      </c>
      <c r="E29" s="18" t="s">
        <v>28</v>
      </c>
      <c r="F29" s="19" t="s">
        <v>28</v>
      </c>
      <c r="G29" s="19" t="s">
        <v>28</v>
      </c>
      <c r="H29" s="19" t="s">
        <v>28</v>
      </c>
      <c r="I29" s="18" t="s">
        <v>28</v>
      </c>
      <c r="J29" s="18" t="s">
        <v>28</v>
      </c>
      <c r="K29" s="18" t="s">
        <v>28</v>
      </c>
      <c r="L29" s="18" t="s">
        <v>28</v>
      </c>
      <c r="M29" s="18" t="s">
        <v>28</v>
      </c>
      <c r="N29" s="17">
        <v>45658</v>
      </c>
      <c r="O29" s="15" t="s">
        <v>73</v>
      </c>
      <c r="P29" s="16" t="s">
        <v>80</v>
      </c>
      <c r="Q29" s="15" t="s">
        <v>75</v>
      </c>
      <c r="R29" s="13" t="str">
        <f>HYPERLINK("https://my.pitchbook.com?c=285720-22T","View Company Online")</f>
        <v>View Company Online</v>
      </c>
    </row>
    <row r="30" spans="1:18" hidden="1" x14ac:dyDescent="0.3">
      <c r="A30" s="9" t="s">
        <v>132</v>
      </c>
      <c r="B30" s="9" t="s">
        <v>133</v>
      </c>
      <c r="C30" s="11" t="s">
        <v>28</v>
      </c>
      <c r="D30" s="9" t="s">
        <v>134</v>
      </c>
      <c r="E30" s="11" t="s">
        <v>28</v>
      </c>
      <c r="F30" s="10" t="s">
        <v>28</v>
      </c>
      <c r="G30" s="10">
        <v>0.43</v>
      </c>
      <c r="H30" s="10">
        <v>1.42</v>
      </c>
      <c r="I30" s="11" t="s">
        <v>28</v>
      </c>
      <c r="J30" s="11" t="s">
        <v>28</v>
      </c>
      <c r="K30" s="11">
        <v>0.74</v>
      </c>
      <c r="L30" s="11">
        <v>1.91</v>
      </c>
      <c r="M30" s="11" t="s">
        <v>28</v>
      </c>
      <c r="N30" s="8">
        <v>45658</v>
      </c>
      <c r="O30" s="9" t="s">
        <v>79</v>
      </c>
      <c r="P30" s="12" t="s">
        <v>135</v>
      </c>
      <c r="Q30" s="9" t="s">
        <v>136</v>
      </c>
      <c r="R30" s="14" t="str">
        <f>HYPERLINK("https://my.pitchbook.com?c=296750-26T","View Company Online")</f>
        <v>View Company Online</v>
      </c>
    </row>
    <row r="31" spans="1:18" hidden="1" x14ac:dyDescent="0.3">
      <c r="A31" s="15" t="s">
        <v>137</v>
      </c>
      <c r="B31" s="15" t="s">
        <v>138</v>
      </c>
      <c r="C31" s="18" t="s">
        <v>28</v>
      </c>
      <c r="D31" s="15" t="s">
        <v>139</v>
      </c>
      <c r="E31" s="18" t="s">
        <v>28</v>
      </c>
      <c r="F31" s="19" t="s">
        <v>28</v>
      </c>
      <c r="G31" s="19" t="s">
        <v>28</v>
      </c>
      <c r="H31" s="19" t="s">
        <v>28</v>
      </c>
      <c r="I31" s="18" t="s">
        <v>28</v>
      </c>
      <c r="J31" s="18" t="s">
        <v>28</v>
      </c>
      <c r="K31" s="18" t="s">
        <v>28</v>
      </c>
      <c r="L31" s="18" t="s">
        <v>28</v>
      </c>
      <c r="M31" s="18" t="s">
        <v>28</v>
      </c>
      <c r="N31" s="17">
        <v>45658</v>
      </c>
      <c r="O31" s="15" t="s">
        <v>73</v>
      </c>
      <c r="P31" s="16" t="s">
        <v>140</v>
      </c>
      <c r="Q31" s="15" t="s">
        <v>114</v>
      </c>
      <c r="R31" s="13" t="str">
        <f>HYPERLINK("https://my.pitchbook.com?c=283684-51T","View Company Online")</f>
        <v>View Company Online</v>
      </c>
    </row>
    <row r="32" spans="1:18" hidden="1" x14ac:dyDescent="0.3">
      <c r="A32" s="9" t="s">
        <v>141</v>
      </c>
      <c r="B32" s="9" t="s">
        <v>142</v>
      </c>
      <c r="C32" s="11" t="s">
        <v>28</v>
      </c>
      <c r="D32" s="9" t="s">
        <v>143</v>
      </c>
      <c r="E32" s="11" t="s">
        <v>28</v>
      </c>
      <c r="F32" s="10" t="s">
        <v>28</v>
      </c>
      <c r="G32" s="10" t="s">
        <v>28</v>
      </c>
      <c r="H32" s="10" t="s">
        <v>28</v>
      </c>
      <c r="I32" s="11" t="s">
        <v>28</v>
      </c>
      <c r="J32" s="11" t="s">
        <v>28</v>
      </c>
      <c r="K32" s="11" t="s">
        <v>28</v>
      </c>
      <c r="L32" s="11" t="s">
        <v>28</v>
      </c>
      <c r="M32" s="11" t="s">
        <v>28</v>
      </c>
      <c r="N32" s="8">
        <v>45658</v>
      </c>
      <c r="O32" s="9" t="s">
        <v>73</v>
      </c>
      <c r="P32" s="12" t="s">
        <v>123</v>
      </c>
      <c r="Q32" s="9" t="s">
        <v>75</v>
      </c>
      <c r="R32" s="14" t="str">
        <f>HYPERLINK("https://my.pitchbook.com?c=281443-87T","View Company Online")</f>
        <v>View Company Online</v>
      </c>
    </row>
    <row r="33" spans="1:18" hidden="1" x14ac:dyDescent="0.3">
      <c r="A33" s="15" t="s">
        <v>144</v>
      </c>
      <c r="B33" s="15" t="s">
        <v>145</v>
      </c>
      <c r="C33" s="18" t="s">
        <v>28</v>
      </c>
      <c r="D33" s="15" t="s">
        <v>146</v>
      </c>
      <c r="E33" s="18" t="s">
        <v>28</v>
      </c>
      <c r="F33" s="19" t="s">
        <v>28</v>
      </c>
      <c r="G33" s="19">
        <v>4.03</v>
      </c>
      <c r="H33" s="19" t="s">
        <v>28</v>
      </c>
      <c r="I33" s="18" t="s">
        <v>28</v>
      </c>
      <c r="J33" s="18" t="s">
        <v>28</v>
      </c>
      <c r="K33" s="18" t="s">
        <v>28</v>
      </c>
      <c r="L33" s="18" t="s">
        <v>28</v>
      </c>
      <c r="M33" s="18" t="s">
        <v>28</v>
      </c>
      <c r="N33" s="17">
        <v>45657</v>
      </c>
      <c r="O33" s="15" t="s">
        <v>79</v>
      </c>
      <c r="P33" s="16" t="s">
        <v>147</v>
      </c>
      <c r="Q33" s="15" t="s">
        <v>75</v>
      </c>
      <c r="R33" s="13" t="str">
        <f>HYPERLINK("https://my.pitchbook.com?c=281029-42T","View Company Online")</f>
        <v>View Company Online</v>
      </c>
    </row>
    <row r="34" spans="1:18" hidden="1" x14ac:dyDescent="0.3">
      <c r="A34" s="9" t="s">
        <v>148</v>
      </c>
      <c r="B34" s="9" t="s">
        <v>149</v>
      </c>
      <c r="C34" s="11" t="s">
        <v>28</v>
      </c>
      <c r="D34" s="9" t="s">
        <v>150</v>
      </c>
      <c r="E34" s="11" t="s">
        <v>28</v>
      </c>
      <c r="F34" s="10" t="s">
        <v>28</v>
      </c>
      <c r="G34" s="10" t="s">
        <v>28</v>
      </c>
      <c r="H34" s="10" t="s">
        <v>28</v>
      </c>
      <c r="I34" s="11" t="s">
        <v>28</v>
      </c>
      <c r="J34" s="11" t="s">
        <v>28</v>
      </c>
      <c r="K34" s="11" t="s">
        <v>28</v>
      </c>
      <c r="L34" s="11" t="s">
        <v>28</v>
      </c>
      <c r="M34" s="11" t="s">
        <v>28</v>
      </c>
      <c r="N34" s="8">
        <v>45657</v>
      </c>
      <c r="O34" s="9" t="s">
        <v>79</v>
      </c>
      <c r="P34" s="12" t="s">
        <v>151</v>
      </c>
      <c r="Q34" s="9" t="s">
        <v>114</v>
      </c>
      <c r="R34" s="14" t="str">
        <f>HYPERLINK("https://my.pitchbook.com?c=281002-51T","View Company Online")</f>
        <v>View Company Online</v>
      </c>
    </row>
    <row r="35" spans="1:18" hidden="1" x14ac:dyDescent="0.3">
      <c r="A35" s="15" t="s">
        <v>152</v>
      </c>
      <c r="B35" s="15" t="s">
        <v>153</v>
      </c>
      <c r="C35" s="18" t="s">
        <v>28</v>
      </c>
      <c r="D35" s="15" t="s">
        <v>154</v>
      </c>
      <c r="E35" s="18" t="s">
        <v>28</v>
      </c>
      <c r="F35" s="19" t="s">
        <v>28</v>
      </c>
      <c r="G35" s="19" t="s">
        <v>28</v>
      </c>
      <c r="H35" s="19" t="s">
        <v>28</v>
      </c>
      <c r="I35" s="18" t="s">
        <v>28</v>
      </c>
      <c r="J35" s="18" t="s">
        <v>28</v>
      </c>
      <c r="K35" s="18" t="s">
        <v>28</v>
      </c>
      <c r="L35" s="18" t="s">
        <v>28</v>
      </c>
      <c r="M35" s="18" t="s">
        <v>28</v>
      </c>
      <c r="N35" s="17">
        <v>45657</v>
      </c>
      <c r="O35" s="15" t="s">
        <v>73</v>
      </c>
      <c r="P35" s="16" t="s">
        <v>155</v>
      </c>
      <c r="Q35" s="15" t="s">
        <v>75</v>
      </c>
      <c r="R35" s="13" t="str">
        <f>HYPERLINK("https://my.pitchbook.com?c=285516-01T","View Company Online")</f>
        <v>View Company Online</v>
      </c>
    </row>
    <row r="36" spans="1:18" hidden="1" x14ac:dyDescent="0.3">
      <c r="A36" s="9" t="s">
        <v>156</v>
      </c>
      <c r="B36" s="9" t="s">
        <v>157</v>
      </c>
      <c r="C36" s="11" t="s">
        <v>28</v>
      </c>
      <c r="D36" s="9" t="s">
        <v>158</v>
      </c>
      <c r="E36" s="11">
        <v>0.35</v>
      </c>
      <c r="F36" s="10" t="s">
        <v>28</v>
      </c>
      <c r="G36" s="10">
        <v>12</v>
      </c>
      <c r="H36" s="10" t="s">
        <v>28</v>
      </c>
      <c r="I36" s="11">
        <v>4.04</v>
      </c>
      <c r="J36" s="11" t="s">
        <v>28</v>
      </c>
      <c r="K36" s="11">
        <v>35.869999999999997</v>
      </c>
      <c r="L36" s="11" t="s">
        <v>28</v>
      </c>
      <c r="M36" s="11">
        <v>-15.99</v>
      </c>
      <c r="N36" s="8">
        <v>45657</v>
      </c>
      <c r="O36" s="9" t="s">
        <v>159</v>
      </c>
      <c r="P36" s="12" t="s">
        <v>28</v>
      </c>
      <c r="Q36" s="9" t="s">
        <v>160</v>
      </c>
      <c r="R36" s="14" t="str">
        <f>HYPERLINK("https://my.pitchbook.com?c=281014-57T","View Company Online")</f>
        <v>View Company Online</v>
      </c>
    </row>
    <row r="37" spans="1:18" hidden="1" x14ac:dyDescent="0.3">
      <c r="A37" s="15" t="s">
        <v>161</v>
      </c>
      <c r="B37" s="15" t="s">
        <v>162</v>
      </c>
      <c r="C37" s="18" t="s">
        <v>28</v>
      </c>
      <c r="D37" s="15" t="s">
        <v>163</v>
      </c>
      <c r="E37" s="18" t="s">
        <v>28</v>
      </c>
      <c r="F37" s="19" t="s">
        <v>28</v>
      </c>
      <c r="G37" s="19" t="s">
        <v>28</v>
      </c>
      <c r="H37" s="19" t="s">
        <v>28</v>
      </c>
      <c r="I37" s="18" t="s">
        <v>28</v>
      </c>
      <c r="J37" s="18" t="s">
        <v>28</v>
      </c>
      <c r="K37" s="18" t="s">
        <v>28</v>
      </c>
      <c r="L37" s="18" t="s">
        <v>28</v>
      </c>
      <c r="M37" s="18" t="s">
        <v>28</v>
      </c>
      <c r="N37" s="17">
        <v>45657</v>
      </c>
      <c r="O37" s="15" t="s">
        <v>30</v>
      </c>
      <c r="P37" s="16" t="s">
        <v>164</v>
      </c>
      <c r="Q37" s="15" t="s">
        <v>75</v>
      </c>
      <c r="R37" s="13" t="str">
        <f>HYPERLINK("https://my.pitchbook.com?c=297766-09T","View Company Online")</f>
        <v>View Company Online</v>
      </c>
    </row>
    <row r="38" spans="1:18" hidden="1" x14ac:dyDescent="0.3">
      <c r="A38" s="9" t="s">
        <v>165</v>
      </c>
      <c r="B38" s="9" t="s">
        <v>166</v>
      </c>
      <c r="C38" s="11" t="s">
        <v>28</v>
      </c>
      <c r="D38" s="9" t="s">
        <v>167</v>
      </c>
      <c r="E38" s="11" t="s">
        <v>28</v>
      </c>
      <c r="F38" s="10">
        <v>342.94</v>
      </c>
      <c r="G38" s="10">
        <v>229.77</v>
      </c>
      <c r="H38" s="10">
        <v>342.94</v>
      </c>
      <c r="I38" s="11" t="s">
        <v>28</v>
      </c>
      <c r="J38" s="11" t="s">
        <v>28</v>
      </c>
      <c r="K38" s="11" t="s">
        <v>28</v>
      </c>
      <c r="L38" s="11" t="s">
        <v>28</v>
      </c>
      <c r="M38" s="11" t="s">
        <v>28</v>
      </c>
      <c r="N38" s="8">
        <v>45656</v>
      </c>
      <c r="O38" s="9" t="s">
        <v>41</v>
      </c>
      <c r="P38" s="12" t="s">
        <v>168</v>
      </c>
      <c r="Q38" s="9" t="s">
        <v>169</v>
      </c>
      <c r="R38" s="14" t="str">
        <f>HYPERLINK("https://my.pitchbook.com?c=274106-26T","View Company Online")</f>
        <v>View Company Online</v>
      </c>
    </row>
    <row r="39" spans="1:18" hidden="1" x14ac:dyDescent="0.3">
      <c r="A39" s="15" t="s">
        <v>170</v>
      </c>
      <c r="B39" s="15" t="s">
        <v>171</v>
      </c>
      <c r="C39" s="18" t="s">
        <v>28</v>
      </c>
      <c r="D39" s="15" t="s">
        <v>172</v>
      </c>
      <c r="E39" s="18" t="s">
        <v>28</v>
      </c>
      <c r="F39" s="19" t="s">
        <v>28</v>
      </c>
      <c r="G39" s="19" t="s">
        <v>28</v>
      </c>
      <c r="H39" s="19" t="s">
        <v>28</v>
      </c>
      <c r="I39" s="18" t="s">
        <v>28</v>
      </c>
      <c r="J39" s="18" t="s">
        <v>28</v>
      </c>
      <c r="K39" s="18" t="s">
        <v>28</v>
      </c>
      <c r="L39" s="18" t="s">
        <v>28</v>
      </c>
      <c r="M39" s="18" t="s">
        <v>28</v>
      </c>
      <c r="N39" s="17">
        <v>45656</v>
      </c>
      <c r="O39" s="15" t="s">
        <v>173</v>
      </c>
      <c r="P39" s="16" t="s">
        <v>28</v>
      </c>
      <c r="Q39" s="15" t="s">
        <v>174</v>
      </c>
      <c r="R39" s="13" t="str">
        <f>HYPERLINK("https://my.pitchbook.com?c=281342-89T","View Company Online")</f>
        <v>View Company Online</v>
      </c>
    </row>
    <row r="40" spans="1:18" hidden="1" x14ac:dyDescent="0.3">
      <c r="A40" s="9" t="s">
        <v>175</v>
      </c>
      <c r="B40" s="9" t="s">
        <v>176</v>
      </c>
      <c r="C40" s="11" t="s">
        <v>28</v>
      </c>
      <c r="D40" s="9" t="s">
        <v>177</v>
      </c>
      <c r="E40" s="11" t="s">
        <v>28</v>
      </c>
      <c r="F40" s="10" t="s">
        <v>28</v>
      </c>
      <c r="G40" s="10">
        <v>4.3</v>
      </c>
      <c r="H40" s="10" t="s">
        <v>28</v>
      </c>
      <c r="I40" s="11" t="s">
        <v>28</v>
      </c>
      <c r="J40" s="11" t="s">
        <v>28</v>
      </c>
      <c r="K40" s="11" t="s">
        <v>28</v>
      </c>
      <c r="L40" s="11" t="s">
        <v>28</v>
      </c>
      <c r="M40" s="11" t="s">
        <v>28</v>
      </c>
      <c r="N40" s="8">
        <v>45656</v>
      </c>
      <c r="O40" s="9" t="s">
        <v>99</v>
      </c>
      <c r="P40" s="12" t="s">
        <v>178</v>
      </c>
      <c r="Q40" s="9" t="s">
        <v>75</v>
      </c>
      <c r="R40" s="14" t="str">
        <f>HYPERLINK("https://my.pitchbook.com?c=276891-76T","View Company Online")</f>
        <v>View Company Online</v>
      </c>
    </row>
    <row r="41" spans="1:18" hidden="1" x14ac:dyDescent="0.3">
      <c r="A41" s="15" t="s">
        <v>179</v>
      </c>
      <c r="B41" s="15" t="s">
        <v>180</v>
      </c>
      <c r="C41" s="18" t="s">
        <v>28</v>
      </c>
      <c r="D41" s="15" t="s">
        <v>181</v>
      </c>
      <c r="E41" s="18" t="s">
        <v>28</v>
      </c>
      <c r="F41" s="19">
        <v>114.89</v>
      </c>
      <c r="G41" s="19">
        <v>114.89</v>
      </c>
      <c r="H41" s="19">
        <v>114.89</v>
      </c>
      <c r="I41" s="18" t="s">
        <v>28</v>
      </c>
      <c r="J41" s="18" t="s">
        <v>28</v>
      </c>
      <c r="K41" s="18" t="s">
        <v>28</v>
      </c>
      <c r="L41" s="18" t="s">
        <v>28</v>
      </c>
      <c r="M41" s="18" t="s">
        <v>28</v>
      </c>
      <c r="N41" s="17">
        <v>45656</v>
      </c>
      <c r="O41" s="15" t="s">
        <v>41</v>
      </c>
      <c r="P41" s="16" t="s">
        <v>182</v>
      </c>
      <c r="Q41" s="15" t="s">
        <v>183</v>
      </c>
      <c r="R41" s="13" t="str">
        <f>HYPERLINK("https://my.pitchbook.com?c=281589-76T","View Company Online")</f>
        <v>View Company Online</v>
      </c>
    </row>
    <row r="42" spans="1:18" hidden="1" x14ac:dyDescent="0.3">
      <c r="A42" s="9" t="s">
        <v>184</v>
      </c>
      <c r="B42" s="9" t="s">
        <v>185</v>
      </c>
      <c r="C42" s="11" t="s">
        <v>28</v>
      </c>
      <c r="D42" s="9" t="s">
        <v>186</v>
      </c>
      <c r="E42" s="11" t="s">
        <v>28</v>
      </c>
      <c r="F42" s="10" t="s">
        <v>28</v>
      </c>
      <c r="G42" s="10" t="s">
        <v>28</v>
      </c>
      <c r="H42" s="10" t="s">
        <v>28</v>
      </c>
      <c r="I42" s="11" t="s">
        <v>28</v>
      </c>
      <c r="J42" s="11" t="s">
        <v>28</v>
      </c>
      <c r="K42" s="11" t="s">
        <v>28</v>
      </c>
      <c r="L42" s="11" t="s">
        <v>28</v>
      </c>
      <c r="M42" s="11" t="s">
        <v>28</v>
      </c>
      <c r="N42" s="8">
        <v>45656</v>
      </c>
      <c r="O42" s="9" t="s">
        <v>41</v>
      </c>
      <c r="P42" s="12" t="s">
        <v>187</v>
      </c>
      <c r="Q42" s="9" t="s">
        <v>188</v>
      </c>
      <c r="R42" s="14" t="str">
        <f>HYPERLINK("https://my.pitchbook.com?c=280943-47T","View Company Online")</f>
        <v>View Company Online</v>
      </c>
    </row>
    <row r="43" spans="1:18" hidden="1" x14ac:dyDescent="0.3">
      <c r="A43" s="15" t="s">
        <v>189</v>
      </c>
      <c r="B43" s="15" t="s">
        <v>190</v>
      </c>
      <c r="C43" s="18" t="s">
        <v>28</v>
      </c>
      <c r="D43" s="15" t="s">
        <v>191</v>
      </c>
      <c r="E43" s="18" t="s">
        <v>28</v>
      </c>
      <c r="F43" s="19" t="s">
        <v>28</v>
      </c>
      <c r="G43" s="19" t="s">
        <v>28</v>
      </c>
      <c r="H43" s="19" t="s">
        <v>28</v>
      </c>
      <c r="I43" s="18" t="s">
        <v>28</v>
      </c>
      <c r="J43" s="18" t="s">
        <v>28</v>
      </c>
      <c r="K43" s="18" t="s">
        <v>28</v>
      </c>
      <c r="L43" s="18" t="s">
        <v>28</v>
      </c>
      <c r="M43" s="18" t="s">
        <v>28</v>
      </c>
      <c r="N43" s="17">
        <v>45656</v>
      </c>
      <c r="O43" s="15" t="s">
        <v>30</v>
      </c>
      <c r="P43" s="16" t="s">
        <v>192</v>
      </c>
      <c r="Q43" s="15" t="s">
        <v>193</v>
      </c>
      <c r="R43" s="13" t="str">
        <f>HYPERLINK("https://my.pitchbook.com?c=282901-69T","View Company Online")</f>
        <v>View Company Online</v>
      </c>
    </row>
    <row r="44" spans="1:18" hidden="1" x14ac:dyDescent="0.3">
      <c r="A44" s="9" t="s">
        <v>194</v>
      </c>
      <c r="B44" s="9" t="s">
        <v>195</v>
      </c>
      <c r="C44" s="11" t="s">
        <v>28</v>
      </c>
      <c r="D44" s="9" t="s">
        <v>196</v>
      </c>
      <c r="E44" s="11" t="s">
        <v>28</v>
      </c>
      <c r="F44" s="10" t="s">
        <v>28</v>
      </c>
      <c r="G44" s="10" t="s">
        <v>28</v>
      </c>
      <c r="H44" s="10" t="s">
        <v>28</v>
      </c>
      <c r="I44" s="11" t="s">
        <v>28</v>
      </c>
      <c r="J44" s="11" t="s">
        <v>28</v>
      </c>
      <c r="K44" s="11" t="s">
        <v>28</v>
      </c>
      <c r="L44" s="11" t="s">
        <v>28</v>
      </c>
      <c r="M44" s="11" t="s">
        <v>28</v>
      </c>
      <c r="N44" s="8">
        <v>45653</v>
      </c>
      <c r="O44" s="9" t="s">
        <v>30</v>
      </c>
      <c r="P44" s="12" t="s">
        <v>197</v>
      </c>
      <c r="Q44" s="9" t="s">
        <v>105</v>
      </c>
      <c r="R44" s="14" t="str">
        <f>HYPERLINK("https://my.pitchbook.com?c=281770-21T","View Company Online")</f>
        <v>View Company Online</v>
      </c>
    </row>
    <row r="45" spans="1:18" hidden="1" x14ac:dyDescent="0.3">
      <c r="A45" s="15" t="s">
        <v>198</v>
      </c>
      <c r="B45" s="15" t="s">
        <v>199</v>
      </c>
      <c r="C45" s="18" t="s">
        <v>28</v>
      </c>
      <c r="D45" s="15" t="s">
        <v>200</v>
      </c>
      <c r="E45" s="18" t="s">
        <v>28</v>
      </c>
      <c r="F45" s="19" t="s">
        <v>28</v>
      </c>
      <c r="G45" s="19" t="s">
        <v>28</v>
      </c>
      <c r="H45" s="19" t="s">
        <v>28</v>
      </c>
      <c r="I45" s="18" t="s">
        <v>28</v>
      </c>
      <c r="J45" s="18" t="s">
        <v>28</v>
      </c>
      <c r="K45" s="18" t="s">
        <v>28</v>
      </c>
      <c r="L45" s="18" t="s">
        <v>28</v>
      </c>
      <c r="M45" s="18" t="s">
        <v>28</v>
      </c>
      <c r="N45" s="17">
        <v>45649</v>
      </c>
      <c r="O45" s="15" t="s">
        <v>173</v>
      </c>
      <c r="P45" s="16" t="s">
        <v>28</v>
      </c>
      <c r="Q45" s="15" t="s">
        <v>174</v>
      </c>
      <c r="R45" s="13" t="str">
        <f>HYPERLINK("https://my.pitchbook.com?c=280695-52T","View Company Online")</f>
        <v>View Company Online</v>
      </c>
    </row>
    <row r="46" spans="1:18" hidden="1" x14ac:dyDescent="0.3">
      <c r="A46" s="9" t="s">
        <v>201</v>
      </c>
      <c r="B46" s="9" t="s">
        <v>202</v>
      </c>
      <c r="C46" s="11" t="s">
        <v>28</v>
      </c>
      <c r="D46" s="9" t="s">
        <v>203</v>
      </c>
      <c r="E46" s="11" t="s">
        <v>28</v>
      </c>
      <c r="F46" s="10">
        <v>66.41</v>
      </c>
      <c r="G46" s="10">
        <v>33.200000000000003</v>
      </c>
      <c r="H46" s="10">
        <v>66.41</v>
      </c>
      <c r="I46" s="11" t="s">
        <v>28</v>
      </c>
      <c r="J46" s="11" t="s">
        <v>28</v>
      </c>
      <c r="K46" s="11" t="s">
        <v>28</v>
      </c>
      <c r="L46" s="11" t="s">
        <v>28</v>
      </c>
      <c r="M46" s="11" t="s">
        <v>28</v>
      </c>
      <c r="N46" s="8">
        <v>45649</v>
      </c>
      <c r="O46" s="9" t="s">
        <v>30</v>
      </c>
      <c r="P46" s="12" t="s">
        <v>204</v>
      </c>
      <c r="Q46" s="9" t="s">
        <v>160</v>
      </c>
      <c r="R46" s="14" t="str">
        <f>HYPERLINK("https://my.pitchbook.com?c=280719-82T","View Company Online")</f>
        <v>View Company Online</v>
      </c>
    </row>
    <row r="47" spans="1:18" hidden="1" x14ac:dyDescent="0.3">
      <c r="A47" s="15" t="s">
        <v>205</v>
      </c>
      <c r="B47" s="15" t="s">
        <v>206</v>
      </c>
      <c r="C47" s="18" t="s">
        <v>28</v>
      </c>
      <c r="D47" s="15" t="s">
        <v>207</v>
      </c>
      <c r="E47" s="18" t="s">
        <v>28</v>
      </c>
      <c r="F47" s="19" t="s">
        <v>28</v>
      </c>
      <c r="G47" s="19" t="s">
        <v>28</v>
      </c>
      <c r="H47" s="19" t="s">
        <v>28</v>
      </c>
      <c r="I47" s="18" t="s">
        <v>28</v>
      </c>
      <c r="J47" s="18" t="s">
        <v>28</v>
      </c>
      <c r="K47" s="18" t="s">
        <v>28</v>
      </c>
      <c r="L47" s="18" t="s">
        <v>28</v>
      </c>
      <c r="M47" s="18" t="s">
        <v>28</v>
      </c>
      <c r="N47" s="17">
        <v>45649</v>
      </c>
      <c r="O47" s="15" t="s">
        <v>30</v>
      </c>
      <c r="P47" s="16" t="s">
        <v>208</v>
      </c>
      <c r="Q47" s="15" t="s">
        <v>85</v>
      </c>
      <c r="R47" s="13" t="str">
        <f>HYPERLINK("https://my.pitchbook.com?c=283505-41T","View Company Online")</f>
        <v>View Company Online</v>
      </c>
    </row>
    <row r="48" spans="1:18" hidden="1" x14ac:dyDescent="0.3">
      <c r="A48" s="9" t="s">
        <v>209</v>
      </c>
      <c r="B48" s="9" t="s">
        <v>210</v>
      </c>
      <c r="C48" s="11" t="s">
        <v>28</v>
      </c>
      <c r="D48" s="9" t="s">
        <v>211</v>
      </c>
      <c r="E48" s="11" t="s">
        <v>28</v>
      </c>
      <c r="F48" s="10">
        <v>2.2999999999999998</v>
      </c>
      <c r="G48" s="10">
        <v>2.2999999999999998</v>
      </c>
      <c r="H48" s="10">
        <v>2.2999999999999998</v>
      </c>
      <c r="I48" s="11" t="s">
        <v>28</v>
      </c>
      <c r="J48" s="11" t="s">
        <v>28</v>
      </c>
      <c r="K48" s="11" t="s">
        <v>28</v>
      </c>
      <c r="L48" s="11" t="s">
        <v>28</v>
      </c>
      <c r="M48" s="11" t="s">
        <v>28</v>
      </c>
      <c r="N48" s="8">
        <v>45649</v>
      </c>
      <c r="O48" s="9" t="s">
        <v>30</v>
      </c>
      <c r="P48" s="12" t="s">
        <v>212</v>
      </c>
      <c r="Q48" s="9" t="s">
        <v>213</v>
      </c>
      <c r="R48" s="14" t="str">
        <f>HYPERLINK("https://my.pitchbook.com?c=280754-47T","View Company Online")</f>
        <v>View Company Online</v>
      </c>
    </row>
    <row r="49" spans="1:18" hidden="1" x14ac:dyDescent="0.3">
      <c r="A49" s="15" t="s">
        <v>214</v>
      </c>
      <c r="B49" s="15" t="s">
        <v>215</v>
      </c>
      <c r="C49" s="18" t="s">
        <v>28</v>
      </c>
      <c r="D49" s="15" t="s">
        <v>216</v>
      </c>
      <c r="E49" s="18" t="s">
        <v>28</v>
      </c>
      <c r="F49" s="19" t="s">
        <v>28</v>
      </c>
      <c r="G49" s="19" t="s">
        <v>28</v>
      </c>
      <c r="H49" s="19" t="s">
        <v>28</v>
      </c>
      <c r="I49" s="18" t="s">
        <v>28</v>
      </c>
      <c r="J49" s="18" t="s">
        <v>28</v>
      </c>
      <c r="K49" s="18" t="s">
        <v>28</v>
      </c>
      <c r="L49" s="18" t="s">
        <v>28</v>
      </c>
      <c r="M49" s="18" t="s">
        <v>28</v>
      </c>
      <c r="N49" s="17">
        <v>45648</v>
      </c>
      <c r="O49" s="15" t="s">
        <v>30</v>
      </c>
      <c r="P49" s="16" t="s">
        <v>217</v>
      </c>
      <c r="Q49" s="15" t="s">
        <v>37</v>
      </c>
      <c r="R49" s="13" t="str">
        <f>HYPERLINK("https://my.pitchbook.com?c=260169-94T","View Company Online")</f>
        <v>View Company Online</v>
      </c>
    </row>
    <row r="50" spans="1:18" hidden="1" x14ac:dyDescent="0.3">
      <c r="A50" s="9" t="s">
        <v>218</v>
      </c>
      <c r="B50" s="9" t="s">
        <v>219</v>
      </c>
      <c r="C50" s="11" t="s">
        <v>28</v>
      </c>
      <c r="D50" s="9" t="s">
        <v>220</v>
      </c>
      <c r="E50" s="11" t="s">
        <v>28</v>
      </c>
      <c r="F50" s="10" t="s">
        <v>28</v>
      </c>
      <c r="G50" s="10">
        <v>0.17</v>
      </c>
      <c r="H50" s="10" t="s">
        <v>28</v>
      </c>
      <c r="I50" s="11" t="s">
        <v>28</v>
      </c>
      <c r="J50" s="11" t="s">
        <v>28</v>
      </c>
      <c r="K50" s="11">
        <v>56.74</v>
      </c>
      <c r="L50" s="11" t="s">
        <v>28</v>
      </c>
      <c r="M50" s="11" t="s">
        <v>28</v>
      </c>
      <c r="N50" s="8">
        <v>45645</v>
      </c>
      <c r="O50" s="9" t="s">
        <v>99</v>
      </c>
      <c r="P50" s="12" t="s">
        <v>221</v>
      </c>
      <c r="Q50" s="9" t="s">
        <v>75</v>
      </c>
      <c r="R50" s="14" t="str">
        <f>HYPERLINK("https://my.pitchbook.com?c=280400-41T","View Company Online")</f>
        <v>View Company Online</v>
      </c>
    </row>
    <row r="51" spans="1:18" x14ac:dyDescent="0.3">
      <c r="A51" s="15" t="s">
        <v>222</v>
      </c>
      <c r="B51" s="15" t="s">
        <v>223</v>
      </c>
      <c r="C51" s="18" t="s">
        <v>28</v>
      </c>
      <c r="D51" s="15" t="s">
        <v>224</v>
      </c>
      <c r="E51" s="18">
        <v>378.56</v>
      </c>
      <c r="F51" s="19" t="s">
        <v>28</v>
      </c>
      <c r="G51" s="19">
        <v>65</v>
      </c>
      <c r="H51" s="19">
        <v>130</v>
      </c>
      <c r="I51" s="18">
        <v>616.02</v>
      </c>
      <c r="J51" s="18">
        <v>0.21</v>
      </c>
      <c r="K51" s="18">
        <v>1668.97</v>
      </c>
      <c r="L51" s="18">
        <v>0.08</v>
      </c>
      <c r="M51" s="18">
        <v>100.12</v>
      </c>
      <c r="N51" s="17">
        <v>45645</v>
      </c>
      <c r="O51" s="15" t="s">
        <v>41</v>
      </c>
      <c r="P51" s="16" t="s">
        <v>225</v>
      </c>
      <c r="Q51" s="15" t="s">
        <v>226</v>
      </c>
      <c r="R51" s="13" t="str">
        <f>HYPERLINK("https://my.pitchbook.com?c=297952-39T","View Company Online")</f>
        <v>View Company Online</v>
      </c>
    </row>
    <row r="52" spans="1:18" hidden="1" x14ac:dyDescent="0.3">
      <c r="A52" s="9" t="s">
        <v>227</v>
      </c>
      <c r="B52" s="9" t="s">
        <v>228</v>
      </c>
      <c r="C52" s="11" t="s">
        <v>28</v>
      </c>
      <c r="D52" s="9" t="s">
        <v>229</v>
      </c>
      <c r="E52" s="11" t="s">
        <v>28</v>
      </c>
      <c r="F52" s="10" t="s">
        <v>28</v>
      </c>
      <c r="G52" s="10" t="s">
        <v>28</v>
      </c>
      <c r="H52" s="10" t="s">
        <v>28</v>
      </c>
      <c r="I52" s="11" t="s">
        <v>28</v>
      </c>
      <c r="J52" s="11" t="s">
        <v>28</v>
      </c>
      <c r="K52" s="11" t="s">
        <v>28</v>
      </c>
      <c r="L52" s="11" t="s">
        <v>28</v>
      </c>
      <c r="M52" s="11" t="s">
        <v>28</v>
      </c>
      <c r="N52" s="8">
        <v>45645</v>
      </c>
      <c r="O52" s="9" t="s">
        <v>30</v>
      </c>
      <c r="P52" s="12" t="s">
        <v>230</v>
      </c>
      <c r="Q52" s="9" t="s">
        <v>136</v>
      </c>
      <c r="R52" s="14" t="str">
        <f>HYPERLINK("https://my.pitchbook.com?c=280700-47T","View Company Online")</f>
        <v>View Company Online</v>
      </c>
    </row>
    <row r="53" spans="1:18" hidden="1" x14ac:dyDescent="0.3">
      <c r="A53" s="15" t="s">
        <v>231</v>
      </c>
      <c r="B53" s="15" t="s">
        <v>232</v>
      </c>
      <c r="C53" s="18" t="s">
        <v>28</v>
      </c>
      <c r="D53" s="15" t="s">
        <v>233</v>
      </c>
      <c r="E53" s="18" t="s">
        <v>28</v>
      </c>
      <c r="F53" s="19" t="s">
        <v>28</v>
      </c>
      <c r="G53" s="19">
        <v>0.03</v>
      </c>
      <c r="H53" s="19" t="s">
        <v>28</v>
      </c>
      <c r="I53" s="18" t="s">
        <v>28</v>
      </c>
      <c r="J53" s="18" t="s">
        <v>28</v>
      </c>
      <c r="K53" s="18" t="s">
        <v>28</v>
      </c>
      <c r="L53" s="18" t="s">
        <v>28</v>
      </c>
      <c r="M53" s="18" t="s">
        <v>28</v>
      </c>
      <c r="N53" s="17">
        <v>45644</v>
      </c>
      <c r="O53" s="15" t="s">
        <v>79</v>
      </c>
      <c r="P53" s="16" t="s">
        <v>234</v>
      </c>
      <c r="Q53" s="15" t="s">
        <v>235</v>
      </c>
      <c r="R53" s="13" t="str">
        <f>HYPERLINK("https://my.pitchbook.com?c=280649-98T","View Company Online")</f>
        <v>View Company Online</v>
      </c>
    </row>
    <row r="54" spans="1:18" hidden="1" x14ac:dyDescent="0.3">
      <c r="A54" s="9" t="s">
        <v>236</v>
      </c>
      <c r="B54" s="9" t="s">
        <v>237</v>
      </c>
      <c r="C54" s="11" t="s">
        <v>28</v>
      </c>
      <c r="D54" s="9" t="s">
        <v>238</v>
      </c>
      <c r="E54" s="11" t="s">
        <v>28</v>
      </c>
      <c r="F54" s="10" t="s">
        <v>28</v>
      </c>
      <c r="G54" s="10" t="s">
        <v>28</v>
      </c>
      <c r="H54" s="10" t="s">
        <v>28</v>
      </c>
      <c r="I54" s="11" t="s">
        <v>28</v>
      </c>
      <c r="J54" s="11" t="s">
        <v>28</v>
      </c>
      <c r="K54" s="11" t="s">
        <v>28</v>
      </c>
      <c r="L54" s="11" t="s">
        <v>28</v>
      </c>
      <c r="M54" s="11" t="s">
        <v>28</v>
      </c>
      <c r="N54" s="8">
        <v>45644</v>
      </c>
      <c r="O54" s="9" t="s">
        <v>41</v>
      </c>
      <c r="P54" s="12" t="s">
        <v>239</v>
      </c>
      <c r="Q54" s="9" t="s">
        <v>240</v>
      </c>
      <c r="R54" s="14" t="str">
        <f>HYPERLINK("https://my.pitchbook.com?c=280696-42T","View Company Online")</f>
        <v>View Company Online</v>
      </c>
    </row>
    <row r="55" spans="1:18" hidden="1" x14ac:dyDescent="0.3">
      <c r="A55" s="15" t="s">
        <v>241</v>
      </c>
      <c r="B55" s="15" t="s">
        <v>242</v>
      </c>
      <c r="C55" s="18" t="s">
        <v>28</v>
      </c>
      <c r="D55" s="15" t="s">
        <v>243</v>
      </c>
      <c r="E55" s="18" t="s">
        <v>28</v>
      </c>
      <c r="F55" s="19" t="s">
        <v>28</v>
      </c>
      <c r="G55" s="19" t="s">
        <v>28</v>
      </c>
      <c r="H55" s="19" t="s">
        <v>28</v>
      </c>
      <c r="I55" s="18" t="s">
        <v>28</v>
      </c>
      <c r="J55" s="18" t="s">
        <v>28</v>
      </c>
      <c r="K55" s="18" t="s">
        <v>28</v>
      </c>
      <c r="L55" s="18" t="s">
        <v>28</v>
      </c>
      <c r="M55" s="18" t="s">
        <v>28</v>
      </c>
      <c r="N55" s="17">
        <v>45644</v>
      </c>
      <c r="O55" s="15" t="s">
        <v>30</v>
      </c>
      <c r="P55" s="16" t="s">
        <v>244</v>
      </c>
      <c r="Q55" s="15" t="s">
        <v>245</v>
      </c>
      <c r="R55" s="13" t="str">
        <f>HYPERLINK("https://my.pitchbook.com?c=280698-31T","View Company Online")</f>
        <v>View Company Online</v>
      </c>
    </row>
    <row r="56" spans="1:18" hidden="1" x14ac:dyDescent="0.3">
      <c r="A56" s="9" t="s">
        <v>246</v>
      </c>
      <c r="B56" s="9" t="s">
        <v>247</v>
      </c>
      <c r="C56" s="11" t="s">
        <v>28</v>
      </c>
      <c r="D56" s="9" t="s">
        <v>248</v>
      </c>
      <c r="E56" s="11" t="s">
        <v>28</v>
      </c>
      <c r="F56" s="10" t="s">
        <v>28</v>
      </c>
      <c r="G56" s="10">
        <v>0.02</v>
      </c>
      <c r="H56" s="10" t="s">
        <v>28</v>
      </c>
      <c r="I56" s="11" t="s">
        <v>28</v>
      </c>
      <c r="J56" s="11" t="s">
        <v>28</v>
      </c>
      <c r="K56" s="11" t="s">
        <v>28</v>
      </c>
      <c r="L56" s="11" t="s">
        <v>28</v>
      </c>
      <c r="M56" s="11" t="s">
        <v>28</v>
      </c>
      <c r="N56" s="8">
        <v>45644</v>
      </c>
      <c r="O56" s="9" t="s">
        <v>79</v>
      </c>
      <c r="P56" s="12" t="s">
        <v>234</v>
      </c>
      <c r="Q56" s="9" t="s">
        <v>249</v>
      </c>
      <c r="R56" s="14" t="str">
        <f>HYPERLINK("https://my.pitchbook.com?c=280655-65T","View Company Online")</f>
        <v>View Company Online</v>
      </c>
    </row>
    <row r="57" spans="1:18" hidden="1" x14ac:dyDescent="0.3">
      <c r="A57" s="15" t="s">
        <v>250</v>
      </c>
      <c r="B57" s="15" t="s">
        <v>251</v>
      </c>
      <c r="C57" s="18" t="s">
        <v>28</v>
      </c>
      <c r="D57" s="15" t="s">
        <v>252</v>
      </c>
      <c r="E57" s="18" t="s">
        <v>28</v>
      </c>
      <c r="F57" s="19" t="s">
        <v>28</v>
      </c>
      <c r="G57" s="19">
        <v>0.01</v>
      </c>
      <c r="H57" s="19" t="s">
        <v>28</v>
      </c>
      <c r="I57" s="18" t="s">
        <v>28</v>
      </c>
      <c r="J57" s="18" t="s">
        <v>28</v>
      </c>
      <c r="K57" s="18" t="s">
        <v>28</v>
      </c>
      <c r="L57" s="18" t="s">
        <v>28</v>
      </c>
      <c r="M57" s="18" t="s">
        <v>28</v>
      </c>
      <c r="N57" s="17">
        <v>45644</v>
      </c>
      <c r="O57" s="15" t="s">
        <v>79</v>
      </c>
      <c r="P57" s="16" t="s">
        <v>234</v>
      </c>
      <c r="Q57" s="15" t="s">
        <v>114</v>
      </c>
      <c r="R57" s="13" t="str">
        <f>HYPERLINK("https://my.pitchbook.com?c=280647-91T","View Company Online")</f>
        <v>View Company Online</v>
      </c>
    </row>
    <row r="58" spans="1:18" hidden="1" x14ac:dyDescent="0.3">
      <c r="A58" s="9" t="s">
        <v>253</v>
      </c>
      <c r="B58" s="9" t="s">
        <v>254</v>
      </c>
      <c r="C58" s="11" t="s">
        <v>28</v>
      </c>
      <c r="D58" s="9" t="s">
        <v>255</v>
      </c>
      <c r="E58" s="11" t="s">
        <v>28</v>
      </c>
      <c r="F58" s="10">
        <v>33.56</v>
      </c>
      <c r="G58" s="10">
        <v>18.46</v>
      </c>
      <c r="H58" s="10">
        <v>33.56</v>
      </c>
      <c r="I58" s="11" t="s">
        <v>28</v>
      </c>
      <c r="J58" s="11" t="s">
        <v>28</v>
      </c>
      <c r="K58" s="11" t="s">
        <v>28</v>
      </c>
      <c r="L58" s="11" t="s">
        <v>28</v>
      </c>
      <c r="M58" s="11" t="s">
        <v>28</v>
      </c>
      <c r="N58" s="8">
        <v>45644</v>
      </c>
      <c r="O58" s="9" t="s">
        <v>41</v>
      </c>
      <c r="P58" s="12" t="s">
        <v>168</v>
      </c>
      <c r="Q58" s="9" t="s">
        <v>85</v>
      </c>
      <c r="R58" s="14" t="str">
        <f>HYPERLINK("https://my.pitchbook.com?c=281793-70T","View Company Online")</f>
        <v>View Company Online</v>
      </c>
    </row>
    <row r="59" spans="1:18" hidden="1" x14ac:dyDescent="0.3">
      <c r="A59" s="15" t="s">
        <v>256</v>
      </c>
      <c r="B59" s="15" t="s">
        <v>257</v>
      </c>
      <c r="C59" s="18" t="s">
        <v>28</v>
      </c>
      <c r="D59" s="15" t="s">
        <v>258</v>
      </c>
      <c r="E59" s="18" t="s">
        <v>28</v>
      </c>
      <c r="F59" s="19" t="s">
        <v>28</v>
      </c>
      <c r="G59" s="19">
        <v>0.01</v>
      </c>
      <c r="H59" s="19" t="s">
        <v>28</v>
      </c>
      <c r="I59" s="18" t="s">
        <v>28</v>
      </c>
      <c r="J59" s="18" t="s">
        <v>28</v>
      </c>
      <c r="K59" s="18" t="s">
        <v>28</v>
      </c>
      <c r="L59" s="18" t="s">
        <v>28</v>
      </c>
      <c r="M59" s="18" t="s">
        <v>28</v>
      </c>
      <c r="N59" s="17">
        <v>45644</v>
      </c>
      <c r="O59" s="15" t="s">
        <v>79</v>
      </c>
      <c r="P59" s="16" t="s">
        <v>234</v>
      </c>
      <c r="Q59" s="15" t="s">
        <v>75</v>
      </c>
      <c r="R59" s="13" t="str">
        <f>HYPERLINK("https://my.pitchbook.com?c=280647-19T","View Company Online")</f>
        <v>View Company Online</v>
      </c>
    </row>
    <row r="60" spans="1:18" hidden="1" x14ac:dyDescent="0.3">
      <c r="A60" s="9" t="s">
        <v>259</v>
      </c>
      <c r="B60" s="9" t="s">
        <v>260</v>
      </c>
      <c r="C60" s="11" t="s">
        <v>28</v>
      </c>
      <c r="D60" s="9" t="s">
        <v>261</v>
      </c>
      <c r="E60" s="11" t="s">
        <v>28</v>
      </c>
      <c r="F60" s="10" t="s">
        <v>28</v>
      </c>
      <c r="G60" s="10" t="s">
        <v>28</v>
      </c>
      <c r="H60" s="10" t="s">
        <v>28</v>
      </c>
      <c r="I60" s="11" t="s">
        <v>28</v>
      </c>
      <c r="J60" s="11" t="s">
        <v>28</v>
      </c>
      <c r="K60" s="11" t="s">
        <v>28</v>
      </c>
      <c r="L60" s="11" t="s">
        <v>28</v>
      </c>
      <c r="M60" s="11" t="s">
        <v>28</v>
      </c>
      <c r="N60" s="8">
        <v>45644</v>
      </c>
      <c r="O60" s="9" t="s">
        <v>30</v>
      </c>
      <c r="P60" s="12" t="s">
        <v>262</v>
      </c>
      <c r="Q60" s="9" t="s">
        <v>263</v>
      </c>
      <c r="R60" s="14" t="str">
        <f>HYPERLINK("https://my.pitchbook.com?c=280270-72T","View Company Online")</f>
        <v>View Company Online</v>
      </c>
    </row>
    <row r="61" spans="1:18" hidden="1" x14ac:dyDescent="0.3">
      <c r="A61" s="15" t="s">
        <v>264</v>
      </c>
      <c r="B61" s="15" t="s">
        <v>265</v>
      </c>
      <c r="C61" s="18" t="s">
        <v>28</v>
      </c>
      <c r="D61" s="15" t="s">
        <v>266</v>
      </c>
      <c r="E61" s="18" t="s">
        <v>28</v>
      </c>
      <c r="F61" s="19" t="s">
        <v>28</v>
      </c>
      <c r="G61" s="19" t="s">
        <v>28</v>
      </c>
      <c r="H61" s="19" t="s">
        <v>28</v>
      </c>
      <c r="I61" s="18" t="s">
        <v>28</v>
      </c>
      <c r="J61" s="18" t="s">
        <v>28</v>
      </c>
      <c r="K61" s="18" t="s">
        <v>28</v>
      </c>
      <c r="L61" s="18" t="s">
        <v>28</v>
      </c>
      <c r="M61" s="18" t="s">
        <v>28</v>
      </c>
      <c r="N61" s="17">
        <v>45643</v>
      </c>
      <c r="O61" s="15" t="s">
        <v>41</v>
      </c>
      <c r="P61" s="16" t="s">
        <v>267</v>
      </c>
      <c r="Q61" s="15" t="s">
        <v>268</v>
      </c>
      <c r="R61" s="13" t="str">
        <f>HYPERLINK("https://my.pitchbook.com?c=282324-88T","View Company Online")</f>
        <v>View Company Online</v>
      </c>
    </row>
    <row r="62" spans="1:18" hidden="1" x14ac:dyDescent="0.3">
      <c r="A62" s="9" t="s">
        <v>269</v>
      </c>
      <c r="B62" s="9" t="s">
        <v>270</v>
      </c>
      <c r="C62" s="11" t="s">
        <v>28</v>
      </c>
      <c r="D62" s="9" t="s">
        <v>271</v>
      </c>
      <c r="E62" s="11" t="s">
        <v>28</v>
      </c>
      <c r="F62" s="10" t="s">
        <v>28</v>
      </c>
      <c r="G62" s="10" t="s">
        <v>28</v>
      </c>
      <c r="H62" s="10" t="s">
        <v>28</v>
      </c>
      <c r="I62" s="11" t="s">
        <v>28</v>
      </c>
      <c r="J62" s="11" t="s">
        <v>28</v>
      </c>
      <c r="K62" s="11" t="s">
        <v>28</v>
      </c>
      <c r="L62" s="11" t="s">
        <v>28</v>
      </c>
      <c r="M62" s="11" t="s">
        <v>28</v>
      </c>
      <c r="N62" s="8">
        <v>45643</v>
      </c>
      <c r="O62" s="9" t="s">
        <v>30</v>
      </c>
      <c r="P62" s="12" t="s">
        <v>272</v>
      </c>
      <c r="Q62" s="9" t="s">
        <v>37</v>
      </c>
      <c r="R62" s="14" t="str">
        <f>HYPERLINK("https://my.pitchbook.com?c=280169-65T","View Company Online")</f>
        <v>View Company Online</v>
      </c>
    </row>
    <row r="63" spans="1:18" hidden="1" x14ac:dyDescent="0.3">
      <c r="A63" s="15" t="s">
        <v>273</v>
      </c>
      <c r="B63" s="15" t="s">
        <v>274</v>
      </c>
      <c r="C63" s="18" t="s">
        <v>28</v>
      </c>
      <c r="D63" s="15" t="s">
        <v>275</v>
      </c>
      <c r="E63" s="18" t="s">
        <v>28</v>
      </c>
      <c r="F63" s="19" t="s">
        <v>28</v>
      </c>
      <c r="G63" s="19" t="s">
        <v>28</v>
      </c>
      <c r="H63" s="19" t="s">
        <v>28</v>
      </c>
      <c r="I63" s="18" t="s">
        <v>28</v>
      </c>
      <c r="J63" s="18" t="s">
        <v>28</v>
      </c>
      <c r="K63" s="18" t="s">
        <v>28</v>
      </c>
      <c r="L63" s="18" t="s">
        <v>28</v>
      </c>
      <c r="M63" s="18" t="s">
        <v>28</v>
      </c>
      <c r="N63" s="17">
        <v>45643</v>
      </c>
      <c r="O63" s="15" t="s">
        <v>30</v>
      </c>
      <c r="P63" s="16" t="s">
        <v>28</v>
      </c>
      <c r="Q63" s="15" t="s">
        <v>32</v>
      </c>
      <c r="R63" s="13" t="str">
        <f>HYPERLINK("https://my.pitchbook.com?c=280200-97T","View Company Online")</f>
        <v>View Company Online</v>
      </c>
    </row>
    <row r="64" spans="1:18" hidden="1" x14ac:dyDescent="0.3">
      <c r="A64" s="9" t="s">
        <v>276</v>
      </c>
      <c r="B64" s="9" t="s">
        <v>277</v>
      </c>
      <c r="C64" s="11" t="s">
        <v>28</v>
      </c>
      <c r="D64" s="9" t="s">
        <v>278</v>
      </c>
      <c r="E64" s="11" t="s">
        <v>28</v>
      </c>
      <c r="F64" s="10">
        <v>105.05</v>
      </c>
      <c r="G64" s="10">
        <v>52.53</v>
      </c>
      <c r="H64" s="10">
        <v>105.05</v>
      </c>
      <c r="I64" s="11" t="s">
        <v>28</v>
      </c>
      <c r="J64" s="11" t="s">
        <v>28</v>
      </c>
      <c r="K64" s="11" t="s">
        <v>28</v>
      </c>
      <c r="L64" s="11" t="s">
        <v>28</v>
      </c>
      <c r="M64" s="11" t="s">
        <v>28</v>
      </c>
      <c r="N64" s="8">
        <v>45643</v>
      </c>
      <c r="O64" s="9" t="s">
        <v>30</v>
      </c>
      <c r="P64" s="12" t="s">
        <v>279</v>
      </c>
      <c r="Q64" s="9" t="s">
        <v>280</v>
      </c>
      <c r="R64" s="14" t="str">
        <f>HYPERLINK("https://my.pitchbook.com?c=280193-77T","View Company Online")</f>
        <v>View Company Online</v>
      </c>
    </row>
    <row r="65" spans="1:18" hidden="1" x14ac:dyDescent="0.3">
      <c r="A65" s="15" t="s">
        <v>281</v>
      </c>
      <c r="B65" s="15" t="s">
        <v>282</v>
      </c>
      <c r="C65" s="18" t="s">
        <v>28</v>
      </c>
      <c r="D65" s="15" t="s">
        <v>283</v>
      </c>
      <c r="E65" s="18" t="s">
        <v>28</v>
      </c>
      <c r="F65" s="19" t="s">
        <v>28</v>
      </c>
      <c r="G65" s="19" t="s">
        <v>28</v>
      </c>
      <c r="H65" s="19" t="s">
        <v>28</v>
      </c>
      <c r="I65" s="18" t="s">
        <v>28</v>
      </c>
      <c r="J65" s="18" t="s">
        <v>28</v>
      </c>
      <c r="K65" s="18" t="s">
        <v>28</v>
      </c>
      <c r="L65" s="18" t="s">
        <v>28</v>
      </c>
      <c r="M65" s="18" t="s">
        <v>28</v>
      </c>
      <c r="N65" s="17">
        <v>45643</v>
      </c>
      <c r="O65" s="15" t="s">
        <v>30</v>
      </c>
      <c r="P65" s="16" t="s">
        <v>284</v>
      </c>
      <c r="Q65" s="15" t="s">
        <v>285</v>
      </c>
      <c r="R65" s="13" t="str">
        <f>HYPERLINK("https://my.pitchbook.com?c=280702-81T","View Company Online")</f>
        <v>View Company Online</v>
      </c>
    </row>
    <row r="66" spans="1:18" hidden="1" x14ac:dyDescent="0.3">
      <c r="A66" s="9" t="s">
        <v>286</v>
      </c>
      <c r="B66" s="9" t="s">
        <v>287</v>
      </c>
      <c r="C66" s="11" t="s">
        <v>28</v>
      </c>
      <c r="D66" s="9" t="s">
        <v>288</v>
      </c>
      <c r="E66" s="11" t="s">
        <v>28</v>
      </c>
      <c r="F66" s="10" t="s">
        <v>28</v>
      </c>
      <c r="G66" s="10" t="s">
        <v>28</v>
      </c>
      <c r="H66" s="10" t="s">
        <v>28</v>
      </c>
      <c r="I66" s="11" t="s">
        <v>28</v>
      </c>
      <c r="J66" s="11" t="s">
        <v>28</v>
      </c>
      <c r="K66" s="11" t="s">
        <v>28</v>
      </c>
      <c r="L66" s="11" t="s">
        <v>28</v>
      </c>
      <c r="M66" s="11" t="s">
        <v>28</v>
      </c>
      <c r="N66" s="8">
        <v>45643</v>
      </c>
      <c r="O66" s="9" t="s">
        <v>73</v>
      </c>
      <c r="P66" s="12" t="s">
        <v>289</v>
      </c>
      <c r="Q66" s="9" t="s">
        <v>290</v>
      </c>
      <c r="R66" s="14" t="str">
        <f>HYPERLINK("https://my.pitchbook.com?c=242080-21T","View Company Online")</f>
        <v>View Company Online</v>
      </c>
    </row>
    <row r="67" spans="1:18" hidden="1" x14ac:dyDescent="0.3">
      <c r="A67" s="15" t="s">
        <v>291</v>
      </c>
      <c r="B67" s="15" t="s">
        <v>292</v>
      </c>
      <c r="C67" s="18" t="s">
        <v>28</v>
      </c>
      <c r="D67" s="15" t="s">
        <v>293</v>
      </c>
      <c r="E67" s="18" t="s">
        <v>28</v>
      </c>
      <c r="F67" s="19" t="s">
        <v>28</v>
      </c>
      <c r="G67" s="19">
        <v>0.69</v>
      </c>
      <c r="H67" s="19" t="s">
        <v>28</v>
      </c>
      <c r="I67" s="18" t="s">
        <v>28</v>
      </c>
      <c r="J67" s="18" t="s">
        <v>28</v>
      </c>
      <c r="K67" s="18" t="s">
        <v>28</v>
      </c>
      <c r="L67" s="18" t="s">
        <v>28</v>
      </c>
      <c r="M67" s="18" t="s">
        <v>28</v>
      </c>
      <c r="N67" s="17">
        <v>45642</v>
      </c>
      <c r="O67" s="15" t="s">
        <v>99</v>
      </c>
      <c r="P67" s="16" t="s">
        <v>294</v>
      </c>
      <c r="Q67" s="15" t="s">
        <v>75</v>
      </c>
      <c r="R67" s="13" t="str">
        <f>HYPERLINK("https://my.pitchbook.com?c=280147-24T","View Company Online")</f>
        <v>View Company Online</v>
      </c>
    </row>
    <row r="68" spans="1:18" hidden="1" x14ac:dyDescent="0.3">
      <c r="A68" s="9" t="s">
        <v>295</v>
      </c>
      <c r="B68" s="9" t="s">
        <v>296</v>
      </c>
      <c r="C68" s="11" t="s">
        <v>28</v>
      </c>
      <c r="D68" s="9" t="s">
        <v>297</v>
      </c>
      <c r="E68" s="11" t="s">
        <v>28</v>
      </c>
      <c r="F68" s="10" t="s">
        <v>28</v>
      </c>
      <c r="G68" s="10">
        <v>13.49</v>
      </c>
      <c r="H68" s="10">
        <v>183.84</v>
      </c>
      <c r="I68" s="11" t="s">
        <v>28</v>
      </c>
      <c r="J68" s="11" t="s">
        <v>28</v>
      </c>
      <c r="K68" s="11" t="s">
        <v>28</v>
      </c>
      <c r="L68" s="11" t="s">
        <v>28</v>
      </c>
      <c r="M68" s="11">
        <v>-3.6</v>
      </c>
      <c r="N68" s="8">
        <v>45642</v>
      </c>
      <c r="O68" s="9" t="s">
        <v>93</v>
      </c>
      <c r="P68" s="12" t="s">
        <v>298</v>
      </c>
      <c r="Q68" s="9" t="s">
        <v>299</v>
      </c>
      <c r="R68" s="14" t="str">
        <f>HYPERLINK("https://my.pitchbook.com?c=280938-97T","View Company Online")</f>
        <v>View Company Online</v>
      </c>
    </row>
    <row r="69" spans="1:18" hidden="1" x14ac:dyDescent="0.3">
      <c r="A69" s="15" t="s">
        <v>300</v>
      </c>
      <c r="B69" s="15" t="s">
        <v>301</v>
      </c>
      <c r="C69" s="18" t="s">
        <v>28</v>
      </c>
      <c r="D69" s="15" t="s">
        <v>302</v>
      </c>
      <c r="E69" s="18">
        <v>25.57</v>
      </c>
      <c r="F69" s="19" t="s">
        <v>28</v>
      </c>
      <c r="G69" s="19" t="s">
        <v>28</v>
      </c>
      <c r="H69" s="19" t="s">
        <v>28</v>
      </c>
      <c r="I69" s="18">
        <v>63.88</v>
      </c>
      <c r="J69" s="18" t="s">
        <v>28</v>
      </c>
      <c r="K69" s="18">
        <v>1878.93</v>
      </c>
      <c r="L69" s="18" t="s">
        <v>28</v>
      </c>
      <c r="M69" s="18">
        <v>4.05</v>
      </c>
      <c r="N69" s="17">
        <v>45642</v>
      </c>
      <c r="O69" s="15" t="s">
        <v>173</v>
      </c>
      <c r="P69" s="16" t="s">
        <v>28</v>
      </c>
      <c r="Q69" s="15" t="s">
        <v>85</v>
      </c>
      <c r="R69" s="13" t="str">
        <f>HYPERLINK("https://my.pitchbook.com?c=280684-81T","View Company Online")</f>
        <v>View Company Online</v>
      </c>
    </row>
    <row r="70" spans="1:18" hidden="1" x14ac:dyDescent="0.3">
      <c r="A70" s="9" t="s">
        <v>303</v>
      </c>
      <c r="B70" s="9" t="s">
        <v>304</v>
      </c>
      <c r="C70" s="11" t="s">
        <v>28</v>
      </c>
      <c r="D70" s="9" t="s">
        <v>305</v>
      </c>
      <c r="E70" s="11" t="s">
        <v>28</v>
      </c>
      <c r="F70" s="10" t="s">
        <v>28</v>
      </c>
      <c r="G70" s="10" t="s">
        <v>28</v>
      </c>
      <c r="H70" s="10" t="s">
        <v>28</v>
      </c>
      <c r="I70" s="11" t="s">
        <v>28</v>
      </c>
      <c r="J70" s="11" t="s">
        <v>28</v>
      </c>
      <c r="K70" s="11" t="s">
        <v>28</v>
      </c>
      <c r="L70" s="11" t="s">
        <v>28</v>
      </c>
      <c r="M70" s="11" t="s">
        <v>28</v>
      </c>
      <c r="N70" s="8">
        <v>45642</v>
      </c>
      <c r="O70" s="9" t="s">
        <v>30</v>
      </c>
      <c r="P70" s="12" t="s">
        <v>306</v>
      </c>
      <c r="Q70" s="9" t="s">
        <v>307</v>
      </c>
      <c r="R70" s="14" t="str">
        <f>HYPERLINK("https://my.pitchbook.com?c=273730-24T","View Company Online")</f>
        <v>View Company Online</v>
      </c>
    </row>
    <row r="71" spans="1:18" hidden="1" x14ac:dyDescent="0.3">
      <c r="A71" s="15" t="s">
        <v>308</v>
      </c>
      <c r="B71" s="15" t="s">
        <v>309</v>
      </c>
      <c r="C71" s="18" t="s">
        <v>28</v>
      </c>
      <c r="D71" s="15" t="s">
        <v>310</v>
      </c>
      <c r="E71" s="18" t="s">
        <v>28</v>
      </c>
      <c r="F71" s="19" t="s">
        <v>28</v>
      </c>
      <c r="G71" s="19" t="s">
        <v>28</v>
      </c>
      <c r="H71" s="19" t="s">
        <v>28</v>
      </c>
      <c r="I71" s="18" t="s">
        <v>28</v>
      </c>
      <c r="J71" s="18" t="s">
        <v>28</v>
      </c>
      <c r="K71" s="18" t="s">
        <v>28</v>
      </c>
      <c r="L71" s="18" t="s">
        <v>28</v>
      </c>
      <c r="M71" s="18" t="s">
        <v>28</v>
      </c>
      <c r="N71" s="17">
        <v>45642</v>
      </c>
      <c r="O71" s="15" t="s">
        <v>52</v>
      </c>
      <c r="P71" s="16" t="s">
        <v>311</v>
      </c>
      <c r="Q71" s="15" t="s">
        <v>43</v>
      </c>
      <c r="R71" s="13" t="str">
        <f>HYPERLINK("https://my.pitchbook.com?c=288686-35T","View Company Online")</f>
        <v>View Company Online</v>
      </c>
    </row>
    <row r="72" spans="1:18" hidden="1" x14ac:dyDescent="0.3">
      <c r="A72" s="9" t="s">
        <v>312</v>
      </c>
      <c r="B72" s="9" t="s">
        <v>313</v>
      </c>
      <c r="C72" s="11" t="s">
        <v>28</v>
      </c>
      <c r="D72" s="9" t="s">
        <v>314</v>
      </c>
      <c r="E72" s="11" t="s">
        <v>28</v>
      </c>
      <c r="F72" s="10">
        <v>186</v>
      </c>
      <c r="G72" s="10">
        <v>186</v>
      </c>
      <c r="H72" s="10">
        <v>186</v>
      </c>
      <c r="I72" s="11" t="s">
        <v>28</v>
      </c>
      <c r="J72" s="11" t="s">
        <v>28</v>
      </c>
      <c r="K72" s="11" t="s">
        <v>28</v>
      </c>
      <c r="L72" s="11" t="s">
        <v>28</v>
      </c>
      <c r="M72" s="11" t="s">
        <v>28</v>
      </c>
      <c r="N72" s="8">
        <v>45642</v>
      </c>
      <c r="O72" s="9" t="s">
        <v>30</v>
      </c>
      <c r="P72" s="12" t="s">
        <v>315</v>
      </c>
      <c r="Q72" s="9" t="s">
        <v>316</v>
      </c>
      <c r="R72" s="14" t="str">
        <f>HYPERLINK("https://my.pitchbook.com?c=280682-74T","View Company Online")</f>
        <v>View Company Online</v>
      </c>
    </row>
    <row r="73" spans="1:18" hidden="1" x14ac:dyDescent="0.3">
      <c r="A73" s="15" t="s">
        <v>317</v>
      </c>
      <c r="B73" s="15" t="s">
        <v>318</v>
      </c>
      <c r="C73" s="18" t="s">
        <v>28</v>
      </c>
      <c r="D73" s="15" t="s">
        <v>319</v>
      </c>
      <c r="E73" s="18" t="s">
        <v>28</v>
      </c>
      <c r="F73" s="19" t="s">
        <v>28</v>
      </c>
      <c r="G73" s="19" t="s">
        <v>28</v>
      </c>
      <c r="H73" s="19" t="s">
        <v>28</v>
      </c>
      <c r="I73" s="18" t="s">
        <v>28</v>
      </c>
      <c r="J73" s="18" t="s">
        <v>28</v>
      </c>
      <c r="K73" s="18" t="s">
        <v>28</v>
      </c>
      <c r="L73" s="18" t="s">
        <v>28</v>
      </c>
      <c r="M73" s="18" t="s">
        <v>28</v>
      </c>
      <c r="N73" s="17">
        <v>45642</v>
      </c>
      <c r="O73" s="15" t="s">
        <v>58</v>
      </c>
      <c r="P73" s="16" t="s">
        <v>320</v>
      </c>
      <c r="Q73" s="15" t="s">
        <v>75</v>
      </c>
      <c r="R73" s="13" t="str">
        <f>HYPERLINK("https://my.pitchbook.com?c=280901-35T","View Company Online")</f>
        <v>View Company Online</v>
      </c>
    </row>
    <row r="74" spans="1:18" hidden="1" x14ac:dyDescent="0.3">
      <c r="A74" s="9" t="s">
        <v>321</v>
      </c>
      <c r="B74" s="9" t="s">
        <v>322</v>
      </c>
      <c r="C74" s="11" t="s">
        <v>28</v>
      </c>
      <c r="D74" s="9" t="s">
        <v>323</v>
      </c>
      <c r="E74" s="11" t="s">
        <v>28</v>
      </c>
      <c r="F74" s="10" t="s">
        <v>28</v>
      </c>
      <c r="G74" s="10">
        <v>0.01</v>
      </c>
      <c r="H74" s="10" t="s">
        <v>28</v>
      </c>
      <c r="I74" s="11" t="s">
        <v>28</v>
      </c>
      <c r="J74" s="11" t="s">
        <v>28</v>
      </c>
      <c r="K74" s="11" t="s">
        <v>28</v>
      </c>
      <c r="L74" s="11" t="s">
        <v>28</v>
      </c>
      <c r="M74" s="11" t="s">
        <v>28</v>
      </c>
      <c r="N74" s="8">
        <v>45641</v>
      </c>
      <c r="O74" s="9" t="s">
        <v>79</v>
      </c>
      <c r="P74" s="12" t="s">
        <v>234</v>
      </c>
      <c r="Q74" s="9" t="s">
        <v>75</v>
      </c>
      <c r="R74" s="14" t="str">
        <f>HYPERLINK("https://my.pitchbook.com?c=287926-21T","View Company Online")</f>
        <v>View Company Online</v>
      </c>
    </row>
    <row r="75" spans="1:18" hidden="1" x14ac:dyDescent="0.3">
      <c r="A75" s="15" t="s">
        <v>324</v>
      </c>
      <c r="B75" s="15" t="s">
        <v>325</v>
      </c>
      <c r="C75" s="18" t="s">
        <v>28</v>
      </c>
      <c r="D75" s="15" t="s">
        <v>326</v>
      </c>
      <c r="E75" s="18" t="s">
        <v>28</v>
      </c>
      <c r="F75" s="19" t="s">
        <v>28</v>
      </c>
      <c r="G75" s="19" t="s">
        <v>28</v>
      </c>
      <c r="H75" s="19" t="s">
        <v>28</v>
      </c>
      <c r="I75" s="18" t="s">
        <v>28</v>
      </c>
      <c r="J75" s="18" t="s">
        <v>28</v>
      </c>
      <c r="K75" s="18" t="s">
        <v>28</v>
      </c>
      <c r="L75" s="18" t="s">
        <v>28</v>
      </c>
      <c r="M75" s="18" t="s">
        <v>28</v>
      </c>
      <c r="N75" s="17">
        <v>45639</v>
      </c>
      <c r="O75" s="15" t="s">
        <v>30</v>
      </c>
      <c r="P75" s="16" t="s">
        <v>28</v>
      </c>
      <c r="Q75" s="15" t="s">
        <v>109</v>
      </c>
      <c r="R75" s="13" t="str">
        <f>HYPERLINK("https://my.pitchbook.com?c=255448-72T","View Company Online")</f>
        <v>View Company Online</v>
      </c>
    </row>
    <row r="76" spans="1:18" hidden="1" x14ac:dyDescent="0.3">
      <c r="A76" s="9" t="s">
        <v>327</v>
      </c>
      <c r="B76" s="9" t="s">
        <v>328</v>
      </c>
      <c r="C76" s="11" t="s">
        <v>28</v>
      </c>
      <c r="D76" s="9" t="s">
        <v>329</v>
      </c>
      <c r="E76" s="11" t="s">
        <v>28</v>
      </c>
      <c r="F76" s="10" t="s">
        <v>28</v>
      </c>
      <c r="G76" s="10" t="s">
        <v>28</v>
      </c>
      <c r="H76" s="10" t="s">
        <v>28</v>
      </c>
      <c r="I76" s="11" t="s">
        <v>28</v>
      </c>
      <c r="J76" s="11" t="s">
        <v>28</v>
      </c>
      <c r="K76" s="11" t="s">
        <v>28</v>
      </c>
      <c r="L76" s="11" t="s">
        <v>28</v>
      </c>
      <c r="M76" s="11" t="s">
        <v>28</v>
      </c>
      <c r="N76" s="8">
        <v>45639</v>
      </c>
      <c r="O76" s="9" t="s">
        <v>30</v>
      </c>
      <c r="P76" s="12" t="s">
        <v>330</v>
      </c>
      <c r="Q76" s="9" t="s">
        <v>331</v>
      </c>
      <c r="R76" s="14" t="str">
        <f>HYPERLINK("https://my.pitchbook.com?c=280686-97T","View Company Online")</f>
        <v>View Company Online</v>
      </c>
    </row>
    <row r="77" spans="1:18" hidden="1" x14ac:dyDescent="0.3">
      <c r="A77" s="15" t="s">
        <v>332</v>
      </c>
      <c r="B77" s="15" t="s">
        <v>333</v>
      </c>
      <c r="C77" s="18" t="s">
        <v>28</v>
      </c>
      <c r="D77" s="15" t="s">
        <v>334</v>
      </c>
      <c r="E77" s="18" t="s">
        <v>28</v>
      </c>
      <c r="F77" s="19" t="s">
        <v>28</v>
      </c>
      <c r="G77" s="19" t="s">
        <v>28</v>
      </c>
      <c r="H77" s="19" t="s">
        <v>28</v>
      </c>
      <c r="I77" s="18" t="s">
        <v>28</v>
      </c>
      <c r="J77" s="18" t="s">
        <v>28</v>
      </c>
      <c r="K77" s="18" t="s">
        <v>28</v>
      </c>
      <c r="L77" s="18" t="s">
        <v>28</v>
      </c>
      <c r="M77" s="18" t="s">
        <v>28</v>
      </c>
      <c r="N77" s="17">
        <v>45639</v>
      </c>
      <c r="O77" s="15" t="s">
        <v>30</v>
      </c>
      <c r="P77" s="16" t="s">
        <v>335</v>
      </c>
      <c r="Q77" s="15" t="s">
        <v>245</v>
      </c>
      <c r="R77" s="13" t="str">
        <f>HYPERLINK("https://my.pitchbook.com?c=280700-74T","View Company Online")</f>
        <v>View Company Online</v>
      </c>
    </row>
    <row r="78" spans="1:18" hidden="1" x14ac:dyDescent="0.3">
      <c r="A78" s="9" t="s">
        <v>336</v>
      </c>
      <c r="B78" s="9" t="s">
        <v>337</v>
      </c>
      <c r="C78" s="11" t="s">
        <v>28</v>
      </c>
      <c r="D78" s="9" t="s">
        <v>338</v>
      </c>
      <c r="E78" s="11" t="s">
        <v>28</v>
      </c>
      <c r="F78" s="10" t="s">
        <v>28</v>
      </c>
      <c r="G78" s="10">
        <v>3.38</v>
      </c>
      <c r="H78" s="10" t="s">
        <v>28</v>
      </c>
      <c r="I78" s="11" t="s">
        <v>28</v>
      </c>
      <c r="J78" s="11" t="s">
        <v>28</v>
      </c>
      <c r="K78" s="11">
        <v>28</v>
      </c>
      <c r="L78" s="11" t="s">
        <v>28</v>
      </c>
      <c r="M78" s="11" t="s">
        <v>28</v>
      </c>
      <c r="N78" s="8">
        <v>45639</v>
      </c>
      <c r="O78" s="9" t="s">
        <v>79</v>
      </c>
      <c r="P78" s="12" t="s">
        <v>339</v>
      </c>
      <c r="Q78" s="9" t="s">
        <v>43</v>
      </c>
      <c r="R78" s="14" t="str">
        <f>HYPERLINK("https://my.pitchbook.com?c=284971-33T","View Company Online")</f>
        <v>View Company Online</v>
      </c>
    </row>
    <row r="79" spans="1:18" hidden="1" x14ac:dyDescent="0.3">
      <c r="A79" s="15" t="s">
        <v>340</v>
      </c>
      <c r="B79" s="15" t="s">
        <v>341</v>
      </c>
      <c r="C79" s="18" t="s">
        <v>28</v>
      </c>
      <c r="D79" s="15" t="s">
        <v>342</v>
      </c>
      <c r="E79" s="18" t="s">
        <v>28</v>
      </c>
      <c r="F79" s="19" t="s">
        <v>28</v>
      </c>
      <c r="G79" s="19" t="s">
        <v>28</v>
      </c>
      <c r="H79" s="19" t="s">
        <v>28</v>
      </c>
      <c r="I79" s="18" t="s">
        <v>28</v>
      </c>
      <c r="J79" s="18" t="s">
        <v>28</v>
      </c>
      <c r="K79" s="18" t="s">
        <v>28</v>
      </c>
      <c r="L79" s="18" t="s">
        <v>28</v>
      </c>
      <c r="M79" s="18" t="s">
        <v>28</v>
      </c>
      <c r="N79" s="17">
        <v>45638</v>
      </c>
      <c r="O79" s="15" t="s">
        <v>41</v>
      </c>
      <c r="P79" s="16" t="s">
        <v>343</v>
      </c>
      <c r="Q79" s="15" t="s">
        <v>240</v>
      </c>
      <c r="R79" s="13" t="str">
        <f>HYPERLINK("https://my.pitchbook.com?c=279867-16T","View Company Online")</f>
        <v>View Company Online</v>
      </c>
    </row>
    <row r="80" spans="1:18" hidden="1" x14ac:dyDescent="0.3">
      <c r="A80" s="9" t="s">
        <v>344</v>
      </c>
      <c r="B80" s="9" t="s">
        <v>345</v>
      </c>
      <c r="C80" s="11" t="s">
        <v>28</v>
      </c>
      <c r="D80" s="9" t="s">
        <v>346</v>
      </c>
      <c r="E80" s="11" t="s">
        <v>28</v>
      </c>
      <c r="F80" s="10" t="s">
        <v>28</v>
      </c>
      <c r="G80" s="10" t="s">
        <v>28</v>
      </c>
      <c r="H80" s="10" t="s">
        <v>28</v>
      </c>
      <c r="I80" s="11" t="s">
        <v>28</v>
      </c>
      <c r="J80" s="11" t="s">
        <v>28</v>
      </c>
      <c r="K80" s="11" t="s">
        <v>28</v>
      </c>
      <c r="L80" s="11" t="s">
        <v>28</v>
      </c>
      <c r="M80" s="11" t="s">
        <v>28</v>
      </c>
      <c r="N80" s="8">
        <v>45638</v>
      </c>
      <c r="O80" s="9" t="s">
        <v>30</v>
      </c>
      <c r="P80" s="12" t="s">
        <v>347</v>
      </c>
      <c r="Q80" s="9" t="s">
        <v>348</v>
      </c>
      <c r="R80" s="14" t="str">
        <f>HYPERLINK("https://my.pitchbook.com?c=280697-77T","View Company Online")</f>
        <v>View Company Online</v>
      </c>
    </row>
    <row r="81" spans="1:18" hidden="1" x14ac:dyDescent="0.3">
      <c r="A81" s="15" t="s">
        <v>349</v>
      </c>
      <c r="B81" s="15" t="s">
        <v>350</v>
      </c>
      <c r="C81" s="18" t="s">
        <v>28</v>
      </c>
      <c r="D81" s="15" t="s">
        <v>351</v>
      </c>
      <c r="E81" s="18" t="s">
        <v>28</v>
      </c>
      <c r="F81" s="19" t="s">
        <v>28</v>
      </c>
      <c r="G81" s="19" t="s">
        <v>28</v>
      </c>
      <c r="H81" s="19" t="s">
        <v>28</v>
      </c>
      <c r="I81" s="18" t="s">
        <v>28</v>
      </c>
      <c r="J81" s="18" t="s">
        <v>28</v>
      </c>
      <c r="K81" s="18" t="s">
        <v>28</v>
      </c>
      <c r="L81" s="18" t="s">
        <v>28</v>
      </c>
      <c r="M81" s="18" t="s">
        <v>28</v>
      </c>
      <c r="N81" s="17">
        <v>45638</v>
      </c>
      <c r="O81" s="15" t="s">
        <v>79</v>
      </c>
      <c r="P81" s="16" t="s">
        <v>352</v>
      </c>
      <c r="Q81" s="15" t="s">
        <v>353</v>
      </c>
      <c r="R81" s="13" t="str">
        <f>HYPERLINK("https://my.pitchbook.com?c=248392-27T","View Company Online")</f>
        <v>View Company Online</v>
      </c>
    </row>
    <row r="82" spans="1:18" hidden="1" x14ac:dyDescent="0.3">
      <c r="A82" s="9" t="s">
        <v>354</v>
      </c>
      <c r="B82" s="9" t="s">
        <v>355</v>
      </c>
      <c r="C82" s="11" t="s">
        <v>28</v>
      </c>
      <c r="D82" s="9" t="s">
        <v>356</v>
      </c>
      <c r="E82" s="11" t="s">
        <v>28</v>
      </c>
      <c r="F82" s="10">
        <v>4.24</v>
      </c>
      <c r="G82" s="10">
        <v>4.24</v>
      </c>
      <c r="H82" s="10">
        <v>4.24</v>
      </c>
      <c r="I82" s="11" t="s">
        <v>28</v>
      </c>
      <c r="J82" s="11" t="s">
        <v>28</v>
      </c>
      <c r="K82" s="11" t="s">
        <v>28</v>
      </c>
      <c r="L82" s="11" t="s">
        <v>28</v>
      </c>
      <c r="M82" s="11" t="s">
        <v>28</v>
      </c>
      <c r="N82" s="8">
        <v>45637</v>
      </c>
      <c r="O82" s="9" t="s">
        <v>30</v>
      </c>
      <c r="P82" s="12" t="s">
        <v>357</v>
      </c>
      <c r="Q82" s="9" t="s">
        <v>75</v>
      </c>
      <c r="R82" s="14" t="str">
        <f>HYPERLINK("https://my.pitchbook.com?c=279780-67T","View Company Online")</f>
        <v>View Company Online</v>
      </c>
    </row>
    <row r="83" spans="1:18" hidden="1" x14ac:dyDescent="0.3">
      <c r="A83" s="15" t="s">
        <v>358</v>
      </c>
      <c r="B83" s="15" t="s">
        <v>359</v>
      </c>
      <c r="C83" s="18" t="s">
        <v>28</v>
      </c>
      <c r="D83" s="15" t="s">
        <v>360</v>
      </c>
      <c r="E83" s="18" t="s">
        <v>28</v>
      </c>
      <c r="F83" s="19" t="s">
        <v>28</v>
      </c>
      <c r="G83" s="19" t="s">
        <v>28</v>
      </c>
      <c r="H83" s="19" t="s">
        <v>28</v>
      </c>
      <c r="I83" s="18" t="s">
        <v>28</v>
      </c>
      <c r="J83" s="18" t="s">
        <v>28</v>
      </c>
      <c r="K83" s="18">
        <v>8.7100000000000009</v>
      </c>
      <c r="L83" s="18" t="s">
        <v>28</v>
      </c>
      <c r="M83" s="18" t="s">
        <v>28</v>
      </c>
      <c r="N83" s="17">
        <v>45637</v>
      </c>
      <c r="O83" s="15" t="s">
        <v>30</v>
      </c>
      <c r="P83" s="16" t="s">
        <v>361</v>
      </c>
      <c r="Q83" s="15" t="s">
        <v>362</v>
      </c>
      <c r="R83" s="13" t="str">
        <f>HYPERLINK("https://my.pitchbook.com?c=279708-76T","View Company Online")</f>
        <v>View Company Online</v>
      </c>
    </row>
    <row r="84" spans="1:18" hidden="1" x14ac:dyDescent="0.3">
      <c r="A84" s="9" t="s">
        <v>363</v>
      </c>
      <c r="B84" s="9" t="s">
        <v>364</v>
      </c>
      <c r="C84" s="11" t="s">
        <v>28</v>
      </c>
      <c r="D84" s="9" t="s">
        <v>365</v>
      </c>
      <c r="E84" s="11" t="s">
        <v>28</v>
      </c>
      <c r="F84" s="10">
        <v>5.34</v>
      </c>
      <c r="G84" s="10">
        <v>5.34</v>
      </c>
      <c r="H84" s="10">
        <v>5.34</v>
      </c>
      <c r="I84" s="11" t="s">
        <v>28</v>
      </c>
      <c r="J84" s="11" t="s">
        <v>28</v>
      </c>
      <c r="K84" s="11" t="s">
        <v>28</v>
      </c>
      <c r="L84" s="11" t="s">
        <v>28</v>
      </c>
      <c r="M84" s="11" t="s">
        <v>28</v>
      </c>
      <c r="N84" s="8">
        <v>45637</v>
      </c>
      <c r="O84" s="9" t="s">
        <v>30</v>
      </c>
      <c r="P84" s="12" t="s">
        <v>366</v>
      </c>
      <c r="Q84" s="9" t="s">
        <v>245</v>
      </c>
      <c r="R84" s="14" t="str">
        <f>HYPERLINK("https://my.pitchbook.com?c=279623-62T","View Company Online")</f>
        <v>View Company Online</v>
      </c>
    </row>
    <row r="85" spans="1:18" hidden="1" x14ac:dyDescent="0.3">
      <c r="A85" s="15" t="s">
        <v>367</v>
      </c>
      <c r="B85" s="15" t="s">
        <v>368</v>
      </c>
      <c r="C85" s="18" t="s">
        <v>28</v>
      </c>
      <c r="D85" s="15" t="s">
        <v>369</v>
      </c>
      <c r="E85" s="18" t="s">
        <v>28</v>
      </c>
      <c r="F85" s="19" t="s">
        <v>28</v>
      </c>
      <c r="G85" s="19" t="s">
        <v>28</v>
      </c>
      <c r="H85" s="19" t="s">
        <v>28</v>
      </c>
      <c r="I85" s="18" t="s">
        <v>28</v>
      </c>
      <c r="J85" s="18" t="s">
        <v>28</v>
      </c>
      <c r="K85" s="18" t="s">
        <v>28</v>
      </c>
      <c r="L85" s="18" t="s">
        <v>28</v>
      </c>
      <c r="M85" s="18" t="s">
        <v>28</v>
      </c>
      <c r="N85" s="17">
        <v>45637</v>
      </c>
      <c r="O85" s="15" t="s">
        <v>30</v>
      </c>
      <c r="P85" s="16" t="s">
        <v>370</v>
      </c>
      <c r="Q85" s="15" t="s">
        <v>371</v>
      </c>
      <c r="R85" s="13" t="str">
        <f>HYPERLINK("https://my.pitchbook.com?c=280365-40T","View Company Online")</f>
        <v>View Company Online</v>
      </c>
    </row>
    <row r="86" spans="1:18" hidden="1" x14ac:dyDescent="0.3">
      <c r="A86" s="9" t="s">
        <v>372</v>
      </c>
      <c r="B86" s="9" t="s">
        <v>373</v>
      </c>
      <c r="C86" s="11" t="s">
        <v>28</v>
      </c>
      <c r="D86" s="9" t="s">
        <v>374</v>
      </c>
      <c r="E86" s="11" t="s">
        <v>28</v>
      </c>
      <c r="F86" s="10" t="s">
        <v>28</v>
      </c>
      <c r="G86" s="10" t="s">
        <v>28</v>
      </c>
      <c r="H86" s="10" t="s">
        <v>28</v>
      </c>
      <c r="I86" s="11" t="s">
        <v>28</v>
      </c>
      <c r="J86" s="11" t="s">
        <v>28</v>
      </c>
      <c r="K86" s="11" t="s">
        <v>28</v>
      </c>
      <c r="L86" s="11" t="s">
        <v>28</v>
      </c>
      <c r="M86" s="11" t="s">
        <v>28</v>
      </c>
      <c r="N86" s="8">
        <v>45637</v>
      </c>
      <c r="O86" s="9" t="s">
        <v>52</v>
      </c>
      <c r="P86" s="12" t="s">
        <v>375</v>
      </c>
      <c r="Q86" s="9" t="s">
        <v>75</v>
      </c>
      <c r="R86" s="14" t="str">
        <f>HYPERLINK("https://my.pitchbook.com?c=294415-12T","View Company Online")</f>
        <v>View Company Online</v>
      </c>
    </row>
    <row r="87" spans="1:18" hidden="1" x14ac:dyDescent="0.3">
      <c r="A87" s="15" t="s">
        <v>376</v>
      </c>
      <c r="B87" s="15" t="s">
        <v>377</v>
      </c>
      <c r="C87" s="18" t="s">
        <v>28</v>
      </c>
      <c r="D87" s="15" t="s">
        <v>378</v>
      </c>
      <c r="E87" s="18" t="s">
        <v>28</v>
      </c>
      <c r="F87" s="19" t="s">
        <v>28</v>
      </c>
      <c r="G87" s="19">
        <v>0.08</v>
      </c>
      <c r="H87" s="19" t="s">
        <v>28</v>
      </c>
      <c r="I87" s="18" t="s">
        <v>28</v>
      </c>
      <c r="J87" s="18" t="s">
        <v>28</v>
      </c>
      <c r="K87" s="18" t="s">
        <v>28</v>
      </c>
      <c r="L87" s="18" t="s">
        <v>28</v>
      </c>
      <c r="M87" s="18" t="s">
        <v>28</v>
      </c>
      <c r="N87" s="17">
        <v>45637</v>
      </c>
      <c r="O87" s="15" t="s">
        <v>379</v>
      </c>
      <c r="P87" s="16" t="s">
        <v>380</v>
      </c>
      <c r="Q87" s="15" t="s">
        <v>381</v>
      </c>
      <c r="R87" s="13" t="str">
        <f>HYPERLINK("https://my.pitchbook.com?c=291963-25T","View Company Online")</f>
        <v>View Company Online</v>
      </c>
    </row>
    <row r="88" spans="1:18" hidden="1" x14ac:dyDescent="0.3">
      <c r="A88" s="9" t="s">
        <v>382</v>
      </c>
      <c r="B88" s="9" t="s">
        <v>383</v>
      </c>
      <c r="C88" s="11" t="s">
        <v>28</v>
      </c>
      <c r="D88" s="9" t="s">
        <v>384</v>
      </c>
      <c r="E88" s="11" t="s">
        <v>28</v>
      </c>
      <c r="F88" s="10" t="s">
        <v>28</v>
      </c>
      <c r="G88" s="10">
        <v>0.01</v>
      </c>
      <c r="H88" s="10" t="s">
        <v>28</v>
      </c>
      <c r="I88" s="11" t="s">
        <v>28</v>
      </c>
      <c r="J88" s="11" t="s">
        <v>28</v>
      </c>
      <c r="K88" s="11" t="s">
        <v>28</v>
      </c>
      <c r="L88" s="11" t="s">
        <v>28</v>
      </c>
      <c r="M88" s="11" t="s">
        <v>28</v>
      </c>
      <c r="N88" s="8">
        <v>45636</v>
      </c>
      <c r="O88" s="9" t="s">
        <v>52</v>
      </c>
      <c r="P88" s="12" t="s">
        <v>385</v>
      </c>
      <c r="Q88" s="9" t="s">
        <v>386</v>
      </c>
      <c r="R88" s="14" t="str">
        <f>HYPERLINK("https://my.pitchbook.com?c=294397-66T","View Company Online")</f>
        <v>View Company Online</v>
      </c>
    </row>
    <row r="89" spans="1:18" hidden="1" x14ac:dyDescent="0.3">
      <c r="A89" s="15" t="s">
        <v>387</v>
      </c>
      <c r="B89" s="15" t="s">
        <v>388</v>
      </c>
      <c r="C89" s="18" t="s">
        <v>28</v>
      </c>
      <c r="D89" s="15" t="s">
        <v>389</v>
      </c>
      <c r="E89" s="18" t="s">
        <v>28</v>
      </c>
      <c r="F89" s="19" t="s">
        <v>28</v>
      </c>
      <c r="G89" s="19" t="s">
        <v>28</v>
      </c>
      <c r="H89" s="19" t="s">
        <v>28</v>
      </c>
      <c r="I89" s="18" t="s">
        <v>28</v>
      </c>
      <c r="J89" s="18" t="s">
        <v>28</v>
      </c>
      <c r="K89" s="18" t="s">
        <v>28</v>
      </c>
      <c r="L89" s="18" t="s">
        <v>28</v>
      </c>
      <c r="M89" s="18" t="s">
        <v>28</v>
      </c>
      <c r="N89" s="17">
        <v>45636</v>
      </c>
      <c r="O89" s="15" t="s">
        <v>41</v>
      </c>
      <c r="P89" s="16" t="s">
        <v>390</v>
      </c>
      <c r="Q89" s="15" t="s">
        <v>37</v>
      </c>
      <c r="R89" s="13" t="str">
        <f>HYPERLINK("https://my.pitchbook.com?c=279637-93T","View Company Online")</f>
        <v>View Company Online</v>
      </c>
    </row>
    <row r="90" spans="1:18" hidden="1" x14ac:dyDescent="0.3">
      <c r="A90" s="9" t="s">
        <v>391</v>
      </c>
      <c r="B90" s="9" t="s">
        <v>392</v>
      </c>
      <c r="C90" s="11" t="s">
        <v>28</v>
      </c>
      <c r="D90" s="9" t="s">
        <v>393</v>
      </c>
      <c r="E90" s="11" t="s">
        <v>28</v>
      </c>
      <c r="F90" s="10">
        <v>24.67</v>
      </c>
      <c r="G90" s="10">
        <v>24.67</v>
      </c>
      <c r="H90" s="10">
        <v>24.67</v>
      </c>
      <c r="I90" s="11" t="s">
        <v>28</v>
      </c>
      <c r="J90" s="11" t="s">
        <v>28</v>
      </c>
      <c r="K90" s="11" t="s">
        <v>28</v>
      </c>
      <c r="L90" s="11" t="s">
        <v>28</v>
      </c>
      <c r="M90" s="11" t="s">
        <v>28</v>
      </c>
      <c r="N90" s="8">
        <v>45635</v>
      </c>
      <c r="O90" s="9" t="s">
        <v>30</v>
      </c>
      <c r="P90" s="12" t="s">
        <v>394</v>
      </c>
      <c r="Q90" s="9" t="s">
        <v>43</v>
      </c>
      <c r="R90" s="14" t="str">
        <f>HYPERLINK("https://my.pitchbook.com?c=280685-08T","View Company Online")</f>
        <v>View Company Online</v>
      </c>
    </row>
    <row r="91" spans="1:18" hidden="1" x14ac:dyDescent="0.3">
      <c r="A91" s="15" t="s">
        <v>395</v>
      </c>
      <c r="B91" s="15" t="s">
        <v>396</v>
      </c>
      <c r="C91" s="18" t="s">
        <v>28</v>
      </c>
      <c r="D91" s="15" t="s">
        <v>397</v>
      </c>
      <c r="E91" s="18" t="s">
        <v>28</v>
      </c>
      <c r="F91" s="19" t="s">
        <v>28</v>
      </c>
      <c r="G91" s="19" t="s">
        <v>28</v>
      </c>
      <c r="H91" s="19" t="s">
        <v>28</v>
      </c>
      <c r="I91" s="18" t="s">
        <v>28</v>
      </c>
      <c r="J91" s="18" t="s">
        <v>28</v>
      </c>
      <c r="K91" s="18" t="s">
        <v>28</v>
      </c>
      <c r="L91" s="18" t="s">
        <v>28</v>
      </c>
      <c r="M91" s="18" t="s">
        <v>28</v>
      </c>
      <c r="N91" s="17">
        <v>45635</v>
      </c>
      <c r="O91" s="15" t="s">
        <v>41</v>
      </c>
      <c r="P91" s="16" t="s">
        <v>398</v>
      </c>
      <c r="Q91" s="15" t="s">
        <v>399</v>
      </c>
      <c r="R91" s="13" t="str">
        <f>HYPERLINK("https://my.pitchbook.com?c=279563-59T","View Company Online")</f>
        <v>View Company Online</v>
      </c>
    </row>
    <row r="92" spans="1:18" hidden="1" x14ac:dyDescent="0.3">
      <c r="A92" s="9" t="s">
        <v>400</v>
      </c>
      <c r="B92" s="9" t="s">
        <v>401</v>
      </c>
      <c r="C92" s="11" t="s">
        <v>28</v>
      </c>
      <c r="D92" s="9" t="s">
        <v>402</v>
      </c>
      <c r="E92" s="11" t="s">
        <v>28</v>
      </c>
      <c r="F92" s="10" t="s">
        <v>28</v>
      </c>
      <c r="G92" s="10" t="s">
        <v>28</v>
      </c>
      <c r="H92" s="10" t="s">
        <v>28</v>
      </c>
      <c r="I92" s="11" t="s">
        <v>28</v>
      </c>
      <c r="J92" s="11" t="s">
        <v>28</v>
      </c>
      <c r="K92" s="11">
        <v>2.36</v>
      </c>
      <c r="L92" s="11" t="s">
        <v>28</v>
      </c>
      <c r="M92" s="11" t="s">
        <v>28</v>
      </c>
      <c r="N92" s="8">
        <v>45635</v>
      </c>
      <c r="O92" s="9" t="s">
        <v>52</v>
      </c>
      <c r="P92" s="12" t="s">
        <v>403</v>
      </c>
      <c r="Q92" s="9" t="s">
        <v>404</v>
      </c>
      <c r="R92" s="14" t="str">
        <f>HYPERLINK("https://my.pitchbook.com?c=288132-67T","View Company Online")</f>
        <v>View Company Online</v>
      </c>
    </row>
    <row r="93" spans="1:18" hidden="1" x14ac:dyDescent="0.3">
      <c r="A93" s="15" t="s">
        <v>405</v>
      </c>
      <c r="B93" s="15" t="s">
        <v>406</v>
      </c>
      <c r="C93" s="18" t="s">
        <v>28</v>
      </c>
      <c r="D93" s="15" t="s">
        <v>407</v>
      </c>
      <c r="E93" s="18" t="s">
        <v>28</v>
      </c>
      <c r="F93" s="19" t="s">
        <v>28</v>
      </c>
      <c r="G93" s="19" t="s">
        <v>28</v>
      </c>
      <c r="H93" s="19" t="s">
        <v>28</v>
      </c>
      <c r="I93" s="18" t="s">
        <v>28</v>
      </c>
      <c r="J93" s="18" t="s">
        <v>28</v>
      </c>
      <c r="K93" s="18" t="s">
        <v>28</v>
      </c>
      <c r="L93" s="18" t="s">
        <v>28</v>
      </c>
      <c r="M93" s="18" t="s">
        <v>28</v>
      </c>
      <c r="N93" s="17">
        <v>45631</v>
      </c>
      <c r="O93" s="15" t="s">
        <v>52</v>
      </c>
      <c r="P93" s="16" t="s">
        <v>408</v>
      </c>
      <c r="Q93" s="15" t="s">
        <v>409</v>
      </c>
      <c r="R93" s="13" t="str">
        <f>HYPERLINK("https://my.pitchbook.com?c=279524-44T","View Company Online")</f>
        <v>View Company Online</v>
      </c>
    </row>
    <row r="94" spans="1:18" hidden="1" x14ac:dyDescent="0.3">
      <c r="A94" s="9" t="s">
        <v>410</v>
      </c>
      <c r="B94" s="9" t="s">
        <v>411</v>
      </c>
      <c r="C94" s="11" t="s">
        <v>28</v>
      </c>
      <c r="D94" s="9" t="s">
        <v>412</v>
      </c>
      <c r="E94" s="11" t="s">
        <v>28</v>
      </c>
      <c r="F94" s="10" t="s">
        <v>28</v>
      </c>
      <c r="G94" s="10" t="s">
        <v>28</v>
      </c>
      <c r="H94" s="10" t="s">
        <v>28</v>
      </c>
      <c r="I94" s="11" t="s">
        <v>28</v>
      </c>
      <c r="J94" s="11" t="s">
        <v>28</v>
      </c>
      <c r="K94" s="11" t="s">
        <v>28</v>
      </c>
      <c r="L94" s="11" t="s">
        <v>28</v>
      </c>
      <c r="M94" s="11" t="s">
        <v>28</v>
      </c>
      <c r="N94" s="8">
        <v>45631</v>
      </c>
      <c r="O94" s="9" t="s">
        <v>30</v>
      </c>
      <c r="P94" s="12" t="s">
        <v>413</v>
      </c>
      <c r="Q94" s="9" t="s">
        <v>414</v>
      </c>
      <c r="R94" s="14" t="str">
        <f>HYPERLINK("https://my.pitchbook.com?c=279317-89T","View Company Online")</f>
        <v>View Company Online</v>
      </c>
    </row>
    <row r="95" spans="1:18" hidden="1" x14ac:dyDescent="0.3">
      <c r="A95" s="15" t="s">
        <v>415</v>
      </c>
      <c r="B95" s="15" t="s">
        <v>416</v>
      </c>
      <c r="C95" s="18" t="s">
        <v>28</v>
      </c>
      <c r="D95" s="15" t="s">
        <v>417</v>
      </c>
      <c r="E95" s="18" t="s">
        <v>28</v>
      </c>
      <c r="F95" s="19" t="s">
        <v>28</v>
      </c>
      <c r="G95" s="19" t="s">
        <v>28</v>
      </c>
      <c r="H95" s="19" t="s">
        <v>28</v>
      </c>
      <c r="I95" s="18" t="s">
        <v>28</v>
      </c>
      <c r="J95" s="18" t="s">
        <v>28</v>
      </c>
      <c r="K95" s="18" t="s">
        <v>28</v>
      </c>
      <c r="L95" s="18" t="s">
        <v>28</v>
      </c>
      <c r="M95" s="18" t="s">
        <v>28</v>
      </c>
      <c r="N95" s="17">
        <v>45631</v>
      </c>
      <c r="O95" s="15" t="s">
        <v>30</v>
      </c>
      <c r="P95" s="16" t="s">
        <v>418</v>
      </c>
      <c r="Q95" s="15" t="s">
        <v>419</v>
      </c>
      <c r="R95" s="13" t="str">
        <f>HYPERLINK("https://my.pitchbook.com?c=279217-81T","View Company Online")</f>
        <v>View Company Online</v>
      </c>
    </row>
    <row r="96" spans="1:18" hidden="1" x14ac:dyDescent="0.3">
      <c r="A96" s="9" t="s">
        <v>420</v>
      </c>
      <c r="B96" s="9" t="s">
        <v>421</v>
      </c>
      <c r="C96" s="11" t="s">
        <v>28</v>
      </c>
      <c r="D96" s="9" t="s">
        <v>422</v>
      </c>
      <c r="E96" s="11">
        <v>1047.29</v>
      </c>
      <c r="F96" s="10" t="s">
        <v>28</v>
      </c>
      <c r="G96" s="10">
        <v>241</v>
      </c>
      <c r="H96" s="10" t="s">
        <v>28</v>
      </c>
      <c r="I96" s="11">
        <v>1103.07</v>
      </c>
      <c r="J96" s="11" t="s">
        <v>28</v>
      </c>
      <c r="K96" s="11">
        <v>1430.54</v>
      </c>
      <c r="L96" s="11" t="s">
        <v>28</v>
      </c>
      <c r="M96" s="11">
        <v>846.55</v>
      </c>
      <c r="N96" s="8">
        <v>45631</v>
      </c>
      <c r="O96" s="9" t="s">
        <v>423</v>
      </c>
      <c r="P96" s="12" t="s">
        <v>28</v>
      </c>
      <c r="Q96" s="9" t="s">
        <v>424</v>
      </c>
      <c r="R96" s="14" t="str">
        <f>HYPERLINK("https://my.pitchbook.com?c=280342-72T","View Company Online")</f>
        <v>View Company Online</v>
      </c>
    </row>
    <row r="97" spans="1:18" hidden="1" x14ac:dyDescent="0.3">
      <c r="A97" s="15" t="s">
        <v>425</v>
      </c>
      <c r="B97" s="15" t="s">
        <v>426</v>
      </c>
      <c r="C97" s="18" t="s">
        <v>28</v>
      </c>
      <c r="D97" s="15" t="s">
        <v>427</v>
      </c>
      <c r="E97" s="18" t="s">
        <v>28</v>
      </c>
      <c r="F97" s="19" t="s">
        <v>28</v>
      </c>
      <c r="G97" s="19">
        <v>2.92</v>
      </c>
      <c r="H97" s="19" t="s">
        <v>28</v>
      </c>
      <c r="I97" s="18" t="s">
        <v>28</v>
      </c>
      <c r="J97" s="18" t="s">
        <v>28</v>
      </c>
      <c r="K97" s="18" t="s">
        <v>28</v>
      </c>
      <c r="L97" s="18" t="s">
        <v>28</v>
      </c>
      <c r="M97" s="18" t="s">
        <v>28</v>
      </c>
      <c r="N97" s="17">
        <v>45630</v>
      </c>
      <c r="O97" s="15" t="s">
        <v>99</v>
      </c>
      <c r="P97" s="16" t="s">
        <v>428</v>
      </c>
      <c r="Q97" s="15" t="s">
        <v>37</v>
      </c>
      <c r="R97" s="13" t="str">
        <f>HYPERLINK("https://my.pitchbook.com?c=279163-27T","View Company Online")</f>
        <v>View Company Online</v>
      </c>
    </row>
    <row r="98" spans="1:18" hidden="1" x14ac:dyDescent="0.3">
      <c r="A98" s="9" t="s">
        <v>429</v>
      </c>
      <c r="B98" s="9" t="s">
        <v>430</v>
      </c>
      <c r="C98" s="11" t="s">
        <v>28</v>
      </c>
      <c r="D98" s="9" t="s">
        <v>431</v>
      </c>
      <c r="E98" s="11" t="s">
        <v>28</v>
      </c>
      <c r="F98" s="10" t="s">
        <v>28</v>
      </c>
      <c r="G98" s="10" t="s">
        <v>28</v>
      </c>
      <c r="H98" s="10" t="s">
        <v>28</v>
      </c>
      <c r="I98" s="11" t="s">
        <v>28</v>
      </c>
      <c r="J98" s="11" t="s">
        <v>28</v>
      </c>
      <c r="K98" s="11" t="s">
        <v>28</v>
      </c>
      <c r="L98" s="11" t="s">
        <v>28</v>
      </c>
      <c r="M98" s="11" t="s">
        <v>28</v>
      </c>
      <c r="N98" s="8">
        <v>45630</v>
      </c>
      <c r="O98" s="9" t="s">
        <v>52</v>
      </c>
      <c r="P98" s="12" t="s">
        <v>408</v>
      </c>
      <c r="Q98" s="9" t="s">
        <v>95</v>
      </c>
      <c r="R98" s="14" t="str">
        <f>HYPERLINK("https://my.pitchbook.com?c=279515-71T","View Company Online")</f>
        <v>View Company Online</v>
      </c>
    </row>
    <row r="99" spans="1:18" hidden="1" x14ac:dyDescent="0.3">
      <c r="A99" s="15" t="s">
        <v>432</v>
      </c>
      <c r="B99" s="15" t="s">
        <v>433</v>
      </c>
      <c r="C99" s="18" t="s">
        <v>28</v>
      </c>
      <c r="D99" s="15" t="s">
        <v>434</v>
      </c>
      <c r="E99" s="18" t="s">
        <v>28</v>
      </c>
      <c r="F99" s="19" t="s">
        <v>28</v>
      </c>
      <c r="G99" s="19" t="s">
        <v>28</v>
      </c>
      <c r="H99" s="19" t="s">
        <v>28</v>
      </c>
      <c r="I99" s="18" t="s">
        <v>28</v>
      </c>
      <c r="J99" s="18" t="s">
        <v>28</v>
      </c>
      <c r="K99" s="18" t="s">
        <v>28</v>
      </c>
      <c r="L99" s="18" t="s">
        <v>28</v>
      </c>
      <c r="M99" s="18" t="s">
        <v>28</v>
      </c>
      <c r="N99" s="17">
        <v>45630</v>
      </c>
      <c r="O99" s="15" t="s">
        <v>30</v>
      </c>
      <c r="P99" s="16" t="s">
        <v>435</v>
      </c>
      <c r="Q99" s="15" t="s">
        <v>245</v>
      </c>
      <c r="R99" s="13" t="str">
        <f>HYPERLINK("https://my.pitchbook.com?c=271986-76T","View Company Online")</f>
        <v>View Company Online</v>
      </c>
    </row>
    <row r="100" spans="1:18" hidden="1" x14ac:dyDescent="0.3">
      <c r="A100" s="9" t="s">
        <v>436</v>
      </c>
      <c r="B100" s="9" t="s">
        <v>437</v>
      </c>
      <c r="C100" s="11" t="s">
        <v>28</v>
      </c>
      <c r="D100" s="9" t="s">
        <v>438</v>
      </c>
      <c r="E100" s="11" t="s">
        <v>28</v>
      </c>
      <c r="F100" s="10" t="s">
        <v>28</v>
      </c>
      <c r="G100" s="10">
        <v>3.43</v>
      </c>
      <c r="H100" s="10" t="s">
        <v>28</v>
      </c>
      <c r="I100" s="11" t="s">
        <v>28</v>
      </c>
      <c r="J100" s="11" t="s">
        <v>28</v>
      </c>
      <c r="K100" s="11" t="s">
        <v>28</v>
      </c>
      <c r="L100" s="11" t="s">
        <v>28</v>
      </c>
      <c r="M100" s="11" t="s">
        <v>28</v>
      </c>
      <c r="N100" s="8">
        <v>45630</v>
      </c>
      <c r="O100" s="9" t="s">
        <v>73</v>
      </c>
      <c r="P100" s="12" t="s">
        <v>28</v>
      </c>
      <c r="Q100" s="9" t="s">
        <v>114</v>
      </c>
      <c r="R100" s="14" t="str">
        <f>HYPERLINK("https://my.pitchbook.com?c=279194-59T","View Company Online")</f>
        <v>View Company Online</v>
      </c>
    </row>
    <row r="101" spans="1:18" hidden="1" x14ac:dyDescent="0.3">
      <c r="A101" s="15" t="s">
        <v>439</v>
      </c>
      <c r="B101" s="15" t="s">
        <v>440</v>
      </c>
      <c r="C101" s="18" t="s">
        <v>28</v>
      </c>
      <c r="D101" s="15" t="s">
        <v>441</v>
      </c>
      <c r="E101" s="18" t="s">
        <v>28</v>
      </c>
      <c r="F101" s="19" t="s">
        <v>28</v>
      </c>
      <c r="G101" s="19">
        <v>0.26</v>
      </c>
      <c r="H101" s="19" t="s">
        <v>28</v>
      </c>
      <c r="I101" s="18" t="s">
        <v>28</v>
      </c>
      <c r="J101" s="18" t="s">
        <v>28</v>
      </c>
      <c r="K101" s="18" t="s">
        <v>28</v>
      </c>
      <c r="L101" s="18" t="s">
        <v>28</v>
      </c>
      <c r="M101" s="18" t="s">
        <v>28</v>
      </c>
      <c r="N101" s="17">
        <v>45630</v>
      </c>
      <c r="O101" s="15" t="s">
        <v>99</v>
      </c>
      <c r="P101" s="16" t="s">
        <v>442</v>
      </c>
      <c r="Q101" s="15" t="s">
        <v>414</v>
      </c>
      <c r="R101" s="13" t="str">
        <f>HYPERLINK("https://my.pitchbook.com?c=279151-21T","View Company Online")</f>
        <v>View Company Online</v>
      </c>
    </row>
    <row r="102" spans="1:18" hidden="1" x14ac:dyDescent="0.3">
      <c r="A102" s="9" t="s">
        <v>443</v>
      </c>
      <c r="B102" s="9" t="s">
        <v>118</v>
      </c>
      <c r="C102" s="11" t="s">
        <v>28</v>
      </c>
      <c r="D102" s="9" t="s">
        <v>444</v>
      </c>
      <c r="E102" s="11">
        <v>15.02</v>
      </c>
      <c r="F102" s="10" t="s">
        <v>28</v>
      </c>
      <c r="G102" s="10">
        <v>210</v>
      </c>
      <c r="H102" s="10" t="s">
        <v>28</v>
      </c>
      <c r="I102" s="11">
        <v>15.02</v>
      </c>
      <c r="J102" s="11" t="s">
        <v>28</v>
      </c>
      <c r="K102" s="11">
        <v>11.48</v>
      </c>
      <c r="L102" s="11" t="s">
        <v>28</v>
      </c>
      <c r="M102" s="11">
        <v>15.76</v>
      </c>
      <c r="N102" s="8">
        <v>45630</v>
      </c>
      <c r="O102" s="9" t="s">
        <v>423</v>
      </c>
      <c r="P102" s="12" t="s">
        <v>28</v>
      </c>
      <c r="Q102" s="9" t="s">
        <v>240</v>
      </c>
      <c r="R102" s="14" t="str">
        <f>HYPERLINK("https://my.pitchbook.com?c=280344-97T","View Company Online")</f>
        <v>View Company Online</v>
      </c>
    </row>
    <row r="103" spans="1:18" hidden="1" x14ac:dyDescent="0.3">
      <c r="A103" s="15" t="s">
        <v>445</v>
      </c>
      <c r="B103" s="15" t="s">
        <v>446</v>
      </c>
      <c r="C103" s="18" t="s">
        <v>28</v>
      </c>
      <c r="D103" s="15" t="s">
        <v>447</v>
      </c>
      <c r="E103" s="18" t="s">
        <v>28</v>
      </c>
      <c r="F103" s="19" t="s">
        <v>28</v>
      </c>
      <c r="G103" s="19" t="s">
        <v>28</v>
      </c>
      <c r="H103" s="19" t="s">
        <v>28</v>
      </c>
      <c r="I103" s="18" t="s">
        <v>28</v>
      </c>
      <c r="J103" s="18" t="s">
        <v>28</v>
      </c>
      <c r="K103" s="18" t="s">
        <v>28</v>
      </c>
      <c r="L103" s="18" t="s">
        <v>28</v>
      </c>
      <c r="M103" s="18" t="s">
        <v>28</v>
      </c>
      <c r="N103" s="17">
        <v>45629</v>
      </c>
      <c r="O103" s="15" t="s">
        <v>30</v>
      </c>
      <c r="P103" s="16" t="s">
        <v>448</v>
      </c>
      <c r="Q103" s="15" t="s">
        <v>449</v>
      </c>
      <c r="R103" s="13" t="str">
        <f>HYPERLINK("https://my.pitchbook.com?c=292203-64T","View Company Online")</f>
        <v>View Company Online</v>
      </c>
    </row>
    <row r="104" spans="1:18" hidden="1" x14ac:dyDescent="0.3">
      <c r="A104" s="9" t="s">
        <v>450</v>
      </c>
      <c r="B104" s="9" t="s">
        <v>451</v>
      </c>
      <c r="C104" s="11" t="s">
        <v>28</v>
      </c>
      <c r="D104" s="9" t="s">
        <v>452</v>
      </c>
      <c r="E104" s="11" t="s">
        <v>28</v>
      </c>
      <c r="F104" s="10" t="s">
        <v>28</v>
      </c>
      <c r="G104" s="10">
        <v>7.73</v>
      </c>
      <c r="H104" s="10" t="s">
        <v>28</v>
      </c>
      <c r="I104" s="11" t="s">
        <v>28</v>
      </c>
      <c r="J104" s="11" t="s">
        <v>28</v>
      </c>
      <c r="K104" s="11" t="s">
        <v>28</v>
      </c>
      <c r="L104" s="11" t="s">
        <v>28</v>
      </c>
      <c r="M104" s="11" t="s">
        <v>28</v>
      </c>
      <c r="N104" s="8">
        <v>45629</v>
      </c>
      <c r="O104" s="9" t="s">
        <v>79</v>
      </c>
      <c r="P104" s="12" t="s">
        <v>453</v>
      </c>
      <c r="Q104" s="9" t="s">
        <v>114</v>
      </c>
      <c r="R104" s="14" t="str">
        <f>HYPERLINK("https://my.pitchbook.com?c=279036-73T","View Company Online")</f>
        <v>View Company Online</v>
      </c>
    </row>
    <row r="105" spans="1:18" hidden="1" x14ac:dyDescent="0.3">
      <c r="A105" s="15" t="s">
        <v>454</v>
      </c>
      <c r="B105" s="15" t="s">
        <v>455</v>
      </c>
      <c r="C105" s="18" t="s">
        <v>28</v>
      </c>
      <c r="D105" s="15" t="s">
        <v>456</v>
      </c>
      <c r="E105" s="18" t="s">
        <v>28</v>
      </c>
      <c r="F105" s="19" t="s">
        <v>28</v>
      </c>
      <c r="G105" s="19" t="s">
        <v>28</v>
      </c>
      <c r="H105" s="19" t="s">
        <v>28</v>
      </c>
      <c r="I105" s="18" t="s">
        <v>28</v>
      </c>
      <c r="J105" s="18" t="s">
        <v>28</v>
      </c>
      <c r="K105" s="18" t="s">
        <v>28</v>
      </c>
      <c r="L105" s="18" t="s">
        <v>28</v>
      </c>
      <c r="M105" s="18" t="s">
        <v>28</v>
      </c>
      <c r="N105" s="17">
        <v>45629</v>
      </c>
      <c r="O105" s="15" t="s">
        <v>30</v>
      </c>
      <c r="P105" s="16" t="s">
        <v>457</v>
      </c>
      <c r="Q105" s="15" t="s">
        <v>75</v>
      </c>
      <c r="R105" s="13" t="str">
        <f>HYPERLINK("https://my.pitchbook.com?c=279151-03T","View Company Online")</f>
        <v>View Company Online</v>
      </c>
    </row>
    <row r="106" spans="1:18" hidden="1" x14ac:dyDescent="0.3">
      <c r="A106" s="9" t="s">
        <v>458</v>
      </c>
      <c r="B106" s="9" t="s">
        <v>459</v>
      </c>
      <c r="C106" s="11" t="s">
        <v>28</v>
      </c>
      <c r="D106" s="9" t="s">
        <v>460</v>
      </c>
      <c r="E106" s="11" t="s">
        <v>28</v>
      </c>
      <c r="F106" s="10" t="s">
        <v>28</v>
      </c>
      <c r="G106" s="10">
        <v>26.63</v>
      </c>
      <c r="H106" s="10" t="s">
        <v>28</v>
      </c>
      <c r="I106" s="11" t="s">
        <v>28</v>
      </c>
      <c r="J106" s="11" t="s">
        <v>28</v>
      </c>
      <c r="K106" s="11" t="s">
        <v>28</v>
      </c>
      <c r="L106" s="11" t="s">
        <v>28</v>
      </c>
      <c r="M106" s="11" t="s">
        <v>28</v>
      </c>
      <c r="N106" s="8">
        <v>45629</v>
      </c>
      <c r="O106" s="9" t="s">
        <v>79</v>
      </c>
      <c r="P106" s="12" t="s">
        <v>461</v>
      </c>
      <c r="Q106" s="9" t="s">
        <v>37</v>
      </c>
      <c r="R106" s="14" t="str">
        <f>HYPERLINK("https://my.pitchbook.com?c=257950-18T","View Company Online")</f>
        <v>View Company Online</v>
      </c>
    </row>
    <row r="107" spans="1:18" hidden="1" x14ac:dyDescent="0.3">
      <c r="A107" s="15" t="s">
        <v>462</v>
      </c>
      <c r="B107" s="15" t="s">
        <v>463</v>
      </c>
      <c r="C107" s="18" t="s">
        <v>28</v>
      </c>
      <c r="D107" s="15" t="s">
        <v>464</v>
      </c>
      <c r="E107" s="18" t="s">
        <v>28</v>
      </c>
      <c r="F107" s="19" t="s">
        <v>28</v>
      </c>
      <c r="G107" s="19" t="s">
        <v>28</v>
      </c>
      <c r="H107" s="19" t="s">
        <v>28</v>
      </c>
      <c r="I107" s="18" t="s">
        <v>28</v>
      </c>
      <c r="J107" s="18" t="s">
        <v>28</v>
      </c>
      <c r="K107" s="18" t="s">
        <v>28</v>
      </c>
      <c r="L107" s="18" t="s">
        <v>28</v>
      </c>
      <c r="M107" s="18" t="s">
        <v>28</v>
      </c>
      <c r="N107" s="17">
        <v>45628</v>
      </c>
      <c r="O107" s="15" t="s">
        <v>58</v>
      </c>
      <c r="P107" s="16" t="s">
        <v>465</v>
      </c>
      <c r="Q107" s="15" t="s">
        <v>169</v>
      </c>
      <c r="R107" s="13" t="str">
        <f>HYPERLINK("https://my.pitchbook.com?c=279253-27T","View Company Online")</f>
        <v>View Company Online</v>
      </c>
    </row>
    <row r="108" spans="1:18" hidden="1" x14ac:dyDescent="0.3">
      <c r="A108" s="9" t="s">
        <v>466</v>
      </c>
      <c r="B108" s="9" t="s">
        <v>467</v>
      </c>
      <c r="C108" s="11" t="s">
        <v>28</v>
      </c>
      <c r="D108" s="9" t="s">
        <v>468</v>
      </c>
      <c r="E108" s="11" t="s">
        <v>28</v>
      </c>
      <c r="F108" s="10">
        <v>20.2</v>
      </c>
      <c r="G108" s="10">
        <v>20</v>
      </c>
      <c r="H108" s="10">
        <v>20.2</v>
      </c>
      <c r="I108" s="11" t="s">
        <v>28</v>
      </c>
      <c r="J108" s="11" t="s">
        <v>28</v>
      </c>
      <c r="K108" s="11" t="s">
        <v>28</v>
      </c>
      <c r="L108" s="11" t="s">
        <v>28</v>
      </c>
      <c r="M108" s="11" t="s">
        <v>28</v>
      </c>
      <c r="N108" s="8">
        <v>45628</v>
      </c>
      <c r="O108" s="9" t="s">
        <v>30</v>
      </c>
      <c r="P108" s="12" t="s">
        <v>469</v>
      </c>
      <c r="Q108" s="9" t="s">
        <v>470</v>
      </c>
      <c r="R108" s="14" t="str">
        <f>HYPERLINK("https://my.pitchbook.com?c=279170-74T","View Company Online")</f>
        <v>View Company Online</v>
      </c>
    </row>
    <row r="109" spans="1:18" hidden="1" x14ac:dyDescent="0.3">
      <c r="A109" s="15" t="s">
        <v>471</v>
      </c>
      <c r="B109" s="15" t="s">
        <v>472</v>
      </c>
      <c r="C109" s="18" t="s">
        <v>28</v>
      </c>
      <c r="D109" s="15" t="s">
        <v>473</v>
      </c>
      <c r="E109" s="18" t="s">
        <v>28</v>
      </c>
      <c r="F109" s="19" t="s">
        <v>28</v>
      </c>
      <c r="G109" s="19">
        <v>20</v>
      </c>
      <c r="H109" s="19" t="s">
        <v>28</v>
      </c>
      <c r="I109" s="18" t="s">
        <v>28</v>
      </c>
      <c r="J109" s="18" t="s">
        <v>28</v>
      </c>
      <c r="K109" s="18" t="s">
        <v>28</v>
      </c>
      <c r="L109" s="18" t="s">
        <v>28</v>
      </c>
      <c r="M109" s="18" t="s">
        <v>28</v>
      </c>
      <c r="N109" s="17">
        <v>45628</v>
      </c>
      <c r="O109" s="15" t="s">
        <v>73</v>
      </c>
      <c r="P109" s="16" t="s">
        <v>474</v>
      </c>
      <c r="Q109" s="15" t="s">
        <v>114</v>
      </c>
      <c r="R109" s="13" t="str">
        <f>HYPERLINK("https://my.pitchbook.com?c=278936-74T","View Company Online")</f>
        <v>View Company Online</v>
      </c>
    </row>
    <row r="110" spans="1:18" hidden="1" x14ac:dyDescent="0.3">
      <c r="A110" s="9" t="s">
        <v>475</v>
      </c>
      <c r="B110" s="9" t="s">
        <v>476</v>
      </c>
      <c r="C110" s="11" t="s">
        <v>28</v>
      </c>
      <c r="D110" s="9" t="s">
        <v>477</v>
      </c>
      <c r="E110" s="11" t="s">
        <v>28</v>
      </c>
      <c r="F110" s="10" t="s">
        <v>28</v>
      </c>
      <c r="G110" s="10" t="s">
        <v>28</v>
      </c>
      <c r="H110" s="10" t="s">
        <v>28</v>
      </c>
      <c r="I110" s="11" t="s">
        <v>28</v>
      </c>
      <c r="J110" s="11" t="s">
        <v>28</v>
      </c>
      <c r="K110" s="11" t="s">
        <v>28</v>
      </c>
      <c r="L110" s="11" t="s">
        <v>28</v>
      </c>
      <c r="M110" s="11" t="s">
        <v>28</v>
      </c>
      <c r="N110" s="8">
        <v>45627</v>
      </c>
      <c r="O110" s="9" t="s">
        <v>93</v>
      </c>
      <c r="P110" s="12" t="s">
        <v>478</v>
      </c>
      <c r="Q110" s="9" t="s">
        <v>64</v>
      </c>
      <c r="R110" s="14" t="str">
        <f>HYPERLINK("https://my.pitchbook.com?c=279791-92T","View Company Online")</f>
        <v>View Company Online</v>
      </c>
    </row>
    <row r="111" spans="1:18" hidden="1" x14ac:dyDescent="0.3">
      <c r="A111" s="15" t="s">
        <v>479</v>
      </c>
      <c r="B111" s="15" t="s">
        <v>480</v>
      </c>
      <c r="C111" s="18" t="s">
        <v>28</v>
      </c>
      <c r="D111" s="15" t="s">
        <v>481</v>
      </c>
      <c r="E111" s="18" t="s">
        <v>28</v>
      </c>
      <c r="F111" s="19" t="s">
        <v>28</v>
      </c>
      <c r="G111" s="19" t="s">
        <v>28</v>
      </c>
      <c r="H111" s="19" t="s">
        <v>28</v>
      </c>
      <c r="I111" s="18" t="s">
        <v>28</v>
      </c>
      <c r="J111" s="18" t="s">
        <v>28</v>
      </c>
      <c r="K111" s="18" t="s">
        <v>28</v>
      </c>
      <c r="L111" s="18" t="s">
        <v>28</v>
      </c>
      <c r="M111" s="18" t="s">
        <v>28</v>
      </c>
      <c r="N111" s="17">
        <v>45627</v>
      </c>
      <c r="O111" s="15" t="s">
        <v>73</v>
      </c>
      <c r="P111" s="16" t="s">
        <v>482</v>
      </c>
      <c r="Q111" s="15" t="s">
        <v>409</v>
      </c>
      <c r="R111" s="13" t="str">
        <f>HYPERLINK("https://my.pitchbook.com?c=280694-62T","View Company Online")</f>
        <v>View Company Online</v>
      </c>
    </row>
    <row r="112" spans="1:18" hidden="1" x14ac:dyDescent="0.3">
      <c r="A112" s="9" t="s">
        <v>483</v>
      </c>
      <c r="B112" s="9" t="s">
        <v>484</v>
      </c>
      <c r="C112" s="11" t="s">
        <v>28</v>
      </c>
      <c r="D112" s="9" t="s">
        <v>485</v>
      </c>
      <c r="E112" s="11" t="s">
        <v>28</v>
      </c>
      <c r="F112" s="10" t="s">
        <v>28</v>
      </c>
      <c r="G112" s="10" t="s">
        <v>28</v>
      </c>
      <c r="H112" s="10" t="s">
        <v>28</v>
      </c>
      <c r="I112" s="11" t="s">
        <v>28</v>
      </c>
      <c r="J112" s="11" t="s">
        <v>28</v>
      </c>
      <c r="K112" s="11" t="s">
        <v>28</v>
      </c>
      <c r="L112" s="11" t="s">
        <v>28</v>
      </c>
      <c r="M112" s="11" t="s">
        <v>28</v>
      </c>
      <c r="N112" s="8">
        <v>45627</v>
      </c>
      <c r="O112" s="9" t="s">
        <v>73</v>
      </c>
      <c r="P112" s="12" t="s">
        <v>486</v>
      </c>
      <c r="Q112" s="9" t="s">
        <v>75</v>
      </c>
      <c r="R112" s="14" t="str">
        <f>HYPERLINK("https://my.pitchbook.com?c=278972-56T","View Company Online")</f>
        <v>View Company Online</v>
      </c>
    </row>
    <row r="113" spans="1:18" hidden="1" x14ac:dyDescent="0.3">
      <c r="A113" s="15" t="s">
        <v>487</v>
      </c>
      <c r="B113" s="15" t="s">
        <v>488</v>
      </c>
      <c r="C113" s="18" t="s">
        <v>28</v>
      </c>
      <c r="D113" s="15" t="s">
        <v>489</v>
      </c>
      <c r="E113" s="18" t="s">
        <v>28</v>
      </c>
      <c r="F113" s="19" t="s">
        <v>28</v>
      </c>
      <c r="G113" s="19" t="s">
        <v>28</v>
      </c>
      <c r="H113" s="19" t="s">
        <v>28</v>
      </c>
      <c r="I113" s="18" t="s">
        <v>28</v>
      </c>
      <c r="J113" s="18" t="s">
        <v>28</v>
      </c>
      <c r="K113" s="18" t="s">
        <v>28</v>
      </c>
      <c r="L113" s="18" t="s">
        <v>28</v>
      </c>
      <c r="M113" s="18" t="s">
        <v>28</v>
      </c>
      <c r="N113" s="17">
        <v>45627</v>
      </c>
      <c r="O113" s="15" t="s">
        <v>52</v>
      </c>
      <c r="P113" s="16" t="s">
        <v>375</v>
      </c>
      <c r="Q113" s="15" t="s">
        <v>386</v>
      </c>
      <c r="R113" s="13" t="str">
        <f>HYPERLINK("https://my.pitchbook.com?c=294412-78T","View Company Online")</f>
        <v>View Company Online</v>
      </c>
    </row>
    <row r="114" spans="1:18" hidden="1" x14ac:dyDescent="0.3">
      <c r="A114" s="9" t="s">
        <v>490</v>
      </c>
      <c r="B114" s="9" t="s">
        <v>491</v>
      </c>
      <c r="C114" s="11" t="s">
        <v>28</v>
      </c>
      <c r="D114" s="9" t="s">
        <v>492</v>
      </c>
      <c r="E114" s="11" t="s">
        <v>28</v>
      </c>
      <c r="F114" s="10" t="s">
        <v>28</v>
      </c>
      <c r="G114" s="10" t="s">
        <v>28</v>
      </c>
      <c r="H114" s="10" t="s">
        <v>28</v>
      </c>
      <c r="I114" s="11" t="s">
        <v>28</v>
      </c>
      <c r="J114" s="11" t="s">
        <v>28</v>
      </c>
      <c r="K114" s="11" t="s">
        <v>28</v>
      </c>
      <c r="L114" s="11" t="s">
        <v>28</v>
      </c>
      <c r="M114" s="11" t="s">
        <v>28</v>
      </c>
      <c r="N114" s="8">
        <v>45627</v>
      </c>
      <c r="O114" s="9" t="s">
        <v>379</v>
      </c>
      <c r="P114" s="12" t="s">
        <v>493</v>
      </c>
      <c r="Q114" s="9" t="s">
        <v>75</v>
      </c>
      <c r="R114" s="14" t="str">
        <f>HYPERLINK("https://my.pitchbook.com?c=279069-49T","View Company Online")</f>
        <v>View Company Online</v>
      </c>
    </row>
    <row r="115" spans="1:18" hidden="1" x14ac:dyDescent="0.3">
      <c r="A115" s="15" t="s">
        <v>494</v>
      </c>
      <c r="B115" s="15" t="s">
        <v>495</v>
      </c>
      <c r="C115" s="18" t="s">
        <v>28</v>
      </c>
      <c r="D115" s="15" t="s">
        <v>496</v>
      </c>
      <c r="E115" s="18" t="s">
        <v>28</v>
      </c>
      <c r="F115" s="19" t="s">
        <v>28</v>
      </c>
      <c r="G115" s="19" t="s">
        <v>28</v>
      </c>
      <c r="H115" s="19" t="s">
        <v>28</v>
      </c>
      <c r="I115" s="18" t="s">
        <v>28</v>
      </c>
      <c r="J115" s="18" t="s">
        <v>28</v>
      </c>
      <c r="K115" s="18" t="s">
        <v>28</v>
      </c>
      <c r="L115" s="18" t="s">
        <v>28</v>
      </c>
      <c r="M115" s="18" t="s">
        <v>28</v>
      </c>
      <c r="N115" s="17">
        <v>45627</v>
      </c>
      <c r="O115" s="15" t="s">
        <v>379</v>
      </c>
      <c r="P115" s="16" t="s">
        <v>497</v>
      </c>
      <c r="Q115" s="15" t="s">
        <v>119</v>
      </c>
      <c r="R115" s="13" t="str">
        <f>HYPERLINK("https://my.pitchbook.com?c=279539-74T","View Company Online")</f>
        <v>View Company Online</v>
      </c>
    </row>
    <row r="116" spans="1:18" hidden="1" x14ac:dyDescent="0.3">
      <c r="A116" s="9" t="s">
        <v>498</v>
      </c>
      <c r="B116" s="9" t="s">
        <v>499</v>
      </c>
      <c r="C116" s="11" t="s">
        <v>28</v>
      </c>
      <c r="D116" s="9" t="s">
        <v>500</v>
      </c>
      <c r="E116" s="11" t="s">
        <v>28</v>
      </c>
      <c r="F116" s="10" t="s">
        <v>28</v>
      </c>
      <c r="G116" s="10" t="s">
        <v>28</v>
      </c>
      <c r="H116" s="10" t="s">
        <v>28</v>
      </c>
      <c r="I116" s="11" t="s">
        <v>28</v>
      </c>
      <c r="J116" s="11" t="s">
        <v>28</v>
      </c>
      <c r="K116" s="11" t="s">
        <v>28</v>
      </c>
      <c r="L116" s="11" t="s">
        <v>28</v>
      </c>
      <c r="M116" s="11" t="s">
        <v>28</v>
      </c>
      <c r="N116" s="8">
        <v>45627</v>
      </c>
      <c r="O116" s="9" t="s">
        <v>52</v>
      </c>
      <c r="P116" s="12" t="s">
        <v>501</v>
      </c>
      <c r="Q116" s="9" t="s">
        <v>136</v>
      </c>
      <c r="R116" s="14" t="str">
        <f>HYPERLINK("https://my.pitchbook.com?c=301660-84T","View Company Online")</f>
        <v>View Company Online</v>
      </c>
    </row>
    <row r="117" spans="1:18" hidden="1" x14ac:dyDescent="0.3">
      <c r="A117" s="15" t="s">
        <v>502</v>
      </c>
      <c r="B117" s="15" t="s">
        <v>503</v>
      </c>
      <c r="C117" s="18" t="s">
        <v>28</v>
      </c>
      <c r="D117" s="15" t="s">
        <v>504</v>
      </c>
      <c r="E117" s="18" t="s">
        <v>28</v>
      </c>
      <c r="F117" s="19" t="s">
        <v>28</v>
      </c>
      <c r="G117" s="19" t="s">
        <v>28</v>
      </c>
      <c r="H117" s="19" t="s">
        <v>28</v>
      </c>
      <c r="I117" s="18">
        <v>22.27</v>
      </c>
      <c r="J117" s="18" t="s">
        <v>28</v>
      </c>
      <c r="K117" s="18">
        <v>50.11</v>
      </c>
      <c r="L117" s="18" t="s">
        <v>28</v>
      </c>
      <c r="M117" s="18" t="s">
        <v>28</v>
      </c>
      <c r="N117" s="17">
        <v>45627</v>
      </c>
      <c r="O117" s="15" t="s">
        <v>79</v>
      </c>
      <c r="P117" s="16" t="s">
        <v>505</v>
      </c>
      <c r="Q117" s="15" t="s">
        <v>240</v>
      </c>
      <c r="R117" s="13" t="str">
        <f>HYPERLINK("https://my.pitchbook.com?c=284250-43T","View Company Online")</f>
        <v>View Company Online</v>
      </c>
    </row>
    <row r="118" spans="1:18" hidden="1" x14ac:dyDescent="0.3">
      <c r="A118" s="9" t="s">
        <v>506</v>
      </c>
      <c r="B118" s="9" t="s">
        <v>507</v>
      </c>
      <c r="C118" s="11" t="s">
        <v>28</v>
      </c>
      <c r="D118" s="9" t="s">
        <v>508</v>
      </c>
      <c r="E118" s="11" t="s">
        <v>28</v>
      </c>
      <c r="F118" s="10" t="s">
        <v>28</v>
      </c>
      <c r="G118" s="10">
        <v>1</v>
      </c>
      <c r="H118" s="10">
        <v>31</v>
      </c>
      <c r="I118" s="11">
        <v>0.8</v>
      </c>
      <c r="J118" s="11">
        <v>38.75</v>
      </c>
      <c r="K118" s="11">
        <v>1.9</v>
      </c>
      <c r="L118" s="11">
        <v>16.32</v>
      </c>
      <c r="M118" s="11" t="s">
        <v>28</v>
      </c>
      <c r="N118" s="8">
        <v>45626</v>
      </c>
      <c r="O118" s="9" t="s">
        <v>79</v>
      </c>
      <c r="P118" s="12" t="s">
        <v>343</v>
      </c>
      <c r="Q118" s="9" t="s">
        <v>75</v>
      </c>
      <c r="R118" s="14" t="str">
        <f>HYPERLINK("https://my.pitchbook.com?c=299300-23T","View Company Online")</f>
        <v>View Company Online</v>
      </c>
    </row>
    <row r="119" spans="1:18" hidden="1" x14ac:dyDescent="0.3">
      <c r="A119" s="15" t="s">
        <v>509</v>
      </c>
      <c r="B119" s="15" t="s">
        <v>510</v>
      </c>
      <c r="C119" s="18" t="s">
        <v>28</v>
      </c>
      <c r="D119" s="15" t="s">
        <v>511</v>
      </c>
      <c r="E119" s="18" t="s">
        <v>28</v>
      </c>
      <c r="F119" s="19" t="s">
        <v>28</v>
      </c>
      <c r="G119" s="19" t="s">
        <v>28</v>
      </c>
      <c r="H119" s="19" t="s">
        <v>28</v>
      </c>
      <c r="I119" s="18" t="s">
        <v>28</v>
      </c>
      <c r="J119" s="18" t="s">
        <v>28</v>
      </c>
      <c r="K119" s="18" t="s">
        <v>28</v>
      </c>
      <c r="L119" s="18" t="s">
        <v>28</v>
      </c>
      <c r="M119" s="18" t="s">
        <v>28</v>
      </c>
      <c r="N119" s="17">
        <v>45626</v>
      </c>
      <c r="O119" s="15" t="s">
        <v>41</v>
      </c>
      <c r="P119" s="16" t="s">
        <v>512</v>
      </c>
      <c r="Q119" s="15" t="s">
        <v>371</v>
      </c>
      <c r="R119" s="13" t="str">
        <f>HYPERLINK("https://my.pitchbook.com?c=300813-67T","View Company Online")</f>
        <v>View Company Online</v>
      </c>
    </row>
    <row r="120" spans="1:18" hidden="1" x14ac:dyDescent="0.3">
      <c r="A120" s="9" t="s">
        <v>513</v>
      </c>
      <c r="B120" s="9" t="s">
        <v>514</v>
      </c>
      <c r="C120" s="11" t="s">
        <v>28</v>
      </c>
      <c r="D120" s="9" t="s">
        <v>515</v>
      </c>
      <c r="E120" s="11" t="s">
        <v>28</v>
      </c>
      <c r="F120" s="10">
        <v>5.1100000000000003</v>
      </c>
      <c r="G120" s="10">
        <v>3.02</v>
      </c>
      <c r="H120" s="10">
        <v>5.1100000000000003</v>
      </c>
      <c r="I120" s="11" t="s">
        <v>28</v>
      </c>
      <c r="J120" s="11" t="s">
        <v>28</v>
      </c>
      <c r="K120" s="11">
        <v>24.94</v>
      </c>
      <c r="L120" s="11">
        <v>0.2</v>
      </c>
      <c r="M120" s="11" t="s">
        <v>28</v>
      </c>
      <c r="N120" s="8">
        <v>45626</v>
      </c>
      <c r="O120" s="9" t="s">
        <v>30</v>
      </c>
      <c r="P120" s="12" t="s">
        <v>516</v>
      </c>
      <c r="Q120" s="9" t="s">
        <v>517</v>
      </c>
      <c r="R120" s="14" t="str">
        <f>HYPERLINK("https://my.pitchbook.com?c=277245-64T","View Company Online")</f>
        <v>View Company Online</v>
      </c>
    </row>
    <row r="121" spans="1:18" hidden="1" x14ac:dyDescent="0.3">
      <c r="A121" s="15" t="s">
        <v>518</v>
      </c>
      <c r="B121" s="15" t="s">
        <v>519</v>
      </c>
      <c r="C121" s="18" t="s">
        <v>28</v>
      </c>
      <c r="D121" s="15" t="s">
        <v>520</v>
      </c>
      <c r="E121" s="18" t="s">
        <v>28</v>
      </c>
      <c r="F121" s="19" t="s">
        <v>28</v>
      </c>
      <c r="G121" s="19" t="s">
        <v>28</v>
      </c>
      <c r="H121" s="19" t="s">
        <v>28</v>
      </c>
      <c r="I121" s="18" t="s">
        <v>28</v>
      </c>
      <c r="J121" s="18" t="s">
        <v>28</v>
      </c>
      <c r="K121" s="18" t="s">
        <v>28</v>
      </c>
      <c r="L121" s="18" t="s">
        <v>28</v>
      </c>
      <c r="M121" s="18" t="s">
        <v>28</v>
      </c>
      <c r="N121" s="17">
        <v>45624</v>
      </c>
      <c r="O121" s="15" t="s">
        <v>52</v>
      </c>
      <c r="P121" s="16" t="s">
        <v>521</v>
      </c>
      <c r="Q121" s="15" t="s">
        <v>522</v>
      </c>
      <c r="R121" s="13" t="str">
        <f>HYPERLINK("https://my.pitchbook.com?c=299992-87T","View Company Online")</f>
        <v>View Company Online</v>
      </c>
    </row>
    <row r="122" spans="1:18" hidden="1" x14ac:dyDescent="0.3">
      <c r="A122" s="9" t="s">
        <v>523</v>
      </c>
      <c r="B122" s="9" t="s">
        <v>524</v>
      </c>
      <c r="C122" s="11" t="s">
        <v>28</v>
      </c>
      <c r="D122" s="9" t="s">
        <v>525</v>
      </c>
      <c r="E122" s="11" t="s">
        <v>28</v>
      </c>
      <c r="F122" s="10" t="s">
        <v>28</v>
      </c>
      <c r="G122" s="10">
        <v>3</v>
      </c>
      <c r="H122" s="10" t="s">
        <v>28</v>
      </c>
      <c r="I122" s="11" t="s">
        <v>28</v>
      </c>
      <c r="J122" s="11" t="s">
        <v>28</v>
      </c>
      <c r="K122" s="11" t="s">
        <v>28</v>
      </c>
      <c r="L122" s="11" t="s">
        <v>28</v>
      </c>
      <c r="M122" s="11" t="s">
        <v>28</v>
      </c>
      <c r="N122" s="8">
        <v>45624</v>
      </c>
      <c r="O122" s="9" t="s">
        <v>58</v>
      </c>
      <c r="P122" s="12" t="s">
        <v>526</v>
      </c>
      <c r="Q122" s="9" t="s">
        <v>414</v>
      </c>
      <c r="R122" s="14" t="str">
        <f>HYPERLINK("https://my.pitchbook.com?c=278706-88T","View Company Online")</f>
        <v>View Company Online</v>
      </c>
    </row>
    <row r="123" spans="1:18" hidden="1" x14ac:dyDescent="0.3">
      <c r="A123" s="15" t="s">
        <v>527</v>
      </c>
      <c r="B123" s="15" t="s">
        <v>528</v>
      </c>
      <c r="C123" s="18" t="s">
        <v>28</v>
      </c>
      <c r="D123" s="15" t="s">
        <v>529</v>
      </c>
      <c r="E123" s="18" t="s">
        <v>28</v>
      </c>
      <c r="F123" s="19" t="s">
        <v>28</v>
      </c>
      <c r="G123" s="19">
        <v>0.95</v>
      </c>
      <c r="H123" s="19" t="s">
        <v>28</v>
      </c>
      <c r="I123" s="18" t="s">
        <v>28</v>
      </c>
      <c r="J123" s="18" t="s">
        <v>28</v>
      </c>
      <c r="K123" s="18" t="s">
        <v>28</v>
      </c>
      <c r="L123" s="18" t="s">
        <v>28</v>
      </c>
      <c r="M123" s="18" t="s">
        <v>28</v>
      </c>
      <c r="N123" s="17">
        <v>45624</v>
      </c>
      <c r="O123" s="15" t="s">
        <v>58</v>
      </c>
      <c r="P123" s="16" t="s">
        <v>530</v>
      </c>
      <c r="Q123" s="15" t="s">
        <v>75</v>
      </c>
      <c r="R123" s="13" t="str">
        <f>HYPERLINK("https://my.pitchbook.com?c=278732-26T","View Company Online")</f>
        <v>View Company Online</v>
      </c>
    </row>
    <row r="124" spans="1:18" hidden="1" x14ac:dyDescent="0.3">
      <c r="A124" s="9" t="s">
        <v>531</v>
      </c>
      <c r="B124" s="9" t="s">
        <v>532</v>
      </c>
      <c r="C124" s="11" t="s">
        <v>28</v>
      </c>
      <c r="D124" s="9" t="s">
        <v>533</v>
      </c>
      <c r="E124" s="11" t="s">
        <v>28</v>
      </c>
      <c r="F124" s="10" t="s">
        <v>28</v>
      </c>
      <c r="G124" s="10" t="s">
        <v>28</v>
      </c>
      <c r="H124" s="10" t="s">
        <v>28</v>
      </c>
      <c r="I124" s="11" t="s">
        <v>28</v>
      </c>
      <c r="J124" s="11" t="s">
        <v>28</v>
      </c>
      <c r="K124" s="11" t="s">
        <v>28</v>
      </c>
      <c r="L124" s="11" t="s">
        <v>28</v>
      </c>
      <c r="M124" s="11" t="s">
        <v>28</v>
      </c>
      <c r="N124" s="8">
        <v>45623</v>
      </c>
      <c r="O124" s="9" t="s">
        <v>30</v>
      </c>
      <c r="P124" s="12" t="s">
        <v>534</v>
      </c>
      <c r="Q124" s="9" t="s">
        <v>226</v>
      </c>
      <c r="R124" s="14" t="str">
        <f>HYPERLINK("https://my.pitchbook.com?c=279255-79T","View Company Online")</f>
        <v>View Company Online</v>
      </c>
    </row>
    <row r="125" spans="1:18" hidden="1" x14ac:dyDescent="0.3">
      <c r="A125" s="15" t="s">
        <v>535</v>
      </c>
      <c r="B125" s="15" t="s">
        <v>536</v>
      </c>
      <c r="C125" s="18" t="s">
        <v>28</v>
      </c>
      <c r="D125" s="15" t="s">
        <v>537</v>
      </c>
      <c r="E125" s="18">
        <v>-26.76</v>
      </c>
      <c r="F125" s="19" t="s">
        <v>28</v>
      </c>
      <c r="G125" s="19">
        <v>30</v>
      </c>
      <c r="H125" s="19">
        <v>575.07000000000005</v>
      </c>
      <c r="I125" s="18">
        <v>-26.76</v>
      </c>
      <c r="J125" s="18">
        <v>-21.49</v>
      </c>
      <c r="K125" s="18">
        <v>0</v>
      </c>
      <c r="L125" s="18" t="s">
        <v>28</v>
      </c>
      <c r="M125" s="18">
        <v>-26.84</v>
      </c>
      <c r="N125" s="17">
        <v>45623</v>
      </c>
      <c r="O125" s="15" t="s">
        <v>173</v>
      </c>
      <c r="P125" s="16" t="s">
        <v>28</v>
      </c>
      <c r="Q125" s="15" t="s">
        <v>470</v>
      </c>
      <c r="R125" s="13" t="str">
        <f>HYPERLINK("https://my.pitchbook.com?c=270187-39T","View Company Online")</f>
        <v>View Company Online</v>
      </c>
    </row>
    <row r="126" spans="1:18" hidden="1" x14ac:dyDescent="0.3">
      <c r="A126" s="9" t="s">
        <v>538</v>
      </c>
      <c r="B126" s="9" t="s">
        <v>539</v>
      </c>
      <c r="C126" s="11" t="s">
        <v>28</v>
      </c>
      <c r="D126" s="9" t="s">
        <v>540</v>
      </c>
      <c r="E126" s="11" t="s">
        <v>28</v>
      </c>
      <c r="F126" s="10" t="s">
        <v>28</v>
      </c>
      <c r="G126" s="10" t="s">
        <v>28</v>
      </c>
      <c r="H126" s="10" t="s">
        <v>28</v>
      </c>
      <c r="I126" s="11" t="s">
        <v>28</v>
      </c>
      <c r="J126" s="11" t="s">
        <v>28</v>
      </c>
      <c r="K126" s="11" t="s">
        <v>28</v>
      </c>
      <c r="L126" s="11" t="s">
        <v>28</v>
      </c>
      <c r="M126" s="11" t="s">
        <v>28</v>
      </c>
      <c r="N126" s="8">
        <v>45622</v>
      </c>
      <c r="O126" s="9" t="s">
        <v>41</v>
      </c>
      <c r="P126" s="12" t="s">
        <v>541</v>
      </c>
      <c r="Q126" s="9" t="s">
        <v>75</v>
      </c>
      <c r="R126" s="14" t="str">
        <f>HYPERLINK("https://my.pitchbook.com?c=278657-74T","View Company Online")</f>
        <v>View Company Online</v>
      </c>
    </row>
    <row r="127" spans="1:18" hidden="1" x14ac:dyDescent="0.3">
      <c r="A127" s="15" t="s">
        <v>542</v>
      </c>
      <c r="B127" s="15" t="s">
        <v>543</v>
      </c>
      <c r="C127" s="18" t="s">
        <v>28</v>
      </c>
      <c r="D127" s="15" t="s">
        <v>544</v>
      </c>
      <c r="E127" s="18" t="s">
        <v>28</v>
      </c>
      <c r="F127" s="19" t="s">
        <v>28</v>
      </c>
      <c r="G127" s="19">
        <v>0.55000000000000004</v>
      </c>
      <c r="H127" s="19" t="s">
        <v>28</v>
      </c>
      <c r="I127" s="18" t="s">
        <v>28</v>
      </c>
      <c r="J127" s="18" t="s">
        <v>28</v>
      </c>
      <c r="K127" s="18" t="s">
        <v>28</v>
      </c>
      <c r="L127" s="18" t="s">
        <v>28</v>
      </c>
      <c r="M127" s="18" t="s">
        <v>28</v>
      </c>
      <c r="N127" s="17">
        <v>45622</v>
      </c>
      <c r="O127" s="15" t="s">
        <v>379</v>
      </c>
      <c r="P127" s="16" t="s">
        <v>545</v>
      </c>
      <c r="Q127" s="15" t="s">
        <v>64</v>
      </c>
      <c r="R127" s="13" t="str">
        <f>HYPERLINK("https://my.pitchbook.com?c=278490-34T","View Company Online")</f>
        <v>View Company Online</v>
      </c>
    </row>
    <row r="128" spans="1:18" hidden="1" x14ac:dyDescent="0.3">
      <c r="A128" s="9" t="s">
        <v>546</v>
      </c>
      <c r="B128" s="9" t="s">
        <v>547</v>
      </c>
      <c r="C128" s="11" t="s">
        <v>28</v>
      </c>
      <c r="D128" s="9" t="s">
        <v>548</v>
      </c>
      <c r="E128" s="11" t="s">
        <v>28</v>
      </c>
      <c r="F128" s="10" t="s">
        <v>28</v>
      </c>
      <c r="G128" s="10" t="s">
        <v>28</v>
      </c>
      <c r="H128" s="10" t="s">
        <v>28</v>
      </c>
      <c r="I128" s="11" t="s">
        <v>28</v>
      </c>
      <c r="J128" s="11" t="s">
        <v>28</v>
      </c>
      <c r="K128" s="11" t="s">
        <v>28</v>
      </c>
      <c r="L128" s="11" t="s">
        <v>28</v>
      </c>
      <c r="M128" s="11" t="s">
        <v>28</v>
      </c>
      <c r="N128" s="8">
        <v>45622</v>
      </c>
      <c r="O128" s="9" t="s">
        <v>73</v>
      </c>
      <c r="P128" s="12" t="s">
        <v>549</v>
      </c>
      <c r="Q128" s="9" t="s">
        <v>240</v>
      </c>
      <c r="R128" s="14" t="str">
        <f>HYPERLINK("https://my.pitchbook.com?c=278467-39T","View Company Online")</f>
        <v>View Company Online</v>
      </c>
    </row>
    <row r="129" spans="1:18" hidden="1" x14ac:dyDescent="0.3">
      <c r="A129" s="15" t="s">
        <v>550</v>
      </c>
      <c r="B129" s="15" t="s">
        <v>551</v>
      </c>
      <c r="C129" s="18" t="s">
        <v>28</v>
      </c>
      <c r="D129" s="15" t="s">
        <v>552</v>
      </c>
      <c r="E129" s="18" t="s">
        <v>28</v>
      </c>
      <c r="F129" s="19">
        <v>105</v>
      </c>
      <c r="G129" s="19">
        <v>105</v>
      </c>
      <c r="H129" s="19">
        <v>105</v>
      </c>
      <c r="I129" s="18" t="s">
        <v>28</v>
      </c>
      <c r="J129" s="18" t="s">
        <v>28</v>
      </c>
      <c r="K129" s="18" t="s">
        <v>28</v>
      </c>
      <c r="L129" s="18" t="s">
        <v>28</v>
      </c>
      <c r="M129" s="18" t="s">
        <v>28</v>
      </c>
      <c r="N129" s="17">
        <v>45622</v>
      </c>
      <c r="O129" s="15" t="s">
        <v>30</v>
      </c>
      <c r="P129" s="16" t="s">
        <v>553</v>
      </c>
      <c r="Q129" s="15" t="s">
        <v>213</v>
      </c>
      <c r="R129" s="13" t="str">
        <f>HYPERLINK("https://my.pitchbook.com?c=274950-55T","View Company Online")</f>
        <v>View Company Online</v>
      </c>
    </row>
    <row r="130" spans="1:18" hidden="1" x14ac:dyDescent="0.3">
      <c r="A130" s="9" t="s">
        <v>554</v>
      </c>
      <c r="B130" s="9" t="s">
        <v>555</v>
      </c>
      <c r="C130" s="11" t="s">
        <v>28</v>
      </c>
      <c r="D130" s="9" t="s">
        <v>556</v>
      </c>
      <c r="E130" s="11" t="s">
        <v>28</v>
      </c>
      <c r="F130" s="10" t="s">
        <v>28</v>
      </c>
      <c r="G130" s="10">
        <v>6.93</v>
      </c>
      <c r="H130" s="10" t="s">
        <v>28</v>
      </c>
      <c r="I130" s="11" t="s">
        <v>28</v>
      </c>
      <c r="J130" s="11" t="s">
        <v>28</v>
      </c>
      <c r="K130" s="11" t="s">
        <v>28</v>
      </c>
      <c r="L130" s="11" t="s">
        <v>28</v>
      </c>
      <c r="M130" s="11" t="s">
        <v>28</v>
      </c>
      <c r="N130" s="8">
        <v>45622</v>
      </c>
      <c r="O130" s="9" t="s">
        <v>73</v>
      </c>
      <c r="P130" s="12" t="s">
        <v>557</v>
      </c>
      <c r="Q130" s="9" t="s">
        <v>75</v>
      </c>
      <c r="R130" s="14" t="str">
        <f>HYPERLINK("https://my.pitchbook.com?c=278477-74T","View Company Online")</f>
        <v>View Company Online</v>
      </c>
    </row>
    <row r="131" spans="1:18" hidden="1" x14ac:dyDescent="0.3">
      <c r="A131" s="15" t="s">
        <v>558</v>
      </c>
      <c r="B131" s="15" t="s">
        <v>559</v>
      </c>
      <c r="C131" s="18" t="s">
        <v>28</v>
      </c>
      <c r="D131" s="15" t="s">
        <v>560</v>
      </c>
      <c r="E131" s="18" t="s">
        <v>28</v>
      </c>
      <c r="F131" s="19" t="s">
        <v>28</v>
      </c>
      <c r="G131" s="19">
        <v>0.01</v>
      </c>
      <c r="H131" s="19" t="s">
        <v>28</v>
      </c>
      <c r="I131" s="18" t="s">
        <v>28</v>
      </c>
      <c r="J131" s="18" t="s">
        <v>28</v>
      </c>
      <c r="K131" s="18" t="s">
        <v>28</v>
      </c>
      <c r="L131" s="18" t="s">
        <v>28</v>
      </c>
      <c r="M131" s="18" t="s">
        <v>28</v>
      </c>
      <c r="N131" s="17">
        <v>45621</v>
      </c>
      <c r="O131" s="15" t="s">
        <v>52</v>
      </c>
      <c r="P131" s="16" t="s">
        <v>561</v>
      </c>
      <c r="Q131" s="15" t="s">
        <v>37</v>
      </c>
      <c r="R131" s="13" t="str">
        <f>HYPERLINK("https://my.pitchbook.com?c=279578-71T","View Company Online")</f>
        <v>View Company Online</v>
      </c>
    </row>
    <row r="132" spans="1:18" hidden="1" x14ac:dyDescent="0.3">
      <c r="A132" s="9" t="s">
        <v>562</v>
      </c>
      <c r="B132" s="9" t="s">
        <v>563</v>
      </c>
      <c r="C132" s="11" t="s">
        <v>28</v>
      </c>
      <c r="D132" s="9" t="s">
        <v>564</v>
      </c>
      <c r="E132" s="11" t="s">
        <v>28</v>
      </c>
      <c r="F132" s="10" t="s">
        <v>28</v>
      </c>
      <c r="G132" s="10" t="s">
        <v>28</v>
      </c>
      <c r="H132" s="10" t="s">
        <v>28</v>
      </c>
      <c r="I132" s="11" t="s">
        <v>28</v>
      </c>
      <c r="J132" s="11" t="s">
        <v>28</v>
      </c>
      <c r="K132" s="11" t="s">
        <v>28</v>
      </c>
      <c r="L132" s="11" t="s">
        <v>28</v>
      </c>
      <c r="M132" s="11" t="s">
        <v>28</v>
      </c>
      <c r="N132" s="8">
        <v>45621</v>
      </c>
      <c r="O132" s="9" t="s">
        <v>30</v>
      </c>
      <c r="P132" s="12" t="s">
        <v>565</v>
      </c>
      <c r="Q132" s="9" t="s">
        <v>566</v>
      </c>
      <c r="R132" s="14" t="str">
        <f>HYPERLINK("https://my.pitchbook.com?c=279255-70T","View Company Online")</f>
        <v>View Company Online</v>
      </c>
    </row>
    <row r="133" spans="1:18" hidden="1" x14ac:dyDescent="0.3">
      <c r="A133" s="15" t="s">
        <v>567</v>
      </c>
      <c r="B133" s="15" t="s">
        <v>568</v>
      </c>
      <c r="C133" s="18" t="s">
        <v>28</v>
      </c>
      <c r="D133" s="15" t="s">
        <v>569</v>
      </c>
      <c r="E133" s="18" t="s">
        <v>28</v>
      </c>
      <c r="F133" s="19" t="s">
        <v>28</v>
      </c>
      <c r="G133" s="19">
        <v>0.69</v>
      </c>
      <c r="H133" s="19" t="s">
        <v>28</v>
      </c>
      <c r="I133" s="18" t="s">
        <v>28</v>
      </c>
      <c r="J133" s="18" t="s">
        <v>28</v>
      </c>
      <c r="K133" s="18" t="s">
        <v>28</v>
      </c>
      <c r="L133" s="18" t="s">
        <v>28</v>
      </c>
      <c r="M133" s="18" t="s">
        <v>28</v>
      </c>
      <c r="N133" s="17">
        <v>45621</v>
      </c>
      <c r="O133" s="15" t="s">
        <v>99</v>
      </c>
      <c r="P133" s="16" t="s">
        <v>570</v>
      </c>
      <c r="Q133" s="15" t="s">
        <v>75</v>
      </c>
      <c r="R133" s="13" t="str">
        <f>HYPERLINK("https://my.pitchbook.com?c=278340-49T","View Company Online")</f>
        <v>View Company Online</v>
      </c>
    </row>
    <row r="134" spans="1:18" hidden="1" x14ac:dyDescent="0.3">
      <c r="A134" s="9" t="s">
        <v>571</v>
      </c>
      <c r="B134" s="9" t="s">
        <v>572</v>
      </c>
      <c r="C134" s="11" t="s">
        <v>28</v>
      </c>
      <c r="D134" s="9" t="s">
        <v>573</v>
      </c>
      <c r="E134" s="11" t="s">
        <v>28</v>
      </c>
      <c r="F134" s="10" t="s">
        <v>28</v>
      </c>
      <c r="G134" s="10">
        <v>0.35</v>
      </c>
      <c r="H134" s="10" t="s">
        <v>28</v>
      </c>
      <c r="I134" s="11" t="s">
        <v>28</v>
      </c>
      <c r="J134" s="11" t="s">
        <v>28</v>
      </c>
      <c r="K134" s="11" t="s">
        <v>28</v>
      </c>
      <c r="L134" s="11" t="s">
        <v>28</v>
      </c>
      <c r="M134" s="11" t="s">
        <v>28</v>
      </c>
      <c r="N134" s="8">
        <v>45621</v>
      </c>
      <c r="O134" s="9" t="s">
        <v>99</v>
      </c>
      <c r="P134" s="12" t="s">
        <v>574</v>
      </c>
      <c r="Q134" s="9" t="s">
        <v>37</v>
      </c>
      <c r="R134" s="14" t="str">
        <f>HYPERLINK("https://my.pitchbook.com?c=278365-06T","View Company Online")</f>
        <v>View Company Online</v>
      </c>
    </row>
    <row r="135" spans="1:18" hidden="1" x14ac:dyDescent="0.3">
      <c r="A135" s="15" t="s">
        <v>575</v>
      </c>
      <c r="B135" s="15" t="s">
        <v>576</v>
      </c>
      <c r="C135" s="18" t="s">
        <v>28</v>
      </c>
      <c r="D135" s="15" t="s">
        <v>577</v>
      </c>
      <c r="E135" s="18" t="s">
        <v>28</v>
      </c>
      <c r="F135" s="19" t="s">
        <v>28</v>
      </c>
      <c r="G135" s="19" t="s">
        <v>28</v>
      </c>
      <c r="H135" s="19" t="s">
        <v>28</v>
      </c>
      <c r="I135" s="18" t="s">
        <v>28</v>
      </c>
      <c r="J135" s="18" t="s">
        <v>28</v>
      </c>
      <c r="K135" s="18" t="s">
        <v>28</v>
      </c>
      <c r="L135" s="18" t="s">
        <v>28</v>
      </c>
      <c r="M135" s="18" t="s">
        <v>28</v>
      </c>
      <c r="N135" s="17">
        <v>45618</v>
      </c>
      <c r="O135" s="15" t="s">
        <v>30</v>
      </c>
      <c r="P135" s="16" t="s">
        <v>578</v>
      </c>
      <c r="Q135" s="15" t="s">
        <v>75</v>
      </c>
      <c r="R135" s="13" t="str">
        <f>HYPERLINK("https://my.pitchbook.com?c=279255-61T","View Company Online")</f>
        <v>View Company Online</v>
      </c>
    </row>
    <row r="136" spans="1:18" hidden="1" x14ac:dyDescent="0.3">
      <c r="A136" s="9" t="s">
        <v>579</v>
      </c>
      <c r="B136" s="9" t="s">
        <v>580</v>
      </c>
      <c r="C136" s="11" t="s">
        <v>28</v>
      </c>
      <c r="D136" s="9" t="s">
        <v>581</v>
      </c>
      <c r="E136" s="11" t="s">
        <v>28</v>
      </c>
      <c r="F136" s="10" t="s">
        <v>28</v>
      </c>
      <c r="G136" s="10">
        <v>0.78</v>
      </c>
      <c r="H136" s="10">
        <v>1.39</v>
      </c>
      <c r="I136" s="11" t="s">
        <v>28</v>
      </c>
      <c r="J136" s="11" t="s">
        <v>28</v>
      </c>
      <c r="K136" s="11" t="s">
        <v>28</v>
      </c>
      <c r="L136" s="11" t="s">
        <v>28</v>
      </c>
      <c r="M136" s="11" t="s">
        <v>28</v>
      </c>
      <c r="N136" s="8">
        <v>45618</v>
      </c>
      <c r="O136" s="9" t="s">
        <v>73</v>
      </c>
      <c r="P136" s="12" t="s">
        <v>582</v>
      </c>
      <c r="Q136" s="9" t="s">
        <v>583</v>
      </c>
      <c r="R136" s="14" t="str">
        <f>HYPERLINK("https://my.pitchbook.com?c=248005-36T","View Company Online")</f>
        <v>View Company Online</v>
      </c>
    </row>
    <row r="137" spans="1:18" hidden="1" x14ac:dyDescent="0.3">
      <c r="A137" s="15" t="s">
        <v>584</v>
      </c>
      <c r="B137" s="15" t="s">
        <v>585</v>
      </c>
      <c r="C137" s="18" t="s">
        <v>28</v>
      </c>
      <c r="D137" s="15" t="s">
        <v>586</v>
      </c>
      <c r="E137" s="18" t="s">
        <v>28</v>
      </c>
      <c r="F137" s="19" t="s">
        <v>28</v>
      </c>
      <c r="G137" s="19" t="s">
        <v>28</v>
      </c>
      <c r="H137" s="19" t="s">
        <v>28</v>
      </c>
      <c r="I137" s="18" t="s">
        <v>28</v>
      </c>
      <c r="J137" s="18" t="s">
        <v>28</v>
      </c>
      <c r="K137" s="18" t="s">
        <v>28</v>
      </c>
      <c r="L137" s="18" t="s">
        <v>28</v>
      </c>
      <c r="M137" s="18" t="s">
        <v>28</v>
      </c>
      <c r="N137" s="17">
        <v>45618</v>
      </c>
      <c r="O137" s="15" t="s">
        <v>30</v>
      </c>
      <c r="P137" s="16" t="s">
        <v>587</v>
      </c>
      <c r="Q137" s="15" t="s">
        <v>348</v>
      </c>
      <c r="R137" s="13" t="str">
        <f>HYPERLINK("https://my.pitchbook.com?c=282096-73T","View Company Online")</f>
        <v>View Company Online</v>
      </c>
    </row>
    <row r="138" spans="1:18" hidden="1" x14ac:dyDescent="0.3">
      <c r="A138" s="9" t="s">
        <v>588</v>
      </c>
      <c r="B138" s="9" t="s">
        <v>589</v>
      </c>
      <c r="C138" s="11" t="s">
        <v>28</v>
      </c>
      <c r="D138" s="9" t="s">
        <v>590</v>
      </c>
      <c r="E138" s="11" t="s">
        <v>28</v>
      </c>
      <c r="F138" s="10" t="s">
        <v>28</v>
      </c>
      <c r="G138" s="10" t="s">
        <v>28</v>
      </c>
      <c r="H138" s="10" t="s">
        <v>28</v>
      </c>
      <c r="I138" s="11" t="s">
        <v>28</v>
      </c>
      <c r="J138" s="11" t="s">
        <v>28</v>
      </c>
      <c r="K138" s="11" t="s">
        <v>28</v>
      </c>
      <c r="L138" s="11" t="s">
        <v>28</v>
      </c>
      <c r="M138" s="11" t="s">
        <v>28</v>
      </c>
      <c r="N138" s="8">
        <v>45618</v>
      </c>
      <c r="O138" s="9" t="s">
        <v>30</v>
      </c>
      <c r="P138" s="12" t="s">
        <v>591</v>
      </c>
      <c r="Q138" s="9" t="s">
        <v>37</v>
      </c>
      <c r="R138" s="14" t="str">
        <f>HYPERLINK("https://my.pitchbook.com?c=278666-92T","View Company Online")</f>
        <v>View Company Online</v>
      </c>
    </row>
    <row r="139" spans="1:18" hidden="1" x14ac:dyDescent="0.3">
      <c r="A139" s="15" t="s">
        <v>592</v>
      </c>
      <c r="B139" s="15" t="s">
        <v>593</v>
      </c>
      <c r="C139" s="18" t="s">
        <v>28</v>
      </c>
      <c r="D139" s="15" t="s">
        <v>594</v>
      </c>
      <c r="E139" s="18" t="s">
        <v>28</v>
      </c>
      <c r="F139" s="19" t="s">
        <v>28</v>
      </c>
      <c r="G139" s="19" t="s">
        <v>28</v>
      </c>
      <c r="H139" s="19" t="s">
        <v>28</v>
      </c>
      <c r="I139" s="18" t="s">
        <v>28</v>
      </c>
      <c r="J139" s="18" t="s">
        <v>28</v>
      </c>
      <c r="K139" s="18" t="s">
        <v>28</v>
      </c>
      <c r="L139" s="18" t="s">
        <v>28</v>
      </c>
      <c r="M139" s="18" t="s">
        <v>28</v>
      </c>
      <c r="N139" s="17">
        <v>45617</v>
      </c>
      <c r="O139" s="15" t="s">
        <v>58</v>
      </c>
      <c r="P139" s="16" t="s">
        <v>595</v>
      </c>
      <c r="Q139" s="15" t="s">
        <v>240</v>
      </c>
      <c r="R139" s="13" t="str">
        <f>HYPERLINK("https://my.pitchbook.com?c=297036-37T","View Company Online")</f>
        <v>View Company Online</v>
      </c>
    </row>
    <row r="140" spans="1:18" hidden="1" x14ac:dyDescent="0.3">
      <c r="A140" s="9" t="s">
        <v>596</v>
      </c>
      <c r="B140" s="9" t="s">
        <v>597</v>
      </c>
      <c r="C140" s="11" t="s">
        <v>28</v>
      </c>
      <c r="D140" s="9" t="s">
        <v>598</v>
      </c>
      <c r="E140" s="11" t="s">
        <v>28</v>
      </c>
      <c r="F140" s="10" t="s">
        <v>28</v>
      </c>
      <c r="G140" s="10">
        <v>0.1</v>
      </c>
      <c r="H140" s="10" t="s">
        <v>28</v>
      </c>
      <c r="I140" s="11" t="s">
        <v>28</v>
      </c>
      <c r="J140" s="11" t="s">
        <v>28</v>
      </c>
      <c r="K140" s="11" t="s">
        <v>28</v>
      </c>
      <c r="L140" s="11" t="s">
        <v>28</v>
      </c>
      <c r="M140" s="11" t="s">
        <v>28</v>
      </c>
      <c r="N140" s="8">
        <v>45617</v>
      </c>
      <c r="O140" s="9" t="s">
        <v>379</v>
      </c>
      <c r="P140" s="12" t="s">
        <v>599</v>
      </c>
      <c r="Q140" s="9" t="s">
        <v>37</v>
      </c>
      <c r="R140" s="14" t="str">
        <f>HYPERLINK("https://my.pitchbook.com?c=278097-94T","View Company Online")</f>
        <v>View Company Online</v>
      </c>
    </row>
    <row r="141" spans="1:18" hidden="1" x14ac:dyDescent="0.3">
      <c r="A141" s="15" t="s">
        <v>600</v>
      </c>
      <c r="B141" s="15" t="s">
        <v>601</v>
      </c>
      <c r="C141" s="18" t="s">
        <v>28</v>
      </c>
      <c r="D141" s="15" t="s">
        <v>602</v>
      </c>
      <c r="E141" s="18" t="s">
        <v>28</v>
      </c>
      <c r="F141" s="19" t="s">
        <v>28</v>
      </c>
      <c r="G141" s="19">
        <v>3.2</v>
      </c>
      <c r="H141" s="19" t="s">
        <v>28</v>
      </c>
      <c r="I141" s="18" t="s">
        <v>28</v>
      </c>
      <c r="J141" s="18" t="s">
        <v>28</v>
      </c>
      <c r="K141" s="18" t="s">
        <v>28</v>
      </c>
      <c r="L141" s="18" t="s">
        <v>28</v>
      </c>
      <c r="M141" s="18" t="s">
        <v>28</v>
      </c>
      <c r="N141" s="17">
        <v>45617</v>
      </c>
      <c r="O141" s="15" t="s">
        <v>99</v>
      </c>
      <c r="P141" s="16" t="s">
        <v>603</v>
      </c>
      <c r="Q141" s="15" t="s">
        <v>85</v>
      </c>
      <c r="R141" s="13" t="str">
        <f>HYPERLINK("https://my.pitchbook.com?c=278172-64T","View Company Online")</f>
        <v>View Company Online</v>
      </c>
    </row>
    <row r="142" spans="1:18" hidden="1" x14ac:dyDescent="0.3">
      <c r="A142" s="9" t="s">
        <v>604</v>
      </c>
      <c r="B142" s="9" t="s">
        <v>605</v>
      </c>
      <c r="C142" s="11" t="s">
        <v>28</v>
      </c>
      <c r="D142" s="9" t="s">
        <v>606</v>
      </c>
      <c r="E142" s="11" t="s">
        <v>28</v>
      </c>
      <c r="F142" s="10" t="s">
        <v>28</v>
      </c>
      <c r="G142" s="10" t="s">
        <v>28</v>
      </c>
      <c r="H142" s="10" t="s">
        <v>28</v>
      </c>
      <c r="I142" s="11" t="s">
        <v>28</v>
      </c>
      <c r="J142" s="11" t="s">
        <v>28</v>
      </c>
      <c r="K142" s="11" t="s">
        <v>28</v>
      </c>
      <c r="L142" s="11" t="s">
        <v>28</v>
      </c>
      <c r="M142" s="11" t="s">
        <v>28</v>
      </c>
      <c r="N142" s="8">
        <v>45615</v>
      </c>
      <c r="O142" s="9" t="s">
        <v>58</v>
      </c>
      <c r="P142" s="12" t="s">
        <v>28</v>
      </c>
      <c r="Q142" s="9" t="s">
        <v>607</v>
      </c>
      <c r="R142" s="14" t="str">
        <f>HYPERLINK("https://my.pitchbook.com?c=277880-41T","View Company Online")</f>
        <v>View Company Online</v>
      </c>
    </row>
    <row r="143" spans="1:18" hidden="1" x14ac:dyDescent="0.3">
      <c r="A143" s="15" t="s">
        <v>608</v>
      </c>
      <c r="B143" s="15" t="s">
        <v>609</v>
      </c>
      <c r="C143" s="18" t="s">
        <v>28</v>
      </c>
      <c r="D143" s="15" t="s">
        <v>610</v>
      </c>
      <c r="E143" s="18" t="s">
        <v>28</v>
      </c>
      <c r="F143" s="19" t="s">
        <v>28</v>
      </c>
      <c r="G143" s="19" t="s">
        <v>28</v>
      </c>
      <c r="H143" s="19" t="s">
        <v>28</v>
      </c>
      <c r="I143" s="18" t="s">
        <v>28</v>
      </c>
      <c r="J143" s="18" t="s">
        <v>28</v>
      </c>
      <c r="K143" s="18" t="s">
        <v>28</v>
      </c>
      <c r="L143" s="18" t="s">
        <v>28</v>
      </c>
      <c r="M143" s="18" t="s">
        <v>28</v>
      </c>
      <c r="N143" s="17">
        <v>45615</v>
      </c>
      <c r="O143" s="15" t="s">
        <v>99</v>
      </c>
      <c r="P143" s="16" t="s">
        <v>611</v>
      </c>
      <c r="Q143" s="15" t="s">
        <v>263</v>
      </c>
      <c r="R143" s="13" t="str">
        <f>HYPERLINK("https://my.pitchbook.com?c=282394-81T","View Company Online")</f>
        <v>View Company Online</v>
      </c>
    </row>
    <row r="144" spans="1:18" hidden="1" x14ac:dyDescent="0.3">
      <c r="A144" s="9" t="s">
        <v>612</v>
      </c>
      <c r="B144" s="9" t="s">
        <v>613</v>
      </c>
      <c r="C144" s="11" t="s">
        <v>28</v>
      </c>
      <c r="D144" s="9" t="s">
        <v>614</v>
      </c>
      <c r="E144" s="11" t="s">
        <v>28</v>
      </c>
      <c r="F144" s="10" t="s">
        <v>28</v>
      </c>
      <c r="G144" s="10">
        <v>0.56000000000000005</v>
      </c>
      <c r="H144" s="10" t="s">
        <v>28</v>
      </c>
      <c r="I144" s="11" t="s">
        <v>28</v>
      </c>
      <c r="J144" s="11" t="s">
        <v>28</v>
      </c>
      <c r="K144" s="11" t="s">
        <v>28</v>
      </c>
      <c r="L144" s="11" t="s">
        <v>28</v>
      </c>
      <c r="M144" s="11" t="s">
        <v>28</v>
      </c>
      <c r="N144" s="8">
        <v>45615</v>
      </c>
      <c r="O144" s="9" t="s">
        <v>79</v>
      </c>
      <c r="P144" s="12" t="s">
        <v>615</v>
      </c>
      <c r="Q144" s="9" t="s">
        <v>616</v>
      </c>
      <c r="R144" s="14" t="str">
        <f>HYPERLINK("https://my.pitchbook.com?c=278228-08T","View Company Online")</f>
        <v>View Company Online</v>
      </c>
    </row>
    <row r="145" spans="1:18" hidden="1" x14ac:dyDescent="0.3">
      <c r="A145" s="15" t="s">
        <v>617</v>
      </c>
      <c r="B145" s="15" t="s">
        <v>618</v>
      </c>
      <c r="C145" s="18" t="s">
        <v>28</v>
      </c>
      <c r="D145" s="15" t="s">
        <v>619</v>
      </c>
      <c r="E145" s="18" t="s">
        <v>28</v>
      </c>
      <c r="F145" s="19" t="s">
        <v>28</v>
      </c>
      <c r="G145" s="19">
        <v>60</v>
      </c>
      <c r="H145" s="19" t="s">
        <v>28</v>
      </c>
      <c r="I145" s="18" t="s">
        <v>28</v>
      </c>
      <c r="J145" s="18" t="s">
        <v>28</v>
      </c>
      <c r="K145" s="18" t="s">
        <v>28</v>
      </c>
      <c r="L145" s="18" t="s">
        <v>28</v>
      </c>
      <c r="M145" s="18" t="s">
        <v>28</v>
      </c>
      <c r="N145" s="17">
        <v>45614</v>
      </c>
      <c r="O145" s="15" t="s">
        <v>93</v>
      </c>
      <c r="P145" s="16" t="s">
        <v>620</v>
      </c>
      <c r="Q145" s="15" t="s">
        <v>263</v>
      </c>
      <c r="R145" s="13" t="str">
        <f>HYPERLINK("https://my.pitchbook.com?c=277785-91T","View Company Online")</f>
        <v>View Company Online</v>
      </c>
    </row>
    <row r="146" spans="1:18" hidden="1" x14ac:dyDescent="0.3">
      <c r="A146" s="9" t="s">
        <v>621</v>
      </c>
      <c r="B146" s="9" t="s">
        <v>622</v>
      </c>
      <c r="C146" s="11" t="s">
        <v>28</v>
      </c>
      <c r="D146" s="9" t="s">
        <v>623</v>
      </c>
      <c r="E146" s="11" t="s">
        <v>28</v>
      </c>
      <c r="F146" s="10" t="s">
        <v>28</v>
      </c>
      <c r="G146" s="10" t="s">
        <v>28</v>
      </c>
      <c r="H146" s="10" t="s">
        <v>28</v>
      </c>
      <c r="I146" s="11" t="s">
        <v>28</v>
      </c>
      <c r="J146" s="11" t="s">
        <v>28</v>
      </c>
      <c r="K146" s="11" t="s">
        <v>28</v>
      </c>
      <c r="L146" s="11" t="s">
        <v>28</v>
      </c>
      <c r="M146" s="11" t="s">
        <v>28</v>
      </c>
      <c r="N146" s="8">
        <v>45614</v>
      </c>
      <c r="O146" s="9" t="s">
        <v>41</v>
      </c>
      <c r="P146" s="12" t="s">
        <v>624</v>
      </c>
      <c r="Q146" s="9" t="s">
        <v>119</v>
      </c>
      <c r="R146" s="14" t="str">
        <f>HYPERLINK("https://my.pitchbook.com?c=277835-95T","View Company Online")</f>
        <v>View Company Online</v>
      </c>
    </row>
    <row r="147" spans="1:18" hidden="1" x14ac:dyDescent="0.3">
      <c r="A147" s="15" t="s">
        <v>625</v>
      </c>
      <c r="B147" s="15" t="s">
        <v>626</v>
      </c>
      <c r="C147" s="18" t="s">
        <v>28</v>
      </c>
      <c r="D147" s="15" t="s">
        <v>627</v>
      </c>
      <c r="E147" s="18" t="s">
        <v>28</v>
      </c>
      <c r="F147" s="19">
        <v>85</v>
      </c>
      <c r="G147" s="19">
        <v>85</v>
      </c>
      <c r="H147" s="19">
        <v>85</v>
      </c>
      <c r="I147" s="18" t="s">
        <v>28</v>
      </c>
      <c r="J147" s="18" t="s">
        <v>28</v>
      </c>
      <c r="K147" s="18" t="s">
        <v>28</v>
      </c>
      <c r="L147" s="18" t="s">
        <v>28</v>
      </c>
      <c r="M147" s="18" t="s">
        <v>28</v>
      </c>
      <c r="N147" s="17">
        <v>45614</v>
      </c>
      <c r="O147" s="15" t="s">
        <v>41</v>
      </c>
      <c r="P147" s="16" t="s">
        <v>628</v>
      </c>
      <c r="Q147" s="15" t="s">
        <v>54</v>
      </c>
      <c r="R147" s="13" t="str">
        <f>HYPERLINK("https://my.pitchbook.com?c=278499-52T","View Company Online")</f>
        <v>View Company Online</v>
      </c>
    </row>
    <row r="148" spans="1:18" hidden="1" x14ac:dyDescent="0.3">
      <c r="A148" s="9" t="s">
        <v>629</v>
      </c>
      <c r="B148" s="9" t="s">
        <v>630</v>
      </c>
      <c r="C148" s="11" t="s">
        <v>28</v>
      </c>
      <c r="D148" s="9" t="s">
        <v>631</v>
      </c>
      <c r="E148" s="11" t="s">
        <v>28</v>
      </c>
      <c r="F148" s="10" t="s">
        <v>28</v>
      </c>
      <c r="G148" s="10" t="s">
        <v>28</v>
      </c>
      <c r="H148" s="10" t="s">
        <v>28</v>
      </c>
      <c r="I148" s="11" t="s">
        <v>28</v>
      </c>
      <c r="J148" s="11" t="s">
        <v>28</v>
      </c>
      <c r="K148" s="11" t="s">
        <v>28</v>
      </c>
      <c r="L148" s="11" t="s">
        <v>28</v>
      </c>
      <c r="M148" s="11" t="s">
        <v>28</v>
      </c>
      <c r="N148" s="8">
        <v>45614</v>
      </c>
      <c r="O148" s="9" t="s">
        <v>52</v>
      </c>
      <c r="P148" s="12" t="s">
        <v>632</v>
      </c>
      <c r="Q148" s="9" t="s">
        <v>75</v>
      </c>
      <c r="R148" s="14" t="str">
        <f>HYPERLINK("https://my.pitchbook.com?c=292619-80T","View Company Online")</f>
        <v>View Company Online</v>
      </c>
    </row>
    <row r="149" spans="1:18" hidden="1" x14ac:dyDescent="0.3">
      <c r="A149" s="15" t="s">
        <v>633</v>
      </c>
      <c r="B149" s="15" t="s">
        <v>634</v>
      </c>
      <c r="C149" s="18" t="s">
        <v>28</v>
      </c>
      <c r="D149" s="15" t="s">
        <v>635</v>
      </c>
      <c r="E149" s="18" t="s">
        <v>28</v>
      </c>
      <c r="F149" s="19" t="s">
        <v>28</v>
      </c>
      <c r="G149" s="19" t="s">
        <v>28</v>
      </c>
      <c r="H149" s="19" t="s">
        <v>28</v>
      </c>
      <c r="I149" s="18" t="s">
        <v>28</v>
      </c>
      <c r="J149" s="18" t="s">
        <v>28</v>
      </c>
      <c r="K149" s="18" t="s">
        <v>28</v>
      </c>
      <c r="L149" s="18" t="s">
        <v>28</v>
      </c>
      <c r="M149" s="18" t="s">
        <v>28</v>
      </c>
      <c r="N149" s="17">
        <v>45614</v>
      </c>
      <c r="O149" s="15" t="s">
        <v>93</v>
      </c>
      <c r="P149" s="16" t="s">
        <v>636</v>
      </c>
      <c r="Q149" s="15" t="s">
        <v>95</v>
      </c>
      <c r="R149" s="13" t="str">
        <f>HYPERLINK("https://my.pitchbook.com?c=277810-39T","View Company Online")</f>
        <v>View Company Online</v>
      </c>
    </row>
    <row r="150" spans="1:18" hidden="1" x14ac:dyDescent="0.3">
      <c r="A150" s="9" t="s">
        <v>637</v>
      </c>
      <c r="B150" s="9" t="s">
        <v>638</v>
      </c>
      <c r="C150" s="11" t="s">
        <v>28</v>
      </c>
      <c r="D150" s="9" t="s">
        <v>639</v>
      </c>
      <c r="E150" s="11" t="s">
        <v>28</v>
      </c>
      <c r="F150" s="10" t="s">
        <v>28</v>
      </c>
      <c r="G150" s="10">
        <v>0.02</v>
      </c>
      <c r="H150" s="10" t="s">
        <v>28</v>
      </c>
      <c r="I150" s="11" t="s">
        <v>28</v>
      </c>
      <c r="J150" s="11" t="s">
        <v>28</v>
      </c>
      <c r="K150" s="11" t="s">
        <v>28</v>
      </c>
      <c r="L150" s="11" t="s">
        <v>28</v>
      </c>
      <c r="M150" s="11" t="s">
        <v>28</v>
      </c>
      <c r="N150" s="8">
        <v>45610</v>
      </c>
      <c r="O150" s="9" t="s">
        <v>99</v>
      </c>
      <c r="P150" s="12" t="s">
        <v>611</v>
      </c>
      <c r="Q150" s="9" t="s">
        <v>75</v>
      </c>
      <c r="R150" s="14" t="str">
        <f>HYPERLINK("https://my.pitchbook.com?c=277101-19T","View Company Online")</f>
        <v>View Company Online</v>
      </c>
    </row>
    <row r="151" spans="1:18" hidden="1" x14ac:dyDescent="0.3">
      <c r="A151" s="15" t="s">
        <v>640</v>
      </c>
      <c r="B151" s="15" t="s">
        <v>641</v>
      </c>
      <c r="C151" s="18" t="s">
        <v>28</v>
      </c>
      <c r="D151" s="15" t="s">
        <v>642</v>
      </c>
      <c r="E151" s="18" t="s">
        <v>28</v>
      </c>
      <c r="F151" s="19" t="s">
        <v>28</v>
      </c>
      <c r="G151" s="19" t="s">
        <v>28</v>
      </c>
      <c r="H151" s="19" t="s">
        <v>28</v>
      </c>
      <c r="I151" s="18" t="s">
        <v>28</v>
      </c>
      <c r="J151" s="18" t="s">
        <v>28</v>
      </c>
      <c r="K151" s="18" t="s">
        <v>28</v>
      </c>
      <c r="L151" s="18" t="s">
        <v>28</v>
      </c>
      <c r="M151" s="18" t="s">
        <v>28</v>
      </c>
      <c r="N151" s="17">
        <v>45610</v>
      </c>
      <c r="O151" s="15" t="s">
        <v>30</v>
      </c>
      <c r="P151" s="16" t="s">
        <v>643</v>
      </c>
      <c r="Q151" s="15" t="s">
        <v>64</v>
      </c>
      <c r="R151" s="13" t="str">
        <f>HYPERLINK("https://my.pitchbook.com?c=278741-71T","View Company Online")</f>
        <v>View Company Online</v>
      </c>
    </row>
    <row r="152" spans="1:18" hidden="1" x14ac:dyDescent="0.3">
      <c r="A152" s="9" t="s">
        <v>644</v>
      </c>
      <c r="B152" s="9" t="s">
        <v>645</v>
      </c>
      <c r="C152" s="11" t="s">
        <v>28</v>
      </c>
      <c r="D152" s="9" t="s">
        <v>646</v>
      </c>
      <c r="E152" s="11" t="s">
        <v>28</v>
      </c>
      <c r="F152" s="10" t="s">
        <v>28</v>
      </c>
      <c r="G152" s="10" t="s">
        <v>28</v>
      </c>
      <c r="H152" s="10" t="s">
        <v>28</v>
      </c>
      <c r="I152" s="11" t="s">
        <v>28</v>
      </c>
      <c r="J152" s="11" t="s">
        <v>28</v>
      </c>
      <c r="K152" s="11">
        <v>278.37</v>
      </c>
      <c r="L152" s="11" t="s">
        <v>28</v>
      </c>
      <c r="M152" s="11" t="s">
        <v>28</v>
      </c>
      <c r="N152" s="8">
        <v>45609</v>
      </c>
      <c r="O152" s="9" t="s">
        <v>79</v>
      </c>
      <c r="P152" s="12" t="s">
        <v>611</v>
      </c>
      <c r="Q152" s="9" t="s">
        <v>75</v>
      </c>
      <c r="R152" s="14" t="str">
        <f>HYPERLINK("https://my.pitchbook.com?c=281304-55T","View Company Online")</f>
        <v>View Company Online</v>
      </c>
    </row>
    <row r="153" spans="1:18" hidden="1" x14ac:dyDescent="0.3">
      <c r="A153" s="15" t="s">
        <v>647</v>
      </c>
      <c r="B153" s="15" t="s">
        <v>648</v>
      </c>
      <c r="C153" s="18" t="s">
        <v>28</v>
      </c>
      <c r="D153" s="15" t="s">
        <v>649</v>
      </c>
      <c r="E153" s="18" t="s">
        <v>28</v>
      </c>
      <c r="F153" s="19">
        <v>6.65</v>
      </c>
      <c r="G153" s="19">
        <v>6.65</v>
      </c>
      <c r="H153" s="19">
        <v>6.65</v>
      </c>
      <c r="I153" s="18" t="s">
        <v>28</v>
      </c>
      <c r="J153" s="18" t="s">
        <v>28</v>
      </c>
      <c r="K153" s="18" t="s">
        <v>28</v>
      </c>
      <c r="L153" s="18" t="s">
        <v>28</v>
      </c>
      <c r="M153" s="18" t="s">
        <v>28</v>
      </c>
      <c r="N153" s="17">
        <v>45609</v>
      </c>
      <c r="O153" s="15" t="s">
        <v>30</v>
      </c>
      <c r="P153" s="16" t="s">
        <v>650</v>
      </c>
      <c r="Q153" s="15" t="s">
        <v>43</v>
      </c>
      <c r="R153" s="13" t="str">
        <f>HYPERLINK("https://my.pitchbook.com?c=277806-97T","View Company Online")</f>
        <v>View Company Online</v>
      </c>
    </row>
    <row r="154" spans="1:18" hidden="1" x14ac:dyDescent="0.3">
      <c r="A154" s="9" t="s">
        <v>651</v>
      </c>
      <c r="B154" s="9" t="s">
        <v>652</v>
      </c>
      <c r="C154" s="11" t="s">
        <v>28</v>
      </c>
      <c r="D154" s="9" t="s">
        <v>653</v>
      </c>
      <c r="E154" s="11" t="s">
        <v>28</v>
      </c>
      <c r="F154" s="10" t="s">
        <v>28</v>
      </c>
      <c r="G154" s="10">
        <v>1.75</v>
      </c>
      <c r="H154" s="10">
        <v>26.26</v>
      </c>
      <c r="I154" s="11" t="s">
        <v>28</v>
      </c>
      <c r="J154" s="11" t="s">
        <v>28</v>
      </c>
      <c r="K154" s="11" t="s">
        <v>28</v>
      </c>
      <c r="L154" s="11" t="s">
        <v>28</v>
      </c>
      <c r="M154" s="11" t="s">
        <v>28</v>
      </c>
      <c r="N154" s="8">
        <v>45609</v>
      </c>
      <c r="O154" s="9" t="s">
        <v>79</v>
      </c>
      <c r="P154" s="12" t="s">
        <v>28</v>
      </c>
      <c r="Q154" s="9" t="s">
        <v>414</v>
      </c>
      <c r="R154" s="14" t="str">
        <f>HYPERLINK("https://my.pitchbook.com?c=277490-26T","View Company Online")</f>
        <v>View Company Online</v>
      </c>
    </row>
    <row r="155" spans="1:18" hidden="1" x14ac:dyDescent="0.3">
      <c r="A155" s="15" t="s">
        <v>654</v>
      </c>
      <c r="B155" s="15" t="s">
        <v>655</v>
      </c>
      <c r="C155" s="18" t="s">
        <v>28</v>
      </c>
      <c r="D155" s="15" t="s">
        <v>656</v>
      </c>
      <c r="E155" s="18" t="s">
        <v>28</v>
      </c>
      <c r="F155" s="19" t="s">
        <v>28</v>
      </c>
      <c r="G155" s="19" t="s">
        <v>28</v>
      </c>
      <c r="H155" s="19" t="s">
        <v>28</v>
      </c>
      <c r="I155" s="18" t="s">
        <v>28</v>
      </c>
      <c r="J155" s="18" t="s">
        <v>28</v>
      </c>
      <c r="K155" s="18" t="s">
        <v>28</v>
      </c>
      <c r="L155" s="18" t="s">
        <v>28</v>
      </c>
      <c r="M155" s="18" t="s">
        <v>28</v>
      </c>
      <c r="N155" s="17">
        <v>45609</v>
      </c>
      <c r="O155" s="15" t="s">
        <v>41</v>
      </c>
      <c r="P155" s="16" t="s">
        <v>657</v>
      </c>
      <c r="Q155" s="15" t="s">
        <v>658</v>
      </c>
      <c r="R155" s="13" t="str">
        <f>HYPERLINK("https://my.pitchbook.com?c=277458-76T","View Company Online")</f>
        <v>View Company Online</v>
      </c>
    </row>
    <row r="156" spans="1:18" hidden="1" x14ac:dyDescent="0.3">
      <c r="A156" s="9" t="s">
        <v>659</v>
      </c>
      <c r="B156" s="9" t="s">
        <v>660</v>
      </c>
      <c r="C156" s="11" t="s">
        <v>28</v>
      </c>
      <c r="D156" s="9" t="s">
        <v>661</v>
      </c>
      <c r="E156" s="11" t="s">
        <v>28</v>
      </c>
      <c r="F156" s="10" t="s">
        <v>28</v>
      </c>
      <c r="G156" s="10">
        <v>2.2000000000000002</v>
      </c>
      <c r="H156" s="10" t="s">
        <v>28</v>
      </c>
      <c r="I156" s="11" t="s">
        <v>28</v>
      </c>
      <c r="J156" s="11" t="s">
        <v>28</v>
      </c>
      <c r="K156" s="11" t="s">
        <v>28</v>
      </c>
      <c r="L156" s="11" t="s">
        <v>28</v>
      </c>
      <c r="M156" s="11" t="s">
        <v>28</v>
      </c>
      <c r="N156" s="8">
        <v>45608</v>
      </c>
      <c r="O156" s="9" t="s">
        <v>79</v>
      </c>
      <c r="P156" s="12" t="s">
        <v>28</v>
      </c>
      <c r="Q156" s="9" t="s">
        <v>75</v>
      </c>
      <c r="R156" s="14" t="str">
        <f>HYPERLINK("https://my.pitchbook.com?c=277375-24T","View Company Online")</f>
        <v>View Company Online</v>
      </c>
    </row>
    <row r="157" spans="1:18" hidden="1" x14ac:dyDescent="0.3">
      <c r="A157" s="15" t="s">
        <v>662</v>
      </c>
      <c r="B157" s="15" t="s">
        <v>663</v>
      </c>
      <c r="C157" s="18" t="s">
        <v>28</v>
      </c>
      <c r="D157" s="15" t="s">
        <v>664</v>
      </c>
      <c r="E157" s="18" t="s">
        <v>28</v>
      </c>
      <c r="F157" s="19" t="s">
        <v>28</v>
      </c>
      <c r="G157" s="19" t="s">
        <v>28</v>
      </c>
      <c r="H157" s="19" t="s">
        <v>28</v>
      </c>
      <c r="I157" s="18" t="s">
        <v>28</v>
      </c>
      <c r="J157" s="18" t="s">
        <v>28</v>
      </c>
      <c r="K157" s="18" t="s">
        <v>28</v>
      </c>
      <c r="L157" s="18" t="s">
        <v>28</v>
      </c>
      <c r="M157" s="18" t="s">
        <v>28</v>
      </c>
      <c r="N157" s="17">
        <v>45608</v>
      </c>
      <c r="O157" s="15" t="s">
        <v>30</v>
      </c>
      <c r="P157" s="16" t="s">
        <v>665</v>
      </c>
      <c r="Q157" s="15" t="s">
        <v>37</v>
      </c>
      <c r="R157" s="13" t="str">
        <f>HYPERLINK("https://my.pitchbook.com?c=277906-60T","View Company Online")</f>
        <v>View Company Online</v>
      </c>
    </row>
    <row r="158" spans="1:18" hidden="1" x14ac:dyDescent="0.3">
      <c r="A158" s="9" t="s">
        <v>666</v>
      </c>
      <c r="B158" s="9" t="s">
        <v>667</v>
      </c>
      <c r="C158" s="11" t="s">
        <v>28</v>
      </c>
      <c r="D158" s="9" t="s">
        <v>668</v>
      </c>
      <c r="E158" s="11" t="s">
        <v>28</v>
      </c>
      <c r="F158" s="10" t="s">
        <v>28</v>
      </c>
      <c r="G158" s="10" t="s">
        <v>28</v>
      </c>
      <c r="H158" s="10" t="s">
        <v>28</v>
      </c>
      <c r="I158" s="11">
        <v>327.18</v>
      </c>
      <c r="J158" s="11" t="s">
        <v>28</v>
      </c>
      <c r="K158" s="11">
        <v>1386.11</v>
      </c>
      <c r="L158" s="11" t="s">
        <v>28</v>
      </c>
      <c r="M158" s="11" t="s">
        <v>28</v>
      </c>
      <c r="N158" s="8">
        <v>45608</v>
      </c>
      <c r="O158" s="9" t="s">
        <v>30</v>
      </c>
      <c r="P158" s="12" t="s">
        <v>28</v>
      </c>
      <c r="Q158" s="9" t="s">
        <v>669</v>
      </c>
      <c r="R158" s="14" t="str">
        <f>HYPERLINK("https://my.pitchbook.com?c=278076-34T","View Company Online")</f>
        <v>View Company Online</v>
      </c>
    </row>
    <row r="159" spans="1:18" hidden="1" x14ac:dyDescent="0.3">
      <c r="A159" s="15" t="s">
        <v>670</v>
      </c>
      <c r="B159" s="15" t="s">
        <v>671</v>
      </c>
      <c r="C159" s="18" t="s">
        <v>28</v>
      </c>
      <c r="D159" s="15" t="s">
        <v>672</v>
      </c>
      <c r="E159" s="18" t="s">
        <v>28</v>
      </c>
      <c r="F159" s="19" t="s">
        <v>28</v>
      </c>
      <c r="G159" s="19" t="s">
        <v>28</v>
      </c>
      <c r="H159" s="19" t="s">
        <v>28</v>
      </c>
      <c r="I159" s="18" t="s">
        <v>28</v>
      </c>
      <c r="J159" s="18" t="s">
        <v>28</v>
      </c>
      <c r="K159" s="18" t="s">
        <v>28</v>
      </c>
      <c r="L159" s="18" t="s">
        <v>28</v>
      </c>
      <c r="M159" s="18" t="s">
        <v>28</v>
      </c>
      <c r="N159" s="17">
        <v>45608</v>
      </c>
      <c r="O159" s="15" t="s">
        <v>41</v>
      </c>
      <c r="P159" s="16" t="s">
        <v>42</v>
      </c>
      <c r="Q159" s="15" t="s">
        <v>43</v>
      </c>
      <c r="R159" s="13" t="str">
        <f>HYPERLINK("https://my.pitchbook.com?c=277915-78T","View Company Online")</f>
        <v>View Company Online</v>
      </c>
    </row>
    <row r="160" spans="1:18" hidden="1" x14ac:dyDescent="0.3">
      <c r="A160" s="9" t="s">
        <v>673</v>
      </c>
      <c r="B160" s="9" t="s">
        <v>674</v>
      </c>
      <c r="C160" s="11" t="s">
        <v>28</v>
      </c>
      <c r="D160" s="9" t="s">
        <v>675</v>
      </c>
      <c r="E160" s="11" t="s">
        <v>28</v>
      </c>
      <c r="F160" s="10" t="s">
        <v>28</v>
      </c>
      <c r="G160" s="10">
        <v>76.739999999999995</v>
      </c>
      <c r="H160" s="10" t="s">
        <v>28</v>
      </c>
      <c r="I160" s="11" t="s">
        <v>28</v>
      </c>
      <c r="J160" s="11" t="s">
        <v>28</v>
      </c>
      <c r="K160" s="11" t="s">
        <v>28</v>
      </c>
      <c r="L160" s="11" t="s">
        <v>28</v>
      </c>
      <c r="M160" s="11" t="s">
        <v>28</v>
      </c>
      <c r="N160" s="8">
        <v>45607</v>
      </c>
      <c r="O160" s="9" t="s">
        <v>173</v>
      </c>
      <c r="P160" s="12" t="s">
        <v>28</v>
      </c>
      <c r="Q160" s="9" t="s">
        <v>240</v>
      </c>
      <c r="R160" s="14" t="str">
        <f>HYPERLINK("https://my.pitchbook.com?c=277672-60T","View Company Online")</f>
        <v>View Company Online</v>
      </c>
    </row>
    <row r="161" spans="1:18" hidden="1" x14ac:dyDescent="0.3">
      <c r="A161" s="15" t="s">
        <v>676</v>
      </c>
      <c r="B161" s="15" t="s">
        <v>677</v>
      </c>
      <c r="C161" s="18" t="s">
        <v>28</v>
      </c>
      <c r="D161" s="15" t="s">
        <v>678</v>
      </c>
      <c r="E161" s="18" t="s">
        <v>28</v>
      </c>
      <c r="F161" s="19" t="s">
        <v>28</v>
      </c>
      <c r="G161" s="19" t="s">
        <v>28</v>
      </c>
      <c r="H161" s="19" t="s">
        <v>28</v>
      </c>
      <c r="I161" s="18" t="s">
        <v>28</v>
      </c>
      <c r="J161" s="18" t="s">
        <v>28</v>
      </c>
      <c r="K161" s="18" t="s">
        <v>28</v>
      </c>
      <c r="L161" s="18" t="s">
        <v>28</v>
      </c>
      <c r="M161" s="18" t="s">
        <v>28</v>
      </c>
      <c r="N161" s="17">
        <v>45607</v>
      </c>
      <c r="O161" s="15" t="s">
        <v>41</v>
      </c>
      <c r="P161" s="16" t="s">
        <v>679</v>
      </c>
      <c r="Q161" s="15" t="s">
        <v>95</v>
      </c>
      <c r="R161" s="13" t="str">
        <f>HYPERLINK("https://my.pitchbook.com?c=277877-17T","View Company Online")</f>
        <v>View Company Online</v>
      </c>
    </row>
    <row r="162" spans="1:18" hidden="1" x14ac:dyDescent="0.3">
      <c r="A162" s="9" t="s">
        <v>680</v>
      </c>
      <c r="B162" s="9" t="s">
        <v>681</v>
      </c>
      <c r="C162" s="11" t="s">
        <v>28</v>
      </c>
      <c r="D162" s="9" t="s">
        <v>682</v>
      </c>
      <c r="E162" s="11" t="s">
        <v>28</v>
      </c>
      <c r="F162" s="10" t="s">
        <v>28</v>
      </c>
      <c r="G162" s="10">
        <v>13.2</v>
      </c>
      <c r="H162" s="10" t="s">
        <v>28</v>
      </c>
      <c r="I162" s="11" t="s">
        <v>28</v>
      </c>
      <c r="J162" s="11" t="s">
        <v>28</v>
      </c>
      <c r="K162" s="11" t="s">
        <v>28</v>
      </c>
      <c r="L162" s="11" t="s">
        <v>28</v>
      </c>
      <c r="M162" s="11" t="s">
        <v>28</v>
      </c>
      <c r="N162" s="8">
        <v>45607</v>
      </c>
      <c r="O162" s="9" t="s">
        <v>99</v>
      </c>
      <c r="P162" s="12" t="s">
        <v>683</v>
      </c>
      <c r="Q162" s="9" t="s">
        <v>75</v>
      </c>
      <c r="R162" s="14" t="str">
        <f>HYPERLINK("https://my.pitchbook.com?c=277142-50T","View Company Online")</f>
        <v>View Company Online</v>
      </c>
    </row>
    <row r="163" spans="1:18" hidden="1" x14ac:dyDescent="0.3">
      <c r="A163" s="15" t="s">
        <v>684</v>
      </c>
      <c r="B163" s="15" t="s">
        <v>685</v>
      </c>
      <c r="C163" s="18" t="s">
        <v>28</v>
      </c>
      <c r="D163" s="15" t="s">
        <v>686</v>
      </c>
      <c r="E163" s="18" t="s">
        <v>28</v>
      </c>
      <c r="F163" s="19" t="s">
        <v>28</v>
      </c>
      <c r="G163" s="19" t="s">
        <v>28</v>
      </c>
      <c r="H163" s="19" t="s">
        <v>28</v>
      </c>
      <c r="I163" s="18" t="s">
        <v>28</v>
      </c>
      <c r="J163" s="18" t="s">
        <v>28</v>
      </c>
      <c r="K163" s="18" t="s">
        <v>28</v>
      </c>
      <c r="L163" s="18" t="s">
        <v>28</v>
      </c>
      <c r="M163" s="18" t="s">
        <v>28</v>
      </c>
      <c r="N163" s="17">
        <v>45605</v>
      </c>
      <c r="O163" s="15" t="s">
        <v>30</v>
      </c>
      <c r="P163" s="16" t="s">
        <v>687</v>
      </c>
      <c r="Q163" s="15" t="s">
        <v>409</v>
      </c>
      <c r="R163" s="13" t="str">
        <f>HYPERLINK("https://my.pitchbook.com?c=269362-00T","View Company Online")</f>
        <v>View Company Online</v>
      </c>
    </row>
    <row r="164" spans="1:18" hidden="1" x14ac:dyDescent="0.3">
      <c r="A164" s="9" t="s">
        <v>688</v>
      </c>
      <c r="B164" s="9" t="s">
        <v>689</v>
      </c>
      <c r="C164" s="11" t="s">
        <v>28</v>
      </c>
      <c r="D164" s="9" t="s">
        <v>690</v>
      </c>
      <c r="E164" s="11" t="s">
        <v>28</v>
      </c>
      <c r="F164" s="10">
        <v>19.25</v>
      </c>
      <c r="G164" s="10">
        <v>9.82</v>
      </c>
      <c r="H164" s="10">
        <v>19.25</v>
      </c>
      <c r="I164" s="11" t="s">
        <v>28</v>
      </c>
      <c r="J164" s="11" t="s">
        <v>28</v>
      </c>
      <c r="K164" s="11">
        <v>3.55</v>
      </c>
      <c r="L164" s="11">
        <v>5.42</v>
      </c>
      <c r="M164" s="11" t="s">
        <v>28</v>
      </c>
      <c r="N164" s="8">
        <v>45604</v>
      </c>
      <c r="O164" s="9" t="s">
        <v>30</v>
      </c>
      <c r="P164" s="12" t="s">
        <v>691</v>
      </c>
      <c r="Q164" s="9" t="s">
        <v>692</v>
      </c>
      <c r="R164" s="14" t="str">
        <f>HYPERLINK("https://my.pitchbook.com?c=294436-45T","View Company Online")</f>
        <v>View Company Online</v>
      </c>
    </row>
    <row r="165" spans="1:18" hidden="1" x14ac:dyDescent="0.3">
      <c r="A165" s="15" t="s">
        <v>693</v>
      </c>
      <c r="B165" s="15" t="s">
        <v>694</v>
      </c>
      <c r="C165" s="18" t="s">
        <v>28</v>
      </c>
      <c r="D165" s="15" t="s">
        <v>695</v>
      </c>
      <c r="E165" s="18" t="s">
        <v>28</v>
      </c>
      <c r="F165" s="19" t="s">
        <v>28</v>
      </c>
      <c r="G165" s="19">
        <v>75.930000000000007</v>
      </c>
      <c r="H165" s="19" t="s">
        <v>28</v>
      </c>
      <c r="I165" s="18" t="s">
        <v>28</v>
      </c>
      <c r="J165" s="18" t="s">
        <v>28</v>
      </c>
      <c r="K165" s="18">
        <v>67.400000000000006</v>
      </c>
      <c r="L165" s="18" t="s">
        <v>28</v>
      </c>
      <c r="M165" s="18" t="s">
        <v>28</v>
      </c>
      <c r="N165" s="17">
        <v>45604</v>
      </c>
      <c r="O165" s="15" t="s">
        <v>93</v>
      </c>
      <c r="P165" s="16" t="s">
        <v>28</v>
      </c>
      <c r="Q165" s="15" t="s">
        <v>696</v>
      </c>
      <c r="R165" s="13" t="str">
        <f>HYPERLINK("https://my.pitchbook.com?c=276989-86T","View Company Online")</f>
        <v>View Company Online</v>
      </c>
    </row>
    <row r="166" spans="1:18" hidden="1" x14ac:dyDescent="0.3">
      <c r="A166" s="9" t="s">
        <v>697</v>
      </c>
      <c r="B166" s="9" t="s">
        <v>698</v>
      </c>
      <c r="C166" s="11" t="s">
        <v>28</v>
      </c>
      <c r="D166" s="9" t="s">
        <v>699</v>
      </c>
      <c r="E166" s="11" t="s">
        <v>28</v>
      </c>
      <c r="F166" s="10" t="s">
        <v>28</v>
      </c>
      <c r="G166" s="10">
        <v>0.1</v>
      </c>
      <c r="H166" s="10" t="s">
        <v>28</v>
      </c>
      <c r="I166" s="11" t="s">
        <v>28</v>
      </c>
      <c r="J166" s="11" t="s">
        <v>28</v>
      </c>
      <c r="K166" s="11" t="s">
        <v>28</v>
      </c>
      <c r="L166" s="11" t="s">
        <v>28</v>
      </c>
      <c r="M166" s="11" t="s">
        <v>28</v>
      </c>
      <c r="N166" s="8">
        <v>45603</v>
      </c>
      <c r="O166" s="9" t="s">
        <v>52</v>
      </c>
      <c r="P166" s="12" t="s">
        <v>700</v>
      </c>
      <c r="Q166" s="9" t="s">
        <v>75</v>
      </c>
      <c r="R166" s="14" t="str">
        <f>HYPERLINK("https://my.pitchbook.com?c=279004-69T","View Company Online")</f>
        <v>View Company Online</v>
      </c>
    </row>
    <row r="167" spans="1:18" hidden="1" x14ac:dyDescent="0.3">
      <c r="A167" s="15" t="s">
        <v>701</v>
      </c>
      <c r="B167" s="15" t="s">
        <v>702</v>
      </c>
      <c r="C167" s="18" t="s">
        <v>28</v>
      </c>
      <c r="D167" s="15" t="s">
        <v>703</v>
      </c>
      <c r="E167" s="18" t="s">
        <v>28</v>
      </c>
      <c r="F167" s="19">
        <v>154.65</v>
      </c>
      <c r="G167" s="19">
        <v>154.65</v>
      </c>
      <c r="H167" s="19">
        <v>154.65</v>
      </c>
      <c r="I167" s="18" t="s">
        <v>28</v>
      </c>
      <c r="J167" s="18" t="s">
        <v>28</v>
      </c>
      <c r="K167" s="18" t="s">
        <v>28</v>
      </c>
      <c r="L167" s="18" t="s">
        <v>28</v>
      </c>
      <c r="M167" s="18" t="s">
        <v>28</v>
      </c>
      <c r="N167" s="17">
        <v>45603</v>
      </c>
      <c r="O167" s="15" t="s">
        <v>30</v>
      </c>
      <c r="P167" s="16" t="s">
        <v>704</v>
      </c>
      <c r="Q167" s="15" t="s">
        <v>160</v>
      </c>
      <c r="R167" s="13" t="str">
        <f>HYPERLINK("https://my.pitchbook.com?c=259256-35T","View Company Online")</f>
        <v>View Company Online</v>
      </c>
    </row>
    <row r="168" spans="1:18" hidden="1" x14ac:dyDescent="0.3">
      <c r="A168" s="9" t="s">
        <v>705</v>
      </c>
      <c r="B168" s="9" t="s">
        <v>706</v>
      </c>
      <c r="C168" s="11" t="s">
        <v>28</v>
      </c>
      <c r="D168" s="9" t="s">
        <v>707</v>
      </c>
      <c r="E168" s="11" t="s">
        <v>28</v>
      </c>
      <c r="F168" s="10" t="s">
        <v>28</v>
      </c>
      <c r="G168" s="10">
        <v>0.1</v>
      </c>
      <c r="H168" s="10" t="s">
        <v>28</v>
      </c>
      <c r="I168" s="11" t="s">
        <v>28</v>
      </c>
      <c r="J168" s="11" t="s">
        <v>28</v>
      </c>
      <c r="K168" s="11" t="s">
        <v>28</v>
      </c>
      <c r="L168" s="11" t="s">
        <v>28</v>
      </c>
      <c r="M168" s="11" t="s">
        <v>28</v>
      </c>
      <c r="N168" s="8">
        <v>45603</v>
      </c>
      <c r="O168" s="9" t="s">
        <v>52</v>
      </c>
      <c r="P168" s="12" t="s">
        <v>708</v>
      </c>
      <c r="Q168" s="9" t="s">
        <v>75</v>
      </c>
      <c r="R168" s="14" t="str">
        <f>HYPERLINK("https://my.pitchbook.com?c=288523-63T","View Company Online")</f>
        <v>View Company Online</v>
      </c>
    </row>
    <row r="169" spans="1:18" hidden="1" x14ac:dyDescent="0.3">
      <c r="A169" s="15" t="s">
        <v>709</v>
      </c>
      <c r="B169" s="15" t="s">
        <v>710</v>
      </c>
      <c r="C169" s="18" t="s">
        <v>28</v>
      </c>
      <c r="D169" s="15" t="s">
        <v>711</v>
      </c>
      <c r="E169" s="18" t="s">
        <v>28</v>
      </c>
      <c r="F169" s="19" t="s">
        <v>28</v>
      </c>
      <c r="G169" s="19">
        <v>0.44</v>
      </c>
      <c r="H169" s="19" t="s">
        <v>28</v>
      </c>
      <c r="I169" s="18" t="s">
        <v>28</v>
      </c>
      <c r="J169" s="18" t="s">
        <v>28</v>
      </c>
      <c r="K169" s="18" t="s">
        <v>28</v>
      </c>
      <c r="L169" s="18" t="s">
        <v>28</v>
      </c>
      <c r="M169" s="18" t="s">
        <v>28</v>
      </c>
      <c r="N169" s="17">
        <v>45603</v>
      </c>
      <c r="O169" s="15" t="s">
        <v>99</v>
      </c>
      <c r="P169" s="16" t="s">
        <v>712</v>
      </c>
      <c r="Q169" s="15" t="s">
        <v>75</v>
      </c>
      <c r="R169" s="13" t="str">
        <f>HYPERLINK("https://my.pitchbook.com?c=268415-20T","View Company Online")</f>
        <v>View Company Online</v>
      </c>
    </row>
    <row r="170" spans="1:18" hidden="1" x14ac:dyDescent="0.3">
      <c r="A170" s="9" t="s">
        <v>713</v>
      </c>
      <c r="B170" s="9" t="s">
        <v>714</v>
      </c>
      <c r="C170" s="11" t="s">
        <v>28</v>
      </c>
      <c r="D170" s="9" t="s">
        <v>715</v>
      </c>
      <c r="E170" s="11" t="s">
        <v>28</v>
      </c>
      <c r="F170" s="10">
        <v>8.6199999999999992</v>
      </c>
      <c r="G170" s="10">
        <v>8.6199999999999992</v>
      </c>
      <c r="H170" s="10">
        <v>8.6199999999999992</v>
      </c>
      <c r="I170" s="11" t="s">
        <v>28</v>
      </c>
      <c r="J170" s="11" t="s">
        <v>28</v>
      </c>
      <c r="K170" s="11" t="s">
        <v>28</v>
      </c>
      <c r="L170" s="11" t="s">
        <v>28</v>
      </c>
      <c r="M170" s="11" t="s">
        <v>28</v>
      </c>
      <c r="N170" s="8">
        <v>45603</v>
      </c>
      <c r="O170" s="9" t="s">
        <v>30</v>
      </c>
      <c r="P170" s="12" t="s">
        <v>716</v>
      </c>
      <c r="Q170" s="9" t="s">
        <v>75</v>
      </c>
      <c r="R170" s="14" t="str">
        <f>HYPERLINK("https://my.pitchbook.com?c=276760-72T","View Company Online")</f>
        <v>View Company Online</v>
      </c>
    </row>
    <row r="171" spans="1:18" hidden="1" x14ac:dyDescent="0.3">
      <c r="A171" s="15" t="s">
        <v>717</v>
      </c>
      <c r="B171" s="15" t="s">
        <v>718</v>
      </c>
      <c r="C171" s="18" t="s">
        <v>28</v>
      </c>
      <c r="D171" s="15" t="s">
        <v>719</v>
      </c>
      <c r="E171" s="18" t="s">
        <v>28</v>
      </c>
      <c r="F171" s="19" t="s">
        <v>28</v>
      </c>
      <c r="G171" s="19" t="s">
        <v>28</v>
      </c>
      <c r="H171" s="19" t="s">
        <v>28</v>
      </c>
      <c r="I171" s="18" t="s">
        <v>28</v>
      </c>
      <c r="J171" s="18" t="s">
        <v>28</v>
      </c>
      <c r="K171" s="18" t="s">
        <v>28</v>
      </c>
      <c r="L171" s="18" t="s">
        <v>28</v>
      </c>
      <c r="M171" s="18" t="s">
        <v>28</v>
      </c>
      <c r="N171" s="17">
        <v>45602</v>
      </c>
      <c r="O171" s="15" t="s">
        <v>30</v>
      </c>
      <c r="P171" s="16" t="s">
        <v>720</v>
      </c>
      <c r="Q171" s="15" t="s">
        <v>85</v>
      </c>
      <c r="R171" s="13" t="str">
        <f>HYPERLINK("https://my.pitchbook.com?c=277190-92T","View Company Online")</f>
        <v>View Company Online</v>
      </c>
    </row>
    <row r="172" spans="1:18" hidden="1" x14ac:dyDescent="0.3">
      <c r="A172" s="9" t="s">
        <v>721</v>
      </c>
      <c r="B172" s="9" t="s">
        <v>722</v>
      </c>
      <c r="C172" s="11" t="s">
        <v>28</v>
      </c>
      <c r="D172" s="9" t="s">
        <v>723</v>
      </c>
      <c r="E172" s="11" t="s">
        <v>28</v>
      </c>
      <c r="F172" s="10" t="s">
        <v>28</v>
      </c>
      <c r="G172" s="10">
        <v>18</v>
      </c>
      <c r="H172" s="10" t="s">
        <v>28</v>
      </c>
      <c r="I172" s="11" t="s">
        <v>28</v>
      </c>
      <c r="J172" s="11" t="s">
        <v>28</v>
      </c>
      <c r="K172" s="11" t="s">
        <v>28</v>
      </c>
      <c r="L172" s="11" t="s">
        <v>28</v>
      </c>
      <c r="M172" s="11" t="s">
        <v>28</v>
      </c>
      <c r="N172" s="8">
        <v>45602</v>
      </c>
      <c r="O172" s="9" t="s">
        <v>99</v>
      </c>
      <c r="P172" s="12" t="s">
        <v>724</v>
      </c>
      <c r="Q172" s="9" t="s">
        <v>37</v>
      </c>
      <c r="R172" s="14" t="str">
        <f>HYPERLINK("https://my.pitchbook.com?c=276637-42T","View Company Online")</f>
        <v>View Company Online</v>
      </c>
    </row>
    <row r="173" spans="1:18" hidden="1" x14ac:dyDescent="0.3">
      <c r="A173" s="15" t="s">
        <v>725</v>
      </c>
      <c r="B173" s="15" t="s">
        <v>726</v>
      </c>
      <c r="C173" s="18" t="s">
        <v>28</v>
      </c>
      <c r="D173" s="15" t="s">
        <v>727</v>
      </c>
      <c r="E173" s="18" t="s">
        <v>28</v>
      </c>
      <c r="F173" s="19" t="s">
        <v>28</v>
      </c>
      <c r="G173" s="19" t="s">
        <v>28</v>
      </c>
      <c r="H173" s="19">
        <v>19.37</v>
      </c>
      <c r="I173" s="18" t="s">
        <v>28</v>
      </c>
      <c r="J173" s="18" t="s">
        <v>28</v>
      </c>
      <c r="K173" s="18" t="s">
        <v>28</v>
      </c>
      <c r="L173" s="18" t="s">
        <v>28</v>
      </c>
      <c r="M173" s="18" t="s">
        <v>28</v>
      </c>
      <c r="N173" s="17">
        <v>45602</v>
      </c>
      <c r="O173" s="15" t="s">
        <v>73</v>
      </c>
      <c r="P173" s="16" t="s">
        <v>728</v>
      </c>
      <c r="Q173" s="15" t="s">
        <v>114</v>
      </c>
      <c r="R173" s="13" t="str">
        <f>HYPERLINK("https://my.pitchbook.com?c=276682-87T","View Company Online")</f>
        <v>View Company Online</v>
      </c>
    </row>
    <row r="174" spans="1:18" hidden="1" x14ac:dyDescent="0.3">
      <c r="A174" s="9" t="s">
        <v>729</v>
      </c>
      <c r="B174" s="9" t="s">
        <v>730</v>
      </c>
      <c r="C174" s="11" t="s">
        <v>28</v>
      </c>
      <c r="D174" s="9" t="s">
        <v>731</v>
      </c>
      <c r="E174" s="11" t="s">
        <v>28</v>
      </c>
      <c r="F174" s="10">
        <v>217.22</v>
      </c>
      <c r="G174" s="10">
        <v>110.78</v>
      </c>
      <c r="H174" s="10">
        <v>217.22</v>
      </c>
      <c r="I174" s="11" t="s">
        <v>28</v>
      </c>
      <c r="J174" s="11" t="s">
        <v>28</v>
      </c>
      <c r="K174" s="11" t="s">
        <v>28</v>
      </c>
      <c r="L174" s="11" t="s">
        <v>28</v>
      </c>
      <c r="M174" s="11" t="s">
        <v>28</v>
      </c>
      <c r="N174" s="8">
        <v>45602</v>
      </c>
      <c r="O174" s="9" t="s">
        <v>30</v>
      </c>
      <c r="P174" s="12" t="s">
        <v>702</v>
      </c>
      <c r="Q174" s="9" t="s">
        <v>160</v>
      </c>
      <c r="R174" s="14" t="str">
        <f>HYPERLINK("https://my.pitchbook.com?c=276800-68T","View Company Online")</f>
        <v>View Company Online</v>
      </c>
    </row>
    <row r="175" spans="1:18" hidden="1" x14ac:dyDescent="0.3">
      <c r="A175" s="15" t="s">
        <v>732</v>
      </c>
      <c r="B175" s="15" t="s">
        <v>733</v>
      </c>
      <c r="C175" s="18" t="s">
        <v>28</v>
      </c>
      <c r="D175" s="15" t="s">
        <v>734</v>
      </c>
      <c r="E175" s="18" t="s">
        <v>28</v>
      </c>
      <c r="F175" s="19" t="s">
        <v>28</v>
      </c>
      <c r="G175" s="19">
        <v>1.02</v>
      </c>
      <c r="H175" s="19" t="s">
        <v>28</v>
      </c>
      <c r="I175" s="18" t="s">
        <v>28</v>
      </c>
      <c r="J175" s="18" t="s">
        <v>28</v>
      </c>
      <c r="K175" s="18" t="s">
        <v>28</v>
      </c>
      <c r="L175" s="18" t="s">
        <v>28</v>
      </c>
      <c r="M175" s="18" t="s">
        <v>28</v>
      </c>
      <c r="N175" s="17">
        <v>45601</v>
      </c>
      <c r="O175" s="15" t="s">
        <v>79</v>
      </c>
      <c r="P175" s="16" t="s">
        <v>735</v>
      </c>
      <c r="Q175" s="15" t="s">
        <v>75</v>
      </c>
      <c r="R175" s="13" t="str">
        <f>HYPERLINK("https://my.pitchbook.com?c=276571-90T","View Company Online")</f>
        <v>View Company Online</v>
      </c>
    </row>
    <row r="176" spans="1:18" hidden="1" x14ac:dyDescent="0.3">
      <c r="A176" s="9" t="s">
        <v>736</v>
      </c>
      <c r="B176" s="9" t="s">
        <v>737</v>
      </c>
      <c r="C176" s="11" t="s">
        <v>28</v>
      </c>
      <c r="D176" s="9" t="s">
        <v>738</v>
      </c>
      <c r="E176" s="11" t="s">
        <v>28</v>
      </c>
      <c r="F176" s="10" t="s">
        <v>28</v>
      </c>
      <c r="G176" s="10">
        <v>26.46</v>
      </c>
      <c r="H176" s="10" t="s">
        <v>28</v>
      </c>
      <c r="I176" s="11" t="s">
        <v>28</v>
      </c>
      <c r="J176" s="11" t="s">
        <v>28</v>
      </c>
      <c r="K176" s="11" t="s">
        <v>28</v>
      </c>
      <c r="L176" s="11" t="s">
        <v>28</v>
      </c>
      <c r="M176" s="11" t="s">
        <v>28</v>
      </c>
      <c r="N176" s="8">
        <v>45601</v>
      </c>
      <c r="O176" s="9" t="s">
        <v>79</v>
      </c>
      <c r="P176" s="12" t="s">
        <v>739</v>
      </c>
      <c r="Q176" s="9" t="s">
        <v>740</v>
      </c>
      <c r="R176" s="14" t="str">
        <f>HYPERLINK("https://my.pitchbook.com?c=276306-58T","View Company Online")</f>
        <v>View Company Online</v>
      </c>
    </row>
    <row r="177" spans="1:18" hidden="1" x14ac:dyDescent="0.3">
      <c r="A177" s="15" t="s">
        <v>741</v>
      </c>
      <c r="B177" s="15" t="s">
        <v>742</v>
      </c>
      <c r="C177" s="18" t="s">
        <v>28</v>
      </c>
      <c r="D177" s="15" t="s">
        <v>743</v>
      </c>
      <c r="E177" s="18" t="s">
        <v>28</v>
      </c>
      <c r="F177" s="19" t="s">
        <v>28</v>
      </c>
      <c r="G177" s="19">
        <v>22</v>
      </c>
      <c r="H177" s="19" t="s">
        <v>28</v>
      </c>
      <c r="I177" s="18" t="s">
        <v>28</v>
      </c>
      <c r="J177" s="18" t="s">
        <v>28</v>
      </c>
      <c r="K177" s="18">
        <v>5.8</v>
      </c>
      <c r="L177" s="18" t="s">
        <v>28</v>
      </c>
      <c r="M177" s="18" t="s">
        <v>28</v>
      </c>
      <c r="N177" s="17">
        <v>45600</v>
      </c>
      <c r="O177" s="15" t="s">
        <v>99</v>
      </c>
      <c r="P177" s="16" t="s">
        <v>744</v>
      </c>
      <c r="Q177" s="15" t="s">
        <v>114</v>
      </c>
      <c r="R177" s="13" t="str">
        <f>HYPERLINK("https://my.pitchbook.com?c=275834-89T","View Company Online")</f>
        <v>View Company Online</v>
      </c>
    </row>
    <row r="178" spans="1:18" hidden="1" x14ac:dyDescent="0.3">
      <c r="A178" s="9" t="s">
        <v>745</v>
      </c>
      <c r="B178" s="9" t="s">
        <v>746</v>
      </c>
      <c r="C178" s="11" t="s">
        <v>28</v>
      </c>
      <c r="D178" s="9" t="s">
        <v>747</v>
      </c>
      <c r="E178" s="11" t="s">
        <v>28</v>
      </c>
      <c r="F178" s="10" t="s">
        <v>28</v>
      </c>
      <c r="G178" s="10">
        <v>3</v>
      </c>
      <c r="H178" s="10" t="s">
        <v>28</v>
      </c>
      <c r="I178" s="11" t="s">
        <v>28</v>
      </c>
      <c r="J178" s="11" t="s">
        <v>28</v>
      </c>
      <c r="K178" s="11" t="s">
        <v>28</v>
      </c>
      <c r="L178" s="11" t="s">
        <v>28</v>
      </c>
      <c r="M178" s="11" t="s">
        <v>28</v>
      </c>
      <c r="N178" s="8">
        <v>45600</v>
      </c>
      <c r="O178" s="9" t="s">
        <v>79</v>
      </c>
      <c r="P178" s="12" t="s">
        <v>748</v>
      </c>
      <c r="Q178" s="9" t="s">
        <v>37</v>
      </c>
      <c r="R178" s="14" t="str">
        <f>HYPERLINK("https://my.pitchbook.com?c=277957-99T","View Company Online")</f>
        <v>View Company Online</v>
      </c>
    </row>
    <row r="179" spans="1:18" hidden="1" x14ac:dyDescent="0.3">
      <c r="A179" s="15" t="s">
        <v>749</v>
      </c>
      <c r="B179" s="15" t="s">
        <v>750</v>
      </c>
      <c r="C179" s="18" t="s">
        <v>28</v>
      </c>
      <c r="D179" s="15" t="s">
        <v>751</v>
      </c>
      <c r="E179" s="18" t="s">
        <v>28</v>
      </c>
      <c r="F179" s="19" t="s">
        <v>28</v>
      </c>
      <c r="G179" s="19">
        <v>0.53</v>
      </c>
      <c r="H179" s="19" t="s">
        <v>28</v>
      </c>
      <c r="I179" s="18" t="s">
        <v>28</v>
      </c>
      <c r="J179" s="18" t="s">
        <v>28</v>
      </c>
      <c r="K179" s="18" t="s">
        <v>28</v>
      </c>
      <c r="L179" s="18" t="s">
        <v>28</v>
      </c>
      <c r="M179" s="18" t="s">
        <v>28</v>
      </c>
      <c r="N179" s="17">
        <v>45600</v>
      </c>
      <c r="O179" s="15" t="s">
        <v>58</v>
      </c>
      <c r="P179" s="16" t="s">
        <v>752</v>
      </c>
      <c r="Q179" s="15" t="s">
        <v>753</v>
      </c>
      <c r="R179" s="13" t="str">
        <f>HYPERLINK("https://my.pitchbook.com?c=276455-53T","View Company Online")</f>
        <v>View Company Online</v>
      </c>
    </row>
    <row r="180" spans="1:18" hidden="1" x14ac:dyDescent="0.3">
      <c r="A180" s="9" t="s">
        <v>754</v>
      </c>
      <c r="B180" s="9" t="s">
        <v>755</v>
      </c>
      <c r="C180" s="11" t="s">
        <v>28</v>
      </c>
      <c r="D180" s="9" t="s">
        <v>756</v>
      </c>
      <c r="E180" s="11" t="s">
        <v>28</v>
      </c>
      <c r="F180" s="10" t="s">
        <v>28</v>
      </c>
      <c r="G180" s="10" t="s">
        <v>28</v>
      </c>
      <c r="H180" s="10" t="s">
        <v>28</v>
      </c>
      <c r="I180" s="11" t="s">
        <v>28</v>
      </c>
      <c r="J180" s="11" t="s">
        <v>28</v>
      </c>
      <c r="K180" s="11" t="s">
        <v>28</v>
      </c>
      <c r="L180" s="11" t="s">
        <v>28</v>
      </c>
      <c r="M180" s="11" t="s">
        <v>28</v>
      </c>
      <c r="N180" s="8">
        <v>45600</v>
      </c>
      <c r="O180" s="9" t="s">
        <v>30</v>
      </c>
      <c r="P180" s="12" t="s">
        <v>757</v>
      </c>
      <c r="Q180" s="9" t="s">
        <v>240</v>
      </c>
      <c r="R180" s="14" t="str">
        <f>HYPERLINK("https://my.pitchbook.com?c=277198-66T","View Company Online")</f>
        <v>View Company Online</v>
      </c>
    </row>
    <row r="181" spans="1:18" hidden="1" x14ac:dyDescent="0.3">
      <c r="A181" s="15" t="s">
        <v>758</v>
      </c>
      <c r="B181" s="15" t="s">
        <v>759</v>
      </c>
      <c r="C181" s="18" t="s">
        <v>28</v>
      </c>
      <c r="D181" s="15" t="s">
        <v>760</v>
      </c>
      <c r="E181" s="18" t="s">
        <v>28</v>
      </c>
      <c r="F181" s="19" t="s">
        <v>28</v>
      </c>
      <c r="G181" s="19" t="s">
        <v>28</v>
      </c>
      <c r="H181" s="19" t="s">
        <v>28</v>
      </c>
      <c r="I181" s="18" t="s">
        <v>28</v>
      </c>
      <c r="J181" s="18" t="s">
        <v>28</v>
      </c>
      <c r="K181" s="18" t="s">
        <v>28</v>
      </c>
      <c r="L181" s="18" t="s">
        <v>28</v>
      </c>
      <c r="M181" s="18" t="s">
        <v>28</v>
      </c>
      <c r="N181" s="17">
        <v>45600</v>
      </c>
      <c r="O181" s="15" t="s">
        <v>99</v>
      </c>
      <c r="P181" s="16" t="s">
        <v>761</v>
      </c>
      <c r="Q181" s="15" t="s">
        <v>75</v>
      </c>
      <c r="R181" s="13" t="str">
        <f>HYPERLINK("https://my.pitchbook.com?c=288560-53T","View Company Online")</f>
        <v>View Company Online</v>
      </c>
    </row>
    <row r="182" spans="1:18" hidden="1" x14ac:dyDescent="0.3">
      <c r="A182" s="9" t="s">
        <v>762</v>
      </c>
      <c r="B182" s="9" t="s">
        <v>763</v>
      </c>
      <c r="C182" s="11" t="s">
        <v>28</v>
      </c>
      <c r="D182" s="9" t="s">
        <v>764</v>
      </c>
      <c r="E182" s="11" t="s">
        <v>28</v>
      </c>
      <c r="F182" s="10" t="s">
        <v>28</v>
      </c>
      <c r="G182" s="10" t="s">
        <v>28</v>
      </c>
      <c r="H182" s="10" t="s">
        <v>28</v>
      </c>
      <c r="I182" s="11" t="s">
        <v>28</v>
      </c>
      <c r="J182" s="11" t="s">
        <v>28</v>
      </c>
      <c r="K182" s="11" t="s">
        <v>28</v>
      </c>
      <c r="L182" s="11" t="s">
        <v>28</v>
      </c>
      <c r="M182" s="11" t="s">
        <v>28</v>
      </c>
      <c r="N182" s="8">
        <v>45600</v>
      </c>
      <c r="O182" s="9" t="s">
        <v>30</v>
      </c>
      <c r="P182" s="12" t="s">
        <v>765</v>
      </c>
      <c r="Q182" s="9" t="s">
        <v>75</v>
      </c>
      <c r="R182" s="14" t="str">
        <f>HYPERLINK("https://my.pitchbook.com?c=276441-04T","View Company Online")</f>
        <v>View Company Online</v>
      </c>
    </row>
    <row r="183" spans="1:18" hidden="1" x14ac:dyDescent="0.3">
      <c r="A183" s="15" t="s">
        <v>766</v>
      </c>
      <c r="B183" s="15" t="s">
        <v>767</v>
      </c>
      <c r="C183" s="18" t="s">
        <v>28</v>
      </c>
      <c r="D183" s="15" t="s">
        <v>768</v>
      </c>
      <c r="E183" s="18" t="s">
        <v>28</v>
      </c>
      <c r="F183" s="19" t="s">
        <v>28</v>
      </c>
      <c r="G183" s="19" t="s">
        <v>28</v>
      </c>
      <c r="H183" s="19" t="s">
        <v>28</v>
      </c>
      <c r="I183" s="18" t="s">
        <v>28</v>
      </c>
      <c r="J183" s="18" t="s">
        <v>28</v>
      </c>
      <c r="K183" s="18" t="s">
        <v>28</v>
      </c>
      <c r="L183" s="18" t="s">
        <v>28</v>
      </c>
      <c r="M183" s="18" t="s">
        <v>28</v>
      </c>
      <c r="N183" s="17">
        <v>45598</v>
      </c>
      <c r="O183" s="15" t="s">
        <v>30</v>
      </c>
      <c r="P183" s="16" t="s">
        <v>769</v>
      </c>
      <c r="Q183" s="15" t="s">
        <v>188</v>
      </c>
      <c r="R183" s="13" t="str">
        <f>HYPERLINK("https://my.pitchbook.com?c=279323-02T","View Company Online")</f>
        <v>View Company Online</v>
      </c>
    </row>
    <row r="184" spans="1:18" hidden="1" x14ac:dyDescent="0.3">
      <c r="A184" s="9" t="s">
        <v>770</v>
      </c>
      <c r="B184" s="9" t="s">
        <v>771</v>
      </c>
      <c r="C184" s="11" t="s">
        <v>28</v>
      </c>
      <c r="D184" s="9" t="s">
        <v>772</v>
      </c>
      <c r="E184" s="11" t="s">
        <v>28</v>
      </c>
      <c r="F184" s="10" t="s">
        <v>28</v>
      </c>
      <c r="G184" s="10" t="s">
        <v>28</v>
      </c>
      <c r="H184" s="10" t="s">
        <v>28</v>
      </c>
      <c r="I184" s="11" t="s">
        <v>28</v>
      </c>
      <c r="J184" s="11" t="s">
        <v>28</v>
      </c>
      <c r="K184" s="11" t="s">
        <v>28</v>
      </c>
      <c r="L184" s="11" t="s">
        <v>28</v>
      </c>
      <c r="M184" s="11" t="s">
        <v>28</v>
      </c>
      <c r="N184" s="8">
        <v>45597</v>
      </c>
      <c r="O184" s="9" t="s">
        <v>30</v>
      </c>
      <c r="P184" s="12" t="s">
        <v>773</v>
      </c>
      <c r="Q184" s="9" t="s">
        <v>774</v>
      </c>
      <c r="R184" s="14" t="str">
        <f>HYPERLINK("https://my.pitchbook.com?c=290817-46T","View Company Online")</f>
        <v>View Company Online</v>
      </c>
    </row>
    <row r="185" spans="1:18" hidden="1" x14ac:dyDescent="0.3">
      <c r="A185" s="15" t="s">
        <v>775</v>
      </c>
      <c r="B185" s="15" t="s">
        <v>776</v>
      </c>
      <c r="C185" s="18" t="s">
        <v>28</v>
      </c>
      <c r="D185" s="15" t="s">
        <v>777</v>
      </c>
      <c r="E185" s="18" t="s">
        <v>28</v>
      </c>
      <c r="F185" s="19" t="s">
        <v>28</v>
      </c>
      <c r="G185" s="19" t="s">
        <v>28</v>
      </c>
      <c r="H185" s="19" t="s">
        <v>28</v>
      </c>
      <c r="I185" s="18" t="s">
        <v>28</v>
      </c>
      <c r="J185" s="18" t="s">
        <v>28</v>
      </c>
      <c r="K185" s="18" t="s">
        <v>28</v>
      </c>
      <c r="L185" s="18" t="s">
        <v>28</v>
      </c>
      <c r="M185" s="18" t="s">
        <v>28</v>
      </c>
      <c r="N185" s="17">
        <v>45597</v>
      </c>
      <c r="O185" s="15" t="s">
        <v>73</v>
      </c>
      <c r="P185" s="16" t="s">
        <v>778</v>
      </c>
      <c r="Q185" s="15" t="s">
        <v>245</v>
      </c>
      <c r="R185" s="13" t="str">
        <f>HYPERLINK("https://my.pitchbook.com?c=291887-02T","View Company Online")</f>
        <v>View Company Online</v>
      </c>
    </row>
    <row r="186" spans="1:18" hidden="1" x14ac:dyDescent="0.3">
      <c r="A186" s="9" t="s">
        <v>779</v>
      </c>
      <c r="B186" s="9" t="s">
        <v>780</v>
      </c>
      <c r="C186" s="11" t="s">
        <v>28</v>
      </c>
      <c r="D186" s="9" t="s">
        <v>781</v>
      </c>
      <c r="E186" s="11" t="s">
        <v>28</v>
      </c>
      <c r="F186" s="10" t="s">
        <v>28</v>
      </c>
      <c r="G186" s="10">
        <v>1.7</v>
      </c>
      <c r="H186" s="10" t="s">
        <v>28</v>
      </c>
      <c r="I186" s="11" t="s">
        <v>28</v>
      </c>
      <c r="J186" s="11" t="s">
        <v>28</v>
      </c>
      <c r="K186" s="11" t="s">
        <v>28</v>
      </c>
      <c r="L186" s="11" t="s">
        <v>28</v>
      </c>
      <c r="M186" s="11" t="s">
        <v>28</v>
      </c>
      <c r="N186" s="8">
        <v>45597</v>
      </c>
      <c r="O186" s="9" t="s">
        <v>58</v>
      </c>
      <c r="P186" s="12" t="s">
        <v>782</v>
      </c>
      <c r="Q186" s="9" t="s">
        <v>37</v>
      </c>
      <c r="R186" s="14" t="str">
        <f>HYPERLINK("https://my.pitchbook.com?c=277179-13T","View Company Online")</f>
        <v>View Company Online</v>
      </c>
    </row>
    <row r="187" spans="1:18" hidden="1" x14ac:dyDescent="0.3">
      <c r="A187" s="15" t="s">
        <v>783</v>
      </c>
      <c r="B187" s="15" t="s">
        <v>784</v>
      </c>
      <c r="C187" s="18" t="s">
        <v>28</v>
      </c>
      <c r="D187" s="15" t="s">
        <v>785</v>
      </c>
      <c r="E187" s="18" t="s">
        <v>28</v>
      </c>
      <c r="F187" s="19" t="s">
        <v>28</v>
      </c>
      <c r="G187" s="19" t="s">
        <v>28</v>
      </c>
      <c r="H187" s="19" t="s">
        <v>28</v>
      </c>
      <c r="I187" s="18" t="s">
        <v>28</v>
      </c>
      <c r="J187" s="18" t="s">
        <v>28</v>
      </c>
      <c r="K187" s="18" t="s">
        <v>28</v>
      </c>
      <c r="L187" s="18" t="s">
        <v>28</v>
      </c>
      <c r="M187" s="18" t="s">
        <v>28</v>
      </c>
      <c r="N187" s="17">
        <v>45597</v>
      </c>
      <c r="O187" s="15" t="s">
        <v>79</v>
      </c>
      <c r="P187" s="16" t="s">
        <v>786</v>
      </c>
      <c r="Q187" s="15" t="s">
        <v>285</v>
      </c>
      <c r="R187" s="13" t="str">
        <f>HYPERLINK("https://my.pitchbook.com?c=244342-00T","View Company Online")</f>
        <v>View Company Online</v>
      </c>
    </row>
    <row r="188" spans="1:18" hidden="1" x14ac:dyDescent="0.3">
      <c r="A188" s="9" t="s">
        <v>787</v>
      </c>
      <c r="B188" s="9" t="s">
        <v>788</v>
      </c>
      <c r="C188" s="11" t="s">
        <v>28</v>
      </c>
      <c r="D188" s="9" t="s">
        <v>789</v>
      </c>
      <c r="E188" s="11" t="s">
        <v>28</v>
      </c>
      <c r="F188" s="10" t="s">
        <v>28</v>
      </c>
      <c r="G188" s="10" t="s">
        <v>28</v>
      </c>
      <c r="H188" s="10" t="s">
        <v>28</v>
      </c>
      <c r="I188" s="11" t="s">
        <v>28</v>
      </c>
      <c r="J188" s="11" t="s">
        <v>28</v>
      </c>
      <c r="K188" s="11" t="s">
        <v>28</v>
      </c>
      <c r="L188" s="11" t="s">
        <v>28</v>
      </c>
      <c r="M188" s="11" t="s">
        <v>28</v>
      </c>
      <c r="N188" s="8">
        <v>45597</v>
      </c>
      <c r="O188" s="9" t="s">
        <v>73</v>
      </c>
      <c r="P188" s="12" t="s">
        <v>790</v>
      </c>
      <c r="Q188" s="9" t="s">
        <v>285</v>
      </c>
      <c r="R188" s="14" t="str">
        <f>HYPERLINK("https://my.pitchbook.com?c=283869-19T","View Company Online")</f>
        <v>View Company Online</v>
      </c>
    </row>
    <row r="189" spans="1:18" hidden="1" x14ac:dyDescent="0.3">
      <c r="A189" s="15" t="s">
        <v>791</v>
      </c>
      <c r="B189" s="15" t="s">
        <v>792</v>
      </c>
      <c r="C189" s="18" t="s">
        <v>28</v>
      </c>
      <c r="D189" s="15" t="s">
        <v>793</v>
      </c>
      <c r="E189" s="18" t="s">
        <v>28</v>
      </c>
      <c r="F189" s="19" t="s">
        <v>28</v>
      </c>
      <c r="G189" s="19">
        <v>3.56</v>
      </c>
      <c r="H189" s="19" t="s">
        <v>28</v>
      </c>
      <c r="I189" s="18" t="s">
        <v>28</v>
      </c>
      <c r="J189" s="18" t="s">
        <v>28</v>
      </c>
      <c r="K189" s="18" t="s">
        <v>28</v>
      </c>
      <c r="L189" s="18" t="s">
        <v>28</v>
      </c>
      <c r="M189" s="18" t="s">
        <v>28</v>
      </c>
      <c r="N189" s="17">
        <v>45597</v>
      </c>
      <c r="O189" s="15" t="s">
        <v>73</v>
      </c>
      <c r="P189" s="16" t="s">
        <v>794</v>
      </c>
      <c r="Q189" s="15" t="s">
        <v>37</v>
      </c>
      <c r="R189" s="13" t="str">
        <f>HYPERLINK("https://my.pitchbook.com?c=276287-77T","View Company Online")</f>
        <v>View Company Online</v>
      </c>
    </row>
    <row r="190" spans="1:18" hidden="1" x14ac:dyDescent="0.3">
      <c r="A190" s="9" t="s">
        <v>795</v>
      </c>
      <c r="B190" s="9" t="s">
        <v>796</v>
      </c>
      <c r="C190" s="11" t="s">
        <v>28</v>
      </c>
      <c r="D190" s="9" t="s">
        <v>797</v>
      </c>
      <c r="E190" s="11" t="s">
        <v>28</v>
      </c>
      <c r="F190" s="10" t="s">
        <v>28</v>
      </c>
      <c r="G190" s="10">
        <v>0.02</v>
      </c>
      <c r="H190" s="10" t="s">
        <v>28</v>
      </c>
      <c r="I190" s="11" t="s">
        <v>28</v>
      </c>
      <c r="J190" s="11" t="s">
        <v>28</v>
      </c>
      <c r="K190" s="11">
        <v>0.03</v>
      </c>
      <c r="L190" s="11" t="s">
        <v>28</v>
      </c>
      <c r="M190" s="11" t="s">
        <v>28</v>
      </c>
      <c r="N190" s="8">
        <v>45597</v>
      </c>
      <c r="O190" s="9" t="s">
        <v>52</v>
      </c>
      <c r="P190" s="12" t="s">
        <v>798</v>
      </c>
      <c r="Q190" s="9" t="s">
        <v>75</v>
      </c>
      <c r="R190" s="14" t="str">
        <f>HYPERLINK("https://my.pitchbook.com?c=298010-44T","View Company Online")</f>
        <v>View Company Online</v>
      </c>
    </row>
    <row r="191" spans="1:18" hidden="1" x14ac:dyDescent="0.3">
      <c r="A191" s="15" t="s">
        <v>799</v>
      </c>
      <c r="B191" s="15" t="s">
        <v>800</v>
      </c>
      <c r="C191" s="18" t="s">
        <v>28</v>
      </c>
      <c r="D191" s="15" t="s">
        <v>801</v>
      </c>
      <c r="E191" s="18" t="s">
        <v>28</v>
      </c>
      <c r="F191" s="19" t="s">
        <v>28</v>
      </c>
      <c r="G191" s="19">
        <v>1.78</v>
      </c>
      <c r="H191" s="19" t="s">
        <v>28</v>
      </c>
      <c r="I191" s="18" t="s">
        <v>28</v>
      </c>
      <c r="J191" s="18" t="s">
        <v>28</v>
      </c>
      <c r="K191" s="18" t="s">
        <v>28</v>
      </c>
      <c r="L191" s="18" t="s">
        <v>28</v>
      </c>
      <c r="M191" s="18" t="s">
        <v>28</v>
      </c>
      <c r="N191" s="17">
        <v>45597</v>
      </c>
      <c r="O191" s="15" t="s">
        <v>73</v>
      </c>
      <c r="P191" s="16" t="s">
        <v>802</v>
      </c>
      <c r="Q191" s="15" t="s">
        <v>105</v>
      </c>
      <c r="R191" s="13" t="str">
        <f>HYPERLINK("https://my.pitchbook.com?c=295511-68T","View Company Online")</f>
        <v>View Company Online</v>
      </c>
    </row>
    <row r="192" spans="1:18" hidden="1" x14ac:dyDescent="0.3">
      <c r="A192" s="9" t="s">
        <v>803</v>
      </c>
      <c r="B192" s="9" t="s">
        <v>804</v>
      </c>
      <c r="C192" s="11" t="s">
        <v>28</v>
      </c>
      <c r="D192" s="9" t="s">
        <v>805</v>
      </c>
      <c r="E192" s="11" t="s">
        <v>28</v>
      </c>
      <c r="F192" s="10" t="s">
        <v>28</v>
      </c>
      <c r="G192" s="10" t="s">
        <v>28</v>
      </c>
      <c r="H192" s="10" t="s">
        <v>28</v>
      </c>
      <c r="I192" s="11" t="s">
        <v>28</v>
      </c>
      <c r="J192" s="11" t="s">
        <v>28</v>
      </c>
      <c r="K192" s="11" t="s">
        <v>28</v>
      </c>
      <c r="L192" s="11" t="s">
        <v>28</v>
      </c>
      <c r="M192" s="11" t="s">
        <v>28</v>
      </c>
      <c r="N192" s="8">
        <v>45597</v>
      </c>
      <c r="O192" s="9" t="s">
        <v>93</v>
      </c>
      <c r="P192" s="12" t="s">
        <v>806</v>
      </c>
      <c r="Q192" s="9" t="s">
        <v>136</v>
      </c>
      <c r="R192" s="14" t="str">
        <f>HYPERLINK("https://my.pitchbook.com?c=276952-42T","View Company Online")</f>
        <v>View Company Online</v>
      </c>
    </row>
    <row r="193" spans="1:18" hidden="1" x14ac:dyDescent="0.3">
      <c r="A193" s="15" t="s">
        <v>807</v>
      </c>
      <c r="B193" s="15" t="s">
        <v>808</v>
      </c>
      <c r="C193" s="18" t="s">
        <v>28</v>
      </c>
      <c r="D193" s="15" t="s">
        <v>809</v>
      </c>
      <c r="E193" s="18" t="s">
        <v>28</v>
      </c>
      <c r="F193" s="19" t="s">
        <v>28</v>
      </c>
      <c r="G193" s="19" t="s">
        <v>28</v>
      </c>
      <c r="H193" s="19" t="s">
        <v>28</v>
      </c>
      <c r="I193" s="18" t="s">
        <v>28</v>
      </c>
      <c r="J193" s="18" t="s">
        <v>28</v>
      </c>
      <c r="K193" s="18" t="s">
        <v>28</v>
      </c>
      <c r="L193" s="18" t="s">
        <v>28</v>
      </c>
      <c r="M193" s="18" t="s">
        <v>28</v>
      </c>
      <c r="N193" s="17">
        <v>45597</v>
      </c>
      <c r="O193" s="15" t="s">
        <v>30</v>
      </c>
      <c r="P193" s="16" t="s">
        <v>28</v>
      </c>
      <c r="Q193" s="15" t="s">
        <v>37</v>
      </c>
      <c r="R193" s="13" t="str">
        <f>HYPERLINK("https://my.pitchbook.com?c=276501-88T","View Company Online")</f>
        <v>View Company Online</v>
      </c>
    </row>
    <row r="194" spans="1:18" x14ac:dyDescent="0.3">
      <c r="A194" s="9" t="s">
        <v>810</v>
      </c>
      <c r="B194" s="9" t="s">
        <v>811</v>
      </c>
      <c r="C194" s="11" t="s">
        <v>28</v>
      </c>
      <c r="D194" s="9" t="s">
        <v>812</v>
      </c>
      <c r="E194" s="11">
        <v>-13.69</v>
      </c>
      <c r="F194" s="10" t="s">
        <v>28</v>
      </c>
      <c r="G194" s="10">
        <v>1.23</v>
      </c>
      <c r="H194" s="10">
        <v>1.23</v>
      </c>
      <c r="I194" s="11">
        <v>134.97999999999999</v>
      </c>
      <c r="J194" s="11">
        <v>0.01</v>
      </c>
      <c r="K194" s="11">
        <v>730.68</v>
      </c>
      <c r="L194" s="11">
        <v>0.01</v>
      </c>
      <c r="M194" s="11">
        <v>-56.74</v>
      </c>
      <c r="N194" s="8">
        <v>45596</v>
      </c>
      <c r="O194" s="9" t="s">
        <v>30</v>
      </c>
      <c r="P194" s="12" t="s">
        <v>813</v>
      </c>
      <c r="Q194" s="9" t="s">
        <v>226</v>
      </c>
      <c r="R194" s="14" t="str">
        <f>HYPERLINK("https://my.pitchbook.com?c=259515-46T","View Company Online")</f>
        <v>View Company Online</v>
      </c>
    </row>
    <row r="195" spans="1:18" hidden="1" x14ac:dyDescent="0.3">
      <c r="A195" s="15" t="s">
        <v>814</v>
      </c>
      <c r="B195" s="15" t="s">
        <v>815</v>
      </c>
      <c r="C195" s="18" t="s">
        <v>28</v>
      </c>
      <c r="D195" s="15" t="s">
        <v>816</v>
      </c>
      <c r="E195" s="18" t="s">
        <v>28</v>
      </c>
      <c r="F195" s="19">
        <v>23.22</v>
      </c>
      <c r="G195" s="19">
        <v>23.22</v>
      </c>
      <c r="H195" s="19">
        <v>23.22</v>
      </c>
      <c r="I195" s="18" t="s">
        <v>28</v>
      </c>
      <c r="J195" s="18" t="s">
        <v>28</v>
      </c>
      <c r="K195" s="18" t="s">
        <v>28</v>
      </c>
      <c r="L195" s="18" t="s">
        <v>28</v>
      </c>
      <c r="M195" s="18" t="s">
        <v>28</v>
      </c>
      <c r="N195" s="17">
        <v>45596</v>
      </c>
      <c r="O195" s="15" t="s">
        <v>41</v>
      </c>
      <c r="P195" s="16" t="s">
        <v>817</v>
      </c>
      <c r="Q195" s="15" t="s">
        <v>43</v>
      </c>
      <c r="R195" s="13" t="str">
        <f>HYPERLINK("https://my.pitchbook.com?c=276524-02T","View Company Online")</f>
        <v>View Company Online</v>
      </c>
    </row>
    <row r="196" spans="1:18" hidden="1" x14ac:dyDescent="0.3">
      <c r="A196" s="9" t="s">
        <v>818</v>
      </c>
      <c r="B196" s="9" t="s">
        <v>819</v>
      </c>
      <c r="C196" s="11" t="s">
        <v>28</v>
      </c>
      <c r="D196" s="9" t="s">
        <v>820</v>
      </c>
      <c r="E196" s="11" t="s">
        <v>28</v>
      </c>
      <c r="F196" s="10" t="s">
        <v>28</v>
      </c>
      <c r="G196" s="10" t="s">
        <v>28</v>
      </c>
      <c r="H196" s="10" t="s">
        <v>28</v>
      </c>
      <c r="I196" s="11" t="s">
        <v>28</v>
      </c>
      <c r="J196" s="11" t="s">
        <v>28</v>
      </c>
      <c r="K196" s="11" t="s">
        <v>28</v>
      </c>
      <c r="L196" s="11" t="s">
        <v>28</v>
      </c>
      <c r="M196" s="11" t="s">
        <v>28</v>
      </c>
      <c r="N196" s="8">
        <v>45596</v>
      </c>
      <c r="O196" s="9" t="s">
        <v>30</v>
      </c>
      <c r="P196" s="12" t="s">
        <v>821</v>
      </c>
      <c r="Q196" s="9" t="s">
        <v>95</v>
      </c>
      <c r="R196" s="14" t="str">
        <f>HYPERLINK("https://my.pitchbook.com?c=279643-69T","View Company Online")</f>
        <v>View Company Online</v>
      </c>
    </row>
    <row r="197" spans="1:18" hidden="1" x14ac:dyDescent="0.3">
      <c r="A197" s="15" t="s">
        <v>822</v>
      </c>
      <c r="B197" s="15" t="s">
        <v>823</v>
      </c>
      <c r="C197" s="18" t="s">
        <v>28</v>
      </c>
      <c r="D197" s="15" t="s">
        <v>824</v>
      </c>
      <c r="E197" s="18" t="s">
        <v>28</v>
      </c>
      <c r="F197" s="19" t="s">
        <v>28</v>
      </c>
      <c r="G197" s="19">
        <v>3</v>
      </c>
      <c r="H197" s="19" t="s">
        <v>28</v>
      </c>
      <c r="I197" s="18" t="s">
        <v>28</v>
      </c>
      <c r="J197" s="18" t="s">
        <v>28</v>
      </c>
      <c r="K197" s="18" t="s">
        <v>28</v>
      </c>
      <c r="L197" s="18" t="s">
        <v>28</v>
      </c>
      <c r="M197" s="18" t="s">
        <v>28</v>
      </c>
      <c r="N197" s="17">
        <v>45595</v>
      </c>
      <c r="O197" s="15" t="s">
        <v>99</v>
      </c>
      <c r="P197" s="16" t="s">
        <v>825</v>
      </c>
      <c r="Q197" s="15" t="s">
        <v>37</v>
      </c>
      <c r="R197" s="13" t="str">
        <f>HYPERLINK("https://my.pitchbook.com?c=251075-80T","View Company Online")</f>
        <v>View Company Online</v>
      </c>
    </row>
    <row r="198" spans="1:18" hidden="1" x14ac:dyDescent="0.3">
      <c r="A198" s="9" t="s">
        <v>826</v>
      </c>
      <c r="B198" s="9" t="s">
        <v>827</v>
      </c>
      <c r="C198" s="11" t="s">
        <v>28</v>
      </c>
      <c r="D198" s="9" t="s">
        <v>828</v>
      </c>
      <c r="E198" s="11" t="s">
        <v>28</v>
      </c>
      <c r="F198" s="10" t="s">
        <v>28</v>
      </c>
      <c r="G198" s="10">
        <v>0.33</v>
      </c>
      <c r="H198" s="10" t="s">
        <v>28</v>
      </c>
      <c r="I198" s="11" t="s">
        <v>28</v>
      </c>
      <c r="J198" s="11" t="s">
        <v>28</v>
      </c>
      <c r="K198" s="11" t="s">
        <v>28</v>
      </c>
      <c r="L198" s="11" t="s">
        <v>28</v>
      </c>
      <c r="M198" s="11" t="s">
        <v>28</v>
      </c>
      <c r="N198" s="8">
        <v>45594</v>
      </c>
      <c r="O198" s="9" t="s">
        <v>79</v>
      </c>
      <c r="P198" s="12" t="s">
        <v>234</v>
      </c>
      <c r="Q198" s="9" t="s">
        <v>245</v>
      </c>
      <c r="R198" s="14" t="str">
        <f>HYPERLINK("https://my.pitchbook.com?c=280662-85T","View Company Online")</f>
        <v>View Company Online</v>
      </c>
    </row>
    <row r="199" spans="1:18" hidden="1" x14ac:dyDescent="0.3">
      <c r="A199" s="15" t="s">
        <v>829</v>
      </c>
      <c r="B199" s="15" t="s">
        <v>830</v>
      </c>
      <c r="C199" s="18" t="s">
        <v>28</v>
      </c>
      <c r="D199" s="15" t="s">
        <v>831</v>
      </c>
      <c r="E199" s="18" t="s">
        <v>28</v>
      </c>
      <c r="F199" s="19" t="s">
        <v>28</v>
      </c>
      <c r="G199" s="19" t="s">
        <v>28</v>
      </c>
      <c r="H199" s="19" t="s">
        <v>28</v>
      </c>
      <c r="I199" s="18" t="s">
        <v>28</v>
      </c>
      <c r="J199" s="18" t="s">
        <v>28</v>
      </c>
      <c r="K199" s="18" t="s">
        <v>28</v>
      </c>
      <c r="L199" s="18" t="s">
        <v>28</v>
      </c>
      <c r="M199" s="18" t="s">
        <v>28</v>
      </c>
      <c r="N199" s="17">
        <v>45594</v>
      </c>
      <c r="O199" s="15" t="s">
        <v>93</v>
      </c>
      <c r="P199" s="16" t="s">
        <v>549</v>
      </c>
      <c r="Q199" s="15" t="s">
        <v>832</v>
      </c>
      <c r="R199" s="13" t="str">
        <f>HYPERLINK("https://my.pitchbook.com?c=278458-66T","View Company Online")</f>
        <v>View Company Online</v>
      </c>
    </row>
    <row r="200" spans="1:18" hidden="1" x14ac:dyDescent="0.3">
      <c r="A200" s="9" t="s">
        <v>833</v>
      </c>
      <c r="B200" s="9" t="s">
        <v>834</v>
      </c>
      <c r="C200" s="11" t="s">
        <v>28</v>
      </c>
      <c r="D200" s="9" t="s">
        <v>835</v>
      </c>
      <c r="E200" s="11" t="s">
        <v>28</v>
      </c>
      <c r="F200" s="10" t="s">
        <v>28</v>
      </c>
      <c r="G200" s="10">
        <v>0.03</v>
      </c>
      <c r="H200" s="10" t="s">
        <v>28</v>
      </c>
      <c r="I200" s="11" t="s">
        <v>28</v>
      </c>
      <c r="J200" s="11" t="s">
        <v>28</v>
      </c>
      <c r="K200" s="11" t="s">
        <v>28</v>
      </c>
      <c r="L200" s="11" t="s">
        <v>28</v>
      </c>
      <c r="M200" s="11" t="s">
        <v>28</v>
      </c>
      <c r="N200" s="8">
        <v>45594</v>
      </c>
      <c r="O200" s="9" t="s">
        <v>79</v>
      </c>
      <c r="P200" s="12" t="s">
        <v>836</v>
      </c>
      <c r="Q200" s="9" t="s">
        <v>75</v>
      </c>
      <c r="R200" s="14" t="str">
        <f>HYPERLINK("https://my.pitchbook.com?c=272598-94T","View Company Online")</f>
        <v>View Company Online</v>
      </c>
    </row>
    <row r="201" spans="1:18" hidden="1" x14ac:dyDescent="0.3">
      <c r="A201" s="15" t="s">
        <v>837</v>
      </c>
      <c r="B201" s="15" t="s">
        <v>838</v>
      </c>
      <c r="C201" s="18" t="s">
        <v>28</v>
      </c>
      <c r="D201" s="15" t="s">
        <v>839</v>
      </c>
      <c r="E201" s="18" t="s">
        <v>28</v>
      </c>
      <c r="F201" s="19" t="s">
        <v>28</v>
      </c>
      <c r="G201" s="19" t="s">
        <v>28</v>
      </c>
      <c r="H201" s="19" t="s">
        <v>28</v>
      </c>
      <c r="I201" s="18" t="s">
        <v>28</v>
      </c>
      <c r="J201" s="18" t="s">
        <v>28</v>
      </c>
      <c r="K201" s="18" t="s">
        <v>28</v>
      </c>
      <c r="L201" s="18" t="s">
        <v>28</v>
      </c>
      <c r="M201" s="18" t="s">
        <v>28</v>
      </c>
      <c r="N201" s="17">
        <v>45594</v>
      </c>
      <c r="O201" s="15" t="s">
        <v>30</v>
      </c>
      <c r="P201" s="16" t="s">
        <v>840</v>
      </c>
      <c r="Q201" s="15" t="s">
        <v>290</v>
      </c>
      <c r="R201" s="13" t="str">
        <f>HYPERLINK("https://my.pitchbook.com?c=277243-66T","View Company Online")</f>
        <v>View Company Online</v>
      </c>
    </row>
    <row r="202" spans="1:18" hidden="1" x14ac:dyDescent="0.3">
      <c r="A202" s="9" t="s">
        <v>841</v>
      </c>
      <c r="B202" s="9" t="s">
        <v>842</v>
      </c>
      <c r="C202" s="11" t="s">
        <v>28</v>
      </c>
      <c r="D202" s="9" t="s">
        <v>843</v>
      </c>
      <c r="E202" s="11" t="s">
        <v>28</v>
      </c>
      <c r="F202" s="10" t="s">
        <v>28</v>
      </c>
      <c r="G202" s="10" t="s">
        <v>28</v>
      </c>
      <c r="H202" s="10" t="s">
        <v>28</v>
      </c>
      <c r="I202" s="11" t="s">
        <v>28</v>
      </c>
      <c r="J202" s="11" t="s">
        <v>28</v>
      </c>
      <c r="K202" s="11" t="s">
        <v>28</v>
      </c>
      <c r="L202" s="11" t="s">
        <v>28</v>
      </c>
      <c r="M202" s="11" t="s">
        <v>28</v>
      </c>
      <c r="N202" s="8">
        <v>45594</v>
      </c>
      <c r="O202" s="9" t="s">
        <v>30</v>
      </c>
      <c r="P202" s="12" t="s">
        <v>844</v>
      </c>
      <c r="Q202" s="9" t="s">
        <v>43</v>
      </c>
      <c r="R202" s="14" t="str">
        <f>HYPERLINK("https://my.pitchbook.com?c=277249-51T","View Company Online")</f>
        <v>View Company Online</v>
      </c>
    </row>
    <row r="203" spans="1:18" hidden="1" x14ac:dyDescent="0.3">
      <c r="A203" s="15" t="s">
        <v>845</v>
      </c>
      <c r="B203" s="15" t="s">
        <v>846</v>
      </c>
      <c r="C203" s="18" t="s">
        <v>28</v>
      </c>
      <c r="D203" s="15" t="s">
        <v>847</v>
      </c>
      <c r="E203" s="18" t="s">
        <v>28</v>
      </c>
      <c r="F203" s="19" t="s">
        <v>28</v>
      </c>
      <c r="G203" s="19" t="s">
        <v>28</v>
      </c>
      <c r="H203" s="19" t="s">
        <v>28</v>
      </c>
      <c r="I203" s="18" t="s">
        <v>28</v>
      </c>
      <c r="J203" s="18" t="s">
        <v>28</v>
      </c>
      <c r="K203" s="18" t="s">
        <v>28</v>
      </c>
      <c r="L203" s="18" t="s">
        <v>28</v>
      </c>
      <c r="M203" s="18" t="s">
        <v>28</v>
      </c>
      <c r="N203" s="17">
        <v>45594</v>
      </c>
      <c r="O203" s="15" t="s">
        <v>52</v>
      </c>
      <c r="P203" s="16" t="s">
        <v>848</v>
      </c>
      <c r="Q203" s="15" t="s">
        <v>75</v>
      </c>
      <c r="R203" s="13" t="str">
        <f>HYPERLINK("https://my.pitchbook.com?c=295562-44T","View Company Online")</f>
        <v>View Company Online</v>
      </c>
    </row>
    <row r="204" spans="1:18" hidden="1" x14ac:dyDescent="0.3">
      <c r="A204" s="9" t="s">
        <v>849</v>
      </c>
      <c r="B204" s="9" t="s">
        <v>846</v>
      </c>
      <c r="C204" s="11" t="s">
        <v>28</v>
      </c>
      <c r="D204" s="9" t="s">
        <v>847</v>
      </c>
      <c r="E204" s="11" t="s">
        <v>28</v>
      </c>
      <c r="F204" s="10" t="s">
        <v>28</v>
      </c>
      <c r="G204" s="10" t="s">
        <v>28</v>
      </c>
      <c r="H204" s="10" t="s">
        <v>28</v>
      </c>
      <c r="I204" s="11" t="s">
        <v>28</v>
      </c>
      <c r="J204" s="11" t="s">
        <v>28</v>
      </c>
      <c r="K204" s="11" t="s">
        <v>28</v>
      </c>
      <c r="L204" s="11" t="s">
        <v>28</v>
      </c>
      <c r="M204" s="11" t="s">
        <v>28</v>
      </c>
      <c r="N204" s="8">
        <v>45594</v>
      </c>
      <c r="O204" s="9" t="s">
        <v>52</v>
      </c>
      <c r="P204" s="12" t="s">
        <v>850</v>
      </c>
      <c r="Q204" s="9" t="s">
        <v>75</v>
      </c>
      <c r="R204" s="14" t="str">
        <f>HYPERLINK("https://my.pitchbook.com?c=295562-62T","View Company Online")</f>
        <v>View Company Online</v>
      </c>
    </row>
    <row r="205" spans="1:18" hidden="1" x14ac:dyDescent="0.3">
      <c r="A205" s="15" t="s">
        <v>851</v>
      </c>
      <c r="B205" s="15" t="s">
        <v>852</v>
      </c>
      <c r="C205" s="18" t="s">
        <v>28</v>
      </c>
      <c r="D205" s="15" t="s">
        <v>853</v>
      </c>
      <c r="E205" s="18" t="s">
        <v>28</v>
      </c>
      <c r="F205" s="19" t="s">
        <v>28</v>
      </c>
      <c r="G205" s="19" t="s">
        <v>28</v>
      </c>
      <c r="H205" s="19" t="s">
        <v>28</v>
      </c>
      <c r="I205" s="18" t="s">
        <v>28</v>
      </c>
      <c r="J205" s="18" t="s">
        <v>28</v>
      </c>
      <c r="K205" s="18" t="s">
        <v>28</v>
      </c>
      <c r="L205" s="18" t="s">
        <v>28</v>
      </c>
      <c r="M205" s="18" t="s">
        <v>28</v>
      </c>
      <c r="N205" s="17">
        <v>45594</v>
      </c>
      <c r="O205" s="15" t="s">
        <v>30</v>
      </c>
      <c r="P205" s="16" t="s">
        <v>854</v>
      </c>
      <c r="Q205" s="15" t="s">
        <v>855</v>
      </c>
      <c r="R205" s="13" t="str">
        <f>HYPERLINK("https://my.pitchbook.com?c=276186-16T","View Company Online")</f>
        <v>View Company Online</v>
      </c>
    </row>
    <row r="206" spans="1:18" hidden="1" x14ac:dyDescent="0.3">
      <c r="A206" s="9" t="s">
        <v>856</v>
      </c>
      <c r="B206" s="9" t="s">
        <v>857</v>
      </c>
      <c r="C206" s="11" t="s">
        <v>28</v>
      </c>
      <c r="D206" s="9" t="s">
        <v>858</v>
      </c>
      <c r="E206" s="11" t="s">
        <v>28</v>
      </c>
      <c r="F206" s="10" t="s">
        <v>28</v>
      </c>
      <c r="G206" s="10">
        <v>2.63</v>
      </c>
      <c r="H206" s="10" t="s">
        <v>28</v>
      </c>
      <c r="I206" s="11" t="s">
        <v>28</v>
      </c>
      <c r="J206" s="11" t="s">
        <v>28</v>
      </c>
      <c r="K206" s="11" t="s">
        <v>28</v>
      </c>
      <c r="L206" s="11" t="s">
        <v>28</v>
      </c>
      <c r="M206" s="11" t="s">
        <v>28</v>
      </c>
      <c r="N206" s="8">
        <v>45593</v>
      </c>
      <c r="O206" s="9" t="s">
        <v>73</v>
      </c>
      <c r="P206" s="12" t="s">
        <v>28</v>
      </c>
      <c r="Q206" s="9" t="s">
        <v>583</v>
      </c>
      <c r="R206" s="14" t="str">
        <f>HYPERLINK("https://my.pitchbook.com?c=278253-91T","View Company Online")</f>
        <v>View Company Online</v>
      </c>
    </row>
    <row r="207" spans="1:18" hidden="1" x14ac:dyDescent="0.3">
      <c r="A207" s="15" t="s">
        <v>859</v>
      </c>
      <c r="B207" s="15" t="s">
        <v>860</v>
      </c>
      <c r="C207" s="18" t="s">
        <v>28</v>
      </c>
      <c r="D207" s="15" t="s">
        <v>861</v>
      </c>
      <c r="E207" s="18" t="s">
        <v>28</v>
      </c>
      <c r="F207" s="19" t="s">
        <v>28</v>
      </c>
      <c r="G207" s="19" t="s">
        <v>28</v>
      </c>
      <c r="H207" s="19" t="s">
        <v>28</v>
      </c>
      <c r="I207" s="18" t="s">
        <v>28</v>
      </c>
      <c r="J207" s="18" t="s">
        <v>28</v>
      </c>
      <c r="K207" s="18" t="s">
        <v>28</v>
      </c>
      <c r="L207" s="18" t="s">
        <v>28</v>
      </c>
      <c r="M207" s="18" t="s">
        <v>28</v>
      </c>
      <c r="N207" s="17">
        <v>45593</v>
      </c>
      <c r="O207" s="15" t="s">
        <v>41</v>
      </c>
      <c r="P207" s="16" t="s">
        <v>862</v>
      </c>
      <c r="Q207" s="15" t="s">
        <v>43</v>
      </c>
      <c r="R207" s="13" t="str">
        <f>HYPERLINK("https://my.pitchbook.com?c=276194-44T","View Company Online")</f>
        <v>View Company Online</v>
      </c>
    </row>
    <row r="208" spans="1:18" hidden="1" x14ac:dyDescent="0.3">
      <c r="A208" s="9" t="s">
        <v>863</v>
      </c>
      <c r="B208" s="9" t="s">
        <v>864</v>
      </c>
      <c r="C208" s="11" t="s">
        <v>28</v>
      </c>
      <c r="D208" s="9" t="s">
        <v>865</v>
      </c>
      <c r="E208" s="11">
        <v>2578.52</v>
      </c>
      <c r="F208" s="10" t="s">
        <v>28</v>
      </c>
      <c r="G208" s="10">
        <v>1389.12</v>
      </c>
      <c r="H208" s="10" t="s">
        <v>28</v>
      </c>
      <c r="I208" s="11">
        <v>2784.82</v>
      </c>
      <c r="J208" s="11" t="s">
        <v>28</v>
      </c>
      <c r="K208" s="11">
        <v>1244.92</v>
      </c>
      <c r="L208" s="11" t="s">
        <v>28</v>
      </c>
      <c r="M208" s="11">
        <v>2327.39</v>
      </c>
      <c r="N208" s="8">
        <v>45593</v>
      </c>
      <c r="O208" s="9" t="s">
        <v>159</v>
      </c>
      <c r="P208" s="12" t="s">
        <v>28</v>
      </c>
      <c r="Q208" s="9" t="s">
        <v>692</v>
      </c>
      <c r="R208" s="14" t="str">
        <f>HYPERLINK("https://my.pitchbook.com?c=272285-38T","View Company Online")</f>
        <v>View Company Online</v>
      </c>
    </row>
    <row r="209" spans="1:18" hidden="1" x14ac:dyDescent="0.3">
      <c r="A209" s="15" t="s">
        <v>866</v>
      </c>
      <c r="B209" s="15" t="s">
        <v>867</v>
      </c>
      <c r="C209" s="18" t="s">
        <v>28</v>
      </c>
      <c r="D209" s="15" t="s">
        <v>868</v>
      </c>
      <c r="E209" s="18" t="s">
        <v>28</v>
      </c>
      <c r="F209" s="19" t="s">
        <v>28</v>
      </c>
      <c r="G209" s="19">
        <v>1.8</v>
      </c>
      <c r="H209" s="19" t="s">
        <v>28</v>
      </c>
      <c r="I209" s="18" t="s">
        <v>28</v>
      </c>
      <c r="J209" s="18" t="s">
        <v>28</v>
      </c>
      <c r="K209" s="18" t="s">
        <v>28</v>
      </c>
      <c r="L209" s="18" t="s">
        <v>28</v>
      </c>
      <c r="M209" s="18" t="s">
        <v>28</v>
      </c>
      <c r="N209" s="17">
        <v>45591</v>
      </c>
      <c r="O209" s="15" t="s">
        <v>99</v>
      </c>
      <c r="P209" s="16" t="s">
        <v>869</v>
      </c>
      <c r="Q209" s="15" t="s">
        <v>75</v>
      </c>
      <c r="R209" s="13" t="str">
        <f>HYPERLINK("https://my.pitchbook.com?c=266920-84T","View Company Online")</f>
        <v>View Company Online</v>
      </c>
    </row>
    <row r="210" spans="1:18" hidden="1" x14ac:dyDescent="0.3">
      <c r="A210" s="9" t="s">
        <v>870</v>
      </c>
      <c r="B210" s="9" t="s">
        <v>871</v>
      </c>
      <c r="C210" s="11" t="s">
        <v>28</v>
      </c>
      <c r="D210" s="9" t="s">
        <v>872</v>
      </c>
      <c r="E210" s="11" t="s">
        <v>28</v>
      </c>
      <c r="F210" s="10" t="s">
        <v>28</v>
      </c>
      <c r="G210" s="10" t="s">
        <v>28</v>
      </c>
      <c r="H210" s="10" t="s">
        <v>28</v>
      </c>
      <c r="I210" s="11" t="s">
        <v>28</v>
      </c>
      <c r="J210" s="11" t="s">
        <v>28</v>
      </c>
      <c r="K210" s="11" t="s">
        <v>28</v>
      </c>
      <c r="L210" s="11" t="s">
        <v>28</v>
      </c>
      <c r="M210" s="11" t="s">
        <v>28</v>
      </c>
      <c r="N210" s="8">
        <v>45591</v>
      </c>
      <c r="O210" s="9" t="s">
        <v>99</v>
      </c>
      <c r="P210" s="12" t="s">
        <v>611</v>
      </c>
      <c r="Q210" s="9" t="s">
        <v>75</v>
      </c>
      <c r="R210" s="14" t="str">
        <f>HYPERLINK("https://my.pitchbook.com?c=277102-54T","View Company Online")</f>
        <v>View Company Online</v>
      </c>
    </row>
    <row r="211" spans="1:18" hidden="1" x14ac:dyDescent="0.3">
      <c r="A211" s="15" t="s">
        <v>873</v>
      </c>
      <c r="B211" s="15" t="s">
        <v>874</v>
      </c>
      <c r="C211" s="18" t="s">
        <v>28</v>
      </c>
      <c r="D211" s="15" t="s">
        <v>875</v>
      </c>
      <c r="E211" s="18" t="s">
        <v>28</v>
      </c>
      <c r="F211" s="19">
        <v>115.35</v>
      </c>
      <c r="G211" s="19">
        <v>115.35</v>
      </c>
      <c r="H211" s="19">
        <v>115.35</v>
      </c>
      <c r="I211" s="18" t="s">
        <v>28</v>
      </c>
      <c r="J211" s="18" t="s">
        <v>28</v>
      </c>
      <c r="K211" s="18" t="s">
        <v>28</v>
      </c>
      <c r="L211" s="18" t="s">
        <v>28</v>
      </c>
      <c r="M211" s="18" t="s">
        <v>28</v>
      </c>
      <c r="N211" s="17">
        <v>45590</v>
      </c>
      <c r="O211" s="15" t="s">
        <v>30</v>
      </c>
      <c r="P211" s="16" t="s">
        <v>876</v>
      </c>
      <c r="Q211" s="15" t="s">
        <v>268</v>
      </c>
      <c r="R211" s="13" t="str">
        <f>HYPERLINK("https://my.pitchbook.com?c=287995-96T","View Company Online")</f>
        <v>View Company Online</v>
      </c>
    </row>
    <row r="212" spans="1:18" hidden="1" x14ac:dyDescent="0.3">
      <c r="A212" s="9" t="s">
        <v>877</v>
      </c>
      <c r="B212" s="9" t="s">
        <v>878</v>
      </c>
      <c r="C212" s="11" t="s">
        <v>28</v>
      </c>
      <c r="D212" s="9" t="s">
        <v>879</v>
      </c>
      <c r="E212" s="11" t="s">
        <v>28</v>
      </c>
      <c r="F212" s="10" t="s">
        <v>28</v>
      </c>
      <c r="G212" s="10" t="s">
        <v>28</v>
      </c>
      <c r="H212" s="10" t="s">
        <v>28</v>
      </c>
      <c r="I212" s="11" t="s">
        <v>28</v>
      </c>
      <c r="J212" s="11" t="s">
        <v>28</v>
      </c>
      <c r="K212" s="11" t="s">
        <v>28</v>
      </c>
      <c r="L212" s="11" t="s">
        <v>28</v>
      </c>
      <c r="M212" s="11" t="s">
        <v>28</v>
      </c>
      <c r="N212" s="8">
        <v>45590</v>
      </c>
      <c r="O212" s="9" t="s">
        <v>30</v>
      </c>
      <c r="P212" s="12" t="s">
        <v>28</v>
      </c>
      <c r="Q212" s="9" t="s">
        <v>880</v>
      </c>
      <c r="R212" s="14" t="str">
        <f>HYPERLINK("https://my.pitchbook.com?c=275614-84T","View Company Online")</f>
        <v>View Company Online</v>
      </c>
    </row>
    <row r="213" spans="1:18" hidden="1" x14ac:dyDescent="0.3">
      <c r="A213" s="15" t="s">
        <v>881</v>
      </c>
      <c r="B213" s="15" t="s">
        <v>882</v>
      </c>
      <c r="C213" s="18" t="s">
        <v>28</v>
      </c>
      <c r="D213" s="15" t="s">
        <v>883</v>
      </c>
      <c r="E213" s="18" t="s">
        <v>28</v>
      </c>
      <c r="F213" s="19" t="s">
        <v>28</v>
      </c>
      <c r="G213" s="19" t="s">
        <v>28</v>
      </c>
      <c r="H213" s="19" t="s">
        <v>28</v>
      </c>
      <c r="I213" s="18" t="s">
        <v>28</v>
      </c>
      <c r="J213" s="18" t="s">
        <v>28</v>
      </c>
      <c r="K213" s="18" t="s">
        <v>28</v>
      </c>
      <c r="L213" s="18" t="s">
        <v>28</v>
      </c>
      <c r="M213" s="18" t="s">
        <v>28</v>
      </c>
      <c r="N213" s="17">
        <v>45588</v>
      </c>
      <c r="O213" s="15" t="s">
        <v>30</v>
      </c>
      <c r="P213" s="16" t="s">
        <v>884</v>
      </c>
      <c r="Q213" s="15" t="s">
        <v>290</v>
      </c>
      <c r="R213" s="13" t="str">
        <f>HYPERLINK("https://my.pitchbook.com?c=277194-97T","View Company Online")</f>
        <v>View Company Online</v>
      </c>
    </row>
    <row r="214" spans="1:18" hidden="1" x14ac:dyDescent="0.3">
      <c r="A214" s="9" t="s">
        <v>885</v>
      </c>
      <c r="B214" s="9" t="s">
        <v>886</v>
      </c>
      <c r="C214" s="11" t="s">
        <v>28</v>
      </c>
      <c r="D214" s="9" t="s">
        <v>887</v>
      </c>
      <c r="E214" s="11" t="s">
        <v>28</v>
      </c>
      <c r="F214" s="10" t="s">
        <v>28</v>
      </c>
      <c r="G214" s="10" t="s">
        <v>28</v>
      </c>
      <c r="H214" s="10" t="s">
        <v>28</v>
      </c>
      <c r="I214" s="11" t="s">
        <v>28</v>
      </c>
      <c r="J214" s="11" t="s">
        <v>28</v>
      </c>
      <c r="K214" s="11" t="s">
        <v>28</v>
      </c>
      <c r="L214" s="11" t="s">
        <v>28</v>
      </c>
      <c r="M214" s="11" t="s">
        <v>28</v>
      </c>
      <c r="N214" s="8">
        <v>45588</v>
      </c>
      <c r="O214" s="9" t="s">
        <v>30</v>
      </c>
      <c r="P214" s="12" t="s">
        <v>888</v>
      </c>
      <c r="Q214" s="9" t="s">
        <v>95</v>
      </c>
      <c r="R214" s="14" t="str">
        <f>HYPERLINK("https://my.pitchbook.com?c=275751-01T","View Company Online")</f>
        <v>View Company Online</v>
      </c>
    </row>
    <row r="215" spans="1:18" hidden="1" x14ac:dyDescent="0.3">
      <c r="A215" s="15" t="s">
        <v>889</v>
      </c>
      <c r="B215" s="15" t="s">
        <v>890</v>
      </c>
      <c r="C215" s="18" t="s">
        <v>28</v>
      </c>
      <c r="D215" s="15" t="s">
        <v>891</v>
      </c>
      <c r="E215" s="18" t="s">
        <v>28</v>
      </c>
      <c r="F215" s="19" t="s">
        <v>28</v>
      </c>
      <c r="G215" s="19" t="s">
        <v>28</v>
      </c>
      <c r="H215" s="19" t="s">
        <v>28</v>
      </c>
      <c r="I215" s="18" t="s">
        <v>28</v>
      </c>
      <c r="J215" s="18" t="s">
        <v>28</v>
      </c>
      <c r="K215" s="18" t="s">
        <v>28</v>
      </c>
      <c r="L215" s="18" t="s">
        <v>28</v>
      </c>
      <c r="M215" s="18" t="s">
        <v>28</v>
      </c>
      <c r="N215" s="17">
        <v>45588</v>
      </c>
      <c r="O215" s="15" t="s">
        <v>173</v>
      </c>
      <c r="P215" s="16" t="s">
        <v>28</v>
      </c>
      <c r="Q215" s="15" t="s">
        <v>174</v>
      </c>
      <c r="R215" s="13" t="str">
        <f>HYPERLINK("https://my.pitchbook.com?c=281440-00T","View Company Online")</f>
        <v>View Company Online</v>
      </c>
    </row>
    <row r="216" spans="1:18" hidden="1" x14ac:dyDescent="0.3">
      <c r="A216" s="9" t="s">
        <v>892</v>
      </c>
      <c r="B216" s="9" t="s">
        <v>893</v>
      </c>
      <c r="C216" s="11" t="s">
        <v>28</v>
      </c>
      <c r="D216" s="9" t="s">
        <v>894</v>
      </c>
      <c r="E216" s="11" t="s">
        <v>28</v>
      </c>
      <c r="F216" s="10">
        <v>74.08</v>
      </c>
      <c r="G216" s="10">
        <v>74.08</v>
      </c>
      <c r="H216" s="10">
        <v>74.08</v>
      </c>
      <c r="I216" s="11" t="s">
        <v>28</v>
      </c>
      <c r="J216" s="11" t="s">
        <v>28</v>
      </c>
      <c r="K216" s="11" t="s">
        <v>28</v>
      </c>
      <c r="L216" s="11" t="s">
        <v>28</v>
      </c>
      <c r="M216" s="11" t="s">
        <v>28</v>
      </c>
      <c r="N216" s="8">
        <v>45588</v>
      </c>
      <c r="O216" s="9" t="s">
        <v>41</v>
      </c>
      <c r="P216" s="12" t="s">
        <v>895</v>
      </c>
      <c r="Q216" s="9" t="s">
        <v>331</v>
      </c>
      <c r="R216" s="14" t="str">
        <f>HYPERLINK("https://my.pitchbook.com?c=276195-52T","View Company Online")</f>
        <v>View Company Online</v>
      </c>
    </row>
    <row r="217" spans="1:18" hidden="1" x14ac:dyDescent="0.3">
      <c r="A217" s="15" t="s">
        <v>896</v>
      </c>
      <c r="B217" s="15" t="s">
        <v>897</v>
      </c>
      <c r="C217" s="18" t="s">
        <v>28</v>
      </c>
      <c r="D217" s="15" t="s">
        <v>898</v>
      </c>
      <c r="E217" s="18" t="s">
        <v>28</v>
      </c>
      <c r="F217" s="19">
        <v>195.45</v>
      </c>
      <c r="G217" s="19" t="s">
        <v>28</v>
      </c>
      <c r="H217" s="19" t="s">
        <v>28</v>
      </c>
      <c r="I217" s="18" t="s">
        <v>28</v>
      </c>
      <c r="J217" s="18" t="s">
        <v>28</v>
      </c>
      <c r="K217" s="18" t="s">
        <v>28</v>
      </c>
      <c r="L217" s="18" t="s">
        <v>28</v>
      </c>
      <c r="M217" s="18" t="s">
        <v>28</v>
      </c>
      <c r="N217" s="17">
        <v>45587</v>
      </c>
      <c r="O217" s="15" t="s">
        <v>41</v>
      </c>
      <c r="P217" s="16" t="s">
        <v>899</v>
      </c>
      <c r="Q217" s="15" t="s">
        <v>900</v>
      </c>
      <c r="R217" s="13" t="str">
        <f>HYPERLINK("https://my.pitchbook.com?c=275398-93T","View Company Online")</f>
        <v>View Company Online</v>
      </c>
    </row>
    <row r="218" spans="1:18" hidden="1" x14ac:dyDescent="0.3">
      <c r="A218" s="9" t="s">
        <v>901</v>
      </c>
      <c r="B218" s="9" t="s">
        <v>902</v>
      </c>
      <c r="C218" s="11" t="s">
        <v>28</v>
      </c>
      <c r="D218" s="9" t="s">
        <v>903</v>
      </c>
      <c r="E218" s="11" t="s">
        <v>28</v>
      </c>
      <c r="F218" s="10" t="s">
        <v>28</v>
      </c>
      <c r="G218" s="10">
        <v>11.25</v>
      </c>
      <c r="H218" s="10" t="s">
        <v>28</v>
      </c>
      <c r="I218" s="11" t="s">
        <v>28</v>
      </c>
      <c r="J218" s="11" t="s">
        <v>28</v>
      </c>
      <c r="K218" s="11">
        <v>185.58</v>
      </c>
      <c r="L218" s="11" t="s">
        <v>28</v>
      </c>
      <c r="M218" s="11" t="s">
        <v>28</v>
      </c>
      <c r="N218" s="8">
        <v>45587</v>
      </c>
      <c r="O218" s="9" t="s">
        <v>79</v>
      </c>
      <c r="P218" s="12" t="s">
        <v>904</v>
      </c>
      <c r="Q218" s="9" t="s">
        <v>114</v>
      </c>
      <c r="R218" s="14" t="str">
        <f>HYPERLINK("https://my.pitchbook.com?c=276355-54T","View Company Online")</f>
        <v>View Company Online</v>
      </c>
    </row>
    <row r="219" spans="1:18" hidden="1" x14ac:dyDescent="0.3">
      <c r="A219" s="15" t="s">
        <v>905</v>
      </c>
      <c r="B219" s="15" t="s">
        <v>906</v>
      </c>
      <c r="C219" s="18" t="s">
        <v>28</v>
      </c>
      <c r="D219" s="15" t="s">
        <v>907</v>
      </c>
      <c r="E219" s="18" t="s">
        <v>28</v>
      </c>
      <c r="F219" s="19" t="s">
        <v>28</v>
      </c>
      <c r="G219" s="19" t="s">
        <v>28</v>
      </c>
      <c r="H219" s="19" t="s">
        <v>28</v>
      </c>
      <c r="I219" s="18" t="s">
        <v>28</v>
      </c>
      <c r="J219" s="18" t="s">
        <v>28</v>
      </c>
      <c r="K219" s="18" t="s">
        <v>28</v>
      </c>
      <c r="L219" s="18" t="s">
        <v>28</v>
      </c>
      <c r="M219" s="18" t="s">
        <v>28</v>
      </c>
      <c r="N219" s="17">
        <v>45584</v>
      </c>
      <c r="O219" s="15" t="s">
        <v>908</v>
      </c>
      <c r="P219" s="16" t="s">
        <v>28</v>
      </c>
      <c r="Q219" s="15" t="s">
        <v>280</v>
      </c>
      <c r="R219" s="13" t="str">
        <f>HYPERLINK("https://my.pitchbook.com?c=275116-87T","View Company Online")</f>
        <v>View Company Online</v>
      </c>
    </row>
    <row r="220" spans="1:18" hidden="1" x14ac:dyDescent="0.3">
      <c r="A220" s="9" t="s">
        <v>909</v>
      </c>
      <c r="B220" s="9" t="s">
        <v>910</v>
      </c>
      <c r="C220" s="11" t="s">
        <v>28</v>
      </c>
      <c r="D220" s="9" t="s">
        <v>911</v>
      </c>
      <c r="E220" s="11" t="s">
        <v>28</v>
      </c>
      <c r="F220" s="10" t="s">
        <v>28</v>
      </c>
      <c r="G220" s="10">
        <v>3</v>
      </c>
      <c r="H220" s="10" t="s">
        <v>28</v>
      </c>
      <c r="I220" s="11" t="s">
        <v>28</v>
      </c>
      <c r="J220" s="11" t="s">
        <v>28</v>
      </c>
      <c r="K220" s="11" t="s">
        <v>28</v>
      </c>
      <c r="L220" s="11" t="s">
        <v>28</v>
      </c>
      <c r="M220" s="11" t="s">
        <v>28</v>
      </c>
      <c r="N220" s="8">
        <v>45582</v>
      </c>
      <c r="O220" s="9" t="s">
        <v>73</v>
      </c>
      <c r="P220" s="12" t="s">
        <v>912</v>
      </c>
      <c r="Q220" s="9" t="s">
        <v>913</v>
      </c>
      <c r="R220" s="14" t="str">
        <f>HYPERLINK("https://my.pitchbook.com?c=274982-59T","View Company Online")</f>
        <v>View Company Online</v>
      </c>
    </row>
    <row r="221" spans="1:18" hidden="1" x14ac:dyDescent="0.3">
      <c r="A221" s="15" t="s">
        <v>914</v>
      </c>
      <c r="B221" s="15" t="s">
        <v>915</v>
      </c>
      <c r="C221" s="18" t="s">
        <v>28</v>
      </c>
      <c r="D221" s="15" t="s">
        <v>916</v>
      </c>
      <c r="E221" s="18" t="s">
        <v>28</v>
      </c>
      <c r="F221" s="19" t="s">
        <v>28</v>
      </c>
      <c r="G221" s="19">
        <v>1.0900000000000001</v>
      </c>
      <c r="H221" s="19" t="s">
        <v>28</v>
      </c>
      <c r="I221" s="18" t="s">
        <v>28</v>
      </c>
      <c r="J221" s="18" t="s">
        <v>28</v>
      </c>
      <c r="K221" s="18" t="s">
        <v>28</v>
      </c>
      <c r="L221" s="18" t="s">
        <v>28</v>
      </c>
      <c r="M221" s="18" t="s">
        <v>28</v>
      </c>
      <c r="N221" s="17">
        <v>45582</v>
      </c>
      <c r="O221" s="15" t="s">
        <v>99</v>
      </c>
      <c r="P221" s="16" t="s">
        <v>28</v>
      </c>
      <c r="Q221" s="15" t="s">
        <v>855</v>
      </c>
      <c r="R221" s="13" t="str">
        <f>HYPERLINK("https://my.pitchbook.com?c=274960-00T","View Company Online")</f>
        <v>View Company Online</v>
      </c>
    </row>
    <row r="222" spans="1:18" hidden="1" x14ac:dyDescent="0.3">
      <c r="A222" s="9" t="s">
        <v>917</v>
      </c>
      <c r="B222" s="9" t="s">
        <v>918</v>
      </c>
      <c r="C222" s="11" t="s">
        <v>28</v>
      </c>
      <c r="D222" s="9" t="s">
        <v>919</v>
      </c>
      <c r="E222" s="11" t="s">
        <v>28</v>
      </c>
      <c r="F222" s="10" t="s">
        <v>28</v>
      </c>
      <c r="G222" s="10" t="s">
        <v>28</v>
      </c>
      <c r="H222" s="10" t="s">
        <v>28</v>
      </c>
      <c r="I222" s="11" t="s">
        <v>28</v>
      </c>
      <c r="J222" s="11" t="s">
        <v>28</v>
      </c>
      <c r="K222" s="11" t="s">
        <v>28</v>
      </c>
      <c r="L222" s="11" t="s">
        <v>28</v>
      </c>
      <c r="M222" s="11" t="s">
        <v>28</v>
      </c>
      <c r="N222" s="8">
        <v>45582</v>
      </c>
      <c r="O222" s="9" t="s">
        <v>41</v>
      </c>
      <c r="P222" s="12" t="s">
        <v>920</v>
      </c>
      <c r="Q222" s="9" t="s">
        <v>95</v>
      </c>
      <c r="R222" s="14" t="str">
        <f>HYPERLINK("https://my.pitchbook.com?c=279641-71T","View Company Online")</f>
        <v>View Company Online</v>
      </c>
    </row>
    <row r="223" spans="1:18" hidden="1" x14ac:dyDescent="0.3">
      <c r="A223" s="15" t="s">
        <v>921</v>
      </c>
      <c r="B223" s="15" t="s">
        <v>922</v>
      </c>
      <c r="C223" s="18" t="s">
        <v>28</v>
      </c>
      <c r="D223" s="15" t="s">
        <v>923</v>
      </c>
      <c r="E223" s="18" t="s">
        <v>28</v>
      </c>
      <c r="F223" s="19" t="s">
        <v>28</v>
      </c>
      <c r="G223" s="19" t="s">
        <v>28</v>
      </c>
      <c r="H223" s="19" t="s">
        <v>28</v>
      </c>
      <c r="I223" s="18" t="s">
        <v>28</v>
      </c>
      <c r="J223" s="18" t="s">
        <v>28</v>
      </c>
      <c r="K223" s="18" t="s">
        <v>28</v>
      </c>
      <c r="L223" s="18" t="s">
        <v>28</v>
      </c>
      <c r="M223" s="18" t="s">
        <v>28</v>
      </c>
      <c r="N223" s="17">
        <v>45581</v>
      </c>
      <c r="O223" s="15" t="s">
        <v>52</v>
      </c>
      <c r="P223" s="16" t="s">
        <v>403</v>
      </c>
      <c r="Q223" s="15" t="s">
        <v>583</v>
      </c>
      <c r="R223" s="13" t="str">
        <f>HYPERLINK("https://my.pitchbook.com?c=288096-58T","View Company Online")</f>
        <v>View Company Online</v>
      </c>
    </row>
    <row r="224" spans="1:18" hidden="1" x14ac:dyDescent="0.3">
      <c r="A224" s="9" t="s">
        <v>924</v>
      </c>
      <c r="B224" s="9" t="s">
        <v>925</v>
      </c>
      <c r="C224" s="11" t="s">
        <v>28</v>
      </c>
      <c r="D224" s="9" t="s">
        <v>926</v>
      </c>
      <c r="E224" s="11" t="s">
        <v>28</v>
      </c>
      <c r="F224" s="10" t="s">
        <v>28</v>
      </c>
      <c r="G224" s="10" t="s">
        <v>28</v>
      </c>
      <c r="H224" s="10" t="s">
        <v>28</v>
      </c>
      <c r="I224" s="11" t="s">
        <v>28</v>
      </c>
      <c r="J224" s="11" t="s">
        <v>28</v>
      </c>
      <c r="K224" s="11" t="s">
        <v>28</v>
      </c>
      <c r="L224" s="11" t="s">
        <v>28</v>
      </c>
      <c r="M224" s="11" t="s">
        <v>28</v>
      </c>
      <c r="N224" s="8">
        <v>45581</v>
      </c>
      <c r="O224" s="9" t="s">
        <v>30</v>
      </c>
      <c r="P224" s="12" t="s">
        <v>927</v>
      </c>
      <c r="Q224" s="9" t="s">
        <v>245</v>
      </c>
      <c r="R224" s="14" t="str">
        <f>HYPERLINK("https://my.pitchbook.com?c=277256-17T","View Company Online")</f>
        <v>View Company Online</v>
      </c>
    </row>
    <row r="225" spans="1:18" hidden="1" x14ac:dyDescent="0.3">
      <c r="A225" s="15" t="s">
        <v>928</v>
      </c>
      <c r="B225" s="15" t="s">
        <v>929</v>
      </c>
      <c r="C225" s="18" t="s">
        <v>28</v>
      </c>
      <c r="D225" s="15" t="s">
        <v>930</v>
      </c>
      <c r="E225" s="18" t="s">
        <v>28</v>
      </c>
      <c r="F225" s="19" t="s">
        <v>28</v>
      </c>
      <c r="G225" s="19" t="s">
        <v>28</v>
      </c>
      <c r="H225" s="19" t="s">
        <v>28</v>
      </c>
      <c r="I225" s="18" t="s">
        <v>28</v>
      </c>
      <c r="J225" s="18" t="s">
        <v>28</v>
      </c>
      <c r="K225" s="18">
        <v>3.1</v>
      </c>
      <c r="L225" s="18" t="s">
        <v>28</v>
      </c>
      <c r="M225" s="18" t="s">
        <v>28</v>
      </c>
      <c r="N225" s="17">
        <v>45581</v>
      </c>
      <c r="O225" s="15" t="s">
        <v>30</v>
      </c>
      <c r="P225" s="16" t="s">
        <v>931</v>
      </c>
      <c r="Q225" s="15" t="s">
        <v>136</v>
      </c>
      <c r="R225" s="13" t="str">
        <f>HYPERLINK("https://my.pitchbook.com?c=274800-07T","View Company Online")</f>
        <v>View Company Online</v>
      </c>
    </row>
    <row r="226" spans="1:18" hidden="1" x14ac:dyDescent="0.3">
      <c r="A226" s="9" t="s">
        <v>932</v>
      </c>
      <c r="B226" s="9" t="s">
        <v>933</v>
      </c>
      <c r="C226" s="11" t="s">
        <v>28</v>
      </c>
      <c r="D226" s="9" t="s">
        <v>934</v>
      </c>
      <c r="E226" s="11" t="s">
        <v>28</v>
      </c>
      <c r="F226" s="10" t="s">
        <v>28</v>
      </c>
      <c r="G226" s="10" t="s">
        <v>28</v>
      </c>
      <c r="H226" s="10" t="s">
        <v>28</v>
      </c>
      <c r="I226" s="11" t="s">
        <v>28</v>
      </c>
      <c r="J226" s="11" t="s">
        <v>28</v>
      </c>
      <c r="K226" s="11" t="s">
        <v>28</v>
      </c>
      <c r="L226" s="11" t="s">
        <v>28</v>
      </c>
      <c r="M226" s="11" t="s">
        <v>28</v>
      </c>
      <c r="N226" s="8">
        <v>45580</v>
      </c>
      <c r="O226" s="9" t="s">
        <v>30</v>
      </c>
      <c r="P226" s="12" t="s">
        <v>935</v>
      </c>
      <c r="Q226" s="9" t="s">
        <v>696</v>
      </c>
      <c r="R226" s="14" t="str">
        <f>HYPERLINK("https://my.pitchbook.com?c=277208-47T","View Company Online")</f>
        <v>View Company Online</v>
      </c>
    </row>
    <row r="227" spans="1:18" hidden="1" x14ac:dyDescent="0.3">
      <c r="A227" s="15" t="s">
        <v>936</v>
      </c>
      <c r="B227" s="15" t="s">
        <v>937</v>
      </c>
      <c r="C227" s="18" t="s">
        <v>28</v>
      </c>
      <c r="D227" s="15" t="s">
        <v>938</v>
      </c>
      <c r="E227" s="18" t="s">
        <v>28</v>
      </c>
      <c r="F227" s="19" t="s">
        <v>28</v>
      </c>
      <c r="G227" s="19" t="s">
        <v>28</v>
      </c>
      <c r="H227" s="19" t="s">
        <v>28</v>
      </c>
      <c r="I227" s="18" t="s">
        <v>28</v>
      </c>
      <c r="J227" s="18" t="s">
        <v>28</v>
      </c>
      <c r="K227" s="18" t="s">
        <v>28</v>
      </c>
      <c r="L227" s="18" t="s">
        <v>28</v>
      </c>
      <c r="M227" s="18" t="s">
        <v>28</v>
      </c>
      <c r="N227" s="17">
        <v>45580</v>
      </c>
      <c r="O227" s="15" t="s">
        <v>41</v>
      </c>
      <c r="P227" s="16" t="s">
        <v>939</v>
      </c>
      <c r="Q227" s="15" t="s">
        <v>183</v>
      </c>
      <c r="R227" s="13" t="str">
        <f>HYPERLINK("https://my.pitchbook.com?c=270778-06T","View Company Online")</f>
        <v>View Company Online</v>
      </c>
    </row>
    <row r="228" spans="1:18" hidden="1" x14ac:dyDescent="0.3">
      <c r="A228" s="9" t="s">
        <v>940</v>
      </c>
      <c r="B228" s="9" t="s">
        <v>941</v>
      </c>
      <c r="C228" s="11" t="s">
        <v>28</v>
      </c>
      <c r="D228" s="9" t="s">
        <v>942</v>
      </c>
      <c r="E228" s="11" t="s">
        <v>28</v>
      </c>
      <c r="F228" s="10" t="s">
        <v>28</v>
      </c>
      <c r="G228" s="10">
        <v>0.14000000000000001</v>
      </c>
      <c r="H228" s="10" t="s">
        <v>28</v>
      </c>
      <c r="I228" s="11" t="s">
        <v>28</v>
      </c>
      <c r="J228" s="11" t="s">
        <v>28</v>
      </c>
      <c r="K228" s="11">
        <v>0.12</v>
      </c>
      <c r="L228" s="11" t="s">
        <v>28</v>
      </c>
      <c r="M228" s="11" t="s">
        <v>28</v>
      </c>
      <c r="N228" s="8">
        <v>45580</v>
      </c>
      <c r="O228" s="9" t="s">
        <v>99</v>
      </c>
      <c r="P228" s="12" t="s">
        <v>611</v>
      </c>
      <c r="Q228" s="9" t="s">
        <v>692</v>
      </c>
      <c r="R228" s="14" t="str">
        <f>HYPERLINK("https://my.pitchbook.com?c=269783-47T","View Company Online")</f>
        <v>View Company Online</v>
      </c>
    </row>
    <row r="229" spans="1:18" hidden="1" x14ac:dyDescent="0.3">
      <c r="A229" s="15" t="s">
        <v>943</v>
      </c>
      <c r="B229" s="15" t="s">
        <v>944</v>
      </c>
      <c r="C229" s="18" t="s">
        <v>28</v>
      </c>
      <c r="D229" s="15" t="s">
        <v>945</v>
      </c>
      <c r="E229" s="18" t="s">
        <v>28</v>
      </c>
      <c r="F229" s="19" t="s">
        <v>28</v>
      </c>
      <c r="G229" s="19">
        <v>1</v>
      </c>
      <c r="H229" s="19" t="s">
        <v>28</v>
      </c>
      <c r="I229" s="18" t="s">
        <v>28</v>
      </c>
      <c r="J229" s="18" t="s">
        <v>28</v>
      </c>
      <c r="K229" s="18" t="s">
        <v>28</v>
      </c>
      <c r="L229" s="18" t="s">
        <v>28</v>
      </c>
      <c r="M229" s="18" t="s">
        <v>28</v>
      </c>
      <c r="N229" s="17">
        <v>45579</v>
      </c>
      <c r="O229" s="15" t="s">
        <v>73</v>
      </c>
      <c r="P229" s="16" t="s">
        <v>946</v>
      </c>
      <c r="Q229" s="15" t="s">
        <v>37</v>
      </c>
      <c r="R229" s="13" t="str">
        <f>HYPERLINK("https://my.pitchbook.com?c=274583-53T","View Company Online")</f>
        <v>View Company Online</v>
      </c>
    </row>
    <row r="230" spans="1:18" hidden="1" x14ac:dyDescent="0.3">
      <c r="A230" s="9" t="s">
        <v>947</v>
      </c>
      <c r="B230" s="9" t="s">
        <v>948</v>
      </c>
      <c r="C230" s="11" t="s">
        <v>28</v>
      </c>
      <c r="D230" s="9" t="s">
        <v>949</v>
      </c>
      <c r="E230" s="11" t="s">
        <v>28</v>
      </c>
      <c r="F230" s="10" t="s">
        <v>28</v>
      </c>
      <c r="G230" s="10" t="s">
        <v>28</v>
      </c>
      <c r="H230" s="10" t="s">
        <v>28</v>
      </c>
      <c r="I230" s="11" t="s">
        <v>28</v>
      </c>
      <c r="J230" s="11" t="s">
        <v>28</v>
      </c>
      <c r="K230" s="11" t="s">
        <v>28</v>
      </c>
      <c r="L230" s="11" t="s">
        <v>28</v>
      </c>
      <c r="M230" s="11" t="s">
        <v>28</v>
      </c>
      <c r="N230" s="8">
        <v>45576</v>
      </c>
      <c r="O230" s="9" t="s">
        <v>30</v>
      </c>
      <c r="P230" s="12" t="s">
        <v>950</v>
      </c>
      <c r="Q230" s="9" t="s">
        <v>348</v>
      </c>
      <c r="R230" s="14" t="str">
        <f>HYPERLINK("https://my.pitchbook.com?c=273622-60T","View Company Online")</f>
        <v>View Company Online</v>
      </c>
    </row>
    <row r="231" spans="1:18" hidden="1" x14ac:dyDescent="0.3">
      <c r="A231" s="15" t="s">
        <v>951</v>
      </c>
      <c r="B231" s="15" t="s">
        <v>952</v>
      </c>
      <c r="C231" s="18" t="s">
        <v>28</v>
      </c>
      <c r="D231" s="15" t="s">
        <v>953</v>
      </c>
      <c r="E231" s="18" t="s">
        <v>28</v>
      </c>
      <c r="F231" s="19" t="s">
        <v>28</v>
      </c>
      <c r="G231" s="19" t="s">
        <v>28</v>
      </c>
      <c r="H231" s="19" t="s">
        <v>28</v>
      </c>
      <c r="I231" s="18" t="s">
        <v>28</v>
      </c>
      <c r="J231" s="18" t="s">
        <v>28</v>
      </c>
      <c r="K231" s="18" t="s">
        <v>28</v>
      </c>
      <c r="L231" s="18" t="s">
        <v>28</v>
      </c>
      <c r="M231" s="18" t="s">
        <v>28</v>
      </c>
      <c r="N231" s="17">
        <v>45576</v>
      </c>
      <c r="O231" s="15" t="s">
        <v>30</v>
      </c>
      <c r="P231" s="16" t="s">
        <v>954</v>
      </c>
      <c r="Q231" s="15" t="s">
        <v>75</v>
      </c>
      <c r="R231" s="13" t="str">
        <f>HYPERLINK("https://my.pitchbook.com?c=274491-19T","View Company Online")</f>
        <v>View Company Online</v>
      </c>
    </row>
    <row r="232" spans="1:18" hidden="1" x14ac:dyDescent="0.3">
      <c r="A232" s="9" t="s">
        <v>955</v>
      </c>
      <c r="B232" s="9" t="s">
        <v>956</v>
      </c>
      <c r="C232" s="11" t="s">
        <v>28</v>
      </c>
      <c r="D232" s="9" t="s">
        <v>957</v>
      </c>
      <c r="E232" s="11" t="s">
        <v>28</v>
      </c>
      <c r="F232" s="10" t="s">
        <v>28</v>
      </c>
      <c r="G232" s="10" t="s">
        <v>28</v>
      </c>
      <c r="H232" s="10" t="s">
        <v>28</v>
      </c>
      <c r="I232" s="11" t="s">
        <v>28</v>
      </c>
      <c r="J232" s="11" t="s">
        <v>28</v>
      </c>
      <c r="K232" s="11">
        <v>463.95</v>
      </c>
      <c r="L232" s="11" t="s">
        <v>28</v>
      </c>
      <c r="M232" s="11" t="s">
        <v>28</v>
      </c>
      <c r="N232" s="8">
        <v>45576</v>
      </c>
      <c r="O232" s="9" t="s">
        <v>30</v>
      </c>
      <c r="P232" s="12" t="s">
        <v>958</v>
      </c>
      <c r="Q232" s="9" t="s">
        <v>959</v>
      </c>
      <c r="R232" s="14" t="str">
        <f>HYPERLINK("https://my.pitchbook.com?c=277204-87T","View Company Online")</f>
        <v>View Company Online</v>
      </c>
    </row>
    <row r="233" spans="1:18" hidden="1" x14ac:dyDescent="0.3">
      <c r="A233" s="15" t="s">
        <v>960</v>
      </c>
      <c r="B233" s="15" t="s">
        <v>961</v>
      </c>
      <c r="C233" s="18" t="s">
        <v>28</v>
      </c>
      <c r="D233" s="15" t="s">
        <v>962</v>
      </c>
      <c r="E233" s="18" t="s">
        <v>28</v>
      </c>
      <c r="F233" s="19" t="s">
        <v>28</v>
      </c>
      <c r="G233" s="19" t="s">
        <v>28</v>
      </c>
      <c r="H233" s="19" t="s">
        <v>28</v>
      </c>
      <c r="I233" s="18" t="s">
        <v>28</v>
      </c>
      <c r="J233" s="18" t="s">
        <v>28</v>
      </c>
      <c r="K233" s="18" t="s">
        <v>28</v>
      </c>
      <c r="L233" s="18" t="s">
        <v>28</v>
      </c>
      <c r="M233" s="18" t="s">
        <v>28</v>
      </c>
      <c r="N233" s="17">
        <v>45576</v>
      </c>
      <c r="O233" s="15" t="s">
        <v>173</v>
      </c>
      <c r="P233" s="16" t="s">
        <v>28</v>
      </c>
      <c r="Q233" s="15" t="s">
        <v>174</v>
      </c>
      <c r="R233" s="13" t="str">
        <f>HYPERLINK("https://my.pitchbook.com?c=274655-98T","View Company Online")</f>
        <v>View Company Online</v>
      </c>
    </row>
    <row r="234" spans="1:18" hidden="1" x14ac:dyDescent="0.3">
      <c r="A234" s="9" t="s">
        <v>963</v>
      </c>
      <c r="B234" s="9" t="s">
        <v>964</v>
      </c>
      <c r="C234" s="11" t="s">
        <v>28</v>
      </c>
      <c r="D234" s="9" t="s">
        <v>965</v>
      </c>
      <c r="E234" s="11" t="s">
        <v>28</v>
      </c>
      <c r="F234" s="10" t="s">
        <v>28</v>
      </c>
      <c r="G234" s="10" t="s">
        <v>28</v>
      </c>
      <c r="H234" s="10" t="s">
        <v>28</v>
      </c>
      <c r="I234" s="11" t="s">
        <v>28</v>
      </c>
      <c r="J234" s="11" t="s">
        <v>28</v>
      </c>
      <c r="K234" s="11" t="s">
        <v>28</v>
      </c>
      <c r="L234" s="11" t="s">
        <v>28</v>
      </c>
      <c r="M234" s="11" t="s">
        <v>28</v>
      </c>
      <c r="N234" s="8">
        <v>45576</v>
      </c>
      <c r="O234" s="9" t="s">
        <v>30</v>
      </c>
      <c r="P234" s="12" t="s">
        <v>966</v>
      </c>
      <c r="Q234" s="9" t="s">
        <v>75</v>
      </c>
      <c r="R234" s="14" t="str">
        <f>HYPERLINK("https://my.pitchbook.com?c=278243-11T","View Company Online")</f>
        <v>View Company Online</v>
      </c>
    </row>
    <row r="235" spans="1:18" hidden="1" x14ac:dyDescent="0.3">
      <c r="A235" s="15" t="s">
        <v>967</v>
      </c>
      <c r="B235" s="15" t="s">
        <v>968</v>
      </c>
      <c r="C235" s="18" t="s">
        <v>28</v>
      </c>
      <c r="D235" s="15" t="s">
        <v>969</v>
      </c>
      <c r="E235" s="18" t="s">
        <v>28</v>
      </c>
      <c r="F235" s="19" t="s">
        <v>28</v>
      </c>
      <c r="G235" s="19" t="s">
        <v>28</v>
      </c>
      <c r="H235" s="19" t="s">
        <v>28</v>
      </c>
      <c r="I235" s="18" t="s">
        <v>28</v>
      </c>
      <c r="J235" s="18" t="s">
        <v>28</v>
      </c>
      <c r="K235" s="18" t="s">
        <v>28</v>
      </c>
      <c r="L235" s="18" t="s">
        <v>28</v>
      </c>
      <c r="M235" s="18" t="s">
        <v>28</v>
      </c>
      <c r="N235" s="17">
        <v>45576</v>
      </c>
      <c r="O235" s="15" t="s">
        <v>41</v>
      </c>
      <c r="P235" s="16" t="s">
        <v>970</v>
      </c>
      <c r="Q235" s="15" t="s">
        <v>183</v>
      </c>
      <c r="R235" s="13" t="str">
        <f>HYPERLINK("https://my.pitchbook.com?c=274677-22T","View Company Online")</f>
        <v>View Company Online</v>
      </c>
    </row>
    <row r="236" spans="1:18" hidden="1" x14ac:dyDescent="0.3">
      <c r="A236" s="9" t="s">
        <v>971</v>
      </c>
      <c r="B236" s="9" t="s">
        <v>972</v>
      </c>
      <c r="C236" s="11" t="s">
        <v>28</v>
      </c>
      <c r="D236" s="9" t="s">
        <v>973</v>
      </c>
      <c r="E236" s="11" t="s">
        <v>28</v>
      </c>
      <c r="F236" s="10" t="s">
        <v>28</v>
      </c>
      <c r="G236" s="10" t="s">
        <v>28</v>
      </c>
      <c r="H236" s="10" t="s">
        <v>28</v>
      </c>
      <c r="I236" s="11" t="s">
        <v>28</v>
      </c>
      <c r="J236" s="11" t="s">
        <v>28</v>
      </c>
      <c r="K236" s="11" t="s">
        <v>28</v>
      </c>
      <c r="L236" s="11" t="s">
        <v>28</v>
      </c>
      <c r="M236" s="11" t="s">
        <v>28</v>
      </c>
      <c r="N236" s="8">
        <v>45576</v>
      </c>
      <c r="O236" s="9" t="s">
        <v>974</v>
      </c>
      <c r="P236" s="12" t="s">
        <v>28</v>
      </c>
      <c r="Q236" s="9" t="s">
        <v>975</v>
      </c>
      <c r="R236" s="14" t="str">
        <f>HYPERLINK("https://my.pitchbook.com?c=267755-86T","View Company Online")</f>
        <v>View Company Online</v>
      </c>
    </row>
    <row r="237" spans="1:18" hidden="1" x14ac:dyDescent="0.3">
      <c r="A237" s="15" t="s">
        <v>976</v>
      </c>
      <c r="B237" s="15" t="s">
        <v>977</v>
      </c>
      <c r="C237" s="18" t="s">
        <v>28</v>
      </c>
      <c r="D237" s="15" t="s">
        <v>978</v>
      </c>
      <c r="E237" s="18" t="s">
        <v>28</v>
      </c>
      <c r="F237" s="19">
        <v>18.5</v>
      </c>
      <c r="G237" s="19">
        <v>18.5</v>
      </c>
      <c r="H237" s="19">
        <v>18.5</v>
      </c>
      <c r="I237" s="18" t="s">
        <v>28</v>
      </c>
      <c r="J237" s="18" t="s">
        <v>28</v>
      </c>
      <c r="K237" s="18" t="s">
        <v>28</v>
      </c>
      <c r="L237" s="18" t="s">
        <v>28</v>
      </c>
      <c r="M237" s="18" t="s">
        <v>28</v>
      </c>
      <c r="N237" s="17">
        <v>45575</v>
      </c>
      <c r="O237" s="15" t="s">
        <v>30</v>
      </c>
      <c r="P237" s="16" t="s">
        <v>979</v>
      </c>
      <c r="Q237" s="15" t="s">
        <v>105</v>
      </c>
      <c r="R237" s="13" t="str">
        <f>HYPERLINK("https://my.pitchbook.com?c=257405-68T","View Company Online")</f>
        <v>View Company Online</v>
      </c>
    </row>
    <row r="238" spans="1:18" hidden="1" x14ac:dyDescent="0.3">
      <c r="A238" s="9" t="s">
        <v>980</v>
      </c>
      <c r="B238" s="9" t="s">
        <v>981</v>
      </c>
      <c r="C238" s="11" t="s">
        <v>28</v>
      </c>
      <c r="D238" s="9" t="s">
        <v>982</v>
      </c>
      <c r="E238" s="11" t="s">
        <v>28</v>
      </c>
      <c r="F238" s="10" t="s">
        <v>28</v>
      </c>
      <c r="G238" s="10" t="s">
        <v>28</v>
      </c>
      <c r="H238" s="10" t="s">
        <v>28</v>
      </c>
      <c r="I238" s="11" t="s">
        <v>28</v>
      </c>
      <c r="J238" s="11" t="s">
        <v>28</v>
      </c>
      <c r="K238" s="11" t="s">
        <v>28</v>
      </c>
      <c r="L238" s="11" t="s">
        <v>28</v>
      </c>
      <c r="M238" s="11" t="s">
        <v>28</v>
      </c>
      <c r="N238" s="8">
        <v>45575</v>
      </c>
      <c r="O238" s="9" t="s">
        <v>30</v>
      </c>
      <c r="P238" s="12" t="s">
        <v>983</v>
      </c>
      <c r="Q238" s="9" t="s">
        <v>245</v>
      </c>
      <c r="R238" s="14" t="str">
        <f>HYPERLINK("https://my.pitchbook.com?c=277190-20T","View Company Online")</f>
        <v>View Company Online</v>
      </c>
    </row>
    <row r="239" spans="1:18" hidden="1" x14ac:dyDescent="0.3">
      <c r="A239" s="15" t="s">
        <v>984</v>
      </c>
      <c r="B239" s="15" t="s">
        <v>985</v>
      </c>
      <c r="C239" s="18" t="s">
        <v>28</v>
      </c>
      <c r="D239" s="15" t="s">
        <v>986</v>
      </c>
      <c r="E239" s="18" t="s">
        <v>28</v>
      </c>
      <c r="F239" s="19" t="s">
        <v>28</v>
      </c>
      <c r="G239" s="19">
        <v>148.94</v>
      </c>
      <c r="H239" s="19" t="s">
        <v>28</v>
      </c>
      <c r="I239" s="18">
        <v>2.23</v>
      </c>
      <c r="J239" s="18" t="s">
        <v>28</v>
      </c>
      <c r="K239" s="18">
        <v>79.28</v>
      </c>
      <c r="L239" s="18" t="s">
        <v>28</v>
      </c>
      <c r="M239" s="18">
        <v>2.13</v>
      </c>
      <c r="N239" s="17">
        <v>45573</v>
      </c>
      <c r="O239" s="15" t="s">
        <v>79</v>
      </c>
      <c r="P239" s="16" t="s">
        <v>987</v>
      </c>
      <c r="Q239" s="15" t="s">
        <v>37</v>
      </c>
      <c r="R239" s="13" t="str">
        <f>HYPERLINK("https://my.pitchbook.com?c=254866-24T","View Company Online")</f>
        <v>View Company Online</v>
      </c>
    </row>
    <row r="240" spans="1:18" hidden="1" x14ac:dyDescent="0.3">
      <c r="A240" s="9" t="s">
        <v>988</v>
      </c>
      <c r="B240" s="9" t="s">
        <v>989</v>
      </c>
      <c r="C240" s="11" t="s">
        <v>28</v>
      </c>
      <c r="D240" s="9" t="s">
        <v>990</v>
      </c>
      <c r="E240" s="11" t="s">
        <v>28</v>
      </c>
      <c r="F240" s="10" t="s">
        <v>28</v>
      </c>
      <c r="G240" s="10">
        <v>0.51</v>
      </c>
      <c r="H240" s="10">
        <v>5.99</v>
      </c>
      <c r="I240" s="11">
        <v>-0.16</v>
      </c>
      <c r="J240" s="11">
        <v>-36.340000000000003</v>
      </c>
      <c r="K240" s="11">
        <v>0.56000000000000005</v>
      </c>
      <c r="L240" s="11">
        <v>10.77</v>
      </c>
      <c r="M240" s="11">
        <v>-0.17</v>
      </c>
      <c r="N240" s="8">
        <v>45573</v>
      </c>
      <c r="O240" s="9" t="s">
        <v>99</v>
      </c>
      <c r="P240" s="12" t="s">
        <v>991</v>
      </c>
      <c r="Q240" s="9" t="s">
        <v>75</v>
      </c>
      <c r="R240" s="14" t="str">
        <f>HYPERLINK("https://my.pitchbook.com?c=274316-86T","View Company Online")</f>
        <v>View Company Online</v>
      </c>
    </row>
    <row r="241" spans="1:18" hidden="1" x14ac:dyDescent="0.3">
      <c r="A241" s="15" t="s">
        <v>992</v>
      </c>
      <c r="B241" s="15" t="s">
        <v>993</v>
      </c>
      <c r="C241" s="18" t="s">
        <v>28</v>
      </c>
      <c r="D241" s="15" t="s">
        <v>994</v>
      </c>
      <c r="E241" s="18" t="s">
        <v>28</v>
      </c>
      <c r="F241" s="19" t="s">
        <v>28</v>
      </c>
      <c r="G241" s="19">
        <v>0.91</v>
      </c>
      <c r="H241" s="19" t="s">
        <v>28</v>
      </c>
      <c r="I241" s="18" t="s">
        <v>28</v>
      </c>
      <c r="J241" s="18" t="s">
        <v>28</v>
      </c>
      <c r="K241" s="18" t="s">
        <v>28</v>
      </c>
      <c r="L241" s="18" t="s">
        <v>28</v>
      </c>
      <c r="M241" s="18" t="s">
        <v>28</v>
      </c>
      <c r="N241" s="17">
        <v>45573</v>
      </c>
      <c r="O241" s="15" t="s">
        <v>99</v>
      </c>
      <c r="P241" s="16" t="s">
        <v>140</v>
      </c>
      <c r="Q241" s="15" t="s">
        <v>114</v>
      </c>
      <c r="R241" s="13" t="str">
        <f>HYPERLINK("https://my.pitchbook.com?c=260169-85T","View Company Online")</f>
        <v>View Company Online</v>
      </c>
    </row>
    <row r="242" spans="1:18" hidden="1" x14ac:dyDescent="0.3">
      <c r="A242" s="9" t="s">
        <v>995</v>
      </c>
      <c r="B242" s="9" t="s">
        <v>996</v>
      </c>
      <c r="C242" s="11" t="s">
        <v>28</v>
      </c>
      <c r="D242" s="9" t="s">
        <v>997</v>
      </c>
      <c r="E242" s="11" t="s">
        <v>28</v>
      </c>
      <c r="F242" s="10" t="s">
        <v>28</v>
      </c>
      <c r="G242" s="10" t="s">
        <v>28</v>
      </c>
      <c r="H242" s="10" t="s">
        <v>28</v>
      </c>
      <c r="I242" s="11" t="s">
        <v>28</v>
      </c>
      <c r="J242" s="11" t="s">
        <v>28</v>
      </c>
      <c r="K242" s="11" t="s">
        <v>28</v>
      </c>
      <c r="L242" s="11" t="s">
        <v>28</v>
      </c>
      <c r="M242" s="11" t="s">
        <v>28</v>
      </c>
      <c r="N242" s="8">
        <v>45573</v>
      </c>
      <c r="O242" s="9" t="s">
        <v>30</v>
      </c>
      <c r="P242" s="12" t="s">
        <v>998</v>
      </c>
      <c r="Q242" s="9" t="s">
        <v>566</v>
      </c>
      <c r="R242" s="14" t="str">
        <f>HYPERLINK("https://my.pitchbook.com?c=277255-72T","View Company Online")</f>
        <v>View Company Online</v>
      </c>
    </row>
    <row r="243" spans="1:18" hidden="1" x14ac:dyDescent="0.3">
      <c r="A243" s="15" t="s">
        <v>999</v>
      </c>
      <c r="B243" s="15" t="s">
        <v>1000</v>
      </c>
      <c r="C243" s="18" t="s">
        <v>28</v>
      </c>
      <c r="D243" s="15" t="s">
        <v>1001</v>
      </c>
      <c r="E243" s="18" t="s">
        <v>28</v>
      </c>
      <c r="F243" s="19">
        <v>2800</v>
      </c>
      <c r="G243" s="19">
        <v>1400</v>
      </c>
      <c r="H243" s="19">
        <v>2800</v>
      </c>
      <c r="I243" s="18" t="s">
        <v>28</v>
      </c>
      <c r="J243" s="18" t="s">
        <v>28</v>
      </c>
      <c r="K243" s="18" t="s">
        <v>28</v>
      </c>
      <c r="L243" s="18" t="s">
        <v>28</v>
      </c>
      <c r="M243" s="18" t="s">
        <v>28</v>
      </c>
      <c r="N243" s="17">
        <v>45572</v>
      </c>
      <c r="O243" s="15" t="s">
        <v>30</v>
      </c>
      <c r="P243" s="16" t="s">
        <v>1002</v>
      </c>
      <c r="Q243" s="15" t="s">
        <v>226</v>
      </c>
      <c r="R243" s="13" t="str">
        <f>HYPERLINK("https://my.pitchbook.com?c=264443-68T","View Company Online")</f>
        <v>View Company Online</v>
      </c>
    </row>
    <row r="244" spans="1:18" hidden="1" x14ac:dyDescent="0.3">
      <c r="A244" s="9" t="s">
        <v>1003</v>
      </c>
      <c r="B244" s="9" t="s">
        <v>1004</v>
      </c>
      <c r="C244" s="11" t="s">
        <v>28</v>
      </c>
      <c r="D244" s="9" t="s">
        <v>1005</v>
      </c>
      <c r="E244" s="11" t="s">
        <v>28</v>
      </c>
      <c r="F244" s="10" t="s">
        <v>28</v>
      </c>
      <c r="G244" s="10">
        <v>0.36</v>
      </c>
      <c r="H244" s="10" t="s">
        <v>28</v>
      </c>
      <c r="I244" s="11" t="s">
        <v>28</v>
      </c>
      <c r="J244" s="11" t="s">
        <v>28</v>
      </c>
      <c r="K244" s="11" t="s">
        <v>28</v>
      </c>
      <c r="L244" s="11" t="s">
        <v>28</v>
      </c>
      <c r="M244" s="11" t="s">
        <v>28</v>
      </c>
      <c r="N244" s="8">
        <v>45572</v>
      </c>
      <c r="O244" s="9" t="s">
        <v>58</v>
      </c>
      <c r="P244" s="12" t="s">
        <v>1006</v>
      </c>
      <c r="Q244" s="9" t="s">
        <v>1007</v>
      </c>
      <c r="R244" s="14" t="str">
        <f>HYPERLINK("https://my.pitchbook.com?c=274119-76T","View Company Online")</f>
        <v>View Company Online</v>
      </c>
    </row>
    <row r="245" spans="1:18" hidden="1" x14ac:dyDescent="0.3">
      <c r="A245" s="15" t="s">
        <v>1008</v>
      </c>
      <c r="B245" s="15" t="s">
        <v>1009</v>
      </c>
      <c r="C245" s="18" t="s">
        <v>28</v>
      </c>
      <c r="D245" s="15" t="s">
        <v>1010</v>
      </c>
      <c r="E245" s="18" t="s">
        <v>28</v>
      </c>
      <c r="F245" s="19" t="s">
        <v>28</v>
      </c>
      <c r="G245" s="19">
        <v>1.0900000000000001</v>
      </c>
      <c r="H245" s="19" t="s">
        <v>28</v>
      </c>
      <c r="I245" s="18" t="s">
        <v>28</v>
      </c>
      <c r="J245" s="18" t="s">
        <v>28</v>
      </c>
      <c r="K245" s="18" t="s">
        <v>28</v>
      </c>
      <c r="L245" s="18" t="s">
        <v>28</v>
      </c>
      <c r="M245" s="18" t="s">
        <v>28</v>
      </c>
      <c r="N245" s="17">
        <v>45572</v>
      </c>
      <c r="O245" s="15" t="s">
        <v>73</v>
      </c>
      <c r="P245" s="16" t="s">
        <v>1011</v>
      </c>
      <c r="Q245" s="15" t="s">
        <v>75</v>
      </c>
      <c r="R245" s="13" t="str">
        <f>HYPERLINK("https://my.pitchbook.com?c=277270-39T","View Company Online")</f>
        <v>View Company Online</v>
      </c>
    </row>
    <row r="246" spans="1:18" hidden="1" x14ac:dyDescent="0.3">
      <c r="A246" s="9" t="s">
        <v>1012</v>
      </c>
      <c r="B246" s="9" t="s">
        <v>1013</v>
      </c>
      <c r="C246" s="11" t="s">
        <v>28</v>
      </c>
      <c r="D246" s="9" t="s">
        <v>1014</v>
      </c>
      <c r="E246" s="11" t="s">
        <v>28</v>
      </c>
      <c r="F246" s="10" t="s">
        <v>28</v>
      </c>
      <c r="G246" s="10" t="s">
        <v>28</v>
      </c>
      <c r="H246" s="10" t="s">
        <v>28</v>
      </c>
      <c r="I246" s="11" t="s">
        <v>28</v>
      </c>
      <c r="J246" s="11" t="s">
        <v>28</v>
      </c>
      <c r="K246" s="11" t="s">
        <v>28</v>
      </c>
      <c r="L246" s="11" t="s">
        <v>28</v>
      </c>
      <c r="M246" s="11" t="s">
        <v>28</v>
      </c>
      <c r="N246" s="8">
        <v>45570</v>
      </c>
      <c r="O246" s="9" t="s">
        <v>79</v>
      </c>
      <c r="P246" s="12" t="s">
        <v>1015</v>
      </c>
      <c r="Q246" s="9" t="s">
        <v>75</v>
      </c>
      <c r="R246" s="14" t="str">
        <f>HYPERLINK("https://my.pitchbook.com?c=295842-79T","View Company Online")</f>
        <v>View Company Online</v>
      </c>
    </row>
    <row r="247" spans="1:18" hidden="1" x14ac:dyDescent="0.3">
      <c r="A247" s="15" t="s">
        <v>1016</v>
      </c>
      <c r="B247" s="15" t="s">
        <v>1017</v>
      </c>
      <c r="C247" s="18" t="s">
        <v>28</v>
      </c>
      <c r="D247" s="15" t="s">
        <v>1018</v>
      </c>
      <c r="E247" s="18" t="s">
        <v>28</v>
      </c>
      <c r="F247" s="19" t="s">
        <v>28</v>
      </c>
      <c r="G247" s="19" t="s">
        <v>28</v>
      </c>
      <c r="H247" s="19" t="s">
        <v>28</v>
      </c>
      <c r="I247" s="18" t="s">
        <v>28</v>
      </c>
      <c r="J247" s="18" t="s">
        <v>28</v>
      </c>
      <c r="K247" s="18" t="s">
        <v>28</v>
      </c>
      <c r="L247" s="18" t="s">
        <v>28</v>
      </c>
      <c r="M247" s="18" t="s">
        <v>28</v>
      </c>
      <c r="N247" s="17">
        <v>45569</v>
      </c>
      <c r="O247" s="15" t="s">
        <v>30</v>
      </c>
      <c r="P247" s="16" t="s">
        <v>1019</v>
      </c>
      <c r="Q247" s="15" t="s">
        <v>193</v>
      </c>
      <c r="R247" s="13" t="str">
        <f>HYPERLINK("https://my.pitchbook.com?c=274509-37T","View Company Online")</f>
        <v>View Company Online</v>
      </c>
    </row>
    <row r="248" spans="1:18" hidden="1" x14ac:dyDescent="0.3">
      <c r="A248" s="9" t="s">
        <v>1020</v>
      </c>
      <c r="B248" s="9" t="s">
        <v>1021</v>
      </c>
      <c r="C248" s="11" t="s">
        <v>28</v>
      </c>
      <c r="D248" s="9" t="s">
        <v>1022</v>
      </c>
      <c r="E248" s="11" t="s">
        <v>28</v>
      </c>
      <c r="F248" s="10" t="s">
        <v>28</v>
      </c>
      <c r="G248" s="10" t="s">
        <v>28</v>
      </c>
      <c r="H248" s="10" t="s">
        <v>28</v>
      </c>
      <c r="I248" s="11" t="s">
        <v>28</v>
      </c>
      <c r="J248" s="11" t="s">
        <v>28</v>
      </c>
      <c r="K248" s="11" t="s">
        <v>28</v>
      </c>
      <c r="L248" s="11" t="s">
        <v>28</v>
      </c>
      <c r="M248" s="11" t="s">
        <v>28</v>
      </c>
      <c r="N248" s="8">
        <v>45569</v>
      </c>
      <c r="O248" s="9" t="s">
        <v>41</v>
      </c>
      <c r="P248" s="12" t="s">
        <v>1023</v>
      </c>
      <c r="Q248" s="9" t="s">
        <v>43</v>
      </c>
      <c r="R248" s="14" t="str">
        <f>HYPERLINK("https://my.pitchbook.com?c=273900-43T","View Company Online")</f>
        <v>View Company Online</v>
      </c>
    </row>
    <row r="249" spans="1:18" hidden="1" x14ac:dyDescent="0.3">
      <c r="A249" s="15" t="s">
        <v>1024</v>
      </c>
      <c r="B249" s="15" t="s">
        <v>1025</v>
      </c>
      <c r="C249" s="18" t="s">
        <v>28</v>
      </c>
      <c r="D249" s="15" t="s">
        <v>1026</v>
      </c>
      <c r="E249" s="18" t="s">
        <v>28</v>
      </c>
      <c r="F249" s="19" t="s">
        <v>28</v>
      </c>
      <c r="G249" s="19">
        <v>1.45</v>
      </c>
      <c r="H249" s="19">
        <v>72.38</v>
      </c>
      <c r="I249" s="18" t="s">
        <v>28</v>
      </c>
      <c r="J249" s="18" t="s">
        <v>28</v>
      </c>
      <c r="K249" s="18" t="s">
        <v>28</v>
      </c>
      <c r="L249" s="18" t="s">
        <v>28</v>
      </c>
      <c r="M249" s="18" t="s">
        <v>28</v>
      </c>
      <c r="N249" s="17">
        <v>45568</v>
      </c>
      <c r="O249" s="15" t="s">
        <v>73</v>
      </c>
      <c r="P249" s="16" t="s">
        <v>1027</v>
      </c>
      <c r="Q249" s="15" t="s">
        <v>37</v>
      </c>
      <c r="R249" s="13" t="str">
        <f>HYPERLINK("https://my.pitchbook.com?c=273723-76T","View Company Online")</f>
        <v>View Company Online</v>
      </c>
    </row>
    <row r="250" spans="1:18" hidden="1" x14ac:dyDescent="0.3">
      <c r="A250" s="9" t="s">
        <v>1028</v>
      </c>
      <c r="B250" s="9" t="s">
        <v>1029</v>
      </c>
      <c r="C250" s="11" t="s">
        <v>28</v>
      </c>
      <c r="D250" s="9" t="s">
        <v>1030</v>
      </c>
      <c r="E250" s="11" t="s">
        <v>28</v>
      </c>
      <c r="F250" s="10">
        <v>32.57</v>
      </c>
      <c r="G250" s="10">
        <v>32.57</v>
      </c>
      <c r="H250" s="10">
        <v>32.57</v>
      </c>
      <c r="I250" s="11" t="s">
        <v>28</v>
      </c>
      <c r="J250" s="11" t="s">
        <v>28</v>
      </c>
      <c r="K250" s="11" t="s">
        <v>28</v>
      </c>
      <c r="L250" s="11" t="s">
        <v>28</v>
      </c>
      <c r="M250" s="11" t="s">
        <v>28</v>
      </c>
      <c r="N250" s="8">
        <v>45568</v>
      </c>
      <c r="O250" s="9" t="s">
        <v>30</v>
      </c>
      <c r="P250" s="12" t="s">
        <v>357</v>
      </c>
      <c r="Q250" s="9" t="s">
        <v>855</v>
      </c>
      <c r="R250" s="14" t="str">
        <f>HYPERLINK("https://my.pitchbook.com?c=273789-82T","View Company Online")</f>
        <v>View Company Online</v>
      </c>
    </row>
    <row r="251" spans="1:18" hidden="1" x14ac:dyDescent="0.3">
      <c r="A251" s="15" t="s">
        <v>1031</v>
      </c>
      <c r="B251" s="15" t="s">
        <v>1032</v>
      </c>
      <c r="C251" s="18" t="s">
        <v>28</v>
      </c>
      <c r="D251" s="15" t="s">
        <v>1033</v>
      </c>
      <c r="E251" s="18" t="s">
        <v>28</v>
      </c>
      <c r="F251" s="19">
        <v>37.56</v>
      </c>
      <c r="G251" s="19">
        <v>26.11</v>
      </c>
      <c r="H251" s="19">
        <v>37.56</v>
      </c>
      <c r="I251" s="18" t="s">
        <v>28</v>
      </c>
      <c r="J251" s="18" t="s">
        <v>28</v>
      </c>
      <c r="K251" s="18" t="s">
        <v>28</v>
      </c>
      <c r="L251" s="18" t="s">
        <v>28</v>
      </c>
      <c r="M251" s="18" t="s">
        <v>28</v>
      </c>
      <c r="N251" s="17">
        <v>45568</v>
      </c>
      <c r="O251" s="15" t="s">
        <v>30</v>
      </c>
      <c r="P251" s="16" t="s">
        <v>1034</v>
      </c>
      <c r="Q251" s="15" t="s">
        <v>1035</v>
      </c>
      <c r="R251" s="13" t="str">
        <f>HYPERLINK("https://my.pitchbook.com?c=273694-15T","View Company Online")</f>
        <v>View Company Online</v>
      </c>
    </row>
    <row r="252" spans="1:18" hidden="1" x14ac:dyDescent="0.3">
      <c r="A252" s="9" t="s">
        <v>1036</v>
      </c>
      <c r="B252" s="9" t="s">
        <v>1037</v>
      </c>
      <c r="C252" s="11" t="s">
        <v>28</v>
      </c>
      <c r="D252" s="9" t="s">
        <v>1038</v>
      </c>
      <c r="E252" s="11" t="s">
        <v>28</v>
      </c>
      <c r="F252" s="10">
        <v>33.979999999999997</v>
      </c>
      <c r="G252" s="10">
        <v>33.979999999999997</v>
      </c>
      <c r="H252" s="10">
        <v>33.979999999999997</v>
      </c>
      <c r="I252" s="11" t="s">
        <v>28</v>
      </c>
      <c r="J252" s="11" t="s">
        <v>28</v>
      </c>
      <c r="K252" s="11" t="s">
        <v>28</v>
      </c>
      <c r="L252" s="11" t="s">
        <v>28</v>
      </c>
      <c r="M252" s="11" t="s">
        <v>28</v>
      </c>
      <c r="N252" s="8">
        <v>45567</v>
      </c>
      <c r="O252" s="9" t="s">
        <v>41</v>
      </c>
      <c r="P252" s="12" t="s">
        <v>1039</v>
      </c>
      <c r="Q252" s="9" t="s">
        <v>692</v>
      </c>
      <c r="R252" s="14" t="str">
        <f>HYPERLINK("https://my.pitchbook.com?c=267405-13T","View Company Online")</f>
        <v>View Company Online</v>
      </c>
    </row>
    <row r="253" spans="1:18" hidden="1" x14ac:dyDescent="0.3">
      <c r="A253" s="15" t="s">
        <v>1040</v>
      </c>
      <c r="B253" s="15" t="s">
        <v>1041</v>
      </c>
      <c r="C253" s="18" t="s">
        <v>28</v>
      </c>
      <c r="D253" s="15" t="s">
        <v>1042</v>
      </c>
      <c r="E253" s="18" t="s">
        <v>28</v>
      </c>
      <c r="F253" s="19" t="s">
        <v>28</v>
      </c>
      <c r="G253" s="19">
        <v>0.31</v>
      </c>
      <c r="H253" s="19" t="s">
        <v>28</v>
      </c>
      <c r="I253" s="18" t="s">
        <v>28</v>
      </c>
      <c r="J253" s="18" t="s">
        <v>28</v>
      </c>
      <c r="K253" s="18" t="s">
        <v>28</v>
      </c>
      <c r="L253" s="18" t="s">
        <v>28</v>
      </c>
      <c r="M253" s="18" t="s">
        <v>28</v>
      </c>
      <c r="N253" s="17">
        <v>45567</v>
      </c>
      <c r="O253" s="15" t="s">
        <v>99</v>
      </c>
      <c r="P253" s="16" t="s">
        <v>28</v>
      </c>
      <c r="Q253" s="15" t="s">
        <v>263</v>
      </c>
      <c r="R253" s="13" t="str">
        <f>HYPERLINK("https://my.pitchbook.com?c=281763-01T","View Company Online")</f>
        <v>View Company Online</v>
      </c>
    </row>
    <row r="254" spans="1:18" hidden="1" x14ac:dyDescent="0.3">
      <c r="A254" s="9" t="s">
        <v>1043</v>
      </c>
      <c r="B254" s="9" t="s">
        <v>1044</v>
      </c>
      <c r="C254" s="11" t="s">
        <v>28</v>
      </c>
      <c r="D254" s="9" t="s">
        <v>1045</v>
      </c>
      <c r="E254" s="11" t="s">
        <v>28</v>
      </c>
      <c r="F254" s="10" t="s">
        <v>28</v>
      </c>
      <c r="G254" s="10" t="s">
        <v>28</v>
      </c>
      <c r="H254" s="10" t="s">
        <v>28</v>
      </c>
      <c r="I254" s="11" t="s">
        <v>28</v>
      </c>
      <c r="J254" s="11" t="s">
        <v>28</v>
      </c>
      <c r="K254" s="11" t="s">
        <v>28</v>
      </c>
      <c r="L254" s="11" t="s">
        <v>28</v>
      </c>
      <c r="M254" s="11" t="s">
        <v>28</v>
      </c>
      <c r="N254" s="8">
        <v>45567</v>
      </c>
      <c r="O254" s="9" t="s">
        <v>30</v>
      </c>
      <c r="P254" s="12" t="s">
        <v>1046</v>
      </c>
      <c r="Q254" s="9" t="s">
        <v>188</v>
      </c>
      <c r="R254" s="14" t="str">
        <f>HYPERLINK("https://my.pitchbook.com?c=273699-91T","View Company Online")</f>
        <v>View Company Online</v>
      </c>
    </row>
    <row r="255" spans="1:18" hidden="1" x14ac:dyDescent="0.3">
      <c r="A255" s="15" t="s">
        <v>1047</v>
      </c>
      <c r="B255" s="15" t="s">
        <v>1048</v>
      </c>
      <c r="C255" s="18" t="s">
        <v>28</v>
      </c>
      <c r="D255" s="15" t="s">
        <v>1049</v>
      </c>
      <c r="E255" s="18" t="s">
        <v>28</v>
      </c>
      <c r="F255" s="19" t="s">
        <v>28</v>
      </c>
      <c r="G255" s="19" t="s">
        <v>28</v>
      </c>
      <c r="H255" s="19" t="s">
        <v>28</v>
      </c>
      <c r="I255" s="18" t="s">
        <v>28</v>
      </c>
      <c r="J255" s="18" t="s">
        <v>28</v>
      </c>
      <c r="K255" s="18" t="s">
        <v>28</v>
      </c>
      <c r="L255" s="18" t="s">
        <v>28</v>
      </c>
      <c r="M255" s="18" t="s">
        <v>28</v>
      </c>
      <c r="N255" s="17">
        <v>45567</v>
      </c>
      <c r="O255" s="15" t="s">
        <v>30</v>
      </c>
      <c r="P255" s="16" t="s">
        <v>1050</v>
      </c>
      <c r="Q255" s="15" t="s">
        <v>1051</v>
      </c>
      <c r="R255" s="13" t="str">
        <f>HYPERLINK("https://my.pitchbook.com?c=274354-66T","View Company Online")</f>
        <v>View Company Online</v>
      </c>
    </row>
    <row r="256" spans="1:18" hidden="1" x14ac:dyDescent="0.3">
      <c r="A256" s="9" t="s">
        <v>1052</v>
      </c>
      <c r="B256" s="9" t="s">
        <v>1053</v>
      </c>
      <c r="C256" s="11" t="s">
        <v>28</v>
      </c>
      <c r="D256" s="9" t="s">
        <v>1054</v>
      </c>
      <c r="E256" s="11" t="s">
        <v>28</v>
      </c>
      <c r="F256" s="10" t="s">
        <v>28</v>
      </c>
      <c r="G256" s="10" t="s">
        <v>28</v>
      </c>
      <c r="H256" s="10" t="s">
        <v>28</v>
      </c>
      <c r="I256" s="11" t="s">
        <v>28</v>
      </c>
      <c r="J256" s="11" t="s">
        <v>28</v>
      </c>
      <c r="K256" s="11" t="s">
        <v>28</v>
      </c>
      <c r="L256" s="11" t="s">
        <v>28</v>
      </c>
      <c r="M256" s="11" t="s">
        <v>28</v>
      </c>
      <c r="N256" s="8">
        <v>45566</v>
      </c>
      <c r="O256" s="9" t="s">
        <v>52</v>
      </c>
      <c r="P256" s="12" t="s">
        <v>1055</v>
      </c>
      <c r="Q256" s="9" t="s">
        <v>362</v>
      </c>
      <c r="R256" s="14" t="str">
        <f>HYPERLINK("https://my.pitchbook.com?c=298038-70T","View Company Online")</f>
        <v>View Company Online</v>
      </c>
    </row>
    <row r="257" spans="1:18" hidden="1" x14ac:dyDescent="0.3">
      <c r="A257" s="15" t="s">
        <v>1056</v>
      </c>
      <c r="B257" s="15" t="s">
        <v>1057</v>
      </c>
      <c r="C257" s="18" t="s">
        <v>28</v>
      </c>
      <c r="D257" s="15" t="s">
        <v>1058</v>
      </c>
      <c r="E257" s="18" t="s">
        <v>28</v>
      </c>
      <c r="F257" s="19" t="s">
        <v>28</v>
      </c>
      <c r="G257" s="19">
        <v>0.12</v>
      </c>
      <c r="H257" s="19" t="s">
        <v>28</v>
      </c>
      <c r="I257" s="18" t="s">
        <v>28</v>
      </c>
      <c r="J257" s="18" t="s">
        <v>28</v>
      </c>
      <c r="K257" s="18" t="s">
        <v>28</v>
      </c>
      <c r="L257" s="18" t="s">
        <v>28</v>
      </c>
      <c r="M257" s="18" t="s">
        <v>28</v>
      </c>
      <c r="N257" s="17">
        <v>45566</v>
      </c>
      <c r="O257" s="15" t="s">
        <v>73</v>
      </c>
      <c r="P257" s="16" t="s">
        <v>1059</v>
      </c>
      <c r="Q257" s="15" t="s">
        <v>75</v>
      </c>
      <c r="R257" s="13" t="str">
        <f>HYPERLINK("https://my.pitchbook.com?c=283058-65T","View Company Online")</f>
        <v>View Company Online</v>
      </c>
    </row>
    <row r="258" spans="1:18" hidden="1" x14ac:dyDescent="0.3">
      <c r="A258" s="9" t="s">
        <v>1060</v>
      </c>
      <c r="B258" s="9" t="s">
        <v>1061</v>
      </c>
      <c r="C258" s="11" t="s">
        <v>28</v>
      </c>
      <c r="D258" s="9" t="s">
        <v>1062</v>
      </c>
      <c r="E258" s="11" t="s">
        <v>28</v>
      </c>
      <c r="F258" s="10" t="s">
        <v>28</v>
      </c>
      <c r="G258" s="10" t="s">
        <v>28</v>
      </c>
      <c r="H258" s="10" t="s">
        <v>28</v>
      </c>
      <c r="I258" s="11" t="s">
        <v>28</v>
      </c>
      <c r="J258" s="11" t="s">
        <v>28</v>
      </c>
      <c r="K258" s="11" t="s">
        <v>28</v>
      </c>
      <c r="L258" s="11" t="s">
        <v>28</v>
      </c>
      <c r="M258" s="11" t="s">
        <v>28</v>
      </c>
      <c r="N258" s="8">
        <v>45566</v>
      </c>
      <c r="O258" s="9" t="s">
        <v>30</v>
      </c>
      <c r="P258" s="12" t="s">
        <v>1063</v>
      </c>
      <c r="Q258" s="9" t="s">
        <v>169</v>
      </c>
      <c r="R258" s="14" t="str">
        <f>HYPERLINK("https://my.pitchbook.com?c=277178-77T","View Company Online")</f>
        <v>View Company Online</v>
      </c>
    </row>
    <row r="259" spans="1:18" hidden="1" x14ac:dyDescent="0.3">
      <c r="A259" s="15" t="s">
        <v>1064</v>
      </c>
      <c r="B259" s="15" t="s">
        <v>1065</v>
      </c>
      <c r="C259" s="18" t="s">
        <v>28</v>
      </c>
      <c r="D259" s="15" t="s">
        <v>1066</v>
      </c>
      <c r="E259" s="18" t="s">
        <v>28</v>
      </c>
      <c r="F259" s="19" t="s">
        <v>28</v>
      </c>
      <c r="G259" s="19" t="s">
        <v>28</v>
      </c>
      <c r="H259" s="19" t="s">
        <v>28</v>
      </c>
      <c r="I259" s="18" t="s">
        <v>28</v>
      </c>
      <c r="J259" s="18" t="s">
        <v>28</v>
      </c>
      <c r="K259" s="18" t="s">
        <v>28</v>
      </c>
      <c r="L259" s="18" t="s">
        <v>28</v>
      </c>
      <c r="M259" s="18" t="s">
        <v>28</v>
      </c>
      <c r="N259" s="17">
        <v>45566</v>
      </c>
      <c r="O259" s="15" t="s">
        <v>30</v>
      </c>
      <c r="P259" s="16" t="s">
        <v>1067</v>
      </c>
      <c r="Q259" s="15" t="s">
        <v>1068</v>
      </c>
      <c r="R259" s="13" t="str">
        <f>HYPERLINK("https://my.pitchbook.com?c=273630-97T","View Company Online")</f>
        <v>View Company Online</v>
      </c>
    </row>
    <row r="260" spans="1:18" hidden="1" x14ac:dyDescent="0.3">
      <c r="A260" s="9" t="s">
        <v>1069</v>
      </c>
      <c r="B260" s="9" t="s">
        <v>1070</v>
      </c>
      <c r="C260" s="11" t="s">
        <v>28</v>
      </c>
      <c r="D260" s="9" t="s">
        <v>1071</v>
      </c>
      <c r="E260" s="11" t="s">
        <v>28</v>
      </c>
      <c r="F260" s="10">
        <v>40.409999999999997</v>
      </c>
      <c r="G260" s="10">
        <v>40.409999999999997</v>
      </c>
      <c r="H260" s="10">
        <v>40.409999999999997</v>
      </c>
      <c r="I260" s="11" t="s">
        <v>28</v>
      </c>
      <c r="J260" s="11" t="s">
        <v>28</v>
      </c>
      <c r="K260" s="11" t="s">
        <v>28</v>
      </c>
      <c r="L260" s="11" t="s">
        <v>28</v>
      </c>
      <c r="M260" s="11" t="s">
        <v>28</v>
      </c>
      <c r="N260" s="8">
        <v>45566</v>
      </c>
      <c r="O260" s="9" t="s">
        <v>30</v>
      </c>
      <c r="P260" s="12" t="s">
        <v>1072</v>
      </c>
      <c r="Q260" s="9" t="s">
        <v>880</v>
      </c>
      <c r="R260" s="14" t="str">
        <f>HYPERLINK("https://my.pitchbook.com?c=267722-92T","View Company Online")</f>
        <v>View Company Online</v>
      </c>
    </row>
    <row r="261" spans="1:18" hidden="1" x14ac:dyDescent="0.3">
      <c r="A261" s="15" t="s">
        <v>1073</v>
      </c>
      <c r="B261" s="15" t="s">
        <v>1074</v>
      </c>
      <c r="C261" s="18" t="s">
        <v>28</v>
      </c>
      <c r="D261" s="15" t="s">
        <v>1075</v>
      </c>
      <c r="E261" s="18" t="s">
        <v>28</v>
      </c>
      <c r="F261" s="19">
        <v>27.27</v>
      </c>
      <c r="G261" s="19">
        <v>23.18</v>
      </c>
      <c r="H261" s="19">
        <v>27.27</v>
      </c>
      <c r="I261" s="18" t="s">
        <v>28</v>
      </c>
      <c r="J261" s="18" t="s">
        <v>28</v>
      </c>
      <c r="K261" s="18" t="s">
        <v>28</v>
      </c>
      <c r="L261" s="18" t="s">
        <v>28</v>
      </c>
      <c r="M261" s="18" t="s">
        <v>28</v>
      </c>
      <c r="N261" s="17">
        <v>45566</v>
      </c>
      <c r="O261" s="15" t="s">
        <v>41</v>
      </c>
      <c r="P261" s="16" t="s">
        <v>1076</v>
      </c>
      <c r="Q261" s="15" t="s">
        <v>109</v>
      </c>
      <c r="R261" s="13" t="str">
        <f>HYPERLINK("https://my.pitchbook.com?c=274086-91T","View Company Online")</f>
        <v>View Company Online</v>
      </c>
    </row>
    <row r="262" spans="1:18" hidden="1" x14ac:dyDescent="0.3">
      <c r="A262" s="9" t="s">
        <v>1077</v>
      </c>
      <c r="B262" s="9" t="s">
        <v>1078</v>
      </c>
      <c r="C262" s="11" t="s">
        <v>28</v>
      </c>
      <c r="D262" s="9" t="s">
        <v>1079</v>
      </c>
      <c r="E262" s="11" t="s">
        <v>28</v>
      </c>
      <c r="F262" s="10" t="s">
        <v>28</v>
      </c>
      <c r="G262" s="10">
        <v>18.059999999999999</v>
      </c>
      <c r="H262" s="10" t="s">
        <v>28</v>
      </c>
      <c r="I262" s="11" t="s">
        <v>28</v>
      </c>
      <c r="J262" s="11" t="s">
        <v>28</v>
      </c>
      <c r="K262" s="11" t="s">
        <v>28</v>
      </c>
      <c r="L262" s="11" t="s">
        <v>28</v>
      </c>
      <c r="M262" s="11" t="s">
        <v>28</v>
      </c>
      <c r="N262" s="8">
        <v>45566</v>
      </c>
      <c r="O262" s="9" t="s">
        <v>79</v>
      </c>
      <c r="P262" s="12" t="s">
        <v>28</v>
      </c>
      <c r="Q262" s="9" t="s">
        <v>43</v>
      </c>
      <c r="R262" s="14" t="str">
        <f>HYPERLINK("https://my.pitchbook.com?c=273617-92T","View Company Online")</f>
        <v>View Company Online</v>
      </c>
    </row>
    <row r="263" spans="1:18" hidden="1" x14ac:dyDescent="0.3">
      <c r="A263" s="15" t="s">
        <v>1080</v>
      </c>
      <c r="B263" s="15" t="s">
        <v>1081</v>
      </c>
      <c r="C263" s="18" t="s">
        <v>28</v>
      </c>
      <c r="D263" s="15" t="s">
        <v>1082</v>
      </c>
      <c r="E263" s="18" t="s">
        <v>28</v>
      </c>
      <c r="F263" s="19" t="s">
        <v>28</v>
      </c>
      <c r="G263" s="19" t="s">
        <v>28</v>
      </c>
      <c r="H263" s="19" t="s">
        <v>28</v>
      </c>
      <c r="I263" s="18" t="s">
        <v>28</v>
      </c>
      <c r="J263" s="18" t="s">
        <v>28</v>
      </c>
      <c r="K263" s="18" t="s">
        <v>28</v>
      </c>
      <c r="L263" s="18" t="s">
        <v>28</v>
      </c>
      <c r="M263" s="18" t="s">
        <v>28</v>
      </c>
      <c r="N263" s="17">
        <v>45566</v>
      </c>
      <c r="O263" s="15" t="s">
        <v>73</v>
      </c>
      <c r="P263" s="16" t="s">
        <v>1083</v>
      </c>
      <c r="Q263" s="15" t="s">
        <v>37</v>
      </c>
      <c r="R263" s="13" t="str">
        <f>HYPERLINK("https://my.pitchbook.com?c=274834-72T","View Company Online")</f>
        <v>View Company Online</v>
      </c>
    </row>
    <row r="264" spans="1:18" hidden="1" x14ac:dyDescent="0.3">
      <c r="A264" s="9" t="s">
        <v>1084</v>
      </c>
      <c r="B264" s="9" t="s">
        <v>1085</v>
      </c>
      <c r="C264" s="11" t="s">
        <v>28</v>
      </c>
      <c r="D264" s="9" t="s">
        <v>1086</v>
      </c>
      <c r="E264" s="11" t="s">
        <v>28</v>
      </c>
      <c r="F264" s="10">
        <v>51.23</v>
      </c>
      <c r="G264" s="10">
        <v>51.23</v>
      </c>
      <c r="H264" s="10">
        <v>51.23</v>
      </c>
      <c r="I264" s="11" t="s">
        <v>28</v>
      </c>
      <c r="J264" s="11" t="s">
        <v>28</v>
      </c>
      <c r="K264" s="11" t="s">
        <v>28</v>
      </c>
      <c r="L264" s="11" t="s">
        <v>28</v>
      </c>
      <c r="M264" s="11" t="s">
        <v>28</v>
      </c>
      <c r="N264" s="8">
        <v>45565</v>
      </c>
      <c r="O264" s="9" t="s">
        <v>30</v>
      </c>
      <c r="P264" s="12" t="s">
        <v>1087</v>
      </c>
      <c r="Q264" s="9" t="s">
        <v>1088</v>
      </c>
      <c r="R264" s="14" t="str">
        <f>HYPERLINK("https://my.pitchbook.com?c=263308-06T","View Company Online")</f>
        <v>View Company Online</v>
      </c>
    </row>
    <row r="265" spans="1:18" x14ac:dyDescent="0.3">
      <c r="A265" s="15" t="s">
        <v>1089</v>
      </c>
      <c r="B265" s="15" t="s">
        <v>1090</v>
      </c>
      <c r="C265" s="18">
        <v>48.12</v>
      </c>
      <c r="D265" s="15" t="s">
        <v>1091</v>
      </c>
      <c r="E265" s="18" t="s">
        <v>28</v>
      </c>
      <c r="F265" s="19">
        <v>121.03</v>
      </c>
      <c r="G265" s="19">
        <v>121.03</v>
      </c>
      <c r="H265" s="19">
        <v>121.03</v>
      </c>
      <c r="I265" s="18">
        <v>2.52</v>
      </c>
      <c r="J265" s="18">
        <v>48.12</v>
      </c>
      <c r="K265" s="18">
        <v>18.77</v>
      </c>
      <c r="L265" s="18">
        <v>6.45</v>
      </c>
      <c r="M265" s="18" t="s">
        <v>28</v>
      </c>
      <c r="N265" s="17">
        <v>45565</v>
      </c>
      <c r="O265" s="15" t="s">
        <v>30</v>
      </c>
      <c r="P265" s="16" t="s">
        <v>1092</v>
      </c>
      <c r="Q265" s="15" t="s">
        <v>362</v>
      </c>
      <c r="R265" s="13" t="str">
        <f>HYPERLINK("https://my.pitchbook.com?c=274140-01T","View Company Online")</f>
        <v>View Company Online</v>
      </c>
    </row>
    <row r="266" spans="1:18" hidden="1" x14ac:dyDescent="0.3">
      <c r="A266" s="9" t="s">
        <v>1093</v>
      </c>
      <c r="B266" s="9" t="s">
        <v>1094</v>
      </c>
      <c r="C266" s="11" t="s">
        <v>28</v>
      </c>
      <c r="D266" s="9" t="s">
        <v>1095</v>
      </c>
      <c r="E266" s="11" t="s">
        <v>28</v>
      </c>
      <c r="F266" s="10" t="s">
        <v>28</v>
      </c>
      <c r="G266" s="10" t="s">
        <v>28</v>
      </c>
      <c r="H266" s="10" t="s">
        <v>28</v>
      </c>
      <c r="I266" s="11" t="s">
        <v>28</v>
      </c>
      <c r="J266" s="11" t="s">
        <v>28</v>
      </c>
      <c r="K266" s="11">
        <v>4.83</v>
      </c>
      <c r="L266" s="11" t="s">
        <v>28</v>
      </c>
      <c r="M266" s="11" t="s">
        <v>28</v>
      </c>
      <c r="N266" s="8">
        <v>45565</v>
      </c>
      <c r="O266" s="9" t="s">
        <v>58</v>
      </c>
      <c r="P266" s="12" t="s">
        <v>1096</v>
      </c>
      <c r="Q266" s="9" t="s">
        <v>740</v>
      </c>
      <c r="R266" s="14" t="str">
        <f>HYPERLINK("https://my.pitchbook.com?c=273763-36T","View Company Online")</f>
        <v>View Company Online</v>
      </c>
    </row>
    <row r="267" spans="1:18" hidden="1" x14ac:dyDescent="0.3">
      <c r="A267" s="15" t="s">
        <v>1097</v>
      </c>
      <c r="B267" s="15" t="s">
        <v>1098</v>
      </c>
      <c r="C267" s="18" t="s">
        <v>28</v>
      </c>
      <c r="D267" s="15" t="s">
        <v>1099</v>
      </c>
      <c r="E267" s="18" t="s">
        <v>28</v>
      </c>
      <c r="F267" s="19" t="s">
        <v>28</v>
      </c>
      <c r="G267" s="19">
        <v>0.98</v>
      </c>
      <c r="H267" s="19" t="s">
        <v>28</v>
      </c>
      <c r="I267" s="18" t="s">
        <v>28</v>
      </c>
      <c r="J267" s="18" t="s">
        <v>28</v>
      </c>
      <c r="K267" s="18" t="s">
        <v>28</v>
      </c>
      <c r="L267" s="18" t="s">
        <v>28</v>
      </c>
      <c r="M267" s="18" t="s">
        <v>28</v>
      </c>
      <c r="N267" s="17">
        <v>45565</v>
      </c>
      <c r="O267" s="15" t="s">
        <v>79</v>
      </c>
      <c r="P267" s="16" t="s">
        <v>28</v>
      </c>
      <c r="Q267" s="15" t="s">
        <v>37</v>
      </c>
      <c r="R267" s="13" t="str">
        <f>HYPERLINK("https://my.pitchbook.com?c=273670-39T","View Company Online")</f>
        <v>View Company Online</v>
      </c>
    </row>
    <row r="268" spans="1:18" hidden="1" x14ac:dyDescent="0.3">
      <c r="A268" s="9" t="s">
        <v>1100</v>
      </c>
      <c r="B268" s="9" t="s">
        <v>1101</v>
      </c>
      <c r="C268" s="11" t="s">
        <v>28</v>
      </c>
      <c r="D268" s="9" t="s">
        <v>1102</v>
      </c>
      <c r="E268" s="11" t="s">
        <v>28</v>
      </c>
      <c r="F268" s="10" t="s">
        <v>28</v>
      </c>
      <c r="G268" s="10" t="s">
        <v>28</v>
      </c>
      <c r="H268" s="10" t="s">
        <v>28</v>
      </c>
      <c r="I268" s="11" t="s">
        <v>28</v>
      </c>
      <c r="J268" s="11" t="s">
        <v>28</v>
      </c>
      <c r="K268" s="11" t="s">
        <v>28</v>
      </c>
      <c r="L268" s="11" t="s">
        <v>28</v>
      </c>
      <c r="M268" s="11" t="s">
        <v>28</v>
      </c>
      <c r="N268" s="8">
        <v>45565</v>
      </c>
      <c r="O268" s="9" t="s">
        <v>30</v>
      </c>
      <c r="P268" s="12" t="s">
        <v>1103</v>
      </c>
      <c r="Q268" s="9" t="s">
        <v>37</v>
      </c>
      <c r="R268" s="14" t="str">
        <f>HYPERLINK("https://my.pitchbook.com?c=277263-37T","View Company Online")</f>
        <v>View Company Online</v>
      </c>
    </row>
    <row r="269" spans="1:18" hidden="1" x14ac:dyDescent="0.3">
      <c r="A269" s="15" t="s">
        <v>1104</v>
      </c>
      <c r="B269" s="15" t="s">
        <v>1105</v>
      </c>
      <c r="C269" s="18" t="s">
        <v>28</v>
      </c>
      <c r="D269" s="15" t="s">
        <v>1106</v>
      </c>
      <c r="E269" s="18" t="s">
        <v>28</v>
      </c>
      <c r="F269" s="19" t="s">
        <v>28</v>
      </c>
      <c r="G269" s="19" t="s">
        <v>28</v>
      </c>
      <c r="H269" s="19" t="s">
        <v>28</v>
      </c>
      <c r="I269" s="18" t="s">
        <v>28</v>
      </c>
      <c r="J269" s="18" t="s">
        <v>28</v>
      </c>
      <c r="K269" s="18" t="s">
        <v>28</v>
      </c>
      <c r="L269" s="18" t="s">
        <v>28</v>
      </c>
      <c r="M269" s="18" t="s">
        <v>28</v>
      </c>
      <c r="N269" s="17">
        <v>45565</v>
      </c>
      <c r="O269" s="15" t="s">
        <v>30</v>
      </c>
      <c r="P269" s="16" t="s">
        <v>1103</v>
      </c>
      <c r="Q269" s="15" t="s">
        <v>37</v>
      </c>
      <c r="R269" s="13" t="str">
        <f>HYPERLINK("https://my.pitchbook.com?c=278101-45T","View Company Online")</f>
        <v>View Company Online</v>
      </c>
    </row>
    <row r="270" spans="1:18" hidden="1" x14ac:dyDescent="0.3">
      <c r="A270" s="9" t="s">
        <v>1107</v>
      </c>
      <c r="B270" s="9" t="s">
        <v>1108</v>
      </c>
      <c r="C270" s="11" t="s">
        <v>28</v>
      </c>
      <c r="D270" s="9" t="s">
        <v>1109</v>
      </c>
      <c r="E270" s="11" t="s">
        <v>28</v>
      </c>
      <c r="F270" s="10" t="s">
        <v>28</v>
      </c>
      <c r="G270" s="10">
        <v>0.18</v>
      </c>
      <c r="H270" s="10" t="s">
        <v>28</v>
      </c>
      <c r="I270" s="11" t="s">
        <v>28</v>
      </c>
      <c r="J270" s="11" t="s">
        <v>28</v>
      </c>
      <c r="K270" s="11" t="s">
        <v>28</v>
      </c>
      <c r="L270" s="11" t="s">
        <v>28</v>
      </c>
      <c r="M270" s="11" t="s">
        <v>28</v>
      </c>
      <c r="N270" s="8">
        <v>45565</v>
      </c>
      <c r="O270" s="9" t="s">
        <v>79</v>
      </c>
      <c r="P270" s="12" t="s">
        <v>1110</v>
      </c>
      <c r="Q270" s="9" t="s">
        <v>419</v>
      </c>
      <c r="R270" s="14" t="str">
        <f>HYPERLINK("https://my.pitchbook.com?c=273499-84T","View Company Online")</f>
        <v>View Company Online</v>
      </c>
    </row>
    <row r="271" spans="1:18" hidden="1" x14ac:dyDescent="0.3">
      <c r="A271" s="15" t="s">
        <v>1111</v>
      </c>
      <c r="B271" s="15" t="s">
        <v>1112</v>
      </c>
      <c r="C271" s="18" t="s">
        <v>28</v>
      </c>
      <c r="D271" s="15" t="s">
        <v>1113</v>
      </c>
      <c r="E271" s="18" t="s">
        <v>28</v>
      </c>
      <c r="F271" s="19" t="s">
        <v>28</v>
      </c>
      <c r="G271" s="19" t="s">
        <v>28</v>
      </c>
      <c r="H271" s="19" t="s">
        <v>28</v>
      </c>
      <c r="I271" s="18" t="s">
        <v>28</v>
      </c>
      <c r="J271" s="18" t="s">
        <v>28</v>
      </c>
      <c r="K271" s="18" t="s">
        <v>28</v>
      </c>
      <c r="L271" s="18" t="s">
        <v>28</v>
      </c>
      <c r="M271" s="18" t="s">
        <v>28</v>
      </c>
      <c r="N271" s="17">
        <v>45565</v>
      </c>
      <c r="O271" s="15" t="s">
        <v>30</v>
      </c>
      <c r="P271" s="16" t="s">
        <v>1114</v>
      </c>
      <c r="Q271" s="15" t="s">
        <v>404</v>
      </c>
      <c r="R271" s="13" t="str">
        <f>HYPERLINK("https://my.pitchbook.com?c=287788-96T","View Company Online")</f>
        <v>View Company Online</v>
      </c>
    </row>
    <row r="272" spans="1:18" hidden="1" x14ac:dyDescent="0.3">
      <c r="A272" s="9" t="s">
        <v>1115</v>
      </c>
      <c r="B272" s="9" t="s">
        <v>1116</v>
      </c>
      <c r="C272" s="11" t="s">
        <v>28</v>
      </c>
      <c r="D272" s="9" t="s">
        <v>1117</v>
      </c>
      <c r="E272" s="11" t="s">
        <v>28</v>
      </c>
      <c r="F272" s="10" t="s">
        <v>28</v>
      </c>
      <c r="G272" s="10">
        <v>13.31</v>
      </c>
      <c r="H272" s="10">
        <v>29.13</v>
      </c>
      <c r="I272" s="11">
        <v>-7.6</v>
      </c>
      <c r="J272" s="11">
        <v>-3.83</v>
      </c>
      <c r="K272" s="11">
        <v>16</v>
      </c>
      <c r="L272" s="11">
        <v>1.82</v>
      </c>
      <c r="M272" s="11">
        <v>-8.3000000000000007</v>
      </c>
      <c r="N272" s="8">
        <v>45562</v>
      </c>
      <c r="O272" s="9" t="s">
        <v>73</v>
      </c>
      <c r="P272" s="12" t="s">
        <v>1118</v>
      </c>
      <c r="Q272" s="9" t="s">
        <v>75</v>
      </c>
      <c r="R272" s="14" t="str">
        <f>HYPERLINK("https://my.pitchbook.com?c=273318-13T","View Company Online")</f>
        <v>View Company Online</v>
      </c>
    </row>
    <row r="273" spans="1:18" hidden="1" x14ac:dyDescent="0.3">
      <c r="A273" s="15" t="s">
        <v>1119</v>
      </c>
      <c r="B273" s="15" t="s">
        <v>1120</v>
      </c>
      <c r="C273" s="18" t="s">
        <v>28</v>
      </c>
      <c r="D273" s="15" t="s">
        <v>1121</v>
      </c>
      <c r="E273" s="18" t="s">
        <v>28</v>
      </c>
      <c r="F273" s="19" t="s">
        <v>28</v>
      </c>
      <c r="G273" s="19">
        <v>81.430000000000007</v>
      </c>
      <c r="H273" s="19" t="s">
        <v>28</v>
      </c>
      <c r="I273" s="18" t="s">
        <v>28</v>
      </c>
      <c r="J273" s="18" t="s">
        <v>28</v>
      </c>
      <c r="K273" s="18" t="s">
        <v>28</v>
      </c>
      <c r="L273" s="18" t="s">
        <v>28</v>
      </c>
      <c r="M273" s="18" t="s">
        <v>28</v>
      </c>
      <c r="N273" s="17">
        <v>45562</v>
      </c>
      <c r="O273" s="15" t="s">
        <v>173</v>
      </c>
      <c r="P273" s="16" t="s">
        <v>28</v>
      </c>
      <c r="Q273" s="15" t="s">
        <v>174</v>
      </c>
      <c r="R273" s="13" t="str">
        <f>HYPERLINK("https://my.pitchbook.com?c=274338-82T","View Company Online")</f>
        <v>View Company Online</v>
      </c>
    </row>
    <row r="274" spans="1:18" hidden="1" x14ac:dyDescent="0.3">
      <c r="A274" s="9" t="s">
        <v>1122</v>
      </c>
      <c r="B274" s="9" t="s">
        <v>1123</v>
      </c>
      <c r="C274" s="11" t="s">
        <v>28</v>
      </c>
      <c r="D274" s="9" t="s">
        <v>1124</v>
      </c>
      <c r="E274" s="11" t="s">
        <v>28</v>
      </c>
      <c r="F274" s="10" t="s">
        <v>28</v>
      </c>
      <c r="G274" s="10" t="s">
        <v>28</v>
      </c>
      <c r="H274" s="10" t="s">
        <v>28</v>
      </c>
      <c r="I274" s="11" t="s">
        <v>28</v>
      </c>
      <c r="J274" s="11" t="s">
        <v>28</v>
      </c>
      <c r="K274" s="11" t="s">
        <v>28</v>
      </c>
      <c r="L274" s="11" t="s">
        <v>28</v>
      </c>
      <c r="M274" s="11" t="s">
        <v>28</v>
      </c>
      <c r="N274" s="8">
        <v>45561</v>
      </c>
      <c r="O274" s="9" t="s">
        <v>30</v>
      </c>
      <c r="P274" s="12" t="s">
        <v>1125</v>
      </c>
      <c r="Q274" s="9" t="s">
        <v>75</v>
      </c>
      <c r="R274" s="14" t="str">
        <f>HYPERLINK("https://my.pitchbook.com?c=273229-66T","View Company Online")</f>
        <v>View Company Online</v>
      </c>
    </row>
    <row r="275" spans="1:18" hidden="1" x14ac:dyDescent="0.3">
      <c r="A275" s="15" t="s">
        <v>1126</v>
      </c>
      <c r="B275" s="15" t="s">
        <v>1127</v>
      </c>
      <c r="C275" s="18" t="s">
        <v>28</v>
      </c>
      <c r="D275" s="15" t="s">
        <v>1128</v>
      </c>
      <c r="E275" s="18" t="s">
        <v>28</v>
      </c>
      <c r="F275" s="19" t="s">
        <v>28</v>
      </c>
      <c r="G275" s="19" t="s">
        <v>28</v>
      </c>
      <c r="H275" s="19" t="s">
        <v>28</v>
      </c>
      <c r="I275" s="18" t="s">
        <v>28</v>
      </c>
      <c r="J275" s="18" t="s">
        <v>28</v>
      </c>
      <c r="K275" s="18" t="s">
        <v>28</v>
      </c>
      <c r="L275" s="18" t="s">
        <v>28</v>
      </c>
      <c r="M275" s="18" t="s">
        <v>28</v>
      </c>
      <c r="N275" s="17">
        <v>45561</v>
      </c>
      <c r="O275" s="15" t="s">
        <v>173</v>
      </c>
      <c r="P275" s="16" t="s">
        <v>28</v>
      </c>
      <c r="Q275" s="15" t="s">
        <v>174</v>
      </c>
      <c r="R275" s="13" t="str">
        <f>HYPERLINK("https://my.pitchbook.com?c=273767-23T","View Company Online")</f>
        <v>View Company Online</v>
      </c>
    </row>
    <row r="276" spans="1:18" hidden="1" x14ac:dyDescent="0.3">
      <c r="A276" s="9" t="s">
        <v>1129</v>
      </c>
      <c r="B276" s="9" t="s">
        <v>1130</v>
      </c>
      <c r="C276" s="11" t="s">
        <v>28</v>
      </c>
      <c r="D276" s="9" t="s">
        <v>1131</v>
      </c>
      <c r="E276" s="11" t="s">
        <v>28</v>
      </c>
      <c r="F276" s="10" t="s">
        <v>28</v>
      </c>
      <c r="G276" s="10">
        <v>5.39</v>
      </c>
      <c r="H276" s="10" t="s">
        <v>28</v>
      </c>
      <c r="I276" s="11" t="s">
        <v>28</v>
      </c>
      <c r="J276" s="11" t="s">
        <v>28</v>
      </c>
      <c r="K276" s="11" t="s">
        <v>28</v>
      </c>
      <c r="L276" s="11" t="s">
        <v>28</v>
      </c>
      <c r="M276" s="11" t="s">
        <v>28</v>
      </c>
      <c r="N276" s="8">
        <v>45561</v>
      </c>
      <c r="O276" s="9" t="s">
        <v>99</v>
      </c>
      <c r="P276" s="12" t="s">
        <v>1132</v>
      </c>
      <c r="Q276" s="9" t="s">
        <v>37</v>
      </c>
      <c r="R276" s="14" t="str">
        <f>HYPERLINK("https://my.pitchbook.com?c=273261-52T","View Company Online")</f>
        <v>View Company Online</v>
      </c>
    </row>
    <row r="277" spans="1:18" hidden="1" x14ac:dyDescent="0.3">
      <c r="A277" s="15" t="s">
        <v>1133</v>
      </c>
      <c r="B277" s="15" t="s">
        <v>1134</v>
      </c>
      <c r="C277" s="18" t="s">
        <v>28</v>
      </c>
      <c r="D277" s="15" t="s">
        <v>1135</v>
      </c>
      <c r="E277" s="18" t="s">
        <v>28</v>
      </c>
      <c r="F277" s="19" t="s">
        <v>28</v>
      </c>
      <c r="G277" s="19" t="s">
        <v>28</v>
      </c>
      <c r="H277" s="19" t="s">
        <v>28</v>
      </c>
      <c r="I277" s="18" t="s">
        <v>28</v>
      </c>
      <c r="J277" s="18" t="s">
        <v>28</v>
      </c>
      <c r="K277" s="18">
        <v>37.119999999999997</v>
      </c>
      <c r="L277" s="18" t="s">
        <v>28</v>
      </c>
      <c r="M277" s="18" t="s">
        <v>28</v>
      </c>
      <c r="N277" s="17">
        <v>45561</v>
      </c>
      <c r="O277" s="15" t="s">
        <v>99</v>
      </c>
      <c r="P277" s="16" t="s">
        <v>1136</v>
      </c>
      <c r="Q277" s="15" t="s">
        <v>566</v>
      </c>
      <c r="R277" s="13" t="str">
        <f>HYPERLINK("https://my.pitchbook.com?c=276771-70T","View Company Online")</f>
        <v>View Company Online</v>
      </c>
    </row>
    <row r="278" spans="1:18" hidden="1" x14ac:dyDescent="0.3">
      <c r="A278" s="9" t="s">
        <v>1137</v>
      </c>
      <c r="B278" s="9" t="s">
        <v>1138</v>
      </c>
      <c r="C278" s="11" t="s">
        <v>28</v>
      </c>
      <c r="D278" s="9" t="s">
        <v>1139</v>
      </c>
      <c r="E278" s="11" t="s">
        <v>28</v>
      </c>
      <c r="F278" s="10" t="s">
        <v>28</v>
      </c>
      <c r="G278" s="10" t="s">
        <v>28</v>
      </c>
      <c r="H278" s="10" t="s">
        <v>28</v>
      </c>
      <c r="I278" s="11" t="s">
        <v>28</v>
      </c>
      <c r="J278" s="11" t="s">
        <v>28</v>
      </c>
      <c r="K278" s="11" t="s">
        <v>28</v>
      </c>
      <c r="L278" s="11" t="s">
        <v>28</v>
      </c>
      <c r="M278" s="11" t="s">
        <v>28</v>
      </c>
      <c r="N278" s="8">
        <v>45561</v>
      </c>
      <c r="O278" s="9" t="s">
        <v>79</v>
      </c>
      <c r="P278" s="12" t="s">
        <v>1140</v>
      </c>
      <c r="Q278" s="9" t="s">
        <v>75</v>
      </c>
      <c r="R278" s="14" t="str">
        <f>HYPERLINK("https://my.pitchbook.com?c=273225-25T","View Company Online")</f>
        <v>View Company Online</v>
      </c>
    </row>
    <row r="279" spans="1:18" hidden="1" x14ac:dyDescent="0.3">
      <c r="A279" s="15" t="s">
        <v>1141</v>
      </c>
      <c r="B279" s="15" t="s">
        <v>1142</v>
      </c>
      <c r="C279" s="18" t="s">
        <v>28</v>
      </c>
      <c r="D279" s="15" t="s">
        <v>1143</v>
      </c>
      <c r="E279" s="18" t="s">
        <v>28</v>
      </c>
      <c r="F279" s="19" t="s">
        <v>28</v>
      </c>
      <c r="G279" s="19" t="s">
        <v>28</v>
      </c>
      <c r="H279" s="19" t="s">
        <v>28</v>
      </c>
      <c r="I279" s="18" t="s">
        <v>28</v>
      </c>
      <c r="J279" s="18" t="s">
        <v>28</v>
      </c>
      <c r="K279" s="18" t="s">
        <v>28</v>
      </c>
      <c r="L279" s="18" t="s">
        <v>28</v>
      </c>
      <c r="M279" s="18" t="s">
        <v>28</v>
      </c>
      <c r="N279" s="17">
        <v>45561</v>
      </c>
      <c r="O279" s="15" t="s">
        <v>30</v>
      </c>
      <c r="P279" s="16" t="s">
        <v>958</v>
      </c>
      <c r="Q279" s="15" t="s">
        <v>1144</v>
      </c>
      <c r="R279" s="13" t="str">
        <f>HYPERLINK("https://my.pitchbook.com?c=277254-82T","View Company Online")</f>
        <v>View Company Online</v>
      </c>
    </row>
    <row r="280" spans="1:18" hidden="1" x14ac:dyDescent="0.3">
      <c r="A280" s="9" t="s">
        <v>1145</v>
      </c>
      <c r="B280" s="9" t="s">
        <v>1146</v>
      </c>
      <c r="C280" s="11" t="s">
        <v>28</v>
      </c>
      <c r="D280" s="9" t="s">
        <v>1147</v>
      </c>
      <c r="E280" s="11" t="s">
        <v>28</v>
      </c>
      <c r="F280" s="10" t="s">
        <v>28</v>
      </c>
      <c r="G280" s="10" t="s">
        <v>28</v>
      </c>
      <c r="H280" s="10" t="s">
        <v>28</v>
      </c>
      <c r="I280" s="11" t="s">
        <v>28</v>
      </c>
      <c r="J280" s="11" t="s">
        <v>28</v>
      </c>
      <c r="K280" s="11" t="s">
        <v>28</v>
      </c>
      <c r="L280" s="11" t="s">
        <v>28</v>
      </c>
      <c r="M280" s="11" t="s">
        <v>28</v>
      </c>
      <c r="N280" s="8">
        <v>45560</v>
      </c>
      <c r="O280" s="9" t="s">
        <v>30</v>
      </c>
      <c r="P280" s="12" t="s">
        <v>1148</v>
      </c>
      <c r="Q280" s="9" t="s">
        <v>160</v>
      </c>
      <c r="R280" s="14" t="str">
        <f>HYPERLINK("https://my.pitchbook.com?c=273204-82T","View Company Online")</f>
        <v>View Company Online</v>
      </c>
    </row>
    <row r="281" spans="1:18" hidden="1" x14ac:dyDescent="0.3">
      <c r="A281" s="15" t="s">
        <v>1149</v>
      </c>
      <c r="B281" s="15" t="s">
        <v>1150</v>
      </c>
      <c r="C281" s="18" t="s">
        <v>28</v>
      </c>
      <c r="D281" s="15" t="s">
        <v>1151</v>
      </c>
      <c r="E281" s="18" t="s">
        <v>28</v>
      </c>
      <c r="F281" s="19">
        <v>0.17</v>
      </c>
      <c r="G281" s="19">
        <v>0.17</v>
      </c>
      <c r="H281" s="19">
        <v>0.17</v>
      </c>
      <c r="I281" s="18" t="s">
        <v>28</v>
      </c>
      <c r="J281" s="18" t="s">
        <v>28</v>
      </c>
      <c r="K281" s="18" t="s">
        <v>28</v>
      </c>
      <c r="L281" s="18" t="s">
        <v>28</v>
      </c>
      <c r="M281" s="18" t="s">
        <v>28</v>
      </c>
      <c r="N281" s="17">
        <v>45560</v>
      </c>
      <c r="O281" s="15" t="s">
        <v>30</v>
      </c>
      <c r="P281" s="16" t="s">
        <v>1152</v>
      </c>
      <c r="Q281" s="15" t="s">
        <v>119</v>
      </c>
      <c r="R281" s="13" t="str">
        <f>HYPERLINK("https://my.pitchbook.com?c=274725-46T","View Company Online")</f>
        <v>View Company Online</v>
      </c>
    </row>
    <row r="282" spans="1:18" hidden="1" x14ac:dyDescent="0.3">
      <c r="A282" s="9" t="s">
        <v>1153</v>
      </c>
      <c r="B282" s="9" t="s">
        <v>1154</v>
      </c>
      <c r="C282" s="11" t="s">
        <v>28</v>
      </c>
      <c r="D282" s="9" t="s">
        <v>1155</v>
      </c>
      <c r="E282" s="11" t="s">
        <v>28</v>
      </c>
      <c r="F282" s="10" t="s">
        <v>28</v>
      </c>
      <c r="G282" s="10" t="s">
        <v>28</v>
      </c>
      <c r="H282" s="10" t="s">
        <v>28</v>
      </c>
      <c r="I282" s="11" t="s">
        <v>28</v>
      </c>
      <c r="J282" s="11" t="s">
        <v>28</v>
      </c>
      <c r="K282" s="11" t="s">
        <v>28</v>
      </c>
      <c r="L282" s="11" t="s">
        <v>28</v>
      </c>
      <c r="M282" s="11" t="s">
        <v>28</v>
      </c>
      <c r="N282" s="8">
        <v>45560</v>
      </c>
      <c r="O282" s="9" t="s">
        <v>30</v>
      </c>
      <c r="P282" s="12" t="s">
        <v>1156</v>
      </c>
      <c r="Q282" s="9" t="s">
        <v>607</v>
      </c>
      <c r="R282" s="14" t="str">
        <f>HYPERLINK("https://my.pitchbook.com?c=273275-56T","View Company Online")</f>
        <v>View Company Online</v>
      </c>
    </row>
    <row r="283" spans="1:18" hidden="1" x14ac:dyDescent="0.3">
      <c r="A283" s="15" t="s">
        <v>1157</v>
      </c>
      <c r="B283" s="15" t="s">
        <v>1158</v>
      </c>
      <c r="C283" s="18" t="s">
        <v>28</v>
      </c>
      <c r="D283" s="15" t="s">
        <v>1159</v>
      </c>
      <c r="E283" s="18" t="s">
        <v>28</v>
      </c>
      <c r="F283" s="19" t="s">
        <v>28</v>
      </c>
      <c r="G283" s="19" t="s">
        <v>28</v>
      </c>
      <c r="H283" s="19" t="s">
        <v>28</v>
      </c>
      <c r="I283" s="18" t="s">
        <v>28</v>
      </c>
      <c r="J283" s="18" t="s">
        <v>28</v>
      </c>
      <c r="K283" s="18" t="s">
        <v>28</v>
      </c>
      <c r="L283" s="18" t="s">
        <v>28</v>
      </c>
      <c r="M283" s="18" t="s">
        <v>28</v>
      </c>
      <c r="N283" s="17">
        <v>45560</v>
      </c>
      <c r="O283" s="15" t="s">
        <v>30</v>
      </c>
      <c r="P283" s="16" t="s">
        <v>1160</v>
      </c>
      <c r="Q283" s="15" t="s">
        <v>188</v>
      </c>
      <c r="R283" s="13" t="str">
        <f>HYPERLINK("https://my.pitchbook.com?c=273329-65T","View Company Online")</f>
        <v>View Company Online</v>
      </c>
    </row>
    <row r="284" spans="1:18" hidden="1" x14ac:dyDescent="0.3">
      <c r="A284" s="9" t="s">
        <v>1161</v>
      </c>
      <c r="B284" s="9" t="s">
        <v>1162</v>
      </c>
      <c r="C284" s="11" t="s">
        <v>28</v>
      </c>
      <c r="D284" s="9" t="s">
        <v>1163</v>
      </c>
      <c r="E284" s="11" t="s">
        <v>28</v>
      </c>
      <c r="F284" s="10">
        <v>5.82</v>
      </c>
      <c r="G284" s="10">
        <v>5.82</v>
      </c>
      <c r="H284" s="10">
        <v>5.82</v>
      </c>
      <c r="I284" s="11" t="s">
        <v>28</v>
      </c>
      <c r="J284" s="11" t="s">
        <v>28</v>
      </c>
      <c r="K284" s="11" t="s">
        <v>28</v>
      </c>
      <c r="L284" s="11" t="s">
        <v>28</v>
      </c>
      <c r="M284" s="11" t="s">
        <v>28</v>
      </c>
      <c r="N284" s="8">
        <v>45559</v>
      </c>
      <c r="O284" s="9" t="s">
        <v>30</v>
      </c>
      <c r="P284" s="12" t="s">
        <v>1164</v>
      </c>
      <c r="Q284" s="9" t="s">
        <v>226</v>
      </c>
      <c r="R284" s="14" t="str">
        <f>HYPERLINK("https://my.pitchbook.com?c=275368-96T","View Company Online")</f>
        <v>View Company Online</v>
      </c>
    </row>
    <row r="285" spans="1:18" hidden="1" x14ac:dyDescent="0.3">
      <c r="A285" s="15" t="s">
        <v>1165</v>
      </c>
      <c r="B285" s="15" t="s">
        <v>401</v>
      </c>
      <c r="C285" s="18" t="s">
        <v>28</v>
      </c>
      <c r="D285" s="15" t="s">
        <v>402</v>
      </c>
      <c r="E285" s="18" t="s">
        <v>28</v>
      </c>
      <c r="F285" s="19" t="s">
        <v>28</v>
      </c>
      <c r="G285" s="19" t="s">
        <v>28</v>
      </c>
      <c r="H285" s="19" t="s">
        <v>28</v>
      </c>
      <c r="I285" s="18" t="s">
        <v>28</v>
      </c>
      <c r="J285" s="18" t="s">
        <v>28</v>
      </c>
      <c r="K285" s="18">
        <v>2.36</v>
      </c>
      <c r="L285" s="18" t="s">
        <v>28</v>
      </c>
      <c r="M285" s="18" t="s">
        <v>28</v>
      </c>
      <c r="N285" s="17">
        <v>45559</v>
      </c>
      <c r="O285" s="15" t="s">
        <v>52</v>
      </c>
      <c r="P285" s="16" t="s">
        <v>1166</v>
      </c>
      <c r="Q285" s="15" t="s">
        <v>404</v>
      </c>
      <c r="R285" s="13" t="str">
        <f>HYPERLINK("https://my.pitchbook.com?c=284241-88T","View Company Online")</f>
        <v>View Company Online</v>
      </c>
    </row>
    <row r="286" spans="1:18" hidden="1" x14ac:dyDescent="0.3">
      <c r="A286" s="9" t="s">
        <v>1167</v>
      </c>
      <c r="B286" s="9" t="s">
        <v>1168</v>
      </c>
      <c r="C286" s="11" t="s">
        <v>28</v>
      </c>
      <c r="D286" s="9" t="s">
        <v>1169</v>
      </c>
      <c r="E286" s="11" t="s">
        <v>28</v>
      </c>
      <c r="F286" s="10" t="s">
        <v>28</v>
      </c>
      <c r="G286" s="10" t="s">
        <v>28</v>
      </c>
      <c r="H286" s="10" t="s">
        <v>28</v>
      </c>
      <c r="I286" s="11" t="s">
        <v>28</v>
      </c>
      <c r="J286" s="11" t="s">
        <v>28</v>
      </c>
      <c r="K286" s="11" t="s">
        <v>28</v>
      </c>
      <c r="L286" s="11" t="s">
        <v>28</v>
      </c>
      <c r="M286" s="11" t="s">
        <v>28</v>
      </c>
      <c r="N286" s="8">
        <v>45559</v>
      </c>
      <c r="O286" s="9" t="s">
        <v>30</v>
      </c>
      <c r="P286" s="12" t="s">
        <v>1170</v>
      </c>
      <c r="Q286" s="9" t="s">
        <v>136</v>
      </c>
      <c r="R286" s="14" t="str">
        <f>HYPERLINK("https://my.pitchbook.com?c=272935-81T","View Company Online")</f>
        <v>View Company Online</v>
      </c>
    </row>
    <row r="287" spans="1:18" hidden="1" x14ac:dyDescent="0.3">
      <c r="A287" s="15" t="s">
        <v>1171</v>
      </c>
      <c r="B287" s="15" t="s">
        <v>1172</v>
      </c>
      <c r="C287" s="18" t="s">
        <v>28</v>
      </c>
      <c r="D287" s="15" t="s">
        <v>1173</v>
      </c>
      <c r="E287" s="18" t="s">
        <v>28</v>
      </c>
      <c r="F287" s="19">
        <v>1.92</v>
      </c>
      <c r="G287" s="19">
        <v>1.92</v>
      </c>
      <c r="H287" s="19">
        <v>1.92</v>
      </c>
      <c r="I287" s="18" t="s">
        <v>28</v>
      </c>
      <c r="J287" s="18" t="s">
        <v>28</v>
      </c>
      <c r="K287" s="18" t="s">
        <v>28</v>
      </c>
      <c r="L287" s="18" t="s">
        <v>28</v>
      </c>
      <c r="M287" s="18" t="s">
        <v>28</v>
      </c>
      <c r="N287" s="17">
        <v>45558</v>
      </c>
      <c r="O287" s="15" t="s">
        <v>30</v>
      </c>
      <c r="P287" s="16" t="s">
        <v>1174</v>
      </c>
      <c r="Q287" s="15" t="s">
        <v>470</v>
      </c>
      <c r="R287" s="13" t="str">
        <f>HYPERLINK("https://my.pitchbook.com?c=271909-81T","View Company Online")</f>
        <v>View Company Online</v>
      </c>
    </row>
    <row r="288" spans="1:18" hidden="1" x14ac:dyDescent="0.3">
      <c r="A288" s="9" t="s">
        <v>1175</v>
      </c>
      <c r="B288" s="9" t="s">
        <v>1176</v>
      </c>
      <c r="C288" s="11" t="s">
        <v>28</v>
      </c>
      <c r="D288" s="9" t="s">
        <v>1177</v>
      </c>
      <c r="E288" s="11" t="s">
        <v>28</v>
      </c>
      <c r="F288" s="10" t="s">
        <v>28</v>
      </c>
      <c r="G288" s="10">
        <v>0.54</v>
      </c>
      <c r="H288" s="10" t="s">
        <v>28</v>
      </c>
      <c r="I288" s="11" t="s">
        <v>28</v>
      </c>
      <c r="J288" s="11" t="s">
        <v>28</v>
      </c>
      <c r="K288" s="11">
        <v>0.59</v>
      </c>
      <c r="L288" s="11" t="s">
        <v>28</v>
      </c>
      <c r="M288" s="11" t="s">
        <v>28</v>
      </c>
      <c r="N288" s="8">
        <v>45558</v>
      </c>
      <c r="O288" s="9" t="s">
        <v>379</v>
      </c>
      <c r="P288" s="12" t="s">
        <v>1178</v>
      </c>
      <c r="Q288" s="9" t="s">
        <v>1179</v>
      </c>
      <c r="R288" s="14" t="str">
        <f>HYPERLINK("https://my.pitchbook.com?c=272800-00T","View Company Online")</f>
        <v>View Company Online</v>
      </c>
    </row>
    <row r="289" spans="1:18" hidden="1" x14ac:dyDescent="0.3">
      <c r="A289" s="15" t="s">
        <v>1180</v>
      </c>
      <c r="B289" s="15" t="s">
        <v>1181</v>
      </c>
      <c r="C289" s="18" t="s">
        <v>28</v>
      </c>
      <c r="D289" s="15" t="s">
        <v>1182</v>
      </c>
      <c r="E289" s="18" t="s">
        <v>28</v>
      </c>
      <c r="F289" s="19" t="s">
        <v>28</v>
      </c>
      <c r="G289" s="19">
        <v>0.9</v>
      </c>
      <c r="H289" s="19" t="s">
        <v>28</v>
      </c>
      <c r="I289" s="18" t="s">
        <v>28</v>
      </c>
      <c r="J289" s="18" t="s">
        <v>28</v>
      </c>
      <c r="K289" s="18" t="s">
        <v>28</v>
      </c>
      <c r="L289" s="18" t="s">
        <v>28</v>
      </c>
      <c r="M289" s="18" t="s">
        <v>28</v>
      </c>
      <c r="N289" s="17">
        <v>45558</v>
      </c>
      <c r="O289" s="15" t="s">
        <v>79</v>
      </c>
      <c r="P289" s="16" t="s">
        <v>1183</v>
      </c>
      <c r="Q289" s="15" t="s">
        <v>37</v>
      </c>
      <c r="R289" s="13" t="str">
        <f>HYPERLINK("https://my.pitchbook.com?c=272832-58T","View Company Online")</f>
        <v>View Company Online</v>
      </c>
    </row>
    <row r="290" spans="1:18" hidden="1" x14ac:dyDescent="0.3">
      <c r="A290" s="9" t="s">
        <v>1184</v>
      </c>
      <c r="B290" s="9" t="s">
        <v>1185</v>
      </c>
      <c r="C290" s="11" t="s">
        <v>28</v>
      </c>
      <c r="D290" s="9" t="s">
        <v>1186</v>
      </c>
      <c r="E290" s="11" t="s">
        <v>28</v>
      </c>
      <c r="F290" s="10" t="s">
        <v>28</v>
      </c>
      <c r="G290" s="10" t="s">
        <v>28</v>
      </c>
      <c r="H290" s="10" t="s">
        <v>28</v>
      </c>
      <c r="I290" s="11" t="s">
        <v>28</v>
      </c>
      <c r="J290" s="11" t="s">
        <v>28</v>
      </c>
      <c r="K290" s="11" t="s">
        <v>28</v>
      </c>
      <c r="L290" s="11" t="s">
        <v>28</v>
      </c>
      <c r="M290" s="11" t="s">
        <v>28</v>
      </c>
      <c r="N290" s="8">
        <v>45555</v>
      </c>
      <c r="O290" s="9" t="s">
        <v>30</v>
      </c>
      <c r="P290" s="12" t="s">
        <v>1187</v>
      </c>
      <c r="Q290" s="9" t="s">
        <v>37</v>
      </c>
      <c r="R290" s="14" t="str">
        <f>HYPERLINK("https://my.pitchbook.com?c=277247-35T","View Company Online")</f>
        <v>View Company Online</v>
      </c>
    </row>
    <row r="291" spans="1:18" hidden="1" x14ac:dyDescent="0.3">
      <c r="A291" s="15" t="s">
        <v>1188</v>
      </c>
      <c r="B291" s="15" t="s">
        <v>1189</v>
      </c>
      <c r="C291" s="18" t="s">
        <v>28</v>
      </c>
      <c r="D291" s="15" t="s">
        <v>1190</v>
      </c>
      <c r="E291" s="18" t="s">
        <v>28</v>
      </c>
      <c r="F291" s="19" t="s">
        <v>28</v>
      </c>
      <c r="G291" s="19">
        <v>0.36</v>
      </c>
      <c r="H291" s="19" t="s">
        <v>28</v>
      </c>
      <c r="I291" s="18" t="s">
        <v>28</v>
      </c>
      <c r="J291" s="18" t="s">
        <v>28</v>
      </c>
      <c r="K291" s="18" t="s">
        <v>28</v>
      </c>
      <c r="L291" s="18" t="s">
        <v>28</v>
      </c>
      <c r="M291" s="18" t="s">
        <v>28</v>
      </c>
      <c r="N291" s="17">
        <v>45555</v>
      </c>
      <c r="O291" s="15" t="s">
        <v>79</v>
      </c>
      <c r="P291" s="16" t="s">
        <v>28</v>
      </c>
      <c r="Q291" s="15" t="s">
        <v>1191</v>
      </c>
      <c r="R291" s="13" t="str">
        <f>HYPERLINK("https://my.pitchbook.com?c=272724-40T","View Company Online")</f>
        <v>View Company Online</v>
      </c>
    </row>
    <row r="292" spans="1:18" hidden="1" x14ac:dyDescent="0.3">
      <c r="A292" s="9" t="s">
        <v>1192</v>
      </c>
      <c r="B292" s="9" t="s">
        <v>1193</v>
      </c>
      <c r="C292" s="11" t="s">
        <v>28</v>
      </c>
      <c r="D292" s="9" t="s">
        <v>1194</v>
      </c>
      <c r="E292" s="11" t="s">
        <v>28</v>
      </c>
      <c r="F292" s="10" t="s">
        <v>28</v>
      </c>
      <c r="G292" s="10" t="s">
        <v>28</v>
      </c>
      <c r="H292" s="10" t="s">
        <v>28</v>
      </c>
      <c r="I292" s="11" t="s">
        <v>28</v>
      </c>
      <c r="J292" s="11" t="s">
        <v>28</v>
      </c>
      <c r="K292" s="11" t="s">
        <v>28</v>
      </c>
      <c r="L292" s="11" t="s">
        <v>28</v>
      </c>
      <c r="M292" s="11" t="s">
        <v>28</v>
      </c>
      <c r="N292" s="8">
        <v>45554</v>
      </c>
      <c r="O292" s="9" t="s">
        <v>52</v>
      </c>
      <c r="P292" s="12" t="s">
        <v>1195</v>
      </c>
      <c r="Q292" s="9" t="s">
        <v>75</v>
      </c>
      <c r="R292" s="14" t="str">
        <f>HYPERLINK("https://my.pitchbook.com?c=285496-21T","View Company Online")</f>
        <v>View Company Online</v>
      </c>
    </row>
    <row r="293" spans="1:18" hidden="1" x14ac:dyDescent="0.3">
      <c r="A293" s="15" t="s">
        <v>1196</v>
      </c>
      <c r="B293" s="15" t="s">
        <v>1197</v>
      </c>
      <c r="C293" s="18" t="s">
        <v>28</v>
      </c>
      <c r="D293" s="15" t="s">
        <v>1198</v>
      </c>
      <c r="E293" s="18" t="s">
        <v>28</v>
      </c>
      <c r="F293" s="19" t="s">
        <v>28</v>
      </c>
      <c r="G293" s="19" t="s">
        <v>28</v>
      </c>
      <c r="H293" s="19" t="s">
        <v>28</v>
      </c>
      <c r="I293" s="18" t="s">
        <v>28</v>
      </c>
      <c r="J293" s="18" t="s">
        <v>28</v>
      </c>
      <c r="K293" s="18" t="s">
        <v>28</v>
      </c>
      <c r="L293" s="18" t="s">
        <v>28</v>
      </c>
      <c r="M293" s="18" t="s">
        <v>28</v>
      </c>
      <c r="N293" s="17">
        <v>45554</v>
      </c>
      <c r="O293" s="15" t="s">
        <v>52</v>
      </c>
      <c r="P293" s="16" t="s">
        <v>1199</v>
      </c>
      <c r="Q293" s="15" t="s">
        <v>37</v>
      </c>
      <c r="R293" s="13" t="str">
        <f>HYPERLINK("https://my.pitchbook.com?c=285714-64T","View Company Online")</f>
        <v>View Company Online</v>
      </c>
    </row>
    <row r="294" spans="1:18" hidden="1" x14ac:dyDescent="0.3">
      <c r="A294" s="9" t="s">
        <v>1200</v>
      </c>
      <c r="B294" s="9" t="s">
        <v>1201</v>
      </c>
      <c r="C294" s="11" t="s">
        <v>28</v>
      </c>
      <c r="D294" s="9" t="s">
        <v>1202</v>
      </c>
      <c r="E294" s="11" t="s">
        <v>28</v>
      </c>
      <c r="F294" s="10" t="s">
        <v>28</v>
      </c>
      <c r="G294" s="10" t="s">
        <v>28</v>
      </c>
      <c r="H294" s="10" t="s">
        <v>28</v>
      </c>
      <c r="I294" s="11" t="s">
        <v>28</v>
      </c>
      <c r="J294" s="11" t="s">
        <v>28</v>
      </c>
      <c r="K294" s="11" t="s">
        <v>28</v>
      </c>
      <c r="L294" s="11" t="s">
        <v>28</v>
      </c>
      <c r="M294" s="11" t="s">
        <v>28</v>
      </c>
      <c r="N294" s="8">
        <v>45554</v>
      </c>
      <c r="O294" s="9" t="s">
        <v>99</v>
      </c>
      <c r="P294" s="12" t="s">
        <v>611</v>
      </c>
      <c r="Q294" s="9" t="s">
        <v>75</v>
      </c>
      <c r="R294" s="14" t="str">
        <f>HYPERLINK("https://my.pitchbook.com?c=270399-25T","View Company Online")</f>
        <v>View Company Online</v>
      </c>
    </row>
    <row r="295" spans="1:18" hidden="1" x14ac:dyDescent="0.3">
      <c r="A295" s="15" t="s">
        <v>1203</v>
      </c>
      <c r="B295" s="15" t="s">
        <v>1204</v>
      </c>
      <c r="C295" s="18" t="s">
        <v>28</v>
      </c>
      <c r="D295" s="15" t="s">
        <v>1205</v>
      </c>
      <c r="E295" s="18" t="s">
        <v>28</v>
      </c>
      <c r="F295" s="19" t="s">
        <v>28</v>
      </c>
      <c r="G295" s="19" t="s">
        <v>28</v>
      </c>
      <c r="H295" s="19" t="s">
        <v>28</v>
      </c>
      <c r="I295" s="18" t="s">
        <v>28</v>
      </c>
      <c r="J295" s="18" t="s">
        <v>28</v>
      </c>
      <c r="K295" s="18" t="s">
        <v>28</v>
      </c>
      <c r="L295" s="18" t="s">
        <v>28</v>
      </c>
      <c r="M295" s="18" t="s">
        <v>28</v>
      </c>
      <c r="N295" s="17">
        <v>45554</v>
      </c>
      <c r="O295" s="15" t="s">
        <v>173</v>
      </c>
      <c r="P295" s="16" t="s">
        <v>28</v>
      </c>
      <c r="Q295" s="15" t="s">
        <v>174</v>
      </c>
      <c r="R295" s="13" t="str">
        <f>HYPERLINK("https://my.pitchbook.com?c=272528-65T","View Company Online")</f>
        <v>View Company Online</v>
      </c>
    </row>
    <row r="296" spans="1:18" hidden="1" x14ac:dyDescent="0.3">
      <c r="A296" s="9" t="s">
        <v>1206</v>
      </c>
      <c r="B296" s="9" t="s">
        <v>1207</v>
      </c>
      <c r="C296" s="11" t="s">
        <v>28</v>
      </c>
      <c r="D296" s="9" t="s">
        <v>1208</v>
      </c>
      <c r="E296" s="11" t="s">
        <v>28</v>
      </c>
      <c r="F296" s="10" t="s">
        <v>28</v>
      </c>
      <c r="G296" s="10">
        <v>0.13</v>
      </c>
      <c r="H296" s="10" t="s">
        <v>28</v>
      </c>
      <c r="I296" s="11" t="s">
        <v>28</v>
      </c>
      <c r="J296" s="11" t="s">
        <v>28</v>
      </c>
      <c r="K296" s="11" t="s">
        <v>28</v>
      </c>
      <c r="L296" s="11" t="s">
        <v>28</v>
      </c>
      <c r="M296" s="11" t="s">
        <v>28</v>
      </c>
      <c r="N296" s="8">
        <v>45554</v>
      </c>
      <c r="O296" s="9" t="s">
        <v>99</v>
      </c>
      <c r="P296" s="12" t="s">
        <v>1209</v>
      </c>
      <c r="Q296" s="9" t="s">
        <v>95</v>
      </c>
      <c r="R296" s="14" t="str">
        <f>HYPERLINK("https://my.pitchbook.com?c=276759-91T","View Company Online")</f>
        <v>View Company Online</v>
      </c>
    </row>
    <row r="297" spans="1:18" hidden="1" x14ac:dyDescent="0.3">
      <c r="A297" s="15" t="s">
        <v>1210</v>
      </c>
      <c r="B297" s="15" t="s">
        <v>1211</v>
      </c>
      <c r="C297" s="18" t="s">
        <v>28</v>
      </c>
      <c r="D297" s="15" t="s">
        <v>1212</v>
      </c>
      <c r="E297" s="18" t="s">
        <v>28</v>
      </c>
      <c r="F297" s="19" t="s">
        <v>28</v>
      </c>
      <c r="G297" s="19" t="s">
        <v>28</v>
      </c>
      <c r="H297" s="19" t="s">
        <v>28</v>
      </c>
      <c r="I297" s="18" t="s">
        <v>28</v>
      </c>
      <c r="J297" s="18" t="s">
        <v>28</v>
      </c>
      <c r="K297" s="18" t="s">
        <v>28</v>
      </c>
      <c r="L297" s="18" t="s">
        <v>28</v>
      </c>
      <c r="M297" s="18" t="s">
        <v>28</v>
      </c>
      <c r="N297" s="17">
        <v>45554</v>
      </c>
      <c r="O297" s="15" t="s">
        <v>99</v>
      </c>
      <c r="P297" s="16" t="s">
        <v>611</v>
      </c>
      <c r="Q297" s="15" t="s">
        <v>1213</v>
      </c>
      <c r="R297" s="13" t="str">
        <f>HYPERLINK("https://my.pitchbook.com?c=269781-22T","View Company Online")</f>
        <v>View Company Online</v>
      </c>
    </row>
    <row r="298" spans="1:18" hidden="1" x14ac:dyDescent="0.3">
      <c r="A298" s="9" t="s">
        <v>1214</v>
      </c>
      <c r="B298" s="9" t="s">
        <v>1215</v>
      </c>
      <c r="C298" s="11" t="s">
        <v>28</v>
      </c>
      <c r="D298" s="9" t="s">
        <v>1216</v>
      </c>
      <c r="E298" s="11" t="s">
        <v>28</v>
      </c>
      <c r="F298" s="10" t="s">
        <v>28</v>
      </c>
      <c r="G298" s="10" t="s">
        <v>28</v>
      </c>
      <c r="H298" s="10" t="s">
        <v>28</v>
      </c>
      <c r="I298" s="11" t="s">
        <v>28</v>
      </c>
      <c r="J298" s="11" t="s">
        <v>28</v>
      </c>
      <c r="K298" s="11" t="s">
        <v>28</v>
      </c>
      <c r="L298" s="11" t="s">
        <v>28</v>
      </c>
      <c r="M298" s="11" t="s">
        <v>28</v>
      </c>
      <c r="N298" s="8">
        <v>45554</v>
      </c>
      <c r="O298" s="9" t="s">
        <v>52</v>
      </c>
      <c r="P298" s="12" t="s">
        <v>1199</v>
      </c>
      <c r="Q298" s="9" t="s">
        <v>75</v>
      </c>
      <c r="R298" s="14" t="str">
        <f>HYPERLINK("https://my.pitchbook.com?c=285480-28T","View Company Online")</f>
        <v>View Company Online</v>
      </c>
    </row>
    <row r="299" spans="1:18" hidden="1" x14ac:dyDescent="0.3">
      <c r="A299" s="15" t="s">
        <v>1217</v>
      </c>
      <c r="B299" s="15" t="s">
        <v>1218</v>
      </c>
      <c r="C299" s="18" t="s">
        <v>28</v>
      </c>
      <c r="D299" s="15" t="s">
        <v>1219</v>
      </c>
      <c r="E299" s="18" t="s">
        <v>28</v>
      </c>
      <c r="F299" s="19" t="s">
        <v>28</v>
      </c>
      <c r="G299" s="19">
        <v>0.45</v>
      </c>
      <c r="H299" s="19" t="s">
        <v>28</v>
      </c>
      <c r="I299" s="18" t="s">
        <v>28</v>
      </c>
      <c r="J299" s="18" t="s">
        <v>28</v>
      </c>
      <c r="K299" s="18" t="s">
        <v>28</v>
      </c>
      <c r="L299" s="18" t="s">
        <v>28</v>
      </c>
      <c r="M299" s="18" t="s">
        <v>28</v>
      </c>
      <c r="N299" s="17">
        <v>45554</v>
      </c>
      <c r="O299" s="15" t="s">
        <v>99</v>
      </c>
      <c r="P299" s="16" t="s">
        <v>1220</v>
      </c>
      <c r="Q299" s="15" t="s">
        <v>75</v>
      </c>
      <c r="R299" s="13" t="str">
        <f>HYPERLINK("https://my.pitchbook.com?c=272532-61T","View Company Online")</f>
        <v>View Company Online</v>
      </c>
    </row>
    <row r="300" spans="1:18" hidden="1" x14ac:dyDescent="0.3">
      <c r="A300" s="9" t="s">
        <v>1221</v>
      </c>
      <c r="B300" s="9" t="s">
        <v>1222</v>
      </c>
      <c r="C300" s="11" t="s">
        <v>28</v>
      </c>
      <c r="D300" s="9" t="s">
        <v>1223</v>
      </c>
      <c r="E300" s="11" t="s">
        <v>28</v>
      </c>
      <c r="F300" s="10" t="s">
        <v>28</v>
      </c>
      <c r="G300" s="10">
        <v>0.5</v>
      </c>
      <c r="H300" s="10" t="s">
        <v>28</v>
      </c>
      <c r="I300" s="11" t="s">
        <v>28</v>
      </c>
      <c r="J300" s="11" t="s">
        <v>28</v>
      </c>
      <c r="K300" s="11" t="s">
        <v>28</v>
      </c>
      <c r="L300" s="11" t="s">
        <v>28</v>
      </c>
      <c r="M300" s="11" t="s">
        <v>28</v>
      </c>
      <c r="N300" s="8">
        <v>45554</v>
      </c>
      <c r="O300" s="9" t="s">
        <v>52</v>
      </c>
      <c r="P300" s="12" t="s">
        <v>1195</v>
      </c>
      <c r="Q300" s="9" t="s">
        <v>75</v>
      </c>
      <c r="R300" s="14" t="str">
        <f>HYPERLINK("https://my.pitchbook.com?c=285504-76T","View Company Online")</f>
        <v>View Company Online</v>
      </c>
    </row>
    <row r="301" spans="1:18" hidden="1" x14ac:dyDescent="0.3">
      <c r="A301" s="15" t="s">
        <v>1224</v>
      </c>
      <c r="B301" s="15" t="s">
        <v>1225</v>
      </c>
      <c r="C301" s="18" t="s">
        <v>28</v>
      </c>
      <c r="D301" s="15" t="s">
        <v>1226</v>
      </c>
      <c r="E301" s="18" t="s">
        <v>28</v>
      </c>
      <c r="F301" s="19" t="s">
        <v>28</v>
      </c>
      <c r="G301" s="19">
        <v>0.5</v>
      </c>
      <c r="H301" s="19" t="s">
        <v>28</v>
      </c>
      <c r="I301" s="18" t="s">
        <v>28</v>
      </c>
      <c r="J301" s="18" t="s">
        <v>28</v>
      </c>
      <c r="K301" s="18" t="s">
        <v>28</v>
      </c>
      <c r="L301" s="18" t="s">
        <v>28</v>
      </c>
      <c r="M301" s="18" t="s">
        <v>28</v>
      </c>
      <c r="N301" s="17">
        <v>45554</v>
      </c>
      <c r="O301" s="15" t="s">
        <v>52</v>
      </c>
      <c r="P301" s="16" t="s">
        <v>1199</v>
      </c>
      <c r="Q301" s="15" t="s">
        <v>1035</v>
      </c>
      <c r="R301" s="13" t="str">
        <f>HYPERLINK("https://my.pitchbook.com?c=285703-21T","View Company Online")</f>
        <v>View Company Online</v>
      </c>
    </row>
    <row r="302" spans="1:18" hidden="1" x14ac:dyDescent="0.3">
      <c r="A302" s="9" t="s">
        <v>1227</v>
      </c>
      <c r="B302" s="9" t="s">
        <v>1228</v>
      </c>
      <c r="C302" s="11" t="s">
        <v>28</v>
      </c>
      <c r="D302" s="9" t="s">
        <v>1229</v>
      </c>
      <c r="E302" s="11" t="s">
        <v>28</v>
      </c>
      <c r="F302" s="10" t="s">
        <v>28</v>
      </c>
      <c r="G302" s="10" t="s">
        <v>28</v>
      </c>
      <c r="H302" s="10" t="s">
        <v>28</v>
      </c>
      <c r="I302" s="11" t="s">
        <v>28</v>
      </c>
      <c r="J302" s="11" t="s">
        <v>28</v>
      </c>
      <c r="K302" s="11" t="s">
        <v>28</v>
      </c>
      <c r="L302" s="11" t="s">
        <v>28</v>
      </c>
      <c r="M302" s="11" t="s">
        <v>28</v>
      </c>
      <c r="N302" s="8">
        <v>45553</v>
      </c>
      <c r="O302" s="9" t="s">
        <v>30</v>
      </c>
      <c r="P302" s="12" t="s">
        <v>1230</v>
      </c>
      <c r="Q302" s="9" t="s">
        <v>75</v>
      </c>
      <c r="R302" s="14" t="str">
        <f>HYPERLINK("https://my.pitchbook.com?c=272462-68T","View Company Online")</f>
        <v>View Company Online</v>
      </c>
    </row>
    <row r="303" spans="1:18" hidden="1" x14ac:dyDescent="0.3">
      <c r="A303" s="15" t="s">
        <v>1231</v>
      </c>
      <c r="B303" s="15" t="s">
        <v>1232</v>
      </c>
      <c r="C303" s="18" t="s">
        <v>28</v>
      </c>
      <c r="D303" s="15" t="s">
        <v>1233</v>
      </c>
      <c r="E303" s="18" t="s">
        <v>28</v>
      </c>
      <c r="F303" s="19">
        <v>26.9</v>
      </c>
      <c r="G303" s="19">
        <v>26.9</v>
      </c>
      <c r="H303" s="19">
        <v>26.9</v>
      </c>
      <c r="I303" s="18" t="s">
        <v>28</v>
      </c>
      <c r="J303" s="18" t="s">
        <v>28</v>
      </c>
      <c r="K303" s="18" t="s">
        <v>28</v>
      </c>
      <c r="L303" s="18" t="s">
        <v>28</v>
      </c>
      <c r="M303" s="18" t="s">
        <v>28</v>
      </c>
      <c r="N303" s="17">
        <v>45553</v>
      </c>
      <c r="O303" s="15" t="s">
        <v>30</v>
      </c>
      <c r="P303" s="16" t="s">
        <v>28</v>
      </c>
      <c r="Q303" s="15" t="s">
        <v>240</v>
      </c>
      <c r="R303" s="13" t="str">
        <f>HYPERLINK("https://my.pitchbook.com?c=272350-63T","View Company Online")</f>
        <v>View Company Online</v>
      </c>
    </row>
    <row r="304" spans="1:18" hidden="1" x14ac:dyDescent="0.3">
      <c r="A304" s="9" t="s">
        <v>1234</v>
      </c>
      <c r="B304" s="9" t="s">
        <v>1235</v>
      </c>
      <c r="C304" s="11" t="s">
        <v>28</v>
      </c>
      <c r="D304" s="9" t="s">
        <v>1236</v>
      </c>
      <c r="E304" s="11" t="s">
        <v>28</v>
      </c>
      <c r="F304" s="10" t="s">
        <v>28</v>
      </c>
      <c r="G304" s="10" t="s">
        <v>28</v>
      </c>
      <c r="H304" s="10" t="s">
        <v>28</v>
      </c>
      <c r="I304" s="11" t="s">
        <v>28</v>
      </c>
      <c r="J304" s="11" t="s">
        <v>28</v>
      </c>
      <c r="K304" s="11" t="s">
        <v>28</v>
      </c>
      <c r="L304" s="11" t="s">
        <v>28</v>
      </c>
      <c r="M304" s="11" t="s">
        <v>28</v>
      </c>
      <c r="N304" s="8">
        <v>45553</v>
      </c>
      <c r="O304" s="9" t="s">
        <v>41</v>
      </c>
      <c r="P304" s="12" t="s">
        <v>1237</v>
      </c>
      <c r="Q304" s="9" t="s">
        <v>1238</v>
      </c>
      <c r="R304" s="14" t="str">
        <f>HYPERLINK("https://my.pitchbook.com?c=272449-09T","View Company Online")</f>
        <v>View Company Online</v>
      </c>
    </row>
    <row r="305" spans="1:18" hidden="1" x14ac:dyDescent="0.3">
      <c r="A305" s="15" t="s">
        <v>1239</v>
      </c>
      <c r="B305" s="15" t="s">
        <v>1240</v>
      </c>
      <c r="C305" s="18" t="s">
        <v>28</v>
      </c>
      <c r="D305" s="15" t="s">
        <v>1241</v>
      </c>
      <c r="E305" s="18" t="s">
        <v>28</v>
      </c>
      <c r="F305" s="19" t="s">
        <v>28</v>
      </c>
      <c r="G305" s="19" t="s">
        <v>28</v>
      </c>
      <c r="H305" s="19" t="s">
        <v>28</v>
      </c>
      <c r="I305" s="18" t="s">
        <v>28</v>
      </c>
      <c r="J305" s="18" t="s">
        <v>28</v>
      </c>
      <c r="K305" s="18" t="s">
        <v>28</v>
      </c>
      <c r="L305" s="18" t="s">
        <v>28</v>
      </c>
      <c r="M305" s="18" t="s">
        <v>28</v>
      </c>
      <c r="N305" s="17">
        <v>45552</v>
      </c>
      <c r="O305" s="15" t="s">
        <v>41</v>
      </c>
      <c r="P305" s="16" t="s">
        <v>1242</v>
      </c>
      <c r="Q305" s="15" t="s">
        <v>696</v>
      </c>
      <c r="R305" s="13" t="str">
        <f>HYPERLINK("https://my.pitchbook.com?c=272322-73T","View Company Online")</f>
        <v>View Company Online</v>
      </c>
    </row>
    <row r="306" spans="1:18" hidden="1" x14ac:dyDescent="0.3">
      <c r="A306" s="9" t="s">
        <v>1243</v>
      </c>
      <c r="B306" s="9" t="s">
        <v>1244</v>
      </c>
      <c r="C306" s="11" t="s">
        <v>28</v>
      </c>
      <c r="D306" s="9" t="s">
        <v>1245</v>
      </c>
      <c r="E306" s="11" t="s">
        <v>28</v>
      </c>
      <c r="F306" s="10" t="s">
        <v>28</v>
      </c>
      <c r="G306" s="10" t="s">
        <v>28</v>
      </c>
      <c r="H306" s="10" t="s">
        <v>28</v>
      </c>
      <c r="I306" s="11" t="s">
        <v>28</v>
      </c>
      <c r="J306" s="11" t="s">
        <v>28</v>
      </c>
      <c r="K306" s="11" t="s">
        <v>28</v>
      </c>
      <c r="L306" s="11" t="s">
        <v>28</v>
      </c>
      <c r="M306" s="11" t="s">
        <v>28</v>
      </c>
      <c r="N306" s="8">
        <v>45551</v>
      </c>
      <c r="O306" s="9" t="s">
        <v>30</v>
      </c>
      <c r="P306" s="12" t="s">
        <v>1246</v>
      </c>
      <c r="Q306" s="9" t="s">
        <v>160</v>
      </c>
      <c r="R306" s="14" t="str">
        <f>HYPERLINK("https://my.pitchbook.com?c=272508-22T","View Company Online")</f>
        <v>View Company Online</v>
      </c>
    </row>
    <row r="307" spans="1:18" hidden="1" x14ac:dyDescent="0.3">
      <c r="A307" s="15" t="s">
        <v>1247</v>
      </c>
      <c r="B307" s="15" t="s">
        <v>1248</v>
      </c>
      <c r="C307" s="18" t="s">
        <v>28</v>
      </c>
      <c r="D307" s="15" t="s">
        <v>1249</v>
      </c>
      <c r="E307" s="18" t="s">
        <v>28</v>
      </c>
      <c r="F307" s="19" t="s">
        <v>28</v>
      </c>
      <c r="G307" s="19" t="s">
        <v>28</v>
      </c>
      <c r="H307" s="19" t="s">
        <v>28</v>
      </c>
      <c r="I307" s="18" t="s">
        <v>28</v>
      </c>
      <c r="J307" s="18" t="s">
        <v>28</v>
      </c>
      <c r="K307" s="18" t="s">
        <v>28</v>
      </c>
      <c r="L307" s="18" t="s">
        <v>28</v>
      </c>
      <c r="M307" s="18" t="s">
        <v>28</v>
      </c>
      <c r="N307" s="17">
        <v>45551</v>
      </c>
      <c r="O307" s="15" t="s">
        <v>73</v>
      </c>
      <c r="P307" s="16" t="s">
        <v>1250</v>
      </c>
      <c r="Q307" s="15" t="s">
        <v>43</v>
      </c>
      <c r="R307" s="13" t="str">
        <f>HYPERLINK("https://my.pitchbook.com?c=272211-22T","View Company Online")</f>
        <v>View Company Online</v>
      </c>
    </row>
    <row r="308" spans="1:18" hidden="1" x14ac:dyDescent="0.3">
      <c r="A308" s="9" t="s">
        <v>1251</v>
      </c>
      <c r="B308" s="9" t="s">
        <v>1252</v>
      </c>
      <c r="C308" s="11" t="s">
        <v>28</v>
      </c>
      <c r="D308" s="9" t="s">
        <v>1253</v>
      </c>
      <c r="E308" s="11" t="s">
        <v>28</v>
      </c>
      <c r="F308" s="10" t="s">
        <v>28</v>
      </c>
      <c r="G308" s="10" t="s">
        <v>28</v>
      </c>
      <c r="H308" s="10" t="s">
        <v>28</v>
      </c>
      <c r="I308" s="11" t="s">
        <v>28</v>
      </c>
      <c r="J308" s="11" t="s">
        <v>28</v>
      </c>
      <c r="K308" s="11" t="s">
        <v>28</v>
      </c>
      <c r="L308" s="11" t="s">
        <v>28</v>
      </c>
      <c r="M308" s="11" t="s">
        <v>28</v>
      </c>
      <c r="N308" s="8">
        <v>45548</v>
      </c>
      <c r="O308" s="9" t="s">
        <v>30</v>
      </c>
      <c r="P308" s="12" t="s">
        <v>1254</v>
      </c>
      <c r="Q308" s="9" t="s">
        <v>245</v>
      </c>
      <c r="R308" s="14" t="str">
        <f>HYPERLINK("https://my.pitchbook.com?c=272101-69T","View Company Online")</f>
        <v>View Company Online</v>
      </c>
    </row>
    <row r="309" spans="1:18" hidden="1" x14ac:dyDescent="0.3">
      <c r="A309" s="15" t="s">
        <v>1255</v>
      </c>
      <c r="B309" s="15" t="s">
        <v>1256</v>
      </c>
      <c r="C309" s="18" t="s">
        <v>28</v>
      </c>
      <c r="D309" s="15" t="s">
        <v>1257</v>
      </c>
      <c r="E309" s="18" t="s">
        <v>28</v>
      </c>
      <c r="F309" s="19" t="s">
        <v>28</v>
      </c>
      <c r="G309" s="19" t="s">
        <v>28</v>
      </c>
      <c r="H309" s="19" t="s">
        <v>28</v>
      </c>
      <c r="I309" s="18" t="s">
        <v>28</v>
      </c>
      <c r="J309" s="18" t="s">
        <v>28</v>
      </c>
      <c r="K309" s="18" t="s">
        <v>28</v>
      </c>
      <c r="L309" s="18" t="s">
        <v>28</v>
      </c>
      <c r="M309" s="18" t="s">
        <v>28</v>
      </c>
      <c r="N309" s="17">
        <v>45547</v>
      </c>
      <c r="O309" s="15" t="s">
        <v>52</v>
      </c>
      <c r="P309" s="16" t="s">
        <v>1258</v>
      </c>
      <c r="Q309" s="15" t="s">
        <v>37</v>
      </c>
      <c r="R309" s="13" t="str">
        <f>HYPERLINK("https://my.pitchbook.com?c=272027-98T","View Company Online")</f>
        <v>View Company Online</v>
      </c>
    </row>
    <row r="310" spans="1:18" hidden="1" x14ac:dyDescent="0.3">
      <c r="A310" s="9" t="s">
        <v>1259</v>
      </c>
      <c r="B310" s="9" t="s">
        <v>1260</v>
      </c>
      <c r="C310" s="11" t="s">
        <v>28</v>
      </c>
      <c r="D310" s="9" t="s">
        <v>1261</v>
      </c>
      <c r="E310" s="11" t="s">
        <v>28</v>
      </c>
      <c r="F310" s="10" t="s">
        <v>28</v>
      </c>
      <c r="G310" s="10">
        <v>17.989999999999998</v>
      </c>
      <c r="H310" s="10">
        <v>215.9</v>
      </c>
      <c r="I310" s="11" t="s">
        <v>28</v>
      </c>
      <c r="J310" s="11" t="s">
        <v>28</v>
      </c>
      <c r="K310" s="11" t="s">
        <v>28</v>
      </c>
      <c r="L310" s="11" t="s">
        <v>28</v>
      </c>
      <c r="M310" s="11" t="s">
        <v>28</v>
      </c>
      <c r="N310" s="8">
        <v>45547</v>
      </c>
      <c r="O310" s="9" t="s">
        <v>79</v>
      </c>
      <c r="P310" s="12" t="s">
        <v>1262</v>
      </c>
      <c r="Q310" s="9" t="s">
        <v>1263</v>
      </c>
      <c r="R310" s="14" t="str">
        <f>HYPERLINK("https://my.pitchbook.com?c=271887-22T","View Company Online")</f>
        <v>View Company Online</v>
      </c>
    </row>
    <row r="311" spans="1:18" hidden="1" x14ac:dyDescent="0.3">
      <c r="A311" s="15" t="s">
        <v>1264</v>
      </c>
      <c r="B311" s="15" t="s">
        <v>1265</v>
      </c>
      <c r="C311" s="18" t="s">
        <v>28</v>
      </c>
      <c r="D311" s="15" t="s">
        <v>1266</v>
      </c>
      <c r="E311" s="18" t="s">
        <v>28</v>
      </c>
      <c r="F311" s="19" t="s">
        <v>28</v>
      </c>
      <c r="G311" s="19" t="s">
        <v>28</v>
      </c>
      <c r="H311" s="19" t="s">
        <v>28</v>
      </c>
      <c r="I311" s="18" t="s">
        <v>28</v>
      </c>
      <c r="J311" s="18" t="s">
        <v>28</v>
      </c>
      <c r="K311" s="18" t="s">
        <v>28</v>
      </c>
      <c r="L311" s="18" t="s">
        <v>28</v>
      </c>
      <c r="M311" s="18" t="s">
        <v>28</v>
      </c>
      <c r="N311" s="17">
        <v>45547</v>
      </c>
      <c r="O311" s="15" t="s">
        <v>30</v>
      </c>
      <c r="P311" s="16" t="s">
        <v>983</v>
      </c>
      <c r="Q311" s="15" t="s">
        <v>245</v>
      </c>
      <c r="R311" s="13" t="str">
        <f>HYPERLINK("https://my.pitchbook.com?c=272173-33T","View Company Online")</f>
        <v>View Company Online</v>
      </c>
    </row>
    <row r="312" spans="1:18" hidden="1" x14ac:dyDescent="0.3">
      <c r="A312" s="9" t="s">
        <v>1267</v>
      </c>
      <c r="B312" s="9" t="s">
        <v>1268</v>
      </c>
      <c r="C312" s="11" t="s">
        <v>28</v>
      </c>
      <c r="D312" s="9" t="s">
        <v>1269</v>
      </c>
      <c r="E312" s="11" t="s">
        <v>28</v>
      </c>
      <c r="F312" s="10" t="s">
        <v>28</v>
      </c>
      <c r="G312" s="10" t="s">
        <v>28</v>
      </c>
      <c r="H312" s="10" t="s">
        <v>28</v>
      </c>
      <c r="I312" s="11" t="s">
        <v>28</v>
      </c>
      <c r="J312" s="11" t="s">
        <v>28</v>
      </c>
      <c r="K312" s="11" t="s">
        <v>28</v>
      </c>
      <c r="L312" s="11" t="s">
        <v>28</v>
      </c>
      <c r="M312" s="11" t="s">
        <v>28</v>
      </c>
      <c r="N312" s="8">
        <v>45547</v>
      </c>
      <c r="O312" s="9" t="s">
        <v>52</v>
      </c>
      <c r="P312" s="12" t="s">
        <v>1270</v>
      </c>
      <c r="Q312" s="9" t="s">
        <v>75</v>
      </c>
      <c r="R312" s="14" t="str">
        <f>HYPERLINK("https://my.pitchbook.com?c=272032-30T","View Company Online")</f>
        <v>View Company Online</v>
      </c>
    </row>
    <row r="313" spans="1:18" hidden="1" x14ac:dyDescent="0.3">
      <c r="A313" s="15" t="s">
        <v>1271</v>
      </c>
      <c r="B313" s="15" t="s">
        <v>1272</v>
      </c>
      <c r="C313" s="18" t="s">
        <v>28</v>
      </c>
      <c r="D313" s="15" t="s">
        <v>1273</v>
      </c>
      <c r="E313" s="18" t="s">
        <v>28</v>
      </c>
      <c r="F313" s="19" t="s">
        <v>28</v>
      </c>
      <c r="G313" s="19" t="s">
        <v>28</v>
      </c>
      <c r="H313" s="19" t="s">
        <v>28</v>
      </c>
      <c r="I313" s="18" t="s">
        <v>28</v>
      </c>
      <c r="J313" s="18" t="s">
        <v>28</v>
      </c>
      <c r="K313" s="18" t="s">
        <v>28</v>
      </c>
      <c r="L313" s="18" t="s">
        <v>28</v>
      </c>
      <c r="M313" s="18" t="s">
        <v>28</v>
      </c>
      <c r="N313" s="17">
        <v>45547</v>
      </c>
      <c r="O313" s="15" t="s">
        <v>41</v>
      </c>
      <c r="P313" s="16" t="s">
        <v>182</v>
      </c>
      <c r="Q313" s="15" t="s">
        <v>348</v>
      </c>
      <c r="R313" s="13" t="str">
        <f>HYPERLINK("https://my.pitchbook.com?c=271865-98T","View Company Online")</f>
        <v>View Company Online</v>
      </c>
    </row>
    <row r="314" spans="1:18" hidden="1" x14ac:dyDescent="0.3">
      <c r="A314" s="9" t="s">
        <v>1274</v>
      </c>
      <c r="B314" s="9" t="s">
        <v>1275</v>
      </c>
      <c r="C314" s="11" t="s">
        <v>28</v>
      </c>
      <c r="D314" s="9" t="s">
        <v>1276</v>
      </c>
      <c r="E314" s="11" t="s">
        <v>28</v>
      </c>
      <c r="F314" s="10" t="s">
        <v>28</v>
      </c>
      <c r="G314" s="10">
        <v>0.8</v>
      </c>
      <c r="H314" s="10" t="s">
        <v>28</v>
      </c>
      <c r="I314" s="11" t="s">
        <v>28</v>
      </c>
      <c r="J314" s="11" t="s">
        <v>28</v>
      </c>
      <c r="K314" s="11" t="s">
        <v>28</v>
      </c>
      <c r="L314" s="11" t="s">
        <v>28</v>
      </c>
      <c r="M314" s="11" t="s">
        <v>28</v>
      </c>
      <c r="N314" s="8">
        <v>45547</v>
      </c>
      <c r="O314" s="9" t="s">
        <v>52</v>
      </c>
      <c r="P314" s="12" t="s">
        <v>1277</v>
      </c>
      <c r="Q314" s="9" t="s">
        <v>114</v>
      </c>
      <c r="R314" s="14" t="str">
        <f>HYPERLINK("https://my.pitchbook.com?c=280372-06T","View Company Online")</f>
        <v>View Company Online</v>
      </c>
    </row>
    <row r="315" spans="1:18" hidden="1" x14ac:dyDescent="0.3">
      <c r="A315" s="15" t="s">
        <v>1278</v>
      </c>
      <c r="B315" s="15" t="s">
        <v>1279</v>
      </c>
      <c r="C315" s="18" t="s">
        <v>28</v>
      </c>
      <c r="D315" s="15" t="s">
        <v>1280</v>
      </c>
      <c r="E315" s="18" t="s">
        <v>28</v>
      </c>
      <c r="F315" s="19" t="s">
        <v>28</v>
      </c>
      <c r="G315" s="19" t="s">
        <v>28</v>
      </c>
      <c r="H315" s="19" t="s">
        <v>28</v>
      </c>
      <c r="I315" s="18" t="s">
        <v>28</v>
      </c>
      <c r="J315" s="18" t="s">
        <v>28</v>
      </c>
      <c r="K315" s="18" t="s">
        <v>28</v>
      </c>
      <c r="L315" s="18" t="s">
        <v>28</v>
      </c>
      <c r="M315" s="18" t="s">
        <v>28</v>
      </c>
      <c r="N315" s="17">
        <v>45547</v>
      </c>
      <c r="O315" s="15" t="s">
        <v>30</v>
      </c>
      <c r="P315" s="16" t="s">
        <v>1281</v>
      </c>
      <c r="Q315" s="15" t="s">
        <v>1035</v>
      </c>
      <c r="R315" s="13" t="str">
        <f>HYPERLINK("https://my.pitchbook.com?c=270372-61T","View Company Online")</f>
        <v>View Company Online</v>
      </c>
    </row>
    <row r="316" spans="1:18" hidden="1" x14ac:dyDescent="0.3">
      <c r="A316" s="9" t="s">
        <v>1282</v>
      </c>
      <c r="B316" s="9" t="s">
        <v>1283</v>
      </c>
      <c r="C316" s="11" t="s">
        <v>28</v>
      </c>
      <c r="D316" s="9" t="s">
        <v>1284</v>
      </c>
      <c r="E316" s="11" t="s">
        <v>28</v>
      </c>
      <c r="F316" s="10" t="s">
        <v>28</v>
      </c>
      <c r="G316" s="10" t="s">
        <v>28</v>
      </c>
      <c r="H316" s="10" t="s">
        <v>28</v>
      </c>
      <c r="I316" s="11" t="s">
        <v>28</v>
      </c>
      <c r="J316" s="11" t="s">
        <v>28</v>
      </c>
      <c r="K316" s="11" t="s">
        <v>28</v>
      </c>
      <c r="L316" s="11" t="s">
        <v>28</v>
      </c>
      <c r="M316" s="11" t="s">
        <v>28</v>
      </c>
      <c r="N316" s="8">
        <v>45547</v>
      </c>
      <c r="O316" s="9" t="s">
        <v>1285</v>
      </c>
      <c r="P316" s="12" t="s">
        <v>28</v>
      </c>
      <c r="Q316" s="9" t="s">
        <v>1286</v>
      </c>
      <c r="R316" s="14" t="str">
        <f>HYPERLINK("https://my.pitchbook.com?c=272489-86T","View Company Online")</f>
        <v>View Company Online</v>
      </c>
    </row>
    <row r="317" spans="1:18" hidden="1" x14ac:dyDescent="0.3">
      <c r="A317" s="15" t="s">
        <v>1287</v>
      </c>
      <c r="B317" s="15" t="s">
        <v>1288</v>
      </c>
      <c r="C317" s="18" t="s">
        <v>28</v>
      </c>
      <c r="D317" s="15" t="s">
        <v>1289</v>
      </c>
      <c r="E317" s="18" t="s">
        <v>28</v>
      </c>
      <c r="F317" s="19" t="s">
        <v>28</v>
      </c>
      <c r="G317" s="19" t="s">
        <v>28</v>
      </c>
      <c r="H317" s="19" t="s">
        <v>28</v>
      </c>
      <c r="I317" s="18" t="s">
        <v>28</v>
      </c>
      <c r="J317" s="18" t="s">
        <v>28</v>
      </c>
      <c r="K317" s="18" t="s">
        <v>28</v>
      </c>
      <c r="L317" s="18" t="s">
        <v>28</v>
      </c>
      <c r="M317" s="18" t="s">
        <v>28</v>
      </c>
      <c r="N317" s="17">
        <v>45547</v>
      </c>
      <c r="O317" s="15" t="s">
        <v>52</v>
      </c>
      <c r="P317" s="16" t="s">
        <v>1290</v>
      </c>
      <c r="Q317" s="15" t="s">
        <v>75</v>
      </c>
      <c r="R317" s="13" t="str">
        <f>HYPERLINK("https://my.pitchbook.com?c=272043-37T","View Company Online")</f>
        <v>View Company Online</v>
      </c>
    </row>
    <row r="318" spans="1:18" hidden="1" x14ac:dyDescent="0.3">
      <c r="A318" s="9" t="s">
        <v>1291</v>
      </c>
      <c r="B318" s="9" t="s">
        <v>1292</v>
      </c>
      <c r="C318" s="11" t="s">
        <v>28</v>
      </c>
      <c r="D318" s="9" t="s">
        <v>1293</v>
      </c>
      <c r="E318" s="11" t="s">
        <v>28</v>
      </c>
      <c r="F318" s="10" t="s">
        <v>28</v>
      </c>
      <c r="G318" s="10" t="s">
        <v>28</v>
      </c>
      <c r="H318" s="10" t="s">
        <v>28</v>
      </c>
      <c r="I318" s="11" t="s">
        <v>28</v>
      </c>
      <c r="J318" s="11" t="s">
        <v>28</v>
      </c>
      <c r="K318" s="11" t="s">
        <v>28</v>
      </c>
      <c r="L318" s="11" t="s">
        <v>28</v>
      </c>
      <c r="M318" s="11" t="s">
        <v>28</v>
      </c>
      <c r="N318" s="8">
        <v>45547</v>
      </c>
      <c r="O318" s="9" t="s">
        <v>173</v>
      </c>
      <c r="P318" s="12" t="s">
        <v>28</v>
      </c>
      <c r="Q318" s="9" t="s">
        <v>174</v>
      </c>
      <c r="R318" s="14" t="str">
        <f>HYPERLINK("https://my.pitchbook.com?c=272272-42T","View Company Online")</f>
        <v>View Company Online</v>
      </c>
    </row>
    <row r="319" spans="1:18" hidden="1" x14ac:dyDescent="0.3">
      <c r="A319" s="15" t="s">
        <v>1294</v>
      </c>
      <c r="B319" s="15" t="s">
        <v>1295</v>
      </c>
      <c r="C319" s="18" t="s">
        <v>28</v>
      </c>
      <c r="D319" s="15" t="s">
        <v>1296</v>
      </c>
      <c r="E319" s="18" t="s">
        <v>28</v>
      </c>
      <c r="F319" s="19" t="s">
        <v>28</v>
      </c>
      <c r="G319" s="19" t="s">
        <v>28</v>
      </c>
      <c r="H319" s="19" t="s">
        <v>28</v>
      </c>
      <c r="I319" s="18" t="s">
        <v>28</v>
      </c>
      <c r="J319" s="18" t="s">
        <v>28</v>
      </c>
      <c r="K319" s="18" t="s">
        <v>28</v>
      </c>
      <c r="L319" s="18" t="s">
        <v>28</v>
      </c>
      <c r="M319" s="18" t="s">
        <v>28</v>
      </c>
      <c r="N319" s="17">
        <v>45547</v>
      </c>
      <c r="O319" s="15" t="s">
        <v>41</v>
      </c>
      <c r="P319" s="16" t="s">
        <v>1297</v>
      </c>
      <c r="Q319" s="15" t="s">
        <v>37</v>
      </c>
      <c r="R319" s="13" t="str">
        <f>HYPERLINK("https://my.pitchbook.com?c=271920-07T","View Company Online")</f>
        <v>View Company Online</v>
      </c>
    </row>
    <row r="320" spans="1:18" hidden="1" x14ac:dyDescent="0.3">
      <c r="A320" s="9" t="s">
        <v>1298</v>
      </c>
      <c r="B320" s="9" t="s">
        <v>1299</v>
      </c>
      <c r="C320" s="11" t="s">
        <v>28</v>
      </c>
      <c r="D320" s="9" t="s">
        <v>1300</v>
      </c>
      <c r="E320" s="11" t="s">
        <v>28</v>
      </c>
      <c r="F320" s="10" t="s">
        <v>28</v>
      </c>
      <c r="G320" s="10" t="s">
        <v>28</v>
      </c>
      <c r="H320" s="10" t="s">
        <v>28</v>
      </c>
      <c r="I320" s="11" t="s">
        <v>28</v>
      </c>
      <c r="J320" s="11" t="s">
        <v>28</v>
      </c>
      <c r="K320" s="11">
        <v>2.93</v>
      </c>
      <c r="L320" s="11" t="s">
        <v>28</v>
      </c>
      <c r="M320" s="11" t="s">
        <v>28</v>
      </c>
      <c r="N320" s="8">
        <v>45547</v>
      </c>
      <c r="O320" s="9" t="s">
        <v>30</v>
      </c>
      <c r="P320" s="12" t="s">
        <v>1301</v>
      </c>
      <c r="Q320" s="9" t="s">
        <v>136</v>
      </c>
      <c r="R320" s="14" t="str">
        <f>HYPERLINK("https://my.pitchbook.com?c=272657-71T","View Company Online")</f>
        <v>View Company Online</v>
      </c>
    </row>
    <row r="321" spans="1:18" hidden="1" x14ac:dyDescent="0.3">
      <c r="A321" s="15" t="s">
        <v>1302</v>
      </c>
      <c r="B321" s="15" t="s">
        <v>1303</v>
      </c>
      <c r="C321" s="18" t="s">
        <v>28</v>
      </c>
      <c r="D321" s="15" t="s">
        <v>1304</v>
      </c>
      <c r="E321" s="18" t="s">
        <v>28</v>
      </c>
      <c r="F321" s="19" t="s">
        <v>28</v>
      </c>
      <c r="G321" s="19" t="s">
        <v>28</v>
      </c>
      <c r="H321" s="19" t="s">
        <v>28</v>
      </c>
      <c r="I321" s="18" t="s">
        <v>28</v>
      </c>
      <c r="J321" s="18" t="s">
        <v>28</v>
      </c>
      <c r="K321" s="18" t="s">
        <v>28</v>
      </c>
      <c r="L321" s="18" t="s">
        <v>28</v>
      </c>
      <c r="M321" s="18" t="s">
        <v>28</v>
      </c>
      <c r="N321" s="17">
        <v>45546</v>
      </c>
      <c r="O321" s="15" t="s">
        <v>30</v>
      </c>
      <c r="P321" s="16" t="s">
        <v>1305</v>
      </c>
      <c r="Q321" s="15" t="s">
        <v>245</v>
      </c>
      <c r="R321" s="13" t="str">
        <f>HYPERLINK("https://my.pitchbook.com?c=273130-30T","View Company Online")</f>
        <v>View Company Online</v>
      </c>
    </row>
    <row r="322" spans="1:18" hidden="1" x14ac:dyDescent="0.3">
      <c r="A322" s="9" t="s">
        <v>1306</v>
      </c>
      <c r="B322" s="9" t="s">
        <v>1307</v>
      </c>
      <c r="C322" s="11" t="s">
        <v>28</v>
      </c>
      <c r="D322" s="9" t="s">
        <v>1308</v>
      </c>
      <c r="E322" s="11" t="s">
        <v>28</v>
      </c>
      <c r="F322" s="10" t="s">
        <v>28</v>
      </c>
      <c r="G322" s="10">
        <v>18.010000000000002</v>
      </c>
      <c r="H322" s="10" t="s">
        <v>28</v>
      </c>
      <c r="I322" s="11" t="s">
        <v>28</v>
      </c>
      <c r="J322" s="11" t="s">
        <v>28</v>
      </c>
      <c r="K322" s="11" t="s">
        <v>28</v>
      </c>
      <c r="L322" s="11" t="s">
        <v>28</v>
      </c>
      <c r="M322" s="11" t="s">
        <v>28</v>
      </c>
      <c r="N322" s="8">
        <v>45546</v>
      </c>
      <c r="O322" s="9" t="s">
        <v>73</v>
      </c>
      <c r="P322" s="12" t="s">
        <v>1309</v>
      </c>
      <c r="Q322" s="9" t="s">
        <v>136</v>
      </c>
      <c r="R322" s="14" t="str">
        <f>HYPERLINK("https://my.pitchbook.com?c=257816-80T","View Company Online")</f>
        <v>View Company Online</v>
      </c>
    </row>
    <row r="323" spans="1:18" hidden="1" x14ac:dyDescent="0.3">
      <c r="A323" s="15" t="s">
        <v>1310</v>
      </c>
      <c r="B323" s="15" t="s">
        <v>1311</v>
      </c>
      <c r="C323" s="18" t="s">
        <v>28</v>
      </c>
      <c r="D323" s="15" t="s">
        <v>1312</v>
      </c>
      <c r="E323" s="18" t="s">
        <v>28</v>
      </c>
      <c r="F323" s="19" t="s">
        <v>28</v>
      </c>
      <c r="G323" s="19" t="s">
        <v>28</v>
      </c>
      <c r="H323" s="19" t="s">
        <v>28</v>
      </c>
      <c r="I323" s="18" t="s">
        <v>28</v>
      </c>
      <c r="J323" s="18" t="s">
        <v>28</v>
      </c>
      <c r="K323" s="18" t="s">
        <v>28</v>
      </c>
      <c r="L323" s="18" t="s">
        <v>28</v>
      </c>
      <c r="M323" s="18" t="s">
        <v>28</v>
      </c>
      <c r="N323" s="17">
        <v>45545</v>
      </c>
      <c r="O323" s="15" t="s">
        <v>30</v>
      </c>
      <c r="P323" s="16" t="s">
        <v>1313</v>
      </c>
      <c r="Q323" s="15" t="s">
        <v>245</v>
      </c>
      <c r="R323" s="13" t="str">
        <f>HYPERLINK("https://my.pitchbook.com?c=272436-67T","View Company Online")</f>
        <v>View Company Online</v>
      </c>
    </row>
    <row r="324" spans="1:18" hidden="1" x14ac:dyDescent="0.3">
      <c r="A324" s="9" t="s">
        <v>1314</v>
      </c>
      <c r="B324" s="9" t="s">
        <v>1315</v>
      </c>
      <c r="C324" s="11" t="s">
        <v>28</v>
      </c>
      <c r="D324" s="9" t="s">
        <v>1316</v>
      </c>
      <c r="E324" s="11">
        <v>63.67</v>
      </c>
      <c r="F324" s="10" t="s">
        <v>28</v>
      </c>
      <c r="G324" s="10">
        <v>396.61</v>
      </c>
      <c r="H324" s="10" t="s">
        <v>28</v>
      </c>
      <c r="I324" s="11">
        <v>134.47</v>
      </c>
      <c r="J324" s="11" t="s">
        <v>28</v>
      </c>
      <c r="K324" s="11">
        <v>500.37</v>
      </c>
      <c r="L324" s="11" t="s">
        <v>28</v>
      </c>
      <c r="M324" s="11">
        <v>-71.98</v>
      </c>
      <c r="N324" s="8">
        <v>45545</v>
      </c>
      <c r="O324" s="9" t="s">
        <v>93</v>
      </c>
      <c r="P324" s="12" t="s">
        <v>1317</v>
      </c>
      <c r="Q324" s="9" t="s">
        <v>1088</v>
      </c>
      <c r="R324" s="14" t="str">
        <f>HYPERLINK("https://my.pitchbook.com?c=271884-25T","View Company Online")</f>
        <v>View Company Online</v>
      </c>
    </row>
    <row r="325" spans="1:18" hidden="1" x14ac:dyDescent="0.3">
      <c r="A325" s="15" t="s">
        <v>1318</v>
      </c>
      <c r="B325" s="15" t="s">
        <v>270</v>
      </c>
      <c r="C325" s="18" t="s">
        <v>28</v>
      </c>
      <c r="D325" s="15" t="s">
        <v>271</v>
      </c>
      <c r="E325" s="18" t="s">
        <v>28</v>
      </c>
      <c r="F325" s="19" t="s">
        <v>28</v>
      </c>
      <c r="G325" s="19">
        <v>8</v>
      </c>
      <c r="H325" s="19" t="s">
        <v>28</v>
      </c>
      <c r="I325" s="18" t="s">
        <v>28</v>
      </c>
      <c r="J325" s="18" t="s">
        <v>28</v>
      </c>
      <c r="K325" s="18" t="s">
        <v>28</v>
      </c>
      <c r="L325" s="18" t="s">
        <v>28</v>
      </c>
      <c r="M325" s="18" t="s">
        <v>28</v>
      </c>
      <c r="N325" s="17">
        <v>45544</v>
      </c>
      <c r="O325" s="15" t="s">
        <v>73</v>
      </c>
      <c r="P325" s="16" t="s">
        <v>1319</v>
      </c>
      <c r="Q325" s="15" t="s">
        <v>37</v>
      </c>
      <c r="R325" s="13" t="str">
        <f>HYPERLINK("https://my.pitchbook.com?c=271608-22T","View Company Online")</f>
        <v>View Company Online</v>
      </c>
    </row>
    <row r="326" spans="1:18" hidden="1" x14ac:dyDescent="0.3">
      <c r="A326" s="9" t="s">
        <v>1320</v>
      </c>
      <c r="B326" s="9" t="s">
        <v>82</v>
      </c>
      <c r="C326" s="11" t="s">
        <v>28</v>
      </c>
      <c r="D326" s="9" t="s">
        <v>83</v>
      </c>
      <c r="E326" s="11" t="s">
        <v>28</v>
      </c>
      <c r="F326" s="10" t="s">
        <v>28</v>
      </c>
      <c r="G326" s="10">
        <v>41.4</v>
      </c>
      <c r="H326" s="10" t="s">
        <v>28</v>
      </c>
      <c r="I326" s="11" t="s">
        <v>28</v>
      </c>
      <c r="J326" s="11" t="s">
        <v>28</v>
      </c>
      <c r="K326" s="11" t="s">
        <v>28</v>
      </c>
      <c r="L326" s="11" t="s">
        <v>28</v>
      </c>
      <c r="M326" s="11" t="s">
        <v>28</v>
      </c>
      <c r="N326" s="8">
        <v>45544</v>
      </c>
      <c r="O326" s="9" t="s">
        <v>79</v>
      </c>
      <c r="P326" s="12" t="s">
        <v>1321</v>
      </c>
      <c r="Q326" s="9" t="s">
        <v>85</v>
      </c>
      <c r="R326" s="14" t="str">
        <f>HYPERLINK("https://my.pitchbook.com?c=242075-80T","View Company Online")</f>
        <v>View Company Online</v>
      </c>
    </row>
    <row r="327" spans="1:18" hidden="1" x14ac:dyDescent="0.3">
      <c r="A327" s="15" t="s">
        <v>1322</v>
      </c>
      <c r="B327" s="15" t="s">
        <v>1323</v>
      </c>
      <c r="C327" s="18" t="s">
        <v>28</v>
      </c>
      <c r="D327" s="15" t="s">
        <v>1324</v>
      </c>
      <c r="E327" s="18" t="s">
        <v>28</v>
      </c>
      <c r="F327" s="19" t="s">
        <v>28</v>
      </c>
      <c r="G327" s="19">
        <v>0.45</v>
      </c>
      <c r="H327" s="19" t="s">
        <v>28</v>
      </c>
      <c r="I327" s="18" t="s">
        <v>28</v>
      </c>
      <c r="J327" s="18" t="s">
        <v>28</v>
      </c>
      <c r="K327" s="18" t="s">
        <v>28</v>
      </c>
      <c r="L327" s="18" t="s">
        <v>28</v>
      </c>
      <c r="M327" s="18" t="s">
        <v>28</v>
      </c>
      <c r="N327" s="17">
        <v>45544</v>
      </c>
      <c r="O327" s="15" t="s">
        <v>379</v>
      </c>
      <c r="P327" s="16" t="s">
        <v>1325</v>
      </c>
      <c r="Q327" s="15" t="s">
        <v>75</v>
      </c>
      <c r="R327" s="13" t="str">
        <f>HYPERLINK("https://my.pitchbook.com?c=271652-50T","View Company Online")</f>
        <v>View Company Online</v>
      </c>
    </row>
    <row r="328" spans="1:18" hidden="1" x14ac:dyDescent="0.3">
      <c r="A328" s="9" t="s">
        <v>1326</v>
      </c>
      <c r="B328" s="9" t="s">
        <v>1327</v>
      </c>
      <c r="C328" s="11" t="s">
        <v>28</v>
      </c>
      <c r="D328" s="9" t="s">
        <v>1328</v>
      </c>
      <c r="E328" s="11" t="s">
        <v>28</v>
      </c>
      <c r="F328" s="10" t="s">
        <v>28</v>
      </c>
      <c r="G328" s="10" t="s">
        <v>28</v>
      </c>
      <c r="H328" s="10" t="s">
        <v>28</v>
      </c>
      <c r="I328" s="11" t="s">
        <v>28</v>
      </c>
      <c r="J328" s="11" t="s">
        <v>28</v>
      </c>
      <c r="K328" s="11" t="s">
        <v>28</v>
      </c>
      <c r="L328" s="11" t="s">
        <v>28</v>
      </c>
      <c r="M328" s="11" t="s">
        <v>28</v>
      </c>
      <c r="N328" s="8">
        <v>45543</v>
      </c>
      <c r="O328" s="9" t="s">
        <v>93</v>
      </c>
      <c r="P328" s="12" t="s">
        <v>1329</v>
      </c>
      <c r="Q328" s="9" t="s">
        <v>245</v>
      </c>
      <c r="R328" s="14" t="str">
        <f>HYPERLINK("https://my.pitchbook.com?c=273911-05T","View Company Online")</f>
        <v>View Company Online</v>
      </c>
    </row>
    <row r="329" spans="1:18" hidden="1" x14ac:dyDescent="0.3">
      <c r="A329" s="15" t="s">
        <v>1330</v>
      </c>
      <c r="B329" s="15" t="s">
        <v>1331</v>
      </c>
      <c r="C329" s="18" t="s">
        <v>28</v>
      </c>
      <c r="D329" s="15" t="s">
        <v>1332</v>
      </c>
      <c r="E329" s="18" t="s">
        <v>28</v>
      </c>
      <c r="F329" s="19" t="s">
        <v>28</v>
      </c>
      <c r="G329" s="19" t="s">
        <v>28</v>
      </c>
      <c r="H329" s="19" t="s">
        <v>28</v>
      </c>
      <c r="I329" s="18" t="s">
        <v>28</v>
      </c>
      <c r="J329" s="18" t="s">
        <v>28</v>
      </c>
      <c r="K329" s="18" t="s">
        <v>28</v>
      </c>
      <c r="L329" s="18" t="s">
        <v>28</v>
      </c>
      <c r="M329" s="18" t="s">
        <v>28</v>
      </c>
      <c r="N329" s="17">
        <v>45542</v>
      </c>
      <c r="O329" s="15" t="s">
        <v>173</v>
      </c>
      <c r="P329" s="16" t="s">
        <v>28</v>
      </c>
      <c r="Q329" s="15" t="s">
        <v>174</v>
      </c>
      <c r="R329" s="13" t="str">
        <f>HYPERLINK("https://my.pitchbook.com?c=282508-75T","View Company Online")</f>
        <v>View Company Online</v>
      </c>
    </row>
    <row r="330" spans="1:18" hidden="1" x14ac:dyDescent="0.3">
      <c r="A330" s="9" t="s">
        <v>1333</v>
      </c>
      <c r="B330" s="9" t="s">
        <v>1334</v>
      </c>
      <c r="C330" s="11" t="s">
        <v>28</v>
      </c>
      <c r="D330" s="9" t="s">
        <v>1335</v>
      </c>
      <c r="E330" s="11" t="s">
        <v>28</v>
      </c>
      <c r="F330" s="10" t="s">
        <v>28</v>
      </c>
      <c r="G330" s="10">
        <v>0.36</v>
      </c>
      <c r="H330" s="10" t="s">
        <v>28</v>
      </c>
      <c r="I330" s="11" t="s">
        <v>28</v>
      </c>
      <c r="J330" s="11" t="s">
        <v>28</v>
      </c>
      <c r="K330" s="11" t="s">
        <v>28</v>
      </c>
      <c r="L330" s="11" t="s">
        <v>28</v>
      </c>
      <c r="M330" s="11" t="s">
        <v>28</v>
      </c>
      <c r="N330" s="8">
        <v>45541</v>
      </c>
      <c r="O330" s="9" t="s">
        <v>379</v>
      </c>
      <c r="P330" s="12" t="s">
        <v>28</v>
      </c>
      <c r="Q330" s="9" t="s">
        <v>1336</v>
      </c>
      <c r="R330" s="14" t="str">
        <f>HYPERLINK("https://my.pitchbook.com?c=271445-68T","View Company Online")</f>
        <v>View Company Online</v>
      </c>
    </row>
    <row r="331" spans="1:18" hidden="1" x14ac:dyDescent="0.3">
      <c r="A331" s="15" t="s">
        <v>1337</v>
      </c>
      <c r="B331" s="15" t="s">
        <v>1338</v>
      </c>
      <c r="C331" s="18" t="s">
        <v>28</v>
      </c>
      <c r="D331" s="15" t="s">
        <v>1339</v>
      </c>
      <c r="E331" s="18" t="s">
        <v>28</v>
      </c>
      <c r="F331" s="19" t="s">
        <v>28</v>
      </c>
      <c r="G331" s="19" t="s">
        <v>28</v>
      </c>
      <c r="H331" s="19" t="s">
        <v>28</v>
      </c>
      <c r="I331" s="18" t="s">
        <v>28</v>
      </c>
      <c r="J331" s="18" t="s">
        <v>28</v>
      </c>
      <c r="K331" s="18" t="s">
        <v>28</v>
      </c>
      <c r="L331" s="18" t="s">
        <v>28</v>
      </c>
      <c r="M331" s="18" t="s">
        <v>28</v>
      </c>
      <c r="N331" s="17">
        <v>45541</v>
      </c>
      <c r="O331" s="15" t="s">
        <v>30</v>
      </c>
      <c r="P331" s="16" t="s">
        <v>1340</v>
      </c>
      <c r="Q331" s="15" t="s">
        <v>1341</v>
      </c>
      <c r="R331" s="13" t="str">
        <f>HYPERLINK("https://my.pitchbook.com?c=272108-17T","View Company Online")</f>
        <v>View Company Online</v>
      </c>
    </row>
    <row r="332" spans="1:18" hidden="1" x14ac:dyDescent="0.3">
      <c r="A332" s="9" t="s">
        <v>1342</v>
      </c>
      <c r="B332" s="9" t="s">
        <v>1343</v>
      </c>
      <c r="C332" s="11" t="s">
        <v>28</v>
      </c>
      <c r="D332" s="9" t="s">
        <v>1344</v>
      </c>
      <c r="E332" s="11" t="s">
        <v>28</v>
      </c>
      <c r="F332" s="10" t="s">
        <v>28</v>
      </c>
      <c r="G332" s="10" t="s">
        <v>28</v>
      </c>
      <c r="H332" s="10" t="s">
        <v>28</v>
      </c>
      <c r="I332" s="11" t="s">
        <v>28</v>
      </c>
      <c r="J332" s="11" t="s">
        <v>28</v>
      </c>
      <c r="K332" s="11" t="s">
        <v>28</v>
      </c>
      <c r="L332" s="11" t="s">
        <v>28</v>
      </c>
      <c r="M332" s="11" t="s">
        <v>28</v>
      </c>
      <c r="N332" s="8">
        <v>45540</v>
      </c>
      <c r="O332" s="9" t="s">
        <v>30</v>
      </c>
      <c r="P332" s="12" t="s">
        <v>1345</v>
      </c>
      <c r="Q332" s="9" t="s">
        <v>371</v>
      </c>
      <c r="R332" s="14" t="str">
        <f>HYPERLINK("https://my.pitchbook.com?c=271349-47T","View Company Online")</f>
        <v>View Company Online</v>
      </c>
    </row>
    <row r="333" spans="1:18" hidden="1" x14ac:dyDescent="0.3">
      <c r="A333" s="15" t="s">
        <v>1346</v>
      </c>
      <c r="B333" s="15" t="s">
        <v>1347</v>
      </c>
      <c r="C333" s="18" t="s">
        <v>28</v>
      </c>
      <c r="D333" s="15" t="s">
        <v>1348</v>
      </c>
      <c r="E333" s="18" t="s">
        <v>28</v>
      </c>
      <c r="F333" s="19" t="s">
        <v>28</v>
      </c>
      <c r="G333" s="19" t="s">
        <v>28</v>
      </c>
      <c r="H333" s="19" t="s">
        <v>28</v>
      </c>
      <c r="I333" s="18" t="s">
        <v>28</v>
      </c>
      <c r="J333" s="18" t="s">
        <v>28</v>
      </c>
      <c r="K333" s="18" t="s">
        <v>28</v>
      </c>
      <c r="L333" s="18" t="s">
        <v>28</v>
      </c>
      <c r="M333" s="18" t="s">
        <v>28</v>
      </c>
      <c r="N333" s="17">
        <v>45540</v>
      </c>
      <c r="O333" s="15" t="s">
        <v>52</v>
      </c>
      <c r="P333" s="16" t="s">
        <v>1349</v>
      </c>
      <c r="Q333" s="15" t="s">
        <v>583</v>
      </c>
      <c r="R333" s="13" t="str">
        <f>HYPERLINK("https://my.pitchbook.com?c=271402-03T","View Company Online")</f>
        <v>View Company Online</v>
      </c>
    </row>
    <row r="334" spans="1:18" hidden="1" x14ac:dyDescent="0.3">
      <c r="A334" s="9" t="s">
        <v>1350</v>
      </c>
      <c r="B334" s="9" t="s">
        <v>1351</v>
      </c>
      <c r="C334" s="11" t="s">
        <v>28</v>
      </c>
      <c r="D334" s="9" t="s">
        <v>1352</v>
      </c>
      <c r="E334" s="11" t="s">
        <v>28</v>
      </c>
      <c r="F334" s="10" t="s">
        <v>28</v>
      </c>
      <c r="G334" s="10" t="s">
        <v>28</v>
      </c>
      <c r="H334" s="10" t="s">
        <v>28</v>
      </c>
      <c r="I334" s="11" t="s">
        <v>28</v>
      </c>
      <c r="J334" s="11" t="s">
        <v>28</v>
      </c>
      <c r="K334" s="11" t="s">
        <v>28</v>
      </c>
      <c r="L334" s="11" t="s">
        <v>28</v>
      </c>
      <c r="M334" s="11" t="s">
        <v>28</v>
      </c>
      <c r="N334" s="8">
        <v>45540</v>
      </c>
      <c r="O334" s="9" t="s">
        <v>30</v>
      </c>
      <c r="P334" s="12" t="s">
        <v>151</v>
      </c>
      <c r="Q334" s="9" t="s">
        <v>37</v>
      </c>
      <c r="R334" s="14" t="str">
        <f>HYPERLINK("https://my.pitchbook.com?c=267526-36T","View Company Online")</f>
        <v>View Company Online</v>
      </c>
    </row>
    <row r="335" spans="1:18" hidden="1" x14ac:dyDescent="0.3">
      <c r="A335" s="15" t="s">
        <v>1353</v>
      </c>
      <c r="B335" s="15" t="s">
        <v>1354</v>
      </c>
      <c r="C335" s="18" t="s">
        <v>28</v>
      </c>
      <c r="D335" s="15" t="s">
        <v>1355</v>
      </c>
      <c r="E335" s="18" t="s">
        <v>28</v>
      </c>
      <c r="F335" s="19" t="s">
        <v>28</v>
      </c>
      <c r="G335" s="19" t="s">
        <v>28</v>
      </c>
      <c r="H335" s="19" t="s">
        <v>28</v>
      </c>
      <c r="I335" s="18" t="s">
        <v>28</v>
      </c>
      <c r="J335" s="18" t="s">
        <v>28</v>
      </c>
      <c r="K335" s="18" t="s">
        <v>28</v>
      </c>
      <c r="L335" s="18" t="s">
        <v>28</v>
      </c>
      <c r="M335" s="18" t="s">
        <v>28</v>
      </c>
      <c r="N335" s="17">
        <v>45540</v>
      </c>
      <c r="O335" s="15" t="s">
        <v>30</v>
      </c>
      <c r="P335" s="16" t="s">
        <v>1356</v>
      </c>
      <c r="Q335" s="15" t="s">
        <v>245</v>
      </c>
      <c r="R335" s="13" t="str">
        <f>HYPERLINK("https://my.pitchbook.com?c=272526-13T","View Company Online")</f>
        <v>View Company Online</v>
      </c>
    </row>
    <row r="336" spans="1:18" hidden="1" x14ac:dyDescent="0.3">
      <c r="A336" s="9" t="s">
        <v>1357</v>
      </c>
      <c r="B336" s="9" t="s">
        <v>1358</v>
      </c>
      <c r="C336" s="11" t="s">
        <v>28</v>
      </c>
      <c r="D336" s="9" t="s">
        <v>1359</v>
      </c>
      <c r="E336" s="11" t="s">
        <v>28</v>
      </c>
      <c r="F336" s="10" t="s">
        <v>28</v>
      </c>
      <c r="G336" s="10">
        <v>0.99</v>
      </c>
      <c r="H336" s="10" t="s">
        <v>28</v>
      </c>
      <c r="I336" s="11" t="s">
        <v>28</v>
      </c>
      <c r="J336" s="11" t="s">
        <v>28</v>
      </c>
      <c r="K336" s="11" t="s">
        <v>28</v>
      </c>
      <c r="L336" s="11" t="s">
        <v>28</v>
      </c>
      <c r="M336" s="11" t="s">
        <v>28</v>
      </c>
      <c r="N336" s="8">
        <v>45539</v>
      </c>
      <c r="O336" s="9" t="s">
        <v>73</v>
      </c>
      <c r="P336" s="12" t="s">
        <v>1360</v>
      </c>
      <c r="Q336" s="9" t="s">
        <v>1361</v>
      </c>
      <c r="R336" s="14" t="str">
        <f>HYPERLINK("https://my.pitchbook.com?c=271263-52T","View Company Online")</f>
        <v>View Company Online</v>
      </c>
    </row>
    <row r="337" spans="1:18" hidden="1" x14ac:dyDescent="0.3">
      <c r="A337" s="15" t="s">
        <v>1362</v>
      </c>
      <c r="B337" s="15" t="s">
        <v>1363</v>
      </c>
      <c r="C337" s="18" t="s">
        <v>28</v>
      </c>
      <c r="D337" s="15" t="s">
        <v>1364</v>
      </c>
      <c r="E337" s="18" t="s">
        <v>28</v>
      </c>
      <c r="F337" s="19" t="s">
        <v>28</v>
      </c>
      <c r="G337" s="19" t="s">
        <v>28</v>
      </c>
      <c r="H337" s="19" t="s">
        <v>28</v>
      </c>
      <c r="I337" s="18" t="s">
        <v>28</v>
      </c>
      <c r="J337" s="18" t="s">
        <v>28</v>
      </c>
      <c r="K337" s="18" t="s">
        <v>28</v>
      </c>
      <c r="L337" s="18" t="s">
        <v>28</v>
      </c>
      <c r="M337" s="18" t="s">
        <v>28</v>
      </c>
      <c r="N337" s="17">
        <v>45539</v>
      </c>
      <c r="O337" s="15" t="s">
        <v>30</v>
      </c>
      <c r="P337" s="16" t="s">
        <v>1365</v>
      </c>
      <c r="Q337" s="15" t="s">
        <v>114</v>
      </c>
      <c r="R337" s="13" t="str">
        <f>HYPERLINK("https://my.pitchbook.com?c=272523-25T","View Company Online")</f>
        <v>View Company Online</v>
      </c>
    </row>
    <row r="338" spans="1:18" hidden="1" x14ac:dyDescent="0.3">
      <c r="A338" s="9" t="s">
        <v>1366</v>
      </c>
      <c r="B338" s="9" t="s">
        <v>1367</v>
      </c>
      <c r="C338" s="11" t="s">
        <v>28</v>
      </c>
      <c r="D338" s="9" t="s">
        <v>1368</v>
      </c>
      <c r="E338" s="11" t="s">
        <v>28</v>
      </c>
      <c r="F338" s="10" t="s">
        <v>28</v>
      </c>
      <c r="G338" s="10">
        <v>57.62</v>
      </c>
      <c r="H338" s="10" t="s">
        <v>28</v>
      </c>
      <c r="I338" s="11" t="s">
        <v>28</v>
      </c>
      <c r="J338" s="11" t="s">
        <v>28</v>
      </c>
      <c r="K338" s="11">
        <v>854.69</v>
      </c>
      <c r="L338" s="11" t="s">
        <v>28</v>
      </c>
      <c r="M338" s="11">
        <v>40.340000000000003</v>
      </c>
      <c r="N338" s="8">
        <v>45538</v>
      </c>
      <c r="O338" s="9" t="s">
        <v>159</v>
      </c>
      <c r="P338" s="12" t="s">
        <v>1369</v>
      </c>
      <c r="Q338" s="9" t="s">
        <v>59</v>
      </c>
      <c r="R338" s="14" t="str">
        <f>HYPERLINK("https://my.pitchbook.com?c=271445-59T","View Company Online")</f>
        <v>View Company Online</v>
      </c>
    </row>
    <row r="339" spans="1:18" hidden="1" x14ac:dyDescent="0.3">
      <c r="A339" s="15" t="s">
        <v>1370</v>
      </c>
      <c r="B339" s="15" t="s">
        <v>1371</v>
      </c>
      <c r="C339" s="18" t="s">
        <v>28</v>
      </c>
      <c r="D339" s="15" t="s">
        <v>1372</v>
      </c>
      <c r="E339" s="18" t="s">
        <v>28</v>
      </c>
      <c r="F339" s="19" t="s">
        <v>28</v>
      </c>
      <c r="G339" s="19" t="s">
        <v>28</v>
      </c>
      <c r="H339" s="19" t="s">
        <v>28</v>
      </c>
      <c r="I339" s="18" t="s">
        <v>28</v>
      </c>
      <c r="J339" s="18" t="s">
        <v>28</v>
      </c>
      <c r="K339" s="18" t="s">
        <v>28</v>
      </c>
      <c r="L339" s="18" t="s">
        <v>28</v>
      </c>
      <c r="M339" s="18" t="s">
        <v>28</v>
      </c>
      <c r="N339" s="17">
        <v>45538</v>
      </c>
      <c r="O339" s="15" t="s">
        <v>30</v>
      </c>
      <c r="P339" s="16" t="s">
        <v>1373</v>
      </c>
      <c r="Q339" s="15" t="s">
        <v>1374</v>
      </c>
      <c r="R339" s="13" t="str">
        <f>HYPERLINK("https://my.pitchbook.com?c=273768-04T","View Company Online")</f>
        <v>View Company Online</v>
      </c>
    </row>
    <row r="340" spans="1:18" hidden="1" x14ac:dyDescent="0.3">
      <c r="A340" s="9" t="s">
        <v>1375</v>
      </c>
      <c r="B340" s="9" t="s">
        <v>1376</v>
      </c>
      <c r="C340" s="11" t="s">
        <v>28</v>
      </c>
      <c r="D340" s="9" t="s">
        <v>1377</v>
      </c>
      <c r="E340" s="11" t="s">
        <v>28</v>
      </c>
      <c r="F340" s="10" t="s">
        <v>28</v>
      </c>
      <c r="G340" s="10" t="s">
        <v>28</v>
      </c>
      <c r="H340" s="10" t="s">
        <v>28</v>
      </c>
      <c r="I340" s="11" t="s">
        <v>28</v>
      </c>
      <c r="J340" s="11" t="s">
        <v>28</v>
      </c>
      <c r="K340" s="11" t="s">
        <v>28</v>
      </c>
      <c r="L340" s="11" t="s">
        <v>28</v>
      </c>
      <c r="M340" s="11" t="s">
        <v>28</v>
      </c>
      <c r="N340" s="8">
        <v>45537</v>
      </c>
      <c r="O340" s="9" t="s">
        <v>30</v>
      </c>
      <c r="P340" s="12" t="s">
        <v>1378</v>
      </c>
      <c r="Q340" s="9" t="s">
        <v>975</v>
      </c>
      <c r="R340" s="14" t="str">
        <f>HYPERLINK("https://my.pitchbook.com?c=271046-35T","View Company Online")</f>
        <v>View Company Online</v>
      </c>
    </row>
    <row r="341" spans="1:18" hidden="1" x14ac:dyDescent="0.3">
      <c r="A341" s="15" t="s">
        <v>1379</v>
      </c>
      <c r="B341" s="15" t="s">
        <v>1380</v>
      </c>
      <c r="C341" s="18" t="s">
        <v>28</v>
      </c>
      <c r="D341" s="15" t="s">
        <v>1381</v>
      </c>
      <c r="E341" s="18" t="s">
        <v>28</v>
      </c>
      <c r="F341" s="19" t="s">
        <v>28</v>
      </c>
      <c r="G341" s="19" t="s">
        <v>28</v>
      </c>
      <c r="H341" s="19" t="s">
        <v>28</v>
      </c>
      <c r="I341" s="18" t="s">
        <v>28</v>
      </c>
      <c r="J341" s="18" t="s">
        <v>28</v>
      </c>
      <c r="K341" s="18" t="s">
        <v>28</v>
      </c>
      <c r="L341" s="18" t="s">
        <v>28</v>
      </c>
      <c r="M341" s="18" t="s">
        <v>28</v>
      </c>
      <c r="N341" s="17">
        <v>45536</v>
      </c>
      <c r="O341" s="15" t="s">
        <v>52</v>
      </c>
      <c r="P341" s="16" t="s">
        <v>1290</v>
      </c>
      <c r="Q341" s="15" t="s">
        <v>235</v>
      </c>
      <c r="R341" s="13" t="str">
        <f>HYPERLINK("https://my.pitchbook.com?c=272042-29T","View Company Online")</f>
        <v>View Company Online</v>
      </c>
    </row>
    <row r="342" spans="1:18" hidden="1" x14ac:dyDescent="0.3">
      <c r="A342" s="9" t="s">
        <v>1382</v>
      </c>
      <c r="B342" s="9" t="s">
        <v>1383</v>
      </c>
      <c r="C342" s="11" t="s">
        <v>28</v>
      </c>
      <c r="D342" s="9" t="s">
        <v>1384</v>
      </c>
      <c r="E342" s="11" t="s">
        <v>28</v>
      </c>
      <c r="F342" s="10" t="s">
        <v>28</v>
      </c>
      <c r="G342" s="10" t="s">
        <v>28</v>
      </c>
      <c r="H342" s="10" t="s">
        <v>28</v>
      </c>
      <c r="I342" s="11" t="s">
        <v>28</v>
      </c>
      <c r="J342" s="11" t="s">
        <v>28</v>
      </c>
      <c r="K342" s="11" t="s">
        <v>28</v>
      </c>
      <c r="L342" s="11" t="s">
        <v>28</v>
      </c>
      <c r="M342" s="11" t="s">
        <v>28</v>
      </c>
      <c r="N342" s="8">
        <v>45536</v>
      </c>
      <c r="O342" s="9" t="s">
        <v>41</v>
      </c>
      <c r="P342" s="12" t="s">
        <v>1385</v>
      </c>
      <c r="Q342" s="9" t="s">
        <v>240</v>
      </c>
      <c r="R342" s="14" t="str">
        <f>HYPERLINK("https://my.pitchbook.com?c=296081-65T","View Company Online")</f>
        <v>View Company Online</v>
      </c>
    </row>
    <row r="343" spans="1:18" hidden="1" x14ac:dyDescent="0.3">
      <c r="A343" s="15" t="s">
        <v>1386</v>
      </c>
      <c r="B343" s="15" t="s">
        <v>1387</v>
      </c>
      <c r="C343" s="18" t="s">
        <v>28</v>
      </c>
      <c r="D343" s="15" t="s">
        <v>1388</v>
      </c>
      <c r="E343" s="18">
        <v>20.440000000000001</v>
      </c>
      <c r="F343" s="19" t="s">
        <v>28</v>
      </c>
      <c r="G343" s="19" t="s">
        <v>28</v>
      </c>
      <c r="H343" s="19" t="s">
        <v>28</v>
      </c>
      <c r="I343" s="18">
        <v>72.599999999999994</v>
      </c>
      <c r="J343" s="18" t="s">
        <v>28</v>
      </c>
      <c r="K343" s="18">
        <v>447.75</v>
      </c>
      <c r="L343" s="18" t="s">
        <v>28</v>
      </c>
      <c r="M343" s="18">
        <v>-15.09</v>
      </c>
      <c r="N343" s="17">
        <v>45536</v>
      </c>
      <c r="O343" s="15" t="s">
        <v>30</v>
      </c>
      <c r="P343" s="16" t="s">
        <v>28</v>
      </c>
      <c r="Q343" s="15" t="s">
        <v>169</v>
      </c>
      <c r="R343" s="13" t="str">
        <f>HYPERLINK("https://my.pitchbook.com?c=296732-08T","View Company Online")</f>
        <v>View Company Online</v>
      </c>
    </row>
    <row r="344" spans="1:18" hidden="1" x14ac:dyDescent="0.3">
      <c r="A344" s="9" t="s">
        <v>1389</v>
      </c>
      <c r="B344" s="9" t="s">
        <v>1390</v>
      </c>
      <c r="C344" s="11" t="s">
        <v>28</v>
      </c>
      <c r="D344" s="9" t="s">
        <v>1391</v>
      </c>
      <c r="E344" s="11" t="s">
        <v>28</v>
      </c>
      <c r="F344" s="10" t="s">
        <v>28</v>
      </c>
      <c r="G344" s="10">
        <v>3.6</v>
      </c>
      <c r="H344" s="10" t="s">
        <v>28</v>
      </c>
      <c r="I344" s="11" t="s">
        <v>28</v>
      </c>
      <c r="J344" s="11" t="s">
        <v>28</v>
      </c>
      <c r="K344" s="11" t="s">
        <v>28</v>
      </c>
      <c r="L344" s="11" t="s">
        <v>28</v>
      </c>
      <c r="M344" s="11" t="s">
        <v>28</v>
      </c>
      <c r="N344" s="8">
        <v>45536</v>
      </c>
      <c r="O344" s="9" t="s">
        <v>73</v>
      </c>
      <c r="P344" s="12" t="s">
        <v>1392</v>
      </c>
      <c r="Q344" s="9" t="s">
        <v>114</v>
      </c>
      <c r="R344" s="14" t="str">
        <f>HYPERLINK("https://my.pitchbook.com?c=271559-35T","View Company Online")</f>
        <v>View Company Online</v>
      </c>
    </row>
    <row r="345" spans="1:18" hidden="1" x14ac:dyDescent="0.3">
      <c r="A345" s="15" t="s">
        <v>1393</v>
      </c>
      <c r="B345" s="15" t="s">
        <v>1394</v>
      </c>
      <c r="C345" s="18" t="s">
        <v>28</v>
      </c>
      <c r="D345" s="15" t="s">
        <v>1395</v>
      </c>
      <c r="E345" s="18" t="s">
        <v>28</v>
      </c>
      <c r="F345" s="19" t="s">
        <v>28</v>
      </c>
      <c r="G345" s="19" t="s">
        <v>28</v>
      </c>
      <c r="H345" s="19" t="s">
        <v>28</v>
      </c>
      <c r="I345" s="18" t="s">
        <v>28</v>
      </c>
      <c r="J345" s="18" t="s">
        <v>28</v>
      </c>
      <c r="K345" s="18" t="s">
        <v>28</v>
      </c>
      <c r="L345" s="18" t="s">
        <v>28</v>
      </c>
      <c r="M345" s="18" t="s">
        <v>28</v>
      </c>
      <c r="N345" s="17">
        <v>45536</v>
      </c>
      <c r="O345" s="15" t="s">
        <v>73</v>
      </c>
      <c r="P345" s="16" t="s">
        <v>135</v>
      </c>
      <c r="Q345" s="15" t="s">
        <v>136</v>
      </c>
      <c r="R345" s="13" t="str">
        <f>HYPERLINK("https://my.pitchbook.com?c=272592-55T","View Company Online")</f>
        <v>View Company Online</v>
      </c>
    </row>
    <row r="346" spans="1:18" hidden="1" x14ac:dyDescent="0.3">
      <c r="A346" s="9" t="s">
        <v>1396</v>
      </c>
      <c r="B346" s="9" t="s">
        <v>1397</v>
      </c>
      <c r="C346" s="11" t="s">
        <v>28</v>
      </c>
      <c r="D346" s="9" t="s">
        <v>1398</v>
      </c>
      <c r="E346" s="11" t="s">
        <v>28</v>
      </c>
      <c r="F346" s="10" t="s">
        <v>28</v>
      </c>
      <c r="G346" s="10" t="s">
        <v>28</v>
      </c>
      <c r="H346" s="10" t="s">
        <v>28</v>
      </c>
      <c r="I346" s="11" t="s">
        <v>28</v>
      </c>
      <c r="J346" s="11" t="s">
        <v>28</v>
      </c>
      <c r="K346" s="11" t="s">
        <v>28</v>
      </c>
      <c r="L346" s="11" t="s">
        <v>28</v>
      </c>
      <c r="M346" s="11" t="s">
        <v>28</v>
      </c>
      <c r="N346" s="8">
        <v>45536</v>
      </c>
      <c r="O346" s="9" t="s">
        <v>79</v>
      </c>
      <c r="P346" s="12" t="s">
        <v>1399</v>
      </c>
      <c r="Q346" s="9" t="s">
        <v>37</v>
      </c>
      <c r="R346" s="14" t="str">
        <f>HYPERLINK("https://my.pitchbook.com?c=273738-34T","View Company Online")</f>
        <v>View Company Online</v>
      </c>
    </row>
    <row r="347" spans="1:18" hidden="1" x14ac:dyDescent="0.3">
      <c r="A347" s="15" t="s">
        <v>1400</v>
      </c>
      <c r="B347" s="15" t="s">
        <v>1401</v>
      </c>
      <c r="C347" s="18" t="s">
        <v>28</v>
      </c>
      <c r="D347" s="15" t="s">
        <v>1402</v>
      </c>
      <c r="E347" s="18" t="s">
        <v>28</v>
      </c>
      <c r="F347" s="19">
        <v>6.29</v>
      </c>
      <c r="G347" s="19">
        <v>6.29</v>
      </c>
      <c r="H347" s="19">
        <v>6.29</v>
      </c>
      <c r="I347" s="18" t="s">
        <v>28</v>
      </c>
      <c r="J347" s="18" t="s">
        <v>28</v>
      </c>
      <c r="K347" s="18" t="s">
        <v>28</v>
      </c>
      <c r="L347" s="18" t="s">
        <v>28</v>
      </c>
      <c r="M347" s="18" t="s">
        <v>28</v>
      </c>
      <c r="N347" s="17">
        <v>45536</v>
      </c>
      <c r="O347" s="15" t="s">
        <v>30</v>
      </c>
      <c r="P347" s="16" t="s">
        <v>28</v>
      </c>
      <c r="Q347" s="15" t="s">
        <v>607</v>
      </c>
      <c r="R347" s="13" t="str">
        <f>HYPERLINK("https://my.pitchbook.com?c=295878-79T","View Company Online")</f>
        <v>View Company Online</v>
      </c>
    </row>
    <row r="348" spans="1:18" hidden="1" x14ac:dyDescent="0.3">
      <c r="A348" s="9" t="s">
        <v>1403</v>
      </c>
      <c r="B348" s="9" t="s">
        <v>1404</v>
      </c>
      <c r="C348" s="11" t="s">
        <v>28</v>
      </c>
      <c r="D348" s="9" t="s">
        <v>1405</v>
      </c>
      <c r="E348" s="11" t="s">
        <v>28</v>
      </c>
      <c r="F348" s="10" t="s">
        <v>28</v>
      </c>
      <c r="G348" s="10">
        <v>0.9</v>
      </c>
      <c r="H348" s="10" t="s">
        <v>28</v>
      </c>
      <c r="I348" s="11" t="s">
        <v>28</v>
      </c>
      <c r="J348" s="11" t="s">
        <v>28</v>
      </c>
      <c r="K348" s="11">
        <v>2.37</v>
      </c>
      <c r="L348" s="11" t="s">
        <v>28</v>
      </c>
      <c r="M348" s="11" t="s">
        <v>28</v>
      </c>
      <c r="N348" s="8">
        <v>45534</v>
      </c>
      <c r="O348" s="9" t="s">
        <v>73</v>
      </c>
      <c r="P348" s="12" t="s">
        <v>1406</v>
      </c>
      <c r="Q348" s="9" t="s">
        <v>404</v>
      </c>
      <c r="R348" s="14" t="str">
        <f>HYPERLINK("https://my.pitchbook.com?c=271054-00T","View Company Online")</f>
        <v>View Company Online</v>
      </c>
    </row>
    <row r="349" spans="1:18" hidden="1" x14ac:dyDescent="0.3">
      <c r="A349" s="15" t="s">
        <v>1407</v>
      </c>
      <c r="B349" s="15" t="s">
        <v>1408</v>
      </c>
      <c r="C349" s="18" t="s">
        <v>28</v>
      </c>
      <c r="D349" s="15" t="s">
        <v>1409</v>
      </c>
      <c r="E349" s="18" t="s">
        <v>28</v>
      </c>
      <c r="F349" s="19">
        <v>3.21</v>
      </c>
      <c r="G349" s="19">
        <v>3.21</v>
      </c>
      <c r="H349" s="19">
        <v>3.21</v>
      </c>
      <c r="I349" s="18" t="s">
        <v>28</v>
      </c>
      <c r="J349" s="18" t="s">
        <v>28</v>
      </c>
      <c r="K349" s="18" t="s">
        <v>28</v>
      </c>
      <c r="L349" s="18" t="s">
        <v>28</v>
      </c>
      <c r="M349" s="18" t="s">
        <v>28</v>
      </c>
      <c r="N349" s="17">
        <v>45534</v>
      </c>
      <c r="O349" s="15" t="s">
        <v>41</v>
      </c>
      <c r="P349" s="16" t="s">
        <v>1410</v>
      </c>
      <c r="Q349" s="15" t="s">
        <v>249</v>
      </c>
      <c r="R349" s="13" t="str">
        <f>HYPERLINK("https://my.pitchbook.com?c=271397-71T","View Company Online")</f>
        <v>View Company Online</v>
      </c>
    </row>
    <row r="350" spans="1:18" hidden="1" x14ac:dyDescent="0.3">
      <c r="A350" s="9" t="s">
        <v>1411</v>
      </c>
      <c r="B350" s="9" t="s">
        <v>1412</v>
      </c>
      <c r="C350" s="11" t="s">
        <v>28</v>
      </c>
      <c r="D350" s="9" t="s">
        <v>1413</v>
      </c>
      <c r="E350" s="11" t="s">
        <v>28</v>
      </c>
      <c r="F350" s="10">
        <v>15.86</v>
      </c>
      <c r="G350" s="10">
        <v>15.86</v>
      </c>
      <c r="H350" s="10">
        <v>15.86</v>
      </c>
      <c r="I350" s="11" t="s">
        <v>28</v>
      </c>
      <c r="J350" s="11" t="s">
        <v>28</v>
      </c>
      <c r="K350" s="11" t="s">
        <v>28</v>
      </c>
      <c r="L350" s="11" t="s">
        <v>28</v>
      </c>
      <c r="M350" s="11" t="s">
        <v>28</v>
      </c>
      <c r="N350" s="8">
        <v>45534</v>
      </c>
      <c r="O350" s="9" t="s">
        <v>30</v>
      </c>
      <c r="P350" s="12" t="s">
        <v>813</v>
      </c>
      <c r="Q350" s="9" t="s">
        <v>54</v>
      </c>
      <c r="R350" s="14" t="str">
        <f>HYPERLINK("https://my.pitchbook.com?c=262383-94T","View Company Online")</f>
        <v>View Company Online</v>
      </c>
    </row>
    <row r="351" spans="1:18" hidden="1" x14ac:dyDescent="0.3">
      <c r="A351" s="15" t="s">
        <v>1414</v>
      </c>
      <c r="B351" s="15" t="s">
        <v>1415</v>
      </c>
      <c r="C351" s="18" t="s">
        <v>28</v>
      </c>
      <c r="D351" s="15" t="s">
        <v>1416</v>
      </c>
      <c r="E351" s="18" t="s">
        <v>28</v>
      </c>
      <c r="F351" s="19" t="s">
        <v>28</v>
      </c>
      <c r="G351" s="19" t="s">
        <v>28</v>
      </c>
      <c r="H351" s="19" t="s">
        <v>28</v>
      </c>
      <c r="I351" s="18" t="s">
        <v>28</v>
      </c>
      <c r="J351" s="18" t="s">
        <v>28</v>
      </c>
      <c r="K351" s="18" t="s">
        <v>28</v>
      </c>
      <c r="L351" s="18" t="s">
        <v>28</v>
      </c>
      <c r="M351" s="18" t="s">
        <v>28</v>
      </c>
      <c r="N351" s="17">
        <v>45534</v>
      </c>
      <c r="O351" s="15" t="s">
        <v>30</v>
      </c>
      <c r="P351" s="16" t="s">
        <v>56</v>
      </c>
      <c r="Q351" s="15" t="s">
        <v>240</v>
      </c>
      <c r="R351" s="13" t="str">
        <f>HYPERLINK("https://my.pitchbook.com?c=251401-87T","View Company Online")</f>
        <v>View Company Online</v>
      </c>
    </row>
    <row r="352" spans="1:18" hidden="1" x14ac:dyDescent="0.3">
      <c r="A352" s="9" t="s">
        <v>1417</v>
      </c>
      <c r="B352" s="9" t="s">
        <v>1418</v>
      </c>
      <c r="C352" s="11" t="s">
        <v>28</v>
      </c>
      <c r="D352" s="9" t="s">
        <v>1419</v>
      </c>
      <c r="E352" s="11" t="s">
        <v>28</v>
      </c>
      <c r="F352" s="10" t="s">
        <v>28</v>
      </c>
      <c r="G352" s="10">
        <v>1.98</v>
      </c>
      <c r="H352" s="10" t="s">
        <v>28</v>
      </c>
      <c r="I352" s="11" t="s">
        <v>28</v>
      </c>
      <c r="J352" s="11" t="s">
        <v>28</v>
      </c>
      <c r="K352" s="11" t="s">
        <v>28</v>
      </c>
      <c r="L352" s="11" t="s">
        <v>28</v>
      </c>
      <c r="M352" s="11" t="s">
        <v>28</v>
      </c>
      <c r="N352" s="8">
        <v>45534</v>
      </c>
      <c r="O352" s="9" t="s">
        <v>73</v>
      </c>
      <c r="P352" s="12" t="s">
        <v>1420</v>
      </c>
      <c r="Q352" s="9" t="s">
        <v>37</v>
      </c>
      <c r="R352" s="14" t="str">
        <f>HYPERLINK("https://my.pitchbook.com?c=272473-75T","View Company Online")</f>
        <v>View Company Online</v>
      </c>
    </row>
    <row r="353" spans="1:18" hidden="1" x14ac:dyDescent="0.3">
      <c r="A353" s="15" t="s">
        <v>1421</v>
      </c>
      <c r="B353" s="15" t="s">
        <v>1422</v>
      </c>
      <c r="C353" s="18" t="s">
        <v>28</v>
      </c>
      <c r="D353" s="15" t="s">
        <v>1423</v>
      </c>
      <c r="E353" s="18" t="s">
        <v>28</v>
      </c>
      <c r="F353" s="19" t="s">
        <v>28</v>
      </c>
      <c r="G353" s="19" t="s">
        <v>28</v>
      </c>
      <c r="H353" s="19" t="s">
        <v>28</v>
      </c>
      <c r="I353" s="18" t="s">
        <v>28</v>
      </c>
      <c r="J353" s="18" t="s">
        <v>28</v>
      </c>
      <c r="K353" s="18" t="s">
        <v>28</v>
      </c>
      <c r="L353" s="18" t="s">
        <v>28</v>
      </c>
      <c r="M353" s="18" t="s">
        <v>28</v>
      </c>
      <c r="N353" s="17">
        <v>45534</v>
      </c>
      <c r="O353" s="15" t="s">
        <v>30</v>
      </c>
      <c r="P353" s="16" t="s">
        <v>1424</v>
      </c>
      <c r="Q353" s="15" t="s">
        <v>75</v>
      </c>
      <c r="R353" s="13" t="str">
        <f>HYPERLINK("https://my.pitchbook.com?c=272456-47T","View Company Online")</f>
        <v>View Company Online</v>
      </c>
    </row>
    <row r="354" spans="1:18" hidden="1" x14ac:dyDescent="0.3">
      <c r="A354" s="9" t="s">
        <v>1425</v>
      </c>
      <c r="B354" s="9" t="s">
        <v>1426</v>
      </c>
      <c r="C354" s="11" t="s">
        <v>28</v>
      </c>
      <c r="D354" s="9" t="s">
        <v>1427</v>
      </c>
      <c r="E354" s="11" t="s">
        <v>28</v>
      </c>
      <c r="F354" s="10" t="s">
        <v>28</v>
      </c>
      <c r="G354" s="10" t="s">
        <v>28</v>
      </c>
      <c r="H354" s="10" t="s">
        <v>28</v>
      </c>
      <c r="I354" s="11" t="s">
        <v>28</v>
      </c>
      <c r="J354" s="11" t="s">
        <v>28</v>
      </c>
      <c r="K354" s="11" t="s">
        <v>28</v>
      </c>
      <c r="L354" s="11" t="s">
        <v>28</v>
      </c>
      <c r="M354" s="11" t="s">
        <v>28</v>
      </c>
      <c r="N354" s="8">
        <v>45534</v>
      </c>
      <c r="O354" s="9" t="s">
        <v>99</v>
      </c>
      <c r="P354" s="12" t="s">
        <v>611</v>
      </c>
      <c r="Q354" s="9" t="s">
        <v>75</v>
      </c>
      <c r="R354" s="14" t="str">
        <f>HYPERLINK("https://my.pitchbook.com?c=270394-21T","View Company Online")</f>
        <v>View Company Online</v>
      </c>
    </row>
    <row r="355" spans="1:18" hidden="1" x14ac:dyDescent="0.3">
      <c r="A355" s="15" t="s">
        <v>1428</v>
      </c>
      <c r="B355" s="15" t="s">
        <v>1429</v>
      </c>
      <c r="C355" s="18" t="s">
        <v>28</v>
      </c>
      <c r="D355" s="15" t="s">
        <v>1430</v>
      </c>
      <c r="E355" s="18" t="s">
        <v>28</v>
      </c>
      <c r="F355" s="19" t="s">
        <v>28</v>
      </c>
      <c r="G355" s="19" t="s">
        <v>28</v>
      </c>
      <c r="H355" s="19" t="s">
        <v>28</v>
      </c>
      <c r="I355" s="18" t="s">
        <v>28</v>
      </c>
      <c r="J355" s="18" t="s">
        <v>28</v>
      </c>
      <c r="K355" s="18" t="s">
        <v>28</v>
      </c>
      <c r="L355" s="18" t="s">
        <v>28</v>
      </c>
      <c r="M355" s="18" t="s">
        <v>28</v>
      </c>
      <c r="N355" s="17">
        <v>45534</v>
      </c>
      <c r="O355" s="15" t="s">
        <v>99</v>
      </c>
      <c r="P355" s="16" t="s">
        <v>28</v>
      </c>
      <c r="Q355" s="15" t="s">
        <v>75</v>
      </c>
      <c r="R355" s="13" t="str">
        <f>HYPERLINK("https://my.pitchbook.com?c=271015-75T","View Company Online")</f>
        <v>View Company Online</v>
      </c>
    </row>
    <row r="356" spans="1:18" hidden="1" x14ac:dyDescent="0.3">
      <c r="A356" s="9" t="s">
        <v>1431</v>
      </c>
      <c r="B356" s="9" t="s">
        <v>1432</v>
      </c>
      <c r="C356" s="11" t="s">
        <v>28</v>
      </c>
      <c r="D356" s="9" t="s">
        <v>1433</v>
      </c>
      <c r="E356" s="11" t="s">
        <v>28</v>
      </c>
      <c r="F356" s="10" t="s">
        <v>28</v>
      </c>
      <c r="G356" s="10" t="s">
        <v>28</v>
      </c>
      <c r="H356" s="10" t="s">
        <v>28</v>
      </c>
      <c r="I356" s="11" t="s">
        <v>28</v>
      </c>
      <c r="J356" s="11" t="s">
        <v>28</v>
      </c>
      <c r="K356" s="11" t="s">
        <v>28</v>
      </c>
      <c r="L356" s="11" t="s">
        <v>28</v>
      </c>
      <c r="M356" s="11" t="s">
        <v>28</v>
      </c>
      <c r="N356" s="8">
        <v>45534</v>
      </c>
      <c r="O356" s="9" t="s">
        <v>30</v>
      </c>
      <c r="P356" s="12" t="s">
        <v>1434</v>
      </c>
      <c r="Q356" s="9" t="s">
        <v>136</v>
      </c>
      <c r="R356" s="14" t="str">
        <f>HYPERLINK("https://my.pitchbook.com?c=270975-34T","View Company Online")</f>
        <v>View Company Online</v>
      </c>
    </row>
    <row r="357" spans="1:18" hidden="1" x14ac:dyDescent="0.3">
      <c r="A357" s="15" t="s">
        <v>1435</v>
      </c>
      <c r="B357" s="15" t="s">
        <v>1436</v>
      </c>
      <c r="C357" s="18" t="s">
        <v>28</v>
      </c>
      <c r="D357" s="15" t="s">
        <v>1437</v>
      </c>
      <c r="E357" s="18" t="s">
        <v>28</v>
      </c>
      <c r="F357" s="19" t="s">
        <v>28</v>
      </c>
      <c r="G357" s="19">
        <v>0.21</v>
      </c>
      <c r="H357" s="19" t="s">
        <v>28</v>
      </c>
      <c r="I357" s="18" t="s">
        <v>28</v>
      </c>
      <c r="J357" s="18" t="s">
        <v>28</v>
      </c>
      <c r="K357" s="18" t="s">
        <v>28</v>
      </c>
      <c r="L357" s="18" t="s">
        <v>28</v>
      </c>
      <c r="M357" s="18" t="s">
        <v>28</v>
      </c>
      <c r="N357" s="17">
        <v>45533</v>
      </c>
      <c r="O357" s="15" t="s">
        <v>79</v>
      </c>
      <c r="P357" s="16" t="s">
        <v>1438</v>
      </c>
      <c r="Q357" s="15" t="s">
        <v>75</v>
      </c>
      <c r="R357" s="13" t="str">
        <f>HYPERLINK("https://my.pitchbook.com?c=274172-41T","View Company Online")</f>
        <v>View Company Online</v>
      </c>
    </row>
    <row r="358" spans="1:18" hidden="1" x14ac:dyDescent="0.3">
      <c r="A358" s="9" t="s">
        <v>1439</v>
      </c>
      <c r="B358" s="9" t="s">
        <v>1440</v>
      </c>
      <c r="C358" s="11" t="s">
        <v>28</v>
      </c>
      <c r="D358" s="9" t="s">
        <v>1441</v>
      </c>
      <c r="E358" s="11" t="s">
        <v>28</v>
      </c>
      <c r="F358" s="10" t="s">
        <v>28</v>
      </c>
      <c r="G358" s="10" t="s">
        <v>28</v>
      </c>
      <c r="H358" s="10" t="s">
        <v>28</v>
      </c>
      <c r="I358" s="11" t="s">
        <v>28</v>
      </c>
      <c r="J358" s="11" t="s">
        <v>28</v>
      </c>
      <c r="K358" s="11" t="s">
        <v>28</v>
      </c>
      <c r="L358" s="11" t="s">
        <v>28</v>
      </c>
      <c r="M358" s="11" t="s">
        <v>28</v>
      </c>
      <c r="N358" s="8">
        <v>45533</v>
      </c>
      <c r="O358" s="9" t="s">
        <v>30</v>
      </c>
      <c r="P358" s="12" t="s">
        <v>1442</v>
      </c>
      <c r="Q358" s="9" t="s">
        <v>75</v>
      </c>
      <c r="R358" s="14" t="str">
        <f>HYPERLINK("https://my.pitchbook.com?c=272546-02T","View Company Online")</f>
        <v>View Company Online</v>
      </c>
    </row>
    <row r="359" spans="1:18" hidden="1" x14ac:dyDescent="0.3">
      <c r="A359" s="15" t="s">
        <v>1443</v>
      </c>
      <c r="B359" s="15" t="s">
        <v>1444</v>
      </c>
      <c r="C359" s="18" t="s">
        <v>28</v>
      </c>
      <c r="D359" s="15" t="s">
        <v>1445</v>
      </c>
      <c r="E359" s="18" t="s">
        <v>28</v>
      </c>
      <c r="F359" s="19" t="s">
        <v>28</v>
      </c>
      <c r="G359" s="19">
        <v>4.49</v>
      </c>
      <c r="H359" s="19" t="s">
        <v>28</v>
      </c>
      <c r="I359" s="18" t="s">
        <v>28</v>
      </c>
      <c r="J359" s="18" t="s">
        <v>28</v>
      </c>
      <c r="K359" s="18">
        <v>365.6</v>
      </c>
      <c r="L359" s="18" t="s">
        <v>28</v>
      </c>
      <c r="M359" s="18" t="s">
        <v>28</v>
      </c>
      <c r="N359" s="17">
        <v>45533</v>
      </c>
      <c r="O359" s="15" t="s">
        <v>93</v>
      </c>
      <c r="P359" s="16" t="s">
        <v>28</v>
      </c>
      <c r="Q359" s="15" t="s">
        <v>245</v>
      </c>
      <c r="R359" s="13" t="str">
        <f>HYPERLINK("https://my.pitchbook.com?c=277760-26T","View Company Online")</f>
        <v>View Company Online</v>
      </c>
    </row>
    <row r="360" spans="1:18" hidden="1" x14ac:dyDescent="0.3">
      <c r="A360" s="9" t="s">
        <v>1446</v>
      </c>
      <c r="B360" s="9" t="s">
        <v>1447</v>
      </c>
      <c r="C360" s="11" t="s">
        <v>28</v>
      </c>
      <c r="D360" s="9" t="s">
        <v>1448</v>
      </c>
      <c r="E360" s="11" t="s">
        <v>28</v>
      </c>
      <c r="F360" s="10">
        <v>4</v>
      </c>
      <c r="G360" s="10">
        <v>4</v>
      </c>
      <c r="H360" s="10">
        <v>4</v>
      </c>
      <c r="I360" s="11" t="s">
        <v>28</v>
      </c>
      <c r="J360" s="11" t="s">
        <v>28</v>
      </c>
      <c r="K360" s="11">
        <v>5.54</v>
      </c>
      <c r="L360" s="11">
        <v>0.72</v>
      </c>
      <c r="M360" s="11" t="s">
        <v>28</v>
      </c>
      <c r="N360" s="8">
        <v>45533</v>
      </c>
      <c r="O360" s="9" t="s">
        <v>30</v>
      </c>
      <c r="P360" s="12" t="s">
        <v>1449</v>
      </c>
      <c r="Q360" s="9" t="s">
        <v>75</v>
      </c>
      <c r="R360" s="14" t="str">
        <f>HYPERLINK("https://my.pitchbook.com?c=271059-58T","View Company Online")</f>
        <v>View Company Online</v>
      </c>
    </row>
    <row r="361" spans="1:18" hidden="1" x14ac:dyDescent="0.3">
      <c r="A361" s="15" t="s">
        <v>1450</v>
      </c>
      <c r="B361" s="15" t="s">
        <v>1451</v>
      </c>
      <c r="C361" s="18" t="s">
        <v>28</v>
      </c>
      <c r="D361" s="15" t="s">
        <v>1452</v>
      </c>
      <c r="E361" s="18" t="s">
        <v>28</v>
      </c>
      <c r="F361" s="19" t="s">
        <v>28</v>
      </c>
      <c r="G361" s="19" t="s">
        <v>28</v>
      </c>
      <c r="H361" s="19" t="s">
        <v>28</v>
      </c>
      <c r="I361" s="18" t="s">
        <v>28</v>
      </c>
      <c r="J361" s="18" t="s">
        <v>28</v>
      </c>
      <c r="K361" s="18" t="s">
        <v>28</v>
      </c>
      <c r="L361" s="18" t="s">
        <v>28</v>
      </c>
      <c r="M361" s="18" t="s">
        <v>28</v>
      </c>
      <c r="N361" s="17">
        <v>45531</v>
      </c>
      <c r="O361" s="15" t="s">
        <v>52</v>
      </c>
      <c r="P361" s="16" t="s">
        <v>1453</v>
      </c>
      <c r="Q361" s="15" t="s">
        <v>75</v>
      </c>
      <c r="R361" s="13" t="str">
        <f>HYPERLINK("https://my.pitchbook.com?c=277449-22T","View Company Online")</f>
        <v>View Company Online</v>
      </c>
    </row>
    <row r="362" spans="1:18" hidden="1" x14ac:dyDescent="0.3">
      <c r="A362" s="9" t="s">
        <v>1454</v>
      </c>
      <c r="B362" s="9" t="s">
        <v>1455</v>
      </c>
      <c r="C362" s="11" t="s">
        <v>28</v>
      </c>
      <c r="D362" s="9" t="s">
        <v>1456</v>
      </c>
      <c r="E362" s="11" t="s">
        <v>28</v>
      </c>
      <c r="F362" s="10" t="s">
        <v>28</v>
      </c>
      <c r="G362" s="10" t="s">
        <v>28</v>
      </c>
      <c r="H362" s="10" t="s">
        <v>28</v>
      </c>
      <c r="I362" s="11" t="s">
        <v>28</v>
      </c>
      <c r="J362" s="11" t="s">
        <v>28</v>
      </c>
      <c r="K362" s="11" t="s">
        <v>28</v>
      </c>
      <c r="L362" s="11" t="s">
        <v>28</v>
      </c>
      <c r="M362" s="11" t="s">
        <v>28</v>
      </c>
      <c r="N362" s="8">
        <v>45531</v>
      </c>
      <c r="O362" s="9" t="s">
        <v>30</v>
      </c>
      <c r="P362" s="12" t="s">
        <v>1457</v>
      </c>
      <c r="Q362" s="9" t="s">
        <v>245</v>
      </c>
      <c r="R362" s="14" t="str">
        <f>HYPERLINK("https://my.pitchbook.com?c=272567-08T","View Company Online")</f>
        <v>View Company Online</v>
      </c>
    </row>
    <row r="363" spans="1:18" hidden="1" x14ac:dyDescent="0.3">
      <c r="A363" s="15" t="s">
        <v>1458</v>
      </c>
      <c r="B363" s="15" t="s">
        <v>1459</v>
      </c>
      <c r="C363" s="18" t="s">
        <v>28</v>
      </c>
      <c r="D363" s="15" t="s">
        <v>1460</v>
      </c>
      <c r="E363" s="18" t="s">
        <v>28</v>
      </c>
      <c r="F363" s="19" t="s">
        <v>28</v>
      </c>
      <c r="G363" s="19">
        <v>2.69</v>
      </c>
      <c r="H363" s="19">
        <v>8.15</v>
      </c>
      <c r="I363" s="18" t="s">
        <v>28</v>
      </c>
      <c r="J363" s="18" t="s">
        <v>28</v>
      </c>
      <c r="K363" s="18" t="s">
        <v>28</v>
      </c>
      <c r="L363" s="18" t="s">
        <v>28</v>
      </c>
      <c r="M363" s="18" t="s">
        <v>28</v>
      </c>
      <c r="N363" s="17">
        <v>45531</v>
      </c>
      <c r="O363" s="15" t="s">
        <v>58</v>
      </c>
      <c r="P363" s="16" t="s">
        <v>1461</v>
      </c>
      <c r="Q363" s="15" t="s">
        <v>449</v>
      </c>
      <c r="R363" s="13" t="str">
        <f>HYPERLINK("https://my.pitchbook.com?c=272541-25T","View Company Online")</f>
        <v>View Company Online</v>
      </c>
    </row>
    <row r="364" spans="1:18" hidden="1" x14ac:dyDescent="0.3">
      <c r="A364" s="9" t="s">
        <v>1462</v>
      </c>
      <c r="B364" s="9" t="s">
        <v>1463</v>
      </c>
      <c r="C364" s="11" t="s">
        <v>28</v>
      </c>
      <c r="D364" s="9" t="s">
        <v>1464</v>
      </c>
      <c r="E364" s="11" t="s">
        <v>28</v>
      </c>
      <c r="F364" s="10" t="s">
        <v>28</v>
      </c>
      <c r="G364" s="10" t="s">
        <v>28</v>
      </c>
      <c r="H364" s="10" t="s">
        <v>28</v>
      </c>
      <c r="I364" s="11" t="s">
        <v>28</v>
      </c>
      <c r="J364" s="11" t="s">
        <v>28</v>
      </c>
      <c r="K364" s="11" t="s">
        <v>28</v>
      </c>
      <c r="L364" s="11" t="s">
        <v>28</v>
      </c>
      <c r="M364" s="11" t="s">
        <v>28</v>
      </c>
      <c r="N364" s="8">
        <v>45531</v>
      </c>
      <c r="O364" s="9" t="s">
        <v>41</v>
      </c>
      <c r="P364" s="12" t="s">
        <v>1465</v>
      </c>
      <c r="Q364" s="9" t="s">
        <v>75</v>
      </c>
      <c r="R364" s="14" t="str">
        <f>HYPERLINK("https://my.pitchbook.com?c=270787-96T","View Company Online")</f>
        <v>View Company Online</v>
      </c>
    </row>
    <row r="365" spans="1:18" hidden="1" x14ac:dyDescent="0.3">
      <c r="A365" s="15" t="s">
        <v>1466</v>
      </c>
      <c r="B365" s="15" t="s">
        <v>1467</v>
      </c>
      <c r="C365" s="18" t="s">
        <v>28</v>
      </c>
      <c r="D365" s="15" t="s">
        <v>1468</v>
      </c>
      <c r="E365" s="18" t="s">
        <v>28</v>
      </c>
      <c r="F365" s="19" t="s">
        <v>28</v>
      </c>
      <c r="G365" s="19" t="s">
        <v>28</v>
      </c>
      <c r="H365" s="19" t="s">
        <v>28</v>
      </c>
      <c r="I365" s="18" t="s">
        <v>28</v>
      </c>
      <c r="J365" s="18" t="s">
        <v>28</v>
      </c>
      <c r="K365" s="18" t="s">
        <v>28</v>
      </c>
      <c r="L365" s="18" t="s">
        <v>28</v>
      </c>
      <c r="M365" s="18" t="s">
        <v>28</v>
      </c>
      <c r="N365" s="17">
        <v>45530</v>
      </c>
      <c r="O365" s="15" t="s">
        <v>173</v>
      </c>
      <c r="P365" s="16" t="s">
        <v>28</v>
      </c>
      <c r="Q365" s="15" t="s">
        <v>174</v>
      </c>
      <c r="R365" s="13" t="str">
        <f>HYPERLINK("https://my.pitchbook.com?c=271050-40T","View Company Online")</f>
        <v>View Company Online</v>
      </c>
    </row>
    <row r="366" spans="1:18" hidden="1" x14ac:dyDescent="0.3">
      <c r="A366" s="9" t="s">
        <v>1469</v>
      </c>
      <c r="B366" s="9" t="s">
        <v>1470</v>
      </c>
      <c r="C366" s="11" t="s">
        <v>28</v>
      </c>
      <c r="D366" s="9" t="s">
        <v>1471</v>
      </c>
      <c r="E366" s="11" t="s">
        <v>28</v>
      </c>
      <c r="F366" s="10" t="s">
        <v>28</v>
      </c>
      <c r="G366" s="10" t="s">
        <v>28</v>
      </c>
      <c r="H366" s="10" t="s">
        <v>28</v>
      </c>
      <c r="I366" s="11" t="s">
        <v>28</v>
      </c>
      <c r="J366" s="11" t="s">
        <v>28</v>
      </c>
      <c r="K366" s="11" t="s">
        <v>28</v>
      </c>
      <c r="L366" s="11" t="s">
        <v>28</v>
      </c>
      <c r="M366" s="11" t="s">
        <v>28</v>
      </c>
      <c r="N366" s="8">
        <v>45530</v>
      </c>
      <c r="O366" s="9" t="s">
        <v>73</v>
      </c>
      <c r="P366" s="12" t="s">
        <v>1472</v>
      </c>
      <c r="Q366" s="9" t="s">
        <v>136</v>
      </c>
      <c r="R366" s="14" t="str">
        <f>HYPERLINK("https://my.pitchbook.com?c=270639-73T","View Company Online")</f>
        <v>View Company Online</v>
      </c>
    </row>
    <row r="367" spans="1:18" hidden="1" x14ac:dyDescent="0.3">
      <c r="A367" s="15" t="s">
        <v>1473</v>
      </c>
      <c r="B367" s="15" t="s">
        <v>1474</v>
      </c>
      <c r="C367" s="18" t="s">
        <v>28</v>
      </c>
      <c r="D367" s="15" t="s">
        <v>1475</v>
      </c>
      <c r="E367" s="18" t="s">
        <v>28</v>
      </c>
      <c r="F367" s="19">
        <v>4.47</v>
      </c>
      <c r="G367" s="19">
        <v>4.47</v>
      </c>
      <c r="H367" s="19">
        <v>4.47</v>
      </c>
      <c r="I367" s="18" t="s">
        <v>28</v>
      </c>
      <c r="J367" s="18" t="s">
        <v>28</v>
      </c>
      <c r="K367" s="18" t="s">
        <v>28</v>
      </c>
      <c r="L367" s="18" t="s">
        <v>28</v>
      </c>
      <c r="M367" s="18" t="s">
        <v>28</v>
      </c>
      <c r="N367" s="17">
        <v>45527</v>
      </c>
      <c r="O367" s="15" t="s">
        <v>30</v>
      </c>
      <c r="P367" s="16" t="s">
        <v>1476</v>
      </c>
      <c r="Q367" s="15" t="s">
        <v>119</v>
      </c>
      <c r="R367" s="13" t="str">
        <f>HYPERLINK("https://my.pitchbook.com?c=274092-22T","View Company Online")</f>
        <v>View Company Online</v>
      </c>
    </row>
    <row r="368" spans="1:18" hidden="1" x14ac:dyDescent="0.3">
      <c r="A368" s="9" t="s">
        <v>1477</v>
      </c>
      <c r="B368" s="9" t="s">
        <v>1478</v>
      </c>
      <c r="C368" s="11" t="s">
        <v>28</v>
      </c>
      <c r="D368" s="9" t="s">
        <v>1479</v>
      </c>
      <c r="E368" s="11" t="s">
        <v>28</v>
      </c>
      <c r="F368" s="10" t="s">
        <v>28</v>
      </c>
      <c r="G368" s="10">
        <v>9</v>
      </c>
      <c r="H368" s="10" t="s">
        <v>28</v>
      </c>
      <c r="I368" s="11" t="s">
        <v>28</v>
      </c>
      <c r="J368" s="11" t="s">
        <v>28</v>
      </c>
      <c r="K368" s="11" t="s">
        <v>28</v>
      </c>
      <c r="L368" s="11" t="s">
        <v>28</v>
      </c>
      <c r="M368" s="11" t="s">
        <v>28</v>
      </c>
      <c r="N368" s="8">
        <v>45527</v>
      </c>
      <c r="O368" s="9" t="s">
        <v>99</v>
      </c>
      <c r="P368" s="12" t="s">
        <v>28</v>
      </c>
      <c r="Q368" s="9" t="s">
        <v>75</v>
      </c>
      <c r="R368" s="14" t="str">
        <f>HYPERLINK("https://my.pitchbook.com?c=270593-92T","View Company Online")</f>
        <v>View Company Online</v>
      </c>
    </row>
    <row r="369" spans="1:18" hidden="1" x14ac:dyDescent="0.3">
      <c r="A369" s="15" t="s">
        <v>1480</v>
      </c>
      <c r="B369" s="15" t="s">
        <v>1481</v>
      </c>
      <c r="C369" s="18" t="s">
        <v>28</v>
      </c>
      <c r="D369" s="15" t="s">
        <v>1482</v>
      </c>
      <c r="E369" s="18" t="s">
        <v>28</v>
      </c>
      <c r="F369" s="19">
        <v>67.22</v>
      </c>
      <c r="G369" s="19">
        <v>67.22</v>
      </c>
      <c r="H369" s="19">
        <v>67.22</v>
      </c>
      <c r="I369" s="18" t="s">
        <v>28</v>
      </c>
      <c r="J369" s="18" t="s">
        <v>28</v>
      </c>
      <c r="K369" s="18" t="s">
        <v>28</v>
      </c>
      <c r="L369" s="18" t="s">
        <v>28</v>
      </c>
      <c r="M369" s="18" t="s">
        <v>28</v>
      </c>
      <c r="N369" s="17">
        <v>45527</v>
      </c>
      <c r="O369" s="15" t="s">
        <v>30</v>
      </c>
      <c r="P369" s="16" t="s">
        <v>1483</v>
      </c>
      <c r="Q369" s="15" t="s">
        <v>692</v>
      </c>
      <c r="R369" s="13" t="str">
        <f>HYPERLINK("https://my.pitchbook.com?c=270447-31T","View Company Online")</f>
        <v>View Company Online</v>
      </c>
    </row>
    <row r="370" spans="1:18" hidden="1" x14ac:dyDescent="0.3">
      <c r="A370" s="9" t="s">
        <v>1484</v>
      </c>
      <c r="B370" s="9" t="s">
        <v>1485</v>
      </c>
      <c r="C370" s="11" t="s">
        <v>28</v>
      </c>
      <c r="D370" s="9" t="s">
        <v>1486</v>
      </c>
      <c r="E370" s="11" t="s">
        <v>28</v>
      </c>
      <c r="F370" s="10" t="s">
        <v>28</v>
      </c>
      <c r="G370" s="10" t="s">
        <v>28</v>
      </c>
      <c r="H370" s="10" t="s">
        <v>28</v>
      </c>
      <c r="I370" s="11" t="s">
        <v>28</v>
      </c>
      <c r="J370" s="11" t="s">
        <v>28</v>
      </c>
      <c r="K370" s="11" t="s">
        <v>28</v>
      </c>
      <c r="L370" s="11" t="s">
        <v>28</v>
      </c>
      <c r="M370" s="11" t="s">
        <v>28</v>
      </c>
      <c r="N370" s="8">
        <v>45527</v>
      </c>
      <c r="O370" s="9" t="s">
        <v>30</v>
      </c>
      <c r="P370" s="12" t="s">
        <v>1483</v>
      </c>
      <c r="Q370" s="9" t="s">
        <v>692</v>
      </c>
      <c r="R370" s="14" t="str">
        <f>HYPERLINK("https://my.pitchbook.com?c=272513-26T","View Company Online")</f>
        <v>View Company Online</v>
      </c>
    </row>
    <row r="371" spans="1:18" hidden="1" x14ac:dyDescent="0.3">
      <c r="A371" s="15" t="s">
        <v>1487</v>
      </c>
      <c r="B371" s="15" t="s">
        <v>1488</v>
      </c>
      <c r="C371" s="18" t="s">
        <v>28</v>
      </c>
      <c r="D371" s="15" t="s">
        <v>1489</v>
      </c>
      <c r="E371" s="18" t="s">
        <v>28</v>
      </c>
      <c r="F371" s="19" t="s">
        <v>28</v>
      </c>
      <c r="G371" s="19" t="s">
        <v>28</v>
      </c>
      <c r="H371" s="19" t="s">
        <v>28</v>
      </c>
      <c r="I371" s="18" t="s">
        <v>28</v>
      </c>
      <c r="J371" s="18" t="s">
        <v>28</v>
      </c>
      <c r="K371" s="18">
        <v>19.75</v>
      </c>
      <c r="L371" s="18" t="s">
        <v>28</v>
      </c>
      <c r="M371" s="18" t="s">
        <v>28</v>
      </c>
      <c r="N371" s="17">
        <v>45527</v>
      </c>
      <c r="O371" s="15" t="s">
        <v>41</v>
      </c>
      <c r="P371" s="16" t="s">
        <v>1490</v>
      </c>
      <c r="Q371" s="15" t="s">
        <v>616</v>
      </c>
      <c r="R371" s="13" t="str">
        <f>HYPERLINK("https://my.pitchbook.com?c=270469-99T","View Company Online")</f>
        <v>View Company Online</v>
      </c>
    </row>
    <row r="372" spans="1:18" hidden="1" x14ac:dyDescent="0.3">
      <c r="A372" s="9" t="s">
        <v>1491</v>
      </c>
      <c r="B372" s="9" t="s">
        <v>1492</v>
      </c>
      <c r="C372" s="11" t="s">
        <v>28</v>
      </c>
      <c r="D372" s="9" t="s">
        <v>1493</v>
      </c>
      <c r="E372" s="11" t="s">
        <v>28</v>
      </c>
      <c r="F372" s="10" t="s">
        <v>28</v>
      </c>
      <c r="G372" s="10">
        <v>1.2</v>
      </c>
      <c r="H372" s="10" t="s">
        <v>28</v>
      </c>
      <c r="I372" s="11" t="s">
        <v>28</v>
      </c>
      <c r="J372" s="11" t="s">
        <v>28</v>
      </c>
      <c r="K372" s="11" t="s">
        <v>28</v>
      </c>
      <c r="L372" s="11" t="s">
        <v>28</v>
      </c>
      <c r="M372" s="11" t="s">
        <v>28</v>
      </c>
      <c r="N372" s="8">
        <v>45527</v>
      </c>
      <c r="O372" s="9" t="s">
        <v>99</v>
      </c>
      <c r="P372" s="12" t="s">
        <v>1494</v>
      </c>
      <c r="Q372" s="9" t="s">
        <v>75</v>
      </c>
      <c r="R372" s="14" t="str">
        <f>HYPERLINK("https://my.pitchbook.com?c=254418-76T","View Company Online")</f>
        <v>View Company Online</v>
      </c>
    </row>
    <row r="373" spans="1:18" hidden="1" x14ac:dyDescent="0.3">
      <c r="A373" s="15" t="s">
        <v>1495</v>
      </c>
      <c r="B373" s="15" t="s">
        <v>1496</v>
      </c>
      <c r="C373" s="18" t="s">
        <v>28</v>
      </c>
      <c r="D373" s="15" t="s">
        <v>1497</v>
      </c>
      <c r="E373" s="18" t="s">
        <v>28</v>
      </c>
      <c r="F373" s="19" t="s">
        <v>28</v>
      </c>
      <c r="G373" s="19">
        <v>4</v>
      </c>
      <c r="H373" s="19" t="s">
        <v>28</v>
      </c>
      <c r="I373" s="18" t="s">
        <v>28</v>
      </c>
      <c r="J373" s="18" t="s">
        <v>28</v>
      </c>
      <c r="K373" s="18" t="s">
        <v>28</v>
      </c>
      <c r="L373" s="18" t="s">
        <v>28</v>
      </c>
      <c r="M373" s="18" t="s">
        <v>28</v>
      </c>
      <c r="N373" s="17">
        <v>45526</v>
      </c>
      <c r="O373" s="15" t="s">
        <v>99</v>
      </c>
      <c r="P373" s="16" t="s">
        <v>1498</v>
      </c>
      <c r="Q373" s="15" t="s">
        <v>37</v>
      </c>
      <c r="R373" s="13" t="str">
        <f>HYPERLINK("https://my.pitchbook.com?c=258596-29T","View Company Online")</f>
        <v>View Company Online</v>
      </c>
    </row>
    <row r="374" spans="1:18" hidden="1" x14ac:dyDescent="0.3">
      <c r="A374" s="9" t="s">
        <v>1499</v>
      </c>
      <c r="B374" s="9" t="s">
        <v>1500</v>
      </c>
      <c r="C374" s="11" t="s">
        <v>28</v>
      </c>
      <c r="D374" s="9" t="s">
        <v>1501</v>
      </c>
      <c r="E374" s="11" t="s">
        <v>28</v>
      </c>
      <c r="F374" s="10" t="s">
        <v>28</v>
      </c>
      <c r="G374" s="10" t="s">
        <v>28</v>
      </c>
      <c r="H374" s="10" t="s">
        <v>28</v>
      </c>
      <c r="I374" s="11" t="s">
        <v>28</v>
      </c>
      <c r="J374" s="11" t="s">
        <v>28</v>
      </c>
      <c r="K374" s="11" t="s">
        <v>28</v>
      </c>
      <c r="L374" s="11" t="s">
        <v>28</v>
      </c>
      <c r="M374" s="11" t="s">
        <v>28</v>
      </c>
      <c r="N374" s="8">
        <v>45525</v>
      </c>
      <c r="O374" s="9" t="s">
        <v>73</v>
      </c>
      <c r="P374" s="12" t="s">
        <v>28</v>
      </c>
      <c r="Q374" s="9" t="s">
        <v>43</v>
      </c>
      <c r="R374" s="14" t="str">
        <f>HYPERLINK("https://my.pitchbook.com?c=270455-77T","View Company Online")</f>
        <v>View Company Online</v>
      </c>
    </row>
    <row r="375" spans="1:18" hidden="1" x14ac:dyDescent="0.3">
      <c r="A375" s="15" t="s">
        <v>1502</v>
      </c>
      <c r="B375" s="15" t="s">
        <v>1503</v>
      </c>
      <c r="C375" s="18" t="s">
        <v>28</v>
      </c>
      <c r="D375" s="15" t="s">
        <v>1504</v>
      </c>
      <c r="E375" s="18" t="s">
        <v>28</v>
      </c>
      <c r="F375" s="19" t="s">
        <v>28</v>
      </c>
      <c r="G375" s="19" t="s">
        <v>28</v>
      </c>
      <c r="H375" s="19" t="s">
        <v>28</v>
      </c>
      <c r="I375" s="18" t="s">
        <v>28</v>
      </c>
      <c r="J375" s="18" t="s">
        <v>28</v>
      </c>
      <c r="K375" s="18" t="s">
        <v>28</v>
      </c>
      <c r="L375" s="18" t="s">
        <v>28</v>
      </c>
      <c r="M375" s="18" t="s">
        <v>28</v>
      </c>
      <c r="N375" s="17">
        <v>45525</v>
      </c>
      <c r="O375" s="15" t="s">
        <v>30</v>
      </c>
      <c r="P375" s="16" t="s">
        <v>1483</v>
      </c>
      <c r="Q375" s="15" t="s">
        <v>692</v>
      </c>
      <c r="R375" s="13" t="str">
        <f>HYPERLINK("https://my.pitchbook.com?c=272103-85T","View Company Online")</f>
        <v>View Company Online</v>
      </c>
    </row>
    <row r="376" spans="1:18" hidden="1" x14ac:dyDescent="0.3">
      <c r="A376" s="9" t="s">
        <v>1505</v>
      </c>
      <c r="B376" s="9" t="s">
        <v>1506</v>
      </c>
      <c r="C376" s="11" t="s">
        <v>28</v>
      </c>
      <c r="D376" s="9" t="s">
        <v>1507</v>
      </c>
      <c r="E376" s="11" t="s">
        <v>28</v>
      </c>
      <c r="F376" s="10" t="s">
        <v>28</v>
      </c>
      <c r="G376" s="10" t="s">
        <v>28</v>
      </c>
      <c r="H376" s="10" t="s">
        <v>28</v>
      </c>
      <c r="I376" s="11" t="s">
        <v>28</v>
      </c>
      <c r="J376" s="11" t="s">
        <v>28</v>
      </c>
      <c r="K376" s="11" t="s">
        <v>28</v>
      </c>
      <c r="L376" s="11" t="s">
        <v>28</v>
      </c>
      <c r="M376" s="11" t="s">
        <v>28</v>
      </c>
      <c r="N376" s="8">
        <v>45525</v>
      </c>
      <c r="O376" s="9" t="s">
        <v>52</v>
      </c>
      <c r="P376" s="12" t="s">
        <v>1508</v>
      </c>
      <c r="Q376" s="9" t="s">
        <v>249</v>
      </c>
      <c r="R376" s="14" t="str">
        <f>HYPERLINK("https://my.pitchbook.com?c=291928-15T","View Company Online")</f>
        <v>View Company Online</v>
      </c>
    </row>
    <row r="377" spans="1:18" hidden="1" x14ac:dyDescent="0.3">
      <c r="A377" s="15" t="s">
        <v>1509</v>
      </c>
      <c r="B377" s="15" t="s">
        <v>1510</v>
      </c>
      <c r="C377" s="18" t="s">
        <v>28</v>
      </c>
      <c r="D377" s="15" t="s">
        <v>1511</v>
      </c>
      <c r="E377" s="18" t="s">
        <v>28</v>
      </c>
      <c r="F377" s="19" t="s">
        <v>28</v>
      </c>
      <c r="G377" s="19">
        <v>0.25</v>
      </c>
      <c r="H377" s="19" t="s">
        <v>28</v>
      </c>
      <c r="I377" s="18" t="s">
        <v>28</v>
      </c>
      <c r="J377" s="18" t="s">
        <v>28</v>
      </c>
      <c r="K377" s="18" t="s">
        <v>28</v>
      </c>
      <c r="L377" s="18" t="s">
        <v>28</v>
      </c>
      <c r="M377" s="18" t="s">
        <v>28</v>
      </c>
      <c r="N377" s="17">
        <v>45525</v>
      </c>
      <c r="O377" s="15" t="s">
        <v>79</v>
      </c>
      <c r="P377" s="16" t="s">
        <v>1512</v>
      </c>
      <c r="Q377" s="15" t="s">
        <v>75</v>
      </c>
      <c r="R377" s="13" t="str">
        <f>HYPERLINK("https://my.pitchbook.com?c=270263-53T","View Company Online")</f>
        <v>View Company Online</v>
      </c>
    </row>
    <row r="378" spans="1:18" hidden="1" x14ac:dyDescent="0.3">
      <c r="A378" s="9" t="s">
        <v>1513</v>
      </c>
      <c r="B378" s="9" t="s">
        <v>1514</v>
      </c>
      <c r="C378" s="11" t="s">
        <v>28</v>
      </c>
      <c r="D378" s="9" t="s">
        <v>1515</v>
      </c>
      <c r="E378" s="11" t="s">
        <v>28</v>
      </c>
      <c r="F378" s="10" t="s">
        <v>28</v>
      </c>
      <c r="G378" s="10" t="s">
        <v>28</v>
      </c>
      <c r="H378" s="10" t="s">
        <v>28</v>
      </c>
      <c r="I378" s="11" t="s">
        <v>28</v>
      </c>
      <c r="J378" s="11" t="s">
        <v>28</v>
      </c>
      <c r="K378" s="11" t="s">
        <v>28</v>
      </c>
      <c r="L378" s="11" t="s">
        <v>28</v>
      </c>
      <c r="M378" s="11" t="s">
        <v>28</v>
      </c>
      <c r="N378" s="8">
        <v>45525</v>
      </c>
      <c r="O378" s="9" t="s">
        <v>173</v>
      </c>
      <c r="P378" s="12" t="s">
        <v>28</v>
      </c>
      <c r="Q378" s="9" t="s">
        <v>174</v>
      </c>
      <c r="R378" s="14" t="str">
        <f>HYPERLINK("https://my.pitchbook.com?c=270402-31T","View Company Online")</f>
        <v>View Company Online</v>
      </c>
    </row>
    <row r="379" spans="1:18" hidden="1" x14ac:dyDescent="0.3">
      <c r="A379" s="15" t="s">
        <v>1516</v>
      </c>
      <c r="B379" s="15" t="s">
        <v>1517</v>
      </c>
      <c r="C379" s="18" t="s">
        <v>28</v>
      </c>
      <c r="D379" s="15" t="s">
        <v>1518</v>
      </c>
      <c r="E379" s="18" t="s">
        <v>28</v>
      </c>
      <c r="F379" s="19" t="s">
        <v>28</v>
      </c>
      <c r="G379" s="19" t="s">
        <v>28</v>
      </c>
      <c r="H379" s="19" t="s">
        <v>28</v>
      </c>
      <c r="I379" s="18" t="s">
        <v>28</v>
      </c>
      <c r="J379" s="18" t="s">
        <v>28</v>
      </c>
      <c r="K379" s="18">
        <v>2.5</v>
      </c>
      <c r="L379" s="18" t="s">
        <v>28</v>
      </c>
      <c r="M379" s="18" t="s">
        <v>28</v>
      </c>
      <c r="N379" s="17">
        <v>45525</v>
      </c>
      <c r="O379" s="15" t="s">
        <v>99</v>
      </c>
      <c r="P379" s="16" t="s">
        <v>1519</v>
      </c>
      <c r="Q379" s="15" t="s">
        <v>75</v>
      </c>
      <c r="R379" s="13" t="str">
        <f>HYPERLINK("https://my.pitchbook.com?c=244440-10T","View Company Online")</f>
        <v>View Company Online</v>
      </c>
    </row>
    <row r="380" spans="1:18" hidden="1" x14ac:dyDescent="0.3">
      <c r="A380" s="9" t="s">
        <v>1520</v>
      </c>
      <c r="B380" s="9" t="s">
        <v>1521</v>
      </c>
      <c r="C380" s="11" t="s">
        <v>28</v>
      </c>
      <c r="D380" s="9" t="s">
        <v>1522</v>
      </c>
      <c r="E380" s="11" t="s">
        <v>28</v>
      </c>
      <c r="F380" s="10" t="s">
        <v>28</v>
      </c>
      <c r="G380" s="10" t="s">
        <v>28</v>
      </c>
      <c r="H380" s="10" t="s">
        <v>28</v>
      </c>
      <c r="I380" s="11" t="s">
        <v>28</v>
      </c>
      <c r="J380" s="11" t="s">
        <v>28</v>
      </c>
      <c r="K380" s="11" t="s">
        <v>28</v>
      </c>
      <c r="L380" s="11" t="s">
        <v>28</v>
      </c>
      <c r="M380" s="11" t="s">
        <v>28</v>
      </c>
      <c r="N380" s="8">
        <v>45525</v>
      </c>
      <c r="O380" s="9" t="s">
        <v>99</v>
      </c>
      <c r="P380" s="12" t="s">
        <v>611</v>
      </c>
      <c r="Q380" s="9" t="s">
        <v>583</v>
      </c>
      <c r="R380" s="14" t="str">
        <f>HYPERLINK("https://my.pitchbook.com?c=276786-73T","View Company Online")</f>
        <v>View Company Online</v>
      </c>
    </row>
    <row r="381" spans="1:18" hidden="1" x14ac:dyDescent="0.3">
      <c r="A381" s="15" t="s">
        <v>1523</v>
      </c>
      <c r="B381" s="15" t="s">
        <v>1524</v>
      </c>
      <c r="C381" s="18" t="s">
        <v>28</v>
      </c>
      <c r="D381" s="15" t="s">
        <v>1525</v>
      </c>
      <c r="E381" s="18" t="s">
        <v>28</v>
      </c>
      <c r="F381" s="19" t="s">
        <v>28</v>
      </c>
      <c r="G381" s="19" t="s">
        <v>28</v>
      </c>
      <c r="H381" s="19" t="s">
        <v>28</v>
      </c>
      <c r="I381" s="18" t="s">
        <v>28</v>
      </c>
      <c r="J381" s="18" t="s">
        <v>28</v>
      </c>
      <c r="K381" s="18" t="s">
        <v>28</v>
      </c>
      <c r="L381" s="18" t="s">
        <v>28</v>
      </c>
      <c r="M381" s="18" t="s">
        <v>28</v>
      </c>
      <c r="N381" s="17">
        <v>45524</v>
      </c>
      <c r="O381" s="15" t="s">
        <v>41</v>
      </c>
      <c r="P381" s="16" t="s">
        <v>1526</v>
      </c>
      <c r="Q381" s="15" t="s">
        <v>1527</v>
      </c>
      <c r="R381" s="13" t="str">
        <f>HYPERLINK("https://my.pitchbook.com?c=281610-46T","View Company Online")</f>
        <v>View Company Online</v>
      </c>
    </row>
    <row r="382" spans="1:18" hidden="1" x14ac:dyDescent="0.3">
      <c r="A382" s="9" t="s">
        <v>1528</v>
      </c>
      <c r="B382" s="9" t="s">
        <v>1529</v>
      </c>
      <c r="C382" s="11" t="s">
        <v>28</v>
      </c>
      <c r="D382" s="9" t="s">
        <v>1530</v>
      </c>
      <c r="E382" s="11" t="s">
        <v>28</v>
      </c>
      <c r="F382" s="10" t="s">
        <v>28</v>
      </c>
      <c r="G382" s="10">
        <v>0.18</v>
      </c>
      <c r="H382" s="10" t="s">
        <v>28</v>
      </c>
      <c r="I382" s="11" t="s">
        <v>28</v>
      </c>
      <c r="J382" s="11" t="s">
        <v>28</v>
      </c>
      <c r="K382" s="11" t="s">
        <v>28</v>
      </c>
      <c r="L382" s="11" t="s">
        <v>28</v>
      </c>
      <c r="M382" s="11" t="s">
        <v>28</v>
      </c>
      <c r="N382" s="8">
        <v>45523</v>
      </c>
      <c r="O382" s="9" t="s">
        <v>99</v>
      </c>
      <c r="P382" s="12" t="s">
        <v>1531</v>
      </c>
      <c r="Q382" s="9" t="s">
        <v>583</v>
      </c>
      <c r="R382" s="14" t="str">
        <f>HYPERLINK("https://my.pitchbook.com?c=244443-16T","View Company Online")</f>
        <v>View Company Online</v>
      </c>
    </row>
    <row r="383" spans="1:18" hidden="1" x14ac:dyDescent="0.3">
      <c r="A383" s="15" t="s">
        <v>1532</v>
      </c>
      <c r="B383" s="15" t="s">
        <v>1533</v>
      </c>
      <c r="C383" s="18" t="s">
        <v>28</v>
      </c>
      <c r="D383" s="15" t="s">
        <v>1534</v>
      </c>
      <c r="E383" s="18" t="s">
        <v>28</v>
      </c>
      <c r="F383" s="19" t="s">
        <v>28</v>
      </c>
      <c r="G383" s="19" t="s">
        <v>28</v>
      </c>
      <c r="H383" s="19" t="s">
        <v>28</v>
      </c>
      <c r="I383" s="18" t="s">
        <v>28</v>
      </c>
      <c r="J383" s="18" t="s">
        <v>28</v>
      </c>
      <c r="K383" s="18" t="s">
        <v>28</v>
      </c>
      <c r="L383" s="18" t="s">
        <v>28</v>
      </c>
      <c r="M383" s="18" t="s">
        <v>28</v>
      </c>
      <c r="N383" s="17">
        <v>45523</v>
      </c>
      <c r="O383" s="15" t="s">
        <v>30</v>
      </c>
      <c r="P383" s="16" t="s">
        <v>1535</v>
      </c>
      <c r="Q383" s="15" t="s">
        <v>1536</v>
      </c>
      <c r="R383" s="13" t="str">
        <f>HYPERLINK("https://my.pitchbook.com?c=271431-91T","View Company Online")</f>
        <v>View Company Online</v>
      </c>
    </row>
    <row r="384" spans="1:18" hidden="1" x14ac:dyDescent="0.3">
      <c r="A384" s="9" t="s">
        <v>1537</v>
      </c>
      <c r="B384" s="9" t="s">
        <v>1538</v>
      </c>
      <c r="C384" s="11" t="s">
        <v>28</v>
      </c>
      <c r="D384" s="9" t="s">
        <v>1539</v>
      </c>
      <c r="E384" s="11" t="s">
        <v>28</v>
      </c>
      <c r="F384" s="10" t="s">
        <v>28</v>
      </c>
      <c r="G384" s="10" t="s">
        <v>28</v>
      </c>
      <c r="H384" s="10" t="s">
        <v>28</v>
      </c>
      <c r="I384" s="11" t="s">
        <v>28</v>
      </c>
      <c r="J384" s="11" t="s">
        <v>28</v>
      </c>
      <c r="K384" s="11" t="s">
        <v>28</v>
      </c>
      <c r="L384" s="11" t="s">
        <v>28</v>
      </c>
      <c r="M384" s="11" t="s">
        <v>28</v>
      </c>
      <c r="N384" s="8">
        <v>45523</v>
      </c>
      <c r="O384" s="9" t="s">
        <v>30</v>
      </c>
      <c r="P384" s="12" t="s">
        <v>1540</v>
      </c>
      <c r="Q384" s="9" t="s">
        <v>362</v>
      </c>
      <c r="R384" s="14" t="str">
        <f>HYPERLINK("https://my.pitchbook.com?c=270082-09T","View Company Online")</f>
        <v>View Company Online</v>
      </c>
    </row>
    <row r="385" spans="1:18" hidden="1" x14ac:dyDescent="0.3">
      <c r="A385" s="15" t="s">
        <v>1541</v>
      </c>
      <c r="B385" s="15" t="s">
        <v>1542</v>
      </c>
      <c r="C385" s="18" t="s">
        <v>28</v>
      </c>
      <c r="D385" s="15" t="s">
        <v>1543</v>
      </c>
      <c r="E385" s="18" t="s">
        <v>28</v>
      </c>
      <c r="F385" s="19" t="s">
        <v>28</v>
      </c>
      <c r="G385" s="19" t="s">
        <v>28</v>
      </c>
      <c r="H385" s="19" t="s">
        <v>28</v>
      </c>
      <c r="I385" s="18" t="s">
        <v>28</v>
      </c>
      <c r="J385" s="18" t="s">
        <v>28</v>
      </c>
      <c r="K385" s="18" t="s">
        <v>28</v>
      </c>
      <c r="L385" s="18" t="s">
        <v>28</v>
      </c>
      <c r="M385" s="18" t="s">
        <v>28</v>
      </c>
      <c r="N385" s="17">
        <v>45521</v>
      </c>
      <c r="O385" s="15" t="s">
        <v>30</v>
      </c>
      <c r="P385" s="16" t="s">
        <v>28</v>
      </c>
      <c r="Q385" s="15" t="s">
        <v>362</v>
      </c>
      <c r="R385" s="13" t="str">
        <f>HYPERLINK("https://my.pitchbook.com?c=264019-60T","View Company Online")</f>
        <v>View Company Online</v>
      </c>
    </row>
    <row r="386" spans="1:18" hidden="1" x14ac:dyDescent="0.3">
      <c r="A386" s="9" t="s">
        <v>1544</v>
      </c>
      <c r="B386" s="9" t="s">
        <v>1545</v>
      </c>
      <c r="C386" s="11" t="s">
        <v>28</v>
      </c>
      <c r="D386" s="9" t="s">
        <v>1546</v>
      </c>
      <c r="E386" s="11" t="s">
        <v>28</v>
      </c>
      <c r="F386" s="10" t="s">
        <v>28</v>
      </c>
      <c r="G386" s="10">
        <v>0.52</v>
      </c>
      <c r="H386" s="10" t="s">
        <v>28</v>
      </c>
      <c r="I386" s="11" t="s">
        <v>28</v>
      </c>
      <c r="J386" s="11" t="s">
        <v>28</v>
      </c>
      <c r="K386" s="11" t="s">
        <v>28</v>
      </c>
      <c r="L386" s="11" t="s">
        <v>28</v>
      </c>
      <c r="M386" s="11" t="s">
        <v>28</v>
      </c>
      <c r="N386" s="8">
        <v>45520</v>
      </c>
      <c r="O386" s="9" t="s">
        <v>99</v>
      </c>
      <c r="P386" s="12" t="s">
        <v>1547</v>
      </c>
      <c r="Q386" s="9" t="s">
        <v>75</v>
      </c>
      <c r="R386" s="14" t="str">
        <f>HYPERLINK("https://my.pitchbook.com?c=269966-89T","View Company Online")</f>
        <v>View Company Online</v>
      </c>
    </row>
    <row r="387" spans="1:18" hidden="1" x14ac:dyDescent="0.3">
      <c r="A387" s="15" t="s">
        <v>1548</v>
      </c>
      <c r="B387" s="15" t="s">
        <v>1549</v>
      </c>
      <c r="C387" s="18" t="s">
        <v>28</v>
      </c>
      <c r="D387" s="15" t="s">
        <v>1550</v>
      </c>
      <c r="E387" s="18" t="s">
        <v>28</v>
      </c>
      <c r="F387" s="19">
        <v>178.43</v>
      </c>
      <c r="G387" s="19">
        <v>89.21</v>
      </c>
      <c r="H387" s="19">
        <v>178.43</v>
      </c>
      <c r="I387" s="18" t="s">
        <v>28</v>
      </c>
      <c r="J387" s="18" t="s">
        <v>28</v>
      </c>
      <c r="K387" s="18">
        <v>177.75</v>
      </c>
      <c r="L387" s="18">
        <v>1</v>
      </c>
      <c r="M387" s="18" t="s">
        <v>28</v>
      </c>
      <c r="N387" s="17">
        <v>45520</v>
      </c>
      <c r="O387" s="15" t="s">
        <v>41</v>
      </c>
      <c r="P387" s="16" t="s">
        <v>1551</v>
      </c>
      <c r="Q387" s="15" t="s">
        <v>362</v>
      </c>
      <c r="R387" s="13" t="str">
        <f>HYPERLINK("https://my.pitchbook.com?c=269545-06T","View Company Online")</f>
        <v>View Company Online</v>
      </c>
    </row>
    <row r="388" spans="1:18" hidden="1" x14ac:dyDescent="0.3">
      <c r="A388" s="9" t="s">
        <v>1552</v>
      </c>
      <c r="B388" s="9" t="s">
        <v>1553</v>
      </c>
      <c r="C388" s="11" t="s">
        <v>28</v>
      </c>
      <c r="D388" s="9" t="s">
        <v>1554</v>
      </c>
      <c r="E388" s="11" t="s">
        <v>28</v>
      </c>
      <c r="F388" s="10" t="s">
        <v>28</v>
      </c>
      <c r="G388" s="10">
        <v>0.03</v>
      </c>
      <c r="H388" s="10" t="s">
        <v>28</v>
      </c>
      <c r="I388" s="11" t="s">
        <v>28</v>
      </c>
      <c r="J388" s="11" t="s">
        <v>28</v>
      </c>
      <c r="K388" s="11" t="s">
        <v>28</v>
      </c>
      <c r="L388" s="11" t="s">
        <v>28</v>
      </c>
      <c r="M388" s="11" t="s">
        <v>28</v>
      </c>
      <c r="N388" s="8">
        <v>45520</v>
      </c>
      <c r="O388" s="9" t="s">
        <v>79</v>
      </c>
      <c r="P388" s="12" t="s">
        <v>234</v>
      </c>
      <c r="Q388" s="9" t="s">
        <v>43</v>
      </c>
      <c r="R388" s="14" t="str">
        <f>HYPERLINK("https://my.pitchbook.com?c=270508-69T","View Company Online")</f>
        <v>View Company Online</v>
      </c>
    </row>
    <row r="389" spans="1:18" hidden="1" x14ac:dyDescent="0.3">
      <c r="A389" s="15" t="s">
        <v>1555</v>
      </c>
      <c r="B389" s="15" t="s">
        <v>1556</v>
      </c>
      <c r="C389" s="18" t="s">
        <v>28</v>
      </c>
      <c r="D389" s="15" t="s">
        <v>1557</v>
      </c>
      <c r="E389" s="18" t="s">
        <v>28</v>
      </c>
      <c r="F389" s="19" t="s">
        <v>28</v>
      </c>
      <c r="G389" s="19" t="s">
        <v>28</v>
      </c>
      <c r="H389" s="19" t="s">
        <v>28</v>
      </c>
      <c r="I389" s="18" t="s">
        <v>28</v>
      </c>
      <c r="J389" s="18" t="s">
        <v>28</v>
      </c>
      <c r="K389" s="18" t="s">
        <v>28</v>
      </c>
      <c r="L389" s="18" t="s">
        <v>28</v>
      </c>
      <c r="M389" s="18" t="s">
        <v>28</v>
      </c>
      <c r="N389" s="17">
        <v>45520</v>
      </c>
      <c r="O389" s="15" t="s">
        <v>41</v>
      </c>
      <c r="P389" s="16" t="s">
        <v>970</v>
      </c>
      <c r="Q389" s="15" t="s">
        <v>183</v>
      </c>
      <c r="R389" s="13" t="str">
        <f>HYPERLINK("https://my.pitchbook.com?c=279265-60T","View Company Online")</f>
        <v>View Company Online</v>
      </c>
    </row>
    <row r="390" spans="1:18" hidden="1" x14ac:dyDescent="0.3">
      <c r="A390" s="9" t="s">
        <v>1558</v>
      </c>
      <c r="B390" s="9" t="s">
        <v>1559</v>
      </c>
      <c r="C390" s="11" t="s">
        <v>28</v>
      </c>
      <c r="D390" s="9" t="s">
        <v>1560</v>
      </c>
      <c r="E390" s="11" t="s">
        <v>28</v>
      </c>
      <c r="F390" s="10" t="s">
        <v>28</v>
      </c>
      <c r="G390" s="10">
        <v>0.7</v>
      </c>
      <c r="H390" s="10" t="s">
        <v>28</v>
      </c>
      <c r="I390" s="11" t="s">
        <v>28</v>
      </c>
      <c r="J390" s="11" t="s">
        <v>28</v>
      </c>
      <c r="K390" s="11" t="s">
        <v>28</v>
      </c>
      <c r="L390" s="11" t="s">
        <v>28</v>
      </c>
      <c r="M390" s="11" t="s">
        <v>28</v>
      </c>
      <c r="N390" s="8">
        <v>45520</v>
      </c>
      <c r="O390" s="9" t="s">
        <v>79</v>
      </c>
      <c r="P390" s="12" t="s">
        <v>234</v>
      </c>
      <c r="Q390" s="9" t="s">
        <v>213</v>
      </c>
      <c r="R390" s="14" t="str">
        <f>HYPERLINK("https://my.pitchbook.com?c=280681-75T","View Company Online")</f>
        <v>View Company Online</v>
      </c>
    </row>
    <row r="391" spans="1:18" hidden="1" x14ac:dyDescent="0.3">
      <c r="A391" s="15" t="s">
        <v>1561</v>
      </c>
      <c r="B391" s="15" t="s">
        <v>1562</v>
      </c>
      <c r="C391" s="18" t="s">
        <v>28</v>
      </c>
      <c r="D391" s="15" t="s">
        <v>1563</v>
      </c>
      <c r="E391" s="18">
        <v>22.81</v>
      </c>
      <c r="F391" s="19" t="s">
        <v>28</v>
      </c>
      <c r="G391" s="19" t="s">
        <v>28</v>
      </c>
      <c r="H391" s="19" t="s">
        <v>28</v>
      </c>
      <c r="I391" s="18">
        <v>89.71</v>
      </c>
      <c r="J391" s="18" t="s">
        <v>28</v>
      </c>
      <c r="K391" s="18">
        <v>641.84</v>
      </c>
      <c r="L391" s="18" t="s">
        <v>28</v>
      </c>
      <c r="M391" s="18">
        <v>-0.99</v>
      </c>
      <c r="N391" s="17">
        <v>45520</v>
      </c>
      <c r="O391" s="15" t="s">
        <v>41</v>
      </c>
      <c r="P391" s="16" t="s">
        <v>1564</v>
      </c>
      <c r="Q391" s="15" t="s">
        <v>616</v>
      </c>
      <c r="R391" s="13" t="str">
        <f>HYPERLINK("https://my.pitchbook.com?c=257410-72T","View Company Online")</f>
        <v>View Company Online</v>
      </c>
    </row>
    <row r="392" spans="1:18" hidden="1" x14ac:dyDescent="0.3">
      <c r="A392" s="9" t="s">
        <v>1565</v>
      </c>
      <c r="B392" s="9" t="s">
        <v>1566</v>
      </c>
      <c r="C392" s="11" t="s">
        <v>28</v>
      </c>
      <c r="D392" s="9" t="s">
        <v>1567</v>
      </c>
      <c r="E392" s="11" t="s">
        <v>28</v>
      </c>
      <c r="F392" s="10" t="s">
        <v>28</v>
      </c>
      <c r="G392" s="10" t="s">
        <v>28</v>
      </c>
      <c r="H392" s="10" t="s">
        <v>28</v>
      </c>
      <c r="I392" s="11" t="s">
        <v>28</v>
      </c>
      <c r="J392" s="11" t="s">
        <v>28</v>
      </c>
      <c r="K392" s="11" t="s">
        <v>28</v>
      </c>
      <c r="L392" s="11" t="s">
        <v>28</v>
      </c>
      <c r="M392" s="11" t="s">
        <v>28</v>
      </c>
      <c r="N392" s="8">
        <v>45520</v>
      </c>
      <c r="O392" s="9" t="s">
        <v>30</v>
      </c>
      <c r="P392" s="12" t="s">
        <v>1568</v>
      </c>
      <c r="Q392" s="9" t="s">
        <v>43</v>
      </c>
      <c r="R392" s="14" t="str">
        <f>HYPERLINK("https://my.pitchbook.com?c=270101-17T","View Company Online")</f>
        <v>View Company Online</v>
      </c>
    </row>
    <row r="393" spans="1:18" hidden="1" x14ac:dyDescent="0.3">
      <c r="A393" s="15" t="s">
        <v>1569</v>
      </c>
      <c r="B393" s="15" t="s">
        <v>1570</v>
      </c>
      <c r="C393" s="18" t="s">
        <v>28</v>
      </c>
      <c r="D393" s="15" t="s">
        <v>1571</v>
      </c>
      <c r="E393" s="18" t="s">
        <v>28</v>
      </c>
      <c r="F393" s="19" t="s">
        <v>28</v>
      </c>
      <c r="G393" s="19">
        <v>0.16</v>
      </c>
      <c r="H393" s="19" t="s">
        <v>28</v>
      </c>
      <c r="I393" s="18" t="s">
        <v>28</v>
      </c>
      <c r="J393" s="18" t="s">
        <v>28</v>
      </c>
      <c r="K393" s="18" t="s">
        <v>28</v>
      </c>
      <c r="L393" s="18" t="s">
        <v>28</v>
      </c>
      <c r="M393" s="18" t="s">
        <v>28</v>
      </c>
      <c r="N393" s="17">
        <v>45520</v>
      </c>
      <c r="O393" s="15" t="s">
        <v>79</v>
      </c>
      <c r="P393" s="16" t="s">
        <v>234</v>
      </c>
      <c r="Q393" s="15" t="s">
        <v>75</v>
      </c>
      <c r="R393" s="13" t="str">
        <f>HYPERLINK("https://my.pitchbook.com?c=280672-21T","View Company Online")</f>
        <v>View Company Online</v>
      </c>
    </row>
    <row r="394" spans="1:18" hidden="1" x14ac:dyDescent="0.3">
      <c r="A394" s="9" t="s">
        <v>1572</v>
      </c>
      <c r="B394" s="9" t="s">
        <v>1573</v>
      </c>
      <c r="C394" s="11" t="s">
        <v>28</v>
      </c>
      <c r="D394" s="9" t="s">
        <v>1574</v>
      </c>
      <c r="E394" s="11" t="s">
        <v>28</v>
      </c>
      <c r="F394" s="10" t="s">
        <v>28</v>
      </c>
      <c r="G394" s="10" t="s">
        <v>28</v>
      </c>
      <c r="H394" s="10" t="s">
        <v>28</v>
      </c>
      <c r="I394" s="11" t="s">
        <v>28</v>
      </c>
      <c r="J394" s="11" t="s">
        <v>28</v>
      </c>
      <c r="K394" s="11" t="s">
        <v>28</v>
      </c>
      <c r="L394" s="11" t="s">
        <v>28</v>
      </c>
      <c r="M394" s="11" t="s">
        <v>28</v>
      </c>
      <c r="N394" s="8">
        <v>45518</v>
      </c>
      <c r="O394" s="9" t="s">
        <v>58</v>
      </c>
      <c r="P394" s="12" t="s">
        <v>1575</v>
      </c>
      <c r="Q394" s="9" t="s">
        <v>114</v>
      </c>
      <c r="R394" s="14" t="str">
        <f>HYPERLINK("https://my.pitchbook.com?c=270244-63T","View Company Online")</f>
        <v>View Company Online</v>
      </c>
    </row>
    <row r="395" spans="1:18" hidden="1" x14ac:dyDescent="0.3">
      <c r="A395" s="15" t="s">
        <v>1576</v>
      </c>
      <c r="B395" s="15" t="s">
        <v>1577</v>
      </c>
      <c r="C395" s="18" t="s">
        <v>28</v>
      </c>
      <c r="D395" s="15" t="s">
        <v>1578</v>
      </c>
      <c r="E395" s="18" t="s">
        <v>28</v>
      </c>
      <c r="F395" s="19" t="s">
        <v>28</v>
      </c>
      <c r="G395" s="19" t="s">
        <v>28</v>
      </c>
      <c r="H395" s="19" t="s">
        <v>28</v>
      </c>
      <c r="I395" s="18" t="s">
        <v>28</v>
      </c>
      <c r="J395" s="18" t="s">
        <v>28</v>
      </c>
      <c r="K395" s="18" t="s">
        <v>28</v>
      </c>
      <c r="L395" s="18" t="s">
        <v>28</v>
      </c>
      <c r="M395" s="18" t="s">
        <v>28</v>
      </c>
      <c r="N395" s="17">
        <v>45518</v>
      </c>
      <c r="O395" s="15" t="s">
        <v>99</v>
      </c>
      <c r="P395" s="16" t="s">
        <v>1579</v>
      </c>
      <c r="Q395" s="15" t="s">
        <v>1580</v>
      </c>
      <c r="R395" s="13" t="str">
        <f>HYPERLINK("https://my.pitchbook.com?c=214585-93T","View Company Online")</f>
        <v>View Company Online</v>
      </c>
    </row>
    <row r="396" spans="1:18" hidden="1" x14ac:dyDescent="0.3">
      <c r="A396" s="9" t="s">
        <v>1581</v>
      </c>
      <c r="B396" s="9" t="s">
        <v>1193</v>
      </c>
      <c r="C396" s="11" t="s">
        <v>28</v>
      </c>
      <c r="D396" s="9" t="s">
        <v>1194</v>
      </c>
      <c r="E396" s="11" t="s">
        <v>28</v>
      </c>
      <c r="F396" s="10" t="s">
        <v>28</v>
      </c>
      <c r="G396" s="10">
        <v>2.68</v>
      </c>
      <c r="H396" s="10" t="s">
        <v>28</v>
      </c>
      <c r="I396" s="11" t="s">
        <v>28</v>
      </c>
      <c r="J396" s="11" t="s">
        <v>28</v>
      </c>
      <c r="K396" s="11" t="s">
        <v>28</v>
      </c>
      <c r="L396" s="11" t="s">
        <v>28</v>
      </c>
      <c r="M396" s="11" t="s">
        <v>28</v>
      </c>
      <c r="N396" s="8">
        <v>45517</v>
      </c>
      <c r="O396" s="9" t="s">
        <v>58</v>
      </c>
      <c r="P396" s="12" t="s">
        <v>1582</v>
      </c>
      <c r="Q396" s="9" t="s">
        <v>75</v>
      </c>
      <c r="R396" s="14" t="str">
        <f>HYPERLINK("https://my.pitchbook.com?c=269617-24T","View Company Online")</f>
        <v>View Company Online</v>
      </c>
    </row>
    <row r="397" spans="1:18" hidden="1" x14ac:dyDescent="0.3">
      <c r="A397" s="15" t="s">
        <v>1583</v>
      </c>
      <c r="B397" s="15" t="s">
        <v>1584</v>
      </c>
      <c r="C397" s="18" t="s">
        <v>28</v>
      </c>
      <c r="D397" s="15" t="s">
        <v>1585</v>
      </c>
      <c r="E397" s="18" t="s">
        <v>28</v>
      </c>
      <c r="F397" s="19" t="s">
        <v>28</v>
      </c>
      <c r="G397" s="19" t="s">
        <v>28</v>
      </c>
      <c r="H397" s="19" t="s">
        <v>28</v>
      </c>
      <c r="I397" s="18" t="s">
        <v>28</v>
      </c>
      <c r="J397" s="18" t="s">
        <v>28</v>
      </c>
      <c r="K397" s="18" t="s">
        <v>28</v>
      </c>
      <c r="L397" s="18" t="s">
        <v>28</v>
      </c>
      <c r="M397" s="18" t="s">
        <v>28</v>
      </c>
      <c r="N397" s="17">
        <v>45517</v>
      </c>
      <c r="O397" s="15" t="s">
        <v>30</v>
      </c>
      <c r="P397" s="16" t="s">
        <v>1586</v>
      </c>
      <c r="Q397" s="15" t="s">
        <v>424</v>
      </c>
      <c r="R397" s="13" t="str">
        <f>HYPERLINK("https://my.pitchbook.com?c=270102-61T","View Company Online")</f>
        <v>View Company Online</v>
      </c>
    </row>
    <row r="398" spans="1:18" hidden="1" x14ac:dyDescent="0.3">
      <c r="A398" s="9" t="s">
        <v>1587</v>
      </c>
      <c r="B398" s="9" t="s">
        <v>1588</v>
      </c>
      <c r="C398" s="11" t="s">
        <v>28</v>
      </c>
      <c r="D398" s="9" t="s">
        <v>1589</v>
      </c>
      <c r="E398" s="11" t="s">
        <v>28</v>
      </c>
      <c r="F398" s="10" t="s">
        <v>28</v>
      </c>
      <c r="G398" s="10">
        <v>0.36</v>
      </c>
      <c r="H398" s="10" t="s">
        <v>28</v>
      </c>
      <c r="I398" s="11" t="s">
        <v>28</v>
      </c>
      <c r="J398" s="11" t="s">
        <v>28</v>
      </c>
      <c r="K398" s="11" t="s">
        <v>28</v>
      </c>
      <c r="L398" s="11" t="s">
        <v>28</v>
      </c>
      <c r="M398" s="11" t="s">
        <v>28</v>
      </c>
      <c r="N398" s="8">
        <v>45517</v>
      </c>
      <c r="O398" s="9" t="s">
        <v>73</v>
      </c>
      <c r="P398" s="12" t="s">
        <v>1590</v>
      </c>
      <c r="Q398" s="9" t="s">
        <v>75</v>
      </c>
      <c r="R398" s="14" t="str">
        <f>HYPERLINK("https://my.pitchbook.com?c=270520-75T","View Company Online")</f>
        <v>View Company Online</v>
      </c>
    </row>
    <row r="399" spans="1:18" hidden="1" x14ac:dyDescent="0.3">
      <c r="A399" s="15" t="s">
        <v>1591</v>
      </c>
      <c r="B399" s="15" t="s">
        <v>1592</v>
      </c>
      <c r="C399" s="18" t="s">
        <v>28</v>
      </c>
      <c r="D399" s="15" t="s">
        <v>1593</v>
      </c>
      <c r="E399" s="18" t="s">
        <v>28</v>
      </c>
      <c r="F399" s="19" t="s">
        <v>28</v>
      </c>
      <c r="G399" s="19" t="s">
        <v>28</v>
      </c>
      <c r="H399" s="19" t="s">
        <v>28</v>
      </c>
      <c r="I399" s="18" t="s">
        <v>28</v>
      </c>
      <c r="J399" s="18" t="s">
        <v>28</v>
      </c>
      <c r="K399" s="18" t="s">
        <v>28</v>
      </c>
      <c r="L399" s="18" t="s">
        <v>28</v>
      </c>
      <c r="M399" s="18" t="s">
        <v>28</v>
      </c>
      <c r="N399" s="17">
        <v>45517</v>
      </c>
      <c r="O399" s="15" t="s">
        <v>99</v>
      </c>
      <c r="P399" s="16" t="s">
        <v>611</v>
      </c>
      <c r="Q399" s="15" t="s">
        <v>75</v>
      </c>
      <c r="R399" s="13" t="str">
        <f>HYPERLINK("https://my.pitchbook.com?c=276780-97T","View Company Online")</f>
        <v>View Company Online</v>
      </c>
    </row>
    <row r="400" spans="1:18" hidden="1" x14ac:dyDescent="0.3">
      <c r="A400" s="9" t="s">
        <v>1594</v>
      </c>
      <c r="B400" s="9" t="s">
        <v>1595</v>
      </c>
      <c r="C400" s="11" t="s">
        <v>28</v>
      </c>
      <c r="D400" s="9" t="s">
        <v>1596</v>
      </c>
      <c r="E400" s="11" t="s">
        <v>28</v>
      </c>
      <c r="F400" s="10" t="s">
        <v>28</v>
      </c>
      <c r="G400" s="10" t="s">
        <v>28</v>
      </c>
      <c r="H400" s="10" t="s">
        <v>28</v>
      </c>
      <c r="I400" s="11" t="s">
        <v>28</v>
      </c>
      <c r="J400" s="11" t="s">
        <v>28</v>
      </c>
      <c r="K400" s="11" t="s">
        <v>28</v>
      </c>
      <c r="L400" s="11" t="s">
        <v>28</v>
      </c>
      <c r="M400" s="11" t="s">
        <v>28</v>
      </c>
      <c r="N400" s="8">
        <v>45516</v>
      </c>
      <c r="O400" s="9" t="s">
        <v>99</v>
      </c>
      <c r="P400" s="12" t="s">
        <v>611</v>
      </c>
      <c r="Q400" s="9" t="s">
        <v>75</v>
      </c>
      <c r="R400" s="14" t="str">
        <f>HYPERLINK("https://my.pitchbook.com?c=269742-97T","View Company Online")</f>
        <v>View Company Online</v>
      </c>
    </row>
    <row r="401" spans="1:18" hidden="1" x14ac:dyDescent="0.3">
      <c r="A401" s="15" t="s">
        <v>1597</v>
      </c>
      <c r="B401" s="15" t="s">
        <v>1598</v>
      </c>
      <c r="C401" s="18" t="s">
        <v>28</v>
      </c>
      <c r="D401" s="15" t="s">
        <v>1599</v>
      </c>
      <c r="E401" s="18" t="s">
        <v>28</v>
      </c>
      <c r="F401" s="19" t="s">
        <v>28</v>
      </c>
      <c r="G401" s="19">
        <v>3.57</v>
      </c>
      <c r="H401" s="19" t="s">
        <v>28</v>
      </c>
      <c r="I401" s="18" t="s">
        <v>28</v>
      </c>
      <c r="J401" s="18" t="s">
        <v>28</v>
      </c>
      <c r="K401" s="18" t="s">
        <v>28</v>
      </c>
      <c r="L401" s="18" t="s">
        <v>28</v>
      </c>
      <c r="M401" s="18" t="s">
        <v>28</v>
      </c>
      <c r="N401" s="17">
        <v>45516</v>
      </c>
      <c r="O401" s="15" t="s">
        <v>79</v>
      </c>
      <c r="P401" s="16" t="s">
        <v>1600</v>
      </c>
      <c r="Q401" s="15" t="s">
        <v>75</v>
      </c>
      <c r="R401" s="13" t="str">
        <f>HYPERLINK("https://my.pitchbook.com?c=271298-53T","View Company Online")</f>
        <v>View Company Online</v>
      </c>
    </row>
    <row r="402" spans="1:18" hidden="1" x14ac:dyDescent="0.3">
      <c r="A402" s="9" t="s">
        <v>1601</v>
      </c>
      <c r="B402" s="9" t="s">
        <v>1602</v>
      </c>
      <c r="C402" s="11" t="s">
        <v>28</v>
      </c>
      <c r="D402" s="9" t="s">
        <v>1603</v>
      </c>
      <c r="E402" s="11" t="s">
        <v>28</v>
      </c>
      <c r="F402" s="10" t="s">
        <v>28</v>
      </c>
      <c r="G402" s="10" t="s">
        <v>28</v>
      </c>
      <c r="H402" s="10" t="s">
        <v>28</v>
      </c>
      <c r="I402" s="11" t="s">
        <v>28</v>
      </c>
      <c r="J402" s="11" t="s">
        <v>28</v>
      </c>
      <c r="K402" s="11" t="s">
        <v>28</v>
      </c>
      <c r="L402" s="11" t="s">
        <v>28</v>
      </c>
      <c r="M402" s="11" t="s">
        <v>28</v>
      </c>
      <c r="N402" s="8">
        <v>45516</v>
      </c>
      <c r="O402" s="9" t="s">
        <v>41</v>
      </c>
      <c r="P402" s="12" t="s">
        <v>1604</v>
      </c>
      <c r="Q402" s="9" t="s">
        <v>114</v>
      </c>
      <c r="R402" s="14" t="str">
        <f>HYPERLINK("https://my.pitchbook.com?c=270117-64T","View Company Online")</f>
        <v>View Company Online</v>
      </c>
    </row>
    <row r="403" spans="1:18" hidden="1" x14ac:dyDescent="0.3">
      <c r="A403" s="15" t="s">
        <v>1605</v>
      </c>
      <c r="B403" s="15" t="s">
        <v>1606</v>
      </c>
      <c r="C403" s="18" t="s">
        <v>28</v>
      </c>
      <c r="D403" s="15" t="s">
        <v>1607</v>
      </c>
      <c r="E403" s="18" t="s">
        <v>28</v>
      </c>
      <c r="F403" s="19" t="s">
        <v>28</v>
      </c>
      <c r="G403" s="19" t="s">
        <v>28</v>
      </c>
      <c r="H403" s="19" t="s">
        <v>28</v>
      </c>
      <c r="I403" s="18" t="s">
        <v>28</v>
      </c>
      <c r="J403" s="18" t="s">
        <v>28</v>
      </c>
      <c r="K403" s="18" t="s">
        <v>28</v>
      </c>
      <c r="L403" s="18" t="s">
        <v>28</v>
      </c>
      <c r="M403" s="18" t="s">
        <v>28</v>
      </c>
      <c r="N403" s="17">
        <v>45514</v>
      </c>
      <c r="O403" s="15" t="s">
        <v>41</v>
      </c>
      <c r="P403" s="16" t="s">
        <v>1608</v>
      </c>
      <c r="Q403" s="15" t="s">
        <v>43</v>
      </c>
      <c r="R403" s="13" t="str">
        <f>HYPERLINK("https://my.pitchbook.com?c=270107-74T","View Company Online")</f>
        <v>View Company Online</v>
      </c>
    </row>
    <row r="404" spans="1:18" hidden="1" x14ac:dyDescent="0.3">
      <c r="A404" s="9" t="s">
        <v>1609</v>
      </c>
      <c r="B404" s="9" t="s">
        <v>1610</v>
      </c>
      <c r="C404" s="11" t="s">
        <v>28</v>
      </c>
      <c r="D404" s="9" t="s">
        <v>1611</v>
      </c>
      <c r="E404" s="11" t="s">
        <v>28</v>
      </c>
      <c r="F404" s="10" t="s">
        <v>28</v>
      </c>
      <c r="G404" s="10" t="s">
        <v>28</v>
      </c>
      <c r="H404" s="10" t="s">
        <v>28</v>
      </c>
      <c r="I404" s="11" t="s">
        <v>28</v>
      </c>
      <c r="J404" s="11" t="s">
        <v>28</v>
      </c>
      <c r="K404" s="11" t="s">
        <v>28</v>
      </c>
      <c r="L404" s="11" t="s">
        <v>28</v>
      </c>
      <c r="M404" s="11" t="s">
        <v>28</v>
      </c>
      <c r="N404" s="8">
        <v>45514</v>
      </c>
      <c r="O404" s="9" t="s">
        <v>41</v>
      </c>
      <c r="P404" s="12" t="s">
        <v>1612</v>
      </c>
      <c r="Q404" s="9" t="s">
        <v>414</v>
      </c>
      <c r="R404" s="14" t="str">
        <f>HYPERLINK("https://my.pitchbook.com?c=275078-26T","View Company Online")</f>
        <v>View Company Online</v>
      </c>
    </row>
    <row r="405" spans="1:18" hidden="1" x14ac:dyDescent="0.3">
      <c r="A405" s="15" t="s">
        <v>1613</v>
      </c>
      <c r="B405" s="15" t="s">
        <v>1614</v>
      </c>
      <c r="C405" s="18" t="s">
        <v>28</v>
      </c>
      <c r="D405" s="15" t="s">
        <v>1615</v>
      </c>
      <c r="E405" s="18" t="s">
        <v>28</v>
      </c>
      <c r="F405" s="19" t="s">
        <v>28</v>
      </c>
      <c r="G405" s="19" t="s">
        <v>28</v>
      </c>
      <c r="H405" s="19" t="s">
        <v>28</v>
      </c>
      <c r="I405" s="18" t="s">
        <v>28</v>
      </c>
      <c r="J405" s="18" t="s">
        <v>28</v>
      </c>
      <c r="K405" s="18" t="s">
        <v>28</v>
      </c>
      <c r="L405" s="18" t="s">
        <v>28</v>
      </c>
      <c r="M405" s="18" t="s">
        <v>28</v>
      </c>
      <c r="N405" s="17">
        <v>45513</v>
      </c>
      <c r="O405" s="15" t="s">
        <v>41</v>
      </c>
      <c r="P405" s="16" t="s">
        <v>1616</v>
      </c>
      <c r="Q405" s="15" t="s">
        <v>37</v>
      </c>
      <c r="R405" s="13" t="str">
        <f>HYPERLINK("https://my.pitchbook.com?c=269404-57T","View Company Online")</f>
        <v>View Company Online</v>
      </c>
    </row>
    <row r="406" spans="1:18" hidden="1" x14ac:dyDescent="0.3">
      <c r="A406" s="9" t="s">
        <v>1617</v>
      </c>
      <c r="B406" s="9" t="s">
        <v>1618</v>
      </c>
      <c r="C406" s="11" t="s">
        <v>28</v>
      </c>
      <c r="D406" s="9" t="s">
        <v>1619</v>
      </c>
      <c r="E406" s="11" t="s">
        <v>28</v>
      </c>
      <c r="F406" s="10" t="s">
        <v>28</v>
      </c>
      <c r="G406" s="10" t="s">
        <v>28</v>
      </c>
      <c r="H406" s="10" t="s">
        <v>28</v>
      </c>
      <c r="I406" s="11" t="s">
        <v>28</v>
      </c>
      <c r="J406" s="11" t="s">
        <v>28</v>
      </c>
      <c r="K406" s="11" t="s">
        <v>28</v>
      </c>
      <c r="L406" s="11" t="s">
        <v>28</v>
      </c>
      <c r="M406" s="11" t="s">
        <v>28</v>
      </c>
      <c r="N406" s="8">
        <v>45513</v>
      </c>
      <c r="O406" s="9" t="s">
        <v>30</v>
      </c>
      <c r="P406" s="12" t="s">
        <v>1620</v>
      </c>
      <c r="Q406" s="9" t="s">
        <v>95</v>
      </c>
      <c r="R406" s="14" t="str">
        <f>HYPERLINK("https://my.pitchbook.com?c=270882-91T","View Company Online")</f>
        <v>View Company Online</v>
      </c>
    </row>
    <row r="407" spans="1:18" hidden="1" x14ac:dyDescent="0.3">
      <c r="A407" s="15" t="s">
        <v>1621</v>
      </c>
      <c r="B407" s="15" t="s">
        <v>1622</v>
      </c>
      <c r="C407" s="18" t="s">
        <v>28</v>
      </c>
      <c r="D407" s="15" t="s">
        <v>1623</v>
      </c>
      <c r="E407" s="18" t="s">
        <v>28</v>
      </c>
      <c r="F407" s="19" t="s">
        <v>28</v>
      </c>
      <c r="G407" s="19" t="s">
        <v>28</v>
      </c>
      <c r="H407" s="19" t="s">
        <v>28</v>
      </c>
      <c r="I407" s="18" t="s">
        <v>28</v>
      </c>
      <c r="J407" s="18" t="s">
        <v>28</v>
      </c>
      <c r="K407" s="18" t="s">
        <v>28</v>
      </c>
      <c r="L407" s="18" t="s">
        <v>28</v>
      </c>
      <c r="M407" s="18" t="s">
        <v>28</v>
      </c>
      <c r="N407" s="17">
        <v>45512</v>
      </c>
      <c r="O407" s="15" t="s">
        <v>30</v>
      </c>
      <c r="P407" s="16" t="s">
        <v>1624</v>
      </c>
      <c r="Q407" s="15" t="s">
        <v>75</v>
      </c>
      <c r="R407" s="13" t="str">
        <f>HYPERLINK("https://my.pitchbook.com?c=269302-06T","View Company Online")</f>
        <v>View Company Online</v>
      </c>
    </row>
    <row r="408" spans="1:18" hidden="1" x14ac:dyDescent="0.3">
      <c r="A408" s="9" t="s">
        <v>1625</v>
      </c>
      <c r="B408" s="9" t="s">
        <v>1626</v>
      </c>
      <c r="C408" s="11" t="s">
        <v>28</v>
      </c>
      <c r="D408" s="9" t="s">
        <v>1627</v>
      </c>
      <c r="E408" s="11" t="s">
        <v>28</v>
      </c>
      <c r="F408" s="10" t="s">
        <v>28</v>
      </c>
      <c r="G408" s="10">
        <v>11.05</v>
      </c>
      <c r="H408" s="10" t="s">
        <v>28</v>
      </c>
      <c r="I408" s="11" t="s">
        <v>28</v>
      </c>
      <c r="J408" s="11" t="s">
        <v>28</v>
      </c>
      <c r="K408" s="11" t="s">
        <v>28</v>
      </c>
      <c r="L408" s="11" t="s">
        <v>28</v>
      </c>
      <c r="M408" s="11" t="s">
        <v>28</v>
      </c>
      <c r="N408" s="8">
        <v>45512</v>
      </c>
      <c r="O408" s="9" t="s">
        <v>79</v>
      </c>
      <c r="P408" s="12" t="s">
        <v>1628</v>
      </c>
      <c r="Q408" s="9" t="s">
        <v>37</v>
      </c>
      <c r="R408" s="14" t="str">
        <f>HYPERLINK("https://my.pitchbook.com?c=269371-54T","View Company Online")</f>
        <v>View Company Online</v>
      </c>
    </row>
    <row r="409" spans="1:18" hidden="1" x14ac:dyDescent="0.3">
      <c r="A409" s="15" t="s">
        <v>1629</v>
      </c>
      <c r="B409" s="15" t="s">
        <v>1630</v>
      </c>
      <c r="C409" s="18" t="s">
        <v>28</v>
      </c>
      <c r="D409" s="15" t="s">
        <v>1631</v>
      </c>
      <c r="E409" s="18" t="s">
        <v>28</v>
      </c>
      <c r="F409" s="19" t="s">
        <v>28</v>
      </c>
      <c r="G409" s="19">
        <v>0.54</v>
      </c>
      <c r="H409" s="19" t="s">
        <v>28</v>
      </c>
      <c r="I409" s="18" t="s">
        <v>28</v>
      </c>
      <c r="J409" s="18" t="s">
        <v>28</v>
      </c>
      <c r="K409" s="18" t="s">
        <v>28</v>
      </c>
      <c r="L409" s="18" t="s">
        <v>28</v>
      </c>
      <c r="M409" s="18" t="s">
        <v>28</v>
      </c>
      <c r="N409" s="17">
        <v>45512</v>
      </c>
      <c r="O409" s="15" t="s">
        <v>73</v>
      </c>
      <c r="P409" s="16" t="s">
        <v>1632</v>
      </c>
      <c r="Q409" s="15" t="s">
        <v>37</v>
      </c>
      <c r="R409" s="13" t="str">
        <f>HYPERLINK("https://my.pitchbook.com?c=268011-10T","View Company Online")</f>
        <v>View Company Online</v>
      </c>
    </row>
    <row r="410" spans="1:18" hidden="1" x14ac:dyDescent="0.3">
      <c r="A410" s="9" t="s">
        <v>1633</v>
      </c>
      <c r="B410" s="9" t="s">
        <v>1634</v>
      </c>
      <c r="C410" s="11" t="s">
        <v>28</v>
      </c>
      <c r="D410" s="9" t="s">
        <v>1635</v>
      </c>
      <c r="E410" s="11" t="s">
        <v>28</v>
      </c>
      <c r="F410" s="10" t="s">
        <v>28</v>
      </c>
      <c r="G410" s="10" t="s">
        <v>28</v>
      </c>
      <c r="H410" s="10" t="s">
        <v>28</v>
      </c>
      <c r="I410" s="11" t="s">
        <v>28</v>
      </c>
      <c r="J410" s="11" t="s">
        <v>28</v>
      </c>
      <c r="K410" s="11" t="s">
        <v>28</v>
      </c>
      <c r="L410" s="11" t="s">
        <v>28</v>
      </c>
      <c r="M410" s="11" t="s">
        <v>28</v>
      </c>
      <c r="N410" s="8">
        <v>45512</v>
      </c>
      <c r="O410" s="9" t="s">
        <v>99</v>
      </c>
      <c r="P410" s="12" t="s">
        <v>611</v>
      </c>
      <c r="Q410" s="9" t="s">
        <v>75</v>
      </c>
      <c r="R410" s="14" t="str">
        <f>HYPERLINK("https://my.pitchbook.com?c=270395-20T","View Company Online")</f>
        <v>View Company Online</v>
      </c>
    </row>
    <row r="411" spans="1:18" hidden="1" x14ac:dyDescent="0.3">
      <c r="A411" s="15" t="s">
        <v>1636</v>
      </c>
      <c r="B411" s="15" t="s">
        <v>1637</v>
      </c>
      <c r="C411" s="18" t="s">
        <v>28</v>
      </c>
      <c r="D411" s="15" t="s">
        <v>1638</v>
      </c>
      <c r="E411" s="18" t="s">
        <v>28</v>
      </c>
      <c r="F411" s="19" t="s">
        <v>28</v>
      </c>
      <c r="G411" s="19">
        <v>0.17</v>
      </c>
      <c r="H411" s="19">
        <v>1.6</v>
      </c>
      <c r="I411" s="18" t="s">
        <v>28</v>
      </c>
      <c r="J411" s="18" t="s">
        <v>28</v>
      </c>
      <c r="K411" s="18" t="s">
        <v>28</v>
      </c>
      <c r="L411" s="18" t="s">
        <v>28</v>
      </c>
      <c r="M411" s="18" t="s">
        <v>28</v>
      </c>
      <c r="N411" s="17">
        <v>45512</v>
      </c>
      <c r="O411" s="15" t="s">
        <v>1639</v>
      </c>
      <c r="P411" s="16" t="s">
        <v>28</v>
      </c>
      <c r="Q411" s="15" t="s">
        <v>855</v>
      </c>
      <c r="R411" s="13" t="str">
        <f>HYPERLINK("https://my.pitchbook.com?c=241892-02T","View Company Online")</f>
        <v>View Company Online</v>
      </c>
    </row>
    <row r="412" spans="1:18" hidden="1" x14ac:dyDescent="0.3">
      <c r="A412" s="9" t="s">
        <v>1640</v>
      </c>
      <c r="B412" s="9" t="s">
        <v>1641</v>
      </c>
      <c r="C412" s="11" t="s">
        <v>28</v>
      </c>
      <c r="D412" s="9" t="s">
        <v>1642</v>
      </c>
      <c r="E412" s="11" t="s">
        <v>28</v>
      </c>
      <c r="F412" s="10" t="s">
        <v>28</v>
      </c>
      <c r="G412" s="10" t="s">
        <v>28</v>
      </c>
      <c r="H412" s="10" t="s">
        <v>28</v>
      </c>
      <c r="I412" s="11" t="s">
        <v>28</v>
      </c>
      <c r="J412" s="11" t="s">
        <v>28</v>
      </c>
      <c r="K412" s="11" t="s">
        <v>28</v>
      </c>
      <c r="L412" s="11" t="s">
        <v>28</v>
      </c>
      <c r="M412" s="11" t="s">
        <v>28</v>
      </c>
      <c r="N412" s="8">
        <v>45511</v>
      </c>
      <c r="O412" s="9" t="s">
        <v>79</v>
      </c>
      <c r="P412" s="12" t="s">
        <v>135</v>
      </c>
      <c r="Q412" s="9" t="s">
        <v>1643</v>
      </c>
      <c r="R412" s="14" t="str">
        <f>HYPERLINK("https://my.pitchbook.com?c=269232-49T","View Company Online")</f>
        <v>View Company Online</v>
      </c>
    </row>
    <row r="413" spans="1:18" hidden="1" x14ac:dyDescent="0.3">
      <c r="A413" s="15" t="s">
        <v>1644</v>
      </c>
      <c r="B413" s="15" t="s">
        <v>1645</v>
      </c>
      <c r="C413" s="18" t="s">
        <v>28</v>
      </c>
      <c r="D413" s="15" t="s">
        <v>1646</v>
      </c>
      <c r="E413" s="18" t="s">
        <v>28</v>
      </c>
      <c r="F413" s="19" t="s">
        <v>28</v>
      </c>
      <c r="G413" s="19" t="s">
        <v>28</v>
      </c>
      <c r="H413" s="19" t="s">
        <v>28</v>
      </c>
      <c r="I413" s="18" t="s">
        <v>28</v>
      </c>
      <c r="J413" s="18" t="s">
        <v>28</v>
      </c>
      <c r="K413" s="18" t="s">
        <v>28</v>
      </c>
      <c r="L413" s="18" t="s">
        <v>28</v>
      </c>
      <c r="M413" s="18" t="s">
        <v>28</v>
      </c>
      <c r="N413" s="17">
        <v>45511</v>
      </c>
      <c r="O413" s="15" t="s">
        <v>30</v>
      </c>
      <c r="P413" s="16" t="s">
        <v>1647</v>
      </c>
      <c r="Q413" s="15" t="s">
        <v>235</v>
      </c>
      <c r="R413" s="13" t="str">
        <f>HYPERLINK("https://my.pitchbook.com?c=292216-78T","View Company Online")</f>
        <v>View Company Online</v>
      </c>
    </row>
    <row r="414" spans="1:18" hidden="1" x14ac:dyDescent="0.3">
      <c r="A414" s="9" t="s">
        <v>1648</v>
      </c>
      <c r="B414" s="9" t="s">
        <v>1649</v>
      </c>
      <c r="C414" s="11" t="s">
        <v>28</v>
      </c>
      <c r="D414" s="9" t="s">
        <v>1650</v>
      </c>
      <c r="E414" s="11" t="s">
        <v>28</v>
      </c>
      <c r="F414" s="10" t="s">
        <v>28</v>
      </c>
      <c r="G414" s="10" t="s">
        <v>28</v>
      </c>
      <c r="H414" s="10" t="s">
        <v>28</v>
      </c>
      <c r="I414" s="11" t="s">
        <v>28</v>
      </c>
      <c r="J414" s="11" t="s">
        <v>28</v>
      </c>
      <c r="K414" s="11" t="s">
        <v>28</v>
      </c>
      <c r="L414" s="11" t="s">
        <v>28</v>
      </c>
      <c r="M414" s="11" t="s">
        <v>28</v>
      </c>
      <c r="N414" s="8">
        <v>45511</v>
      </c>
      <c r="O414" s="9" t="s">
        <v>52</v>
      </c>
      <c r="P414" s="12" t="s">
        <v>1651</v>
      </c>
      <c r="Q414" s="9" t="s">
        <v>75</v>
      </c>
      <c r="R414" s="14" t="str">
        <f>HYPERLINK("https://my.pitchbook.com?c=285463-90T","View Company Online")</f>
        <v>View Company Online</v>
      </c>
    </row>
    <row r="415" spans="1:18" hidden="1" x14ac:dyDescent="0.3">
      <c r="A415" s="15" t="s">
        <v>1652</v>
      </c>
      <c r="B415" s="15" t="s">
        <v>1653</v>
      </c>
      <c r="C415" s="18" t="s">
        <v>28</v>
      </c>
      <c r="D415" s="15" t="s">
        <v>1654</v>
      </c>
      <c r="E415" s="18" t="s">
        <v>28</v>
      </c>
      <c r="F415" s="19" t="s">
        <v>28</v>
      </c>
      <c r="G415" s="19">
        <v>0.05</v>
      </c>
      <c r="H415" s="19" t="s">
        <v>28</v>
      </c>
      <c r="I415" s="18" t="s">
        <v>28</v>
      </c>
      <c r="J415" s="18" t="s">
        <v>28</v>
      </c>
      <c r="K415" s="18" t="s">
        <v>28</v>
      </c>
      <c r="L415" s="18" t="s">
        <v>28</v>
      </c>
      <c r="M415" s="18" t="s">
        <v>28</v>
      </c>
      <c r="N415" s="17">
        <v>45510</v>
      </c>
      <c r="O415" s="15" t="s">
        <v>99</v>
      </c>
      <c r="P415" s="16" t="s">
        <v>221</v>
      </c>
      <c r="Q415" s="15" t="s">
        <v>37</v>
      </c>
      <c r="R415" s="13" t="str">
        <f>HYPERLINK("https://my.pitchbook.com?c=280413-55T","View Company Online")</f>
        <v>View Company Online</v>
      </c>
    </row>
    <row r="416" spans="1:18" hidden="1" x14ac:dyDescent="0.3">
      <c r="A416" s="9" t="s">
        <v>1655</v>
      </c>
      <c r="B416" s="9" t="s">
        <v>1656</v>
      </c>
      <c r="C416" s="11" t="s">
        <v>28</v>
      </c>
      <c r="D416" s="9" t="s">
        <v>1657</v>
      </c>
      <c r="E416" s="11" t="s">
        <v>28</v>
      </c>
      <c r="F416" s="10" t="s">
        <v>28</v>
      </c>
      <c r="G416" s="10" t="s">
        <v>28</v>
      </c>
      <c r="H416" s="10" t="s">
        <v>28</v>
      </c>
      <c r="I416" s="11" t="s">
        <v>28</v>
      </c>
      <c r="J416" s="11" t="s">
        <v>28</v>
      </c>
      <c r="K416" s="11" t="s">
        <v>28</v>
      </c>
      <c r="L416" s="11" t="s">
        <v>28</v>
      </c>
      <c r="M416" s="11" t="s">
        <v>28</v>
      </c>
      <c r="N416" s="8">
        <v>45510</v>
      </c>
      <c r="O416" s="9" t="s">
        <v>173</v>
      </c>
      <c r="P416" s="12" t="s">
        <v>28</v>
      </c>
      <c r="Q416" s="9" t="s">
        <v>240</v>
      </c>
      <c r="R416" s="14" t="str">
        <f>HYPERLINK("https://my.pitchbook.com?c=269289-55T","View Company Online")</f>
        <v>View Company Online</v>
      </c>
    </row>
    <row r="417" spans="1:18" hidden="1" x14ac:dyDescent="0.3">
      <c r="A417" s="15" t="s">
        <v>1658</v>
      </c>
      <c r="B417" s="15" t="s">
        <v>1659</v>
      </c>
      <c r="C417" s="18" t="s">
        <v>28</v>
      </c>
      <c r="D417" s="15" t="s">
        <v>1660</v>
      </c>
      <c r="E417" s="18" t="s">
        <v>28</v>
      </c>
      <c r="F417" s="19" t="s">
        <v>28</v>
      </c>
      <c r="G417" s="19">
        <v>0.11</v>
      </c>
      <c r="H417" s="19">
        <v>1.1499999999999999</v>
      </c>
      <c r="I417" s="18" t="s">
        <v>28</v>
      </c>
      <c r="J417" s="18" t="s">
        <v>28</v>
      </c>
      <c r="K417" s="18" t="s">
        <v>28</v>
      </c>
      <c r="L417" s="18" t="s">
        <v>28</v>
      </c>
      <c r="M417" s="18" t="s">
        <v>28</v>
      </c>
      <c r="N417" s="17">
        <v>45509</v>
      </c>
      <c r="O417" s="15" t="s">
        <v>1639</v>
      </c>
      <c r="P417" s="16" t="s">
        <v>28</v>
      </c>
      <c r="Q417" s="15" t="s">
        <v>136</v>
      </c>
      <c r="R417" s="13" t="str">
        <f>HYPERLINK("https://my.pitchbook.com?c=255692-98T","View Company Online")</f>
        <v>View Company Online</v>
      </c>
    </row>
    <row r="418" spans="1:18" hidden="1" x14ac:dyDescent="0.3">
      <c r="A418" s="9" t="s">
        <v>1661</v>
      </c>
      <c r="B418" s="9" t="s">
        <v>1436</v>
      </c>
      <c r="C418" s="11" t="s">
        <v>28</v>
      </c>
      <c r="D418" s="9" t="s">
        <v>1437</v>
      </c>
      <c r="E418" s="11" t="s">
        <v>28</v>
      </c>
      <c r="F418" s="10" t="s">
        <v>28</v>
      </c>
      <c r="G418" s="10" t="s">
        <v>28</v>
      </c>
      <c r="H418" s="10" t="s">
        <v>28</v>
      </c>
      <c r="I418" s="11" t="s">
        <v>28</v>
      </c>
      <c r="J418" s="11" t="s">
        <v>28</v>
      </c>
      <c r="K418" s="11" t="s">
        <v>28</v>
      </c>
      <c r="L418" s="11" t="s">
        <v>28</v>
      </c>
      <c r="M418" s="11" t="s">
        <v>28</v>
      </c>
      <c r="N418" s="8">
        <v>45509</v>
      </c>
      <c r="O418" s="9" t="s">
        <v>52</v>
      </c>
      <c r="P418" s="12" t="s">
        <v>1662</v>
      </c>
      <c r="Q418" s="9" t="s">
        <v>75</v>
      </c>
      <c r="R418" s="14" t="str">
        <f>HYPERLINK("https://my.pitchbook.com?c=270539-47T","View Company Online")</f>
        <v>View Company Online</v>
      </c>
    </row>
    <row r="419" spans="1:18" hidden="1" x14ac:dyDescent="0.3">
      <c r="A419" s="15" t="s">
        <v>1663</v>
      </c>
      <c r="B419" s="15" t="s">
        <v>1664</v>
      </c>
      <c r="C419" s="18" t="s">
        <v>28</v>
      </c>
      <c r="D419" s="15" t="s">
        <v>1665</v>
      </c>
      <c r="E419" s="18" t="s">
        <v>28</v>
      </c>
      <c r="F419" s="19" t="s">
        <v>28</v>
      </c>
      <c r="G419" s="19" t="s">
        <v>28</v>
      </c>
      <c r="H419" s="19" t="s">
        <v>28</v>
      </c>
      <c r="I419" s="18" t="s">
        <v>28</v>
      </c>
      <c r="J419" s="18" t="s">
        <v>28</v>
      </c>
      <c r="K419" s="18" t="s">
        <v>28</v>
      </c>
      <c r="L419" s="18" t="s">
        <v>28</v>
      </c>
      <c r="M419" s="18" t="s">
        <v>28</v>
      </c>
      <c r="N419" s="17">
        <v>45509</v>
      </c>
      <c r="O419" s="15" t="s">
        <v>30</v>
      </c>
      <c r="P419" s="16" t="s">
        <v>1666</v>
      </c>
      <c r="Q419" s="15" t="s">
        <v>913</v>
      </c>
      <c r="R419" s="13" t="str">
        <f>HYPERLINK("https://my.pitchbook.com?c=268951-51T","View Company Online")</f>
        <v>View Company Online</v>
      </c>
    </row>
    <row r="420" spans="1:18" hidden="1" x14ac:dyDescent="0.3">
      <c r="A420" s="9" t="s">
        <v>1667</v>
      </c>
      <c r="B420" s="9" t="s">
        <v>1668</v>
      </c>
      <c r="C420" s="11" t="s">
        <v>28</v>
      </c>
      <c r="D420" s="9" t="s">
        <v>1669</v>
      </c>
      <c r="E420" s="11" t="s">
        <v>28</v>
      </c>
      <c r="F420" s="10" t="s">
        <v>28</v>
      </c>
      <c r="G420" s="10" t="s">
        <v>28</v>
      </c>
      <c r="H420" s="10" t="s">
        <v>28</v>
      </c>
      <c r="I420" s="11" t="s">
        <v>28</v>
      </c>
      <c r="J420" s="11" t="s">
        <v>28</v>
      </c>
      <c r="K420" s="11" t="s">
        <v>28</v>
      </c>
      <c r="L420" s="11" t="s">
        <v>28</v>
      </c>
      <c r="M420" s="11" t="s">
        <v>28</v>
      </c>
      <c r="N420" s="8">
        <v>45509</v>
      </c>
      <c r="O420" s="9" t="s">
        <v>30</v>
      </c>
      <c r="P420" s="12" t="s">
        <v>28</v>
      </c>
      <c r="Q420" s="9" t="s">
        <v>183</v>
      </c>
      <c r="R420" s="14" t="str">
        <f>HYPERLINK("https://my.pitchbook.com?c=248418-10T","View Company Online")</f>
        <v>View Company Online</v>
      </c>
    </row>
    <row r="421" spans="1:18" hidden="1" x14ac:dyDescent="0.3">
      <c r="A421" s="15" t="s">
        <v>1670</v>
      </c>
      <c r="B421" s="15" t="s">
        <v>1671</v>
      </c>
      <c r="C421" s="18" t="s">
        <v>28</v>
      </c>
      <c r="D421" s="15" t="s">
        <v>1672</v>
      </c>
      <c r="E421" s="18" t="s">
        <v>28</v>
      </c>
      <c r="F421" s="19" t="s">
        <v>28</v>
      </c>
      <c r="G421" s="19" t="s">
        <v>28</v>
      </c>
      <c r="H421" s="19" t="s">
        <v>28</v>
      </c>
      <c r="I421" s="18" t="s">
        <v>28</v>
      </c>
      <c r="J421" s="18" t="s">
        <v>28</v>
      </c>
      <c r="K421" s="18" t="s">
        <v>28</v>
      </c>
      <c r="L421" s="18" t="s">
        <v>28</v>
      </c>
      <c r="M421" s="18" t="s">
        <v>28</v>
      </c>
      <c r="N421" s="17">
        <v>45509</v>
      </c>
      <c r="O421" s="15" t="s">
        <v>30</v>
      </c>
      <c r="P421" s="16" t="s">
        <v>1673</v>
      </c>
      <c r="Q421" s="15" t="s">
        <v>607</v>
      </c>
      <c r="R421" s="13" t="str">
        <f>HYPERLINK("https://my.pitchbook.com?c=268969-78T","View Company Online")</f>
        <v>View Company Online</v>
      </c>
    </row>
    <row r="422" spans="1:18" hidden="1" x14ac:dyDescent="0.3">
      <c r="A422" s="9" t="s">
        <v>1674</v>
      </c>
      <c r="B422" s="9" t="s">
        <v>499</v>
      </c>
      <c r="C422" s="11" t="s">
        <v>28</v>
      </c>
      <c r="D422" s="9" t="s">
        <v>500</v>
      </c>
      <c r="E422" s="11" t="s">
        <v>28</v>
      </c>
      <c r="F422" s="10" t="s">
        <v>28</v>
      </c>
      <c r="G422" s="10">
        <v>0.04</v>
      </c>
      <c r="H422" s="10" t="s">
        <v>28</v>
      </c>
      <c r="I422" s="11" t="s">
        <v>28</v>
      </c>
      <c r="J422" s="11" t="s">
        <v>28</v>
      </c>
      <c r="K422" s="11" t="s">
        <v>28</v>
      </c>
      <c r="L422" s="11" t="s">
        <v>28</v>
      </c>
      <c r="M422" s="11" t="s">
        <v>28</v>
      </c>
      <c r="N422" s="8">
        <v>45509</v>
      </c>
      <c r="O422" s="9" t="s">
        <v>47</v>
      </c>
      <c r="P422" s="12" t="s">
        <v>1675</v>
      </c>
      <c r="Q422" s="9" t="s">
        <v>136</v>
      </c>
      <c r="R422" s="14" t="str">
        <f>HYPERLINK("https://my.pitchbook.com?c=268843-78T","View Company Online")</f>
        <v>View Company Online</v>
      </c>
    </row>
    <row r="423" spans="1:18" hidden="1" x14ac:dyDescent="0.3">
      <c r="A423" s="15" t="s">
        <v>1676</v>
      </c>
      <c r="B423" s="15" t="s">
        <v>1677</v>
      </c>
      <c r="C423" s="18" t="s">
        <v>28</v>
      </c>
      <c r="D423" s="15" t="s">
        <v>1678</v>
      </c>
      <c r="E423" s="18" t="s">
        <v>28</v>
      </c>
      <c r="F423" s="19" t="s">
        <v>28</v>
      </c>
      <c r="G423" s="19">
        <v>0.5</v>
      </c>
      <c r="H423" s="19" t="s">
        <v>28</v>
      </c>
      <c r="I423" s="18" t="s">
        <v>28</v>
      </c>
      <c r="J423" s="18" t="s">
        <v>28</v>
      </c>
      <c r="K423" s="18" t="s">
        <v>28</v>
      </c>
      <c r="L423" s="18" t="s">
        <v>28</v>
      </c>
      <c r="M423" s="18" t="s">
        <v>28</v>
      </c>
      <c r="N423" s="17">
        <v>45509</v>
      </c>
      <c r="O423" s="15" t="s">
        <v>52</v>
      </c>
      <c r="P423" s="16" t="s">
        <v>1679</v>
      </c>
      <c r="Q423" s="15" t="s">
        <v>75</v>
      </c>
      <c r="R423" s="13" t="str">
        <f>HYPERLINK("https://my.pitchbook.com?c=300179-08T","View Company Online")</f>
        <v>View Company Online</v>
      </c>
    </row>
    <row r="424" spans="1:18" hidden="1" x14ac:dyDescent="0.3">
      <c r="A424" s="9" t="s">
        <v>1680</v>
      </c>
      <c r="B424" s="9" t="s">
        <v>1681</v>
      </c>
      <c r="C424" s="11" t="s">
        <v>28</v>
      </c>
      <c r="D424" s="9" t="s">
        <v>1682</v>
      </c>
      <c r="E424" s="11" t="s">
        <v>28</v>
      </c>
      <c r="F424" s="10" t="s">
        <v>28</v>
      </c>
      <c r="G424" s="10" t="s">
        <v>28</v>
      </c>
      <c r="H424" s="10" t="s">
        <v>28</v>
      </c>
      <c r="I424" s="11" t="s">
        <v>28</v>
      </c>
      <c r="J424" s="11" t="s">
        <v>28</v>
      </c>
      <c r="K424" s="11" t="s">
        <v>28</v>
      </c>
      <c r="L424" s="11" t="s">
        <v>28</v>
      </c>
      <c r="M424" s="11" t="s">
        <v>28</v>
      </c>
      <c r="N424" s="8">
        <v>45506</v>
      </c>
      <c r="O424" s="9" t="s">
        <v>79</v>
      </c>
      <c r="P424" s="12" t="s">
        <v>1683</v>
      </c>
      <c r="Q424" s="9" t="s">
        <v>75</v>
      </c>
      <c r="R424" s="14" t="str">
        <f>HYPERLINK("https://my.pitchbook.com?c=271071-10T","View Company Online")</f>
        <v>View Company Online</v>
      </c>
    </row>
    <row r="425" spans="1:18" hidden="1" x14ac:dyDescent="0.3">
      <c r="A425" s="15" t="s">
        <v>1684</v>
      </c>
      <c r="B425" s="15" t="s">
        <v>1685</v>
      </c>
      <c r="C425" s="18" t="s">
        <v>28</v>
      </c>
      <c r="D425" s="15" t="s">
        <v>1686</v>
      </c>
      <c r="E425" s="18" t="s">
        <v>28</v>
      </c>
      <c r="F425" s="19" t="s">
        <v>28</v>
      </c>
      <c r="G425" s="19">
        <v>144.38</v>
      </c>
      <c r="H425" s="19">
        <v>144.38</v>
      </c>
      <c r="I425" s="18" t="s">
        <v>28</v>
      </c>
      <c r="J425" s="18" t="s">
        <v>28</v>
      </c>
      <c r="K425" s="18" t="s">
        <v>28</v>
      </c>
      <c r="L425" s="18" t="s">
        <v>28</v>
      </c>
      <c r="M425" s="18" t="s">
        <v>28</v>
      </c>
      <c r="N425" s="17">
        <v>45506</v>
      </c>
      <c r="O425" s="15" t="s">
        <v>30</v>
      </c>
      <c r="P425" s="16" t="s">
        <v>769</v>
      </c>
      <c r="Q425" s="15" t="s">
        <v>188</v>
      </c>
      <c r="R425" s="13" t="str">
        <f>HYPERLINK("https://my.pitchbook.com?c=259637-14T","View Company Online")</f>
        <v>View Company Online</v>
      </c>
    </row>
    <row r="426" spans="1:18" hidden="1" x14ac:dyDescent="0.3">
      <c r="A426" s="9" t="s">
        <v>1687</v>
      </c>
      <c r="B426" s="9" t="s">
        <v>1688</v>
      </c>
      <c r="C426" s="11" t="s">
        <v>28</v>
      </c>
      <c r="D426" s="9" t="s">
        <v>1689</v>
      </c>
      <c r="E426" s="11" t="s">
        <v>28</v>
      </c>
      <c r="F426" s="10" t="s">
        <v>28</v>
      </c>
      <c r="G426" s="10" t="s">
        <v>28</v>
      </c>
      <c r="H426" s="10" t="s">
        <v>28</v>
      </c>
      <c r="I426" s="11" t="s">
        <v>28</v>
      </c>
      <c r="J426" s="11" t="s">
        <v>28</v>
      </c>
      <c r="K426" s="11" t="s">
        <v>28</v>
      </c>
      <c r="L426" s="11" t="s">
        <v>28</v>
      </c>
      <c r="M426" s="11" t="s">
        <v>28</v>
      </c>
      <c r="N426" s="8">
        <v>45506</v>
      </c>
      <c r="O426" s="9" t="s">
        <v>30</v>
      </c>
      <c r="P426" s="12" t="s">
        <v>1690</v>
      </c>
      <c r="Q426" s="9" t="s">
        <v>616</v>
      </c>
      <c r="R426" s="14" t="str">
        <f>HYPERLINK("https://my.pitchbook.com?c=276535-63T","View Company Online")</f>
        <v>View Company Online</v>
      </c>
    </row>
    <row r="427" spans="1:18" hidden="1" x14ac:dyDescent="0.3">
      <c r="A427" s="15" t="s">
        <v>1691</v>
      </c>
      <c r="B427" s="15" t="s">
        <v>1692</v>
      </c>
      <c r="C427" s="18" t="s">
        <v>28</v>
      </c>
      <c r="D427" s="15" t="s">
        <v>1693</v>
      </c>
      <c r="E427" s="18" t="s">
        <v>28</v>
      </c>
      <c r="F427" s="19" t="s">
        <v>28</v>
      </c>
      <c r="G427" s="19" t="s">
        <v>28</v>
      </c>
      <c r="H427" s="19" t="s">
        <v>28</v>
      </c>
      <c r="I427" s="18" t="s">
        <v>28</v>
      </c>
      <c r="J427" s="18" t="s">
        <v>28</v>
      </c>
      <c r="K427" s="18" t="s">
        <v>28</v>
      </c>
      <c r="L427" s="18" t="s">
        <v>28</v>
      </c>
      <c r="M427" s="18" t="s">
        <v>28</v>
      </c>
      <c r="N427" s="17">
        <v>45506</v>
      </c>
      <c r="O427" s="15" t="s">
        <v>30</v>
      </c>
      <c r="P427" s="16" t="s">
        <v>164</v>
      </c>
      <c r="Q427" s="15" t="s">
        <v>235</v>
      </c>
      <c r="R427" s="13" t="str">
        <f>HYPERLINK("https://my.pitchbook.com?c=268970-41T","View Company Online")</f>
        <v>View Company Online</v>
      </c>
    </row>
    <row r="428" spans="1:18" hidden="1" x14ac:dyDescent="0.3">
      <c r="A428" s="9" t="s">
        <v>1694</v>
      </c>
      <c r="B428" s="9" t="s">
        <v>1695</v>
      </c>
      <c r="C428" s="11" t="s">
        <v>28</v>
      </c>
      <c r="D428" s="9" t="s">
        <v>1696</v>
      </c>
      <c r="E428" s="11" t="s">
        <v>28</v>
      </c>
      <c r="F428" s="10" t="s">
        <v>28</v>
      </c>
      <c r="G428" s="10" t="s">
        <v>28</v>
      </c>
      <c r="H428" s="10" t="s">
        <v>28</v>
      </c>
      <c r="I428" s="11" t="s">
        <v>28</v>
      </c>
      <c r="J428" s="11" t="s">
        <v>28</v>
      </c>
      <c r="K428" s="11" t="s">
        <v>28</v>
      </c>
      <c r="L428" s="11" t="s">
        <v>28</v>
      </c>
      <c r="M428" s="11" t="s">
        <v>28</v>
      </c>
      <c r="N428" s="8">
        <v>45505</v>
      </c>
      <c r="O428" s="9" t="s">
        <v>73</v>
      </c>
      <c r="P428" s="12" t="s">
        <v>1697</v>
      </c>
      <c r="Q428" s="9" t="s">
        <v>616</v>
      </c>
      <c r="R428" s="14" t="str">
        <f>HYPERLINK("https://my.pitchbook.com?c=268941-25T","View Company Online")</f>
        <v>View Company Online</v>
      </c>
    </row>
    <row r="429" spans="1:18" hidden="1" x14ac:dyDescent="0.3">
      <c r="A429" s="15" t="s">
        <v>1698</v>
      </c>
      <c r="B429" s="15" t="s">
        <v>1699</v>
      </c>
      <c r="C429" s="18" t="s">
        <v>28</v>
      </c>
      <c r="D429" s="15" t="s">
        <v>1700</v>
      </c>
      <c r="E429" s="18" t="s">
        <v>28</v>
      </c>
      <c r="F429" s="19" t="s">
        <v>28</v>
      </c>
      <c r="G429" s="19" t="s">
        <v>28</v>
      </c>
      <c r="H429" s="19" t="s">
        <v>28</v>
      </c>
      <c r="I429" s="18" t="s">
        <v>28</v>
      </c>
      <c r="J429" s="18" t="s">
        <v>28</v>
      </c>
      <c r="K429" s="18" t="s">
        <v>28</v>
      </c>
      <c r="L429" s="18" t="s">
        <v>28</v>
      </c>
      <c r="M429" s="18" t="s">
        <v>28</v>
      </c>
      <c r="N429" s="17">
        <v>45505</v>
      </c>
      <c r="O429" s="15" t="s">
        <v>73</v>
      </c>
      <c r="P429" s="16" t="s">
        <v>1701</v>
      </c>
      <c r="Q429" s="15" t="s">
        <v>37</v>
      </c>
      <c r="R429" s="13" t="str">
        <f>HYPERLINK("https://my.pitchbook.com?c=272985-13T","View Company Online")</f>
        <v>View Company Online</v>
      </c>
    </row>
    <row r="430" spans="1:18" hidden="1" x14ac:dyDescent="0.3">
      <c r="A430" s="9" t="s">
        <v>1702</v>
      </c>
      <c r="B430" s="9" t="s">
        <v>1703</v>
      </c>
      <c r="C430" s="11" t="s">
        <v>28</v>
      </c>
      <c r="D430" s="9" t="s">
        <v>1704</v>
      </c>
      <c r="E430" s="11" t="s">
        <v>28</v>
      </c>
      <c r="F430" s="10" t="s">
        <v>28</v>
      </c>
      <c r="G430" s="10" t="s">
        <v>28</v>
      </c>
      <c r="H430" s="10" t="s">
        <v>28</v>
      </c>
      <c r="I430" s="11" t="s">
        <v>28</v>
      </c>
      <c r="J430" s="11" t="s">
        <v>28</v>
      </c>
      <c r="K430" s="11" t="s">
        <v>28</v>
      </c>
      <c r="L430" s="11" t="s">
        <v>28</v>
      </c>
      <c r="M430" s="11" t="s">
        <v>28</v>
      </c>
      <c r="N430" s="8">
        <v>45505</v>
      </c>
      <c r="O430" s="9" t="s">
        <v>30</v>
      </c>
      <c r="P430" s="12" t="s">
        <v>28</v>
      </c>
      <c r="Q430" s="9" t="s">
        <v>1179</v>
      </c>
      <c r="R430" s="14" t="str">
        <f>HYPERLINK("https://my.pitchbook.com?c=268595-20T","View Company Online")</f>
        <v>View Company Online</v>
      </c>
    </row>
    <row r="431" spans="1:18" hidden="1" x14ac:dyDescent="0.3">
      <c r="A431" s="15" t="s">
        <v>1705</v>
      </c>
      <c r="B431" s="15" t="s">
        <v>1706</v>
      </c>
      <c r="C431" s="18" t="s">
        <v>28</v>
      </c>
      <c r="D431" s="15" t="s">
        <v>1707</v>
      </c>
      <c r="E431" s="18" t="s">
        <v>28</v>
      </c>
      <c r="F431" s="19" t="s">
        <v>28</v>
      </c>
      <c r="G431" s="19">
        <v>0.46</v>
      </c>
      <c r="H431" s="19" t="s">
        <v>28</v>
      </c>
      <c r="I431" s="18" t="s">
        <v>28</v>
      </c>
      <c r="J431" s="18" t="s">
        <v>28</v>
      </c>
      <c r="K431" s="18" t="s">
        <v>28</v>
      </c>
      <c r="L431" s="18" t="s">
        <v>28</v>
      </c>
      <c r="M431" s="18" t="s">
        <v>28</v>
      </c>
      <c r="N431" s="17">
        <v>45505</v>
      </c>
      <c r="O431" s="15" t="s">
        <v>1639</v>
      </c>
      <c r="P431" s="16" t="s">
        <v>28</v>
      </c>
      <c r="Q431" s="15" t="s">
        <v>616</v>
      </c>
      <c r="R431" s="13" t="str">
        <f>HYPERLINK("https://my.pitchbook.com?c=256881-88T","View Company Online")</f>
        <v>View Company Online</v>
      </c>
    </row>
    <row r="432" spans="1:18" hidden="1" x14ac:dyDescent="0.3">
      <c r="A432" s="9" t="s">
        <v>1708</v>
      </c>
      <c r="B432" s="9" t="s">
        <v>1709</v>
      </c>
      <c r="C432" s="11" t="s">
        <v>28</v>
      </c>
      <c r="D432" s="9" t="s">
        <v>1710</v>
      </c>
      <c r="E432" s="11" t="s">
        <v>28</v>
      </c>
      <c r="F432" s="10" t="s">
        <v>28</v>
      </c>
      <c r="G432" s="10" t="s">
        <v>28</v>
      </c>
      <c r="H432" s="10" t="s">
        <v>28</v>
      </c>
      <c r="I432" s="11" t="s">
        <v>28</v>
      </c>
      <c r="J432" s="11" t="s">
        <v>28</v>
      </c>
      <c r="K432" s="11" t="s">
        <v>28</v>
      </c>
      <c r="L432" s="11" t="s">
        <v>28</v>
      </c>
      <c r="M432" s="11" t="s">
        <v>28</v>
      </c>
      <c r="N432" s="8">
        <v>45505</v>
      </c>
      <c r="O432" s="9" t="s">
        <v>93</v>
      </c>
      <c r="P432" s="12" t="s">
        <v>1711</v>
      </c>
      <c r="Q432" s="9" t="s">
        <v>1035</v>
      </c>
      <c r="R432" s="14" t="str">
        <f>HYPERLINK("https://my.pitchbook.com?c=270310-78T","View Company Online")</f>
        <v>View Company Online</v>
      </c>
    </row>
    <row r="433" spans="1:18" hidden="1" x14ac:dyDescent="0.3">
      <c r="A433" s="15" t="s">
        <v>1712</v>
      </c>
      <c r="B433" s="15" t="s">
        <v>1713</v>
      </c>
      <c r="C433" s="18" t="s">
        <v>28</v>
      </c>
      <c r="D433" s="15" t="s">
        <v>1714</v>
      </c>
      <c r="E433" s="18" t="s">
        <v>28</v>
      </c>
      <c r="F433" s="19" t="s">
        <v>28</v>
      </c>
      <c r="G433" s="19" t="s">
        <v>28</v>
      </c>
      <c r="H433" s="19" t="s">
        <v>28</v>
      </c>
      <c r="I433" s="18" t="s">
        <v>28</v>
      </c>
      <c r="J433" s="18" t="s">
        <v>28</v>
      </c>
      <c r="K433" s="18" t="s">
        <v>28</v>
      </c>
      <c r="L433" s="18" t="s">
        <v>28</v>
      </c>
      <c r="M433" s="18" t="s">
        <v>28</v>
      </c>
      <c r="N433" s="17">
        <v>45505</v>
      </c>
      <c r="O433" s="15" t="s">
        <v>79</v>
      </c>
      <c r="P433" s="16" t="s">
        <v>1715</v>
      </c>
      <c r="Q433" s="15" t="s">
        <v>419</v>
      </c>
      <c r="R433" s="13" t="str">
        <f>HYPERLINK("https://my.pitchbook.com?c=270634-78T","View Company Online")</f>
        <v>View Company Online</v>
      </c>
    </row>
    <row r="434" spans="1:18" hidden="1" x14ac:dyDescent="0.3">
      <c r="A434" s="9" t="s">
        <v>1716</v>
      </c>
      <c r="B434" s="9" t="s">
        <v>1717</v>
      </c>
      <c r="C434" s="11" t="s">
        <v>28</v>
      </c>
      <c r="D434" s="9" t="s">
        <v>1718</v>
      </c>
      <c r="E434" s="11" t="s">
        <v>28</v>
      </c>
      <c r="F434" s="10" t="s">
        <v>28</v>
      </c>
      <c r="G434" s="10" t="s">
        <v>28</v>
      </c>
      <c r="H434" s="10" t="s">
        <v>28</v>
      </c>
      <c r="I434" s="11" t="s">
        <v>28</v>
      </c>
      <c r="J434" s="11" t="s">
        <v>28</v>
      </c>
      <c r="K434" s="11" t="s">
        <v>28</v>
      </c>
      <c r="L434" s="11" t="s">
        <v>28</v>
      </c>
      <c r="M434" s="11" t="s">
        <v>28</v>
      </c>
      <c r="N434" s="8">
        <v>45505</v>
      </c>
      <c r="O434" s="9" t="s">
        <v>30</v>
      </c>
      <c r="P434" s="12" t="s">
        <v>28</v>
      </c>
      <c r="Q434" s="9" t="s">
        <v>54</v>
      </c>
      <c r="R434" s="14" t="str">
        <f>HYPERLINK("https://my.pitchbook.com?c=289458-73T","View Company Online")</f>
        <v>View Company Online</v>
      </c>
    </row>
    <row r="435" spans="1:18" hidden="1" x14ac:dyDescent="0.3">
      <c r="A435" s="15" t="s">
        <v>1719</v>
      </c>
      <c r="B435" s="15" t="s">
        <v>1720</v>
      </c>
      <c r="C435" s="18" t="s">
        <v>28</v>
      </c>
      <c r="D435" s="15" t="s">
        <v>1721</v>
      </c>
      <c r="E435" s="18" t="s">
        <v>28</v>
      </c>
      <c r="F435" s="19" t="s">
        <v>28</v>
      </c>
      <c r="G435" s="19" t="s">
        <v>28</v>
      </c>
      <c r="H435" s="19" t="s">
        <v>28</v>
      </c>
      <c r="I435" s="18" t="s">
        <v>28</v>
      </c>
      <c r="J435" s="18" t="s">
        <v>28</v>
      </c>
      <c r="K435" s="18" t="s">
        <v>28</v>
      </c>
      <c r="L435" s="18" t="s">
        <v>28</v>
      </c>
      <c r="M435" s="18" t="s">
        <v>28</v>
      </c>
      <c r="N435" s="17">
        <v>45505</v>
      </c>
      <c r="O435" s="15" t="s">
        <v>93</v>
      </c>
      <c r="P435" s="16" t="s">
        <v>806</v>
      </c>
      <c r="Q435" s="15" t="s">
        <v>249</v>
      </c>
      <c r="R435" s="13" t="str">
        <f>HYPERLINK("https://my.pitchbook.com?c=269128-81T","View Company Online")</f>
        <v>View Company Online</v>
      </c>
    </row>
    <row r="436" spans="1:18" x14ac:dyDescent="0.3">
      <c r="A436" s="9" t="s">
        <v>1722</v>
      </c>
      <c r="B436" s="9" t="s">
        <v>1723</v>
      </c>
      <c r="C436" s="11">
        <v>1.61</v>
      </c>
      <c r="D436" s="9" t="s">
        <v>1724</v>
      </c>
      <c r="E436" s="11">
        <v>-63.01</v>
      </c>
      <c r="F436" s="10">
        <v>191.85</v>
      </c>
      <c r="G436" s="10">
        <v>1104.28</v>
      </c>
      <c r="H436" s="10">
        <v>1104.28</v>
      </c>
      <c r="I436" s="11">
        <v>119.27</v>
      </c>
      <c r="J436" s="11">
        <v>9.26</v>
      </c>
      <c r="K436" s="11">
        <v>378.42</v>
      </c>
      <c r="L436" s="11">
        <v>2.92</v>
      </c>
      <c r="M436" s="11">
        <v>-42.96</v>
      </c>
      <c r="N436" s="8">
        <v>45504</v>
      </c>
      <c r="O436" s="9" t="s">
        <v>30</v>
      </c>
      <c r="P436" s="12" t="s">
        <v>1725</v>
      </c>
      <c r="Q436" s="9" t="s">
        <v>268</v>
      </c>
      <c r="R436" s="14" t="str">
        <f>HYPERLINK("https://my.pitchbook.com?c=255891-34T","View Company Online")</f>
        <v>View Company Online</v>
      </c>
    </row>
    <row r="437" spans="1:18" hidden="1" x14ac:dyDescent="0.3">
      <c r="A437" s="15" t="s">
        <v>1726</v>
      </c>
      <c r="B437" s="15" t="s">
        <v>1727</v>
      </c>
      <c r="C437" s="18" t="s">
        <v>28</v>
      </c>
      <c r="D437" s="15" t="s">
        <v>1728</v>
      </c>
      <c r="E437" s="18" t="s">
        <v>28</v>
      </c>
      <c r="F437" s="19" t="s">
        <v>28</v>
      </c>
      <c r="G437" s="19" t="s">
        <v>28</v>
      </c>
      <c r="H437" s="19" t="s">
        <v>28</v>
      </c>
      <c r="I437" s="18" t="s">
        <v>28</v>
      </c>
      <c r="J437" s="18" t="s">
        <v>28</v>
      </c>
      <c r="K437" s="18" t="s">
        <v>28</v>
      </c>
      <c r="L437" s="18" t="s">
        <v>28</v>
      </c>
      <c r="M437" s="18" t="s">
        <v>28</v>
      </c>
      <c r="N437" s="17">
        <v>45504</v>
      </c>
      <c r="O437" s="15" t="s">
        <v>30</v>
      </c>
      <c r="P437" s="16" t="s">
        <v>1729</v>
      </c>
      <c r="Q437" s="15" t="s">
        <v>616</v>
      </c>
      <c r="R437" s="13" t="str">
        <f>HYPERLINK("https://my.pitchbook.com?c=270869-68T","View Company Online")</f>
        <v>View Company Online</v>
      </c>
    </row>
    <row r="438" spans="1:18" hidden="1" x14ac:dyDescent="0.3">
      <c r="A438" s="9" t="s">
        <v>1730</v>
      </c>
      <c r="B438" s="9" t="s">
        <v>1731</v>
      </c>
      <c r="C438" s="11" t="s">
        <v>28</v>
      </c>
      <c r="D438" s="9" t="s">
        <v>1732</v>
      </c>
      <c r="E438" s="11" t="s">
        <v>28</v>
      </c>
      <c r="F438" s="10" t="s">
        <v>28</v>
      </c>
      <c r="G438" s="10">
        <v>54.17</v>
      </c>
      <c r="H438" s="10" t="s">
        <v>28</v>
      </c>
      <c r="I438" s="11" t="s">
        <v>28</v>
      </c>
      <c r="J438" s="11" t="s">
        <v>28</v>
      </c>
      <c r="K438" s="11">
        <v>195.33</v>
      </c>
      <c r="L438" s="11" t="s">
        <v>28</v>
      </c>
      <c r="M438" s="11" t="s">
        <v>28</v>
      </c>
      <c r="N438" s="8">
        <v>45503</v>
      </c>
      <c r="O438" s="9" t="s">
        <v>79</v>
      </c>
      <c r="P438" s="12" t="s">
        <v>1733</v>
      </c>
      <c r="Q438" s="9" t="s">
        <v>1734</v>
      </c>
      <c r="R438" s="14" t="str">
        <f>HYPERLINK("https://my.pitchbook.com?c=272444-86T","View Company Online")</f>
        <v>View Company Online</v>
      </c>
    </row>
    <row r="439" spans="1:18" hidden="1" x14ac:dyDescent="0.3">
      <c r="A439" s="15" t="s">
        <v>1735</v>
      </c>
      <c r="B439" s="15" t="s">
        <v>1736</v>
      </c>
      <c r="C439" s="18" t="s">
        <v>28</v>
      </c>
      <c r="D439" s="15" t="s">
        <v>1737</v>
      </c>
      <c r="E439" s="18" t="s">
        <v>28</v>
      </c>
      <c r="F439" s="19" t="s">
        <v>28</v>
      </c>
      <c r="G439" s="19" t="s">
        <v>28</v>
      </c>
      <c r="H439" s="19" t="s">
        <v>28</v>
      </c>
      <c r="I439" s="18" t="s">
        <v>28</v>
      </c>
      <c r="J439" s="18" t="s">
        <v>28</v>
      </c>
      <c r="K439" s="18" t="s">
        <v>28</v>
      </c>
      <c r="L439" s="18" t="s">
        <v>28</v>
      </c>
      <c r="M439" s="18" t="s">
        <v>28</v>
      </c>
      <c r="N439" s="17">
        <v>45503</v>
      </c>
      <c r="O439" s="15" t="s">
        <v>79</v>
      </c>
      <c r="P439" s="16" t="s">
        <v>611</v>
      </c>
      <c r="Q439" s="15" t="s">
        <v>75</v>
      </c>
      <c r="R439" s="13" t="str">
        <f>HYPERLINK("https://my.pitchbook.com?c=269703-73T","View Company Online")</f>
        <v>View Company Online</v>
      </c>
    </row>
    <row r="440" spans="1:18" hidden="1" x14ac:dyDescent="0.3">
      <c r="A440" s="9" t="s">
        <v>1738</v>
      </c>
      <c r="B440" s="9" t="s">
        <v>1739</v>
      </c>
      <c r="C440" s="11" t="s">
        <v>28</v>
      </c>
      <c r="D440" s="9" t="s">
        <v>1740</v>
      </c>
      <c r="E440" s="11" t="s">
        <v>28</v>
      </c>
      <c r="F440" s="10" t="s">
        <v>28</v>
      </c>
      <c r="G440" s="10" t="s">
        <v>28</v>
      </c>
      <c r="H440" s="10" t="s">
        <v>28</v>
      </c>
      <c r="I440" s="11" t="s">
        <v>28</v>
      </c>
      <c r="J440" s="11" t="s">
        <v>28</v>
      </c>
      <c r="K440" s="11" t="s">
        <v>28</v>
      </c>
      <c r="L440" s="11" t="s">
        <v>28</v>
      </c>
      <c r="M440" s="11" t="s">
        <v>28</v>
      </c>
      <c r="N440" s="8">
        <v>45503</v>
      </c>
      <c r="O440" s="9" t="s">
        <v>30</v>
      </c>
      <c r="P440" s="12" t="s">
        <v>1741</v>
      </c>
      <c r="Q440" s="9" t="s">
        <v>880</v>
      </c>
      <c r="R440" s="14" t="str">
        <f>HYPERLINK("https://my.pitchbook.com?c=268370-83T","View Company Online")</f>
        <v>View Company Online</v>
      </c>
    </row>
    <row r="441" spans="1:18" hidden="1" x14ac:dyDescent="0.3">
      <c r="A441" s="15" t="s">
        <v>1742</v>
      </c>
      <c r="B441" s="15" t="s">
        <v>1743</v>
      </c>
      <c r="C441" s="18" t="s">
        <v>28</v>
      </c>
      <c r="D441" s="15" t="s">
        <v>1744</v>
      </c>
      <c r="E441" s="18" t="s">
        <v>28</v>
      </c>
      <c r="F441" s="19" t="s">
        <v>28</v>
      </c>
      <c r="G441" s="19">
        <v>0.54</v>
      </c>
      <c r="H441" s="19" t="s">
        <v>28</v>
      </c>
      <c r="I441" s="18" t="s">
        <v>28</v>
      </c>
      <c r="J441" s="18" t="s">
        <v>28</v>
      </c>
      <c r="K441" s="18" t="s">
        <v>28</v>
      </c>
      <c r="L441" s="18" t="s">
        <v>28</v>
      </c>
      <c r="M441" s="18" t="s">
        <v>28</v>
      </c>
      <c r="N441" s="17">
        <v>45503</v>
      </c>
      <c r="O441" s="15" t="s">
        <v>379</v>
      </c>
      <c r="P441" s="16" t="s">
        <v>1745</v>
      </c>
      <c r="Q441" s="15" t="s">
        <v>75</v>
      </c>
      <c r="R441" s="13" t="str">
        <f>HYPERLINK("https://my.pitchbook.com?c=268348-51T","View Company Online")</f>
        <v>View Company Online</v>
      </c>
    </row>
    <row r="442" spans="1:18" hidden="1" x14ac:dyDescent="0.3">
      <c r="A442" s="9" t="s">
        <v>1746</v>
      </c>
      <c r="B442" s="9" t="s">
        <v>1747</v>
      </c>
      <c r="C442" s="11" t="s">
        <v>28</v>
      </c>
      <c r="D442" s="9" t="s">
        <v>1748</v>
      </c>
      <c r="E442" s="11" t="s">
        <v>28</v>
      </c>
      <c r="F442" s="10" t="s">
        <v>28</v>
      </c>
      <c r="G442" s="10">
        <v>10</v>
      </c>
      <c r="H442" s="10" t="s">
        <v>28</v>
      </c>
      <c r="I442" s="11" t="s">
        <v>28</v>
      </c>
      <c r="J442" s="11" t="s">
        <v>28</v>
      </c>
      <c r="K442" s="11" t="s">
        <v>28</v>
      </c>
      <c r="L442" s="11" t="s">
        <v>28</v>
      </c>
      <c r="M442" s="11" t="s">
        <v>28</v>
      </c>
      <c r="N442" s="8">
        <v>45502</v>
      </c>
      <c r="O442" s="9" t="s">
        <v>73</v>
      </c>
      <c r="P442" s="12" t="s">
        <v>1749</v>
      </c>
      <c r="Q442" s="9" t="s">
        <v>696</v>
      </c>
      <c r="R442" s="14" t="str">
        <f>HYPERLINK("https://my.pitchbook.com?c=268223-23T","View Company Online")</f>
        <v>View Company Online</v>
      </c>
    </row>
    <row r="443" spans="1:18" hidden="1" x14ac:dyDescent="0.3">
      <c r="A443" s="15" t="s">
        <v>1750</v>
      </c>
      <c r="B443" s="15" t="s">
        <v>1751</v>
      </c>
      <c r="C443" s="18" t="s">
        <v>28</v>
      </c>
      <c r="D443" s="15" t="s">
        <v>1752</v>
      </c>
      <c r="E443" s="18" t="s">
        <v>28</v>
      </c>
      <c r="F443" s="19" t="s">
        <v>28</v>
      </c>
      <c r="G443" s="19">
        <v>0.47</v>
      </c>
      <c r="H443" s="19" t="s">
        <v>28</v>
      </c>
      <c r="I443" s="18" t="s">
        <v>28</v>
      </c>
      <c r="J443" s="18" t="s">
        <v>28</v>
      </c>
      <c r="K443" s="18" t="s">
        <v>28</v>
      </c>
      <c r="L443" s="18" t="s">
        <v>28</v>
      </c>
      <c r="M443" s="18" t="s">
        <v>28</v>
      </c>
      <c r="N443" s="17">
        <v>45501</v>
      </c>
      <c r="O443" s="15" t="s">
        <v>79</v>
      </c>
      <c r="P443" s="16" t="s">
        <v>1753</v>
      </c>
      <c r="Q443" s="15" t="s">
        <v>75</v>
      </c>
      <c r="R443" s="13" t="str">
        <f>HYPERLINK("https://my.pitchbook.com?c=275626-27T","View Company Online")</f>
        <v>View Company Online</v>
      </c>
    </row>
    <row r="444" spans="1:18" hidden="1" x14ac:dyDescent="0.3">
      <c r="A444" s="9" t="s">
        <v>1754</v>
      </c>
      <c r="B444" s="9" t="s">
        <v>1755</v>
      </c>
      <c r="C444" s="11" t="s">
        <v>28</v>
      </c>
      <c r="D444" s="9" t="s">
        <v>1756</v>
      </c>
      <c r="E444" s="11" t="s">
        <v>28</v>
      </c>
      <c r="F444" s="10" t="s">
        <v>28</v>
      </c>
      <c r="G444" s="10" t="s">
        <v>28</v>
      </c>
      <c r="H444" s="10" t="s">
        <v>28</v>
      </c>
      <c r="I444" s="11" t="s">
        <v>28</v>
      </c>
      <c r="J444" s="11" t="s">
        <v>28</v>
      </c>
      <c r="K444" s="11" t="s">
        <v>28</v>
      </c>
      <c r="L444" s="11" t="s">
        <v>28</v>
      </c>
      <c r="M444" s="11" t="s">
        <v>28</v>
      </c>
      <c r="N444" s="8">
        <v>45497</v>
      </c>
      <c r="O444" s="9" t="s">
        <v>58</v>
      </c>
      <c r="P444" s="12" t="s">
        <v>28</v>
      </c>
      <c r="Q444" s="9" t="s">
        <v>399</v>
      </c>
      <c r="R444" s="14" t="str">
        <f>HYPERLINK("https://my.pitchbook.com?c=268096-33T","View Company Online")</f>
        <v>View Company Online</v>
      </c>
    </row>
    <row r="445" spans="1:18" hidden="1" x14ac:dyDescent="0.3">
      <c r="A445" s="15" t="s">
        <v>1757</v>
      </c>
      <c r="B445" s="15" t="s">
        <v>1758</v>
      </c>
      <c r="C445" s="18" t="s">
        <v>28</v>
      </c>
      <c r="D445" s="15" t="s">
        <v>1759</v>
      </c>
      <c r="E445" s="18" t="s">
        <v>28</v>
      </c>
      <c r="F445" s="19" t="s">
        <v>28</v>
      </c>
      <c r="G445" s="19" t="s">
        <v>28</v>
      </c>
      <c r="H445" s="19" t="s">
        <v>28</v>
      </c>
      <c r="I445" s="18" t="s">
        <v>28</v>
      </c>
      <c r="J445" s="18" t="s">
        <v>28</v>
      </c>
      <c r="K445" s="18" t="s">
        <v>28</v>
      </c>
      <c r="L445" s="18" t="s">
        <v>28</v>
      </c>
      <c r="M445" s="18" t="s">
        <v>28</v>
      </c>
      <c r="N445" s="17">
        <v>45497</v>
      </c>
      <c r="O445" s="15" t="s">
        <v>99</v>
      </c>
      <c r="P445" s="16" t="s">
        <v>611</v>
      </c>
      <c r="Q445" s="15" t="s">
        <v>119</v>
      </c>
      <c r="R445" s="13" t="str">
        <f>HYPERLINK("https://my.pitchbook.com?c=273973-06T","View Company Online")</f>
        <v>View Company Online</v>
      </c>
    </row>
    <row r="446" spans="1:18" hidden="1" x14ac:dyDescent="0.3">
      <c r="A446" s="9" t="s">
        <v>1760</v>
      </c>
      <c r="B446" s="9" t="s">
        <v>1761</v>
      </c>
      <c r="C446" s="11" t="s">
        <v>28</v>
      </c>
      <c r="D446" s="9" t="s">
        <v>1762</v>
      </c>
      <c r="E446" s="11" t="s">
        <v>28</v>
      </c>
      <c r="F446" s="10" t="s">
        <v>28</v>
      </c>
      <c r="G446" s="10">
        <v>6.36</v>
      </c>
      <c r="H446" s="10" t="s">
        <v>28</v>
      </c>
      <c r="I446" s="11" t="s">
        <v>28</v>
      </c>
      <c r="J446" s="11" t="s">
        <v>28</v>
      </c>
      <c r="K446" s="11" t="s">
        <v>28</v>
      </c>
      <c r="L446" s="11" t="s">
        <v>28</v>
      </c>
      <c r="M446" s="11" t="s">
        <v>28</v>
      </c>
      <c r="N446" s="8">
        <v>45497</v>
      </c>
      <c r="O446" s="9" t="s">
        <v>79</v>
      </c>
      <c r="P446" s="12" t="s">
        <v>28</v>
      </c>
      <c r="Q446" s="9" t="s">
        <v>419</v>
      </c>
      <c r="R446" s="14" t="str">
        <f>HYPERLINK("https://my.pitchbook.com?c=267852-34T","View Company Online")</f>
        <v>View Company Online</v>
      </c>
    </row>
    <row r="447" spans="1:18" hidden="1" x14ac:dyDescent="0.3">
      <c r="A447" s="15" t="s">
        <v>1763</v>
      </c>
      <c r="B447" s="15" t="s">
        <v>1764</v>
      </c>
      <c r="C447" s="18" t="s">
        <v>28</v>
      </c>
      <c r="D447" s="15" t="s">
        <v>1765</v>
      </c>
      <c r="E447" s="18" t="s">
        <v>28</v>
      </c>
      <c r="F447" s="19" t="s">
        <v>28</v>
      </c>
      <c r="G447" s="19" t="s">
        <v>28</v>
      </c>
      <c r="H447" s="19" t="s">
        <v>28</v>
      </c>
      <c r="I447" s="18" t="s">
        <v>28</v>
      </c>
      <c r="J447" s="18" t="s">
        <v>28</v>
      </c>
      <c r="K447" s="18" t="s">
        <v>28</v>
      </c>
      <c r="L447" s="18" t="s">
        <v>28</v>
      </c>
      <c r="M447" s="18" t="s">
        <v>28</v>
      </c>
      <c r="N447" s="17">
        <v>45496</v>
      </c>
      <c r="O447" s="15" t="s">
        <v>30</v>
      </c>
      <c r="P447" s="16" t="s">
        <v>1766</v>
      </c>
      <c r="Q447" s="15" t="s">
        <v>128</v>
      </c>
      <c r="R447" s="13" t="str">
        <f>HYPERLINK("https://my.pitchbook.com?c=269002-00T","View Company Online")</f>
        <v>View Company Online</v>
      </c>
    </row>
    <row r="448" spans="1:18" hidden="1" x14ac:dyDescent="0.3">
      <c r="A448" s="9" t="s">
        <v>1767</v>
      </c>
      <c r="B448" s="9" t="s">
        <v>1768</v>
      </c>
      <c r="C448" s="11" t="s">
        <v>28</v>
      </c>
      <c r="D448" s="9" t="s">
        <v>1769</v>
      </c>
      <c r="E448" s="11" t="s">
        <v>28</v>
      </c>
      <c r="F448" s="10" t="s">
        <v>28</v>
      </c>
      <c r="G448" s="10">
        <v>0.73</v>
      </c>
      <c r="H448" s="10" t="s">
        <v>28</v>
      </c>
      <c r="I448" s="11" t="s">
        <v>28</v>
      </c>
      <c r="J448" s="11" t="s">
        <v>28</v>
      </c>
      <c r="K448" s="11" t="s">
        <v>28</v>
      </c>
      <c r="L448" s="11" t="s">
        <v>28</v>
      </c>
      <c r="M448" s="11" t="s">
        <v>28</v>
      </c>
      <c r="N448" s="8">
        <v>45496</v>
      </c>
      <c r="O448" s="9" t="s">
        <v>379</v>
      </c>
      <c r="P448" s="12" t="s">
        <v>1770</v>
      </c>
      <c r="Q448" s="9" t="s">
        <v>245</v>
      </c>
      <c r="R448" s="14" t="str">
        <f>HYPERLINK("https://my.pitchbook.com?c=267890-41T","View Company Online")</f>
        <v>View Company Online</v>
      </c>
    </row>
    <row r="449" spans="1:18" hidden="1" x14ac:dyDescent="0.3">
      <c r="A449" s="15" t="s">
        <v>1771</v>
      </c>
      <c r="B449" s="15" t="s">
        <v>1772</v>
      </c>
      <c r="C449" s="18" t="s">
        <v>28</v>
      </c>
      <c r="D449" s="15" t="s">
        <v>1773</v>
      </c>
      <c r="E449" s="18" t="s">
        <v>28</v>
      </c>
      <c r="F449" s="19" t="s">
        <v>28</v>
      </c>
      <c r="G449" s="19" t="s">
        <v>28</v>
      </c>
      <c r="H449" s="19" t="s">
        <v>28</v>
      </c>
      <c r="I449" s="18" t="s">
        <v>28</v>
      </c>
      <c r="J449" s="18" t="s">
        <v>28</v>
      </c>
      <c r="K449" s="18" t="s">
        <v>28</v>
      </c>
      <c r="L449" s="18" t="s">
        <v>28</v>
      </c>
      <c r="M449" s="18" t="s">
        <v>28</v>
      </c>
      <c r="N449" s="17">
        <v>45496</v>
      </c>
      <c r="O449" s="15" t="s">
        <v>52</v>
      </c>
      <c r="P449" s="16" t="s">
        <v>403</v>
      </c>
      <c r="Q449" s="15" t="s">
        <v>75</v>
      </c>
      <c r="R449" s="13" t="str">
        <f>HYPERLINK("https://my.pitchbook.com?c=288112-33T","View Company Online")</f>
        <v>View Company Online</v>
      </c>
    </row>
    <row r="450" spans="1:18" hidden="1" x14ac:dyDescent="0.3">
      <c r="A450" s="9" t="s">
        <v>1774</v>
      </c>
      <c r="B450" s="9" t="s">
        <v>1775</v>
      </c>
      <c r="C450" s="11" t="s">
        <v>28</v>
      </c>
      <c r="D450" s="9" t="s">
        <v>1776</v>
      </c>
      <c r="E450" s="11" t="s">
        <v>28</v>
      </c>
      <c r="F450" s="10" t="s">
        <v>28</v>
      </c>
      <c r="G450" s="10" t="s">
        <v>28</v>
      </c>
      <c r="H450" s="10" t="s">
        <v>28</v>
      </c>
      <c r="I450" s="11" t="s">
        <v>28</v>
      </c>
      <c r="J450" s="11" t="s">
        <v>28</v>
      </c>
      <c r="K450" s="11" t="s">
        <v>28</v>
      </c>
      <c r="L450" s="11" t="s">
        <v>28</v>
      </c>
      <c r="M450" s="11" t="s">
        <v>28</v>
      </c>
      <c r="N450" s="8">
        <v>45496</v>
      </c>
      <c r="O450" s="9" t="s">
        <v>52</v>
      </c>
      <c r="P450" s="12" t="s">
        <v>1777</v>
      </c>
      <c r="Q450" s="9" t="s">
        <v>37</v>
      </c>
      <c r="R450" s="14" t="str">
        <f>HYPERLINK("https://my.pitchbook.com?c=268426-18T","View Company Online")</f>
        <v>View Company Online</v>
      </c>
    </row>
    <row r="451" spans="1:18" hidden="1" x14ac:dyDescent="0.3">
      <c r="A451" s="15" t="s">
        <v>1778</v>
      </c>
      <c r="B451" s="15" t="s">
        <v>1779</v>
      </c>
      <c r="C451" s="18" t="s">
        <v>28</v>
      </c>
      <c r="D451" s="15" t="s">
        <v>1780</v>
      </c>
      <c r="E451" s="18" t="s">
        <v>28</v>
      </c>
      <c r="F451" s="19" t="s">
        <v>28</v>
      </c>
      <c r="G451" s="19" t="s">
        <v>28</v>
      </c>
      <c r="H451" s="19" t="s">
        <v>28</v>
      </c>
      <c r="I451" s="18" t="s">
        <v>28</v>
      </c>
      <c r="J451" s="18" t="s">
        <v>28</v>
      </c>
      <c r="K451" s="18" t="s">
        <v>28</v>
      </c>
      <c r="L451" s="18" t="s">
        <v>28</v>
      </c>
      <c r="M451" s="18" t="s">
        <v>28</v>
      </c>
      <c r="N451" s="17">
        <v>45495</v>
      </c>
      <c r="O451" s="15" t="s">
        <v>58</v>
      </c>
      <c r="P451" s="16" t="s">
        <v>28</v>
      </c>
      <c r="Q451" s="15" t="s">
        <v>855</v>
      </c>
      <c r="R451" s="13" t="str">
        <f>HYPERLINK("https://my.pitchbook.com?c=267772-15T","View Company Online")</f>
        <v>View Company Online</v>
      </c>
    </row>
    <row r="452" spans="1:18" hidden="1" x14ac:dyDescent="0.3">
      <c r="A452" s="9" t="s">
        <v>1781</v>
      </c>
      <c r="B452" s="9" t="s">
        <v>1782</v>
      </c>
      <c r="C452" s="11" t="s">
        <v>28</v>
      </c>
      <c r="D452" s="9" t="s">
        <v>1783</v>
      </c>
      <c r="E452" s="11" t="s">
        <v>28</v>
      </c>
      <c r="F452" s="10" t="s">
        <v>28</v>
      </c>
      <c r="G452" s="10">
        <v>0.91</v>
      </c>
      <c r="H452" s="10" t="s">
        <v>28</v>
      </c>
      <c r="I452" s="11" t="s">
        <v>28</v>
      </c>
      <c r="J452" s="11" t="s">
        <v>28</v>
      </c>
      <c r="K452" s="11" t="s">
        <v>28</v>
      </c>
      <c r="L452" s="11" t="s">
        <v>28</v>
      </c>
      <c r="M452" s="11" t="s">
        <v>28</v>
      </c>
      <c r="N452" s="8">
        <v>45495</v>
      </c>
      <c r="O452" s="9" t="s">
        <v>79</v>
      </c>
      <c r="P452" s="12" t="s">
        <v>1784</v>
      </c>
      <c r="Q452" s="9" t="s">
        <v>119</v>
      </c>
      <c r="R452" s="14" t="str">
        <f>HYPERLINK("https://my.pitchbook.com?c=267896-98T","View Company Online")</f>
        <v>View Company Online</v>
      </c>
    </row>
    <row r="453" spans="1:18" hidden="1" x14ac:dyDescent="0.3">
      <c r="A453" s="15" t="s">
        <v>1785</v>
      </c>
      <c r="B453" s="15" t="s">
        <v>1786</v>
      </c>
      <c r="C453" s="18" t="s">
        <v>28</v>
      </c>
      <c r="D453" s="15" t="s">
        <v>1787</v>
      </c>
      <c r="E453" s="18" t="s">
        <v>28</v>
      </c>
      <c r="F453" s="19" t="s">
        <v>28</v>
      </c>
      <c r="G453" s="19" t="s">
        <v>28</v>
      </c>
      <c r="H453" s="19" t="s">
        <v>28</v>
      </c>
      <c r="I453" s="18" t="s">
        <v>28</v>
      </c>
      <c r="J453" s="18" t="s">
        <v>28</v>
      </c>
      <c r="K453" s="18" t="s">
        <v>28</v>
      </c>
      <c r="L453" s="18" t="s">
        <v>28</v>
      </c>
      <c r="M453" s="18" t="s">
        <v>28</v>
      </c>
      <c r="N453" s="17">
        <v>45495</v>
      </c>
      <c r="O453" s="15" t="s">
        <v>41</v>
      </c>
      <c r="P453" s="16" t="s">
        <v>1788</v>
      </c>
      <c r="Q453" s="15" t="s">
        <v>114</v>
      </c>
      <c r="R453" s="13" t="str">
        <f>HYPERLINK("https://my.pitchbook.com?c=267774-22T","View Company Online")</f>
        <v>View Company Online</v>
      </c>
    </row>
    <row r="454" spans="1:18" hidden="1" x14ac:dyDescent="0.3">
      <c r="A454" s="9" t="s">
        <v>1789</v>
      </c>
      <c r="B454" s="9" t="s">
        <v>1790</v>
      </c>
      <c r="C454" s="11" t="s">
        <v>28</v>
      </c>
      <c r="D454" s="9" t="s">
        <v>1791</v>
      </c>
      <c r="E454" s="11" t="s">
        <v>28</v>
      </c>
      <c r="F454" s="10" t="s">
        <v>28</v>
      </c>
      <c r="G454" s="10">
        <v>0.1</v>
      </c>
      <c r="H454" s="10" t="s">
        <v>28</v>
      </c>
      <c r="I454" s="11" t="s">
        <v>28</v>
      </c>
      <c r="J454" s="11" t="s">
        <v>28</v>
      </c>
      <c r="K454" s="11" t="s">
        <v>28</v>
      </c>
      <c r="L454" s="11" t="s">
        <v>28</v>
      </c>
      <c r="M454" s="11" t="s">
        <v>28</v>
      </c>
      <c r="N454" s="8">
        <v>45492</v>
      </c>
      <c r="O454" s="9" t="s">
        <v>52</v>
      </c>
      <c r="P454" s="12" t="s">
        <v>1792</v>
      </c>
      <c r="Q454" s="9" t="s">
        <v>1793</v>
      </c>
      <c r="R454" s="14" t="str">
        <f>HYPERLINK("https://my.pitchbook.com?c=280844-47T","View Company Online")</f>
        <v>View Company Online</v>
      </c>
    </row>
    <row r="455" spans="1:18" hidden="1" x14ac:dyDescent="0.3">
      <c r="A455" s="15" t="s">
        <v>1794</v>
      </c>
      <c r="B455" s="15" t="s">
        <v>1795</v>
      </c>
      <c r="C455" s="18" t="s">
        <v>28</v>
      </c>
      <c r="D455" s="15" t="s">
        <v>1796</v>
      </c>
      <c r="E455" s="18" t="s">
        <v>28</v>
      </c>
      <c r="F455" s="19" t="s">
        <v>28</v>
      </c>
      <c r="G455" s="19">
        <v>5</v>
      </c>
      <c r="H455" s="19" t="s">
        <v>28</v>
      </c>
      <c r="I455" s="18" t="s">
        <v>28</v>
      </c>
      <c r="J455" s="18" t="s">
        <v>28</v>
      </c>
      <c r="K455" s="18" t="s">
        <v>28</v>
      </c>
      <c r="L455" s="18" t="s">
        <v>28</v>
      </c>
      <c r="M455" s="18" t="s">
        <v>28</v>
      </c>
      <c r="N455" s="17">
        <v>45492</v>
      </c>
      <c r="O455" s="15" t="s">
        <v>79</v>
      </c>
      <c r="P455" s="16" t="s">
        <v>1797</v>
      </c>
      <c r="Q455" s="15" t="s">
        <v>832</v>
      </c>
      <c r="R455" s="13" t="str">
        <f>HYPERLINK("https://my.pitchbook.com?c=267500-35T","View Company Online")</f>
        <v>View Company Online</v>
      </c>
    </row>
    <row r="456" spans="1:18" hidden="1" x14ac:dyDescent="0.3">
      <c r="A456" s="9" t="s">
        <v>1798</v>
      </c>
      <c r="B456" s="9" t="s">
        <v>1799</v>
      </c>
      <c r="C456" s="11" t="s">
        <v>28</v>
      </c>
      <c r="D456" s="9" t="s">
        <v>1800</v>
      </c>
      <c r="E456" s="11" t="s">
        <v>28</v>
      </c>
      <c r="F456" s="10">
        <v>36</v>
      </c>
      <c r="G456" s="10">
        <v>36</v>
      </c>
      <c r="H456" s="10">
        <v>36</v>
      </c>
      <c r="I456" s="11" t="s">
        <v>28</v>
      </c>
      <c r="J456" s="11" t="s">
        <v>28</v>
      </c>
      <c r="K456" s="11" t="s">
        <v>28</v>
      </c>
      <c r="L456" s="11" t="s">
        <v>28</v>
      </c>
      <c r="M456" s="11" t="s">
        <v>28</v>
      </c>
      <c r="N456" s="8">
        <v>45491</v>
      </c>
      <c r="O456" s="9" t="s">
        <v>30</v>
      </c>
      <c r="P456" s="12" t="s">
        <v>1801</v>
      </c>
      <c r="Q456" s="9" t="s">
        <v>109</v>
      </c>
      <c r="R456" s="14" t="str">
        <f>HYPERLINK("https://my.pitchbook.com?c=267454-09T","View Company Online")</f>
        <v>View Company Online</v>
      </c>
    </row>
    <row r="457" spans="1:18" hidden="1" x14ac:dyDescent="0.3">
      <c r="A457" s="15" t="s">
        <v>1802</v>
      </c>
      <c r="B457" s="15" t="s">
        <v>1803</v>
      </c>
      <c r="C457" s="18" t="s">
        <v>28</v>
      </c>
      <c r="D457" s="15" t="s">
        <v>1804</v>
      </c>
      <c r="E457" s="18" t="s">
        <v>28</v>
      </c>
      <c r="F457" s="19" t="s">
        <v>28</v>
      </c>
      <c r="G457" s="19" t="s">
        <v>28</v>
      </c>
      <c r="H457" s="19" t="s">
        <v>28</v>
      </c>
      <c r="I457" s="18" t="s">
        <v>28</v>
      </c>
      <c r="J457" s="18" t="s">
        <v>28</v>
      </c>
      <c r="K457" s="18">
        <v>25.98</v>
      </c>
      <c r="L457" s="18" t="s">
        <v>28</v>
      </c>
      <c r="M457" s="18" t="s">
        <v>28</v>
      </c>
      <c r="N457" s="17">
        <v>45491</v>
      </c>
      <c r="O457" s="15" t="s">
        <v>30</v>
      </c>
      <c r="P457" s="16" t="s">
        <v>28</v>
      </c>
      <c r="Q457" s="15" t="s">
        <v>245</v>
      </c>
      <c r="R457" s="13" t="str">
        <f>HYPERLINK("https://my.pitchbook.com?c=267718-87T","View Company Online")</f>
        <v>View Company Online</v>
      </c>
    </row>
    <row r="458" spans="1:18" hidden="1" x14ac:dyDescent="0.3">
      <c r="A458" s="9" t="s">
        <v>1805</v>
      </c>
      <c r="B458" s="9" t="s">
        <v>1806</v>
      </c>
      <c r="C458" s="11" t="s">
        <v>28</v>
      </c>
      <c r="D458" s="9" t="s">
        <v>1807</v>
      </c>
      <c r="E458" s="11" t="s">
        <v>28</v>
      </c>
      <c r="F458" s="10" t="s">
        <v>28</v>
      </c>
      <c r="G458" s="10">
        <v>5.4</v>
      </c>
      <c r="H458" s="10" t="s">
        <v>28</v>
      </c>
      <c r="I458" s="11" t="s">
        <v>28</v>
      </c>
      <c r="J458" s="11" t="s">
        <v>28</v>
      </c>
      <c r="K458" s="11" t="s">
        <v>28</v>
      </c>
      <c r="L458" s="11" t="s">
        <v>28</v>
      </c>
      <c r="M458" s="11" t="s">
        <v>28</v>
      </c>
      <c r="N458" s="8">
        <v>45491</v>
      </c>
      <c r="O458" s="9" t="s">
        <v>73</v>
      </c>
      <c r="P458" s="12" t="s">
        <v>1808</v>
      </c>
      <c r="Q458" s="9" t="s">
        <v>85</v>
      </c>
      <c r="R458" s="14" t="str">
        <f>HYPERLINK("https://my.pitchbook.com?c=267275-35T","View Company Online")</f>
        <v>View Company Online</v>
      </c>
    </row>
    <row r="459" spans="1:18" hidden="1" x14ac:dyDescent="0.3">
      <c r="A459" s="15" t="s">
        <v>1809</v>
      </c>
      <c r="B459" s="15" t="s">
        <v>1810</v>
      </c>
      <c r="C459" s="18" t="s">
        <v>28</v>
      </c>
      <c r="D459" s="15" t="s">
        <v>1811</v>
      </c>
      <c r="E459" s="18" t="s">
        <v>28</v>
      </c>
      <c r="F459" s="19" t="s">
        <v>28</v>
      </c>
      <c r="G459" s="19">
        <v>2.92</v>
      </c>
      <c r="H459" s="19" t="s">
        <v>28</v>
      </c>
      <c r="I459" s="18" t="s">
        <v>28</v>
      </c>
      <c r="J459" s="18" t="s">
        <v>28</v>
      </c>
      <c r="K459" s="18" t="s">
        <v>28</v>
      </c>
      <c r="L459" s="18" t="s">
        <v>28</v>
      </c>
      <c r="M459" s="18" t="s">
        <v>28</v>
      </c>
      <c r="N459" s="17">
        <v>45490</v>
      </c>
      <c r="O459" s="15" t="s">
        <v>79</v>
      </c>
      <c r="P459" s="16" t="s">
        <v>1812</v>
      </c>
      <c r="Q459" s="15" t="s">
        <v>404</v>
      </c>
      <c r="R459" s="13" t="str">
        <f>HYPERLINK("https://my.pitchbook.com?c=267242-14T","View Company Online")</f>
        <v>View Company Online</v>
      </c>
    </row>
    <row r="460" spans="1:18" hidden="1" x14ac:dyDescent="0.3">
      <c r="A460" s="9" t="s">
        <v>1813</v>
      </c>
      <c r="B460" s="9" t="s">
        <v>1814</v>
      </c>
      <c r="C460" s="11" t="s">
        <v>28</v>
      </c>
      <c r="D460" s="9" t="s">
        <v>1815</v>
      </c>
      <c r="E460" s="11" t="s">
        <v>28</v>
      </c>
      <c r="F460" s="10" t="s">
        <v>28</v>
      </c>
      <c r="G460" s="10">
        <v>2</v>
      </c>
      <c r="H460" s="10" t="s">
        <v>28</v>
      </c>
      <c r="I460" s="11" t="s">
        <v>28</v>
      </c>
      <c r="J460" s="11" t="s">
        <v>28</v>
      </c>
      <c r="K460" s="11" t="s">
        <v>28</v>
      </c>
      <c r="L460" s="11" t="s">
        <v>28</v>
      </c>
      <c r="M460" s="11" t="s">
        <v>28</v>
      </c>
      <c r="N460" s="8">
        <v>45490</v>
      </c>
      <c r="O460" s="9" t="s">
        <v>73</v>
      </c>
      <c r="P460" s="12" t="s">
        <v>1816</v>
      </c>
      <c r="Q460" s="9" t="s">
        <v>75</v>
      </c>
      <c r="R460" s="14" t="str">
        <f>HYPERLINK("https://my.pitchbook.com?c=267189-22T","View Company Online")</f>
        <v>View Company Online</v>
      </c>
    </row>
    <row r="461" spans="1:18" hidden="1" x14ac:dyDescent="0.3">
      <c r="A461" s="15" t="s">
        <v>1817</v>
      </c>
      <c r="B461" s="15" t="s">
        <v>1818</v>
      </c>
      <c r="C461" s="18" t="s">
        <v>28</v>
      </c>
      <c r="D461" s="15" t="s">
        <v>1819</v>
      </c>
      <c r="E461" s="18" t="s">
        <v>28</v>
      </c>
      <c r="F461" s="19" t="s">
        <v>28</v>
      </c>
      <c r="G461" s="19">
        <v>23.02</v>
      </c>
      <c r="H461" s="19" t="s">
        <v>28</v>
      </c>
      <c r="I461" s="18" t="s">
        <v>28</v>
      </c>
      <c r="J461" s="18" t="s">
        <v>28</v>
      </c>
      <c r="K461" s="18" t="s">
        <v>28</v>
      </c>
      <c r="L461" s="18" t="s">
        <v>28</v>
      </c>
      <c r="M461" s="18" t="s">
        <v>28</v>
      </c>
      <c r="N461" s="17">
        <v>45490</v>
      </c>
      <c r="O461" s="15" t="s">
        <v>79</v>
      </c>
      <c r="P461" s="16" t="s">
        <v>1820</v>
      </c>
      <c r="Q461" s="15" t="s">
        <v>75</v>
      </c>
      <c r="R461" s="13" t="str">
        <f>HYPERLINK("https://my.pitchbook.com?c=267219-55T","View Company Online")</f>
        <v>View Company Online</v>
      </c>
    </row>
    <row r="462" spans="1:18" hidden="1" x14ac:dyDescent="0.3">
      <c r="A462" s="9" t="s">
        <v>1821</v>
      </c>
      <c r="B462" s="9" t="s">
        <v>1822</v>
      </c>
      <c r="C462" s="11" t="s">
        <v>28</v>
      </c>
      <c r="D462" s="9" t="s">
        <v>1823</v>
      </c>
      <c r="E462" s="11" t="s">
        <v>28</v>
      </c>
      <c r="F462" s="10" t="s">
        <v>28</v>
      </c>
      <c r="G462" s="10" t="s">
        <v>28</v>
      </c>
      <c r="H462" s="10" t="s">
        <v>28</v>
      </c>
      <c r="I462" s="11" t="s">
        <v>28</v>
      </c>
      <c r="J462" s="11" t="s">
        <v>28</v>
      </c>
      <c r="K462" s="11" t="s">
        <v>28</v>
      </c>
      <c r="L462" s="11" t="s">
        <v>28</v>
      </c>
      <c r="M462" s="11" t="s">
        <v>28</v>
      </c>
      <c r="N462" s="8">
        <v>45490</v>
      </c>
      <c r="O462" s="9" t="s">
        <v>99</v>
      </c>
      <c r="P462" s="12" t="s">
        <v>611</v>
      </c>
      <c r="Q462" s="9" t="s">
        <v>414</v>
      </c>
      <c r="R462" s="14" t="str">
        <f>HYPERLINK("https://my.pitchbook.com?c=272611-81T","View Company Online")</f>
        <v>View Company Online</v>
      </c>
    </row>
    <row r="463" spans="1:18" hidden="1" x14ac:dyDescent="0.3">
      <c r="A463" s="15" t="s">
        <v>1824</v>
      </c>
      <c r="B463" s="15" t="s">
        <v>1825</v>
      </c>
      <c r="C463" s="18" t="s">
        <v>28</v>
      </c>
      <c r="D463" s="15" t="s">
        <v>1826</v>
      </c>
      <c r="E463" s="18" t="s">
        <v>28</v>
      </c>
      <c r="F463" s="19" t="s">
        <v>28</v>
      </c>
      <c r="G463" s="19">
        <v>2</v>
      </c>
      <c r="H463" s="19" t="s">
        <v>28</v>
      </c>
      <c r="I463" s="18" t="s">
        <v>28</v>
      </c>
      <c r="J463" s="18" t="s">
        <v>28</v>
      </c>
      <c r="K463" s="18" t="s">
        <v>28</v>
      </c>
      <c r="L463" s="18" t="s">
        <v>28</v>
      </c>
      <c r="M463" s="18" t="s">
        <v>28</v>
      </c>
      <c r="N463" s="17">
        <v>45489</v>
      </c>
      <c r="O463" s="15" t="s">
        <v>99</v>
      </c>
      <c r="P463" s="16" t="s">
        <v>1827</v>
      </c>
      <c r="Q463" s="15" t="s">
        <v>75</v>
      </c>
      <c r="R463" s="13" t="str">
        <f>HYPERLINK("https://my.pitchbook.com?c=267056-92T","View Company Online")</f>
        <v>View Company Online</v>
      </c>
    </row>
    <row r="464" spans="1:18" hidden="1" x14ac:dyDescent="0.3">
      <c r="A464" s="9" t="s">
        <v>1828</v>
      </c>
      <c r="B464" s="9" t="s">
        <v>876</v>
      </c>
      <c r="C464" s="11" t="s">
        <v>28</v>
      </c>
      <c r="D464" s="9" t="s">
        <v>1829</v>
      </c>
      <c r="E464" s="11">
        <v>215.94</v>
      </c>
      <c r="F464" s="10" t="s">
        <v>28</v>
      </c>
      <c r="G464" s="10">
        <v>767.63</v>
      </c>
      <c r="H464" s="10" t="s">
        <v>28</v>
      </c>
      <c r="I464" s="11">
        <v>517.44000000000005</v>
      </c>
      <c r="J464" s="11" t="s">
        <v>28</v>
      </c>
      <c r="K464" s="11">
        <v>1810.87</v>
      </c>
      <c r="L464" s="11" t="s">
        <v>28</v>
      </c>
      <c r="M464" s="11">
        <v>125.65</v>
      </c>
      <c r="N464" s="8">
        <v>45489</v>
      </c>
      <c r="O464" s="9" t="s">
        <v>423</v>
      </c>
      <c r="P464" s="12" t="s">
        <v>28</v>
      </c>
      <c r="Q464" s="9" t="s">
        <v>226</v>
      </c>
      <c r="R464" s="14" t="str">
        <f>HYPERLINK("https://my.pitchbook.com?c=267729-40T","View Company Online")</f>
        <v>View Company Online</v>
      </c>
    </row>
    <row r="465" spans="1:18" hidden="1" x14ac:dyDescent="0.3">
      <c r="A465" s="15" t="s">
        <v>1830</v>
      </c>
      <c r="B465" s="15" t="s">
        <v>1831</v>
      </c>
      <c r="C465" s="18" t="s">
        <v>28</v>
      </c>
      <c r="D465" s="15" t="s">
        <v>1832</v>
      </c>
      <c r="E465" s="18" t="s">
        <v>28</v>
      </c>
      <c r="F465" s="19" t="s">
        <v>28</v>
      </c>
      <c r="G465" s="19">
        <v>75.849999999999994</v>
      </c>
      <c r="H465" s="19">
        <v>252.83</v>
      </c>
      <c r="I465" s="18" t="s">
        <v>28</v>
      </c>
      <c r="J465" s="18" t="s">
        <v>28</v>
      </c>
      <c r="K465" s="18" t="s">
        <v>28</v>
      </c>
      <c r="L465" s="18" t="s">
        <v>28</v>
      </c>
      <c r="M465" s="18" t="s">
        <v>28</v>
      </c>
      <c r="N465" s="17">
        <v>45489</v>
      </c>
      <c r="O465" s="15" t="s">
        <v>93</v>
      </c>
      <c r="P465" s="16" t="s">
        <v>1833</v>
      </c>
      <c r="Q465" s="15" t="s">
        <v>43</v>
      </c>
      <c r="R465" s="13" t="str">
        <f>HYPERLINK("https://my.pitchbook.com?c=267081-31T","View Company Online")</f>
        <v>View Company Online</v>
      </c>
    </row>
    <row r="466" spans="1:18" hidden="1" x14ac:dyDescent="0.3">
      <c r="A466" s="9" t="s">
        <v>1834</v>
      </c>
      <c r="B466" s="9" t="s">
        <v>1835</v>
      </c>
      <c r="C466" s="11" t="s">
        <v>28</v>
      </c>
      <c r="D466" s="9" t="s">
        <v>1836</v>
      </c>
      <c r="E466" s="11" t="s">
        <v>28</v>
      </c>
      <c r="F466" s="10">
        <v>33.450000000000003</v>
      </c>
      <c r="G466" s="10">
        <v>33.450000000000003</v>
      </c>
      <c r="H466" s="10">
        <v>33.450000000000003</v>
      </c>
      <c r="I466" s="11" t="s">
        <v>28</v>
      </c>
      <c r="J466" s="11" t="s">
        <v>28</v>
      </c>
      <c r="K466" s="11" t="s">
        <v>28</v>
      </c>
      <c r="L466" s="11" t="s">
        <v>28</v>
      </c>
      <c r="M466" s="11" t="s">
        <v>28</v>
      </c>
      <c r="N466" s="8">
        <v>45489</v>
      </c>
      <c r="O466" s="9" t="s">
        <v>30</v>
      </c>
      <c r="P466" s="12" t="s">
        <v>1837</v>
      </c>
      <c r="Q466" s="9" t="s">
        <v>1068</v>
      </c>
      <c r="R466" s="14" t="str">
        <f>HYPERLINK("https://my.pitchbook.com?c=264671-38T","View Company Online")</f>
        <v>View Company Online</v>
      </c>
    </row>
    <row r="467" spans="1:18" hidden="1" x14ac:dyDescent="0.3">
      <c r="A467" s="15" t="s">
        <v>1838</v>
      </c>
      <c r="B467" s="15" t="s">
        <v>1839</v>
      </c>
      <c r="C467" s="18" t="s">
        <v>28</v>
      </c>
      <c r="D467" s="15" t="s">
        <v>1840</v>
      </c>
      <c r="E467" s="18" t="s">
        <v>28</v>
      </c>
      <c r="F467" s="19" t="s">
        <v>28</v>
      </c>
      <c r="G467" s="19">
        <v>1.1000000000000001</v>
      </c>
      <c r="H467" s="19" t="s">
        <v>28</v>
      </c>
      <c r="I467" s="18" t="s">
        <v>28</v>
      </c>
      <c r="J467" s="18" t="s">
        <v>28</v>
      </c>
      <c r="K467" s="18" t="s">
        <v>28</v>
      </c>
      <c r="L467" s="18" t="s">
        <v>28</v>
      </c>
      <c r="M467" s="18" t="s">
        <v>28</v>
      </c>
      <c r="N467" s="17">
        <v>45489</v>
      </c>
      <c r="O467" s="15" t="s">
        <v>99</v>
      </c>
      <c r="P467" s="16" t="s">
        <v>1841</v>
      </c>
      <c r="Q467" s="15" t="s">
        <v>855</v>
      </c>
      <c r="R467" s="13" t="str">
        <f>HYPERLINK("https://my.pitchbook.com?c=266990-32T","View Company Online")</f>
        <v>View Company Online</v>
      </c>
    </row>
    <row r="468" spans="1:18" hidden="1" x14ac:dyDescent="0.3">
      <c r="A468" s="9" t="s">
        <v>1842</v>
      </c>
      <c r="B468" s="9" t="s">
        <v>1843</v>
      </c>
      <c r="C468" s="11" t="s">
        <v>28</v>
      </c>
      <c r="D468" s="9" t="s">
        <v>1844</v>
      </c>
      <c r="E468" s="11" t="s">
        <v>28</v>
      </c>
      <c r="F468" s="10" t="s">
        <v>28</v>
      </c>
      <c r="G468" s="10" t="s">
        <v>28</v>
      </c>
      <c r="H468" s="10" t="s">
        <v>28</v>
      </c>
      <c r="I468" s="11" t="s">
        <v>28</v>
      </c>
      <c r="J468" s="11" t="s">
        <v>28</v>
      </c>
      <c r="K468" s="11">
        <v>0.05</v>
      </c>
      <c r="L468" s="11" t="s">
        <v>28</v>
      </c>
      <c r="M468" s="11" t="s">
        <v>28</v>
      </c>
      <c r="N468" s="8">
        <v>45486</v>
      </c>
      <c r="O468" s="9" t="s">
        <v>99</v>
      </c>
      <c r="P468" s="12" t="s">
        <v>28</v>
      </c>
      <c r="Q468" s="9" t="s">
        <v>75</v>
      </c>
      <c r="R468" s="14" t="str">
        <f>HYPERLINK("https://my.pitchbook.com?c=267704-29T","View Company Online")</f>
        <v>View Company Online</v>
      </c>
    </row>
    <row r="469" spans="1:18" hidden="1" x14ac:dyDescent="0.3">
      <c r="A469" s="15" t="s">
        <v>1845</v>
      </c>
      <c r="B469" s="15" t="s">
        <v>1846</v>
      </c>
      <c r="C469" s="18" t="s">
        <v>28</v>
      </c>
      <c r="D469" s="15" t="s">
        <v>1847</v>
      </c>
      <c r="E469" s="18" t="s">
        <v>28</v>
      </c>
      <c r="F469" s="19" t="s">
        <v>28</v>
      </c>
      <c r="G469" s="19">
        <v>0.78</v>
      </c>
      <c r="H469" s="19" t="s">
        <v>28</v>
      </c>
      <c r="I469" s="18" t="s">
        <v>28</v>
      </c>
      <c r="J469" s="18" t="s">
        <v>28</v>
      </c>
      <c r="K469" s="18" t="s">
        <v>28</v>
      </c>
      <c r="L469" s="18" t="s">
        <v>28</v>
      </c>
      <c r="M469" s="18" t="s">
        <v>28</v>
      </c>
      <c r="N469" s="17">
        <v>45485</v>
      </c>
      <c r="O469" s="15" t="s">
        <v>79</v>
      </c>
      <c r="P469" s="16" t="s">
        <v>1848</v>
      </c>
      <c r="Q469" s="15" t="s">
        <v>75</v>
      </c>
      <c r="R469" s="13" t="str">
        <f>HYPERLINK("https://my.pitchbook.com?c=264194-74T","View Company Online")</f>
        <v>View Company Online</v>
      </c>
    </row>
    <row r="470" spans="1:18" hidden="1" x14ac:dyDescent="0.3">
      <c r="A470" s="9" t="s">
        <v>1849</v>
      </c>
      <c r="B470" s="9" t="s">
        <v>1850</v>
      </c>
      <c r="C470" s="11" t="s">
        <v>28</v>
      </c>
      <c r="D470" s="9" t="s">
        <v>1851</v>
      </c>
      <c r="E470" s="11" t="s">
        <v>28</v>
      </c>
      <c r="F470" s="10" t="s">
        <v>28</v>
      </c>
      <c r="G470" s="10" t="s">
        <v>28</v>
      </c>
      <c r="H470" s="10" t="s">
        <v>28</v>
      </c>
      <c r="I470" s="11" t="s">
        <v>28</v>
      </c>
      <c r="J470" s="11" t="s">
        <v>28</v>
      </c>
      <c r="K470" s="11" t="s">
        <v>28</v>
      </c>
      <c r="L470" s="11" t="s">
        <v>28</v>
      </c>
      <c r="M470" s="11" t="s">
        <v>28</v>
      </c>
      <c r="N470" s="8">
        <v>45485</v>
      </c>
      <c r="O470" s="9" t="s">
        <v>30</v>
      </c>
      <c r="P470" s="12" t="s">
        <v>1852</v>
      </c>
      <c r="Q470" s="9" t="s">
        <v>1853</v>
      </c>
      <c r="R470" s="14" t="str">
        <f>HYPERLINK("https://my.pitchbook.com?c=266794-93T","View Company Online")</f>
        <v>View Company Online</v>
      </c>
    </row>
    <row r="471" spans="1:18" hidden="1" x14ac:dyDescent="0.3">
      <c r="A471" s="15" t="s">
        <v>1854</v>
      </c>
      <c r="B471" s="15" t="s">
        <v>1855</v>
      </c>
      <c r="C471" s="18" t="s">
        <v>28</v>
      </c>
      <c r="D471" s="15" t="s">
        <v>1856</v>
      </c>
      <c r="E471" s="18" t="s">
        <v>28</v>
      </c>
      <c r="F471" s="19" t="s">
        <v>28</v>
      </c>
      <c r="G471" s="19">
        <v>12.26</v>
      </c>
      <c r="H471" s="19" t="s">
        <v>28</v>
      </c>
      <c r="I471" s="18" t="s">
        <v>28</v>
      </c>
      <c r="J471" s="18" t="s">
        <v>28</v>
      </c>
      <c r="K471" s="18" t="s">
        <v>28</v>
      </c>
      <c r="L471" s="18" t="s">
        <v>28</v>
      </c>
      <c r="M471" s="18" t="s">
        <v>28</v>
      </c>
      <c r="N471" s="17">
        <v>45485</v>
      </c>
      <c r="O471" s="15" t="s">
        <v>79</v>
      </c>
      <c r="P471" s="16" t="s">
        <v>1857</v>
      </c>
      <c r="Q471" s="15" t="s">
        <v>37</v>
      </c>
      <c r="R471" s="13" t="str">
        <f>HYPERLINK("https://my.pitchbook.com?c=267060-88T","View Company Online")</f>
        <v>View Company Online</v>
      </c>
    </row>
    <row r="472" spans="1:18" hidden="1" x14ac:dyDescent="0.3">
      <c r="A472" s="9" t="s">
        <v>1858</v>
      </c>
      <c r="B472" s="9" t="s">
        <v>1859</v>
      </c>
      <c r="C472" s="11" t="s">
        <v>28</v>
      </c>
      <c r="D472" s="9" t="s">
        <v>1860</v>
      </c>
      <c r="E472" s="11" t="s">
        <v>28</v>
      </c>
      <c r="F472" s="10" t="s">
        <v>28</v>
      </c>
      <c r="G472" s="10" t="s">
        <v>28</v>
      </c>
      <c r="H472" s="10" t="s">
        <v>28</v>
      </c>
      <c r="I472" s="11" t="s">
        <v>28</v>
      </c>
      <c r="J472" s="11" t="s">
        <v>28</v>
      </c>
      <c r="K472" s="11" t="s">
        <v>28</v>
      </c>
      <c r="L472" s="11" t="s">
        <v>28</v>
      </c>
      <c r="M472" s="11" t="s">
        <v>28</v>
      </c>
      <c r="N472" s="8">
        <v>45485</v>
      </c>
      <c r="O472" s="9" t="s">
        <v>30</v>
      </c>
      <c r="P472" s="12" t="s">
        <v>1861</v>
      </c>
      <c r="Q472" s="9" t="s">
        <v>1862</v>
      </c>
      <c r="R472" s="14" t="str">
        <f>HYPERLINK("https://my.pitchbook.com?c=294431-23T","View Company Online")</f>
        <v>View Company Online</v>
      </c>
    </row>
    <row r="473" spans="1:18" hidden="1" x14ac:dyDescent="0.3">
      <c r="A473" s="15" t="s">
        <v>1863</v>
      </c>
      <c r="B473" s="15" t="s">
        <v>1864</v>
      </c>
      <c r="C473" s="18" t="s">
        <v>28</v>
      </c>
      <c r="D473" s="15" t="s">
        <v>1865</v>
      </c>
      <c r="E473" s="18" t="s">
        <v>28</v>
      </c>
      <c r="F473" s="19">
        <v>325.36</v>
      </c>
      <c r="G473" s="19">
        <v>165.93</v>
      </c>
      <c r="H473" s="19">
        <v>325.36</v>
      </c>
      <c r="I473" s="18" t="s">
        <v>28</v>
      </c>
      <c r="J473" s="18" t="s">
        <v>28</v>
      </c>
      <c r="K473" s="18" t="s">
        <v>28</v>
      </c>
      <c r="L473" s="18" t="s">
        <v>28</v>
      </c>
      <c r="M473" s="18" t="s">
        <v>28</v>
      </c>
      <c r="N473" s="17">
        <v>45484</v>
      </c>
      <c r="O473" s="15" t="s">
        <v>30</v>
      </c>
      <c r="P473" s="16" t="s">
        <v>1866</v>
      </c>
      <c r="Q473" s="15" t="s">
        <v>1238</v>
      </c>
      <c r="R473" s="13" t="str">
        <f>HYPERLINK("https://my.pitchbook.com?c=216208-45T","View Company Online")</f>
        <v>View Company Online</v>
      </c>
    </row>
    <row r="474" spans="1:18" hidden="1" x14ac:dyDescent="0.3">
      <c r="A474" s="9" t="s">
        <v>1867</v>
      </c>
      <c r="B474" s="9" t="s">
        <v>1868</v>
      </c>
      <c r="C474" s="11" t="s">
        <v>28</v>
      </c>
      <c r="D474" s="9" t="s">
        <v>1869</v>
      </c>
      <c r="E474" s="11" t="s">
        <v>28</v>
      </c>
      <c r="F474" s="10" t="s">
        <v>28</v>
      </c>
      <c r="G474" s="10" t="s">
        <v>28</v>
      </c>
      <c r="H474" s="10" t="s">
        <v>28</v>
      </c>
      <c r="I474" s="11" t="s">
        <v>28</v>
      </c>
      <c r="J474" s="11" t="s">
        <v>28</v>
      </c>
      <c r="K474" s="11" t="s">
        <v>28</v>
      </c>
      <c r="L474" s="11" t="s">
        <v>28</v>
      </c>
      <c r="M474" s="11" t="s">
        <v>28</v>
      </c>
      <c r="N474" s="8">
        <v>45484</v>
      </c>
      <c r="O474" s="9" t="s">
        <v>173</v>
      </c>
      <c r="P474" s="12" t="s">
        <v>28</v>
      </c>
      <c r="Q474" s="9" t="s">
        <v>174</v>
      </c>
      <c r="R474" s="14" t="str">
        <f>HYPERLINK("https://my.pitchbook.com?c=267031-09T","View Company Online")</f>
        <v>View Company Online</v>
      </c>
    </row>
    <row r="475" spans="1:18" hidden="1" x14ac:dyDescent="0.3">
      <c r="A475" s="15" t="s">
        <v>1870</v>
      </c>
      <c r="B475" s="15" t="s">
        <v>1871</v>
      </c>
      <c r="C475" s="18" t="s">
        <v>28</v>
      </c>
      <c r="D475" s="15" t="s">
        <v>1872</v>
      </c>
      <c r="E475" s="18" t="s">
        <v>28</v>
      </c>
      <c r="F475" s="19" t="s">
        <v>28</v>
      </c>
      <c r="G475" s="19">
        <v>15.02</v>
      </c>
      <c r="H475" s="19" t="s">
        <v>28</v>
      </c>
      <c r="I475" s="18" t="s">
        <v>28</v>
      </c>
      <c r="J475" s="18" t="s">
        <v>28</v>
      </c>
      <c r="K475" s="18">
        <v>8.1999999999999993</v>
      </c>
      <c r="L475" s="18" t="s">
        <v>28</v>
      </c>
      <c r="M475" s="18">
        <v>7.72</v>
      </c>
      <c r="N475" s="17">
        <v>45484</v>
      </c>
      <c r="O475" s="15" t="s">
        <v>423</v>
      </c>
      <c r="P475" s="16" t="s">
        <v>28</v>
      </c>
      <c r="Q475" s="15" t="s">
        <v>174</v>
      </c>
      <c r="R475" s="13" t="str">
        <f>HYPERLINK("https://my.pitchbook.com?c=271797-49T","View Company Online")</f>
        <v>View Company Online</v>
      </c>
    </row>
    <row r="476" spans="1:18" hidden="1" x14ac:dyDescent="0.3">
      <c r="A476" s="9" t="s">
        <v>1873</v>
      </c>
      <c r="B476" s="9" t="s">
        <v>1874</v>
      </c>
      <c r="C476" s="11" t="s">
        <v>28</v>
      </c>
      <c r="D476" s="9" t="s">
        <v>1875</v>
      </c>
      <c r="E476" s="11" t="s">
        <v>28</v>
      </c>
      <c r="F476" s="10" t="s">
        <v>28</v>
      </c>
      <c r="G476" s="10" t="s">
        <v>28</v>
      </c>
      <c r="H476" s="10" t="s">
        <v>28</v>
      </c>
      <c r="I476" s="11" t="s">
        <v>28</v>
      </c>
      <c r="J476" s="11" t="s">
        <v>28</v>
      </c>
      <c r="K476" s="11" t="s">
        <v>28</v>
      </c>
      <c r="L476" s="11" t="s">
        <v>28</v>
      </c>
      <c r="M476" s="11" t="s">
        <v>28</v>
      </c>
      <c r="N476" s="8">
        <v>45484</v>
      </c>
      <c r="O476" s="9" t="s">
        <v>41</v>
      </c>
      <c r="P476" s="12" t="s">
        <v>1876</v>
      </c>
      <c r="Q476" s="9" t="s">
        <v>1179</v>
      </c>
      <c r="R476" s="14" t="str">
        <f>HYPERLINK("https://my.pitchbook.com?c=274687-75T","View Company Online")</f>
        <v>View Company Online</v>
      </c>
    </row>
    <row r="477" spans="1:18" hidden="1" x14ac:dyDescent="0.3">
      <c r="A477" s="15" t="s">
        <v>1877</v>
      </c>
      <c r="B477" s="15" t="s">
        <v>1878</v>
      </c>
      <c r="C477" s="18" t="s">
        <v>28</v>
      </c>
      <c r="D477" s="15" t="s">
        <v>1879</v>
      </c>
      <c r="E477" s="18" t="s">
        <v>28</v>
      </c>
      <c r="F477" s="19" t="s">
        <v>28</v>
      </c>
      <c r="G477" s="19" t="s">
        <v>28</v>
      </c>
      <c r="H477" s="19" t="s">
        <v>28</v>
      </c>
      <c r="I477" s="18" t="s">
        <v>28</v>
      </c>
      <c r="J477" s="18" t="s">
        <v>28</v>
      </c>
      <c r="K477" s="18" t="s">
        <v>28</v>
      </c>
      <c r="L477" s="18" t="s">
        <v>28</v>
      </c>
      <c r="M477" s="18" t="s">
        <v>28</v>
      </c>
      <c r="N477" s="17">
        <v>45484</v>
      </c>
      <c r="O477" s="15" t="s">
        <v>52</v>
      </c>
      <c r="P477" s="16" t="s">
        <v>1880</v>
      </c>
      <c r="Q477" s="15" t="s">
        <v>263</v>
      </c>
      <c r="R477" s="13" t="str">
        <f>HYPERLINK("https://my.pitchbook.com?c=301239-73T","View Company Online")</f>
        <v>View Company Online</v>
      </c>
    </row>
    <row r="478" spans="1:18" hidden="1" x14ac:dyDescent="0.3">
      <c r="A478" s="9" t="s">
        <v>1881</v>
      </c>
      <c r="B478" s="9" t="s">
        <v>1882</v>
      </c>
      <c r="C478" s="11" t="s">
        <v>28</v>
      </c>
      <c r="D478" s="9" t="s">
        <v>1883</v>
      </c>
      <c r="E478" s="11" t="s">
        <v>28</v>
      </c>
      <c r="F478" s="10" t="s">
        <v>28</v>
      </c>
      <c r="G478" s="10" t="s">
        <v>28</v>
      </c>
      <c r="H478" s="10" t="s">
        <v>28</v>
      </c>
      <c r="I478" s="11" t="s">
        <v>28</v>
      </c>
      <c r="J478" s="11" t="s">
        <v>28</v>
      </c>
      <c r="K478" s="11" t="s">
        <v>28</v>
      </c>
      <c r="L478" s="11" t="s">
        <v>28</v>
      </c>
      <c r="M478" s="11" t="s">
        <v>28</v>
      </c>
      <c r="N478" s="8">
        <v>45483</v>
      </c>
      <c r="O478" s="9" t="s">
        <v>30</v>
      </c>
      <c r="P478" s="12" t="s">
        <v>1884</v>
      </c>
      <c r="Q478" s="9" t="s">
        <v>105</v>
      </c>
      <c r="R478" s="14" t="str">
        <f>HYPERLINK("https://my.pitchbook.com?c=301052-71T","View Company Online")</f>
        <v>View Company Online</v>
      </c>
    </row>
    <row r="479" spans="1:18" hidden="1" x14ac:dyDescent="0.3">
      <c r="A479" s="15" t="s">
        <v>1885</v>
      </c>
      <c r="B479" s="15" t="s">
        <v>1886</v>
      </c>
      <c r="C479" s="18" t="s">
        <v>28</v>
      </c>
      <c r="D479" s="15" t="s">
        <v>1887</v>
      </c>
      <c r="E479" s="18" t="s">
        <v>28</v>
      </c>
      <c r="F479" s="19" t="s">
        <v>28</v>
      </c>
      <c r="G479" s="19">
        <v>10</v>
      </c>
      <c r="H479" s="19" t="s">
        <v>28</v>
      </c>
      <c r="I479" s="18" t="s">
        <v>28</v>
      </c>
      <c r="J479" s="18" t="s">
        <v>28</v>
      </c>
      <c r="K479" s="18" t="s">
        <v>28</v>
      </c>
      <c r="L479" s="18" t="s">
        <v>28</v>
      </c>
      <c r="M479" s="18" t="s">
        <v>28</v>
      </c>
      <c r="N479" s="17">
        <v>45483</v>
      </c>
      <c r="O479" s="15" t="s">
        <v>79</v>
      </c>
      <c r="P479" s="16" t="s">
        <v>1888</v>
      </c>
      <c r="Q479" s="15" t="s">
        <v>1336</v>
      </c>
      <c r="R479" s="13" t="str">
        <f>HYPERLINK("https://my.pitchbook.com?c=266893-48T","View Company Online")</f>
        <v>View Company Online</v>
      </c>
    </row>
    <row r="480" spans="1:18" hidden="1" x14ac:dyDescent="0.3">
      <c r="A480" s="9" t="s">
        <v>1889</v>
      </c>
      <c r="B480" s="9" t="s">
        <v>1890</v>
      </c>
      <c r="C480" s="11" t="s">
        <v>28</v>
      </c>
      <c r="D480" s="9" t="s">
        <v>1891</v>
      </c>
      <c r="E480" s="11" t="s">
        <v>28</v>
      </c>
      <c r="F480" s="10" t="s">
        <v>28</v>
      </c>
      <c r="G480" s="10" t="s">
        <v>28</v>
      </c>
      <c r="H480" s="10" t="s">
        <v>28</v>
      </c>
      <c r="I480" s="11" t="s">
        <v>28</v>
      </c>
      <c r="J480" s="11" t="s">
        <v>28</v>
      </c>
      <c r="K480" s="11" t="s">
        <v>28</v>
      </c>
      <c r="L480" s="11" t="s">
        <v>28</v>
      </c>
      <c r="M480" s="11" t="s">
        <v>28</v>
      </c>
      <c r="N480" s="8">
        <v>45483</v>
      </c>
      <c r="O480" s="9" t="s">
        <v>30</v>
      </c>
      <c r="P480" s="12" t="s">
        <v>1892</v>
      </c>
      <c r="Q480" s="9" t="s">
        <v>1035</v>
      </c>
      <c r="R480" s="14" t="str">
        <f>HYPERLINK("https://my.pitchbook.com?c=255904-75T","View Company Online")</f>
        <v>View Company Online</v>
      </c>
    </row>
    <row r="481" spans="1:18" hidden="1" x14ac:dyDescent="0.3">
      <c r="A481" s="15" t="s">
        <v>1893</v>
      </c>
      <c r="B481" s="15" t="s">
        <v>1894</v>
      </c>
      <c r="C481" s="18" t="s">
        <v>28</v>
      </c>
      <c r="D481" s="15" t="s">
        <v>1895</v>
      </c>
      <c r="E481" s="18" t="s">
        <v>28</v>
      </c>
      <c r="F481" s="19" t="s">
        <v>28</v>
      </c>
      <c r="G481" s="19">
        <v>0.3</v>
      </c>
      <c r="H481" s="19" t="s">
        <v>28</v>
      </c>
      <c r="I481" s="18" t="s">
        <v>28</v>
      </c>
      <c r="J481" s="18" t="s">
        <v>28</v>
      </c>
      <c r="K481" s="18" t="s">
        <v>28</v>
      </c>
      <c r="L481" s="18" t="s">
        <v>28</v>
      </c>
      <c r="M481" s="18" t="s">
        <v>28</v>
      </c>
      <c r="N481" s="17">
        <v>45483</v>
      </c>
      <c r="O481" s="15" t="s">
        <v>379</v>
      </c>
      <c r="P481" s="16" t="s">
        <v>1896</v>
      </c>
      <c r="Q481" s="15" t="s">
        <v>583</v>
      </c>
      <c r="R481" s="13" t="str">
        <f>HYPERLINK("https://my.pitchbook.com?c=266578-39T","View Company Online")</f>
        <v>View Company Online</v>
      </c>
    </row>
    <row r="482" spans="1:18" hidden="1" x14ac:dyDescent="0.3">
      <c r="A482" s="9" t="s">
        <v>1897</v>
      </c>
      <c r="B482" s="9" t="s">
        <v>1898</v>
      </c>
      <c r="C482" s="11" t="s">
        <v>28</v>
      </c>
      <c r="D482" s="9" t="s">
        <v>1899</v>
      </c>
      <c r="E482" s="11" t="s">
        <v>28</v>
      </c>
      <c r="F482" s="10" t="s">
        <v>28</v>
      </c>
      <c r="G482" s="10" t="s">
        <v>28</v>
      </c>
      <c r="H482" s="10" t="s">
        <v>28</v>
      </c>
      <c r="I482" s="11" t="s">
        <v>28</v>
      </c>
      <c r="J482" s="11" t="s">
        <v>28</v>
      </c>
      <c r="K482" s="11" t="s">
        <v>28</v>
      </c>
      <c r="L482" s="11" t="s">
        <v>28</v>
      </c>
      <c r="M482" s="11" t="s">
        <v>28</v>
      </c>
      <c r="N482" s="8">
        <v>45482</v>
      </c>
      <c r="O482" s="9" t="s">
        <v>30</v>
      </c>
      <c r="P482" s="12" t="s">
        <v>1900</v>
      </c>
      <c r="Q482" s="9" t="s">
        <v>285</v>
      </c>
      <c r="R482" s="14" t="str">
        <f>HYPERLINK("https://my.pitchbook.com?c=267746-23T","View Company Online")</f>
        <v>View Company Online</v>
      </c>
    </row>
    <row r="483" spans="1:18" hidden="1" x14ac:dyDescent="0.3">
      <c r="A483" s="15" t="s">
        <v>1901</v>
      </c>
      <c r="B483" s="15" t="s">
        <v>1902</v>
      </c>
      <c r="C483" s="18" t="s">
        <v>28</v>
      </c>
      <c r="D483" s="15" t="s">
        <v>1903</v>
      </c>
      <c r="E483" s="18" t="s">
        <v>28</v>
      </c>
      <c r="F483" s="19" t="s">
        <v>28</v>
      </c>
      <c r="G483" s="19">
        <v>7</v>
      </c>
      <c r="H483" s="19" t="s">
        <v>28</v>
      </c>
      <c r="I483" s="18" t="s">
        <v>28</v>
      </c>
      <c r="J483" s="18" t="s">
        <v>28</v>
      </c>
      <c r="K483" s="18" t="s">
        <v>28</v>
      </c>
      <c r="L483" s="18" t="s">
        <v>28</v>
      </c>
      <c r="M483" s="18" t="s">
        <v>28</v>
      </c>
      <c r="N483" s="17">
        <v>45481</v>
      </c>
      <c r="O483" s="15" t="s">
        <v>79</v>
      </c>
      <c r="P483" s="16" t="s">
        <v>1904</v>
      </c>
      <c r="Q483" s="15" t="s">
        <v>114</v>
      </c>
      <c r="R483" s="13" t="str">
        <f>HYPERLINK("https://my.pitchbook.com?c=266326-12T","View Company Online")</f>
        <v>View Company Online</v>
      </c>
    </row>
    <row r="484" spans="1:18" hidden="1" x14ac:dyDescent="0.3">
      <c r="A484" s="9" t="s">
        <v>1905</v>
      </c>
      <c r="B484" s="9" t="s">
        <v>1906</v>
      </c>
      <c r="C484" s="11" t="s">
        <v>28</v>
      </c>
      <c r="D484" s="9" t="s">
        <v>1907</v>
      </c>
      <c r="E484" s="11" t="s">
        <v>28</v>
      </c>
      <c r="F484" s="10" t="s">
        <v>28</v>
      </c>
      <c r="G484" s="10" t="s">
        <v>28</v>
      </c>
      <c r="H484" s="10" t="s">
        <v>28</v>
      </c>
      <c r="I484" s="11" t="s">
        <v>28</v>
      </c>
      <c r="J484" s="11" t="s">
        <v>28</v>
      </c>
      <c r="K484" s="11" t="s">
        <v>28</v>
      </c>
      <c r="L484" s="11" t="s">
        <v>28</v>
      </c>
      <c r="M484" s="11" t="s">
        <v>28</v>
      </c>
      <c r="N484" s="8">
        <v>45481</v>
      </c>
      <c r="O484" s="9" t="s">
        <v>41</v>
      </c>
      <c r="P484" s="12" t="s">
        <v>1908</v>
      </c>
      <c r="Q484" s="9" t="s">
        <v>470</v>
      </c>
      <c r="R484" s="14" t="str">
        <f>HYPERLINK("https://my.pitchbook.com?c=266366-35T","View Company Online")</f>
        <v>View Company Online</v>
      </c>
    </row>
    <row r="485" spans="1:18" hidden="1" x14ac:dyDescent="0.3">
      <c r="A485" s="15" t="s">
        <v>1909</v>
      </c>
      <c r="B485" s="15" t="s">
        <v>1910</v>
      </c>
      <c r="C485" s="18" t="s">
        <v>28</v>
      </c>
      <c r="D485" s="15" t="s">
        <v>1911</v>
      </c>
      <c r="E485" s="18" t="s">
        <v>28</v>
      </c>
      <c r="F485" s="19" t="s">
        <v>28</v>
      </c>
      <c r="G485" s="19">
        <v>11.02</v>
      </c>
      <c r="H485" s="19" t="s">
        <v>28</v>
      </c>
      <c r="I485" s="18" t="s">
        <v>28</v>
      </c>
      <c r="J485" s="18" t="s">
        <v>28</v>
      </c>
      <c r="K485" s="18" t="s">
        <v>28</v>
      </c>
      <c r="L485" s="18" t="s">
        <v>28</v>
      </c>
      <c r="M485" s="18" t="s">
        <v>28</v>
      </c>
      <c r="N485" s="17">
        <v>45481</v>
      </c>
      <c r="O485" s="15" t="s">
        <v>173</v>
      </c>
      <c r="P485" s="16" t="s">
        <v>28</v>
      </c>
      <c r="Q485" s="15" t="s">
        <v>174</v>
      </c>
      <c r="R485" s="13" t="str">
        <f>HYPERLINK("https://my.pitchbook.com?c=269278-57T","View Company Online")</f>
        <v>View Company Online</v>
      </c>
    </row>
    <row r="486" spans="1:18" hidden="1" x14ac:dyDescent="0.3">
      <c r="A486" s="9" t="s">
        <v>1912</v>
      </c>
      <c r="B486" s="9" t="s">
        <v>1913</v>
      </c>
      <c r="C486" s="11" t="s">
        <v>28</v>
      </c>
      <c r="D486" s="9" t="s">
        <v>28</v>
      </c>
      <c r="E486" s="11" t="s">
        <v>28</v>
      </c>
      <c r="F486" s="10" t="s">
        <v>28</v>
      </c>
      <c r="G486" s="10" t="s">
        <v>28</v>
      </c>
      <c r="H486" s="10" t="s">
        <v>28</v>
      </c>
      <c r="I486" s="11" t="s">
        <v>28</v>
      </c>
      <c r="J486" s="11" t="s">
        <v>28</v>
      </c>
      <c r="K486" s="11" t="s">
        <v>28</v>
      </c>
      <c r="L486" s="11" t="s">
        <v>28</v>
      </c>
      <c r="M486" s="11" t="s">
        <v>28</v>
      </c>
      <c r="N486" s="8">
        <v>45481</v>
      </c>
      <c r="O486" s="9" t="s">
        <v>41</v>
      </c>
      <c r="P486" s="12" t="s">
        <v>628</v>
      </c>
      <c r="Q486" s="9" t="s">
        <v>1144</v>
      </c>
      <c r="R486" s="14" t="str">
        <f>HYPERLINK("https://my.pitchbook.com?c=274081-24T","View Company Online")</f>
        <v>View Company Online</v>
      </c>
    </row>
    <row r="487" spans="1:18" hidden="1" x14ac:dyDescent="0.3">
      <c r="A487" s="15" t="s">
        <v>1914</v>
      </c>
      <c r="B487" s="15" t="s">
        <v>1915</v>
      </c>
      <c r="C487" s="18" t="s">
        <v>28</v>
      </c>
      <c r="D487" s="15" t="s">
        <v>1916</v>
      </c>
      <c r="E487" s="18" t="s">
        <v>28</v>
      </c>
      <c r="F487" s="19" t="s">
        <v>28</v>
      </c>
      <c r="G487" s="19">
        <v>0.46</v>
      </c>
      <c r="H487" s="19" t="s">
        <v>28</v>
      </c>
      <c r="I487" s="18" t="s">
        <v>28</v>
      </c>
      <c r="J487" s="18" t="s">
        <v>28</v>
      </c>
      <c r="K487" s="18" t="s">
        <v>28</v>
      </c>
      <c r="L487" s="18" t="s">
        <v>28</v>
      </c>
      <c r="M487" s="18" t="s">
        <v>28</v>
      </c>
      <c r="N487" s="17">
        <v>45481</v>
      </c>
      <c r="O487" s="15" t="s">
        <v>73</v>
      </c>
      <c r="P487" s="16" t="s">
        <v>1917</v>
      </c>
      <c r="Q487" s="15" t="s">
        <v>75</v>
      </c>
      <c r="R487" s="13" t="str">
        <f>HYPERLINK("https://my.pitchbook.com?c=266319-55T","View Company Online")</f>
        <v>View Company Online</v>
      </c>
    </row>
    <row r="488" spans="1:18" hidden="1" x14ac:dyDescent="0.3">
      <c r="A488" s="9" t="s">
        <v>1918</v>
      </c>
      <c r="B488" s="9" t="s">
        <v>1919</v>
      </c>
      <c r="C488" s="11" t="s">
        <v>28</v>
      </c>
      <c r="D488" s="9" t="s">
        <v>1920</v>
      </c>
      <c r="E488" s="11" t="s">
        <v>28</v>
      </c>
      <c r="F488" s="10" t="s">
        <v>28</v>
      </c>
      <c r="G488" s="10" t="s">
        <v>28</v>
      </c>
      <c r="H488" s="10" t="s">
        <v>28</v>
      </c>
      <c r="I488" s="11" t="s">
        <v>28</v>
      </c>
      <c r="J488" s="11" t="s">
        <v>28</v>
      </c>
      <c r="K488" s="11" t="s">
        <v>28</v>
      </c>
      <c r="L488" s="11" t="s">
        <v>28</v>
      </c>
      <c r="M488" s="11" t="s">
        <v>28</v>
      </c>
      <c r="N488" s="8">
        <v>45478</v>
      </c>
      <c r="O488" s="9" t="s">
        <v>30</v>
      </c>
      <c r="P488" s="12" t="s">
        <v>1921</v>
      </c>
      <c r="Q488" s="9" t="s">
        <v>54</v>
      </c>
      <c r="R488" s="14" t="str">
        <f>HYPERLINK("https://my.pitchbook.com?c=267887-62T","View Company Online")</f>
        <v>View Company Online</v>
      </c>
    </row>
    <row r="489" spans="1:18" hidden="1" x14ac:dyDescent="0.3">
      <c r="A489" s="15" t="s">
        <v>1922</v>
      </c>
      <c r="B489" s="15" t="s">
        <v>1923</v>
      </c>
      <c r="C489" s="18" t="s">
        <v>28</v>
      </c>
      <c r="D489" s="15" t="s">
        <v>1924</v>
      </c>
      <c r="E489" s="18" t="s">
        <v>28</v>
      </c>
      <c r="F489" s="19" t="s">
        <v>28</v>
      </c>
      <c r="G489" s="19" t="s">
        <v>28</v>
      </c>
      <c r="H489" s="19" t="s">
        <v>28</v>
      </c>
      <c r="I489" s="18" t="s">
        <v>28</v>
      </c>
      <c r="J489" s="18" t="s">
        <v>28</v>
      </c>
      <c r="K489" s="18" t="s">
        <v>28</v>
      </c>
      <c r="L489" s="18" t="s">
        <v>28</v>
      </c>
      <c r="M489" s="18" t="s">
        <v>28</v>
      </c>
      <c r="N489" s="17">
        <v>45478</v>
      </c>
      <c r="O489" s="15" t="s">
        <v>99</v>
      </c>
      <c r="P489" s="16" t="s">
        <v>611</v>
      </c>
      <c r="Q489" s="15" t="s">
        <v>75</v>
      </c>
      <c r="R489" s="13" t="str">
        <f>HYPERLINK("https://my.pitchbook.com?c=272616-85T","View Company Online")</f>
        <v>View Company Online</v>
      </c>
    </row>
    <row r="490" spans="1:18" hidden="1" x14ac:dyDescent="0.3">
      <c r="A490" s="9" t="s">
        <v>1925</v>
      </c>
      <c r="B490" s="9" t="s">
        <v>1926</v>
      </c>
      <c r="C490" s="11" t="s">
        <v>28</v>
      </c>
      <c r="D490" s="9" t="s">
        <v>1927</v>
      </c>
      <c r="E490" s="11" t="s">
        <v>28</v>
      </c>
      <c r="F490" s="10" t="s">
        <v>28</v>
      </c>
      <c r="G490" s="10" t="s">
        <v>28</v>
      </c>
      <c r="H490" s="10" t="s">
        <v>28</v>
      </c>
      <c r="I490" s="11" t="s">
        <v>28</v>
      </c>
      <c r="J490" s="11" t="s">
        <v>28</v>
      </c>
      <c r="K490" s="11" t="s">
        <v>28</v>
      </c>
      <c r="L490" s="11" t="s">
        <v>28</v>
      </c>
      <c r="M490" s="11" t="s">
        <v>28</v>
      </c>
      <c r="N490" s="8">
        <v>45478</v>
      </c>
      <c r="O490" s="9" t="s">
        <v>30</v>
      </c>
      <c r="P490" s="12" t="s">
        <v>1928</v>
      </c>
      <c r="Q490" s="9" t="s">
        <v>240</v>
      </c>
      <c r="R490" s="14" t="str">
        <f>HYPERLINK("https://my.pitchbook.com?c=267527-89T","View Company Online")</f>
        <v>View Company Online</v>
      </c>
    </row>
    <row r="491" spans="1:18" hidden="1" x14ac:dyDescent="0.3">
      <c r="A491" s="15" t="s">
        <v>1929</v>
      </c>
      <c r="B491" s="15" t="s">
        <v>1930</v>
      </c>
      <c r="C491" s="18" t="s">
        <v>28</v>
      </c>
      <c r="D491" s="15" t="s">
        <v>1931</v>
      </c>
      <c r="E491" s="18" t="s">
        <v>28</v>
      </c>
      <c r="F491" s="19" t="s">
        <v>28</v>
      </c>
      <c r="G491" s="19" t="s">
        <v>28</v>
      </c>
      <c r="H491" s="19" t="s">
        <v>28</v>
      </c>
      <c r="I491" s="18" t="s">
        <v>28</v>
      </c>
      <c r="J491" s="18" t="s">
        <v>28</v>
      </c>
      <c r="K491" s="18" t="s">
        <v>28</v>
      </c>
      <c r="L491" s="18" t="s">
        <v>28</v>
      </c>
      <c r="M491" s="18" t="s">
        <v>28</v>
      </c>
      <c r="N491" s="17">
        <v>45478</v>
      </c>
      <c r="O491" s="15" t="s">
        <v>30</v>
      </c>
      <c r="P491" s="16" t="s">
        <v>1932</v>
      </c>
      <c r="Q491" s="15" t="s">
        <v>1853</v>
      </c>
      <c r="R491" s="13" t="str">
        <f>HYPERLINK("https://my.pitchbook.com?c=273027-52T","View Company Online")</f>
        <v>View Company Online</v>
      </c>
    </row>
    <row r="492" spans="1:18" hidden="1" x14ac:dyDescent="0.3">
      <c r="A492" s="9" t="s">
        <v>1933</v>
      </c>
      <c r="B492" s="9" t="s">
        <v>1934</v>
      </c>
      <c r="C492" s="11" t="s">
        <v>28</v>
      </c>
      <c r="D492" s="9" t="s">
        <v>1935</v>
      </c>
      <c r="E492" s="11" t="s">
        <v>28</v>
      </c>
      <c r="F492" s="10" t="s">
        <v>28</v>
      </c>
      <c r="G492" s="10">
        <v>1.71</v>
      </c>
      <c r="H492" s="10" t="s">
        <v>28</v>
      </c>
      <c r="I492" s="11" t="s">
        <v>28</v>
      </c>
      <c r="J492" s="11" t="s">
        <v>28</v>
      </c>
      <c r="K492" s="11" t="s">
        <v>28</v>
      </c>
      <c r="L492" s="11" t="s">
        <v>28</v>
      </c>
      <c r="M492" s="11" t="s">
        <v>28</v>
      </c>
      <c r="N492" s="8">
        <v>45478</v>
      </c>
      <c r="O492" s="9" t="s">
        <v>99</v>
      </c>
      <c r="P492" s="12" t="s">
        <v>221</v>
      </c>
      <c r="Q492" s="9" t="s">
        <v>37</v>
      </c>
      <c r="R492" s="14" t="str">
        <f>HYPERLINK("https://my.pitchbook.com?c=242730-91T","View Company Online")</f>
        <v>View Company Online</v>
      </c>
    </row>
    <row r="493" spans="1:18" hidden="1" x14ac:dyDescent="0.3">
      <c r="A493" s="15" t="s">
        <v>1936</v>
      </c>
      <c r="B493" s="15" t="s">
        <v>1937</v>
      </c>
      <c r="C493" s="18" t="s">
        <v>28</v>
      </c>
      <c r="D493" s="15" t="s">
        <v>1938</v>
      </c>
      <c r="E493" s="18" t="s">
        <v>28</v>
      </c>
      <c r="F493" s="19" t="s">
        <v>28</v>
      </c>
      <c r="G493" s="19" t="s">
        <v>28</v>
      </c>
      <c r="H493" s="19" t="s">
        <v>28</v>
      </c>
      <c r="I493" s="18" t="s">
        <v>28</v>
      </c>
      <c r="J493" s="18" t="s">
        <v>28</v>
      </c>
      <c r="K493" s="18" t="s">
        <v>28</v>
      </c>
      <c r="L493" s="18" t="s">
        <v>28</v>
      </c>
      <c r="M493" s="18" t="s">
        <v>28</v>
      </c>
      <c r="N493" s="17">
        <v>45478</v>
      </c>
      <c r="O493" s="15" t="s">
        <v>173</v>
      </c>
      <c r="P493" s="16" t="s">
        <v>28</v>
      </c>
      <c r="Q493" s="15" t="s">
        <v>174</v>
      </c>
      <c r="R493" s="13" t="str">
        <f>HYPERLINK("https://my.pitchbook.com?c=270829-99T","View Company Online")</f>
        <v>View Company Online</v>
      </c>
    </row>
    <row r="494" spans="1:18" hidden="1" x14ac:dyDescent="0.3">
      <c r="A494" s="9" t="s">
        <v>1939</v>
      </c>
      <c r="B494" s="9" t="s">
        <v>1940</v>
      </c>
      <c r="C494" s="11" t="s">
        <v>28</v>
      </c>
      <c r="D494" s="9" t="s">
        <v>1941</v>
      </c>
      <c r="E494" s="11" t="s">
        <v>28</v>
      </c>
      <c r="F494" s="10" t="s">
        <v>28</v>
      </c>
      <c r="G494" s="10" t="s">
        <v>28</v>
      </c>
      <c r="H494" s="10" t="s">
        <v>28</v>
      </c>
      <c r="I494" s="11" t="s">
        <v>28</v>
      </c>
      <c r="J494" s="11" t="s">
        <v>28</v>
      </c>
      <c r="K494" s="11" t="s">
        <v>28</v>
      </c>
      <c r="L494" s="11" t="s">
        <v>28</v>
      </c>
      <c r="M494" s="11" t="s">
        <v>28</v>
      </c>
      <c r="N494" s="8">
        <v>45477</v>
      </c>
      <c r="O494" s="9" t="s">
        <v>30</v>
      </c>
      <c r="P494" s="12" t="s">
        <v>1942</v>
      </c>
      <c r="Q494" s="9" t="s">
        <v>1035</v>
      </c>
      <c r="R494" s="14" t="str">
        <f>HYPERLINK("https://my.pitchbook.com?c=267828-04T","View Company Online")</f>
        <v>View Company Online</v>
      </c>
    </row>
    <row r="495" spans="1:18" hidden="1" x14ac:dyDescent="0.3">
      <c r="A495" s="15" t="s">
        <v>1943</v>
      </c>
      <c r="B495" s="15" t="s">
        <v>1944</v>
      </c>
      <c r="C495" s="18" t="s">
        <v>28</v>
      </c>
      <c r="D495" s="15" t="s">
        <v>1945</v>
      </c>
      <c r="E495" s="18" t="s">
        <v>28</v>
      </c>
      <c r="F495" s="19" t="s">
        <v>28</v>
      </c>
      <c r="G495" s="19" t="s">
        <v>28</v>
      </c>
      <c r="H495" s="19" t="s">
        <v>28</v>
      </c>
      <c r="I495" s="18" t="s">
        <v>28</v>
      </c>
      <c r="J495" s="18" t="s">
        <v>28</v>
      </c>
      <c r="K495" s="18" t="s">
        <v>28</v>
      </c>
      <c r="L495" s="18" t="s">
        <v>28</v>
      </c>
      <c r="M495" s="18" t="s">
        <v>28</v>
      </c>
      <c r="N495" s="17">
        <v>45477</v>
      </c>
      <c r="O495" s="15" t="s">
        <v>73</v>
      </c>
      <c r="P495" s="16" t="s">
        <v>28</v>
      </c>
      <c r="Q495" s="15" t="s">
        <v>75</v>
      </c>
      <c r="R495" s="13" t="str">
        <f>HYPERLINK("https://my.pitchbook.com?c=267488-92T","View Company Online")</f>
        <v>View Company Online</v>
      </c>
    </row>
    <row r="496" spans="1:18" hidden="1" x14ac:dyDescent="0.3">
      <c r="A496" s="9" t="s">
        <v>1946</v>
      </c>
      <c r="B496" s="9" t="s">
        <v>383</v>
      </c>
      <c r="C496" s="11" t="s">
        <v>28</v>
      </c>
      <c r="D496" s="9" t="s">
        <v>384</v>
      </c>
      <c r="E496" s="11" t="s">
        <v>28</v>
      </c>
      <c r="F496" s="10" t="s">
        <v>28</v>
      </c>
      <c r="G496" s="10" t="s">
        <v>28</v>
      </c>
      <c r="H496" s="10" t="s">
        <v>28</v>
      </c>
      <c r="I496" s="11" t="s">
        <v>28</v>
      </c>
      <c r="J496" s="11" t="s">
        <v>28</v>
      </c>
      <c r="K496" s="11" t="s">
        <v>28</v>
      </c>
      <c r="L496" s="11" t="s">
        <v>28</v>
      </c>
      <c r="M496" s="11" t="s">
        <v>28</v>
      </c>
      <c r="N496" s="8">
        <v>45476</v>
      </c>
      <c r="O496" s="9" t="s">
        <v>52</v>
      </c>
      <c r="P496" s="12" t="s">
        <v>408</v>
      </c>
      <c r="Q496" s="9" t="s">
        <v>386</v>
      </c>
      <c r="R496" s="14" t="str">
        <f>HYPERLINK("https://my.pitchbook.com?c=279541-27T","View Company Online")</f>
        <v>View Company Online</v>
      </c>
    </row>
    <row r="497" spans="1:18" hidden="1" x14ac:dyDescent="0.3">
      <c r="A497" s="15" t="s">
        <v>1947</v>
      </c>
      <c r="B497" s="15" t="s">
        <v>1948</v>
      </c>
      <c r="C497" s="18" t="s">
        <v>28</v>
      </c>
      <c r="D497" s="15" t="s">
        <v>1949</v>
      </c>
      <c r="E497" s="18" t="s">
        <v>28</v>
      </c>
      <c r="F497" s="19" t="s">
        <v>28</v>
      </c>
      <c r="G497" s="19" t="s">
        <v>28</v>
      </c>
      <c r="H497" s="19" t="s">
        <v>28</v>
      </c>
      <c r="I497" s="18" t="s">
        <v>28</v>
      </c>
      <c r="J497" s="18" t="s">
        <v>28</v>
      </c>
      <c r="K497" s="18">
        <v>6.9</v>
      </c>
      <c r="L497" s="18" t="s">
        <v>28</v>
      </c>
      <c r="M497" s="18" t="s">
        <v>28</v>
      </c>
      <c r="N497" s="17">
        <v>45476</v>
      </c>
      <c r="O497" s="15" t="s">
        <v>30</v>
      </c>
      <c r="P497" s="16" t="s">
        <v>1950</v>
      </c>
      <c r="Q497" s="15" t="s">
        <v>75</v>
      </c>
      <c r="R497" s="13" t="str">
        <f>HYPERLINK("https://my.pitchbook.com?c=266042-17T","View Company Online")</f>
        <v>View Company Online</v>
      </c>
    </row>
    <row r="498" spans="1:18" hidden="1" x14ac:dyDescent="0.3">
      <c r="A498" s="9" t="s">
        <v>1951</v>
      </c>
      <c r="B498" s="9" t="s">
        <v>1952</v>
      </c>
      <c r="C498" s="11" t="s">
        <v>28</v>
      </c>
      <c r="D498" s="9" t="s">
        <v>1953</v>
      </c>
      <c r="E498" s="11" t="s">
        <v>28</v>
      </c>
      <c r="F498" s="10" t="s">
        <v>28</v>
      </c>
      <c r="G498" s="10" t="s">
        <v>28</v>
      </c>
      <c r="H498" s="10" t="s">
        <v>28</v>
      </c>
      <c r="I498" s="11" t="s">
        <v>28</v>
      </c>
      <c r="J498" s="11" t="s">
        <v>28</v>
      </c>
      <c r="K498" s="11" t="s">
        <v>28</v>
      </c>
      <c r="L498" s="11" t="s">
        <v>28</v>
      </c>
      <c r="M498" s="11" t="s">
        <v>28</v>
      </c>
      <c r="N498" s="8">
        <v>45475</v>
      </c>
      <c r="O498" s="9" t="s">
        <v>79</v>
      </c>
      <c r="P498" s="12" t="s">
        <v>155</v>
      </c>
      <c r="Q498" s="9" t="s">
        <v>75</v>
      </c>
      <c r="R498" s="14" t="str">
        <f>HYPERLINK("https://my.pitchbook.com?c=276741-28T","View Company Online")</f>
        <v>View Company Online</v>
      </c>
    </row>
    <row r="499" spans="1:18" hidden="1" x14ac:dyDescent="0.3">
      <c r="A499" s="15" t="s">
        <v>1954</v>
      </c>
      <c r="B499" s="15" t="s">
        <v>1955</v>
      </c>
      <c r="C499" s="18" t="s">
        <v>28</v>
      </c>
      <c r="D499" s="15" t="s">
        <v>1956</v>
      </c>
      <c r="E499" s="18">
        <v>-0.49</v>
      </c>
      <c r="F499" s="19" t="s">
        <v>28</v>
      </c>
      <c r="G499" s="19" t="s">
        <v>28</v>
      </c>
      <c r="H499" s="19" t="s">
        <v>28</v>
      </c>
      <c r="I499" s="18">
        <v>-0.49</v>
      </c>
      <c r="J499" s="18" t="s">
        <v>28</v>
      </c>
      <c r="K499" s="18">
        <v>0.12</v>
      </c>
      <c r="L499" s="18" t="s">
        <v>28</v>
      </c>
      <c r="M499" s="18">
        <v>-0.49</v>
      </c>
      <c r="N499" s="17">
        <v>45475</v>
      </c>
      <c r="O499" s="15" t="s">
        <v>173</v>
      </c>
      <c r="P499" s="16" t="s">
        <v>28</v>
      </c>
      <c r="Q499" s="15" t="s">
        <v>174</v>
      </c>
      <c r="R499" s="13" t="str">
        <f>HYPERLINK("https://my.pitchbook.com?c=265896-64T","View Company Online")</f>
        <v>View Company Online</v>
      </c>
    </row>
    <row r="500" spans="1:18" hidden="1" x14ac:dyDescent="0.3">
      <c r="A500" s="9" t="s">
        <v>1957</v>
      </c>
      <c r="B500" s="9" t="s">
        <v>1958</v>
      </c>
      <c r="C500" s="11" t="s">
        <v>28</v>
      </c>
      <c r="D500" s="9" t="s">
        <v>1959</v>
      </c>
      <c r="E500" s="11" t="s">
        <v>28</v>
      </c>
      <c r="F500" s="10" t="s">
        <v>28</v>
      </c>
      <c r="G500" s="10" t="s">
        <v>28</v>
      </c>
      <c r="H500" s="10" t="s">
        <v>28</v>
      </c>
      <c r="I500" s="11" t="s">
        <v>28</v>
      </c>
      <c r="J500" s="11" t="s">
        <v>28</v>
      </c>
      <c r="K500" s="11" t="s">
        <v>28</v>
      </c>
      <c r="L500" s="11" t="s">
        <v>28</v>
      </c>
      <c r="M500" s="11" t="s">
        <v>28</v>
      </c>
      <c r="N500" s="8">
        <v>45474</v>
      </c>
      <c r="O500" s="9" t="s">
        <v>30</v>
      </c>
      <c r="P500" s="12" t="s">
        <v>1960</v>
      </c>
      <c r="Q500" s="9" t="s">
        <v>37</v>
      </c>
      <c r="R500" s="14" t="str">
        <f>HYPERLINK("https://my.pitchbook.com?c=285423-67T","View Company Online")</f>
        <v>View Company Online</v>
      </c>
    </row>
    <row r="501" spans="1:18" hidden="1" x14ac:dyDescent="0.3">
      <c r="A501" s="15" t="s">
        <v>1961</v>
      </c>
      <c r="B501" s="15" t="s">
        <v>1962</v>
      </c>
      <c r="C501" s="18" t="s">
        <v>28</v>
      </c>
      <c r="D501" s="15" t="s">
        <v>1963</v>
      </c>
      <c r="E501" s="18" t="s">
        <v>28</v>
      </c>
      <c r="F501" s="19" t="s">
        <v>28</v>
      </c>
      <c r="G501" s="19">
        <v>0.13</v>
      </c>
      <c r="H501" s="19" t="s">
        <v>28</v>
      </c>
      <c r="I501" s="18" t="s">
        <v>28</v>
      </c>
      <c r="J501" s="18" t="s">
        <v>28</v>
      </c>
      <c r="K501" s="18" t="s">
        <v>28</v>
      </c>
      <c r="L501" s="18" t="s">
        <v>28</v>
      </c>
      <c r="M501" s="18" t="s">
        <v>28</v>
      </c>
      <c r="N501" s="17">
        <v>45474</v>
      </c>
      <c r="O501" s="15" t="s">
        <v>99</v>
      </c>
      <c r="P501" s="16" t="s">
        <v>1964</v>
      </c>
      <c r="Q501" s="15" t="s">
        <v>1035</v>
      </c>
      <c r="R501" s="13" t="str">
        <f>HYPERLINK("https://my.pitchbook.com?c=272127-61T","View Company Online")</f>
        <v>View Company Online</v>
      </c>
    </row>
    <row r="502" spans="1:18" hidden="1" x14ac:dyDescent="0.3">
      <c r="A502" s="9" t="s">
        <v>1965</v>
      </c>
      <c r="B502" s="9" t="s">
        <v>1966</v>
      </c>
      <c r="C502" s="11" t="s">
        <v>28</v>
      </c>
      <c r="D502" s="9" t="s">
        <v>1967</v>
      </c>
      <c r="E502" s="11" t="s">
        <v>28</v>
      </c>
      <c r="F502" s="10" t="s">
        <v>28</v>
      </c>
      <c r="G502" s="10" t="s">
        <v>28</v>
      </c>
      <c r="H502" s="10" t="s">
        <v>28</v>
      </c>
      <c r="I502" s="11" t="s">
        <v>28</v>
      </c>
      <c r="J502" s="11" t="s">
        <v>28</v>
      </c>
      <c r="K502" s="11" t="s">
        <v>28</v>
      </c>
      <c r="L502" s="11" t="s">
        <v>28</v>
      </c>
      <c r="M502" s="11" t="s">
        <v>28</v>
      </c>
      <c r="N502" s="8">
        <v>45474</v>
      </c>
      <c r="O502" s="9" t="s">
        <v>73</v>
      </c>
      <c r="P502" s="12" t="s">
        <v>1968</v>
      </c>
      <c r="Q502" s="9" t="s">
        <v>85</v>
      </c>
      <c r="R502" s="14" t="str">
        <f>HYPERLINK("https://my.pitchbook.com?c=267336-28T","View Company Online")</f>
        <v>View Company Online</v>
      </c>
    </row>
    <row r="503" spans="1:18" hidden="1" x14ac:dyDescent="0.3">
      <c r="A503" s="15" t="s">
        <v>1969</v>
      </c>
      <c r="B503" s="15" t="s">
        <v>776</v>
      </c>
      <c r="C503" s="18" t="s">
        <v>28</v>
      </c>
      <c r="D503" s="15" t="s">
        <v>777</v>
      </c>
      <c r="E503" s="18" t="s">
        <v>28</v>
      </c>
      <c r="F503" s="19" t="s">
        <v>28</v>
      </c>
      <c r="G503" s="19" t="s">
        <v>28</v>
      </c>
      <c r="H503" s="19" t="s">
        <v>28</v>
      </c>
      <c r="I503" s="18" t="s">
        <v>28</v>
      </c>
      <c r="J503" s="18" t="s">
        <v>28</v>
      </c>
      <c r="K503" s="18" t="s">
        <v>28</v>
      </c>
      <c r="L503" s="18" t="s">
        <v>28</v>
      </c>
      <c r="M503" s="18" t="s">
        <v>28</v>
      </c>
      <c r="N503" s="17">
        <v>45474</v>
      </c>
      <c r="O503" s="15" t="s">
        <v>52</v>
      </c>
      <c r="P503" s="16" t="s">
        <v>1970</v>
      </c>
      <c r="Q503" s="15" t="s">
        <v>245</v>
      </c>
      <c r="R503" s="13" t="str">
        <f>HYPERLINK("https://my.pitchbook.com?c=291728-26T","View Company Online")</f>
        <v>View Company Online</v>
      </c>
    </row>
    <row r="504" spans="1:18" hidden="1" x14ac:dyDescent="0.3">
      <c r="A504" s="9" t="s">
        <v>1971</v>
      </c>
      <c r="B504" s="9" t="s">
        <v>1972</v>
      </c>
      <c r="C504" s="11" t="s">
        <v>28</v>
      </c>
      <c r="D504" s="9" t="s">
        <v>1973</v>
      </c>
      <c r="E504" s="11" t="s">
        <v>28</v>
      </c>
      <c r="F504" s="10" t="s">
        <v>28</v>
      </c>
      <c r="G504" s="10" t="s">
        <v>28</v>
      </c>
      <c r="H504" s="10" t="s">
        <v>28</v>
      </c>
      <c r="I504" s="11" t="s">
        <v>28</v>
      </c>
      <c r="J504" s="11" t="s">
        <v>28</v>
      </c>
      <c r="K504" s="11" t="s">
        <v>28</v>
      </c>
      <c r="L504" s="11" t="s">
        <v>28</v>
      </c>
      <c r="M504" s="11" t="s">
        <v>28</v>
      </c>
      <c r="N504" s="8">
        <v>45474</v>
      </c>
      <c r="O504" s="9" t="s">
        <v>73</v>
      </c>
      <c r="P504" s="12" t="s">
        <v>1974</v>
      </c>
      <c r="Q504" s="9" t="s">
        <v>54</v>
      </c>
      <c r="R504" s="14" t="str">
        <f>HYPERLINK("https://my.pitchbook.com?c=276322-87T","View Company Online")</f>
        <v>View Company Online</v>
      </c>
    </row>
    <row r="505" spans="1:18" hidden="1" x14ac:dyDescent="0.3">
      <c r="A505" s="15" t="s">
        <v>1975</v>
      </c>
      <c r="B505" s="15" t="s">
        <v>1976</v>
      </c>
      <c r="C505" s="18" t="s">
        <v>28</v>
      </c>
      <c r="D505" s="15" t="s">
        <v>1977</v>
      </c>
      <c r="E505" s="18" t="s">
        <v>28</v>
      </c>
      <c r="F505" s="19" t="s">
        <v>28</v>
      </c>
      <c r="G505" s="19">
        <v>0.13</v>
      </c>
      <c r="H505" s="19" t="s">
        <v>28</v>
      </c>
      <c r="I505" s="18" t="s">
        <v>28</v>
      </c>
      <c r="J505" s="18" t="s">
        <v>28</v>
      </c>
      <c r="K505" s="18" t="s">
        <v>28</v>
      </c>
      <c r="L505" s="18" t="s">
        <v>28</v>
      </c>
      <c r="M505" s="18" t="s">
        <v>28</v>
      </c>
      <c r="N505" s="17">
        <v>45474</v>
      </c>
      <c r="O505" s="15" t="s">
        <v>99</v>
      </c>
      <c r="P505" s="16" t="s">
        <v>1964</v>
      </c>
      <c r="Q505" s="15" t="s">
        <v>386</v>
      </c>
      <c r="R505" s="13" t="str">
        <f>HYPERLINK("https://my.pitchbook.com?c=272117-08T","View Company Online")</f>
        <v>View Company Online</v>
      </c>
    </row>
    <row r="506" spans="1:18" hidden="1" x14ac:dyDescent="0.3">
      <c r="A506" s="9" t="s">
        <v>1978</v>
      </c>
      <c r="B506" s="9" t="s">
        <v>1979</v>
      </c>
      <c r="C506" s="11" t="s">
        <v>28</v>
      </c>
      <c r="D506" s="9" t="s">
        <v>1980</v>
      </c>
      <c r="E506" s="11" t="s">
        <v>28</v>
      </c>
      <c r="F506" s="10" t="s">
        <v>28</v>
      </c>
      <c r="G506" s="10" t="s">
        <v>28</v>
      </c>
      <c r="H506" s="10" t="s">
        <v>28</v>
      </c>
      <c r="I506" s="11" t="s">
        <v>28</v>
      </c>
      <c r="J506" s="11" t="s">
        <v>28</v>
      </c>
      <c r="K506" s="11" t="s">
        <v>28</v>
      </c>
      <c r="L506" s="11" t="s">
        <v>28</v>
      </c>
      <c r="M506" s="11" t="s">
        <v>28</v>
      </c>
      <c r="N506" s="8">
        <v>45474</v>
      </c>
      <c r="O506" s="9" t="s">
        <v>30</v>
      </c>
      <c r="P506" s="12" t="s">
        <v>1981</v>
      </c>
      <c r="Q506" s="9" t="s">
        <v>1982</v>
      </c>
      <c r="R506" s="14" t="str">
        <f>HYPERLINK("https://my.pitchbook.com?c=266043-70T","View Company Online")</f>
        <v>View Company Online</v>
      </c>
    </row>
    <row r="507" spans="1:18" hidden="1" x14ac:dyDescent="0.3">
      <c r="A507" s="15" t="s">
        <v>1983</v>
      </c>
      <c r="B507" s="15" t="s">
        <v>1984</v>
      </c>
      <c r="C507" s="18" t="s">
        <v>28</v>
      </c>
      <c r="D507" s="15" t="s">
        <v>1985</v>
      </c>
      <c r="E507" s="18" t="s">
        <v>28</v>
      </c>
      <c r="F507" s="19" t="s">
        <v>28</v>
      </c>
      <c r="G507" s="19" t="s">
        <v>28</v>
      </c>
      <c r="H507" s="19" t="s">
        <v>28</v>
      </c>
      <c r="I507" s="18" t="s">
        <v>28</v>
      </c>
      <c r="J507" s="18" t="s">
        <v>28</v>
      </c>
      <c r="K507" s="18">
        <v>0.19</v>
      </c>
      <c r="L507" s="18" t="s">
        <v>28</v>
      </c>
      <c r="M507" s="18" t="s">
        <v>28</v>
      </c>
      <c r="N507" s="17">
        <v>45474</v>
      </c>
      <c r="O507" s="15" t="s">
        <v>79</v>
      </c>
      <c r="P507" s="16" t="s">
        <v>1986</v>
      </c>
      <c r="Q507" s="15" t="s">
        <v>75</v>
      </c>
      <c r="R507" s="13" t="str">
        <f>HYPERLINK("https://my.pitchbook.com?c=266706-55T","View Company Online")</f>
        <v>View Company Online</v>
      </c>
    </row>
    <row r="508" spans="1:18" hidden="1" x14ac:dyDescent="0.3">
      <c r="A508" s="9" t="s">
        <v>1987</v>
      </c>
      <c r="B508" s="9" t="s">
        <v>1988</v>
      </c>
      <c r="C508" s="11" t="s">
        <v>28</v>
      </c>
      <c r="D508" s="9" t="s">
        <v>1989</v>
      </c>
      <c r="E508" s="11" t="s">
        <v>28</v>
      </c>
      <c r="F508" s="10" t="s">
        <v>28</v>
      </c>
      <c r="G508" s="10" t="s">
        <v>28</v>
      </c>
      <c r="H508" s="10" t="s">
        <v>28</v>
      </c>
      <c r="I508" s="11">
        <v>11.86</v>
      </c>
      <c r="J508" s="11" t="s">
        <v>28</v>
      </c>
      <c r="K508" s="11">
        <v>63.02</v>
      </c>
      <c r="L508" s="11" t="s">
        <v>28</v>
      </c>
      <c r="M508" s="11" t="s">
        <v>28</v>
      </c>
      <c r="N508" s="8">
        <v>45474</v>
      </c>
      <c r="O508" s="9" t="s">
        <v>79</v>
      </c>
      <c r="P508" s="12" t="s">
        <v>1990</v>
      </c>
      <c r="Q508" s="9" t="s">
        <v>75</v>
      </c>
      <c r="R508" s="14" t="str">
        <f>HYPERLINK("https://my.pitchbook.com?c=267206-59T","View Company Online")</f>
        <v>View Company Online</v>
      </c>
    </row>
    <row r="509" spans="1:18" hidden="1" x14ac:dyDescent="0.3">
      <c r="A509" s="15" t="s">
        <v>1991</v>
      </c>
      <c r="B509" s="15" t="s">
        <v>1992</v>
      </c>
      <c r="C509" s="18" t="s">
        <v>28</v>
      </c>
      <c r="D509" s="15" t="s">
        <v>1993</v>
      </c>
      <c r="E509" s="18" t="s">
        <v>28</v>
      </c>
      <c r="F509" s="19" t="s">
        <v>28</v>
      </c>
      <c r="G509" s="19" t="s">
        <v>28</v>
      </c>
      <c r="H509" s="19" t="s">
        <v>28</v>
      </c>
      <c r="I509" s="18" t="s">
        <v>28</v>
      </c>
      <c r="J509" s="18" t="s">
        <v>28</v>
      </c>
      <c r="K509" s="18">
        <v>11.85</v>
      </c>
      <c r="L509" s="18" t="s">
        <v>28</v>
      </c>
      <c r="M509" s="18" t="s">
        <v>28</v>
      </c>
      <c r="N509" s="17">
        <v>45474</v>
      </c>
      <c r="O509" s="15" t="s">
        <v>93</v>
      </c>
      <c r="P509" s="16" t="s">
        <v>1994</v>
      </c>
      <c r="Q509" s="15" t="s">
        <v>75</v>
      </c>
      <c r="R509" s="13" t="str">
        <f>HYPERLINK("https://my.pitchbook.com?c=265909-87T","View Company Online")</f>
        <v>View Company Online</v>
      </c>
    </row>
    <row r="510" spans="1:18" hidden="1" x14ac:dyDescent="0.3">
      <c r="A510" s="9" t="s">
        <v>1995</v>
      </c>
      <c r="B510" s="9" t="s">
        <v>1996</v>
      </c>
      <c r="C510" s="11" t="s">
        <v>28</v>
      </c>
      <c r="D510" s="9" t="s">
        <v>1997</v>
      </c>
      <c r="E510" s="11" t="s">
        <v>28</v>
      </c>
      <c r="F510" s="10" t="s">
        <v>28</v>
      </c>
      <c r="G510" s="10">
        <v>0.13</v>
      </c>
      <c r="H510" s="10" t="s">
        <v>28</v>
      </c>
      <c r="I510" s="11" t="s">
        <v>28</v>
      </c>
      <c r="J510" s="11" t="s">
        <v>28</v>
      </c>
      <c r="K510" s="11" t="s">
        <v>28</v>
      </c>
      <c r="L510" s="11" t="s">
        <v>28</v>
      </c>
      <c r="M510" s="11" t="s">
        <v>28</v>
      </c>
      <c r="N510" s="8">
        <v>45474</v>
      </c>
      <c r="O510" s="9" t="s">
        <v>99</v>
      </c>
      <c r="P510" s="12" t="s">
        <v>1964</v>
      </c>
      <c r="Q510" s="9" t="s">
        <v>75</v>
      </c>
      <c r="R510" s="14" t="str">
        <f>HYPERLINK("https://my.pitchbook.com?c=272147-77T","View Company Online")</f>
        <v>View Company Online</v>
      </c>
    </row>
    <row r="511" spans="1:18" hidden="1" x14ac:dyDescent="0.3">
      <c r="A511" s="15" t="s">
        <v>1998</v>
      </c>
      <c r="B511" s="15" t="s">
        <v>1999</v>
      </c>
      <c r="C511" s="18" t="s">
        <v>28</v>
      </c>
      <c r="D511" s="15" t="s">
        <v>2000</v>
      </c>
      <c r="E511" s="18" t="s">
        <v>28</v>
      </c>
      <c r="F511" s="19" t="s">
        <v>28</v>
      </c>
      <c r="G511" s="19" t="s">
        <v>28</v>
      </c>
      <c r="H511" s="19" t="s">
        <v>28</v>
      </c>
      <c r="I511" s="18" t="s">
        <v>28</v>
      </c>
      <c r="J511" s="18" t="s">
        <v>28</v>
      </c>
      <c r="K511" s="18" t="s">
        <v>28</v>
      </c>
      <c r="L511" s="18" t="s">
        <v>28</v>
      </c>
      <c r="M511" s="18" t="s">
        <v>28</v>
      </c>
      <c r="N511" s="17">
        <v>45474</v>
      </c>
      <c r="O511" s="15" t="s">
        <v>30</v>
      </c>
      <c r="P511" s="16" t="s">
        <v>2001</v>
      </c>
      <c r="Q511" s="15" t="s">
        <v>136</v>
      </c>
      <c r="R511" s="13" t="str">
        <f>HYPERLINK("https://my.pitchbook.com?c=257060-35T","View Company Online")</f>
        <v>View Company Online</v>
      </c>
    </row>
    <row r="512" spans="1:18" hidden="1" x14ac:dyDescent="0.3">
      <c r="A512" s="9" t="s">
        <v>2002</v>
      </c>
      <c r="B512" s="9" t="s">
        <v>2003</v>
      </c>
      <c r="C512" s="11" t="s">
        <v>28</v>
      </c>
      <c r="D512" s="9" t="s">
        <v>2004</v>
      </c>
      <c r="E512" s="11" t="s">
        <v>28</v>
      </c>
      <c r="F512" s="10">
        <v>63.28</v>
      </c>
      <c r="G512" s="10">
        <v>63.28</v>
      </c>
      <c r="H512" s="10">
        <v>63.28</v>
      </c>
      <c r="I512" s="11" t="s">
        <v>28</v>
      </c>
      <c r="J512" s="11" t="s">
        <v>28</v>
      </c>
      <c r="K512" s="11">
        <v>22.38</v>
      </c>
      <c r="L512" s="11">
        <v>2.83</v>
      </c>
      <c r="M512" s="11" t="s">
        <v>28</v>
      </c>
      <c r="N512" s="8">
        <v>45474</v>
      </c>
      <c r="O512" s="9" t="s">
        <v>30</v>
      </c>
      <c r="P512" s="12" t="s">
        <v>2005</v>
      </c>
      <c r="Q512" s="9" t="s">
        <v>43</v>
      </c>
      <c r="R512" s="14" t="str">
        <f>HYPERLINK("https://my.pitchbook.com?c=258474-34T","View Company Online")</f>
        <v>View Company Online</v>
      </c>
    </row>
    <row r="513" spans="1:18" hidden="1" x14ac:dyDescent="0.3">
      <c r="A513" s="15" t="s">
        <v>2006</v>
      </c>
      <c r="B513" s="15" t="s">
        <v>2007</v>
      </c>
      <c r="C513" s="18" t="s">
        <v>28</v>
      </c>
      <c r="D513" s="15" t="s">
        <v>2008</v>
      </c>
      <c r="E513" s="18" t="s">
        <v>28</v>
      </c>
      <c r="F513" s="19" t="s">
        <v>28</v>
      </c>
      <c r="G513" s="19" t="s">
        <v>28</v>
      </c>
      <c r="H513" s="19" t="s">
        <v>28</v>
      </c>
      <c r="I513" s="18" t="s">
        <v>28</v>
      </c>
      <c r="J513" s="18" t="s">
        <v>28</v>
      </c>
      <c r="K513" s="18" t="s">
        <v>28</v>
      </c>
      <c r="L513" s="18" t="s">
        <v>28</v>
      </c>
      <c r="M513" s="18" t="s">
        <v>28</v>
      </c>
      <c r="N513" s="17">
        <v>45474</v>
      </c>
      <c r="O513" s="15" t="s">
        <v>73</v>
      </c>
      <c r="P513" s="16" t="s">
        <v>2009</v>
      </c>
      <c r="Q513" s="15" t="s">
        <v>1263</v>
      </c>
      <c r="R513" s="13" t="str">
        <f>HYPERLINK("https://my.pitchbook.com?c=268193-44T","View Company Online")</f>
        <v>View Company Online</v>
      </c>
    </row>
    <row r="514" spans="1:18" hidden="1" x14ac:dyDescent="0.3">
      <c r="A514" s="9" t="s">
        <v>2010</v>
      </c>
      <c r="B514" s="9" t="s">
        <v>2011</v>
      </c>
      <c r="C514" s="11" t="s">
        <v>28</v>
      </c>
      <c r="D514" s="9" t="s">
        <v>2012</v>
      </c>
      <c r="E514" s="11" t="s">
        <v>28</v>
      </c>
      <c r="F514" s="10" t="s">
        <v>28</v>
      </c>
      <c r="G514" s="10" t="s">
        <v>28</v>
      </c>
      <c r="H514" s="10" t="s">
        <v>28</v>
      </c>
      <c r="I514" s="11" t="s">
        <v>28</v>
      </c>
      <c r="J514" s="11" t="s">
        <v>28</v>
      </c>
      <c r="K514" s="11" t="s">
        <v>28</v>
      </c>
      <c r="L514" s="11" t="s">
        <v>28</v>
      </c>
      <c r="M514" s="11" t="s">
        <v>28</v>
      </c>
      <c r="N514" s="8">
        <v>45474</v>
      </c>
      <c r="O514" s="9" t="s">
        <v>73</v>
      </c>
      <c r="P514" s="12" t="s">
        <v>2013</v>
      </c>
      <c r="Q514" s="9" t="s">
        <v>37</v>
      </c>
      <c r="R514" s="14" t="str">
        <f>HYPERLINK("https://my.pitchbook.com?c=266787-46T","View Company Online")</f>
        <v>View Company Online</v>
      </c>
    </row>
    <row r="515" spans="1:18" hidden="1" x14ac:dyDescent="0.3">
      <c r="A515" s="15" t="s">
        <v>2014</v>
      </c>
      <c r="B515" s="15" t="s">
        <v>2015</v>
      </c>
      <c r="C515" s="18" t="s">
        <v>28</v>
      </c>
      <c r="D515" s="15" t="s">
        <v>2016</v>
      </c>
      <c r="E515" s="18" t="s">
        <v>28</v>
      </c>
      <c r="F515" s="19" t="s">
        <v>28</v>
      </c>
      <c r="G515" s="19">
        <v>0.13</v>
      </c>
      <c r="H515" s="19" t="s">
        <v>28</v>
      </c>
      <c r="I515" s="18" t="s">
        <v>28</v>
      </c>
      <c r="J515" s="18" t="s">
        <v>28</v>
      </c>
      <c r="K515" s="18" t="s">
        <v>28</v>
      </c>
      <c r="L515" s="18" t="s">
        <v>28</v>
      </c>
      <c r="M515" s="18" t="s">
        <v>28</v>
      </c>
      <c r="N515" s="17">
        <v>45474</v>
      </c>
      <c r="O515" s="15" t="s">
        <v>99</v>
      </c>
      <c r="P515" s="16" t="s">
        <v>1964</v>
      </c>
      <c r="Q515" s="15" t="s">
        <v>37</v>
      </c>
      <c r="R515" s="13" t="str">
        <f>HYPERLINK("https://my.pitchbook.com?c=272139-40T","View Company Online")</f>
        <v>View Company Online</v>
      </c>
    </row>
    <row r="516" spans="1:18" hidden="1" x14ac:dyDescent="0.3">
      <c r="A516" s="9" t="s">
        <v>2017</v>
      </c>
      <c r="B516" s="9" t="s">
        <v>2018</v>
      </c>
      <c r="C516" s="11" t="s">
        <v>28</v>
      </c>
      <c r="D516" s="9" t="s">
        <v>2019</v>
      </c>
      <c r="E516" s="11" t="s">
        <v>28</v>
      </c>
      <c r="F516" s="10" t="s">
        <v>28</v>
      </c>
      <c r="G516" s="10" t="s">
        <v>28</v>
      </c>
      <c r="H516" s="10" t="s">
        <v>28</v>
      </c>
      <c r="I516" s="11" t="s">
        <v>28</v>
      </c>
      <c r="J516" s="11" t="s">
        <v>28</v>
      </c>
      <c r="K516" s="11" t="s">
        <v>28</v>
      </c>
      <c r="L516" s="11" t="s">
        <v>28</v>
      </c>
      <c r="M516" s="11" t="s">
        <v>28</v>
      </c>
      <c r="N516" s="8">
        <v>45471</v>
      </c>
      <c r="O516" s="9" t="s">
        <v>30</v>
      </c>
      <c r="P516" s="12" t="s">
        <v>2020</v>
      </c>
      <c r="Q516" s="9" t="s">
        <v>855</v>
      </c>
      <c r="R516" s="14" t="str">
        <f>HYPERLINK("https://my.pitchbook.com?c=267713-20T","View Company Online")</f>
        <v>View Company Online</v>
      </c>
    </row>
    <row r="517" spans="1:18" hidden="1" x14ac:dyDescent="0.3">
      <c r="A517" s="15" t="s">
        <v>2021</v>
      </c>
      <c r="B517" s="15" t="s">
        <v>2022</v>
      </c>
      <c r="C517" s="18" t="s">
        <v>28</v>
      </c>
      <c r="D517" s="15" t="s">
        <v>2023</v>
      </c>
      <c r="E517" s="18" t="s">
        <v>28</v>
      </c>
      <c r="F517" s="19" t="s">
        <v>28</v>
      </c>
      <c r="G517" s="19">
        <v>9.34</v>
      </c>
      <c r="H517" s="19" t="s">
        <v>28</v>
      </c>
      <c r="I517" s="18" t="s">
        <v>28</v>
      </c>
      <c r="J517" s="18" t="s">
        <v>28</v>
      </c>
      <c r="K517" s="18" t="s">
        <v>28</v>
      </c>
      <c r="L517" s="18" t="s">
        <v>28</v>
      </c>
      <c r="M517" s="18" t="s">
        <v>28</v>
      </c>
      <c r="N517" s="17">
        <v>45471</v>
      </c>
      <c r="O517" s="15" t="s">
        <v>173</v>
      </c>
      <c r="P517" s="16" t="s">
        <v>28</v>
      </c>
      <c r="Q517" s="15" t="s">
        <v>1068</v>
      </c>
      <c r="R517" s="13" t="str">
        <f>HYPERLINK("https://my.pitchbook.com?c=266244-94T","View Company Online")</f>
        <v>View Company Online</v>
      </c>
    </row>
    <row r="518" spans="1:18" hidden="1" x14ac:dyDescent="0.3">
      <c r="A518" s="9" t="s">
        <v>2024</v>
      </c>
      <c r="B518" s="9" t="s">
        <v>641</v>
      </c>
      <c r="C518" s="11" t="s">
        <v>28</v>
      </c>
      <c r="D518" s="9" t="s">
        <v>642</v>
      </c>
      <c r="E518" s="11" t="s">
        <v>28</v>
      </c>
      <c r="F518" s="10" t="s">
        <v>28</v>
      </c>
      <c r="G518" s="10" t="s">
        <v>28</v>
      </c>
      <c r="H518" s="10" t="s">
        <v>28</v>
      </c>
      <c r="I518" s="11" t="s">
        <v>28</v>
      </c>
      <c r="J518" s="11" t="s">
        <v>28</v>
      </c>
      <c r="K518" s="11" t="s">
        <v>28</v>
      </c>
      <c r="L518" s="11" t="s">
        <v>28</v>
      </c>
      <c r="M518" s="11" t="s">
        <v>28</v>
      </c>
      <c r="N518" s="8">
        <v>45471</v>
      </c>
      <c r="O518" s="9" t="s">
        <v>30</v>
      </c>
      <c r="P518" s="12" t="s">
        <v>2025</v>
      </c>
      <c r="Q518" s="9" t="s">
        <v>64</v>
      </c>
      <c r="R518" s="14" t="str">
        <f>HYPERLINK("https://my.pitchbook.com?c=265808-98T","View Company Online")</f>
        <v>View Company Online</v>
      </c>
    </row>
    <row r="519" spans="1:18" hidden="1" x14ac:dyDescent="0.3">
      <c r="A519" s="15" t="s">
        <v>2026</v>
      </c>
      <c r="B519" s="15" t="s">
        <v>2027</v>
      </c>
      <c r="C519" s="18" t="s">
        <v>28</v>
      </c>
      <c r="D519" s="15" t="s">
        <v>2028</v>
      </c>
      <c r="E519" s="18" t="s">
        <v>28</v>
      </c>
      <c r="F519" s="19" t="s">
        <v>28</v>
      </c>
      <c r="G519" s="19" t="s">
        <v>28</v>
      </c>
      <c r="H519" s="19" t="s">
        <v>28</v>
      </c>
      <c r="I519" s="18" t="s">
        <v>28</v>
      </c>
      <c r="J519" s="18" t="s">
        <v>28</v>
      </c>
      <c r="K519" s="18" t="s">
        <v>28</v>
      </c>
      <c r="L519" s="18" t="s">
        <v>28</v>
      </c>
      <c r="M519" s="18" t="s">
        <v>28</v>
      </c>
      <c r="N519" s="17">
        <v>45471</v>
      </c>
      <c r="O519" s="15" t="s">
        <v>30</v>
      </c>
      <c r="P519" s="16" t="s">
        <v>757</v>
      </c>
      <c r="Q519" s="15" t="s">
        <v>240</v>
      </c>
      <c r="R519" s="13" t="str">
        <f>HYPERLINK("https://my.pitchbook.com?c=257885-29T","View Company Online")</f>
        <v>View Company Online</v>
      </c>
    </row>
    <row r="520" spans="1:18" hidden="1" x14ac:dyDescent="0.3">
      <c r="A520" s="9" t="s">
        <v>2029</v>
      </c>
      <c r="B520" s="9" t="s">
        <v>2030</v>
      </c>
      <c r="C520" s="11" t="s">
        <v>28</v>
      </c>
      <c r="D520" s="9" t="s">
        <v>2031</v>
      </c>
      <c r="E520" s="11" t="s">
        <v>28</v>
      </c>
      <c r="F520" s="10" t="s">
        <v>28</v>
      </c>
      <c r="G520" s="10">
        <v>1.31</v>
      </c>
      <c r="H520" s="10" t="s">
        <v>28</v>
      </c>
      <c r="I520" s="11" t="s">
        <v>28</v>
      </c>
      <c r="J520" s="11" t="s">
        <v>28</v>
      </c>
      <c r="K520" s="11" t="s">
        <v>28</v>
      </c>
      <c r="L520" s="11" t="s">
        <v>28</v>
      </c>
      <c r="M520" s="11" t="s">
        <v>28</v>
      </c>
      <c r="N520" s="8">
        <v>45471</v>
      </c>
      <c r="O520" s="9" t="s">
        <v>79</v>
      </c>
      <c r="P520" s="12" t="s">
        <v>2032</v>
      </c>
      <c r="Q520" s="9" t="s">
        <v>75</v>
      </c>
      <c r="R520" s="14" t="str">
        <f>HYPERLINK("https://my.pitchbook.com?c=265425-85T","View Company Online")</f>
        <v>View Company Online</v>
      </c>
    </row>
    <row r="521" spans="1:18" hidden="1" x14ac:dyDescent="0.3">
      <c r="A521" s="15" t="s">
        <v>2033</v>
      </c>
      <c r="B521" s="15" t="s">
        <v>2034</v>
      </c>
      <c r="C521" s="18" t="s">
        <v>28</v>
      </c>
      <c r="D521" s="15" t="s">
        <v>2035</v>
      </c>
      <c r="E521" s="18" t="s">
        <v>28</v>
      </c>
      <c r="F521" s="19" t="s">
        <v>28</v>
      </c>
      <c r="G521" s="19">
        <v>1.75</v>
      </c>
      <c r="H521" s="19" t="s">
        <v>28</v>
      </c>
      <c r="I521" s="18" t="s">
        <v>28</v>
      </c>
      <c r="J521" s="18" t="s">
        <v>28</v>
      </c>
      <c r="K521" s="18" t="s">
        <v>28</v>
      </c>
      <c r="L521" s="18" t="s">
        <v>28</v>
      </c>
      <c r="M521" s="18" t="s">
        <v>28</v>
      </c>
      <c r="N521" s="17">
        <v>45470</v>
      </c>
      <c r="O521" s="15" t="s">
        <v>73</v>
      </c>
      <c r="P521" s="16" t="s">
        <v>28</v>
      </c>
      <c r="Q521" s="15" t="s">
        <v>95</v>
      </c>
      <c r="R521" s="13" t="str">
        <f>HYPERLINK("https://my.pitchbook.com?c=265467-25T","View Company Online")</f>
        <v>View Company Online</v>
      </c>
    </row>
    <row r="522" spans="1:18" hidden="1" x14ac:dyDescent="0.3">
      <c r="A522" s="9" t="s">
        <v>2036</v>
      </c>
      <c r="B522" s="9" t="s">
        <v>2037</v>
      </c>
      <c r="C522" s="11" t="s">
        <v>28</v>
      </c>
      <c r="D522" s="9" t="s">
        <v>2038</v>
      </c>
      <c r="E522" s="11" t="s">
        <v>28</v>
      </c>
      <c r="F522" s="10" t="s">
        <v>28</v>
      </c>
      <c r="G522" s="10" t="s">
        <v>28</v>
      </c>
      <c r="H522" s="10" t="s">
        <v>28</v>
      </c>
      <c r="I522" s="11" t="s">
        <v>28</v>
      </c>
      <c r="J522" s="11" t="s">
        <v>28</v>
      </c>
      <c r="K522" s="11" t="s">
        <v>28</v>
      </c>
      <c r="L522" s="11" t="s">
        <v>28</v>
      </c>
      <c r="M522" s="11" t="s">
        <v>28</v>
      </c>
      <c r="N522" s="8">
        <v>45470</v>
      </c>
      <c r="O522" s="9" t="s">
        <v>52</v>
      </c>
      <c r="P522" s="12" t="s">
        <v>2039</v>
      </c>
      <c r="Q522" s="9" t="s">
        <v>37</v>
      </c>
      <c r="R522" s="14" t="str">
        <f>HYPERLINK("https://my.pitchbook.com?c=287416-63T","View Company Online")</f>
        <v>View Company Online</v>
      </c>
    </row>
    <row r="523" spans="1:18" hidden="1" x14ac:dyDescent="0.3">
      <c r="A523" s="15" t="s">
        <v>2040</v>
      </c>
      <c r="B523" s="15" t="s">
        <v>2041</v>
      </c>
      <c r="C523" s="18" t="s">
        <v>28</v>
      </c>
      <c r="D523" s="15" t="s">
        <v>2042</v>
      </c>
      <c r="E523" s="18">
        <v>39.590000000000003</v>
      </c>
      <c r="F523" s="19" t="s">
        <v>28</v>
      </c>
      <c r="G523" s="19">
        <v>50.46</v>
      </c>
      <c r="H523" s="19" t="s">
        <v>28</v>
      </c>
      <c r="I523" s="18">
        <v>109.81</v>
      </c>
      <c r="J523" s="18" t="s">
        <v>28</v>
      </c>
      <c r="K523" s="18">
        <v>208.23</v>
      </c>
      <c r="L523" s="18" t="s">
        <v>28</v>
      </c>
      <c r="M523" s="18">
        <v>21.71</v>
      </c>
      <c r="N523" s="17">
        <v>45470</v>
      </c>
      <c r="O523" s="15" t="s">
        <v>159</v>
      </c>
      <c r="P523" s="16" t="s">
        <v>28</v>
      </c>
      <c r="Q523" s="15" t="s">
        <v>2043</v>
      </c>
      <c r="R523" s="13" t="str">
        <f>HYPERLINK("https://my.pitchbook.com?c=271129-24T","View Company Online")</f>
        <v>View Company Online</v>
      </c>
    </row>
    <row r="524" spans="1:18" hidden="1" x14ac:dyDescent="0.3">
      <c r="A524" s="9" t="s">
        <v>2044</v>
      </c>
      <c r="B524" s="9" t="s">
        <v>2045</v>
      </c>
      <c r="C524" s="11" t="s">
        <v>28</v>
      </c>
      <c r="D524" s="9" t="s">
        <v>2046</v>
      </c>
      <c r="E524" s="11" t="s">
        <v>28</v>
      </c>
      <c r="F524" s="10" t="s">
        <v>28</v>
      </c>
      <c r="G524" s="10" t="s">
        <v>28</v>
      </c>
      <c r="H524" s="10" t="s">
        <v>28</v>
      </c>
      <c r="I524" s="11" t="s">
        <v>28</v>
      </c>
      <c r="J524" s="11" t="s">
        <v>28</v>
      </c>
      <c r="K524" s="11">
        <v>12.2</v>
      </c>
      <c r="L524" s="11" t="s">
        <v>28</v>
      </c>
      <c r="M524" s="11">
        <v>12.15</v>
      </c>
      <c r="N524" s="8">
        <v>45469</v>
      </c>
      <c r="O524" s="9" t="s">
        <v>173</v>
      </c>
      <c r="P524" s="12" t="s">
        <v>28</v>
      </c>
      <c r="Q524" s="9" t="s">
        <v>174</v>
      </c>
      <c r="R524" s="14" t="str">
        <f>HYPERLINK("https://my.pitchbook.com?c=265481-83T","View Company Online")</f>
        <v>View Company Online</v>
      </c>
    </row>
    <row r="525" spans="1:18" hidden="1" x14ac:dyDescent="0.3">
      <c r="A525" s="15" t="s">
        <v>2047</v>
      </c>
      <c r="B525" s="15" t="s">
        <v>2048</v>
      </c>
      <c r="C525" s="18" t="s">
        <v>28</v>
      </c>
      <c r="D525" s="15" t="s">
        <v>2049</v>
      </c>
      <c r="E525" s="18" t="s">
        <v>28</v>
      </c>
      <c r="F525" s="19" t="s">
        <v>28</v>
      </c>
      <c r="G525" s="19">
        <v>12.76</v>
      </c>
      <c r="H525" s="19" t="s">
        <v>28</v>
      </c>
      <c r="I525" s="18" t="s">
        <v>28</v>
      </c>
      <c r="J525" s="18" t="s">
        <v>28</v>
      </c>
      <c r="K525" s="18">
        <v>26.01</v>
      </c>
      <c r="L525" s="18" t="s">
        <v>28</v>
      </c>
      <c r="M525" s="18" t="s">
        <v>28</v>
      </c>
      <c r="N525" s="17">
        <v>45469</v>
      </c>
      <c r="O525" s="15" t="s">
        <v>79</v>
      </c>
      <c r="P525" s="16" t="s">
        <v>2050</v>
      </c>
      <c r="Q525" s="15" t="s">
        <v>1007</v>
      </c>
      <c r="R525" s="13" t="str">
        <f>HYPERLINK("https://my.pitchbook.com?c=265127-77T","View Company Online")</f>
        <v>View Company Online</v>
      </c>
    </row>
    <row r="526" spans="1:18" hidden="1" x14ac:dyDescent="0.3">
      <c r="A526" s="9" t="s">
        <v>2051</v>
      </c>
      <c r="B526" s="9" t="s">
        <v>2052</v>
      </c>
      <c r="C526" s="11" t="s">
        <v>28</v>
      </c>
      <c r="D526" s="9" t="s">
        <v>2053</v>
      </c>
      <c r="E526" s="11" t="s">
        <v>28</v>
      </c>
      <c r="F526" s="10" t="s">
        <v>28</v>
      </c>
      <c r="G526" s="10" t="s">
        <v>28</v>
      </c>
      <c r="H526" s="10" t="s">
        <v>28</v>
      </c>
      <c r="I526" s="11" t="s">
        <v>28</v>
      </c>
      <c r="J526" s="11" t="s">
        <v>28</v>
      </c>
      <c r="K526" s="11" t="s">
        <v>28</v>
      </c>
      <c r="L526" s="11" t="s">
        <v>28</v>
      </c>
      <c r="M526" s="11" t="s">
        <v>28</v>
      </c>
      <c r="N526" s="8">
        <v>45469</v>
      </c>
      <c r="O526" s="9" t="s">
        <v>30</v>
      </c>
      <c r="P526" s="12" t="s">
        <v>2054</v>
      </c>
      <c r="Q526" s="9" t="s">
        <v>419</v>
      </c>
      <c r="R526" s="14" t="str">
        <f>HYPERLINK("https://my.pitchbook.com?c=265417-12T","View Company Online")</f>
        <v>View Company Online</v>
      </c>
    </row>
    <row r="527" spans="1:18" hidden="1" x14ac:dyDescent="0.3">
      <c r="A527" s="15" t="s">
        <v>2055</v>
      </c>
      <c r="B527" s="15" t="s">
        <v>2056</v>
      </c>
      <c r="C527" s="18" t="s">
        <v>28</v>
      </c>
      <c r="D527" s="15" t="s">
        <v>2057</v>
      </c>
      <c r="E527" s="18" t="s">
        <v>28</v>
      </c>
      <c r="F527" s="19" t="s">
        <v>28</v>
      </c>
      <c r="G527" s="19">
        <v>0.49</v>
      </c>
      <c r="H527" s="19" t="s">
        <v>28</v>
      </c>
      <c r="I527" s="18" t="s">
        <v>28</v>
      </c>
      <c r="J527" s="18" t="s">
        <v>28</v>
      </c>
      <c r="K527" s="18" t="s">
        <v>28</v>
      </c>
      <c r="L527" s="18" t="s">
        <v>28</v>
      </c>
      <c r="M527" s="18" t="s">
        <v>28</v>
      </c>
      <c r="N527" s="17">
        <v>45469</v>
      </c>
      <c r="O527" s="15" t="s">
        <v>79</v>
      </c>
      <c r="P527" s="16" t="s">
        <v>234</v>
      </c>
      <c r="Q527" s="15" t="s">
        <v>75</v>
      </c>
      <c r="R527" s="13" t="str">
        <f>HYPERLINK("https://my.pitchbook.com?c=270516-16T","View Company Online")</f>
        <v>View Company Online</v>
      </c>
    </row>
    <row r="528" spans="1:18" hidden="1" x14ac:dyDescent="0.3">
      <c r="A528" s="9" t="s">
        <v>2058</v>
      </c>
      <c r="B528" s="9" t="s">
        <v>2059</v>
      </c>
      <c r="C528" s="11" t="s">
        <v>28</v>
      </c>
      <c r="D528" s="9" t="s">
        <v>2060</v>
      </c>
      <c r="E528" s="11" t="s">
        <v>28</v>
      </c>
      <c r="F528" s="10" t="s">
        <v>28</v>
      </c>
      <c r="G528" s="10" t="s">
        <v>28</v>
      </c>
      <c r="H528" s="10" t="s">
        <v>28</v>
      </c>
      <c r="I528" s="11" t="s">
        <v>28</v>
      </c>
      <c r="J528" s="11" t="s">
        <v>28</v>
      </c>
      <c r="K528" s="11">
        <v>0.4</v>
      </c>
      <c r="L528" s="11" t="s">
        <v>28</v>
      </c>
      <c r="M528" s="11" t="s">
        <v>28</v>
      </c>
      <c r="N528" s="8">
        <v>45469</v>
      </c>
      <c r="O528" s="9" t="s">
        <v>58</v>
      </c>
      <c r="P528" s="12" t="s">
        <v>2061</v>
      </c>
      <c r="Q528" s="9" t="s">
        <v>136</v>
      </c>
      <c r="R528" s="14" t="str">
        <f>HYPERLINK("https://my.pitchbook.com?c=265363-57T","View Company Online")</f>
        <v>View Company Online</v>
      </c>
    </row>
    <row r="529" spans="1:18" hidden="1" x14ac:dyDescent="0.3">
      <c r="A529" s="15" t="s">
        <v>2062</v>
      </c>
      <c r="B529" s="15" t="s">
        <v>2063</v>
      </c>
      <c r="C529" s="18" t="s">
        <v>28</v>
      </c>
      <c r="D529" s="15" t="s">
        <v>2064</v>
      </c>
      <c r="E529" s="18" t="s">
        <v>28</v>
      </c>
      <c r="F529" s="19" t="s">
        <v>28</v>
      </c>
      <c r="G529" s="19" t="s">
        <v>28</v>
      </c>
      <c r="H529" s="19" t="s">
        <v>28</v>
      </c>
      <c r="I529" s="18" t="s">
        <v>28</v>
      </c>
      <c r="J529" s="18" t="s">
        <v>28</v>
      </c>
      <c r="K529" s="18" t="s">
        <v>28</v>
      </c>
      <c r="L529" s="18" t="s">
        <v>28</v>
      </c>
      <c r="M529" s="18" t="s">
        <v>28</v>
      </c>
      <c r="N529" s="17">
        <v>45468</v>
      </c>
      <c r="O529" s="15" t="s">
        <v>30</v>
      </c>
      <c r="P529" s="16" t="s">
        <v>2065</v>
      </c>
      <c r="Q529" s="15" t="s">
        <v>245</v>
      </c>
      <c r="R529" s="13" t="str">
        <f>HYPERLINK("https://my.pitchbook.com?c=300885-67T","View Company Online")</f>
        <v>View Company Online</v>
      </c>
    </row>
    <row r="530" spans="1:18" hidden="1" x14ac:dyDescent="0.3">
      <c r="A530" s="9" t="s">
        <v>2066</v>
      </c>
      <c r="B530" s="9" t="s">
        <v>2065</v>
      </c>
      <c r="C530" s="11" t="s">
        <v>28</v>
      </c>
      <c r="D530" s="9" t="s">
        <v>2067</v>
      </c>
      <c r="E530" s="11" t="s">
        <v>28</v>
      </c>
      <c r="F530" s="10" t="s">
        <v>28</v>
      </c>
      <c r="G530" s="10" t="s">
        <v>28</v>
      </c>
      <c r="H530" s="10" t="s">
        <v>28</v>
      </c>
      <c r="I530" s="11" t="s">
        <v>28</v>
      </c>
      <c r="J530" s="11" t="s">
        <v>28</v>
      </c>
      <c r="K530" s="11" t="s">
        <v>28</v>
      </c>
      <c r="L530" s="11" t="s">
        <v>28</v>
      </c>
      <c r="M530" s="11" t="s">
        <v>28</v>
      </c>
      <c r="N530" s="8">
        <v>45468</v>
      </c>
      <c r="O530" s="9" t="s">
        <v>1285</v>
      </c>
      <c r="P530" s="12" t="s">
        <v>2068</v>
      </c>
      <c r="Q530" s="9" t="s">
        <v>75</v>
      </c>
      <c r="R530" s="14" t="str">
        <f>HYPERLINK("https://my.pitchbook.com?c=300889-54T","View Company Online")</f>
        <v>View Company Online</v>
      </c>
    </row>
    <row r="531" spans="1:18" hidden="1" x14ac:dyDescent="0.3">
      <c r="A531" s="15" t="s">
        <v>2069</v>
      </c>
      <c r="B531" s="15" t="s">
        <v>2070</v>
      </c>
      <c r="C531" s="18" t="s">
        <v>28</v>
      </c>
      <c r="D531" s="15" t="s">
        <v>2071</v>
      </c>
      <c r="E531" s="18" t="s">
        <v>28</v>
      </c>
      <c r="F531" s="19">
        <v>107.88</v>
      </c>
      <c r="G531" s="19">
        <v>107.88</v>
      </c>
      <c r="H531" s="19">
        <v>107.88</v>
      </c>
      <c r="I531" s="18" t="s">
        <v>28</v>
      </c>
      <c r="J531" s="18" t="s">
        <v>28</v>
      </c>
      <c r="K531" s="18" t="s">
        <v>28</v>
      </c>
      <c r="L531" s="18" t="s">
        <v>28</v>
      </c>
      <c r="M531" s="18" t="s">
        <v>28</v>
      </c>
      <c r="N531" s="17">
        <v>45468</v>
      </c>
      <c r="O531" s="15" t="s">
        <v>41</v>
      </c>
      <c r="P531" s="16" t="s">
        <v>2072</v>
      </c>
      <c r="Q531" s="15" t="s">
        <v>109</v>
      </c>
      <c r="R531" s="13" t="str">
        <f>HYPERLINK("https://my.pitchbook.com?c=260857-09T","View Company Online")</f>
        <v>View Company Online</v>
      </c>
    </row>
    <row r="532" spans="1:18" hidden="1" x14ac:dyDescent="0.3">
      <c r="A532" s="9" t="s">
        <v>2073</v>
      </c>
      <c r="B532" s="9" t="s">
        <v>2074</v>
      </c>
      <c r="C532" s="11" t="s">
        <v>28</v>
      </c>
      <c r="D532" s="9" t="s">
        <v>2075</v>
      </c>
      <c r="E532" s="11" t="s">
        <v>28</v>
      </c>
      <c r="F532" s="10" t="s">
        <v>28</v>
      </c>
      <c r="G532" s="10" t="s">
        <v>28</v>
      </c>
      <c r="H532" s="10" t="s">
        <v>28</v>
      </c>
      <c r="I532" s="11" t="s">
        <v>28</v>
      </c>
      <c r="J532" s="11" t="s">
        <v>28</v>
      </c>
      <c r="K532" s="11" t="s">
        <v>28</v>
      </c>
      <c r="L532" s="11" t="s">
        <v>28</v>
      </c>
      <c r="M532" s="11" t="s">
        <v>28</v>
      </c>
      <c r="N532" s="8">
        <v>45468</v>
      </c>
      <c r="O532" s="9" t="s">
        <v>30</v>
      </c>
      <c r="P532" s="12" t="s">
        <v>2065</v>
      </c>
      <c r="Q532" s="9" t="s">
        <v>245</v>
      </c>
      <c r="R532" s="14" t="str">
        <f>HYPERLINK("https://my.pitchbook.com?c=300962-71T","View Company Online")</f>
        <v>View Company Online</v>
      </c>
    </row>
    <row r="533" spans="1:18" hidden="1" x14ac:dyDescent="0.3">
      <c r="A533" s="15" t="s">
        <v>2076</v>
      </c>
      <c r="B533" s="15" t="s">
        <v>2077</v>
      </c>
      <c r="C533" s="18" t="s">
        <v>28</v>
      </c>
      <c r="D533" s="15" t="s">
        <v>2078</v>
      </c>
      <c r="E533" s="18" t="s">
        <v>28</v>
      </c>
      <c r="F533" s="19" t="s">
        <v>28</v>
      </c>
      <c r="G533" s="19" t="s">
        <v>28</v>
      </c>
      <c r="H533" s="19" t="s">
        <v>28</v>
      </c>
      <c r="I533" s="18" t="s">
        <v>28</v>
      </c>
      <c r="J533" s="18" t="s">
        <v>28</v>
      </c>
      <c r="K533" s="18" t="s">
        <v>28</v>
      </c>
      <c r="L533" s="18" t="s">
        <v>28</v>
      </c>
      <c r="M533" s="18" t="s">
        <v>28</v>
      </c>
      <c r="N533" s="17">
        <v>45468</v>
      </c>
      <c r="O533" s="15" t="s">
        <v>173</v>
      </c>
      <c r="P533" s="16" t="s">
        <v>28</v>
      </c>
      <c r="Q533" s="15" t="s">
        <v>174</v>
      </c>
      <c r="R533" s="13" t="str">
        <f>HYPERLINK("https://my.pitchbook.com?c=265521-79T","View Company Online")</f>
        <v>View Company Online</v>
      </c>
    </row>
    <row r="534" spans="1:18" hidden="1" x14ac:dyDescent="0.3">
      <c r="A534" s="9" t="s">
        <v>2079</v>
      </c>
      <c r="B534" s="9" t="s">
        <v>2080</v>
      </c>
      <c r="C534" s="11" t="s">
        <v>28</v>
      </c>
      <c r="D534" s="9" t="s">
        <v>2081</v>
      </c>
      <c r="E534" s="11" t="s">
        <v>28</v>
      </c>
      <c r="F534" s="10" t="s">
        <v>28</v>
      </c>
      <c r="G534" s="10" t="s">
        <v>28</v>
      </c>
      <c r="H534" s="10" t="s">
        <v>28</v>
      </c>
      <c r="I534" s="11" t="s">
        <v>28</v>
      </c>
      <c r="J534" s="11" t="s">
        <v>28</v>
      </c>
      <c r="K534" s="11" t="s">
        <v>28</v>
      </c>
      <c r="L534" s="11" t="s">
        <v>28</v>
      </c>
      <c r="M534" s="11" t="s">
        <v>28</v>
      </c>
      <c r="N534" s="8">
        <v>45467</v>
      </c>
      <c r="O534" s="9" t="s">
        <v>79</v>
      </c>
      <c r="P534" s="12" t="s">
        <v>611</v>
      </c>
      <c r="Q534" s="9" t="s">
        <v>75</v>
      </c>
      <c r="R534" s="14" t="str">
        <f>HYPERLINK("https://my.pitchbook.com?c=273966-67T","View Company Online")</f>
        <v>View Company Online</v>
      </c>
    </row>
    <row r="535" spans="1:18" hidden="1" x14ac:dyDescent="0.3">
      <c r="A535" s="15" t="s">
        <v>2082</v>
      </c>
      <c r="B535" s="15" t="s">
        <v>2083</v>
      </c>
      <c r="C535" s="18" t="s">
        <v>28</v>
      </c>
      <c r="D535" s="15" t="s">
        <v>2084</v>
      </c>
      <c r="E535" s="18" t="s">
        <v>28</v>
      </c>
      <c r="F535" s="19" t="s">
        <v>28</v>
      </c>
      <c r="G535" s="19">
        <v>18.559999999999999</v>
      </c>
      <c r="H535" s="19">
        <v>18.559999999999999</v>
      </c>
      <c r="I535" s="18" t="s">
        <v>28</v>
      </c>
      <c r="J535" s="18" t="s">
        <v>28</v>
      </c>
      <c r="K535" s="18" t="s">
        <v>28</v>
      </c>
      <c r="L535" s="18" t="s">
        <v>28</v>
      </c>
      <c r="M535" s="18" t="s">
        <v>28</v>
      </c>
      <c r="N535" s="17">
        <v>45467</v>
      </c>
      <c r="O535" s="15" t="s">
        <v>41</v>
      </c>
      <c r="P535" s="16" t="s">
        <v>187</v>
      </c>
      <c r="Q535" s="15" t="s">
        <v>188</v>
      </c>
      <c r="R535" s="13" t="str">
        <f>HYPERLINK("https://my.pitchbook.com?c=264926-98T","View Company Online")</f>
        <v>View Company Online</v>
      </c>
    </row>
    <row r="536" spans="1:18" hidden="1" x14ac:dyDescent="0.3">
      <c r="A536" s="9" t="s">
        <v>2085</v>
      </c>
      <c r="B536" s="9" t="s">
        <v>2086</v>
      </c>
      <c r="C536" s="11" t="s">
        <v>28</v>
      </c>
      <c r="D536" s="9" t="s">
        <v>2087</v>
      </c>
      <c r="E536" s="11" t="s">
        <v>28</v>
      </c>
      <c r="F536" s="10" t="s">
        <v>28</v>
      </c>
      <c r="G536" s="10" t="s">
        <v>28</v>
      </c>
      <c r="H536" s="10" t="s">
        <v>28</v>
      </c>
      <c r="I536" s="11" t="s">
        <v>28</v>
      </c>
      <c r="J536" s="11" t="s">
        <v>28</v>
      </c>
      <c r="K536" s="11" t="s">
        <v>28</v>
      </c>
      <c r="L536" s="11" t="s">
        <v>28</v>
      </c>
      <c r="M536" s="11" t="s">
        <v>28</v>
      </c>
      <c r="N536" s="8">
        <v>45467</v>
      </c>
      <c r="O536" s="9" t="s">
        <v>52</v>
      </c>
      <c r="P536" s="12" t="s">
        <v>53</v>
      </c>
      <c r="Q536" s="9" t="s">
        <v>245</v>
      </c>
      <c r="R536" s="14" t="str">
        <f>HYPERLINK("https://my.pitchbook.com?c=294706-36T","View Company Online")</f>
        <v>View Company Online</v>
      </c>
    </row>
    <row r="537" spans="1:18" hidden="1" x14ac:dyDescent="0.3">
      <c r="A537" s="15" t="s">
        <v>2088</v>
      </c>
      <c r="B537" s="15" t="s">
        <v>499</v>
      </c>
      <c r="C537" s="18" t="s">
        <v>28</v>
      </c>
      <c r="D537" s="15" t="s">
        <v>500</v>
      </c>
      <c r="E537" s="18" t="s">
        <v>28</v>
      </c>
      <c r="F537" s="19" t="s">
        <v>28</v>
      </c>
      <c r="G537" s="19">
        <v>0.66</v>
      </c>
      <c r="H537" s="19" t="s">
        <v>28</v>
      </c>
      <c r="I537" s="18" t="s">
        <v>28</v>
      </c>
      <c r="J537" s="18" t="s">
        <v>28</v>
      </c>
      <c r="K537" s="18" t="s">
        <v>28</v>
      </c>
      <c r="L537" s="18" t="s">
        <v>28</v>
      </c>
      <c r="M537" s="18" t="s">
        <v>28</v>
      </c>
      <c r="N537" s="17">
        <v>45467</v>
      </c>
      <c r="O537" s="15" t="s">
        <v>79</v>
      </c>
      <c r="P537" s="16" t="s">
        <v>2089</v>
      </c>
      <c r="Q537" s="15" t="s">
        <v>136</v>
      </c>
      <c r="R537" s="13" t="str">
        <f>HYPERLINK("https://my.pitchbook.com?c=264666-79T","View Company Online")</f>
        <v>View Company Online</v>
      </c>
    </row>
    <row r="538" spans="1:18" hidden="1" x14ac:dyDescent="0.3">
      <c r="A538" s="9" t="s">
        <v>2090</v>
      </c>
      <c r="B538" s="9" t="s">
        <v>2091</v>
      </c>
      <c r="C538" s="11" t="s">
        <v>28</v>
      </c>
      <c r="D538" s="9" t="s">
        <v>2092</v>
      </c>
      <c r="E538" s="11" t="s">
        <v>28</v>
      </c>
      <c r="F538" s="10" t="s">
        <v>28</v>
      </c>
      <c r="G538" s="10" t="s">
        <v>28</v>
      </c>
      <c r="H538" s="10" t="s">
        <v>28</v>
      </c>
      <c r="I538" s="11" t="s">
        <v>28</v>
      </c>
      <c r="J538" s="11" t="s">
        <v>28</v>
      </c>
      <c r="K538" s="11">
        <v>-0.56000000000000005</v>
      </c>
      <c r="L538" s="11" t="s">
        <v>28</v>
      </c>
      <c r="M538" s="11">
        <v>-1.34</v>
      </c>
      <c r="N538" s="8">
        <v>45465</v>
      </c>
      <c r="O538" s="9" t="s">
        <v>173</v>
      </c>
      <c r="P538" s="12" t="s">
        <v>28</v>
      </c>
      <c r="Q538" s="9" t="s">
        <v>174</v>
      </c>
      <c r="R538" s="14" t="str">
        <f>HYPERLINK("https://my.pitchbook.com?c=264957-85T","View Company Online")</f>
        <v>View Company Online</v>
      </c>
    </row>
    <row r="539" spans="1:18" hidden="1" x14ac:dyDescent="0.3">
      <c r="A539" s="15" t="s">
        <v>2093</v>
      </c>
      <c r="B539" s="15" t="s">
        <v>2094</v>
      </c>
      <c r="C539" s="18" t="s">
        <v>28</v>
      </c>
      <c r="D539" s="15" t="s">
        <v>2095</v>
      </c>
      <c r="E539" s="18" t="s">
        <v>28</v>
      </c>
      <c r="F539" s="19" t="s">
        <v>28</v>
      </c>
      <c r="G539" s="19" t="s">
        <v>28</v>
      </c>
      <c r="H539" s="19" t="s">
        <v>28</v>
      </c>
      <c r="I539" s="18" t="s">
        <v>28</v>
      </c>
      <c r="J539" s="18" t="s">
        <v>28</v>
      </c>
      <c r="K539" s="18" t="s">
        <v>28</v>
      </c>
      <c r="L539" s="18" t="s">
        <v>28</v>
      </c>
      <c r="M539" s="18" t="s">
        <v>28</v>
      </c>
      <c r="N539" s="17">
        <v>45464</v>
      </c>
      <c r="O539" s="15" t="s">
        <v>30</v>
      </c>
      <c r="P539" s="16" t="s">
        <v>2096</v>
      </c>
      <c r="Q539" s="15" t="s">
        <v>2097</v>
      </c>
      <c r="R539" s="13" t="str">
        <f>HYPERLINK("https://my.pitchbook.com?c=261193-51T","View Company Online")</f>
        <v>View Company Online</v>
      </c>
    </row>
    <row r="540" spans="1:18" hidden="1" x14ac:dyDescent="0.3">
      <c r="A540" s="9" t="s">
        <v>2098</v>
      </c>
      <c r="B540" s="9" t="s">
        <v>2099</v>
      </c>
      <c r="C540" s="11" t="s">
        <v>28</v>
      </c>
      <c r="D540" s="9" t="s">
        <v>2100</v>
      </c>
      <c r="E540" s="11" t="s">
        <v>28</v>
      </c>
      <c r="F540" s="10" t="s">
        <v>28</v>
      </c>
      <c r="G540" s="10" t="s">
        <v>28</v>
      </c>
      <c r="H540" s="10" t="s">
        <v>28</v>
      </c>
      <c r="I540" s="11" t="s">
        <v>28</v>
      </c>
      <c r="J540" s="11" t="s">
        <v>28</v>
      </c>
      <c r="K540" s="11" t="s">
        <v>28</v>
      </c>
      <c r="L540" s="11" t="s">
        <v>28</v>
      </c>
      <c r="M540" s="11" t="s">
        <v>28</v>
      </c>
      <c r="N540" s="8">
        <v>45464</v>
      </c>
      <c r="O540" s="9" t="s">
        <v>30</v>
      </c>
      <c r="P540" s="12" t="s">
        <v>28</v>
      </c>
      <c r="Q540" s="9" t="s">
        <v>37</v>
      </c>
      <c r="R540" s="14" t="str">
        <f>HYPERLINK("https://my.pitchbook.com?c=282777-13T","View Company Online")</f>
        <v>View Company Online</v>
      </c>
    </row>
    <row r="541" spans="1:18" hidden="1" x14ac:dyDescent="0.3">
      <c r="A541" s="15" t="s">
        <v>2101</v>
      </c>
      <c r="B541" s="15" t="s">
        <v>2102</v>
      </c>
      <c r="C541" s="18" t="s">
        <v>28</v>
      </c>
      <c r="D541" s="15" t="s">
        <v>2103</v>
      </c>
      <c r="E541" s="18" t="s">
        <v>28</v>
      </c>
      <c r="F541" s="19" t="s">
        <v>28</v>
      </c>
      <c r="G541" s="19" t="s">
        <v>28</v>
      </c>
      <c r="H541" s="19" t="s">
        <v>28</v>
      </c>
      <c r="I541" s="18" t="s">
        <v>28</v>
      </c>
      <c r="J541" s="18" t="s">
        <v>28</v>
      </c>
      <c r="K541" s="18" t="s">
        <v>28</v>
      </c>
      <c r="L541" s="18" t="s">
        <v>28</v>
      </c>
      <c r="M541" s="18" t="s">
        <v>28</v>
      </c>
      <c r="N541" s="17">
        <v>45464</v>
      </c>
      <c r="O541" s="15" t="s">
        <v>30</v>
      </c>
      <c r="P541" s="16" t="s">
        <v>2104</v>
      </c>
      <c r="Q541" s="15" t="s">
        <v>566</v>
      </c>
      <c r="R541" s="13" t="str">
        <f>HYPERLINK("https://my.pitchbook.com?c=265282-84T","View Company Online")</f>
        <v>View Company Online</v>
      </c>
    </row>
    <row r="542" spans="1:18" hidden="1" x14ac:dyDescent="0.3">
      <c r="A542" s="9" t="s">
        <v>2105</v>
      </c>
      <c r="B542" s="9" t="s">
        <v>2106</v>
      </c>
      <c r="C542" s="11" t="s">
        <v>28</v>
      </c>
      <c r="D542" s="9" t="s">
        <v>2107</v>
      </c>
      <c r="E542" s="11" t="s">
        <v>28</v>
      </c>
      <c r="F542" s="10" t="s">
        <v>28</v>
      </c>
      <c r="G542" s="10" t="s">
        <v>28</v>
      </c>
      <c r="H542" s="10" t="s">
        <v>28</v>
      </c>
      <c r="I542" s="11" t="s">
        <v>28</v>
      </c>
      <c r="J542" s="11" t="s">
        <v>28</v>
      </c>
      <c r="K542" s="11" t="s">
        <v>28</v>
      </c>
      <c r="L542" s="11" t="s">
        <v>28</v>
      </c>
      <c r="M542" s="11" t="s">
        <v>28</v>
      </c>
      <c r="N542" s="8">
        <v>45464</v>
      </c>
      <c r="O542" s="9" t="s">
        <v>173</v>
      </c>
      <c r="P542" s="12" t="s">
        <v>28</v>
      </c>
      <c r="Q542" s="9" t="s">
        <v>174</v>
      </c>
      <c r="R542" s="14" t="str">
        <f>HYPERLINK("https://my.pitchbook.com?c=264835-18T","View Company Online")</f>
        <v>View Company Online</v>
      </c>
    </row>
    <row r="543" spans="1:18" hidden="1" x14ac:dyDescent="0.3">
      <c r="A543" s="15" t="s">
        <v>2108</v>
      </c>
      <c r="B543" s="15" t="s">
        <v>2109</v>
      </c>
      <c r="C543" s="18" t="s">
        <v>28</v>
      </c>
      <c r="D543" s="15" t="s">
        <v>2110</v>
      </c>
      <c r="E543" s="18">
        <v>-0.59</v>
      </c>
      <c r="F543" s="19" t="s">
        <v>28</v>
      </c>
      <c r="G543" s="19" t="s">
        <v>28</v>
      </c>
      <c r="H543" s="19" t="s">
        <v>28</v>
      </c>
      <c r="I543" s="18">
        <v>-0.59</v>
      </c>
      <c r="J543" s="18" t="s">
        <v>28</v>
      </c>
      <c r="K543" s="18">
        <v>1.66</v>
      </c>
      <c r="L543" s="18" t="s">
        <v>28</v>
      </c>
      <c r="M543" s="18">
        <v>-0.59</v>
      </c>
      <c r="N543" s="17">
        <v>45463</v>
      </c>
      <c r="O543" s="15" t="s">
        <v>173</v>
      </c>
      <c r="P543" s="16" t="s">
        <v>28</v>
      </c>
      <c r="Q543" s="15" t="s">
        <v>174</v>
      </c>
      <c r="R543" s="13" t="str">
        <f>HYPERLINK("https://my.pitchbook.com?c=264594-34T","View Company Online")</f>
        <v>View Company Online</v>
      </c>
    </row>
    <row r="544" spans="1:18" hidden="1" x14ac:dyDescent="0.3">
      <c r="A544" s="9" t="s">
        <v>2111</v>
      </c>
      <c r="B544" s="9" t="s">
        <v>2112</v>
      </c>
      <c r="C544" s="11" t="s">
        <v>28</v>
      </c>
      <c r="D544" s="9" t="s">
        <v>2113</v>
      </c>
      <c r="E544" s="11" t="s">
        <v>28</v>
      </c>
      <c r="F544" s="10" t="s">
        <v>28</v>
      </c>
      <c r="G544" s="10" t="s">
        <v>28</v>
      </c>
      <c r="H544" s="10" t="s">
        <v>28</v>
      </c>
      <c r="I544" s="11" t="s">
        <v>28</v>
      </c>
      <c r="J544" s="11" t="s">
        <v>28</v>
      </c>
      <c r="K544" s="11" t="s">
        <v>28</v>
      </c>
      <c r="L544" s="11" t="s">
        <v>28</v>
      </c>
      <c r="M544" s="11" t="s">
        <v>28</v>
      </c>
      <c r="N544" s="8">
        <v>45463</v>
      </c>
      <c r="O544" s="9" t="s">
        <v>52</v>
      </c>
      <c r="P544" s="12" t="s">
        <v>2114</v>
      </c>
      <c r="Q544" s="9" t="s">
        <v>105</v>
      </c>
      <c r="R544" s="14" t="str">
        <f>HYPERLINK("https://my.pitchbook.com?c=298359-73T","View Company Online")</f>
        <v>View Company Online</v>
      </c>
    </row>
    <row r="545" spans="1:18" hidden="1" x14ac:dyDescent="0.3">
      <c r="A545" s="15" t="s">
        <v>2115</v>
      </c>
      <c r="B545" s="15" t="s">
        <v>2116</v>
      </c>
      <c r="C545" s="18" t="s">
        <v>28</v>
      </c>
      <c r="D545" s="15" t="s">
        <v>2117</v>
      </c>
      <c r="E545" s="18">
        <v>0.28999999999999998</v>
      </c>
      <c r="F545" s="19" t="s">
        <v>28</v>
      </c>
      <c r="G545" s="19" t="s">
        <v>28</v>
      </c>
      <c r="H545" s="19" t="s">
        <v>28</v>
      </c>
      <c r="I545" s="18">
        <v>0.28999999999999998</v>
      </c>
      <c r="J545" s="18" t="s">
        <v>28</v>
      </c>
      <c r="K545" s="18">
        <v>5.22</v>
      </c>
      <c r="L545" s="18" t="s">
        <v>28</v>
      </c>
      <c r="M545" s="18">
        <v>0.28999999999999998</v>
      </c>
      <c r="N545" s="17">
        <v>45463</v>
      </c>
      <c r="O545" s="15" t="s">
        <v>173</v>
      </c>
      <c r="P545" s="16" t="s">
        <v>28</v>
      </c>
      <c r="Q545" s="15" t="s">
        <v>174</v>
      </c>
      <c r="R545" s="13" t="str">
        <f>HYPERLINK("https://my.pitchbook.com?c=264610-72T","View Company Online")</f>
        <v>View Company Online</v>
      </c>
    </row>
    <row r="546" spans="1:18" hidden="1" x14ac:dyDescent="0.3">
      <c r="A546" s="9" t="s">
        <v>2118</v>
      </c>
      <c r="B546" s="9" t="s">
        <v>2119</v>
      </c>
      <c r="C546" s="11" t="s">
        <v>28</v>
      </c>
      <c r="D546" s="9" t="s">
        <v>2120</v>
      </c>
      <c r="E546" s="11" t="s">
        <v>28</v>
      </c>
      <c r="F546" s="10" t="s">
        <v>28</v>
      </c>
      <c r="G546" s="10" t="s">
        <v>28</v>
      </c>
      <c r="H546" s="10" t="s">
        <v>28</v>
      </c>
      <c r="I546" s="11" t="s">
        <v>28</v>
      </c>
      <c r="J546" s="11" t="s">
        <v>28</v>
      </c>
      <c r="K546" s="11" t="s">
        <v>28</v>
      </c>
      <c r="L546" s="11" t="s">
        <v>28</v>
      </c>
      <c r="M546" s="11" t="s">
        <v>28</v>
      </c>
      <c r="N546" s="8">
        <v>45463</v>
      </c>
      <c r="O546" s="9" t="s">
        <v>52</v>
      </c>
      <c r="P546" s="12" t="s">
        <v>1453</v>
      </c>
      <c r="Q546" s="9" t="s">
        <v>75</v>
      </c>
      <c r="R546" s="14" t="str">
        <f>HYPERLINK("https://my.pitchbook.com?c=277649-38T","View Company Online")</f>
        <v>View Company Online</v>
      </c>
    </row>
    <row r="547" spans="1:18" hidden="1" x14ac:dyDescent="0.3">
      <c r="A547" s="15" t="s">
        <v>2121</v>
      </c>
      <c r="B547" s="15" t="s">
        <v>2122</v>
      </c>
      <c r="C547" s="18" t="s">
        <v>28</v>
      </c>
      <c r="D547" s="15" t="s">
        <v>2123</v>
      </c>
      <c r="E547" s="18" t="s">
        <v>28</v>
      </c>
      <c r="F547" s="19" t="s">
        <v>28</v>
      </c>
      <c r="G547" s="19" t="s">
        <v>28</v>
      </c>
      <c r="H547" s="19" t="s">
        <v>28</v>
      </c>
      <c r="I547" s="18" t="s">
        <v>28</v>
      </c>
      <c r="J547" s="18" t="s">
        <v>28</v>
      </c>
      <c r="K547" s="18" t="s">
        <v>28</v>
      </c>
      <c r="L547" s="18" t="s">
        <v>28</v>
      </c>
      <c r="M547" s="18" t="s">
        <v>28</v>
      </c>
      <c r="N547" s="17">
        <v>45463</v>
      </c>
      <c r="O547" s="15" t="s">
        <v>173</v>
      </c>
      <c r="P547" s="16" t="s">
        <v>28</v>
      </c>
      <c r="Q547" s="15" t="s">
        <v>174</v>
      </c>
      <c r="R547" s="13" t="str">
        <f>HYPERLINK("https://my.pitchbook.com?c=264502-45T","View Company Online")</f>
        <v>View Company Online</v>
      </c>
    </row>
    <row r="548" spans="1:18" hidden="1" x14ac:dyDescent="0.3">
      <c r="A548" s="9" t="s">
        <v>2124</v>
      </c>
      <c r="B548" s="9" t="s">
        <v>2125</v>
      </c>
      <c r="C548" s="11" t="s">
        <v>28</v>
      </c>
      <c r="D548" s="9" t="s">
        <v>2126</v>
      </c>
      <c r="E548" s="11" t="s">
        <v>28</v>
      </c>
      <c r="F548" s="10" t="s">
        <v>28</v>
      </c>
      <c r="G548" s="10" t="s">
        <v>28</v>
      </c>
      <c r="H548" s="10" t="s">
        <v>28</v>
      </c>
      <c r="I548" s="11" t="s">
        <v>28</v>
      </c>
      <c r="J548" s="11" t="s">
        <v>28</v>
      </c>
      <c r="K548" s="11">
        <v>0.01</v>
      </c>
      <c r="L548" s="11" t="s">
        <v>28</v>
      </c>
      <c r="M548" s="11">
        <v>-0.05</v>
      </c>
      <c r="N548" s="8">
        <v>45462</v>
      </c>
      <c r="O548" s="9" t="s">
        <v>173</v>
      </c>
      <c r="P548" s="12" t="s">
        <v>28</v>
      </c>
      <c r="Q548" s="9" t="s">
        <v>174</v>
      </c>
      <c r="R548" s="14" t="str">
        <f>HYPERLINK("https://my.pitchbook.com?c=264317-14T","View Company Online")</f>
        <v>View Company Online</v>
      </c>
    </row>
    <row r="549" spans="1:18" hidden="1" x14ac:dyDescent="0.3">
      <c r="A549" s="15" t="s">
        <v>2127</v>
      </c>
      <c r="B549" s="15" t="s">
        <v>2128</v>
      </c>
      <c r="C549" s="18" t="s">
        <v>28</v>
      </c>
      <c r="D549" s="15" t="s">
        <v>2129</v>
      </c>
      <c r="E549" s="18" t="s">
        <v>28</v>
      </c>
      <c r="F549" s="19" t="s">
        <v>28</v>
      </c>
      <c r="G549" s="19">
        <v>3.5</v>
      </c>
      <c r="H549" s="19" t="s">
        <v>28</v>
      </c>
      <c r="I549" s="18" t="s">
        <v>28</v>
      </c>
      <c r="J549" s="18" t="s">
        <v>28</v>
      </c>
      <c r="K549" s="18" t="s">
        <v>28</v>
      </c>
      <c r="L549" s="18" t="s">
        <v>28</v>
      </c>
      <c r="M549" s="18" t="s">
        <v>28</v>
      </c>
      <c r="N549" s="17">
        <v>45462</v>
      </c>
      <c r="O549" s="15" t="s">
        <v>99</v>
      </c>
      <c r="P549" s="16" t="s">
        <v>2130</v>
      </c>
      <c r="Q549" s="15" t="s">
        <v>75</v>
      </c>
      <c r="R549" s="13" t="str">
        <f>HYPERLINK("https://my.pitchbook.com?c=264405-16T","View Company Online")</f>
        <v>View Company Online</v>
      </c>
    </row>
    <row r="550" spans="1:18" hidden="1" x14ac:dyDescent="0.3">
      <c r="A550" s="9" t="s">
        <v>2131</v>
      </c>
      <c r="B550" s="9" t="s">
        <v>2132</v>
      </c>
      <c r="C550" s="11" t="s">
        <v>28</v>
      </c>
      <c r="D550" s="9" t="s">
        <v>2133</v>
      </c>
      <c r="E550" s="11" t="s">
        <v>28</v>
      </c>
      <c r="F550" s="10" t="s">
        <v>28</v>
      </c>
      <c r="G550" s="10" t="s">
        <v>28</v>
      </c>
      <c r="H550" s="10" t="s">
        <v>28</v>
      </c>
      <c r="I550" s="11" t="s">
        <v>28</v>
      </c>
      <c r="J550" s="11" t="s">
        <v>28</v>
      </c>
      <c r="K550" s="11" t="s">
        <v>28</v>
      </c>
      <c r="L550" s="11" t="s">
        <v>28</v>
      </c>
      <c r="M550" s="11" t="s">
        <v>28</v>
      </c>
      <c r="N550" s="8">
        <v>45462</v>
      </c>
      <c r="O550" s="9" t="s">
        <v>52</v>
      </c>
      <c r="P550" s="12" t="s">
        <v>2134</v>
      </c>
      <c r="Q550" s="9" t="s">
        <v>245</v>
      </c>
      <c r="R550" s="14" t="str">
        <f>HYPERLINK("https://my.pitchbook.com?c=297740-62T","View Company Online")</f>
        <v>View Company Online</v>
      </c>
    </row>
    <row r="551" spans="1:18" hidden="1" x14ac:dyDescent="0.3">
      <c r="A551" s="15" t="s">
        <v>2135</v>
      </c>
      <c r="B551" s="15" t="s">
        <v>2136</v>
      </c>
      <c r="C551" s="18" t="s">
        <v>28</v>
      </c>
      <c r="D551" s="15" t="s">
        <v>2137</v>
      </c>
      <c r="E551" s="18" t="s">
        <v>28</v>
      </c>
      <c r="F551" s="19" t="s">
        <v>28</v>
      </c>
      <c r="G551" s="19" t="s">
        <v>28</v>
      </c>
      <c r="H551" s="19" t="s">
        <v>28</v>
      </c>
      <c r="I551" s="18" t="s">
        <v>28</v>
      </c>
      <c r="J551" s="18" t="s">
        <v>28</v>
      </c>
      <c r="K551" s="18" t="s">
        <v>28</v>
      </c>
      <c r="L551" s="18" t="s">
        <v>28</v>
      </c>
      <c r="M551" s="18" t="s">
        <v>28</v>
      </c>
      <c r="N551" s="17">
        <v>45461</v>
      </c>
      <c r="O551" s="15" t="s">
        <v>73</v>
      </c>
      <c r="P551" s="16" t="s">
        <v>28</v>
      </c>
      <c r="Q551" s="15" t="s">
        <v>832</v>
      </c>
      <c r="R551" s="13" t="str">
        <f>HYPERLINK("https://my.pitchbook.com?c=283023-10T","View Company Online")</f>
        <v>View Company Online</v>
      </c>
    </row>
    <row r="552" spans="1:18" hidden="1" x14ac:dyDescent="0.3">
      <c r="A552" s="9" t="s">
        <v>2138</v>
      </c>
      <c r="B552" s="9" t="s">
        <v>2139</v>
      </c>
      <c r="C552" s="11" t="s">
        <v>28</v>
      </c>
      <c r="D552" s="9" t="s">
        <v>2140</v>
      </c>
      <c r="E552" s="11" t="s">
        <v>28</v>
      </c>
      <c r="F552" s="10" t="s">
        <v>28</v>
      </c>
      <c r="G552" s="10" t="s">
        <v>28</v>
      </c>
      <c r="H552" s="10" t="s">
        <v>28</v>
      </c>
      <c r="I552" s="11" t="s">
        <v>28</v>
      </c>
      <c r="J552" s="11" t="s">
        <v>28</v>
      </c>
      <c r="K552" s="11" t="s">
        <v>28</v>
      </c>
      <c r="L552" s="11" t="s">
        <v>28</v>
      </c>
      <c r="M552" s="11" t="s">
        <v>28</v>
      </c>
      <c r="N552" s="8">
        <v>45461</v>
      </c>
      <c r="O552" s="9" t="s">
        <v>30</v>
      </c>
      <c r="P552" s="12" t="s">
        <v>2141</v>
      </c>
      <c r="Q552" s="9" t="s">
        <v>75</v>
      </c>
      <c r="R552" s="14" t="str">
        <f>HYPERLINK("https://my.pitchbook.com?c=264110-41T","View Company Online")</f>
        <v>View Company Online</v>
      </c>
    </row>
    <row r="553" spans="1:18" hidden="1" x14ac:dyDescent="0.3">
      <c r="A553" s="15" t="s">
        <v>2142</v>
      </c>
      <c r="B553" s="15" t="s">
        <v>2099</v>
      </c>
      <c r="C553" s="18" t="s">
        <v>28</v>
      </c>
      <c r="D553" s="15" t="s">
        <v>2100</v>
      </c>
      <c r="E553" s="18" t="s">
        <v>28</v>
      </c>
      <c r="F553" s="19" t="s">
        <v>28</v>
      </c>
      <c r="G553" s="19">
        <v>125</v>
      </c>
      <c r="H553" s="19" t="s">
        <v>28</v>
      </c>
      <c r="I553" s="18" t="s">
        <v>28</v>
      </c>
      <c r="J553" s="18" t="s">
        <v>28</v>
      </c>
      <c r="K553" s="18" t="s">
        <v>28</v>
      </c>
      <c r="L553" s="18" t="s">
        <v>28</v>
      </c>
      <c r="M553" s="18" t="s">
        <v>28</v>
      </c>
      <c r="N553" s="17">
        <v>45461</v>
      </c>
      <c r="O553" s="15" t="s">
        <v>79</v>
      </c>
      <c r="P553" s="16" t="s">
        <v>2143</v>
      </c>
      <c r="Q553" s="15" t="s">
        <v>37</v>
      </c>
      <c r="R553" s="13" t="str">
        <f>HYPERLINK("https://my.pitchbook.com?c=264133-63T","View Company Online")</f>
        <v>View Company Online</v>
      </c>
    </row>
    <row r="554" spans="1:18" hidden="1" x14ac:dyDescent="0.3">
      <c r="A554" s="9" t="s">
        <v>2144</v>
      </c>
      <c r="B554" s="9" t="s">
        <v>2145</v>
      </c>
      <c r="C554" s="11" t="s">
        <v>28</v>
      </c>
      <c r="D554" s="9" t="s">
        <v>2146</v>
      </c>
      <c r="E554" s="11" t="s">
        <v>28</v>
      </c>
      <c r="F554" s="10" t="s">
        <v>28</v>
      </c>
      <c r="G554" s="10" t="s">
        <v>28</v>
      </c>
      <c r="H554" s="10" t="s">
        <v>28</v>
      </c>
      <c r="I554" s="11" t="s">
        <v>28</v>
      </c>
      <c r="J554" s="11" t="s">
        <v>28</v>
      </c>
      <c r="K554" s="11" t="s">
        <v>28</v>
      </c>
      <c r="L554" s="11" t="s">
        <v>28</v>
      </c>
      <c r="M554" s="11" t="s">
        <v>28</v>
      </c>
      <c r="N554" s="8">
        <v>45461</v>
      </c>
      <c r="O554" s="9" t="s">
        <v>41</v>
      </c>
      <c r="P554" s="12" t="s">
        <v>2147</v>
      </c>
      <c r="Q554" s="9" t="s">
        <v>43</v>
      </c>
      <c r="R554" s="14" t="str">
        <f>HYPERLINK("https://my.pitchbook.com?c=263727-37T","View Company Online")</f>
        <v>View Company Online</v>
      </c>
    </row>
    <row r="555" spans="1:18" hidden="1" x14ac:dyDescent="0.3">
      <c r="A555" s="15" t="s">
        <v>2148</v>
      </c>
      <c r="B555" s="15" t="s">
        <v>2149</v>
      </c>
      <c r="C555" s="18" t="s">
        <v>28</v>
      </c>
      <c r="D555" s="15" t="s">
        <v>2150</v>
      </c>
      <c r="E555" s="18" t="s">
        <v>28</v>
      </c>
      <c r="F555" s="19" t="s">
        <v>28</v>
      </c>
      <c r="G555" s="19">
        <v>1.05</v>
      </c>
      <c r="H555" s="19" t="s">
        <v>28</v>
      </c>
      <c r="I555" s="18" t="s">
        <v>28</v>
      </c>
      <c r="J555" s="18" t="s">
        <v>28</v>
      </c>
      <c r="K555" s="18" t="s">
        <v>28</v>
      </c>
      <c r="L555" s="18" t="s">
        <v>28</v>
      </c>
      <c r="M555" s="18" t="s">
        <v>28</v>
      </c>
      <c r="N555" s="17">
        <v>45461</v>
      </c>
      <c r="O555" s="15" t="s">
        <v>99</v>
      </c>
      <c r="P555" s="16" t="s">
        <v>2151</v>
      </c>
      <c r="Q555" s="15" t="s">
        <v>37</v>
      </c>
      <c r="R555" s="13" t="str">
        <f>HYPERLINK("https://my.pitchbook.com?c=246172-96T","View Company Online")</f>
        <v>View Company Online</v>
      </c>
    </row>
    <row r="556" spans="1:18" hidden="1" x14ac:dyDescent="0.3">
      <c r="A556" s="9" t="s">
        <v>2152</v>
      </c>
      <c r="B556" s="9" t="s">
        <v>2153</v>
      </c>
      <c r="C556" s="11" t="s">
        <v>28</v>
      </c>
      <c r="D556" s="9" t="s">
        <v>2154</v>
      </c>
      <c r="E556" s="11" t="s">
        <v>28</v>
      </c>
      <c r="F556" s="10">
        <v>0.56999999999999995</v>
      </c>
      <c r="G556" s="10">
        <v>0.56999999999999995</v>
      </c>
      <c r="H556" s="10">
        <v>0.56999999999999995</v>
      </c>
      <c r="I556" s="11" t="s">
        <v>28</v>
      </c>
      <c r="J556" s="11" t="s">
        <v>28</v>
      </c>
      <c r="K556" s="11" t="s">
        <v>28</v>
      </c>
      <c r="L556" s="11" t="s">
        <v>28</v>
      </c>
      <c r="M556" s="11" t="s">
        <v>28</v>
      </c>
      <c r="N556" s="8">
        <v>45461</v>
      </c>
      <c r="O556" s="9" t="s">
        <v>30</v>
      </c>
      <c r="P556" s="12" t="s">
        <v>2155</v>
      </c>
      <c r="Q556" s="9" t="s">
        <v>114</v>
      </c>
      <c r="R556" s="14" t="str">
        <f>HYPERLINK("https://my.pitchbook.com?c=264234-34T","View Company Online")</f>
        <v>View Company Online</v>
      </c>
    </row>
    <row r="557" spans="1:18" hidden="1" x14ac:dyDescent="0.3">
      <c r="A557" s="15" t="s">
        <v>2156</v>
      </c>
      <c r="B557" s="15" t="s">
        <v>2157</v>
      </c>
      <c r="C557" s="18" t="s">
        <v>28</v>
      </c>
      <c r="D557" s="15" t="s">
        <v>2158</v>
      </c>
      <c r="E557" s="18" t="s">
        <v>28</v>
      </c>
      <c r="F557" s="19" t="s">
        <v>28</v>
      </c>
      <c r="G557" s="19">
        <v>1.71</v>
      </c>
      <c r="H557" s="19" t="s">
        <v>28</v>
      </c>
      <c r="I557" s="18" t="s">
        <v>28</v>
      </c>
      <c r="J557" s="18" t="s">
        <v>28</v>
      </c>
      <c r="K557" s="18" t="s">
        <v>28</v>
      </c>
      <c r="L557" s="18" t="s">
        <v>28</v>
      </c>
      <c r="M557" s="18" t="s">
        <v>28</v>
      </c>
      <c r="N557" s="17">
        <v>45461</v>
      </c>
      <c r="O557" s="15" t="s">
        <v>73</v>
      </c>
      <c r="P557" s="16" t="s">
        <v>2159</v>
      </c>
      <c r="Q557" s="15" t="s">
        <v>386</v>
      </c>
      <c r="R557" s="13" t="str">
        <f>HYPERLINK("https://my.pitchbook.com?c=264168-91T","View Company Online")</f>
        <v>View Company Online</v>
      </c>
    </row>
    <row r="558" spans="1:18" hidden="1" x14ac:dyDescent="0.3">
      <c r="A558" s="9" t="s">
        <v>2160</v>
      </c>
      <c r="B558" s="9" t="s">
        <v>2161</v>
      </c>
      <c r="C558" s="11" t="s">
        <v>28</v>
      </c>
      <c r="D558" s="9" t="s">
        <v>2162</v>
      </c>
      <c r="E558" s="11" t="s">
        <v>28</v>
      </c>
      <c r="F558" s="10" t="s">
        <v>28</v>
      </c>
      <c r="G558" s="10" t="s">
        <v>28</v>
      </c>
      <c r="H558" s="10" t="s">
        <v>28</v>
      </c>
      <c r="I558" s="11" t="s">
        <v>28</v>
      </c>
      <c r="J558" s="11" t="s">
        <v>28</v>
      </c>
      <c r="K558" s="11">
        <v>50.86</v>
      </c>
      <c r="L558" s="11" t="s">
        <v>28</v>
      </c>
      <c r="M558" s="11" t="s">
        <v>28</v>
      </c>
      <c r="N558" s="8">
        <v>45460</v>
      </c>
      <c r="O558" s="9" t="s">
        <v>41</v>
      </c>
      <c r="P558" s="12" t="s">
        <v>2163</v>
      </c>
      <c r="Q558" s="9" t="s">
        <v>75</v>
      </c>
      <c r="R558" s="14" t="str">
        <f>HYPERLINK("https://my.pitchbook.com?c=275321-89T","View Company Online")</f>
        <v>View Company Online</v>
      </c>
    </row>
    <row r="559" spans="1:18" hidden="1" x14ac:dyDescent="0.3">
      <c r="A559" s="15" t="s">
        <v>2164</v>
      </c>
      <c r="B559" s="15" t="s">
        <v>2165</v>
      </c>
      <c r="C559" s="18" t="s">
        <v>28</v>
      </c>
      <c r="D559" s="15" t="s">
        <v>2166</v>
      </c>
      <c r="E559" s="18" t="s">
        <v>28</v>
      </c>
      <c r="F559" s="19" t="s">
        <v>28</v>
      </c>
      <c r="G559" s="19" t="s">
        <v>28</v>
      </c>
      <c r="H559" s="19" t="s">
        <v>28</v>
      </c>
      <c r="I559" s="18" t="s">
        <v>28</v>
      </c>
      <c r="J559" s="18" t="s">
        <v>28</v>
      </c>
      <c r="K559" s="18" t="s">
        <v>28</v>
      </c>
      <c r="L559" s="18" t="s">
        <v>28</v>
      </c>
      <c r="M559" s="18" t="s">
        <v>28</v>
      </c>
      <c r="N559" s="17">
        <v>45460</v>
      </c>
      <c r="O559" s="15" t="s">
        <v>79</v>
      </c>
      <c r="P559" s="16" t="s">
        <v>2167</v>
      </c>
      <c r="Q559" s="15" t="s">
        <v>2168</v>
      </c>
      <c r="R559" s="13" t="str">
        <f>HYPERLINK("https://my.pitchbook.com?c=265073-50T","View Company Online")</f>
        <v>View Company Online</v>
      </c>
    </row>
    <row r="560" spans="1:18" hidden="1" x14ac:dyDescent="0.3">
      <c r="A560" s="9" t="s">
        <v>2169</v>
      </c>
      <c r="B560" s="9" t="s">
        <v>2170</v>
      </c>
      <c r="C560" s="11" t="s">
        <v>28</v>
      </c>
      <c r="D560" s="9" t="s">
        <v>2171</v>
      </c>
      <c r="E560" s="11" t="s">
        <v>28</v>
      </c>
      <c r="F560" s="10" t="s">
        <v>28</v>
      </c>
      <c r="G560" s="10" t="s">
        <v>28</v>
      </c>
      <c r="H560" s="10" t="s">
        <v>28</v>
      </c>
      <c r="I560" s="11" t="s">
        <v>28</v>
      </c>
      <c r="J560" s="11" t="s">
        <v>28</v>
      </c>
      <c r="K560" s="11" t="s">
        <v>28</v>
      </c>
      <c r="L560" s="11" t="s">
        <v>28</v>
      </c>
      <c r="M560" s="11" t="s">
        <v>28</v>
      </c>
      <c r="N560" s="8">
        <v>45457</v>
      </c>
      <c r="O560" s="9" t="s">
        <v>79</v>
      </c>
      <c r="P560" s="12" t="s">
        <v>2172</v>
      </c>
      <c r="Q560" s="9" t="s">
        <v>1336</v>
      </c>
      <c r="R560" s="14" t="str">
        <f>HYPERLINK("https://my.pitchbook.com?c=263838-25T","View Company Online")</f>
        <v>View Company Online</v>
      </c>
    </row>
    <row r="561" spans="1:18" hidden="1" x14ac:dyDescent="0.3">
      <c r="A561" s="15" t="s">
        <v>2173</v>
      </c>
      <c r="B561" s="15" t="s">
        <v>2174</v>
      </c>
      <c r="C561" s="18" t="s">
        <v>28</v>
      </c>
      <c r="D561" s="15" t="s">
        <v>2175</v>
      </c>
      <c r="E561" s="18" t="s">
        <v>28</v>
      </c>
      <c r="F561" s="19" t="s">
        <v>28</v>
      </c>
      <c r="G561" s="19" t="s">
        <v>28</v>
      </c>
      <c r="H561" s="19" t="s">
        <v>28</v>
      </c>
      <c r="I561" s="18" t="s">
        <v>28</v>
      </c>
      <c r="J561" s="18" t="s">
        <v>28</v>
      </c>
      <c r="K561" s="18" t="s">
        <v>28</v>
      </c>
      <c r="L561" s="18" t="s">
        <v>28</v>
      </c>
      <c r="M561" s="18" t="s">
        <v>28</v>
      </c>
      <c r="N561" s="17">
        <v>45457</v>
      </c>
      <c r="O561" s="15" t="s">
        <v>30</v>
      </c>
      <c r="P561" s="16" t="s">
        <v>2176</v>
      </c>
      <c r="Q561" s="15" t="s">
        <v>119</v>
      </c>
      <c r="R561" s="13" t="str">
        <f>HYPERLINK("https://my.pitchbook.com?c=263614-15T","View Company Online")</f>
        <v>View Company Online</v>
      </c>
    </row>
    <row r="562" spans="1:18" hidden="1" x14ac:dyDescent="0.3">
      <c r="A562" s="9" t="s">
        <v>2177</v>
      </c>
      <c r="B562" s="9" t="s">
        <v>2178</v>
      </c>
      <c r="C562" s="11" t="s">
        <v>28</v>
      </c>
      <c r="D562" s="9" t="s">
        <v>2179</v>
      </c>
      <c r="E562" s="11" t="s">
        <v>28</v>
      </c>
      <c r="F562" s="10" t="s">
        <v>28</v>
      </c>
      <c r="G562" s="10" t="s">
        <v>28</v>
      </c>
      <c r="H562" s="10" t="s">
        <v>28</v>
      </c>
      <c r="I562" s="11" t="s">
        <v>28</v>
      </c>
      <c r="J562" s="11" t="s">
        <v>28</v>
      </c>
      <c r="K562" s="11" t="s">
        <v>28</v>
      </c>
      <c r="L562" s="11" t="s">
        <v>28</v>
      </c>
      <c r="M562" s="11" t="s">
        <v>28</v>
      </c>
      <c r="N562" s="8">
        <v>45457</v>
      </c>
      <c r="O562" s="9" t="s">
        <v>30</v>
      </c>
      <c r="P562" s="12" t="s">
        <v>2180</v>
      </c>
      <c r="Q562" s="9" t="s">
        <v>2181</v>
      </c>
      <c r="R562" s="14" t="str">
        <f>HYPERLINK("https://my.pitchbook.com?c=264086-20T","View Company Online")</f>
        <v>View Company Online</v>
      </c>
    </row>
    <row r="563" spans="1:18" hidden="1" x14ac:dyDescent="0.3">
      <c r="A563" s="15" t="s">
        <v>2182</v>
      </c>
      <c r="B563" s="15" t="s">
        <v>2183</v>
      </c>
      <c r="C563" s="18" t="s">
        <v>28</v>
      </c>
      <c r="D563" s="15" t="s">
        <v>2184</v>
      </c>
      <c r="E563" s="18" t="s">
        <v>28</v>
      </c>
      <c r="F563" s="19" t="s">
        <v>28</v>
      </c>
      <c r="G563" s="19">
        <v>14.13</v>
      </c>
      <c r="H563" s="19" t="s">
        <v>28</v>
      </c>
      <c r="I563" s="18" t="s">
        <v>28</v>
      </c>
      <c r="J563" s="18" t="s">
        <v>28</v>
      </c>
      <c r="K563" s="18" t="s">
        <v>28</v>
      </c>
      <c r="L563" s="18" t="s">
        <v>28</v>
      </c>
      <c r="M563" s="18" t="s">
        <v>28</v>
      </c>
      <c r="N563" s="17">
        <v>45457</v>
      </c>
      <c r="O563" s="15" t="s">
        <v>73</v>
      </c>
      <c r="P563" s="16" t="s">
        <v>2185</v>
      </c>
      <c r="Q563" s="15" t="s">
        <v>75</v>
      </c>
      <c r="R563" s="13" t="str">
        <f>HYPERLINK("https://my.pitchbook.com?c=279302-05T","View Company Online")</f>
        <v>View Company Online</v>
      </c>
    </row>
    <row r="564" spans="1:18" hidden="1" x14ac:dyDescent="0.3">
      <c r="A564" s="9" t="s">
        <v>2186</v>
      </c>
      <c r="B564" s="9" t="s">
        <v>2187</v>
      </c>
      <c r="C564" s="11" t="s">
        <v>28</v>
      </c>
      <c r="D564" s="9" t="s">
        <v>2188</v>
      </c>
      <c r="E564" s="11" t="s">
        <v>28</v>
      </c>
      <c r="F564" s="10" t="s">
        <v>28</v>
      </c>
      <c r="G564" s="10" t="s">
        <v>28</v>
      </c>
      <c r="H564" s="10" t="s">
        <v>28</v>
      </c>
      <c r="I564" s="11" t="s">
        <v>28</v>
      </c>
      <c r="J564" s="11" t="s">
        <v>28</v>
      </c>
      <c r="K564" s="11" t="s">
        <v>28</v>
      </c>
      <c r="L564" s="11" t="s">
        <v>28</v>
      </c>
      <c r="M564" s="11" t="s">
        <v>28</v>
      </c>
      <c r="N564" s="8">
        <v>45457</v>
      </c>
      <c r="O564" s="9" t="s">
        <v>30</v>
      </c>
      <c r="P564" s="12" t="s">
        <v>2189</v>
      </c>
      <c r="Q564" s="9" t="s">
        <v>75</v>
      </c>
      <c r="R564" s="14" t="str">
        <f>HYPERLINK("https://my.pitchbook.com?c=263959-12T","View Company Online")</f>
        <v>View Company Online</v>
      </c>
    </row>
    <row r="565" spans="1:18" hidden="1" x14ac:dyDescent="0.3">
      <c r="A565" s="15" t="s">
        <v>2190</v>
      </c>
      <c r="B565" s="15" t="s">
        <v>507</v>
      </c>
      <c r="C565" s="18" t="s">
        <v>28</v>
      </c>
      <c r="D565" s="15" t="s">
        <v>508</v>
      </c>
      <c r="E565" s="18" t="s">
        <v>28</v>
      </c>
      <c r="F565" s="19" t="s">
        <v>28</v>
      </c>
      <c r="G565" s="19">
        <v>0.19</v>
      </c>
      <c r="H565" s="19" t="s">
        <v>28</v>
      </c>
      <c r="I565" s="18">
        <v>-0.4</v>
      </c>
      <c r="J565" s="18" t="s">
        <v>28</v>
      </c>
      <c r="K565" s="18">
        <v>1</v>
      </c>
      <c r="L565" s="18" t="s">
        <v>28</v>
      </c>
      <c r="M565" s="18" t="s">
        <v>28</v>
      </c>
      <c r="N565" s="17">
        <v>45456</v>
      </c>
      <c r="O565" s="15" t="s">
        <v>52</v>
      </c>
      <c r="P565" s="16" t="s">
        <v>2191</v>
      </c>
      <c r="Q565" s="15" t="s">
        <v>75</v>
      </c>
      <c r="R565" s="13" t="str">
        <f>HYPERLINK("https://my.pitchbook.com?c=263311-75T","View Company Online")</f>
        <v>View Company Online</v>
      </c>
    </row>
    <row r="566" spans="1:18" hidden="1" x14ac:dyDescent="0.3">
      <c r="A566" s="9" t="s">
        <v>2192</v>
      </c>
      <c r="B566" s="9" t="s">
        <v>2074</v>
      </c>
      <c r="C566" s="11" t="s">
        <v>28</v>
      </c>
      <c r="D566" s="9" t="s">
        <v>2075</v>
      </c>
      <c r="E566" s="11" t="s">
        <v>28</v>
      </c>
      <c r="F566" s="10" t="s">
        <v>28</v>
      </c>
      <c r="G566" s="10" t="s">
        <v>28</v>
      </c>
      <c r="H566" s="10" t="s">
        <v>28</v>
      </c>
      <c r="I566" s="11" t="s">
        <v>28</v>
      </c>
      <c r="J566" s="11" t="s">
        <v>28</v>
      </c>
      <c r="K566" s="11" t="s">
        <v>28</v>
      </c>
      <c r="L566" s="11" t="s">
        <v>28</v>
      </c>
      <c r="M566" s="11" t="s">
        <v>28</v>
      </c>
      <c r="N566" s="8">
        <v>45456</v>
      </c>
      <c r="O566" s="9" t="s">
        <v>41</v>
      </c>
      <c r="P566" s="12" t="s">
        <v>2068</v>
      </c>
      <c r="Q566" s="9" t="s">
        <v>245</v>
      </c>
      <c r="R566" s="14" t="str">
        <f>HYPERLINK("https://my.pitchbook.com?c=262951-66T","View Company Online")</f>
        <v>View Company Online</v>
      </c>
    </row>
    <row r="567" spans="1:18" hidden="1" x14ac:dyDescent="0.3">
      <c r="A567" s="15" t="s">
        <v>2193</v>
      </c>
      <c r="B567" s="15" t="s">
        <v>2194</v>
      </c>
      <c r="C567" s="18" t="s">
        <v>28</v>
      </c>
      <c r="D567" s="15" t="s">
        <v>2195</v>
      </c>
      <c r="E567" s="18" t="s">
        <v>28</v>
      </c>
      <c r="F567" s="19" t="s">
        <v>28</v>
      </c>
      <c r="G567" s="19" t="s">
        <v>28</v>
      </c>
      <c r="H567" s="19" t="s">
        <v>28</v>
      </c>
      <c r="I567" s="18" t="s">
        <v>28</v>
      </c>
      <c r="J567" s="18" t="s">
        <v>28</v>
      </c>
      <c r="K567" s="18" t="s">
        <v>28</v>
      </c>
      <c r="L567" s="18" t="s">
        <v>28</v>
      </c>
      <c r="M567" s="18" t="s">
        <v>28</v>
      </c>
      <c r="N567" s="17">
        <v>45456</v>
      </c>
      <c r="O567" s="15" t="s">
        <v>79</v>
      </c>
      <c r="P567" s="16" t="s">
        <v>611</v>
      </c>
      <c r="Q567" s="15" t="s">
        <v>75</v>
      </c>
      <c r="R567" s="13" t="str">
        <f>HYPERLINK("https://my.pitchbook.com?c=285519-79T","View Company Online")</f>
        <v>View Company Online</v>
      </c>
    </row>
    <row r="568" spans="1:18" hidden="1" x14ac:dyDescent="0.3">
      <c r="A568" s="9" t="s">
        <v>2196</v>
      </c>
      <c r="B568" s="9" t="s">
        <v>2197</v>
      </c>
      <c r="C568" s="11" t="s">
        <v>28</v>
      </c>
      <c r="D568" s="9" t="s">
        <v>2198</v>
      </c>
      <c r="E568" s="11" t="s">
        <v>28</v>
      </c>
      <c r="F568" s="10" t="s">
        <v>28</v>
      </c>
      <c r="G568" s="10" t="s">
        <v>28</v>
      </c>
      <c r="H568" s="10" t="s">
        <v>28</v>
      </c>
      <c r="I568" s="11" t="s">
        <v>28</v>
      </c>
      <c r="J568" s="11" t="s">
        <v>28</v>
      </c>
      <c r="K568" s="11">
        <v>21.11</v>
      </c>
      <c r="L568" s="11" t="s">
        <v>28</v>
      </c>
      <c r="M568" s="11" t="s">
        <v>28</v>
      </c>
      <c r="N568" s="8">
        <v>45455</v>
      </c>
      <c r="O568" s="9" t="s">
        <v>30</v>
      </c>
      <c r="P568" s="12" t="s">
        <v>2199</v>
      </c>
      <c r="Q568" s="9" t="s">
        <v>235</v>
      </c>
      <c r="R568" s="14" t="str">
        <f>HYPERLINK("https://my.pitchbook.com?c=262852-12T","View Company Online")</f>
        <v>View Company Online</v>
      </c>
    </row>
    <row r="569" spans="1:18" hidden="1" x14ac:dyDescent="0.3">
      <c r="A569" s="15" t="s">
        <v>2200</v>
      </c>
      <c r="B569" s="15" t="s">
        <v>2201</v>
      </c>
      <c r="C569" s="18" t="s">
        <v>28</v>
      </c>
      <c r="D569" s="15" t="s">
        <v>2202</v>
      </c>
      <c r="E569" s="18" t="s">
        <v>28</v>
      </c>
      <c r="F569" s="19" t="s">
        <v>28</v>
      </c>
      <c r="G569" s="19" t="s">
        <v>28</v>
      </c>
      <c r="H569" s="19" t="s">
        <v>28</v>
      </c>
      <c r="I569" s="18" t="s">
        <v>28</v>
      </c>
      <c r="J569" s="18" t="s">
        <v>28</v>
      </c>
      <c r="K569" s="18" t="s">
        <v>28</v>
      </c>
      <c r="L569" s="18" t="s">
        <v>28</v>
      </c>
      <c r="M569" s="18" t="s">
        <v>28</v>
      </c>
      <c r="N569" s="17">
        <v>45454</v>
      </c>
      <c r="O569" s="15" t="s">
        <v>30</v>
      </c>
      <c r="P569" s="16" t="s">
        <v>2203</v>
      </c>
      <c r="Q569" s="15" t="s">
        <v>75</v>
      </c>
      <c r="R569" s="13" t="str">
        <f>HYPERLINK("https://my.pitchbook.com?c=264022-84T","View Company Online")</f>
        <v>View Company Online</v>
      </c>
    </row>
    <row r="570" spans="1:18" hidden="1" x14ac:dyDescent="0.3">
      <c r="A570" s="9" t="s">
        <v>2204</v>
      </c>
      <c r="B570" s="9" t="s">
        <v>2205</v>
      </c>
      <c r="C570" s="11" t="s">
        <v>28</v>
      </c>
      <c r="D570" s="9" t="s">
        <v>2206</v>
      </c>
      <c r="E570" s="11" t="s">
        <v>28</v>
      </c>
      <c r="F570" s="10" t="s">
        <v>28</v>
      </c>
      <c r="G570" s="10" t="s">
        <v>28</v>
      </c>
      <c r="H570" s="10" t="s">
        <v>28</v>
      </c>
      <c r="I570" s="11" t="s">
        <v>28</v>
      </c>
      <c r="J570" s="11" t="s">
        <v>28</v>
      </c>
      <c r="K570" s="11" t="s">
        <v>28</v>
      </c>
      <c r="L570" s="11" t="s">
        <v>28</v>
      </c>
      <c r="M570" s="11" t="s">
        <v>28</v>
      </c>
      <c r="N570" s="8">
        <v>45454</v>
      </c>
      <c r="O570" s="9" t="s">
        <v>30</v>
      </c>
      <c r="P570" s="12" t="s">
        <v>28</v>
      </c>
      <c r="Q570" s="9" t="s">
        <v>75</v>
      </c>
      <c r="R570" s="14" t="str">
        <f>HYPERLINK("https://my.pitchbook.com?c=273428-74T","View Company Online")</f>
        <v>View Company Online</v>
      </c>
    </row>
    <row r="571" spans="1:18" hidden="1" x14ac:dyDescent="0.3">
      <c r="A571" s="15" t="s">
        <v>2207</v>
      </c>
      <c r="B571" s="15" t="s">
        <v>2208</v>
      </c>
      <c r="C571" s="18" t="s">
        <v>28</v>
      </c>
      <c r="D571" s="15" t="s">
        <v>2209</v>
      </c>
      <c r="E571" s="18" t="s">
        <v>28</v>
      </c>
      <c r="F571" s="19" t="s">
        <v>28</v>
      </c>
      <c r="G571" s="19" t="s">
        <v>28</v>
      </c>
      <c r="H571" s="19" t="s">
        <v>28</v>
      </c>
      <c r="I571" s="18" t="s">
        <v>28</v>
      </c>
      <c r="J571" s="18" t="s">
        <v>28</v>
      </c>
      <c r="K571" s="18" t="s">
        <v>28</v>
      </c>
      <c r="L571" s="18" t="s">
        <v>28</v>
      </c>
      <c r="M571" s="18" t="s">
        <v>28</v>
      </c>
      <c r="N571" s="17">
        <v>45454</v>
      </c>
      <c r="O571" s="15" t="s">
        <v>173</v>
      </c>
      <c r="P571" s="16" t="s">
        <v>28</v>
      </c>
      <c r="Q571" s="15" t="s">
        <v>174</v>
      </c>
      <c r="R571" s="13" t="str">
        <f>HYPERLINK("https://my.pitchbook.com?c=263292-67T","View Company Online")</f>
        <v>View Company Online</v>
      </c>
    </row>
    <row r="572" spans="1:18" hidden="1" x14ac:dyDescent="0.3">
      <c r="A572" s="9" t="s">
        <v>2210</v>
      </c>
      <c r="B572" s="9" t="s">
        <v>2211</v>
      </c>
      <c r="C572" s="11" t="s">
        <v>28</v>
      </c>
      <c r="D572" s="9" t="s">
        <v>2212</v>
      </c>
      <c r="E572" s="11" t="s">
        <v>28</v>
      </c>
      <c r="F572" s="10" t="s">
        <v>28</v>
      </c>
      <c r="G572" s="10" t="s">
        <v>28</v>
      </c>
      <c r="H572" s="10" t="s">
        <v>28</v>
      </c>
      <c r="I572" s="11" t="s">
        <v>28</v>
      </c>
      <c r="J572" s="11" t="s">
        <v>28</v>
      </c>
      <c r="K572" s="11" t="s">
        <v>28</v>
      </c>
      <c r="L572" s="11" t="s">
        <v>28</v>
      </c>
      <c r="M572" s="11" t="s">
        <v>28</v>
      </c>
      <c r="N572" s="8">
        <v>45454</v>
      </c>
      <c r="O572" s="9" t="s">
        <v>30</v>
      </c>
      <c r="P572" s="12" t="s">
        <v>983</v>
      </c>
      <c r="Q572" s="9" t="s">
        <v>245</v>
      </c>
      <c r="R572" s="14" t="str">
        <f>HYPERLINK("https://my.pitchbook.com?c=263521-63T","View Company Online")</f>
        <v>View Company Online</v>
      </c>
    </row>
    <row r="573" spans="1:18" hidden="1" x14ac:dyDescent="0.3">
      <c r="A573" s="15" t="s">
        <v>2213</v>
      </c>
      <c r="B573" s="15" t="s">
        <v>2214</v>
      </c>
      <c r="C573" s="18" t="s">
        <v>28</v>
      </c>
      <c r="D573" s="15" t="s">
        <v>2215</v>
      </c>
      <c r="E573" s="18" t="s">
        <v>28</v>
      </c>
      <c r="F573" s="19">
        <v>105.89</v>
      </c>
      <c r="G573" s="19">
        <v>84.72</v>
      </c>
      <c r="H573" s="19">
        <v>105.89</v>
      </c>
      <c r="I573" s="18" t="s">
        <v>28</v>
      </c>
      <c r="J573" s="18" t="s">
        <v>28</v>
      </c>
      <c r="K573" s="18" t="s">
        <v>28</v>
      </c>
      <c r="L573" s="18" t="s">
        <v>28</v>
      </c>
      <c r="M573" s="18" t="s">
        <v>28</v>
      </c>
      <c r="N573" s="17">
        <v>45454</v>
      </c>
      <c r="O573" s="15" t="s">
        <v>41</v>
      </c>
      <c r="P573" s="16" t="s">
        <v>2216</v>
      </c>
      <c r="Q573" s="15" t="s">
        <v>136</v>
      </c>
      <c r="R573" s="13" t="str">
        <f>HYPERLINK("https://my.pitchbook.com?c=266510-08T","View Company Online")</f>
        <v>View Company Online</v>
      </c>
    </row>
    <row r="574" spans="1:18" hidden="1" x14ac:dyDescent="0.3">
      <c r="A574" s="9" t="s">
        <v>2217</v>
      </c>
      <c r="B574" s="9" t="s">
        <v>2218</v>
      </c>
      <c r="C574" s="11" t="s">
        <v>28</v>
      </c>
      <c r="D574" s="9" t="s">
        <v>2219</v>
      </c>
      <c r="E574" s="11">
        <v>87.57</v>
      </c>
      <c r="F574" s="10" t="s">
        <v>28</v>
      </c>
      <c r="G574" s="10" t="s">
        <v>28</v>
      </c>
      <c r="H574" s="10" t="s">
        <v>28</v>
      </c>
      <c r="I574" s="11">
        <v>130.88</v>
      </c>
      <c r="J574" s="11" t="s">
        <v>28</v>
      </c>
      <c r="K574" s="11">
        <v>409.67</v>
      </c>
      <c r="L574" s="11" t="s">
        <v>28</v>
      </c>
      <c r="M574" s="11">
        <v>14.96</v>
      </c>
      <c r="N574" s="8">
        <v>45454</v>
      </c>
      <c r="O574" s="9" t="s">
        <v>173</v>
      </c>
      <c r="P574" s="12" t="s">
        <v>28</v>
      </c>
      <c r="Q574" s="9" t="s">
        <v>174</v>
      </c>
      <c r="R574" s="14" t="str">
        <f>HYPERLINK("https://my.pitchbook.com?c=263293-30T","View Company Online")</f>
        <v>View Company Online</v>
      </c>
    </row>
    <row r="575" spans="1:18" hidden="1" x14ac:dyDescent="0.3">
      <c r="A575" s="15" t="s">
        <v>2220</v>
      </c>
      <c r="B575" s="15" t="s">
        <v>2221</v>
      </c>
      <c r="C575" s="18" t="s">
        <v>28</v>
      </c>
      <c r="D575" s="15" t="s">
        <v>2222</v>
      </c>
      <c r="E575" s="18" t="s">
        <v>28</v>
      </c>
      <c r="F575" s="19" t="s">
        <v>28</v>
      </c>
      <c r="G575" s="19" t="s">
        <v>28</v>
      </c>
      <c r="H575" s="19">
        <v>19.28</v>
      </c>
      <c r="I575" s="18" t="s">
        <v>28</v>
      </c>
      <c r="J575" s="18" t="s">
        <v>28</v>
      </c>
      <c r="K575" s="18" t="s">
        <v>28</v>
      </c>
      <c r="L575" s="18" t="s">
        <v>28</v>
      </c>
      <c r="M575" s="18" t="s">
        <v>28</v>
      </c>
      <c r="N575" s="17">
        <v>45453</v>
      </c>
      <c r="O575" s="15" t="s">
        <v>79</v>
      </c>
      <c r="P575" s="16" t="s">
        <v>2223</v>
      </c>
      <c r="Q575" s="15" t="s">
        <v>188</v>
      </c>
      <c r="R575" s="13" t="str">
        <f>HYPERLINK("https://my.pitchbook.com?c=262506-79T","View Company Online")</f>
        <v>View Company Online</v>
      </c>
    </row>
    <row r="576" spans="1:18" hidden="1" x14ac:dyDescent="0.3">
      <c r="A576" s="9" t="s">
        <v>2224</v>
      </c>
      <c r="B576" s="9" t="s">
        <v>2225</v>
      </c>
      <c r="C576" s="11" t="s">
        <v>28</v>
      </c>
      <c r="D576" s="9" t="s">
        <v>2226</v>
      </c>
      <c r="E576" s="11" t="s">
        <v>28</v>
      </c>
      <c r="F576" s="10" t="s">
        <v>28</v>
      </c>
      <c r="G576" s="10">
        <v>0.77</v>
      </c>
      <c r="H576" s="10" t="s">
        <v>28</v>
      </c>
      <c r="I576" s="11" t="s">
        <v>28</v>
      </c>
      <c r="J576" s="11" t="s">
        <v>28</v>
      </c>
      <c r="K576" s="11" t="s">
        <v>28</v>
      </c>
      <c r="L576" s="11" t="s">
        <v>28</v>
      </c>
      <c r="M576" s="11" t="s">
        <v>28</v>
      </c>
      <c r="N576" s="8">
        <v>45452</v>
      </c>
      <c r="O576" s="9" t="s">
        <v>79</v>
      </c>
      <c r="P576" s="12" t="s">
        <v>2227</v>
      </c>
      <c r="Q576" s="9" t="s">
        <v>409</v>
      </c>
      <c r="R576" s="14" t="str">
        <f>HYPERLINK("https://my.pitchbook.com?c=262089-10T","View Company Online")</f>
        <v>View Company Online</v>
      </c>
    </row>
    <row r="577" spans="1:18" hidden="1" x14ac:dyDescent="0.3">
      <c r="A577" s="15" t="s">
        <v>2228</v>
      </c>
      <c r="B577" s="15" t="s">
        <v>2229</v>
      </c>
      <c r="C577" s="18" t="s">
        <v>28</v>
      </c>
      <c r="D577" s="15" t="s">
        <v>2230</v>
      </c>
      <c r="E577" s="18" t="s">
        <v>28</v>
      </c>
      <c r="F577" s="19" t="s">
        <v>28</v>
      </c>
      <c r="G577" s="19" t="s">
        <v>28</v>
      </c>
      <c r="H577" s="19" t="s">
        <v>28</v>
      </c>
      <c r="I577" s="18" t="s">
        <v>28</v>
      </c>
      <c r="J577" s="18" t="s">
        <v>28</v>
      </c>
      <c r="K577" s="18" t="s">
        <v>28</v>
      </c>
      <c r="L577" s="18" t="s">
        <v>28</v>
      </c>
      <c r="M577" s="18" t="s">
        <v>28</v>
      </c>
      <c r="N577" s="17">
        <v>45449</v>
      </c>
      <c r="O577" s="15" t="s">
        <v>30</v>
      </c>
      <c r="P577" s="16" t="s">
        <v>2231</v>
      </c>
      <c r="Q577" s="15" t="s">
        <v>226</v>
      </c>
      <c r="R577" s="13" t="str">
        <f>HYPERLINK("https://my.pitchbook.com?c=261532-63T","View Company Online")</f>
        <v>View Company Online</v>
      </c>
    </row>
    <row r="578" spans="1:18" hidden="1" x14ac:dyDescent="0.3">
      <c r="A578" s="9" t="s">
        <v>2232</v>
      </c>
      <c r="B578" s="9" t="s">
        <v>2233</v>
      </c>
      <c r="C578" s="11" t="s">
        <v>28</v>
      </c>
      <c r="D578" s="9" t="s">
        <v>2234</v>
      </c>
      <c r="E578" s="11" t="s">
        <v>28</v>
      </c>
      <c r="F578" s="10" t="s">
        <v>28</v>
      </c>
      <c r="G578" s="10" t="s">
        <v>28</v>
      </c>
      <c r="H578" s="10" t="s">
        <v>28</v>
      </c>
      <c r="I578" s="11" t="s">
        <v>28</v>
      </c>
      <c r="J578" s="11" t="s">
        <v>28</v>
      </c>
      <c r="K578" s="11" t="s">
        <v>28</v>
      </c>
      <c r="L578" s="11" t="s">
        <v>28</v>
      </c>
      <c r="M578" s="11" t="s">
        <v>28</v>
      </c>
      <c r="N578" s="8">
        <v>45449</v>
      </c>
      <c r="O578" s="9" t="s">
        <v>52</v>
      </c>
      <c r="P578" s="12" t="s">
        <v>2235</v>
      </c>
      <c r="Q578" s="9" t="s">
        <v>404</v>
      </c>
      <c r="R578" s="14" t="str">
        <f>HYPERLINK("https://my.pitchbook.com?c=268737-67T","View Company Online")</f>
        <v>View Company Online</v>
      </c>
    </row>
    <row r="579" spans="1:18" hidden="1" x14ac:dyDescent="0.3">
      <c r="A579" s="15" t="s">
        <v>2236</v>
      </c>
      <c r="B579" s="15" t="s">
        <v>2237</v>
      </c>
      <c r="C579" s="18" t="s">
        <v>28</v>
      </c>
      <c r="D579" s="15" t="s">
        <v>2238</v>
      </c>
      <c r="E579" s="18" t="s">
        <v>28</v>
      </c>
      <c r="F579" s="19">
        <v>184</v>
      </c>
      <c r="G579" s="19">
        <v>184</v>
      </c>
      <c r="H579" s="19">
        <v>184</v>
      </c>
      <c r="I579" s="18" t="s">
        <v>28</v>
      </c>
      <c r="J579" s="18" t="s">
        <v>28</v>
      </c>
      <c r="K579" s="18" t="s">
        <v>28</v>
      </c>
      <c r="L579" s="18" t="s">
        <v>28</v>
      </c>
      <c r="M579" s="18" t="s">
        <v>28</v>
      </c>
      <c r="N579" s="17">
        <v>45449</v>
      </c>
      <c r="O579" s="15" t="s">
        <v>30</v>
      </c>
      <c r="P579" s="16" t="s">
        <v>2239</v>
      </c>
      <c r="Q579" s="15" t="s">
        <v>43</v>
      </c>
      <c r="R579" s="13" t="str">
        <f>HYPERLINK("https://my.pitchbook.com?c=262959-49T","View Company Online")</f>
        <v>View Company Online</v>
      </c>
    </row>
    <row r="580" spans="1:18" hidden="1" x14ac:dyDescent="0.3">
      <c r="A580" s="9" t="s">
        <v>2240</v>
      </c>
      <c r="B580" s="9" t="s">
        <v>2241</v>
      </c>
      <c r="C580" s="11" t="s">
        <v>28</v>
      </c>
      <c r="D580" s="9" t="s">
        <v>2242</v>
      </c>
      <c r="E580" s="11" t="s">
        <v>28</v>
      </c>
      <c r="F580" s="10">
        <v>35.630000000000003</v>
      </c>
      <c r="G580" s="10">
        <v>35.630000000000003</v>
      </c>
      <c r="H580" s="10">
        <v>35.630000000000003</v>
      </c>
      <c r="I580" s="11" t="s">
        <v>28</v>
      </c>
      <c r="J580" s="11" t="s">
        <v>28</v>
      </c>
      <c r="K580" s="11" t="s">
        <v>28</v>
      </c>
      <c r="L580" s="11" t="s">
        <v>28</v>
      </c>
      <c r="M580" s="11" t="s">
        <v>28</v>
      </c>
      <c r="N580" s="8">
        <v>45449</v>
      </c>
      <c r="O580" s="9" t="s">
        <v>30</v>
      </c>
      <c r="P580" s="12" t="s">
        <v>2243</v>
      </c>
      <c r="Q580" s="9" t="s">
        <v>43</v>
      </c>
      <c r="R580" s="14" t="str">
        <f>HYPERLINK("https://my.pitchbook.com?c=262775-80T","View Company Online")</f>
        <v>View Company Online</v>
      </c>
    </row>
    <row r="581" spans="1:18" hidden="1" x14ac:dyDescent="0.3">
      <c r="A581" s="15" t="s">
        <v>2244</v>
      </c>
      <c r="B581" s="15" t="s">
        <v>2245</v>
      </c>
      <c r="C581" s="18" t="s">
        <v>28</v>
      </c>
      <c r="D581" s="15" t="s">
        <v>2246</v>
      </c>
      <c r="E581" s="18" t="s">
        <v>28</v>
      </c>
      <c r="F581" s="19" t="s">
        <v>28</v>
      </c>
      <c r="G581" s="19" t="s">
        <v>28</v>
      </c>
      <c r="H581" s="19" t="s">
        <v>28</v>
      </c>
      <c r="I581" s="18" t="s">
        <v>28</v>
      </c>
      <c r="J581" s="18" t="s">
        <v>28</v>
      </c>
      <c r="K581" s="18" t="s">
        <v>28</v>
      </c>
      <c r="L581" s="18" t="s">
        <v>28</v>
      </c>
      <c r="M581" s="18" t="s">
        <v>28</v>
      </c>
      <c r="N581" s="17">
        <v>45448</v>
      </c>
      <c r="O581" s="15" t="s">
        <v>30</v>
      </c>
      <c r="P581" s="16" t="s">
        <v>28</v>
      </c>
      <c r="Q581" s="15" t="s">
        <v>240</v>
      </c>
      <c r="R581" s="13" t="str">
        <f>HYPERLINK("https://my.pitchbook.com?c=262947-88T","View Company Online")</f>
        <v>View Company Online</v>
      </c>
    </row>
    <row r="582" spans="1:18" hidden="1" x14ac:dyDescent="0.3">
      <c r="A582" s="9" t="s">
        <v>2247</v>
      </c>
      <c r="B582" s="9" t="s">
        <v>2248</v>
      </c>
      <c r="C582" s="11" t="s">
        <v>28</v>
      </c>
      <c r="D582" s="9" t="s">
        <v>2249</v>
      </c>
      <c r="E582" s="11" t="s">
        <v>28</v>
      </c>
      <c r="F582" s="10" t="s">
        <v>28</v>
      </c>
      <c r="G582" s="10">
        <v>21.33</v>
      </c>
      <c r="H582" s="10" t="s">
        <v>28</v>
      </c>
      <c r="I582" s="11" t="s">
        <v>28</v>
      </c>
      <c r="J582" s="11" t="s">
        <v>28</v>
      </c>
      <c r="K582" s="11" t="s">
        <v>28</v>
      </c>
      <c r="L582" s="11" t="s">
        <v>28</v>
      </c>
      <c r="M582" s="11" t="s">
        <v>28</v>
      </c>
      <c r="N582" s="8">
        <v>45448</v>
      </c>
      <c r="O582" s="9" t="s">
        <v>73</v>
      </c>
      <c r="P582" s="12" t="s">
        <v>2250</v>
      </c>
      <c r="Q582" s="9" t="s">
        <v>37</v>
      </c>
      <c r="R582" s="14" t="str">
        <f>HYPERLINK("https://my.pitchbook.com?c=261304-39T","View Company Online")</f>
        <v>View Company Online</v>
      </c>
    </row>
    <row r="583" spans="1:18" hidden="1" x14ac:dyDescent="0.3">
      <c r="A583" s="15" t="s">
        <v>2251</v>
      </c>
      <c r="B583" s="15" t="s">
        <v>2252</v>
      </c>
      <c r="C583" s="18" t="s">
        <v>28</v>
      </c>
      <c r="D583" s="15" t="s">
        <v>2253</v>
      </c>
      <c r="E583" s="18" t="s">
        <v>28</v>
      </c>
      <c r="F583" s="19" t="s">
        <v>28</v>
      </c>
      <c r="G583" s="19" t="s">
        <v>28</v>
      </c>
      <c r="H583" s="19" t="s">
        <v>28</v>
      </c>
      <c r="I583" s="18" t="s">
        <v>28</v>
      </c>
      <c r="J583" s="18" t="s">
        <v>28</v>
      </c>
      <c r="K583" s="18" t="s">
        <v>28</v>
      </c>
      <c r="L583" s="18" t="s">
        <v>28</v>
      </c>
      <c r="M583" s="18" t="s">
        <v>28</v>
      </c>
      <c r="N583" s="17">
        <v>45448</v>
      </c>
      <c r="O583" s="15" t="s">
        <v>379</v>
      </c>
      <c r="P583" s="16" t="s">
        <v>2254</v>
      </c>
      <c r="Q583" s="15" t="s">
        <v>2255</v>
      </c>
      <c r="R583" s="13" t="str">
        <f>HYPERLINK("https://my.pitchbook.com?c=268016-14T","View Company Online")</f>
        <v>View Company Online</v>
      </c>
    </row>
    <row r="584" spans="1:18" hidden="1" x14ac:dyDescent="0.3">
      <c r="A584" s="9" t="s">
        <v>2256</v>
      </c>
      <c r="B584" s="9" t="s">
        <v>2041</v>
      </c>
      <c r="C584" s="11" t="s">
        <v>28</v>
      </c>
      <c r="D584" s="9" t="s">
        <v>2042</v>
      </c>
      <c r="E584" s="11">
        <v>39.590000000000003</v>
      </c>
      <c r="F584" s="10" t="s">
        <v>28</v>
      </c>
      <c r="G584" s="10" t="s">
        <v>28</v>
      </c>
      <c r="H584" s="10" t="s">
        <v>28</v>
      </c>
      <c r="I584" s="11">
        <v>109.81</v>
      </c>
      <c r="J584" s="11" t="s">
        <v>28</v>
      </c>
      <c r="K584" s="11">
        <v>208.23</v>
      </c>
      <c r="L584" s="11" t="s">
        <v>28</v>
      </c>
      <c r="M584" s="11">
        <v>21.71</v>
      </c>
      <c r="N584" s="8">
        <v>45448</v>
      </c>
      <c r="O584" s="9" t="s">
        <v>173</v>
      </c>
      <c r="P584" s="12" t="s">
        <v>28</v>
      </c>
      <c r="Q584" s="9" t="s">
        <v>2043</v>
      </c>
      <c r="R584" s="14" t="str">
        <f>HYPERLINK("https://my.pitchbook.com?c=261418-24T","View Company Online")</f>
        <v>View Company Online</v>
      </c>
    </row>
    <row r="585" spans="1:18" hidden="1" x14ac:dyDescent="0.3">
      <c r="A585" s="15" t="s">
        <v>2257</v>
      </c>
      <c r="B585" s="15" t="s">
        <v>2258</v>
      </c>
      <c r="C585" s="18" t="s">
        <v>28</v>
      </c>
      <c r="D585" s="15" t="s">
        <v>2259</v>
      </c>
      <c r="E585" s="18" t="s">
        <v>28</v>
      </c>
      <c r="F585" s="19" t="s">
        <v>28</v>
      </c>
      <c r="G585" s="19" t="s">
        <v>28</v>
      </c>
      <c r="H585" s="19" t="s">
        <v>28</v>
      </c>
      <c r="I585" s="18" t="s">
        <v>28</v>
      </c>
      <c r="J585" s="18" t="s">
        <v>28</v>
      </c>
      <c r="K585" s="18" t="s">
        <v>28</v>
      </c>
      <c r="L585" s="18" t="s">
        <v>28</v>
      </c>
      <c r="M585" s="18" t="s">
        <v>28</v>
      </c>
      <c r="N585" s="17">
        <v>45447</v>
      </c>
      <c r="O585" s="15" t="s">
        <v>30</v>
      </c>
      <c r="P585" s="16" t="s">
        <v>149</v>
      </c>
      <c r="Q585" s="15" t="s">
        <v>37</v>
      </c>
      <c r="R585" s="13" t="str">
        <f>HYPERLINK("https://my.pitchbook.com?c=261180-01T","View Company Online")</f>
        <v>View Company Online</v>
      </c>
    </row>
    <row r="586" spans="1:18" hidden="1" x14ac:dyDescent="0.3">
      <c r="A586" s="9" t="s">
        <v>2260</v>
      </c>
      <c r="B586" s="9" t="s">
        <v>2261</v>
      </c>
      <c r="C586" s="11" t="s">
        <v>28</v>
      </c>
      <c r="D586" s="9" t="s">
        <v>2262</v>
      </c>
      <c r="E586" s="11" t="s">
        <v>28</v>
      </c>
      <c r="F586" s="10" t="s">
        <v>28</v>
      </c>
      <c r="G586" s="10" t="s">
        <v>28</v>
      </c>
      <c r="H586" s="10" t="s">
        <v>28</v>
      </c>
      <c r="I586" s="11" t="s">
        <v>28</v>
      </c>
      <c r="J586" s="11" t="s">
        <v>28</v>
      </c>
      <c r="K586" s="11">
        <v>840.31</v>
      </c>
      <c r="L586" s="11" t="s">
        <v>28</v>
      </c>
      <c r="M586" s="11" t="s">
        <v>28</v>
      </c>
      <c r="N586" s="8">
        <v>45447</v>
      </c>
      <c r="O586" s="9" t="s">
        <v>41</v>
      </c>
      <c r="P586" s="12" t="s">
        <v>2263</v>
      </c>
      <c r="Q586" s="9" t="s">
        <v>109</v>
      </c>
      <c r="R586" s="14" t="str">
        <f>HYPERLINK("https://my.pitchbook.com?c=261181-27T","View Company Online")</f>
        <v>View Company Online</v>
      </c>
    </row>
    <row r="587" spans="1:18" hidden="1" x14ac:dyDescent="0.3">
      <c r="A587" s="15" t="s">
        <v>2264</v>
      </c>
      <c r="B587" s="15" t="s">
        <v>2265</v>
      </c>
      <c r="C587" s="18" t="s">
        <v>28</v>
      </c>
      <c r="D587" s="15" t="s">
        <v>2266</v>
      </c>
      <c r="E587" s="18" t="s">
        <v>28</v>
      </c>
      <c r="F587" s="19" t="s">
        <v>28</v>
      </c>
      <c r="G587" s="19">
        <v>5.83</v>
      </c>
      <c r="H587" s="19">
        <v>11.65</v>
      </c>
      <c r="I587" s="18" t="s">
        <v>28</v>
      </c>
      <c r="J587" s="18" t="s">
        <v>28</v>
      </c>
      <c r="K587" s="18">
        <v>1</v>
      </c>
      <c r="L587" s="18">
        <v>11.65</v>
      </c>
      <c r="M587" s="18" t="s">
        <v>28</v>
      </c>
      <c r="N587" s="17">
        <v>45447</v>
      </c>
      <c r="O587" s="15" t="s">
        <v>73</v>
      </c>
      <c r="P587" s="16" t="s">
        <v>2267</v>
      </c>
      <c r="Q587" s="15" t="s">
        <v>75</v>
      </c>
      <c r="R587" s="13" t="str">
        <f>HYPERLINK("https://my.pitchbook.com?c=272238-94T","View Company Online")</f>
        <v>View Company Online</v>
      </c>
    </row>
    <row r="588" spans="1:18" hidden="1" x14ac:dyDescent="0.3">
      <c r="A588" s="9" t="s">
        <v>2268</v>
      </c>
      <c r="B588" s="9" t="s">
        <v>2269</v>
      </c>
      <c r="C588" s="11" t="s">
        <v>28</v>
      </c>
      <c r="D588" s="9" t="s">
        <v>2270</v>
      </c>
      <c r="E588" s="11" t="s">
        <v>28</v>
      </c>
      <c r="F588" s="10">
        <v>45.68</v>
      </c>
      <c r="G588" s="10">
        <v>45.68</v>
      </c>
      <c r="H588" s="10">
        <v>45.68</v>
      </c>
      <c r="I588" s="11" t="s">
        <v>28</v>
      </c>
      <c r="J588" s="11" t="s">
        <v>28</v>
      </c>
      <c r="K588" s="11" t="s">
        <v>28</v>
      </c>
      <c r="L588" s="11" t="s">
        <v>28</v>
      </c>
      <c r="M588" s="11" t="s">
        <v>28</v>
      </c>
      <c r="N588" s="8">
        <v>45446</v>
      </c>
      <c r="O588" s="9" t="s">
        <v>30</v>
      </c>
      <c r="P588" s="12" t="s">
        <v>2271</v>
      </c>
      <c r="Q588" s="9" t="s">
        <v>245</v>
      </c>
      <c r="R588" s="14" t="str">
        <f>HYPERLINK("https://my.pitchbook.com?c=255068-83T","View Company Online")</f>
        <v>View Company Online</v>
      </c>
    </row>
    <row r="589" spans="1:18" hidden="1" x14ac:dyDescent="0.3">
      <c r="A589" s="15" t="s">
        <v>2272</v>
      </c>
      <c r="B589" s="15" t="s">
        <v>2273</v>
      </c>
      <c r="C589" s="18" t="s">
        <v>28</v>
      </c>
      <c r="D589" s="15" t="s">
        <v>2274</v>
      </c>
      <c r="E589" s="18" t="s">
        <v>28</v>
      </c>
      <c r="F589" s="19" t="s">
        <v>28</v>
      </c>
      <c r="G589" s="19" t="s">
        <v>28</v>
      </c>
      <c r="H589" s="19" t="s">
        <v>28</v>
      </c>
      <c r="I589" s="18" t="s">
        <v>28</v>
      </c>
      <c r="J589" s="18" t="s">
        <v>28</v>
      </c>
      <c r="K589" s="18" t="s">
        <v>28</v>
      </c>
      <c r="L589" s="18" t="s">
        <v>28</v>
      </c>
      <c r="M589" s="18" t="s">
        <v>28</v>
      </c>
      <c r="N589" s="17">
        <v>45446</v>
      </c>
      <c r="O589" s="15" t="s">
        <v>30</v>
      </c>
      <c r="P589" s="16" t="s">
        <v>2275</v>
      </c>
      <c r="Q589" s="15" t="s">
        <v>240</v>
      </c>
      <c r="R589" s="13" t="str">
        <f>HYPERLINK("https://my.pitchbook.com?c=262959-58T","View Company Online")</f>
        <v>View Company Online</v>
      </c>
    </row>
    <row r="590" spans="1:18" hidden="1" x14ac:dyDescent="0.3">
      <c r="A590" s="9" t="s">
        <v>2276</v>
      </c>
      <c r="B590" s="9" t="s">
        <v>2277</v>
      </c>
      <c r="C590" s="11" t="s">
        <v>28</v>
      </c>
      <c r="D590" s="9" t="s">
        <v>2278</v>
      </c>
      <c r="E590" s="11" t="s">
        <v>28</v>
      </c>
      <c r="F590" s="10" t="s">
        <v>28</v>
      </c>
      <c r="G590" s="10" t="s">
        <v>28</v>
      </c>
      <c r="H590" s="10" t="s">
        <v>28</v>
      </c>
      <c r="I590" s="11" t="s">
        <v>28</v>
      </c>
      <c r="J590" s="11" t="s">
        <v>28</v>
      </c>
      <c r="K590" s="11" t="s">
        <v>28</v>
      </c>
      <c r="L590" s="11" t="s">
        <v>28</v>
      </c>
      <c r="M590" s="11" t="s">
        <v>28</v>
      </c>
      <c r="N590" s="8">
        <v>45446</v>
      </c>
      <c r="O590" s="9" t="s">
        <v>73</v>
      </c>
      <c r="P590" s="12" t="s">
        <v>611</v>
      </c>
      <c r="Q590" s="9" t="s">
        <v>37</v>
      </c>
      <c r="R590" s="14" t="str">
        <f>HYPERLINK("https://my.pitchbook.com?c=272596-24T","View Company Online")</f>
        <v>View Company Online</v>
      </c>
    </row>
    <row r="591" spans="1:18" hidden="1" x14ac:dyDescent="0.3">
      <c r="A591" s="15" t="s">
        <v>2279</v>
      </c>
      <c r="B591" s="15" t="s">
        <v>279</v>
      </c>
      <c r="C591" s="18" t="s">
        <v>28</v>
      </c>
      <c r="D591" s="15" t="s">
        <v>2280</v>
      </c>
      <c r="E591" s="18">
        <v>468.06</v>
      </c>
      <c r="F591" s="19" t="s">
        <v>28</v>
      </c>
      <c r="G591" s="19" t="s">
        <v>28</v>
      </c>
      <c r="H591" s="19" t="s">
        <v>28</v>
      </c>
      <c r="I591" s="18">
        <v>1134.1099999999999</v>
      </c>
      <c r="J591" s="18" t="s">
        <v>28</v>
      </c>
      <c r="K591" s="18">
        <v>10899.85</v>
      </c>
      <c r="L591" s="18" t="s">
        <v>28</v>
      </c>
      <c r="M591" s="18">
        <v>-99.15</v>
      </c>
      <c r="N591" s="17">
        <v>45444</v>
      </c>
      <c r="O591" s="15" t="s">
        <v>159</v>
      </c>
      <c r="P591" s="16" t="s">
        <v>2281</v>
      </c>
      <c r="Q591" s="15" t="s">
        <v>136</v>
      </c>
      <c r="R591" s="13" t="str">
        <f>HYPERLINK("https://my.pitchbook.com?c=272830-87T","View Company Online")</f>
        <v>View Company Online</v>
      </c>
    </row>
    <row r="592" spans="1:18" hidden="1" x14ac:dyDescent="0.3">
      <c r="A592" s="9" t="s">
        <v>2282</v>
      </c>
      <c r="B592" s="9" t="s">
        <v>2283</v>
      </c>
      <c r="C592" s="11" t="s">
        <v>28</v>
      </c>
      <c r="D592" s="9" t="s">
        <v>2284</v>
      </c>
      <c r="E592" s="11" t="s">
        <v>28</v>
      </c>
      <c r="F592" s="10" t="s">
        <v>28</v>
      </c>
      <c r="G592" s="10" t="s">
        <v>28</v>
      </c>
      <c r="H592" s="10" t="s">
        <v>28</v>
      </c>
      <c r="I592" s="11" t="s">
        <v>28</v>
      </c>
      <c r="J592" s="11" t="s">
        <v>28</v>
      </c>
      <c r="K592" s="11" t="s">
        <v>28</v>
      </c>
      <c r="L592" s="11" t="s">
        <v>28</v>
      </c>
      <c r="M592" s="11" t="s">
        <v>28</v>
      </c>
      <c r="N592" s="8">
        <v>45444</v>
      </c>
      <c r="O592" s="9" t="s">
        <v>41</v>
      </c>
      <c r="P592" s="12" t="s">
        <v>2285</v>
      </c>
      <c r="Q592" s="9" t="s">
        <v>43</v>
      </c>
      <c r="R592" s="14" t="str">
        <f>HYPERLINK("https://my.pitchbook.com?c=293223-07T","View Company Online")</f>
        <v>View Company Online</v>
      </c>
    </row>
    <row r="593" spans="1:18" hidden="1" x14ac:dyDescent="0.3">
      <c r="A593" s="15" t="s">
        <v>2286</v>
      </c>
      <c r="B593" s="15" t="s">
        <v>2287</v>
      </c>
      <c r="C593" s="18" t="s">
        <v>28</v>
      </c>
      <c r="D593" s="15" t="s">
        <v>2288</v>
      </c>
      <c r="E593" s="18" t="s">
        <v>28</v>
      </c>
      <c r="F593" s="19" t="s">
        <v>28</v>
      </c>
      <c r="G593" s="19" t="s">
        <v>28</v>
      </c>
      <c r="H593" s="19" t="s">
        <v>28</v>
      </c>
      <c r="I593" s="18" t="s">
        <v>28</v>
      </c>
      <c r="J593" s="18" t="s">
        <v>28</v>
      </c>
      <c r="K593" s="18" t="s">
        <v>28</v>
      </c>
      <c r="L593" s="18" t="s">
        <v>28</v>
      </c>
      <c r="M593" s="18" t="s">
        <v>28</v>
      </c>
      <c r="N593" s="17">
        <v>45443</v>
      </c>
      <c r="O593" s="15" t="s">
        <v>79</v>
      </c>
      <c r="P593" s="16" t="s">
        <v>2289</v>
      </c>
      <c r="Q593" s="15" t="s">
        <v>696</v>
      </c>
      <c r="R593" s="13" t="str">
        <f>HYPERLINK("https://my.pitchbook.com?c=287294-32T","View Company Online")</f>
        <v>View Company Online</v>
      </c>
    </row>
    <row r="594" spans="1:18" hidden="1" x14ac:dyDescent="0.3">
      <c r="A594" s="9" t="s">
        <v>2290</v>
      </c>
      <c r="B594" s="9" t="s">
        <v>2291</v>
      </c>
      <c r="C594" s="11" t="s">
        <v>28</v>
      </c>
      <c r="D594" s="9" t="s">
        <v>2292</v>
      </c>
      <c r="E594" s="11" t="s">
        <v>28</v>
      </c>
      <c r="F594" s="10" t="s">
        <v>28</v>
      </c>
      <c r="G594" s="10" t="s">
        <v>28</v>
      </c>
      <c r="H594" s="10" t="s">
        <v>28</v>
      </c>
      <c r="I594" s="11" t="s">
        <v>28</v>
      </c>
      <c r="J594" s="11" t="s">
        <v>28</v>
      </c>
      <c r="K594" s="11" t="s">
        <v>28</v>
      </c>
      <c r="L594" s="11" t="s">
        <v>28</v>
      </c>
      <c r="M594" s="11" t="s">
        <v>28</v>
      </c>
      <c r="N594" s="8">
        <v>45441</v>
      </c>
      <c r="O594" s="9" t="s">
        <v>30</v>
      </c>
      <c r="P594" s="12" t="s">
        <v>2275</v>
      </c>
      <c r="Q594" s="9" t="s">
        <v>753</v>
      </c>
      <c r="R594" s="14" t="str">
        <f>HYPERLINK("https://my.pitchbook.com?c=293913-37T","View Company Online")</f>
        <v>View Company Online</v>
      </c>
    </row>
    <row r="595" spans="1:18" hidden="1" x14ac:dyDescent="0.3">
      <c r="A595" s="15" t="s">
        <v>2293</v>
      </c>
      <c r="B595" s="15" t="s">
        <v>2294</v>
      </c>
      <c r="C595" s="18" t="s">
        <v>28</v>
      </c>
      <c r="D595" s="15" t="s">
        <v>2295</v>
      </c>
      <c r="E595" s="18" t="s">
        <v>28</v>
      </c>
      <c r="F595" s="19" t="s">
        <v>28</v>
      </c>
      <c r="G595" s="19" t="s">
        <v>28</v>
      </c>
      <c r="H595" s="19" t="s">
        <v>28</v>
      </c>
      <c r="I595" s="18" t="s">
        <v>28</v>
      </c>
      <c r="J595" s="18" t="s">
        <v>28</v>
      </c>
      <c r="K595" s="18" t="s">
        <v>28</v>
      </c>
      <c r="L595" s="18" t="s">
        <v>28</v>
      </c>
      <c r="M595" s="18" t="s">
        <v>28</v>
      </c>
      <c r="N595" s="17">
        <v>45441</v>
      </c>
      <c r="O595" s="15" t="s">
        <v>30</v>
      </c>
      <c r="P595" s="16" t="s">
        <v>28</v>
      </c>
      <c r="Q595" s="15" t="s">
        <v>32</v>
      </c>
      <c r="R595" s="13" t="str">
        <f>HYPERLINK("https://my.pitchbook.com?c=267390-01T","View Company Online")</f>
        <v>View Company Online</v>
      </c>
    </row>
    <row r="596" spans="1:18" hidden="1" x14ac:dyDescent="0.3">
      <c r="A596" s="9" t="s">
        <v>2296</v>
      </c>
      <c r="B596" s="9" t="s">
        <v>2297</v>
      </c>
      <c r="C596" s="11" t="s">
        <v>28</v>
      </c>
      <c r="D596" s="9" t="s">
        <v>2298</v>
      </c>
      <c r="E596" s="11" t="s">
        <v>28</v>
      </c>
      <c r="F596" s="10">
        <v>6.88</v>
      </c>
      <c r="G596" s="10">
        <v>2.06</v>
      </c>
      <c r="H596" s="10">
        <v>6.88</v>
      </c>
      <c r="I596" s="11" t="s">
        <v>28</v>
      </c>
      <c r="J596" s="11" t="s">
        <v>28</v>
      </c>
      <c r="K596" s="11" t="s">
        <v>28</v>
      </c>
      <c r="L596" s="11" t="s">
        <v>28</v>
      </c>
      <c r="M596" s="11" t="s">
        <v>28</v>
      </c>
      <c r="N596" s="8">
        <v>45441</v>
      </c>
      <c r="O596" s="9" t="s">
        <v>30</v>
      </c>
      <c r="P596" s="12" t="s">
        <v>2299</v>
      </c>
      <c r="Q596" s="9" t="s">
        <v>183</v>
      </c>
      <c r="R596" s="14" t="str">
        <f>HYPERLINK("https://my.pitchbook.com?c=260912-08T","View Company Online")</f>
        <v>View Company Online</v>
      </c>
    </row>
    <row r="597" spans="1:18" hidden="1" x14ac:dyDescent="0.3">
      <c r="A597" s="15" t="s">
        <v>2300</v>
      </c>
      <c r="B597" s="15" t="s">
        <v>2301</v>
      </c>
      <c r="C597" s="18" t="s">
        <v>28</v>
      </c>
      <c r="D597" s="15" t="s">
        <v>2302</v>
      </c>
      <c r="E597" s="18" t="s">
        <v>28</v>
      </c>
      <c r="F597" s="19" t="s">
        <v>28</v>
      </c>
      <c r="G597" s="19" t="s">
        <v>28</v>
      </c>
      <c r="H597" s="19" t="s">
        <v>28</v>
      </c>
      <c r="I597" s="18" t="s">
        <v>28</v>
      </c>
      <c r="J597" s="18" t="s">
        <v>28</v>
      </c>
      <c r="K597" s="18" t="s">
        <v>28</v>
      </c>
      <c r="L597" s="18" t="s">
        <v>28</v>
      </c>
      <c r="M597" s="18" t="s">
        <v>28</v>
      </c>
      <c r="N597" s="17">
        <v>45441</v>
      </c>
      <c r="O597" s="15" t="s">
        <v>99</v>
      </c>
      <c r="P597" s="16" t="s">
        <v>611</v>
      </c>
      <c r="Q597" s="15" t="s">
        <v>75</v>
      </c>
      <c r="R597" s="13" t="str">
        <f>HYPERLINK("https://my.pitchbook.com?c=270394-57T","View Company Online")</f>
        <v>View Company Online</v>
      </c>
    </row>
    <row r="598" spans="1:18" hidden="1" x14ac:dyDescent="0.3">
      <c r="A598" s="9" t="s">
        <v>2303</v>
      </c>
      <c r="B598" s="9" t="s">
        <v>2304</v>
      </c>
      <c r="C598" s="11" t="s">
        <v>28</v>
      </c>
      <c r="D598" s="9" t="s">
        <v>2305</v>
      </c>
      <c r="E598" s="11" t="s">
        <v>28</v>
      </c>
      <c r="F598" s="10" t="s">
        <v>28</v>
      </c>
      <c r="G598" s="10" t="s">
        <v>28</v>
      </c>
      <c r="H598" s="10" t="s">
        <v>28</v>
      </c>
      <c r="I598" s="11" t="s">
        <v>28</v>
      </c>
      <c r="J598" s="11" t="s">
        <v>28</v>
      </c>
      <c r="K598" s="11" t="s">
        <v>28</v>
      </c>
      <c r="L598" s="11" t="s">
        <v>28</v>
      </c>
      <c r="M598" s="11" t="s">
        <v>28</v>
      </c>
      <c r="N598" s="8">
        <v>45441</v>
      </c>
      <c r="O598" s="9" t="s">
        <v>30</v>
      </c>
      <c r="P598" s="12" t="s">
        <v>2306</v>
      </c>
      <c r="Q598" s="9" t="s">
        <v>43</v>
      </c>
      <c r="R598" s="14" t="str">
        <f>HYPERLINK("https://my.pitchbook.com?c=260908-03T","View Company Online")</f>
        <v>View Company Online</v>
      </c>
    </row>
    <row r="599" spans="1:18" hidden="1" x14ac:dyDescent="0.3">
      <c r="A599" s="15" t="s">
        <v>2307</v>
      </c>
      <c r="B599" s="15" t="s">
        <v>2308</v>
      </c>
      <c r="C599" s="18" t="s">
        <v>28</v>
      </c>
      <c r="D599" s="15" t="s">
        <v>2309</v>
      </c>
      <c r="E599" s="18" t="s">
        <v>28</v>
      </c>
      <c r="F599" s="19" t="s">
        <v>28</v>
      </c>
      <c r="G599" s="19">
        <v>0.57999999999999996</v>
      </c>
      <c r="H599" s="19" t="s">
        <v>28</v>
      </c>
      <c r="I599" s="18" t="s">
        <v>28</v>
      </c>
      <c r="J599" s="18" t="s">
        <v>28</v>
      </c>
      <c r="K599" s="18" t="s">
        <v>28</v>
      </c>
      <c r="L599" s="18" t="s">
        <v>28</v>
      </c>
      <c r="M599" s="18" t="s">
        <v>28</v>
      </c>
      <c r="N599" s="17">
        <v>45441</v>
      </c>
      <c r="O599" s="15" t="s">
        <v>73</v>
      </c>
      <c r="P599" s="16" t="s">
        <v>28</v>
      </c>
      <c r="Q599" s="15" t="s">
        <v>136</v>
      </c>
      <c r="R599" s="13" t="str">
        <f>HYPERLINK("https://my.pitchbook.com?c=260523-10T","View Company Online")</f>
        <v>View Company Online</v>
      </c>
    </row>
    <row r="600" spans="1:18" hidden="1" x14ac:dyDescent="0.3">
      <c r="A600" s="9" t="s">
        <v>2310</v>
      </c>
      <c r="B600" s="9" t="s">
        <v>2311</v>
      </c>
      <c r="C600" s="11" t="s">
        <v>28</v>
      </c>
      <c r="D600" s="9" t="s">
        <v>2312</v>
      </c>
      <c r="E600" s="11" t="s">
        <v>28</v>
      </c>
      <c r="F600" s="10" t="s">
        <v>28</v>
      </c>
      <c r="G600" s="10" t="s">
        <v>28</v>
      </c>
      <c r="H600" s="10" t="s">
        <v>28</v>
      </c>
      <c r="I600" s="11" t="s">
        <v>28</v>
      </c>
      <c r="J600" s="11" t="s">
        <v>28</v>
      </c>
      <c r="K600" s="11" t="s">
        <v>28</v>
      </c>
      <c r="L600" s="11" t="s">
        <v>28</v>
      </c>
      <c r="M600" s="11" t="s">
        <v>28</v>
      </c>
      <c r="N600" s="8">
        <v>45440</v>
      </c>
      <c r="O600" s="9" t="s">
        <v>79</v>
      </c>
      <c r="P600" s="12" t="s">
        <v>2313</v>
      </c>
      <c r="Q600" s="9" t="s">
        <v>37</v>
      </c>
      <c r="R600" s="14" t="str">
        <f>HYPERLINK("https://my.pitchbook.com?c=260446-96T","View Company Online")</f>
        <v>View Company Online</v>
      </c>
    </row>
    <row r="601" spans="1:18" hidden="1" x14ac:dyDescent="0.3">
      <c r="A601" s="15" t="s">
        <v>2314</v>
      </c>
      <c r="B601" s="15" t="s">
        <v>2315</v>
      </c>
      <c r="C601" s="18" t="s">
        <v>28</v>
      </c>
      <c r="D601" s="15" t="s">
        <v>2316</v>
      </c>
      <c r="E601" s="18" t="s">
        <v>28</v>
      </c>
      <c r="F601" s="19" t="s">
        <v>28</v>
      </c>
      <c r="G601" s="19">
        <v>0.01</v>
      </c>
      <c r="H601" s="19" t="s">
        <v>28</v>
      </c>
      <c r="I601" s="18" t="s">
        <v>28</v>
      </c>
      <c r="J601" s="18" t="s">
        <v>28</v>
      </c>
      <c r="K601" s="18" t="s">
        <v>28</v>
      </c>
      <c r="L601" s="18" t="s">
        <v>28</v>
      </c>
      <c r="M601" s="18" t="s">
        <v>28</v>
      </c>
      <c r="N601" s="17">
        <v>45440</v>
      </c>
      <c r="O601" s="15" t="s">
        <v>52</v>
      </c>
      <c r="P601" s="16" t="s">
        <v>2317</v>
      </c>
      <c r="Q601" s="15" t="s">
        <v>95</v>
      </c>
      <c r="R601" s="13" t="str">
        <f>HYPERLINK("https://my.pitchbook.com?c=284464-72T","View Company Online")</f>
        <v>View Company Online</v>
      </c>
    </row>
    <row r="602" spans="1:18" hidden="1" x14ac:dyDescent="0.3">
      <c r="A602" s="9" t="s">
        <v>2318</v>
      </c>
      <c r="B602" s="9" t="s">
        <v>2319</v>
      </c>
      <c r="C602" s="11" t="s">
        <v>28</v>
      </c>
      <c r="D602" s="9" t="s">
        <v>2320</v>
      </c>
      <c r="E602" s="11" t="s">
        <v>28</v>
      </c>
      <c r="F602" s="10">
        <v>5.85</v>
      </c>
      <c r="G602" s="10">
        <v>5.85</v>
      </c>
      <c r="H602" s="10">
        <v>5.85</v>
      </c>
      <c r="I602" s="11" t="s">
        <v>28</v>
      </c>
      <c r="J602" s="11" t="s">
        <v>28</v>
      </c>
      <c r="K602" s="11" t="s">
        <v>28</v>
      </c>
      <c r="L602" s="11" t="s">
        <v>28</v>
      </c>
      <c r="M602" s="11" t="s">
        <v>28</v>
      </c>
      <c r="N602" s="8">
        <v>45440</v>
      </c>
      <c r="O602" s="9" t="s">
        <v>30</v>
      </c>
      <c r="P602" s="12" t="s">
        <v>2321</v>
      </c>
      <c r="Q602" s="9" t="s">
        <v>2322</v>
      </c>
      <c r="R602" s="14" t="str">
        <f>HYPERLINK("https://my.pitchbook.com?c=263039-14T","View Company Online")</f>
        <v>View Company Online</v>
      </c>
    </row>
    <row r="603" spans="1:18" hidden="1" x14ac:dyDescent="0.3">
      <c r="A603" s="15" t="s">
        <v>2323</v>
      </c>
      <c r="B603" s="15" t="s">
        <v>2324</v>
      </c>
      <c r="C603" s="18" t="s">
        <v>28</v>
      </c>
      <c r="D603" s="15" t="s">
        <v>2325</v>
      </c>
      <c r="E603" s="18" t="s">
        <v>28</v>
      </c>
      <c r="F603" s="19" t="s">
        <v>28</v>
      </c>
      <c r="G603" s="19">
        <v>0.68</v>
      </c>
      <c r="H603" s="19" t="s">
        <v>28</v>
      </c>
      <c r="I603" s="18" t="s">
        <v>28</v>
      </c>
      <c r="J603" s="18" t="s">
        <v>28</v>
      </c>
      <c r="K603" s="18" t="s">
        <v>28</v>
      </c>
      <c r="L603" s="18" t="s">
        <v>28</v>
      </c>
      <c r="M603" s="18" t="s">
        <v>28</v>
      </c>
      <c r="N603" s="17">
        <v>45440</v>
      </c>
      <c r="O603" s="15" t="s">
        <v>79</v>
      </c>
      <c r="P603" s="16" t="s">
        <v>2326</v>
      </c>
      <c r="Q603" s="15" t="s">
        <v>1336</v>
      </c>
      <c r="R603" s="13" t="str">
        <f>HYPERLINK("https://my.pitchbook.com?c=257906-35T","View Company Online")</f>
        <v>View Company Online</v>
      </c>
    </row>
    <row r="604" spans="1:18" hidden="1" x14ac:dyDescent="0.3">
      <c r="A604" s="9" t="s">
        <v>2327</v>
      </c>
      <c r="B604" s="9" t="s">
        <v>2328</v>
      </c>
      <c r="C604" s="11" t="s">
        <v>28</v>
      </c>
      <c r="D604" s="9" t="s">
        <v>2329</v>
      </c>
      <c r="E604" s="11" t="s">
        <v>28</v>
      </c>
      <c r="F604" s="10">
        <v>9.5500000000000007</v>
      </c>
      <c r="G604" s="10">
        <v>9.5500000000000007</v>
      </c>
      <c r="H604" s="10">
        <v>9.5500000000000007</v>
      </c>
      <c r="I604" s="11" t="s">
        <v>28</v>
      </c>
      <c r="J604" s="11" t="s">
        <v>28</v>
      </c>
      <c r="K604" s="11" t="s">
        <v>28</v>
      </c>
      <c r="L604" s="11" t="s">
        <v>28</v>
      </c>
      <c r="M604" s="11" t="s">
        <v>28</v>
      </c>
      <c r="N604" s="8">
        <v>45440</v>
      </c>
      <c r="O604" s="9" t="s">
        <v>30</v>
      </c>
      <c r="P604" s="12" t="s">
        <v>2330</v>
      </c>
      <c r="Q604" s="9" t="s">
        <v>43</v>
      </c>
      <c r="R604" s="14" t="str">
        <f>HYPERLINK("https://my.pitchbook.com?c=260579-26T","View Company Online")</f>
        <v>View Company Online</v>
      </c>
    </row>
    <row r="605" spans="1:18" hidden="1" x14ac:dyDescent="0.3">
      <c r="A605" s="15" t="s">
        <v>2331</v>
      </c>
      <c r="B605" s="15" t="s">
        <v>2332</v>
      </c>
      <c r="C605" s="18" t="s">
        <v>28</v>
      </c>
      <c r="D605" s="15" t="s">
        <v>2333</v>
      </c>
      <c r="E605" s="18" t="s">
        <v>28</v>
      </c>
      <c r="F605" s="19">
        <v>194.83</v>
      </c>
      <c r="G605" s="19">
        <v>194.83</v>
      </c>
      <c r="H605" s="19">
        <v>194.83</v>
      </c>
      <c r="I605" s="18" t="s">
        <v>28</v>
      </c>
      <c r="J605" s="18" t="s">
        <v>28</v>
      </c>
      <c r="K605" s="18" t="s">
        <v>28</v>
      </c>
      <c r="L605" s="18" t="s">
        <v>28</v>
      </c>
      <c r="M605" s="18" t="s">
        <v>28</v>
      </c>
      <c r="N605" s="17">
        <v>45440</v>
      </c>
      <c r="O605" s="15" t="s">
        <v>30</v>
      </c>
      <c r="P605" s="16" t="s">
        <v>2334</v>
      </c>
      <c r="Q605" s="15" t="s">
        <v>692</v>
      </c>
      <c r="R605" s="13" t="str">
        <f>HYPERLINK("https://my.pitchbook.com?c=256013-02T","View Company Online")</f>
        <v>View Company Online</v>
      </c>
    </row>
    <row r="606" spans="1:18" hidden="1" x14ac:dyDescent="0.3">
      <c r="A606" s="9" t="s">
        <v>2335</v>
      </c>
      <c r="B606" s="9" t="s">
        <v>2336</v>
      </c>
      <c r="C606" s="11" t="s">
        <v>28</v>
      </c>
      <c r="D606" s="9" t="s">
        <v>2337</v>
      </c>
      <c r="E606" s="11" t="s">
        <v>28</v>
      </c>
      <c r="F606" s="10" t="s">
        <v>28</v>
      </c>
      <c r="G606" s="10">
        <v>0.19</v>
      </c>
      <c r="H606" s="10" t="s">
        <v>28</v>
      </c>
      <c r="I606" s="11" t="s">
        <v>28</v>
      </c>
      <c r="J606" s="11" t="s">
        <v>28</v>
      </c>
      <c r="K606" s="11" t="s">
        <v>28</v>
      </c>
      <c r="L606" s="11" t="s">
        <v>28</v>
      </c>
      <c r="M606" s="11" t="s">
        <v>28</v>
      </c>
      <c r="N606" s="8">
        <v>45439</v>
      </c>
      <c r="O606" s="9" t="s">
        <v>79</v>
      </c>
      <c r="P606" s="12" t="s">
        <v>2338</v>
      </c>
      <c r="Q606" s="9" t="s">
        <v>75</v>
      </c>
      <c r="R606" s="14" t="str">
        <f>HYPERLINK("https://my.pitchbook.com?c=260319-43T","View Company Online")</f>
        <v>View Company Online</v>
      </c>
    </row>
    <row r="607" spans="1:18" hidden="1" x14ac:dyDescent="0.3">
      <c r="A607" s="15" t="s">
        <v>2339</v>
      </c>
      <c r="B607" s="15" t="s">
        <v>2340</v>
      </c>
      <c r="C607" s="18" t="s">
        <v>28</v>
      </c>
      <c r="D607" s="15" t="s">
        <v>2341</v>
      </c>
      <c r="E607" s="18" t="s">
        <v>28</v>
      </c>
      <c r="F607" s="19" t="s">
        <v>28</v>
      </c>
      <c r="G607" s="19" t="s">
        <v>28</v>
      </c>
      <c r="H607" s="19" t="s">
        <v>28</v>
      </c>
      <c r="I607" s="18" t="s">
        <v>28</v>
      </c>
      <c r="J607" s="18" t="s">
        <v>28</v>
      </c>
      <c r="K607" s="18" t="s">
        <v>28</v>
      </c>
      <c r="L607" s="18" t="s">
        <v>28</v>
      </c>
      <c r="M607" s="18" t="s">
        <v>28</v>
      </c>
      <c r="N607" s="17">
        <v>45436</v>
      </c>
      <c r="O607" s="15" t="s">
        <v>52</v>
      </c>
      <c r="P607" s="16" t="s">
        <v>2342</v>
      </c>
      <c r="Q607" s="15" t="s">
        <v>75</v>
      </c>
      <c r="R607" s="13" t="str">
        <f>HYPERLINK("https://my.pitchbook.com?c=266087-71T","View Company Online")</f>
        <v>View Company Online</v>
      </c>
    </row>
    <row r="608" spans="1:18" hidden="1" x14ac:dyDescent="0.3">
      <c r="A608" s="9" t="s">
        <v>2343</v>
      </c>
      <c r="B608" s="9" t="s">
        <v>2344</v>
      </c>
      <c r="C608" s="11" t="s">
        <v>28</v>
      </c>
      <c r="D608" s="9" t="s">
        <v>2345</v>
      </c>
      <c r="E608" s="11">
        <v>70.27</v>
      </c>
      <c r="F608" s="10" t="s">
        <v>28</v>
      </c>
      <c r="G608" s="10" t="s">
        <v>28</v>
      </c>
      <c r="H608" s="10" t="s">
        <v>28</v>
      </c>
      <c r="I608" s="11">
        <v>100.4</v>
      </c>
      <c r="J608" s="11" t="s">
        <v>28</v>
      </c>
      <c r="K608" s="11">
        <v>209.14</v>
      </c>
      <c r="L608" s="11" t="s">
        <v>28</v>
      </c>
      <c r="M608" s="11">
        <v>20.9</v>
      </c>
      <c r="N608" s="8">
        <v>45436</v>
      </c>
      <c r="O608" s="9" t="s">
        <v>30</v>
      </c>
      <c r="P608" s="12" t="s">
        <v>28</v>
      </c>
      <c r="Q608" s="9" t="s">
        <v>692</v>
      </c>
      <c r="R608" s="14" t="str">
        <f>HYPERLINK("https://my.pitchbook.com?c=260252-11T","View Company Online")</f>
        <v>View Company Online</v>
      </c>
    </row>
    <row r="609" spans="1:18" hidden="1" x14ac:dyDescent="0.3">
      <c r="A609" s="15" t="s">
        <v>2346</v>
      </c>
      <c r="B609" s="15" t="s">
        <v>2347</v>
      </c>
      <c r="C609" s="18" t="s">
        <v>28</v>
      </c>
      <c r="D609" s="15" t="s">
        <v>2348</v>
      </c>
      <c r="E609" s="18" t="s">
        <v>28</v>
      </c>
      <c r="F609" s="19" t="s">
        <v>28</v>
      </c>
      <c r="G609" s="19" t="s">
        <v>28</v>
      </c>
      <c r="H609" s="19" t="s">
        <v>28</v>
      </c>
      <c r="I609" s="18" t="s">
        <v>28</v>
      </c>
      <c r="J609" s="18" t="s">
        <v>28</v>
      </c>
      <c r="K609" s="18">
        <v>640.24</v>
      </c>
      <c r="L609" s="18" t="s">
        <v>28</v>
      </c>
      <c r="M609" s="18" t="s">
        <v>28</v>
      </c>
      <c r="N609" s="17">
        <v>45436</v>
      </c>
      <c r="O609" s="15" t="s">
        <v>58</v>
      </c>
      <c r="P609" s="16" t="s">
        <v>2349</v>
      </c>
      <c r="Q609" s="15" t="s">
        <v>696</v>
      </c>
      <c r="R609" s="13" t="str">
        <f>HYPERLINK("https://my.pitchbook.com?c=265175-92T","View Company Online")</f>
        <v>View Company Online</v>
      </c>
    </row>
    <row r="610" spans="1:18" hidden="1" x14ac:dyDescent="0.3">
      <c r="A610" s="9" t="s">
        <v>2350</v>
      </c>
      <c r="B610" s="9" t="s">
        <v>2351</v>
      </c>
      <c r="C610" s="11" t="s">
        <v>28</v>
      </c>
      <c r="D610" s="9" t="s">
        <v>2352</v>
      </c>
      <c r="E610" s="11">
        <v>-23.1</v>
      </c>
      <c r="F610" s="10" t="s">
        <v>28</v>
      </c>
      <c r="G610" s="10">
        <v>30.07</v>
      </c>
      <c r="H610" s="10" t="s">
        <v>28</v>
      </c>
      <c r="I610" s="11" t="s">
        <v>28</v>
      </c>
      <c r="J610" s="11" t="s">
        <v>28</v>
      </c>
      <c r="K610" s="11">
        <v>81.55</v>
      </c>
      <c r="L610" s="11" t="s">
        <v>28</v>
      </c>
      <c r="M610" s="11">
        <v>-23.81</v>
      </c>
      <c r="N610" s="8">
        <v>45436</v>
      </c>
      <c r="O610" s="9" t="s">
        <v>79</v>
      </c>
      <c r="P610" s="12" t="s">
        <v>2353</v>
      </c>
      <c r="Q610" s="9" t="s">
        <v>740</v>
      </c>
      <c r="R610" s="14" t="str">
        <f>HYPERLINK("https://my.pitchbook.com?c=247889-62T","View Company Online")</f>
        <v>View Company Online</v>
      </c>
    </row>
    <row r="611" spans="1:18" hidden="1" x14ac:dyDescent="0.3">
      <c r="A611" s="15" t="s">
        <v>2354</v>
      </c>
      <c r="B611" s="15" t="s">
        <v>2355</v>
      </c>
      <c r="C611" s="18" t="s">
        <v>28</v>
      </c>
      <c r="D611" s="15" t="s">
        <v>2356</v>
      </c>
      <c r="E611" s="18" t="s">
        <v>28</v>
      </c>
      <c r="F611" s="19" t="s">
        <v>28</v>
      </c>
      <c r="G611" s="19" t="s">
        <v>28</v>
      </c>
      <c r="H611" s="19" t="s">
        <v>28</v>
      </c>
      <c r="I611" s="18" t="s">
        <v>28</v>
      </c>
      <c r="J611" s="18" t="s">
        <v>28</v>
      </c>
      <c r="K611" s="18" t="s">
        <v>28</v>
      </c>
      <c r="L611" s="18" t="s">
        <v>28</v>
      </c>
      <c r="M611" s="18" t="s">
        <v>28</v>
      </c>
      <c r="N611" s="17">
        <v>45436</v>
      </c>
      <c r="O611" s="15" t="s">
        <v>41</v>
      </c>
      <c r="P611" s="16" t="s">
        <v>2357</v>
      </c>
      <c r="Q611" s="15" t="s">
        <v>832</v>
      </c>
      <c r="R611" s="13" t="str">
        <f>HYPERLINK("https://my.pitchbook.com?c=260353-90T","View Company Online")</f>
        <v>View Company Online</v>
      </c>
    </row>
    <row r="612" spans="1:18" hidden="1" x14ac:dyDescent="0.3">
      <c r="A612" s="9" t="s">
        <v>2358</v>
      </c>
      <c r="B612" s="9" t="s">
        <v>2359</v>
      </c>
      <c r="C612" s="11" t="s">
        <v>28</v>
      </c>
      <c r="D612" s="9" t="s">
        <v>2360</v>
      </c>
      <c r="E612" s="11" t="s">
        <v>28</v>
      </c>
      <c r="F612" s="10" t="s">
        <v>28</v>
      </c>
      <c r="G612" s="10" t="s">
        <v>28</v>
      </c>
      <c r="H612" s="10" t="s">
        <v>28</v>
      </c>
      <c r="I612" s="11" t="s">
        <v>28</v>
      </c>
      <c r="J612" s="11" t="s">
        <v>28</v>
      </c>
      <c r="K612" s="11" t="s">
        <v>28</v>
      </c>
      <c r="L612" s="11" t="s">
        <v>28</v>
      </c>
      <c r="M612" s="11" t="s">
        <v>28</v>
      </c>
      <c r="N612" s="8">
        <v>45436</v>
      </c>
      <c r="O612" s="9" t="s">
        <v>52</v>
      </c>
      <c r="P612" s="12" t="s">
        <v>2089</v>
      </c>
      <c r="Q612" s="9" t="s">
        <v>136</v>
      </c>
      <c r="R612" s="14" t="str">
        <f>HYPERLINK("https://my.pitchbook.com?c=298264-69T","View Company Online")</f>
        <v>View Company Online</v>
      </c>
    </row>
    <row r="613" spans="1:18" hidden="1" x14ac:dyDescent="0.3">
      <c r="A613" s="15" t="s">
        <v>2361</v>
      </c>
      <c r="B613" s="15" t="s">
        <v>2362</v>
      </c>
      <c r="C613" s="18" t="s">
        <v>28</v>
      </c>
      <c r="D613" s="15" t="s">
        <v>2363</v>
      </c>
      <c r="E613" s="18" t="s">
        <v>28</v>
      </c>
      <c r="F613" s="19" t="s">
        <v>28</v>
      </c>
      <c r="G613" s="19" t="s">
        <v>28</v>
      </c>
      <c r="H613" s="19" t="s">
        <v>28</v>
      </c>
      <c r="I613" s="18" t="s">
        <v>28</v>
      </c>
      <c r="J613" s="18" t="s">
        <v>28</v>
      </c>
      <c r="K613" s="18" t="s">
        <v>28</v>
      </c>
      <c r="L613" s="18" t="s">
        <v>28</v>
      </c>
      <c r="M613" s="18" t="s">
        <v>28</v>
      </c>
      <c r="N613" s="17">
        <v>45435</v>
      </c>
      <c r="O613" s="15" t="s">
        <v>58</v>
      </c>
      <c r="P613" s="16" t="s">
        <v>2364</v>
      </c>
      <c r="Q613" s="15" t="s">
        <v>75</v>
      </c>
      <c r="R613" s="13" t="str">
        <f>HYPERLINK("https://my.pitchbook.com?c=269160-31T","View Company Online")</f>
        <v>View Company Online</v>
      </c>
    </row>
    <row r="614" spans="1:18" hidden="1" x14ac:dyDescent="0.3">
      <c r="A614" s="9" t="s">
        <v>2365</v>
      </c>
      <c r="B614" s="9" t="s">
        <v>2366</v>
      </c>
      <c r="C614" s="11" t="s">
        <v>28</v>
      </c>
      <c r="D614" s="9" t="s">
        <v>2367</v>
      </c>
      <c r="E614" s="11" t="s">
        <v>28</v>
      </c>
      <c r="F614" s="10" t="s">
        <v>28</v>
      </c>
      <c r="G614" s="10" t="s">
        <v>28</v>
      </c>
      <c r="H614" s="10" t="s">
        <v>28</v>
      </c>
      <c r="I614" s="11" t="s">
        <v>28</v>
      </c>
      <c r="J614" s="11" t="s">
        <v>28</v>
      </c>
      <c r="K614" s="11" t="s">
        <v>28</v>
      </c>
      <c r="L614" s="11" t="s">
        <v>28</v>
      </c>
      <c r="M614" s="11" t="s">
        <v>28</v>
      </c>
      <c r="N614" s="8">
        <v>45435</v>
      </c>
      <c r="O614" s="9" t="s">
        <v>30</v>
      </c>
      <c r="P614" s="12" t="s">
        <v>2368</v>
      </c>
      <c r="Q614" s="9" t="s">
        <v>1336</v>
      </c>
      <c r="R614" s="14" t="str">
        <f>HYPERLINK("https://my.pitchbook.com?c=260183-80T","View Company Online")</f>
        <v>View Company Online</v>
      </c>
    </row>
    <row r="615" spans="1:18" hidden="1" x14ac:dyDescent="0.3">
      <c r="A615" s="15" t="s">
        <v>2369</v>
      </c>
      <c r="B615" s="15" t="s">
        <v>2370</v>
      </c>
      <c r="C615" s="18" t="s">
        <v>28</v>
      </c>
      <c r="D615" s="15" t="s">
        <v>2371</v>
      </c>
      <c r="E615" s="18" t="s">
        <v>28</v>
      </c>
      <c r="F615" s="19">
        <v>0.04</v>
      </c>
      <c r="G615" s="19">
        <v>0.04</v>
      </c>
      <c r="H615" s="19">
        <v>0.04</v>
      </c>
      <c r="I615" s="18" t="s">
        <v>28</v>
      </c>
      <c r="J615" s="18" t="s">
        <v>28</v>
      </c>
      <c r="K615" s="18" t="s">
        <v>28</v>
      </c>
      <c r="L615" s="18" t="s">
        <v>28</v>
      </c>
      <c r="M615" s="18" t="s">
        <v>28</v>
      </c>
      <c r="N615" s="17">
        <v>45434</v>
      </c>
      <c r="O615" s="15" t="s">
        <v>30</v>
      </c>
      <c r="P615" s="16" t="s">
        <v>2372</v>
      </c>
      <c r="Q615" s="15" t="s">
        <v>114</v>
      </c>
      <c r="R615" s="13" t="str">
        <f>HYPERLINK("https://my.pitchbook.com?c=298088-56T","View Company Online")</f>
        <v>View Company Online</v>
      </c>
    </row>
    <row r="616" spans="1:18" hidden="1" x14ac:dyDescent="0.3">
      <c r="A616" s="9" t="s">
        <v>2373</v>
      </c>
      <c r="B616" s="9" t="s">
        <v>2374</v>
      </c>
      <c r="C616" s="11" t="s">
        <v>28</v>
      </c>
      <c r="D616" s="9" t="s">
        <v>2375</v>
      </c>
      <c r="E616" s="11" t="s">
        <v>28</v>
      </c>
      <c r="F616" s="10" t="s">
        <v>28</v>
      </c>
      <c r="G616" s="10" t="s">
        <v>28</v>
      </c>
      <c r="H616" s="10" t="s">
        <v>28</v>
      </c>
      <c r="I616" s="11" t="s">
        <v>28</v>
      </c>
      <c r="J616" s="11" t="s">
        <v>28</v>
      </c>
      <c r="K616" s="11">
        <v>15.01</v>
      </c>
      <c r="L616" s="11" t="s">
        <v>28</v>
      </c>
      <c r="M616" s="11" t="s">
        <v>28</v>
      </c>
      <c r="N616" s="8">
        <v>45434</v>
      </c>
      <c r="O616" s="9" t="s">
        <v>30</v>
      </c>
      <c r="P616" s="12" t="s">
        <v>151</v>
      </c>
      <c r="Q616" s="9" t="s">
        <v>245</v>
      </c>
      <c r="R616" s="14" t="str">
        <f>HYPERLINK("https://my.pitchbook.com?c=260158-96T","View Company Online")</f>
        <v>View Company Online</v>
      </c>
    </row>
    <row r="617" spans="1:18" hidden="1" x14ac:dyDescent="0.3">
      <c r="A617" s="15" t="s">
        <v>2376</v>
      </c>
      <c r="B617" s="15" t="s">
        <v>2377</v>
      </c>
      <c r="C617" s="18" t="s">
        <v>28</v>
      </c>
      <c r="D617" s="15" t="s">
        <v>2378</v>
      </c>
      <c r="E617" s="18" t="s">
        <v>28</v>
      </c>
      <c r="F617" s="19" t="s">
        <v>28</v>
      </c>
      <c r="G617" s="19" t="s">
        <v>28</v>
      </c>
      <c r="H617" s="19" t="s">
        <v>28</v>
      </c>
      <c r="I617" s="18" t="s">
        <v>28</v>
      </c>
      <c r="J617" s="18" t="s">
        <v>28</v>
      </c>
      <c r="K617" s="18" t="s">
        <v>28</v>
      </c>
      <c r="L617" s="18" t="s">
        <v>28</v>
      </c>
      <c r="M617" s="18" t="s">
        <v>28</v>
      </c>
      <c r="N617" s="17">
        <v>45433</v>
      </c>
      <c r="O617" s="15" t="s">
        <v>79</v>
      </c>
      <c r="P617" s="16" t="s">
        <v>2379</v>
      </c>
      <c r="Q617" s="15" t="s">
        <v>75</v>
      </c>
      <c r="R617" s="13" t="str">
        <f>HYPERLINK("https://my.pitchbook.com?c=265745-08T","View Company Online")</f>
        <v>View Company Online</v>
      </c>
    </row>
    <row r="618" spans="1:18" hidden="1" x14ac:dyDescent="0.3">
      <c r="A618" s="9" t="s">
        <v>2380</v>
      </c>
      <c r="B618" s="9" t="s">
        <v>2381</v>
      </c>
      <c r="C618" s="11" t="s">
        <v>28</v>
      </c>
      <c r="D618" s="9" t="s">
        <v>2382</v>
      </c>
      <c r="E618" s="11" t="s">
        <v>28</v>
      </c>
      <c r="F618" s="10" t="s">
        <v>28</v>
      </c>
      <c r="G618" s="10" t="s">
        <v>28</v>
      </c>
      <c r="H618" s="10" t="s">
        <v>28</v>
      </c>
      <c r="I618" s="11" t="s">
        <v>28</v>
      </c>
      <c r="J618" s="11" t="s">
        <v>28</v>
      </c>
      <c r="K618" s="11" t="s">
        <v>28</v>
      </c>
      <c r="L618" s="11" t="s">
        <v>28</v>
      </c>
      <c r="M618" s="11" t="s">
        <v>28</v>
      </c>
      <c r="N618" s="8">
        <v>45433</v>
      </c>
      <c r="O618" s="9" t="s">
        <v>173</v>
      </c>
      <c r="P618" s="12" t="s">
        <v>28</v>
      </c>
      <c r="Q618" s="9" t="s">
        <v>174</v>
      </c>
      <c r="R618" s="14" t="str">
        <f>HYPERLINK("https://my.pitchbook.com?c=266073-40T","View Company Online")</f>
        <v>View Company Online</v>
      </c>
    </row>
    <row r="619" spans="1:18" hidden="1" x14ac:dyDescent="0.3">
      <c r="A619" s="15" t="s">
        <v>2383</v>
      </c>
      <c r="B619" s="15" t="s">
        <v>2384</v>
      </c>
      <c r="C619" s="18" t="s">
        <v>28</v>
      </c>
      <c r="D619" s="15" t="s">
        <v>2385</v>
      </c>
      <c r="E619" s="18" t="s">
        <v>28</v>
      </c>
      <c r="F619" s="19">
        <v>7.09</v>
      </c>
      <c r="G619" s="19">
        <v>7.09</v>
      </c>
      <c r="H619" s="19">
        <v>7.09</v>
      </c>
      <c r="I619" s="18" t="s">
        <v>28</v>
      </c>
      <c r="J619" s="18" t="s">
        <v>28</v>
      </c>
      <c r="K619" s="18" t="s">
        <v>28</v>
      </c>
      <c r="L619" s="18" t="s">
        <v>28</v>
      </c>
      <c r="M619" s="18" t="s">
        <v>28</v>
      </c>
      <c r="N619" s="17">
        <v>45433</v>
      </c>
      <c r="O619" s="15" t="s">
        <v>30</v>
      </c>
      <c r="P619" s="16" t="s">
        <v>2386</v>
      </c>
      <c r="Q619" s="15" t="s">
        <v>69</v>
      </c>
      <c r="R619" s="13" t="str">
        <f>HYPERLINK("https://my.pitchbook.com?c=259944-85T","View Company Online")</f>
        <v>View Company Online</v>
      </c>
    </row>
    <row r="620" spans="1:18" hidden="1" x14ac:dyDescent="0.3">
      <c r="A620" s="9" t="s">
        <v>2387</v>
      </c>
      <c r="B620" s="9" t="s">
        <v>2388</v>
      </c>
      <c r="C620" s="11" t="s">
        <v>28</v>
      </c>
      <c r="D620" s="9" t="s">
        <v>2389</v>
      </c>
      <c r="E620" s="11" t="s">
        <v>28</v>
      </c>
      <c r="F620" s="10" t="s">
        <v>28</v>
      </c>
      <c r="G620" s="10" t="s">
        <v>28</v>
      </c>
      <c r="H620" s="10" t="s">
        <v>28</v>
      </c>
      <c r="I620" s="11" t="s">
        <v>28</v>
      </c>
      <c r="J620" s="11" t="s">
        <v>28</v>
      </c>
      <c r="K620" s="11" t="s">
        <v>28</v>
      </c>
      <c r="L620" s="11" t="s">
        <v>28</v>
      </c>
      <c r="M620" s="11" t="s">
        <v>28</v>
      </c>
      <c r="N620" s="8">
        <v>45433</v>
      </c>
      <c r="O620" s="9" t="s">
        <v>30</v>
      </c>
      <c r="P620" s="12" t="s">
        <v>2390</v>
      </c>
      <c r="Q620" s="9" t="s">
        <v>75</v>
      </c>
      <c r="R620" s="14" t="str">
        <f>HYPERLINK("https://my.pitchbook.com?c=259946-74T","View Company Online")</f>
        <v>View Company Online</v>
      </c>
    </row>
    <row r="621" spans="1:18" hidden="1" x14ac:dyDescent="0.3">
      <c r="A621" s="15" t="s">
        <v>2391</v>
      </c>
      <c r="B621" s="15" t="s">
        <v>2392</v>
      </c>
      <c r="C621" s="18" t="s">
        <v>28</v>
      </c>
      <c r="D621" s="15" t="s">
        <v>2393</v>
      </c>
      <c r="E621" s="18" t="s">
        <v>28</v>
      </c>
      <c r="F621" s="19" t="s">
        <v>28</v>
      </c>
      <c r="G621" s="19" t="s">
        <v>28</v>
      </c>
      <c r="H621" s="19" t="s">
        <v>28</v>
      </c>
      <c r="I621" s="18" t="s">
        <v>28</v>
      </c>
      <c r="J621" s="18" t="s">
        <v>28</v>
      </c>
      <c r="K621" s="18" t="s">
        <v>28</v>
      </c>
      <c r="L621" s="18" t="s">
        <v>28</v>
      </c>
      <c r="M621" s="18" t="s">
        <v>28</v>
      </c>
      <c r="N621" s="17">
        <v>45433</v>
      </c>
      <c r="O621" s="15" t="s">
        <v>73</v>
      </c>
      <c r="P621" s="16" t="s">
        <v>2394</v>
      </c>
      <c r="Q621" s="15" t="s">
        <v>75</v>
      </c>
      <c r="R621" s="13" t="str">
        <f>HYPERLINK("https://my.pitchbook.com?c=259957-09T","View Company Online")</f>
        <v>View Company Online</v>
      </c>
    </row>
    <row r="622" spans="1:18" hidden="1" x14ac:dyDescent="0.3">
      <c r="A622" s="9" t="s">
        <v>2395</v>
      </c>
      <c r="B622" s="9" t="s">
        <v>2396</v>
      </c>
      <c r="C622" s="11" t="s">
        <v>28</v>
      </c>
      <c r="D622" s="9" t="s">
        <v>2397</v>
      </c>
      <c r="E622" s="11" t="s">
        <v>28</v>
      </c>
      <c r="F622" s="10" t="s">
        <v>28</v>
      </c>
      <c r="G622" s="10" t="s">
        <v>28</v>
      </c>
      <c r="H622" s="10" t="s">
        <v>28</v>
      </c>
      <c r="I622" s="11" t="s">
        <v>28</v>
      </c>
      <c r="J622" s="11" t="s">
        <v>28</v>
      </c>
      <c r="K622" s="11" t="s">
        <v>28</v>
      </c>
      <c r="L622" s="11" t="s">
        <v>28</v>
      </c>
      <c r="M622" s="11" t="s">
        <v>28</v>
      </c>
      <c r="N622" s="8">
        <v>45433</v>
      </c>
      <c r="O622" s="9" t="s">
        <v>30</v>
      </c>
      <c r="P622" s="12" t="s">
        <v>2398</v>
      </c>
      <c r="Q622" s="9" t="s">
        <v>245</v>
      </c>
      <c r="R622" s="14" t="str">
        <f>HYPERLINK("https://my.pitchbook.com?c=260131-33T","View Company Online")</f>
        <v>View Company Online</v>
      </c>
    </row>
    <row r="623" spans="1:18" hidden="1" x14ac:dyDescent="0.3">
      <c r="A623" s="15" t="s">
        <v>2399</v>
      </c>
      <c r="B623" s="15" t="s">
        <v>2400</v>
      </c>
      <c r="C623" s="18" t="s">
        <v>28</v>
      </c>
      <c r="D623" s="15" t="s">
        <v>2401</v>
      </c>
      <c r="E623" s="18" t="s">
        <v>28</v>
      </c>
      <c r="F623" s="19" t="s">
        <v>28</v>
      </c>
      <c r="G623" s="19" t="s">
        <v>28</v>
      </c>
      <c r="H623" s="19" t="s">
        <v>28</v>
      </c>
      <c r="I623" s="18" t="s">
        <v>28</v>
      </c>
      <c r="J623" s="18" t="s">
        <v>28</v>
      </c>
      <c r="K623" s="18" t="s">
        <v>28</v>
      </c>
      <c r="L623" s="18" t="s">
        <v>28</v>
      </c>
      <c r="M623" s="18" t="s">
        <v>28</v>
      </c>
      <c r="N623" s="17">
        <v>45432</v>
      </c>
      <c r="O623" s="15" t="s">
        <v>73</v>
      </c>
      <c r="P623" s="16" t="s">
        <v>2402</v>
      </c>
      <c r="Q623" s="15" t="s">
        <v>37</v>
      </c>
      <c r="R623" s="13" t="str">
        <f>HYPERLINK("https://my.pitchbook.com?c=259796-17T","View Company Online")</f>
        <v>View Company Online</v>
      </c>
    </row>
    <row r="624" spans="1:18" hidden="1" x14ac:dyDescent="0.3">
      <c r="A624" s="9" t="s">
        <v>2403</v>
      </c>
      <c r="B624" s="9" t="s">
        <v>2404</v>
      </c>
      <c r="C624" s="11" t="s">
        <v>28</v>
      </c>
      <c r="D624" s="9" t="s">
        <v>2405</v>
      </c>
      <c r="E624" s="11" t="s">
        <v>28</v>
      </c>
      <c r="F624" s="10" t="s">
        <v>28</v>
      </c>
      <c r="G624" s="10" t="s">
        <v>28</v>
      </c>
      <c r="H624" s="10" t="s">
        <v>28</v>
      </c>
      <c r="I624" s="11" t="s">
        <v>28</v>
      </c>
      <c r="J624" s="11" t="s">
        <v>28</v>
      </c>
      <c r="K624" s="11" t="s">
        <v>28</v>
      </c>
      <c r="L624" s="11" t="s">
        <v>28</v>
      </c>
      <c r="M624" s="11" t="s">
        <v>28</v>
      </c>
      <c r="N624" s="8">
        <v>45432</v>
      </c>
      <c r="O624" s="9" t="s">
        <v>974</v>
      </c>
      <c r="P624" s="12" t="s">
        <v>28</v>
      </c>
      <c r="Q624" s="9" t="s">
        <v>119</v>
      </c>
      <c r="R624" s="14" t="str">
        <f>HYPERLINK("https://my.pitchbook.com?c=259887-07T","View Company Online")</f>
        <v>View Company Online</v>
      </c>
    </row>
    <row r="625" spans="1:18" hidden="1" x14ac:dyDescent="0.3">
      <c r="A625" s="15" t="s">
        <v>2406</v>
      </c>
      <c r="B625" s="15" t="s">
        <v>2404</v>
      </c>
      <c r="C625" s="18" t="s">
        <v>28</v>
      </c>
      <c r="D625" s="15" t="s">
        <v>2405</v>
      </c>
      <c r="E625" s="18" t="s">
        <v>28</v>
      </c>
      <c r="F625" s="19" t="s">
        <v>28</v>
      </c>
      <c r="G625" s="19" t="s">
        <v>28</v>
      </c>
      <c r="H625" s="19" t="s">
        <v>28</v>
      </c>
      <c r="I625" s="18" t="s">
        <v>28</v>
      </c>
      <c r="J625" s="18" t="s">
        <v>28</v>
      </c>
      <c r="K625" s="18" t="s">
        <v>28</v>
      </c>
      <c r="L625" s="18" t="s">
        <v>28</v>
      </c>
      <c r="M625" s="18" t="s">
        <v>28</v>
      </c>
      <c r="N625" s="17">
        <v>45432</v>
      </c>
      <c r="O625" s="15" t="s">
        <v>159</v>
      </c>
      <c r="P625" s="16" t="s">
        <v>28</v>
      </c>
      <c r="Q625" s="15" t="s">
        <v>119</v>
      </c>
      <c r="R625" s="13" t="str">
        <f>HYPERLINK("https://my.pitchbook.com?c=259892-11T","View Company Online")</f>
        <v>View Company Online</v>
      </c>
    </row>
    <row r="626" spans="1:18" hidden="1" x14ac:dyDescent="0.3">
      <c r="A626" s="9" t="s">
        <v>2407</v>
      </c>
      <c r="B626" s="9" t="s">
        <v>2408</v>
      </c>
      <c r="C626" s="11" t="s">
        <v>28</v>
      </c>
      <c r="D626" s="9" t="s">
        <v>2409</v>
      </c>
      <c r="E626" s="11" t="s">
        <v>28</v>
      </c>
      <c r="F626" s="10" t="s">
        <v>28</v>
      </c>
      <c r="G626" s="10">
        <v>29.18</v>
      </c>
      <c r="H626" s="10" t="s">
        <v>28</v>
      </c>
      <c r="I626" s="11" t="s">
        <v>28</v>
      </c>
      <c r="J626" s="11" t="s">
        <v>28</v>
      </c>
      <c r="K626" s="11" t="s">
        <v>28</v>
      </c>
      <c r="L626" s="11" t="s">
        <v>28</v>
      </c>
      <c r="M626" s="11" t="s">
        <v>28</v>
      </c>
      <c r="N626" s="8">
        <v>45432</v>
      </c>
      <c r="O626" s="9" t="s">
        <v>173</v>
      </c>
      <c r="P626" s="12" t="s">
        <v>28</v>
      </c>
      <c r="Q626" s="9" t="s">
        <v>174</v>
      </c>
      <c r="R626" s="14" t="str">
        <f>HYPERLINK("https://my.pitchbook.com?c=267121-09T","View Company Online")</f>
        <v>View Company Online</v>
      </c>
    </row>
    <row r="627" spans="1:18" hidden="1" x14ac:dyDescent="0.3">
      <c r="A627" s="15" t="s">
        <v>2410</v>
      </c>
      <c r="B627" s="15" t="s">
        <v>2411</v>
      </c>
      <c r="C627" s="18" t="s">
        <v>28</v>
      </c>
      <c r="D627" s="15" t="s">
        <v>2412</v>
      </c>
      <c r="E627" s="18" t="s">
        <v>28</v>
      </c>
      <c r="F627" s="19" t="s">
        <v>28</v>
      </c>
      <c r="G627" s="19">
        <v>3.31</v>
      </c>
      <c r="H627" s="19">
        <v>17.899999999999999</v>
      </c>
      <c r="I627" s="18" t="s">
        <v>28</v>
      </c>
      <c r="J627" s="18" t="s">
        <v>28</v>
      </c>
      <c r="K627" s="18" t="s">
        <v>28</v>
      </c>
      <c r="L627" s="18" t="s">
        <v>28</v>
      </c>
      <c r="M627" s="18" t="s">
        <v>28</v>
      </c>
      <c r="N627" s="17">
        <v>45432</v>
      </c>
      <c r="O627" s="15" t="s">
        <v>73</v>
      </c>
      <c r="P627" s="16" t="s">
        <v>28</v>
      </c>
      <c r="Q627" s="15" t="s">
        <v>249</v>
      </c>
      <c r="R627" s="13" t="str">
        <f>HYPERLINK("https://my.pitchbook.com?c=260520-67T","View Company Online")</f>
        <v>View Company Online</v>
      </c>
    </row>
    <row r="628" spans="1:18" hidden="1" x14ac:dyDescent="0.3">
      <c r="A628" s="9" t="s">
        <v>2413</v>
      </c>
      <c r="B628" s="9" t="s">
        <v>2414</v>
      </c>
      <c r="C628" s="11" t="s">
        <v>28</v>
      </c>
      <c r="D628" s="9" t="s">
        <v>2415</v>
      </c>
      <c r="E628" s="11" t="s">
        <v>28</v>
      </c>
      <c r="F628" s="10" t="s">
        <v>28</v>
      </c>
      <c r="G628" s="10" t="s">
        <v>28</v>
      </c>
      <c r="H628" s="10" t="s">
        <v>28</v>
      </c>
      <c r="I628" s="11" t="s">
        <v>28</v>
      </c>
      <c r="J628" s="11" t="s">
        <v>28</v>
      </c>
      <c r="K628" s="11" t="s">
        <v>28</v>
      </c>
      <c r="L628" s="11" t="s">
        <v>28</v>
      </c>
      <c r="M628" s="11" t="s">
        <v>28</v>
      </c>
      <c r="N628" s="8">
        <v>45428</v>
      </c>
      <c r="O628" s="9" t="s">
        <v>30</v>
      </c>
      <c r="P628" s="12" t="s">
        <v>2416</v>
      </c>
      <c r="Q628" s="9" t="s">
        <v>114</v>
      </c>
      <c r="R628" s="14" t="str">
        <f>HYPERLINK("https://my.pitchbook.com?c=277246-99T","View Company Online")</f>
        <v>View Company Online</v>
      </c>
    </row>
    <row r="629" spans="1:18" hidden="1" x14ac:dyDescent="0.3">
      <c r="A629" s="15" t="s">
        <v>2417</v>
      </c>
      <c r="B629" s="15" t="s">
        <v>2418</v>
      </c>
      <c r="C629" s="18" t="s">
        <v>28</v>
      </c>
      <c r="D629" s="15" t="s">
        <v>2419</v>
      </c>
      <c r="E629" s="18" t="s">
        <v>28</v>
      </c>
      <c r="F629" s="19" t="s">
        <v>28</v>
      </c>
      <c r="G629" s="19" t="s">
        <v>28</v>
      </c>
      <c r="H629" s="19" t="s">
        <v>28</v>
      </c>
      <c r="I629" s="18" t="s">
        <v>28</v>
      </c>
      <c r="J629" s="18" t="s">
        <v>28</v>
      </c>
      <c r="K629" s="18" t="s">
        <v>28</v>
      </c>
      <c r="L629" s="18" t="s">
        <v>28</v>
      </c>
      <c r="M629" s="18" t="s">
        <v>28</v>
      </c>
      <c r="N629" s="17">
        <v>45427</v>
      </c>
      <c r="O629" s="15" t="s">
        <v>41</v>
      </c>
      <c r="P629" s="16" t="s">
        <v>1616</v>
      </c>
      <c r="Q629" s="15" t="s">
        <v>37</v>
      </c>
      <c r="R629" s="13" t="str">
        <f>HYPERLINK("https://my.pitchbook.com?c=259527-25T","View Company Online")</f>
        <v>View Company Online</v>
      </c>
    </row>
    <row r="630" spans="1:18" hidden="1" x14ac:dyDescent="0.3">
      <c r="A630" s="9" t="s">
        <v>2420</v>
      </c>
      <c r="B630" s="9" t="s">
        <v>2421</v>
      </c>
      <c r="C630" s="11" t="s">
        <v>28</v>
      </c>
      <c r="D630" s="9" t="s">
        <v>2422</v>
      </c>
      <c r="E630" s="11" t="s">
        <v>28</v>
      </c>
      <c r="F630" s="10" t="s">
        <v>28</v>
      </c>
      <c r="G630" s="10">
        <v>88.2</v>
      </c>
      <c r="H630" s="10" t="s">
        <v>28</v>
      </c>
      <c r="I630" s="11" t="s">
        <v>28</v>
      </c>
      <c r="J630" s="11" t="s">
        <v>28</v>
      </c>
      <c r="K630" s="11">
        <v>22.4</v>
      </c>
      <c r="L630" s="11" t="s">
        <v>28</v>
      </c>
      <c r="M630" s="11" t="s">
        <v>28</v>
      </c>
      <c r="N630" s="8">
        <v>45427</v>
      </c>
      <c r="O630" s="9" t="s">
        <v>79</v>
      </c>
      <c r="P630" s="12" t="s">
        <v>2423</v>
      </c>
      <c r="Q630" s="9" t="s">
        <v>75</v>
      </c>
      <c r="R630" s="14" t="str">
        <f>HYPERLINK("https://my.pitchbook.com?c=259327-54T","View Company Online")</f>
        <v>View Company Online</v>
      </c>
    </row>
    <row r="631" spans="1:18" hidden="1" x14ac:dyDescent="0.3">
      <c r="A631" s="15" t="s">
        <v>2424</v>
      </c>
      <c r="B631" s="15" t="s">
        <v>2425</v>
      </c>
      <c r="C631" s="18" t="s">
        <v>28</v>
      </c>
      <c r="D631" s="15" t="s">
        <v>2426</v>
      </c>
      <c r="E631" s="18" t="s">
        <v>28</v>
      </c>
      <c r="F631" s="19" t="s">
        <v>28</v>
      </c>
      <c r="G631" s="19" t="s">
        <v>28</v>
      </c>
      <c r="H631" s="19" t="s">
        <v>28</v>
      </c>
      <c r="I631" s="18" t="s">
        <v>28</v>
      </c>
      <c r="J631" s="18" t="s">
        <v>28</v>
      </c>
      <c r="K631" s="18" t="s">
        <v>28</v>
      </c>
      <c r="L631" s="18" t="s">
        <v>28</v>
      </c>
      <c r="M631" s="18" t="s">
        <v>28</v>
      </c>
      <c r="N631" s="17">
        <v>45427</v>
      </c>
      <c r="O631" s="15" t="s">
        <v>173</v>
      </c>
      <c r="P631" s="16" t="s">
        <v>28</v>
      </c>
      <c r="Q631" s="15" t="s">
        <v>174</v>
      </c>
      <c r="R631" s="13" t="str">
        <f>HYPERLINK("https://my.pitchbook.com?c=280361-26T","View Company Online")</f>
        <v>View Company Online</v>
      </c>
    </row>
    <row r="632" spans="1:18" hidden="1" x14ac:dyDescent="0.3">
      <c r="A632" s="9" t="s">
        <v>2427</v>
      </c>
      <c r="B632" s="9" t="s">
        <v>2428</v>
      </c>
      <c r="C632" s="11" t="s">
        <v>28</v>
      </c>
      <c r="D632" s="9" t="s">
        <v>2429</v>
      </c>
      <c r="E632" s="11" t="s">
        <v>28</v>
      </c>
      <c r="F632" s="10" t="s">
        <v>28</v>
      </c>
      <c r="G632" s="10" t="s">
        <v>28</v>
      </c>
      <c r="H632" s="10" t="s">
        <v>28</v>
      </c>
      <c r="I632" s="11" t="s">
        <v>28</v>
      </c>
      <c r="J632" s="11" t="s">
        <v>28</v>
      </c>
      <c r="K632" s="11" t="s">
        <v>28</v>
      </c>
      <c r="L632" s="11" t="s">
        <v>28</v>
      </c>
      <c r="M632" s="11" t="s">
        <v>28</v>
      </c>
      <c r="N632" s="8">
        <v>45426</v>
      </c>
      <c r="O632" s="9" t="s">
        <v>79</v>
      </c>
      <c r="P632" s="12" t="s">
        <v>2430</v>
      </c>
      <c r="Q632" s="9" t="s">
        <v>37</v>
      </c>
      <c r="R632" s="14" t="str">
        <f>HYPERLINK("https://my.pitchbook.com?c=259374-34T","View Company Online")</f>
        <v>View Company Online</v>
      </c>
    </row>
    <row r="633" spans="1:18" hidden="1" x14ac:dyDescent="0.3">
      <c r="A633" s="15" t="s">
        <v>2431</v>
      </c>
      <c r="B633" s="15" t="s">
        <v>2432</v>
      </c>
      <c r="C633" s="18" t="s">
        <v>28</v>
      </c>
      <c r="D633" s="15" t="s">
        <v>2433</v>
      </c>
      <c r="E633" s="18" t="s">
        <v>28</v>
      </c>
      <c r="F633" s="19" t="s">
        <v>28</v>
      </c>
      <c r="G633" s="19" t="s">
        <v>28</v>
      </c>
      <c r="H633" s="19" t="s">
        <v>28</v>
      </c>
      <c r="I633" s="18" t="s">
        <v>28</v>
      </c>
      <c r="J633" s="18" t="s">
        <v>28</v>
      </c>
      <c r="K633" s="18" t="s">
        <v>28</v>
      </c>
      <c r="L633" s="18" t="s">
        <v>28</v>
      </c>
      <c r="M633" s="18" t="s">
        <v>28</v>
      </c>
      <c r="N633" s="17">
        <v>45426</v>
      </c>
      <c r="O633" s="15" t="s">
        <v>52</v>
      </c>
      <c r="P633" s="16" t="s">
        <v>2434</v>
      </c>
      <c r="Q633" s="15" t="s">
        <v>75</v>
      </c>
      <c r="R633" s="13" t="str">
        <f>HYPERLINK("https://my.pitchbook.com?c=300673-90T","View Company Online")</f>
        <v>View Company Online</v>
      </c>
    </row>
    <row r="634" spans="1:18" hidden="1" x14ac:dyDescent="0.3">
      <c r="A634" s="9" t="s">
        <v>2435</v>
      </c>
      <c r="B634" s="9" t="s">
        <v>2436</v>
      </c>
      <c r="C634" s="11" t="s">
        <v>28</v>
      </c>
      <c r="D634" s="9" t="s">
        <v>2437</v>
      </c>
      <c r="E634" s="11" t="s">
        <v>28</v>
      </c>
      <c r="F634" s="10" t="s">
        <v>28</v>
      </c>
      <c r="G634" s="10" t="s">
        <v>28</v>
      </c>
      <c r="H634" s="10" t="s">
        <v>28</v>
      </c>
      <c r="I634" s="11" t="s">
        <v>28</v>
      </c>
      <c r="J634" s="11" t="s">
        <v>28</v>
      </c>
      <c r="K634" s="11" t="s">
        <v>28</v>
      </c>
      <c r="L634" s="11" t="s">
        <v>28</v>
      </c>
      <c r="M634" s="11" t="s">
        <v>28</v>
      </c>
      <c r="N634" s="8">
        <v>45426</v>
      </c>
      <c r="O634" s="9" t="s">
        <v>79</v>
      </c>
      <c r="P634" s="12" t="s">
        <v>2438</v>
      </c>
      <c r="Q634" s="9" t="s">
        <v>404</v>
      </c>
      <c r="R634" s="14" t="str">
        <f>HYPERLINK("https://my.pitchbook.com?c=298645-75T","View Company Online")</f>
        <v>View Company Online</v>
      </c>
    </row>
    <row r="635" spans="1:18" hidden="1" x14ac:dyDescent="0.3">
      <c r="A635" s="15" t="s">
        <v>2439</v>
      </c>
      <c r="B635" s="15" t="s">
        <v>2440</v>
      </c>
      <c r="C635" s="18" t="s">
        <v>28</v>
      </c>
      <c r="D635" s="15" t="s">
        <v>2441</v>
      </c>
      <c r="E635" s="18" t="s">
        <v>28</v>
      </c>
      <c r="F635" s="19" t="s">
        <v>28</v>
      </c>
      <c r="G635" s="19" t="s">
        <v>28</v>
      </c>
      <c r="H635" s="19" t="s">
        <v>28</v>
      </c>
      <c r="I635" s="18" t="s">
        <v>28</v>
      </c>
      <c r="J635" s="18" t="s">
        <v>28</v>
      </c>
      <c r="K635" s="18" t="s">
        <v>28</v>
      </c>
      <c r="L635" s="18" t="s">
        <v>28</v>
      </c>
      <c r="M635" s="18" t="s">
        <v>28</v>
      </c>
      <c r="N635" s="17">
        <v>45426</v>
      </c>
      <c r="O635" s="15" t="s">
        <v>52</v>
      </c>
      <c r="P635" s="16" t="s">
        <v>2442</v>
      </c>
      <c r="Q635" s="15" t="s">
        <v>75</v>
      </c>
      <c r="R635" s="13" t="str">
        <f>HYPERLINK("https://my.pitchbook.com?c=266740-12T","View Company Online")</f>
        <v>View Company Online</v>
      </c>
    </row>
    <row r="636" spans="1:18" hidden="1" x14ac:dyDescent="0.3">
      <c r="A636" s="9" t="s">
        <v>2443</v>
      </c>
      <c r="B636" s="9" t="s">
        <v>2444</v>
      </c>
      <c r="C636" s="11" t="s">
        <v>28</v>
      </c>
      <c r="D636" s="9" t="s">
        <v>2445</v>
      </c>
      <c r="E636" s="11" t="s">
        <v>28</v>
      </c>
      <c r="F636" s="10" t="s">
        <v>28</v>
      </c>
      <c r="G636" s="10">
        <v>12.6</v>
      </c>
      <c r="H636" s="10" t="s">
        <v>28</v>
      </c>
      <c r="I636" s="11" t="s">
        <v>28</v>
      </c>
      <c r="J636" s="11" t="s">
        <v>28</v>
      </c>
      <c r="K636" s="11" t="s">
        <v>28</v>
      </c>
      <c r="L636" s="11" t="s">
        <v>28</v>
      </c>
      <c r="M636" s="11" t="s">
        <v>28</v>
      </c>
      <c r="N636" s="8">
        <v>45426</v>
      </c>
      <c r="O636" s="9" t="s">
        <v>73</v>
      </c>
      <c r="P636" s="12" t="s">
        <v>2446</v>
      </c>
      <c r="Q636" s="9" t="s">
        <v>37</v>
      </c>
      <c r="R636" s="14" t="str">
        <f>HYPERLINK("https://my.pitchbook.com?c=258294-07T","View Company Online")</f>
        <v>View Company Online</v>
      </c>
    </row>
    <row r="637" spans="1:18" hidden="1" x14ac:dyDescent="0.3">
      <c r="A637" s="15" t="s">
        <v>2447</v>
      </c>
      <c r="B637" s="15" t="s">
        <v>2448</v>
      </c>
      <c r="C637" s="18" t="s">
        <v>28</v>
      </c>
      <c r="D637" s="15" t="s">
        <v>2449</v>
      </c>
      <c r="E637" s="18" t="s">
        <v>28</v>
      </c>
      <c r="F637" s="19" t="s">
        <v>28</v>
      </c>
      <c r="G637" s="19" t="s">
        <v>28</v>
      </c>
      <c r="H637" s="19" t="s">
        <v>28</v>
      </c>
      <c r="I637" s="18" t="s">
        <v>28</v>
      </c>
      <c r="J637" s="18" t="s">
        <v>28</v>
      </c>
      <c r="K637" s="18" t="s">
        <v>28</v>
      </c>
      <c r="L637" s="18" t="s">
        <v>28</v>
      </c>
      <c r="M637" s="18" t="s">
        <v>28</v>
      </c>
      <c r="N637" s="17">
        <v>45425</v>
      </c>
      <c r="O637" s="15" t="s">
        <v>73</v>
      </c>
      <c r="P637" s="16" t="s">
        <v>2450</v>
      </c>
      <c r="Q637" s="15" t="s">
        <v>75</v>
      </c>
      <c r="R637" s="13" t="str">
        <f>HYPERLINK("https://my.pitchbook.com?c=259389-73T","View Company Online")</f>
        <v>View Company Online</v>
      </c>
    </row>
    <row r="638" spans="1:18" hidden="1" x14ac:dyDescent="0.3">
      <c r="A638" s="9" t="s">
        <v>2451</v>
      </c>
      <c r="B638" s="9" t="s">
        <v>2452</v>
      </c>
      <c r="C638" s="11" t="s">
        <v>28</v>
      </c>
      <c r="D638" s="9" t="s">
        <v>2453</v>
      </c>
      <c r="E638" s="11" t="s">
        <v>28</v>
      </c>
      <c r="F638" s="10" t="s">
        <v>28</v>
      </c>
      <c r="G638" s="10">
        <v>11</v>
      </c>
      <c r="H638" s="10" t="s">
        <v>28</v>
      </c>
      <c r="I638" s="11" t="s">
        <v>28</v>
      </c>
      <c r="J638" s="11" t="s">
        <v>28</v>
      </c>
      <c r="K638" s="11" t="s">
        <v>28</v>
      </c>
      <c r="L638" s="11" t="s">
        <v>28</v>
      </c>
      <c r="M638" s="11" t="s">
        <v>28</v>
      </c>
      <c r="N638" s="8">
        <v>45425</v>
      </c>
      <c r="O638" s="9" t="s">
        <v>99</v>
      </c>
      <c r="P638" s="12" t="s">
        <v>2454</v>
      </c>
      <c r="Q638" s="9" t="s">
        <v>692</v>
      </c>
      <c r="R638" s="14" t="str">
        <f>HYPERLINK("https://my.pitchbook.com?c=247365-64T","View Company Online")</f>
        <v>View Company Online</v>
      </c>
    </row>
    <row r="639" spans="1:18" hidden="1" x14ac:dyDescent="0.3">
      <c r="A639" s="15" t="s">
        <v>2455</v>
      </c>
      <c r="B639" s="15" t="s">
        <v>2456</v>
      </c>
      <c r="C639" s="18" t="s">
        <v>28</v>
      </c>
      <c r="D639" s="15" t="s">
        <v>2457</v>
      </c>
      <c r="E639" s="18" t="s">
        <v>28</v>
      </c>
      <c r="F639" s="19" t="s">
        <v>28</v>
      </c>
      <c r="G639" s="19" t="s">
        <v>28</v>
      </c>
      <c r="H639" s="19" t="s">
        <v>28</v>
      </c>
      <c r="I639" s="18" t="s">
        <v>28</v>
      </c>
      <c r="J639" s="18" t="s">
        <v>28</v>
      </c>
      <c r="K639" s="18" t="s">
        <v>28</v>
      </c>
      <c r="L639" s="18" t="s">
        <v>28</v>
      </c>
      <c r="M639" s="18" t="s">
        <v>28</v>
      </c>
      <c r="N639" s="17">
        <v>45425</v>
      </c>
      <c r="O639" s="15" t="s">
        <v>41</v>
      </c>
      <c r="P639" s="16" t="s">
        <v>2357</v>
      </c>
      <c r="Q639" s="15" t="s">
        <v>240</v>
      </c>
      <c r="R639" s="13" t="str">
        <f>HYPERLINK("https://my.pitchbook.com?c=259252-66T","View Company Online")</f>
        <v>View Company Online</v>
      </c>
    </row>
    <row r="640" spans="1:18" hidden="1" x14ac:dyDescent="0.3">
      <c r="A640" s="9" t="s">
        <v>2458</v>
      </c>
      <c r="B640" s="9" t="s">
        <v>2459</v>
      </c>
      <c r="C640" s="11" t="s">
        <v>28</v>
      </c>
      <c r="D640" s="9" t="s">
        <v>2460</v>
      </c>
      <c r="E640" s="11" t="s">
        <v>28</v>
      </c>
      <c r="F640" s="10" t="s">
        <v>28</v>
      </c>
      <c r="G640" s="10" t="s">
        <v>28</v>
      </c>
      <c r="H640" s="10" t="s">
        <v>28</v>
      </c>
      <c r="I640" s="11" t="s">
        <v>28</v>
      </c>
      <c r="J640" s="11" t="s">
        <v>28</v>
      </c>
      <c r="K640" s="11">
        <v>0.28000000000000003</v>
      </c>
      <c r="L640" s="11" t="s">
        <v>28</v>
      </c>
      <c r="M640" s="11">
        <v>0.08</v>
      </c>
      <c r="N640" s="8">
        <v>45425</v>
      </c>
      <c r="O640" s="9" t="s">
        <v>173</v>
      </c>
      <c r="P640" s="12" t="s">
        <v>28</v>
      </c>
      <c r="Q640" s="9" t="s">
        <v>174</v>
      </c>
      <c r="R640" s="14" t="str">
        <f>HYPERLINK("https://my.pitchbook.com?c=259489-99T","View Company Online")</f>
        <v>View Company Online</v>
      </c>
    </row>
    <row r="641" spans="1:18" hidden="1" x14ac:dyDescent="0.3">
      <c r="A641" s="15" t="s">
        <v>2461</v>
      </c>
      <c r="B641" s="15" t="s">
        <v>2462</v>
      </c>
      <c r="C641" s="18" t="s">
        <v>28</v>
      </c>
      <c r="D641" s="15" t="s">
        <v>2463</v>
      </c>
      <c r="E641" s="18" t="s">
        <v>28</v>
      </c>
      <c r="F641" s="19" t="s">
        <v>28</v>
      </c>
      <c r="G641" s="19" t="s">
        <v>28</v>
      </c>
      <c r="H641" s="19" t="s">
        <v>28</v>
      </c>
      <c r="I641" s="18" t="s">
        <v>28</v>
      </c>
      <c r="J641" s="18" t="s">
        <v>28</v>
      </c>
      <c r="K641" s="18" t="s">
        <v>28</v>
      </c>
      <c r="L641" s="18" t="s">
        <v>28</v>
      </c>
      <c r="M641" s="18" t="s">
        <v>28</v>
      </c>
      <c r="N641" s="17">
        <v>45425</v>
      </c>
      <c r="O641" s="15" t="s">
        <v>41</v>
      </c>
      <c r="P641" s="16" t="s">
        <v>2464</v>
      </c>
      <c r="Q641" s="15" t="s">
        <v>692</v>
      </c>
      <c r="R641" s="13" t="str">
        <f>HYPERLINK("https://my.pitchbook.com?c=294468-76T","View Company Online")</f>
        <v>View Company Online</v>
      </c>
    </row>
    <row r="642" spans="1:18" hidden="1" x14ac:dyDescent="0.3">
      <c r="A642" s="9" t="s">
        <v>2465</v>
      </c>
      <c r="B642" s="9" t="s">
        <v>2466</v>
      </c>
      <c r="C642" s="11" t="s">
        <v>28</v>
      </c>
      <c r="D642" s="9" t="s">
        <v>2467</v>
      </c>
      <c r="E642" s="11" t="s">
        <v>28</v>
      </c>
      <c r="F642" s="10" t="s">
        <v>28</v>
      </c>
      <c r="G642" s="10" t="s">
        <v>28</v>
      </c>
      <c r="H642" s="10" t="s">
        <v>28</v>
      </c>
      <c r="I642" s="11" t="s">
        <v>28</v>
      </c>
      <c r="J642" s="11" t="s">
        <v>28</v>
      </c>
      <c r="K642" s="11" t="s">
        <v>28</v>
      </c>
      <c r="L642" s="11" t="s">
        <v>28</v>
      </c>
      <c r="M642" s="11" t="s">
        <v>28</v>
      </c>
      <c r="N642" s="8">
        <v>45422</v>
      </c>
      <c r="O642" s="9" t="s">
        <v>52</v>
      </c>
      <c r="P642" s="12" t="s">
        <v>2468</v>
      </c>
      <c r="Q642" s="9" t="s">
        <v>75</v>
      </c>
      <c r="R642" s="14" t="str">
        <f>HYPERLINK("https://my.pitchbook.com?c=282492-73T","View Company Online")</f>
        <v>View Company Online</v>
      </c>
    </row>
    <row r="643" spans="1:18" hidden="1" x14ac:dyDescent="0.3">
      <c r="A643" s="15" t="s">
        <v>2469</v>
      </c>
      <c r="B643" s="15" t="s">
        <v>2470</v>
      </c>
      <c r="C643" s="18" t="s">
        <v>28</v>
      </c>
      <c r="D643" s="15" t="s">
        <v>2471</v>
      </c>
      <c r="E643" s="18" t="s">
        <v>28</v>
      </c>
      <c r="F643" s="19" t="s">
        <v>28</v>
      </c>
      <c r="G643" s="19" t="s">
        <v>28</v>
      </c>
      <c r="H643" s="19" t="s">
        <v>28</v>
      </c>
      <c r="I643" s="18" t="s">
        <v>28</v>
      </c>
      <c r="J643" s="18" t="s">
        <v>28</v>
      </c>
      <c r="K643" s="18" t="s">
        <v>28</v>
      </c>
      <c r="L643" s="18" t="s">
        <v>28</v>
      </c>
      <c r="M643" s="18" t="s">
        <v>28</v>
      </c>
      <c r="N643" s="17">
        <v>45421</v>
      </c>
      <c r="O643" s="15" t="s">
        <v>173</v>
      </c>
      <c r="P643" s="16" t="s">
        <v>28</v>
      </c>
      <c r="Q643" s="15" t="s">
        <v>174</v>
      </c>
      <c r="R643" s="13" t="str">
        <f>HYPERLINK("https://my.pitchbook.com?c=259191-64T","View Company Online")</f>
        <v>View Company Online</v>
      </c>
    </row>
    <row r="644" spans="1:18" hidden="1" x14ac:dyDescent="0.3">
      <c r="A644" s="9" t="s">
        <v>2472</v>
      </c>
      <c r="B644" s="9" t="s">
        <v>2473</v>
      </c>
      <c r="C644" s="11" t="s">
        <v>28</v>
      </c>
      <c r="D644" s="9" t="s">
        <v>2474</v>
      </c>
      <c r="E644" s="11" t="s">
        <v>28</v>
      </c>
      <c r="F644" s="10" t="s">
        <v>28</v>
      </c>
      <c r="G644" s="10" t="s">
        <v>28</v>
      </c>
      <c r="H644" s="10" t="s">
        <v>28</v>
      </c>
      <c r="I644" s="11" t="s">
        <v>28</v>
      </c>
      <c r="J644" s="11" t="s">
        <v>28</v>
      </c>
      <c r="K644" s="11" t="s">
        <v>28</v>
      </c>
      <c r="L644" s="11" t="s">
        <v>28</v>
      </c>
      <c r="M644" s="11" t="s">
        <v>28</v>
      </c>
      <c r="N644" s="8">
        <v>45421</v>
      </c>
      <c r="O644" s="9" t="s">
        <v>79</v>
      </c>
      <c r="P644" s="12" t="s">
        <v>611</v>
      </c>
      <c r="Q644" s="9" t="s">
        <v>75</v>
      </c>
      <c r="R644" s="14" t="str">
        <f>HYPERLINK("https://my.pitchbook.com?c=269782-30T","View Company Online")</f>
        <v>View Company Online</v>
      </c>
    </row>
    <row r="645" spans="1:18" hidden="1" x14ac:dyDescent="0.3">
      <c r="A645" s="15" t="s">
        <v>2475</v>
      </c>
      <c r="B645" s="15" t="s">
        <v>2476</v>
      </c>
      <c r="C645" s="18" t="s">
        <v>28</v>
      </c>
      <c r="D645" s="15" t="s">
        <v>2477</v>
      </c>
      <c r="E645" s="18" t="s">
        <v>28</v>
      </c>
      <c r="F645" s="19">
        <v>16.5</v>
      </c>
      <c r="G645" s="19">
        <v>16.5</v>
      </c>
      <c r="H645" s="19">
        <v>16.5</v>
      </c>
      <c r="I645" s="18" t="s">
        <v>28</v>
      </c>
      <c r="J645" s="18" t="s">
        <v>28</v>
      </c>
      <c r="K645" s="18" t="s">
        <v>28</v>
      </c>
      <c r="L645" s="18" t="s">
        <v>28</v>
      </c>
      <c r="M645" s="18" t="s">
        <v>28</v>
      </c>
      <c r="N645" s="17">
        <v>45420</v>
      </c>
      <c r="O645" s="15" t="s">
        <v>30</v>
      </c>
      <c r="P645" s="16" t="s">
        <v>2478</v>
      </c>
      <c r="Q645" s="15" t="s">
        <v>85</v>
      </c>
      <c r="R645" s="13" t="str">
        <f>HYPERLINK("https://my.pitchbook.com?c=260445-61T","View Company Online")</f>
        <v>View Company Online</v>
      </c>
    </row>
    <row r="646" spans="1:18" hidden="1" x14ac:dyDescent="0.3">
      <c r="A646" s="9" t="s">
        <v>2479</v>
      </c>
      <c r="B646" s="9" t="s">
        <v>2480</v>
      </c>
      <c r="C646" s="11" t="s">
        <v>28</v>
      </c>
      <c r="D646" s="9" t="s">
        <v>2481</v>
      </c>
      <c r="E646" s="11" t="s">
        <v>28</v>
      </c>
      <c r="F646" s="10">
        <v>100</v>
      </c>
      <c r="G646" s="10">
        <v>100</v>
      </c>
      <c r="H646" s="10">
        <v>100</v>
      </c>
      <c r="I646" s="11" t="s">
        <v>28</v>
      </c>
      <c r="J646" s="11" t="s">
        <v>28</v>
      </c>
      <c r="K646" s="11" t="s">
        <v>28</v>
      </c>
      <c r="L646" s="11" t="s">
        <v>28</v>
      </c>
      <c r="M646" s="11" t="s">
        <v>28</v>
      </c>
      <c r="N646" s="8">
        <v>45420</v>
      </c>
      <c r="O646" s="9" t="s">
        <v>30</v>
      </c>
      <c r="P646" s="12" t="s">
        <v>2482</v>
      </c>
      <c r="Q646" s="9" t="s">
        <v>95</v>
      </c>
      <c r="R646" s="14" t="str">
        <f>HYPERLINK("https://my.pitchbook.com?c=259187-95T","View Company Online")</f>
        <v>View Company Online</v>
      </c>
    </row>
    <row r="647" spans="1:18" hidden="1" x14ac:dyDescent="0.3">
      <c r="A647" s="15" t="s">
        <v>2483</v>
      </c>
      <c r="B647" s="15" t="s">
        <v>2484</v>
      </c>
      <c r="C647" s="18" t="s">
        <v>28</v>
      </c>
      <c r="D647" s="15" t="s">
        <v>2485</v>
      </c>
      <c r="E647" s="18" t="s">
        <v>28</v>
      </c>
      <c r="F647" s="19" t="s">
        <v>28</v>
      </c>
      <c r="G647" s="19">
        <v>0.82</v>
      </c>
      <c r="H647" s="19" t="s">
        <v>28</v>
      </c>
      <c r="I647" s="18" t="s">
        <v>28</v>
      </c>
      <c r="J647" s="18" t="s">
        <v>28</v>
      </c>
      <c r="K647" s="18" t="s">
        <v>28</v>
      </c>
      <c r="L647" s="18" t="s">
        <v>28</v>
      </c>
      <c r="M647" s="18" t="s">
        <v>28</v>
      </c>
      <c r="N647" s="17">
        <v>45420</v>
      </c>
      <c r="O647" s="15" t="s">
        <v>73</v>
      </c>
      <c r="P647" s="16" t="s">
        <v>2486</v>
      </c>
      <c r="Q647" s="15" t="s">
        <v>75</v>
      </c>
      <c r="R647" s="13" t="str">
        <f>HYPERLINK("https://my.pitchbook.com?c=215276-95T","View Company Online")</f>
        <v>View Company Online</v>
      </c>
    </row>
    <row r="648" spans="1:18" hidden="1" x14ac:dyDescent="0.3">
      <c r="A648" s="9" t="s">
        <v>2487</v>
      </c>
      <c r="B648" s="9" t="s">
        <v>2488</v>
      </c>
      <c r="C648" s="11" t="s">
        <v>28</v>
      </c>
      <c r="D648" s="9" t="s">
        <v>2489</v>
      </c>
      <c r="E648" s="11" t="s">
        <v>28</v>
      </c>
      <c r="F648" s="10">
        <v>280</v>
      </c>
      <c r="G648" s="10">
        <v>280</v>
      </c>
      <c r="H648" s="10">
        <v>280</v>
      </c>
      <c r="I648" s="11" t="s">
        <v>28</v>
      </c>
      <c r="J648" s="11" t="s">
        <v>28</v>
      </c>
      <c r="K648" s="11" t="s">
        <v>28</v>
      </c>
      <c r="L648" s="11" t="s">
        <v>28</v>
      </c>
      <c r="M648" s="11" t="s">
        <v>28</v>
      </c>
      <c r="N648" s="8">
        <v>45420</v>
      </c>
      <c r="O648" s="9" t="s">
        <v>30</v>
      </c>
      <c r="P648" s="12" t="s">
        <v>2041</v>
      </c>
      <c r="Q648" s="9" t="s">
        <v>1982</v>
      </c>
      <c r="R648" s="14" t="str">
        <f>HYPERLINK("https://my.pitchbook.com?c=254097-28T","View Company Online")</f>
        <v>View Company Online</v>
      </c>
    </row>
    <row r="649" spans="1:18" hidden="1" x14ac:dyDescent="0.3">
      <c r="A649" s="15" t="s">
        <v>2490</v>
      </c>
      <c r="B649" s="15" t="s">
        <v>2491</v>
      </c>
      <c r="C649" s="18" t="s">
        <v>28</v>
      </c>
      <c r="D649" s="15" t="s">
        <v>2492</v>
      </c>
      <c r="E649" s="18" t="s">
        <v>28</v>
      </c>
      <c r="F649" s="19" t="s">
        <v>28</v>
      </c>
      <c r="G649" s="19" t="s">
        <v>28</v>
      </c>
      <c r="H649" s="19" t="s">
        <v>28</v>
      </c>
      <c r="I649" s="18" t="s">
        <v>28</v>
      </c>
      <c r="J649" s="18" t="s">
        <v>28</v>
      </c>
      <c r="K649" s="18" t="s">
        <v>28</v>
      </c>
      <c r="L649" s="18" t="s">
        <v>28</v>
      </c>
      <c r="M649" s="18" t="s">
        <v>28</v>
      </c>
      <c r="N649" s="17">
        <v>45419</v>
      </c>
      <c r="O649" s="15" t="s">
        <v>52</v>
      </c>
      <c r="P649" s="16" t="s">
        <v>2493</v>
      </c>
      <c r="Q649" s="15" t="s">
        <v>75</v>
      </c>
      <c r="R649" s="13" t="str">
        <f>HYPERLINK("https://my.pitchbook.com?c=277507-36T","View Company Online")</f>
        <v>View Company Online</v>
      </c>
    </row>
    <row r="650" spans="1:18" hidden="1" x14ac:dyDescent="0.3">
      <c r="A650" s="9" t="s">
        <v>2494</v>
      </c>
      <c r="B650" s="9" t="s">
        <v>2495</v>
      </c>
      <c r="C650" s="11" t="s">
        <v>28</v>
      </c>
      <c r="D650" s="9" t="s">
        <v>2496</v>
      </c>
      <c r="E650" s="11" t="s">
        <v>28</v>
      </c>
      <c r="F650" s="10" t="s">
        <v>28</v>
      </c>
      <c r="G650" s="10" t="s">
        <v>28</v>
      </c>
      <c r="H650" s="10" t="s">
        <v>28</v>
      </c>
      <c r="I650" s="11" t="s">
        <v>28</v>
      </c>
      <c r="J650" s="11" t="s">
        <v>28</v>
      </c>
      <c r="K650" s="11" t="s">
        <v>28</v>
      </c>
      <c r="L650" s="11" t="s">
        <v>28</v>
      </c>
      <c r="M650" s="11" t="s">
        <v>28</v>
      </c>
      <c r="N650" s="8">
        <v>45419</v>
      </c>
      <c r="O650" s="9" t="s">
        <v>173</v>
      </c>
      <c r="P650" s="12" t="s">
        <v>28</v>
      </c>
      <c r="Q650" s="9" t="s">
        <v>240</v>
      </c>
      <c r="R650" s="14" t="str">
        <f>HYPERLINK("https://my.pitchbook.com?c=270793-18T","View Company Online")</f>
        <v>View Company Online</v>
      </c>
    </row>
    <row r="651" spans="1:18" hidden="1" x14ac:dyDescent="0.3">
      <c r="A651" s="15" t="s">
        <v>2497</v>
      </c>
      <c r="B651" s="15" t="s">
        <v>1260</v>
      </c>
      <c r="C651" s="18" t="s">
        <v>28</v>
      </c>
      <c r="D651" s="15" t="s">
        <v>1261</v>
      </c>
      <c r="E651" s="18" t="s">
        <v>28</v>
      </c>
      <c r="F651" s="19" t="s">
        <v>28</v>
      </c>
      <c r="G651" s="19" t="s">
        <v>28</v>
      </c>
      <c r="H651" s="19" t="s">
        <v>28</v>
      </c>
      <c r="I651" s="18" t="s">
        <v>28</v>
      </c>
      <c r="J651" s="18" t="s">
        <v>28</v>
      </c>
      <c r="K651" s="18">
        <v>60.02</v>
      </c>
      <c r="L651" s="18" t="s">
        <v>28</v>
      </c>
      <c r="M651" s="18" t="s">
        <v>28</v>
      </c>
      <c r="N651" s="17">
        <v>45419</v>
      </c>
      <c r="O651" s="15" t="s">
        <v>52</v>
      </c>
      <c r="P651" s="16" t="s">
        <v>2498</v>
      </c>
      <c r="Q651" s="15" t="s">
        <v>1263</v>
      </c>
      <c r="R651" s="13" t="str">
        <f>HYPERLINK("https://my.pitchbook.com?c=264243-70T","View Company Online")</f>
        <v>View Company Online</v>
      </c>
    </row>
    <row r="652" spans="1:18" hidden="1" x14ac:dyDescent="0.3">
      <c r="A652" s="9" t="s">
        <v>2499</v>
      </c>
      <c r="B652" s="9" t="s">
        <v>2500</v>
      </c>
      <c r="C652" s="11" t="s">
        <v>28</v>
      </c>
      <c r="D652" s="9" t="s">
        <v>2501</v>
      </c>
      <c r="E652" s="11" t="s">
        <v>28</v>
      </c>
      <c r="F652" s="10" t="s">
        <v>28</v>
      </c>
      <c r="G652" s="10" t="s">
        <v>28</v>
      </c>
      <c r="H652" s="10" t="s">
        <v>28</v>
      </c>
      <c r="I652" s="11" t="s">
        <v>28</v>
      </c>
      <c r="J652" s="11" t="s">
        <v>28</v>
      </c>
      <c r="K652" s="11" t="s">
        <v>28</v>
      </c>
      <c r="L652" s="11" t="s">
        <v>28</v>
      </c>
      <c r="M652" s="11" t="s">
        <v>28</v>
      </c>
      <c r="N652" s="8">
        <v>45419</v>
      </c>
      <c r="O652" s="9" t="s">
        <v>52</v>
      </c>
      <c r="P652" s="12" t="s">
        <v>2493</v>
      </c>
      <c r="Q652" s="9" t="s">
        <v>105</v>
      </c>
      <c r="R652" s="14" t="str">
        <f>HYPERLINK("https://my.pitchbook.com?c=277500-88T","View Company Online")</f>
        <v>View Company Online</v>
      </c>
    </row>
    <row r="653" spans="1:18" hidden="1" x14ac:dyDescent="0.3">
      <c r="A653" s="15" t="s">
        <v>2502</v>
      </c>
      <c r="B653" s="15" t="s">
        <v>2503</v>
      </c>
      <c r="C653" s="18" t="s">
        <v>28</v>
      </c>
      <c r="D653" s="15" t="s">
        <v>2504</v>
      </c>
      <c r="E653" s="18" t="s">
        <v>28</v>
      </c>
      <c r="F653" s="19" t="s">
        <v>28</v>
      </c>
      <c r="G653" s="19" t="s">
        <v>28</v>
      </c>
      <c r="H653" s="19" t="s">
        <v>28</v>
      </c>
      <c r="I653" s="18" t="s">
        <v>28</v>
      </c>
      <c r="J653" s="18" t="s">
        <v>28</v>
      </c>
      <c r="K653" s="18" t="s">
        <v>28</v>
      </c>
      <c r="L653" s="18" t="s">
        <v>28</v>
      </c>
      <c r="M653" s="18" t="s">
        <v>28</v>
      </c>
      <c r="N653" s="17">
        <v>45419</v>
      </c>
      <c r="O653" s="15" t="s">
        <v>52</v>
      </c>
      <c r="P653" s="16" t="s">
        <v>2493</v>
      </c>
      <c r="Q653" s="15" t="s">
        <v>75</v>
      </c>
      <c r="R653" s="13" t="str">
        <f>HYPERLINK("https://my.pitchbook.com?c=277400-89T","View Company Online")</f>
        <v>View Company Online</v>
      </c>
    </row>
    <row r="654" spans="1:18" hidden="1" x14ac:dyDescent="0.3">
      <c r="A654" s="9" t="s">
        <v>2505</v>
      </c>
      <c r="B654" s="9" t="s">
        <v>2506</v>
      </c>
      <c r="C654" s="11" t="s">
        <v>28</v>
      </c>
      <c r="D654" s="9" t="s">
        <v>2507</v>
      </c>
      <c r="E654" s="11" t="s">
        <v>28</v>
      </c>
      <c r="F654" s="10" t="s">
        <v>28</v>
      </c>
      <c r="G654" s="10">
        <v>1.5</v>
      </c>
      <c r="H654" s="10" t="s">
        <v>28</v>
      </c>
      <c r="I654" s="11" t="s">
        <v>28</v>
      </c>
      <c r="J654" s="11" t="s">
        <v>28</v>
      </c>
      <c r="K654" s="11" t="s">
        <v>28</v>
      </c>
      <c r="L654" s="11" t="s">
        <v>28</v>
      </c>
      <c r="M654" s="11" t="s">
        <v>28</v>
      </c>
      <c r="N654" s="8">
        <v>45419</v>
      </c>
      <c r="O654" s="9" t="s">
        <v>379</v>
      </c>
      <c r="P654" s="12" t="s">
        <v>28</v>
      </c>
      <c r="Q654" s="9" t="s">
        <v>37</v>
      </c>
      <c r="R654" s="14" t="str">
        <f>HYPERLINK("https://my.pitchbook.com?c=258690-79T","View Company Online")</f>
        <v>View Company Online</v>
      </c>
    </row>
    <row r="655" spans="1:18" hidden="1" x14ac:dyDescent="0.3">
      <c r="A655" s="15" t="s">
        <v>2508</v>
      </c>
      <c r="B655" s="15" t="s">
        <v>2509</v>
      </c>
      <c r="C655" s="18" t="s">
        <v>28</v>
      </c>
      <c r="D655" s="15" t="s">
        <v>2510</v>
      </c>
      <c r="E655" s="18" t="s">
        <v>28</v>
      </c>
      <c r="F655" s="19" t="s">
        <v>28</v>
      </c>
      <c r="G655" s="19" t="s">
        <v>28</v>
      </c>
      <c r="H655" s="19" t="s">
        <v>28</v>
      </c>
      <c r="I655" s="18" t="s">
        <v>28</v>
      </c>
      <c r="J655" s="18" t="s">
        <v>28</v>
      </c>
      <c r="K655" s="18" t="s">
        <v>28</v>
      </c>
      <c r="L655" s="18" t="s">
        <v>28</v>
      </c>
      <c r="M655" s="18" t="s">
        <v>28</v>
      </c>
      <c r="N655" s="17">
        <v>45419</v>
      </c>
      <c r="O655" s="15" t="s">
        <v>30</v>
      </c>
      <c r="P655" s="16" t="s">
        <v>2511</v>
      </c>
      <c r="Q655" s="15" t="s">
        <v>740</v>
      </c>
      <c r="R655" s="13" t="str">
        <f>HYPERLINK("https://my.pitchbook.com?c=258784-66T","View Company Online")</f>
        <v>View Company Online</v>
      </c>
    </row>
    <row r="656" spans="1:18" hidden="1" x14ac:dyDescent="0.3">
      <c r="A656" s="9" t="s">
        <v>2512</v>
      </c>
      <c r="B656" s="9" t="s">
        <v>2513</v>
      </c>
      <c r="C656" s="11" t="s">
        <v>28</v>
      </c>
      <c r="D656" s="9" t="s">
        <v>2514</v>
      </c>
      <c r="E656" s="11" t="s">
        <v>28</v>
      </c>
      <c r="F656" s="10" t="s">
        <v>28</v>
      </c>
      <c r="G656" s="10" t="s">
        <v>28</v>
      </c>
      <c r="H656" s="10" t="s">
        <v>28</v>
      </c>
      <c r="I656" s="11" t="s">
        <v>28</v>
      </c>
      <c r="J656" s="11" t="s">
        <v>28</v>
      </c>
      <c r="K656" s="11" t="s">
        <v>28</v>
      </c>
      <c r="L656" s="11" t="s">
        <v>28</v>
      </c>
      <c r="M656" s="11" t="s">
        <v>28</v>
      </c>
      <c r="N656" s="8">
        <v>45419</v>
      </c>
      <c r="O656" s="9" t="s">
        <v>52</v>
      </c>
      <c r="P656" s="12" t="s">
        <v>2493</v>
      </c>
      <c r="Q656" s="9" t="s">
        <v>75</v>
      </c>
      <c r="R656" s="14" t="str">
        <f>HYPERLINK("https://my.pitchbook.com?c=284680-54T","View Company Online")</f>
        <v>View Company Online</v>
      </c>
    </row>
    <row r="657" spans="1:18" hidden="1" x14ac:dyDescent="0.3">
      <c r="A657" s="15" t="s">
        <v>2515</v>
      </c>
      <c r="B657" s="15" t="s">
        <v>2516</v>
      </c>
      <c r="C657" s="18" t="s">
        <v>28</v>
      </c>
      <c r="D657" s="15" t="s">
        <v>2517</v>
      </c>
      <c r="E657" s="18" t="s">
        <v>28</v>
      </c>
      <c r="F657" s="19" t="s">
        <v>28</v>
      </c>
      <c r="G657" s="19" t="s">
        <v>28</v>
      </c>
      <c r="H657" s="19" t="s">
        <v>28</v>
      </c>
      <c r="I657" s="18" t="s">
        <v>28</v>
      </c>
      <c r="J657" s="18" t="s">
        <v>28</v>
      </c>
      <c r="K657" s="18" t="s">
        <v>28</v>
      </c>
      <c r="L657" s="18" t="s">
        <v>28</v>
      </c>
      <c r="M657" s="18" t="s">
        <v>28</v>
      </c>
      <c r="N657" s="17">
        <v>45418</v>
      </c>
      <c r="O657" s="15" t="s">
        <v>30</v>
      </c>
      <c r="P657" s="16" t="s">
        <v>1950</v>
      </c>
      <c r="Q657" s="15" t="s">
        <v>75</v>
      </c>
      <c r="R657" s="13" t="str">
        <f>HYPERLINK("https://my.pitchbook.com?c=186856-30T","View Company Online")</f>
        <v>View Company Online</v>
      </c>
    </row>
    <row r="658" spans="1:18" hidden="1" x14ac:dyDescent="0.3">
      <c r="A658" s="9" t="s">
        <v>2518</v>
      </c>
      <c r="B658" s="9" t="s">
        <v>2519</v>
      </c>
      <c r="C658" s="11" t="s">
        <v>28</v>
      </c>
      <c r="D658" s="9" t="s">
        <v>2520</v>
      </c>
      <c r="E658" s="11" t="s">
        <v>28</v>
      </c>
      <c r="F658" s="10" t="s">
        <v>28</v>
      </c>
      <c r="G658" s="10" t="s">
        <v>28</v>
      </c>
      <c r="H658" s="10" t="s">
        <v>28</v>
      </c>
      <c r="I658" s="11" t="s">
        <v>28</v>
      </c>
      <c r="J658" s="11" t="s">
        <v>28</v>
      </c>
      <c r="K658" s="11" t="s">
        <v>28</v>
      </c>
      <c r="L658" s="11" t="s">
        <v>28</v>
      </c>
      <c r="M658" s="11" t="s">
        <v>28</v>
      </c>
      <c r="N658" s="8">
        <v>45418</v>
      </c>
      <c r="O658" s="9" t="s">
        <v>30</v>
      </c>
      <c r="P658" s="12" t="s">
        <v>2521</v>
      </c>
      <c r="Q658" s="9" t="s">
        <v>353</v>
      </c>
      <c r="R658" s="14" t="str">
        <f>HYPERLINK("https://my.pitchbook.com?c=259074-91T","View Company Online")</f>
        <v>View Company Online</v>
      </c>
    </row>
    <row r="659" spans="1:18" hidden="1" x14ac:dyDescent="0.3">
      <c r="A659" s="15" t="s">
        <v>2522</v>
      </c>
      <c r="B659" s="15" t="s">
        <v>2523</v>
      </c>
      <c r="C659" s="18" t="s">
        <v>28</v>
      </c>
      <c r="D659" s="15" t="s">
        <v>2524</v>
      </c>
      <c r="E659" s="18" t="s">
        <v>28</v>
      </c>
      <c r="F659" s="19" t="s">
        <v>28</v>
      </c>
      <c r="G659" s="19" t="s">
        <v>28</v>
      </c>
      <c r="H659" s="19" t="s">
        <v>28</v>
      </c>
      <c r="I659" s="18" t="s">
        <v>28</v>
      </c>
      <c r="J659" s="18" t="s">
        <v>28</v>
      </c>
      <c r="K659" s="18" t="s">
        <v>28</v>
      </c>
      <c r="L659" s="18" t="s">
        <v>28</v>
      </c>
      <c r="M659" s="18" t="s">
        <v>28</v>
      </c>
      <c r="N659" s="17">
        <v>45418</v>
      </c>
      <c r="O659" s="15" t="s">
        <v>30</v>
      </c>
      <c r="P659" s="16" t="s">
        <v>2525</v>
      </c>
      <c r="Q659" s="15" t="s">
        <v>188</v>
      </c>
      <c r="R659" s="13" t="str">
        <f>HYPERLINK("https://my.pitchbook.com?c=260012-53T","View Company Online")</f>
        <v>View Company Online</v>
      </c>
    </row>
    <row r="660" spans="1:18" hidden="1" x14ac:dyDescent="0.3">
      <c r="A660" s="9" t="s">
        <v>2526</v>
      </c>
      <c r="B660" s="9" t="s">
        <v>2527</v>
      </c>
      <c r="C660" s="11" t="s">
        <v>28</v>
      </c>
      <c r="D660" s="9" t="s">
        <v>2528</v>
      </c>
      <c r="E660" s="11" t="s">
        <v>28</v>
      </c>
      <c r="F660" s="10" t="s">
        <v>28</v>
      </c>
      <c r="G660" s="10" t="s">
        <v>28</v>
      </c>
      <c r="H660" s="10" t="s">
        <v>28</v>
      </c>
      <c r="I660" s="11" t="s">
        <v>28</v>
      </c>
      <c r="J660" s="11" t="s">
        <v>28</v>
      </c>
      <c r="K660" s="11" t="s">
        <v>28</v>
      </c>
      <c r="L660" s="11" t="s">
        <v>28</v>
      </c>
      <c r="M660" s="11" t="s">
        <v>28</v>
      </c>
      <c r="N660" s="8">
        <v>45417</v>
      </c>
      <c r="O660" s="9" t="s">
        <v>41</v>
      </c>
      <c r="P660" s="12" t="s">
        <v>2529</v>
      </c>
      <c r="Q660" s="9" t="s">
        <v>75</v>
      </c>
      <c r="R660" s="14" t="str">
        <f>HYPERLINK("https://my.pitchbook.com?c=267281-11T","View Company Online")</f>
        <v>View Company Online</v>
      </c>
    </row>
    <row r="661" spans="1:18" hidden="1" x14ac:dyDescent="0.3">
      <c r="A661" s="15" t="s">
        <v>2530</v>
      </c>
      <c r="B661" s="15" t="s">
        <v>2531</v>
      </c>
      <c r="C661" s="18" t="s">
        <v>28</v>
      </c>
      <c r="D661" s="15" t="s">
        <v>2532</v>
      </c>
      <c r="E661" s="18" t="s">
        <v>28</v>
      </c>
      <c r="F661" s="19" t="s">
        <v>28</v>
      </c>
      <c r="G661" s="19" t="s">
        <v>28</v>
      </c>
      <c r="H661" s="19" t="s">
        <v>28</v>
      </c>
      <c r="I661" s="18" t="s">
        <v>28</v>
      </c>
      <c r="J661" s="18" t="s">
        <v>28</v>
      </c>
      <c r="K661" s="18" t="s">
        <v>28</v>
      </c>
      <c r="L661" s="18" t="s">
        <v>28</v>
      </c>
      <c r="M661" s="18" t="s">
        <v>28</v>
      </c>
      <c r="N661" s="17">
        <v>45415</v>
      </c>
      <c r="O661" s="15" t="s">
        <v>173</v>
      </c>
      <c r="P661" s="16" t="s">
        <v>28</v>
      </c>
      <c r="Q661" s="15" t="s">
        <v>174</v>
      </c>
      <c r="R661" s="13" t="str">
        <f>HYPERLINK("https://my.pitchbook.com?c=258861-97T","View Company Online")</f>
        <v>View Company Online</v>
      </c>
    </row>
    <row r="662" spans="1:18" hidden="1" x14ac:dyDescent="0.3">
      <c r="A662" s="9" t="s">
        <v>2533</v>
      </c>
      <c r="B662" s="9" t="s">
        <v>2534</v>
      </c>
      <c r="C662" s="11" t="s">
        <v>28</v>
      </c>
      <c r="D662" s="9" t="s">
        <v>2535</v>
      </c>
      <c r="E662" s="11" t="s">
        <v>28</v>
      </c>
      <c r="F662" s="10" t="s">
        <v>28</v>
      </c>
      <c r="G662" s="10" t="s">
        <v>28</v>
      </c>
      <c r="H662" s="10">
        <v>2</v>
      </c>
      <c r="I662" s="11" t="s">
        <v>28</v>
      </c>
      <c r="J662" s="11" t="s">
        <v>28</v>
      </c>
      <c r="K662" s="11" t="s">
        <v>28</v>
      </c>
      <c r="L662" s="11" t="s">
        <v>28</v>
      </c>
      <c r="M662" s="11" t="s">
        <v>28</v>
      </c>
      <c r="N662" s="8">
        <v>45415</v>
      </c>
      <c r="O662" s="9" t="s">
        <v>73</v>
      </c>
      <c r="P662" s="12" t="s">
        <v>2536</v>
      </c>
      <c r="Q662" s="9" t="s">
        <v>37</v>
      </c>
      <c r="R662" s="14" t="str">
        <f>HYPERLINK("https://my.pitchbook.com?c=259653-79T","View Company Online")</f>
        <v>View Company Online</v>
      </c>
    </row>
    <row r="663" spans="1:18" hidden="1" x14ac:dyDescent="0.3">
      <c r="A663" s="15" t="s">
        <v>2537</v>
      </c>
      <c r="B663" s="15" t="s">
        <v>2538</v>
      </c>
      <c r="C663" s="18" t="s">
        <v>28</v>
      </c>
      <c r="D663" s="15" t="s">
        <v>2539</v>
      </c>
      <c r="E663" s="18" t="s">
        <v>28</v>
      </c>
      <c r="F663" s="19" t="s">
        <v>28</v>
      </c>
      <c r="G663" s="19" t="s">
        <v>28</v>
      </c>
      <c r="H663" s="19" t="s">
        <v>28</v>
      </c>
      <c r="I663" s="18" t="s">
        <v>28</v>
      </c>
      <c r="J663" s="18" t="s">
        <v>28</v>
      </c>
      <c r="K663" s="18">
        <v>29.13</v>
      </c>
      <c r="L663" s="18" t="s">
        <v>28</v>
      </c>
      <c r="M663" s="18">
        <v>28.69</v>
      </c>
      <c r="N663" s="17">
        <v>45415</v>
      </c>
      <c r="O663" s="15" t="s">
        <v>173</v>
      </c>
      <c r="P663" s="16" t="s">
        <v>28</v>
      </c>
      <c r="Q663" s="15" t="s">
        <v>174</v>
      </c>
      <c r="R663" s="13" t="str">
        <f>HYPERLINK("https://my.pitchbook.com?c=261185-77T","View Company Online")</f>
        <v>View Company Online</v>
      </c>
    </row>
    <row r="664" spans="1:18" hidden="1" x14ac:dyDescent="0.3">
      <c r="A664" s="9" t="s">
        <v>2540</v>
      </c>
      <c r="B664" s="9" t="s">
        <v>2541</v>
      </c>
      <c r="C664" s="11" t="s">
        <v>28</v>
      </c>
      <c r="D664" s="9" t="s">
        <v>2542</v>
      </c>
      <c r="E664" s="11" t="s">
        <v>28</v>
      </c>
      <c r="F664" s="10" t="s">
        <v>28</v>
      </c>
      <c r="G664" s="10">
        <v>4.87</v>
      </c>
      <c r="H664" s="10" t="s">
        <v>28</v>
      </c>
      <c r="I664" s="11" t="s">
        <v>28</v>
      </c>
      <c r="J664" s="11" t="s">
        <v>28</v>
      </c>
      <c r="K664" s="11" t="s">
        <v>28</v>
      </c>
      <c r="L664" s="11" t="s">
        <v>28</v>
      </c>
      <c r="M664" s="11" t="s">
        <v>28</v>
      </c>
      <c r="N664" s="8">
        <v>45415</v>
      </c>
      <c r="O664" s="9" t="s">
        <v>79</v>
      </c>
      <c r="P664" s="12" t="s">
        <v>2543</v>
      </c>
      <c r="Q664" s="9" t="s">
        <v>1336</v>
      </c>
      <c r="R664" s="14" t="str">
        <f>HYPERLINK("https://my.pitchbook.com?c=258513-94T","View Company Online")</f>
        <v>View Company Online</v>
      </c>
    </row>
    <row r="665" spans="1:18" hidden="1" x14ac:dyDescent="0.3">
      <c r="A665" s="15" t="s">
        <v>2544</v>
      </c>
      <c r="B665" s="15" t="s">
        <v>2545</v>
      </c>
      <c r="C665" s="18" t="s">
        <v>28</v>
      </c>
      <c r="D665" s="15" t="s">
        <v>2546</v>
      </c>
      <c r="E665" s="18" t="s">
        <v>28</v>
      </c>
      <c r="F665" s="19" t="s">
        <v>28</v>
      </c>
      <c r="G665" s="19" t="s">
        <v>28</v>
      </c>
      <c r="H665" s="19" t="s">
        <v>28</v>
      </c>
      <c r="I665" s="18" t="s">
        <v>28</v>
      </c>
      <c r="J665" s="18" t="s">
        <v>28</v>
      </c>
      <c r="K665" s="18" t="s">
        <v>28</v>
      </c>
      <c r="L665" s="18" t="s">
        <v>28</v>
      </c>
      <c r="M665" s="18" t="s">
        <v>28</v>
      </c>
      <c r="N665" s="17">
        <v>45414</v>
      </c>
      <c r="O665" s="15" t="s">
        <v>30</v>
      </c>
      <c r="P665" s="16" t="s">
        <v>2547</v>
      </c>
      <c r="Q665" s="15" t="s">
        <v>566</v>
      </c>
      <c r="R665" s="13" t="str">
        <f>HYPERLINK("https://my.pitchbook.com?c=258362-29T","View Company Online")</f>
        <v>View Company Online</v>
      </c>
    </row>
    <row r="666" spans="1:18" hidden="1" x14ac:dyDescent="0.3">
      <c r="A666" s="9" t="s">
        <v>2548</v>
      </c>
      <c r="B666" s="9" t="s">
        <v>2549</v>
      </c>
      <c r="C666" s="11" t="s">
        <v>28</v>
      </c>
      <c r="D666" s="9" t="s">
        <v>2550</v>
      </c>
      <c r="E666" s="11" t="s">
        <v>28</v>
      </c>
      <c r="F666" s="10">
        <v>77.88</v>
      </c>
      <c r="G666" s="10" t="s">
        <v>28</v>
      </c>
      <c r="H666" s="10">
        <v>77.88</v>
      </c>
      <c r="I666" s="11" t="s">
        <v>28</v>
      </c>
      <c r="J666" s="11" t="s">
        <v>28</v>
      </c>
      <c r="K666" s="11">
        <v>26.01</v>
      </c>
      <c r="L666" s="11">
        <v>2.99</v>
      </c>
      <c r="M666" s="11" t="s">
        <v>28</v>
      </c>
      <c r="N666" s="8">
        <v>45414</v>
      </c>
      <c r="O666" s="9" t="s">
        <v>41</v>
      </c>
      <c r="P666" s="12" t="s">
        <v>2551</v>
      </c>
      <c r="Q666" s="9" t="s">
        <v>43</v>
      </c>
      <c r="R666" s="14" t="str">
        <f>HYPERLINK("https://my.pitchbook.com?c=258642-10T","View Company Online")</f>
        <v>View Company Online</v>
      </c>
    </row>
    <row r="667" spans="1:18" hidden="1" x14ac:dyDescent="0.3">
      <c r="A667" s="15" t="s">
        <v>2552</v>
      </c>
      <c r="B667" s="15" t="s">
        <v>2553</v>
      </c>
      <c r="C667" s="18" t="s">
        <v>28</v>
      </c>
      <c r="D667" s="15" t="s">
        <v>2554</v>
      </c>
      <c r="E667" s="18" t="s">
        <v>28</v>
      </c>
      <c r="F667" s="19" t="s">
        <v>28</v>
      </c>
      <c r="G667" s="19">
        <v>40</v>
      </c>
      <c r="H667" s="19" t="s">
        <v>28</v>
      </c>
      <c r="I667" s="18" t="s">
        <v>28</v>
      </c>
      <c r="J667" s="18" t="s">
        <v>28</v>
      </c>
      <c r="K667" s="18" t="s">
        <v>28</v>
      </c>
      <c r="L667" s="18" t="s">
        <v>28</v>
      </c>
      <c r="M667" s="18" t="s">
        <v>28</v>
      </c>
      <c r="N667" s="17">
        <v>45414</v>
      </c>
      <c r="O667" s="15" t="s">
        <v>79</v>
      </c>
      <c r="P667" s="16" t="s">
        <v>2555</v>
      </c>
      <c r="Q667" s="15" t="s">
        <v>245</v>
      </c>
      <c r="R667" s="13" t="str">
        <f>HYPERLINK("https://my.pitchbook.com?c=258354-64T","View Company Online")</f>
        <v>View Company Online</v>
      </c>
    </row>
    <row r="668" spans="1:18" hidden="1" x14ac:dyDescent="0.3">
      <c r="A668" s="9" t="s">
        <v>2556</v>
      </c>
      <c r="B668" s="9" t="s">
        <v>2557</v>
      </c>
      <c r="C668" s="11" t="s">
        <v>28</v>
      </c>
      <c r="D668" s="9" t="s">
        <v>2558</v>
      </c>
      <c r="E668" s="11" t="s">
        <v>28</v>
      </c>
      <c r="F668" s="10" t="s">
        <v>28</v>
      </c>
      <c r="G668" s="10">
        <v>0.78</v>
      </c>
      <c r="H668" s="10" t="s">
        <v>28</v>
      </c>
      <c r="I668" s="11" t="s">
        <v>28</v>
      </c>
      <c r="J668" s="11" t="s">
        <v>28</v>
      </c>
      <c r="K668" s="11">
        <v>0.36</v>
      </c>
      <c r="L668" s="11" t="s">
        <v>28</v>
      </c>
      <c r="M668" s="11" t="s">
        <v>28</v>
      </c>
      <c r="N668" s="8">
        <v>45414</v>
      </c>
      <c r="O668" s="9" t="s">
        <v>73</v>
      </c>
      <c r="P668" s="12" t="s">
        <v>2559</v>
      </c>
      <c r="Q668" s="9" t="s">
        <v>105</v>
      </c>
      <c r="R668" s="14" t="str">
        <f>HYPERLINK("https://my.pitchbook.com?c=258526-18T","View Company Online")</f>
        <v>View Company Online</v>
      </c>
    </row>
    <row r="669" spans="1:18" hidden="1" x14ac:dyDescent="0.3">
      <c r="A669" s="15" t="s">
        <v>2560</v>
      </c>
      <c r="B669" s="15" t="s">
        <v>2561</v>
      </c>
      <c r="C669" s="18" t="s">
        <v>28</v>
      </c>
      <c r="D669" s="15" t="s">
        <v>2562</v>
      </c>
      <c r="E669" s="18" t="s">
        <v>28</v>
      </c>
      <c r="F669" s="19" t="s">
        <v>28</v>
      </c>
      <c r="G669" s="19" t="s">
        <v>28</v>
      </c>
      <c r="H669" s="19" t="s">
        <v>28</v>
      </c>
      <c r="I669" s="18" t="s">
        <v>28</v>
      </c>
      <c r="J669" s="18" t="s">
        <v>28</v>
      </c>
      <c r="K669" s="18" t="s">
        <v>28</v>
      </c>
      <c r="L669" s="18" t="s">
        <v>28</v>
      </c>
      <c r="M669" s="18" t="s">
        <v>28</v>
      </c>
      <c r="N669" s="17">
        <v>45414</v>
      </c>
      <c r="O669" s="15" t="s">
        <v>99</v>
      </c>
      <c r="P669" s="16" t="s">
        <v>2235</v>
      </c>
      <c r="Q669" s="15" t="s">
        <v>114</v>
      </c>
      <c r="R669" s="13" t="str">
        <f>HYPERLINK("https://my.pitchbook.com?c=282025-63T","View Company Online")</f>
        <v>View Company Online</v>
      </c>
    </row>
    <row r="670" spans="1:18" hidden="1" x14ac:dyDescent="0.3">
      <c r="A670" s="9" t="s">
        <v>2563</v>
      </c>
      <c r="B670" s="9" t="s">
        <v>2564</v>
      </c>
      <c r="C670" s="11" t="s">
        <v>28</v>
      </c>
      <c r="D670" s="9" t="s">
        <v>2565</v>
      </c>
      <c r="E670" s="11" t="s">
        <v>28</v>
      </c>
      <c r="F670" s="10" t="s">
        <v>28</v>
      </c>
      <c r="G670" s="10" t="s">
        <v>28</v>
      </c>
      <c r="H670" s="10" t="s">
        <v>28</v>
      </c>
      <c r="I670" s="11" t="s">
        <v>28</v>
      </c>
      <c r="J670" s="11" t="s">
        <v>28</v>
      </c>
      <c r="K670" s="11" t="s">
        <v>28</v>
      </c>
      <c r="L670" s="11" t="s">
        <v>28</v>
      </c>
      <c r="M670" s="11" t="s">
        <v>28</v>
      </c>
      <c r="N670" s="8">
        <v>45413</v>
      </c>
      <c r="O670" s="9" t="s">
        <v>52</v>
      </c>
      <c r="P670" s="12" t="s">
        <v>1880</v>
      </c>
      <c r="Q670" s="9" t="s">
        <v>362</v>
      </c>
      <c r="R670" s="14" t="str">
        <f>HYPERLINK("https://my.pitchbook.com?c=272408-50T","View Company Online")</f>
        <v>View Company Online</v>
      </c>
    </row>
    <row r="671" spans="1:18" hidden="1" x14ac:dyDescent="0.3">
      <c r="A671" s="15" t="s">
        <v>2566</v>
      </c>
      <c r="B671" s="15" t="s">
        <v>2567</v>
      </c>
      <c r="C671" s="18" t="s">
        <v>28</v>
      </c>
      <c r="D671" s="15" t="s">
        <v>2568</v>
      </c>
      <c r="E671" s="18" t="s">
        <v>28</v>
      </c>
      <c r="F671" s="19" t="s">
        <v>28</v>
      </c>
      <c r="G671" s="19" t="s">
        <v>28</v>
      </c>
      <c r="H671" s="19" t="s">
        <v>28</v>
      </c>
      <c r="I671" s="18" t="s">
        <v>28</v>
      </c>
      <c r="J671" s="18" t="s">
        <v>28</v>
      </c>
      <c r="K671" s="18" t="s">
        <v>28</v>
      </c>
      <c r="L671" s="18" t="s">
        <v>28</v>
      </c>
      <c r="M671" s="18" t="s">
        <v>28</v>
      </c>
      <c r="N671" s="17">
        <v>45413</v>
      </c>
      <c r="O671" s="15" t="s">
        <v>52</v>
      </c>
      <c r="P671" s="16" t="s">
        <v>1880</v>
      </c>
      <c r="Q671" s="15" t="s">
        <v>362</v>
      </c>
      <c r="R671" s="13" t="str">
        <f>HYPERLINK("https://my.pitchbook.com?c=251887-60T","View Company Online")</f>
        <v>View Company Online</v>
      </c>
    </row>
    <row r="672" spans="1:18" hidden="1" x14ac:dyDescent="0.3">
      <c r="A672" s="9" t="s">
        <v>2569</v>
      </c>
      <c r="B672" s="9" t="s">
        <v>2570</v>
      </c>
      <c r="C672" s="11" t="s">
        <v>28</v>
      </c>
      <c r="D672" s="9" t="s">
        <v>2571</v>
      </c>
      <c r="E672" s="11" t="s">
        <v>28</v>
      </c>
      <c r="F672" s="10" t="s">
        <v>28</v>
      </c>
      <c r="G672" s="10" t="s">
        <v>28</v>
      </c>
      <c r="H672" s="10" t="s">
        <v>28</v>
      </c>
      <c r="I672" s="11" t="s">
        <v>28</v>
      </c>
      <c r="J672" s="11" t="s">
        <v>28</v>
      </c>
      <c r="K672" s="11" t="s">
        <v>28</v>
      </c>
      <c r="L672" s="11" t="s">
        <v>28</v>
      </c>
      <c r="M672" s="11" t="s">
        <v>28</v>
      </c>
      <c r="N672" s="8">
        <v>45413</v>
      </c>
      <c r="O672" s="9" t="s">
        <v>379</v>
      </c>
      <c r="P672" s="12" t="s">
        <v>2572</v>
      </c>
      <c r="Q672" s="9" t="s">
        <v>75</v>
      </c>
      <c r="R672" s="14" t="str">
        <f>HYPERLINK("https://my.pitchbook.com?c=259878-43T","View Company Online")</f>
        <v>View Company Online</v>
      </c>
    </row>
    <row r="673" spans="1:18" hidden="1" x14ac:dyDescent="0.3">
      <c r="A673" s="15" t="s">
        <v>2573</v>
      </c>
      <c r="B673" s="15" t="s">
        <v>2574</v>
      </c>
      <c r="C673" s="18" t="s">
        <v>28</v>
      </c>
      <c r="D673" s="15" t="s">
        <v>2575</v>
      </c>
      <c r="E673" s="18" t="s">
        <v>28</v>
      </c>
      <c r="F673" s="19" t="s">
        <v>28</v>
      </c>
      <c r="G673" s="19" t="s">
        <v>28</v>
      </c>
      <c r="H673" s="19" t="s">
        <v>28</v>
      </c>
      <c r="I673" s="18" t="s">
        <v>28</v>
      </c>
      <c r="J673" s="18" t="s">
        <v>28</v>
      </c>
      <c r="K673" s="18" t="s">
        <v>28</v>
      </c>
      <c r="L673" s="18" t="s">
        <v>28</v>
      </c>
      <c r="M673" s="18" t="s">
        <v>28</v>
      </c>
      <c r="N673" s="17">
        <v>45413</v>
      </c>
      <c r="O673" s="15" t="s">
        <v>30</v>
      </c>
      <c r="P673" s="16" t="s">
        <v>28</v>
      </c>
      <c r="Q673" s="15" t="s">
        <v>470</v>
      </c>
      <c r="R673" s="13" t="str">
        <f>HYPERLINK("https://my.pitchbook.com?c=284226-40T","View Company Online")</f>
        <v>View Company Online</v>
      </c>
    </row>
    <row r="674" spans="1:18" hidden="1" x14ac:dyDescent="0.3">
      <c r="A674" s="9" t="s">
        <v>2576</v>
      </c>
      <c r="B674" s="9" t="s">
        <v>2577</v>
      </c>
      <c r="C674" s="11" t="s">
        <v>28</v>
      </c>
      <c r="D674" s="9" t="s">
        <v>2578</v>
      </c>
      <c r="E674" s="11" t="s">
        <v>28</v>
      </c>
      <c r="F674" s="10" t="s">
        <v>28</v>
      </c>
      <c r="G674" s="10">
        <v>29</v>
      </c>
      <c r="H674" s="10" t="s">
        <v>28</v>
      </c>
      <c r="I674" s="11" t="s">
        <v>28</v>
      </c>
      <c r="J674" s="11" t="s">
        <v>28</v>
      </c>
      <c r="K674" s="11" t="s">
        <v>28</v>
      </c>
      <c r="L674" s="11" t="s">
        <v>28</v>
      </c>
      <c r="M674" s="11" t="s">
        <v>28</v>
      </c>
      <c r="N674" s="8">
        <v>45413</v>
      </c>
      <c r="O674" s="9" t="s">
        <v>79</v>
      </c>
      <c r="P674" s="12" t="s">
        <v>2579</v>
      </c>
      <c r="Q674" s="9" t="s">
        <v>299</v>
      </c>
      <c r="R674" s="14" t="str">
        <f>HYPERLINK("https://my.pitchbook.com?c=269673-13T","View Company Online")</f>
        <v>View Company Online</v>
      </c>
    </row>
    <row r="675" spans="1:18" hidden="1" x14ac:dyDescent="0.3">
      <c r="A675" s="15" t="s">
        <v>2580</v>
      </c>
      <c r="B675" s="15" t="s">
        <v>2581</v>
      </c>
      <c r="C675" s="18" t="s">
        <v>28</v>
      </c>
      <c r="D675" s="15" t="s">
        <v>2582</v>
      </c>
      <c r="E675" s="18" t="s">
        <v>28</v>
      </c>
      <c r="F675" s="19" t="s">
        <v>28</v>
      </c>
      <c r="G675" s="19" t="s">
        <v>28</v>
      </c>
      <c r="H675" s="19" t="s">
        <v>28</v>
      </c>
      <c r="I675" s="18" t="s">
        <v>28</v>
      </c>
      <c r="J675" s="18" t="s">
        <v>28</v>
      </c>
      <c r="K675" s="18">
        <v>84.63</v>
      </c>
      <c r="L675" s="18" t="s">
        <v>28</v>
      </c>
      <c r="M675" s="18" t="s">
        <v>28</v>
      </c>
      <c r="N675" s="17">
        <v>45413</v>
      </c>
      <c r="O675" s="15" t="s">
        <v>30</v>
      </c>
      <c r="P675" s="16" t="s">
        <v>2583</v>
      </c>
      <c r="Q675" s="15" t="s">
        <v>136</v>
      </c>
      <c r="R675" s="13" t="str">
        <f>HYPERLINK("https://my.pitchbook.com?c=256929-31T","View Company Online")</f>
        <v>View Company Online</v>
      </c>
    </row>
    <row r="676" spans="1:18" hidden="1" x14ac:dyDescent="0.3">
      <c r="A676" s="9" t="s">
        <v>2584</v>
      </c>
      <c r="B676" s="9" t="s">
        <v>2585</v>
      </c>
      <c r="C676" s="11" t="s">
        <v>28</v>
      </c>
      <c r="D676" s="9" t="s">
        <v>2586</v>
      </c>
      <c r="E676" s="11" t="s">
        <v>28</v>
      </c>
      <c r="F676" s="10" t="s">
        <v>28</v>
      </c>
      <c r="G676" s="10" t="s">
        <v>28</v>
      </c>
      <c r="H676" s="10" t="s">
        <v>28</v>
      </c>
      <c r="I676" s="11" t="s">
        <v>28</v>
      </c>
      <c r="J676" s="11" t="s">
        <v>28</v>
      </c>
      <c r="K676" s="11" t="s">
        <v>28</v>
      </c>
      <c r="L676" s="11" t="s">
        <v>28</v>
      </c>
      <c r="M676" s="11" t="s">
        <v>28</v>
      </c>
      <c r="N676" s="8">
        <v>45413</v>
      </c>
      <c r="O676" s="9" t="s">
        <v>79</v>
      </c>
      <c r="P676" s="12" t="s">
        <v>2338</v>
      </c>
      <c r="Q676" s="9" t="s">
        <v>37</v>
      </c>
      <c r="R676" s="14" t="str">
        <f>HYPERLINK("https://my.pitchbook.com?c=260695-09T","View Company Online")</f>
        <v>View Company Online</v>
      </c>
    </row>
    <row r="677" spans="1:18" hidden="1" x14ac:dyDescent="0.3">
      <c r="A677" s="15" t="s">
        <v>2587</v>
      </c>
      <c r="B677" s="15" t="s">
        <v>2588</v>
      </c>
      <c r="C677" s="18" t="s">
        <v>28</v>
      </c>
      <c r="D677" s="15" t="s">
        <v>2589</v>
      </c>
      <c r="E677" s="18" t="s">
        <v>28</v>
      </c>
      <c r="F677" s="19" t="s">
        <v>28</v>
      </c>
      <c r="G677" s="19" t="s">
        <v>28</v>
      </c>
      <c r="H677" s="19" t="s">
        <v>28</v>
      </c>
      <c r="I677" s="18" t="s">
        <v>28</v>
      </c>
      <c r="J677" s="18" t="s">
        <v>28</v>
      </c>
      <c r="K677" s="18" t="s">
        <v>28</v>
      </c>
      <c r="L677" s="18" t="s">
        <v>28</v>
      </c>
      <c r="M677" s="18" t="s">
        <v>28</v>
      </c>
      <c r="N677" s="17">
        <v>45413</v>
      </c>
      <c r="O677" s="15" t="s">
        <v>73</v>
      </c>
      <c r="P677" s="16" t="s">
        <v>2590</v>
      </c>
      <c r="Q677" s="15" t="s">
        <v>75</v>
      </c>
      <c r="R677" s="13" t="str">
        <f>HYPERLINK("https://my.pitchbook.com?c=258718-69T","View Company Online")</f>
        <v>View Company Online</v>
      </c>
    </row>
    <row r="678" spans="1:18" hidden="1" x14ac:dyDescent="0.3">
      <c r="A678" s="9" t="s">
        <v>2591</v>
      </c>
      <c r="B678" s="9" t="s">
        <v>2377</v>
      </c>
      <c r="C678" s="11" t="s">
        <v>28</v>
      </c>
      <c r="D678" s="9" t="s">
        <v>2378</v>
      </c>
      <c r="E678" s="11" t="s">
        <v>28</v>
      </c>
      <c r="F678" s="10" t="s">
        <v>28</v>
      </c>
      <c r="G678" s="10" t="s">
        <v>28</v>
      </c>
      <c r="H678" s="10" t="s">
        <v>28</v>
      </c>
      <c r="I678" s="11" t="s">
        <v>28</v>
      </c>
      <c r="J678" s="11" t="s">
        <v>28</v>
      </c>
      <c r="K678" s="11" t="s">
        <v>28</v>
      </c>
      <c r="L678" s="11" t="s">
        <v>28</v>
      </c>
      <c r="M678" s="11" t="s">
        <v>28</v>
      </c>
      <c r="N678" s="8">
        <v>45412</v>
      </c>
      <c r="O678" s="9" t="s">
        <v>52</v>
      </c>
      <c r="P678" s="12" t="s">
        <v>1662</v>
      </c>
      <c r="Q678" s="9" t="s">
        <v>75</v>
      </c>
      <c r="R678" s="14" t="str">
        <f>HYPERLINK("https://my.pitchbook.com?c=270535-33T","View Company Online")</f>
        <v>View Company Online</v>
      </c>
    </row>
    <row r="679" spans="1:18" hidden="1" x14ac:dyDescent="0.3">
      <c r="A679" s="15" t="s">
        <v>2592</v>
      </c>
      <c r="B679" s="15" t="s">
        <v>2593</v>
      </c>
      <c r="C679" s="18" t="s">
        <v>28</v>
      </c>
      <c r="D679" s="15" t="s">
        <v>2594</v>
      </c>
      <c r="E679" s="18" t="s">
        <v>28</v>
      </c>
      <c r="F679" s="19">
        <v>130</v>
      </c>
      <c r="G679" s="19">
        <v>130</v>
      </c>
      <c r="H679" s="19">
        <v>130</v>
      </c>
      <c r="I679" s="18" t="s">
        <v>28</v>
      </c>
      <c r="J679" s="18" t="s">
        <v>28</v>
      </c>
      <c r="K679" s="18" t="s">
        <v>28</v>
      </c>
      <c r="L679" s="18" t="s">
        <v>28</v>
      </c>
      <c r="M679" s="18" t="s">
        <v>28</v>
      </c>
      <c r="N679" s="17">
        <v>45412</v>
      </c>
      <c r="O679" s="15" t="s">
        <v>30</v>
      </c>
      <c r="P679" s="16" t="s">
        <v>28</v>
      </c>
      <c r="Q679" s="15" t="s">
        <v>566</v>
      </c>
      <c r="R679" s="13" t="str">
        <f>HYPERLINK("https://my.pitchbook.com?c=258120-55T","View Company Online")</f>
        <v>View Company Online</v>
      </c>
    </row>
    <row r="680" spans="1:18" hidden="1" x14ac:dyDescent="0.3">
      <c r="A680" s="9" t="s">
        <v>2595</v>
      </c>
      <c r="B680" s="9" t="s">
        <v>1923</v>
      </c>
      <c r="C680" s="11" t="s">
        <v>28</v>
      </c>
      <c r="D680" s="9" t="s">
        <v>1924</v>
      </c>
      <c r="E680" s="11" t="s">
        <v>28</v>
      </c>
      <c r="F680" s="10" t="s">
        <v>28</v>
      </c>
      <c r="G680" s="10" t="s">
        <v>28</v>
      </c>
      <c r="H680" s="10" t="s">
        <v>28</v>
      </c>
      <c r="I680" s="11" t="s">
        <v>28</v>
      </c>
      <c r="J680" s="11" t="s">
        <v>28</v>
      </c>
      <c r="K680" s="11" t="s">
        <v>28</v>
      </c>
      <c r="L680" s="11" t="s">
        <v>28</v>
      </c>
      <c r="M680" s="11" t="s">
        <v>28</v>
      </c>
      <c r="N680" s="8">
        <v>45412</v>
      </c>
      <c r="O680" s="9" t="s">
        <v>52</v>
      </c>
      <c r="P680" s="12" t="s">
        <v>1662</v>
      </c>
      <c r="Q680" s="9" t="s">
        <v>75</v>
      </c>
      <c r="R680" s="14" t="str">
        <f>HYPERLINK("https://my.pitchbook.com?c=270457-57T","View Company Online")</f>
        <v>View Company Online</v>
      </c>
    </row>
    <row r="681" spans="1:18" hidden="1" x14ac:dyDescent="0.3">
      <c r="A681" s="15" t="s">
        <v>2596</v>
      </c>
      <c r="B681" s="15" t="s">
        <v>1201</v>
      </c>
      <c r="C681" s="18" t="s">
        <v>28</v>
      </c>
      <c r="D681" s="15" t="s">
        <v>1202</v>
      </c>
      <c r="E681" s="18" t="s">
        <v>28</v>
      </c>
      <c r="F681" s="19" t="s">
        <v>28</v>
      </c>
      <c r="G681" s="19" t="s">
        <v>28</v>
      </c>
      <c r="H681" s="19" t="s">
        <v>28</v>
      </c>
      <c r="I681" s="18" t="s">
        <v>28</v>
      </c>
      <c r="J681" s="18" t="s">
        <v>28</v>
      </c>
      <c r="K681" s="18" t="s">
        <v>28</v>
      </c>
      <c r="L681" s="18" t="s">
        <v>28</v>
      </c>
      <c r="M681" s="18" t="s">
        <v>28</v>
      </c>
      <c r="N681" s="17">
        <v>45412</v>
      </c>
      <c r="O681" s="15" t="s">
        <v>52</v>
      </c>
      <c r="P681" s="16" t="s">
        <v>1662</v>
      </c>
      <c r="Q681" s="15" t="s">
        <v>75</v>
      </c>
      <c r="R681" s="13" t="str">
        <f>HYPERLINK("https://my.pitchbook.com?c=270543-70T","View Company Online")</f>
        <v>View Company Online</v>
      </c>
    </row>
    <row r="682" spans="1:18" hidden="1" x14ac:dyDescent="0.3">
      <c r="A682" s="9" t="s">
        <v>2597</v>
      </c>
      <c r="B682" s="9" t="s">
        <v>1736</v>
      </c>
      <c r="C682" s="11" t="s">
        <v>28</v>
      </c>
      <c r="D682" s="9" t="s">
        <v>1737</v>
      </c>
      <c r="E682" s="11" t="s">
        <v>28</v>
      </c>
      <c r="F682" s="10" t="s">
        <v>28</v>
      </c>
      <c r="G682" s="10" t="s">
        <v>28</v>
      </c>
      <c r="H682" s="10" t="s">
        <v>28</v>
      </c>
      <c r="I682" s="11" t="s">
        <v>28</v>
      </c>
      <c r="J682" s="11" t="s">
        <v>28</v>
      </c>
      <c r="K682" s="11" t="s">
        <v>28</v>
      </c>
      <c r="L682" s="11" t="s">
        <v>28</v>
      </c>
      <c r="M682" s="11" t="s">
        <v>28</v>
      </c>
      <c r="N682" s="8">
        <v>45412</v>
      </c>
      <c r="O682" s="9" t="s">
        <v>52</v>
      </c>
      <c r="P682" s="12" t="s">
        <v>1662</v>
      </c>
      <c r="Q682" s="9" t="s">
        <v>75</v>
      </c>
      <c r="R682" s="14" t="str">
        <f>HYPERLINK("https://my.pitchbook.com?c=270537-40T","View Company Online")</f>
        <v>View Company Online</v>
      </c>
    </row>
    <row r="683" spans="1:18" hidden="1" x14ac:dyDescent="0.3">
      <c r="A683" s="15" t="s">
        <v>2598</v>
      </c>
      <c r="B683" s="15" t="s">
        <v>2599</v>
      </c>
      <c r="C683" s="18" t="s">
        <v>28</v>
      </c>
      <c r="D683" s="15" t="s">
        <v>2600</v>
      </c>
      <c r="E683" s="18" t="s">
        <v>28</v>
      </c>
      <c r="F683" s="19" t="s">
        <v>28</v>
      </c>
      <c r="G683" s="19" t="s">
        <v>28</v>
      </c>
      <c r="H683" s="19" t="s">
        <v>28</v>
      </c>
      <c r="I683" s="18" t="s">
        <v>28</v>
      </c>
      <c r="J683" s="18" t="s">
        <v>28</v>
      </c>
      <c r="K683" s="18" t="s">
        <v>28</v>
      </c>
      <c r="L683" s="18" t="s">
        <v>28</v>
      </c>
      <c r="M683" s="18" t="s">
        <v>28</v>
      </c>
      <c r="N683" s="17">
        <v>45412</v>
      </c>
      <c r="O683" s="15" t="s">
        <v>30</v>
      </c>
      <c r="P683" s="16" t="s">
        <v>2601</v>
      </c>
      <c r="Q683" s="15" t="s">
        <v>449</v>
      </c>
      <c r="R683" s="13" t="str">
        <f>HYPERLINK("https://my.pitchbook.com?c=259070-50T","View Company Online")</f>
        <v>View Company Online</v>
      </c>
    </row>
    <row r="684" spans="1:18" hidden="1" x14ac:dyDescent="0.3">
      <c r="A684" s="9" t="s">
        <v>2602</v>
      </c>
      <c r="B684" s="9" t="s">
        <v>2473</v>
      </c>
      <c r="C684" s="11" t="s">
        <v>28</v>
      </c>
      <c r="D684" s="9" t="s">
        <v>2474</v>
      </c>
      <c r="E684" s="11" t="s">
        <v>28</v>
      </c>
      <c r="F684" s="10" t="s">
        <v>28</v>
      </c>
      <c r="G684" s="10" t="s">
        <v>28</v>
      </c>
      <c r="H684" s="10" t="s">
        <v>28</v>
      </c>
      <c r="I684" s="11" t="s">
        <v>28</v>
      </c>
      <c r="J684" s="11" t="s">
        <v>28</v>
      </c>
      <c r="K684" s="11" t="s">
        <v>28</v>
      </c>
      <c r="L684" s="11" t="s">
        <v>28</v>
      </c>
      <c r="M684" s="11" t="s">
        <v>28</v>
      </c>
      <c r="N684" s="8">
        <v>45412</v>
      </c>
      <c r="O684" s="9" t="s">
        <v>52</v>
      </c>
      <c r="P684" s="12" t="s">
        <v>1662</v>
      </c>
      <c r="Q684" s="9" t="s">
        <v>75</v>
      </c>
      <c r="R684" s="14" t="str">
        <f>HYPERLINK("https://my.pitchbook.com?c=270537-58T","View Company Online")</f>
        <v>View Company Online</v>
      </c>
    </row>
    <row r="685" spans="1:18" hidden="1" x14ac:dyDescent="0.3">
      <c r="A685" s="15" t="s">
        <v>2603</v>
      </c>
      <c r="B685" s="15" t="s">
        <v>1822</v>
      </c>
      <c r="C685" s="18" t="s">
        <v>28</v>
      </c>
      <c r="D685" s="15" t="s">
        <v>1823</v>
      </c>
      <c r="E685" s="18" t="s">
        <v>28</v>
      </c>
      <c r="F685" s="19" t="s">
        <v>28</v>
      </c>
      <c r="G685" s="19" t="s">
        <v>28</v>
      </c>
      <c r="H685" s="19" t="s">
        <v>28</v>
      </c>
      <c r="I685" s="18" t="s">
        <v>28</v>
      </c>
      <c r="J685" s="18" t="s">
        <v>28</v>
      </c>
      <c r="K685" s="18" t="s">
        <v>28</v>
      </c>
      <c r="L685" s="18" t="s">
        <v>28</v>
      </c>
      <c r="M685" s="18" t="s">
        <v>28</v>
      </c>
      <c r="N685" s="17">
        <v>45412</v>
      </c>
      <c r="O685" s="15" t="s">
        <v>52</v>
      </c>
      <c r="P685" s="16" t="s">
        <v>1662</v>
      </c>
      <c r="Q685" s="15" t="s">
        <v>414</v>
      </c>
      <c r="R685" s="13" t="str">
        <f>HYPERLINK("https://my.pitchbook.com?c=270469-90T","View Company Online")</f>
        <v>View Company Online</v>
      </c>
    </row>
    <row r="686" spans="1:18" hidden="1" x14ac:dyDescent="0.3">
      <c r="A686" s="9" t="s">
        <v>2604</v>
      </c>
      <c r="B686" s="9" t="s">
        <v>1426</v>
      </c>
      <c r="C686" s="11" t="s">
        <v>28</v>
      </c>
      <c r="D686" s="9" t="s">
        <v>1427</v>
      </c>
      <c r="E686" s="11" t="s">
        <v>28</v>
      </c>
      <c r="F686" s="10" t="s">
        <v>28</v>
      </c>
      <c r="G686" s="10" t="s">
        <v>28</v>
      </c>
      <c r="H686" s="10" t="s">
        <v>28</v>
      </c>
      <c r="I686" s="11" t="s">
        <v>28</v>
      </c>
      <c r="J686" s="11" t="s">
        <v>28</v>
      </c>
      <c r="K686" s="11" t="s">
        <v>28</v>
      </c>
      <c r="L686" s="11" t="s">
        <v>28</v>
      </c>
      <c r="M686" s="11" t="s">
        <v>28</v>
      </c>
      <c r="N686" s="8">
        <v>45412</v>
      </c>
      <c r="O686" s="9" t="s">
        <v>52</v>
      </c>
      <c r="P686" s="12" t="s">
        <v>1662</v>
      </c>
      <c r="Q686" s="9" t="s">
        <v>75</v>
      </c>
      <c r="R686" s="14" t="str">
        <f>HYPERLINK("https://my.pitchbook.com?c=270540-55T","View Company Online")</f>
        <v>View Company Online</v>
      </c>
    </row>
    <row r="687" spans="1:18" hidden="1" x14ac:dyDescent="0.3">
      <c r="A687" s="15" t="s">
        <v>2605</v>
      </c>
      <c r="B687" s="15" t="s">
        <v>2606</v>
      </c>
      <c r="C687" s="18" t="s">
        <v>28</v>
      </c>
      <c r="D687" s="15" t="s">
        <v>2607</v>
      </c>
      <c r="E687" s="18" t="s">
        <v>28</v>
      </c>
      <c r="F687" s="19" t="s">
        <v>28</v>
      </c>
      <c r="G687" s="19">
        <v>2.93</v>
      </c>
      <c r="H687" s="19" t="s">
        <v>28</v>
      </c>
      <c r="I687" s="18" t="s">
        <v>28</v>
      </c>
      <c r="J687" s="18" t="s">
        <v>28</v>
      </c>
      <c r="K687" s="18">
        <v>4</v>
      </c>
      <c r="L687" s="18" t="s">
        <v>28</v>
      </c>
      <c r="M687" s="18" t="s">
        <v>28</v>
      </c>
      <c r="N687" s="17">
        <v>45412</v>
      </c>
      <c r="O687" s="15" t="s">
        <v>79</v>
      </c>
      <c r="P687" s="16" t="s">
        <v>2608</v>
      </c>
      <c r="Q687" s="15" t="s">
        <v>75</v>
      </c>
      <c r="R687" s="13" t="str">
        <f>HYPERLINK("https://my.pitchbook.com?c=258199-48T","View Company Online")</f>
        <v>View Company Online</v>
      </c>
    </row>
    <row r="688" spans="1:18" hidden="1" x14ac:dyDescent="0.3">
      <c r="A688" s="9" t="s">
        <v>2609</v>
      </c>
      <c r="B688" s="9" t="s">
        <v>2610</v>
      </c>
      <c r="C688" s="11" t="s">
        <v>28</v>
      </c>
      <c r="D688" s="9" t="s">
        <v>2611</v>
      </c>
      <c r="E688" s="11" t="s">
        <v>28</v>
      </c>
      <c r="F688" s="10" t="s">
        <v>28</v>
      </c>
      <c r="G688" s="10">
        <v>0.11</v>
      </c>
      <c r="H688" s="10" t="s">
        <v>28</v>
      </c>
      <c r="I688" s="11" t="s">
        <v>28</v>
      </c>
      <c r="J688" s="11" t="s">
        <v>28</v>
      </c>
      <c r="K688" s="11" t="s">
        <v>28</v>
      </c>
      <c r="L688" s="11" t="s">
        <v>28</v>
      </c>
      <c r="M688" s="11" t="s">
        <v>28</v>
      </c>
      <c r="N688" s="8">
        <v>45412</v>
      </c>
      <c r="O688" s="9" t="s">
        <v>79</v>
      </c>
      <c r="P688" s="12" t="s">
        <v>2612</v>
      </c>
      <c r="Q688" s="9" t="s">
        <v>583</v>
      </c>
      <c r="R688" s="14" t="str">
        <f>HYPERLINK("https://my.pitchbook.com?c=256333-87T","View Company Online")</f>
        <v>View Company Online</v>
      </c>
    </row>
    <row r="689" spans="1:18" hidden="1" x14ac:dyDescent="0.3">
      <c r="A689" s="15" t="s">
        <v>2613</v>
      </c>
      <c r="B689" s="15" t="s">
        <v>2614</v>
      </c>
      <c r="C689" s="18" t="s">
        <v>28</v>
      </c>
      <c r="D689" s="15" t="s">
        <v>2615</v>
      </c>
      <c r="E689" s="18" t="s">
        <v>28</v>
      </c>
      <c r="F689" s="19">
        <v>21.91</v>
      </c>
      <c r="G689" s="19">
        <v>21.91</v>
      </c>
      <c r="H689" s="19">
        <v>21.91</v>
      </c>
      <c r="I689" s="18" t="s">
        <v>28</v>
      </c>
      <c r="J689" s="18" t="s">
        <v>28</v>
      </c>
      <c r="K689" s="18" t="s">
        <v>28</v>
      </c>
      <c r="L689" s="18" t="s">
        <v>28</v>
      </c>
      <c r="M689" s="18" t="s">
        <v>28</v>
      </c>
      <c r="N689" s="17">
        <v>45412</v>
      </c>
      <c r="O689" s="15" t="s">
        <v>41</v>
      </c>
      <c r="P689" s="16" t="s">
        <v>2616</v>
      </c>
      <c r="Q689" s="15" t="s">
        <v>249</v>
      </c>
      <c r="R689" s="13" t="str">
        <f>HYPERLINK("https://my.pitchbook.com?c=258200-92T","View Company Online")</f>
        <v>View Company Online</v>
      </c>
    </row>
    <row r="690" spans="1:18" hidden="1" x14ac:dyDescent="0.3">
      <c r="A690" s="9" t="s">
        <v>2617</v>
      </c>
      <c r="B690" s="9" t="s">
        <v>63</v>
      </c>
      <c r="C690" s="11" t="s">
        <v>28</v>
      </c>
      <c r="D690" s="9" t="s">
        <v>2618</v>
      </c>
      <c r="E690" s="11">
        <v>11738</v>
      </c>
      <c r="F690" s="10" t="s">
        <v>28</v>
      </c>
      <c r="G690" s="10">
        <v>2500</v>
      </c>
      <c r="H690" s="10">
        <v>25000</v>
      </c>
      <c r="I690" s="11">
        <v>14866</v>
      </c>
      <c r="J690" s="11">
        <v>1.68</v>
      </c>
      <c r="K690" s="11">
        <v>41809</v>
      </c>
      <c r="L690" s="11">
        <v>0.6</v>
      </c>
      <c r="M690" s="11">
        <v>7825</v>
      </c>
      <c r="N690" s="8">
        <v>45412</v>
      </c>
      <c r="O690" s="9" t="s">
        <v>159</v>
      </c>
      <c r="P690" s="12" t="s">
        <v>2619</v>
      </c>
      <c r="Q690" s="9" t="s">
        <v>2620</v>
      </c>
      <c r="R690" s="14" t="str">
        <f>HYPERLINK("https://my.pitchbook.com?c=232756-39T","View Company Online")</f>
        <v>View Company Online</v>
      </c>
    </row>
    <row r="691" spans="1:18" hidden="1" x14ac:dyDescent="0.3">
      <c r="A691" s="15" t="s">
        <v>2621</v>
      </c>
      <c r="B691" s="15" t="s">
        <v>2622</v>
      </c>
      <c r="C691" s="18" t="s">
        <v>28</v>
      </c>
      <c r="D691" s="15" t="s">
        <v>2623</v>
      </c>
      <c r="E691" s="18" t="s">
        <v>28</v>
      </c>
      <c r="F691" s="19">
        <v>16.77</v>
      </c>
      <c r="G691" s="19">
        <v>16.77</v>
      </c>
      <c r="H691" s="19">
        <v>16.77</v>
      </c>
      <c r="I691" s="18" t="s">
        <v>28</v>
      </c>
      <c r="J691" s="18" t="s">
        <v>28</v>
      </c>
      <c r="K691" s="18">
        <v>8.5</v>
      </c>
      <c r="L691" s="18">
        <v>1.97</v>
      </c>
      <c r="M691" s="18" t="s">
        <v>28</v>
      </c>
      <c r="N691" s="17">
        <v>45412</v>
      </c>
      <c r="O691" s="15" t="s">
        <v>30</v>
      </c>
      <c r="P691" s="16" t="s">
        <v>2624</v>
      </c>
      <c r="Q691" s="15" t="s">
        <v>37</v>
      </c>
      <c r="R691" s="13" t="str">
        <f>HYPERLINK("https://my.pitchbook.com?c=253772-11T","View Company Online")</f>
        <v>View Company Online</v>
      </c>
    </row>
    <row r="692" spans="1:18" hidden="1" x14ac:dyDescent="0.3">
      <c r="A692" s="9" t="s">
        <v>2625</v>
      </c>
      <c r="B692" s="9" t="s">
        <v>2626</v>
      </c>
      <c r="C692" s="11" t="s">
        <v>28</v>
      </c>
      <c r="D692" s="9" t="s">
        <v>2627</v>
      </c>
      <c r="E692" s="11" t="s">
        <v>28</v>
      </c>
      <c r="F692" s="10" t="s">
        <v>28</v>
      </c>
      <c r="G692" s="10" t="s">
        <v>28</v>
      </c>
      <c r="H692" s="10" t="s">
        <v>28</v>
      </c>
      <c r="I692" s="11" t="s">
        <v>28</v>
      </c>
      <c r="J692" s="11" t="s">
        <v>28</v>
      </c>
      <c r="K692" s="11" t="s">
        <v>28</v>
      </c>
      <c r="L692" s="11" t="s">
        <v>28</v>
      </c>
      <c r="M692" s="11" t="s">
        <v>28</v>
      </c>
      <c r="N692" s="8">
        <v>45411</v>
      </c>
      <c r="O692" s="9" t="s">
        <v>52</v>
      </c>
      <c r="P692" s="12" t="s">
        <v>2628</v>
      </c>
      <c r="Q692" s="9" t="s">
        <v>75</v>
      </c>
      <c r="R692" s="14" t="str">
        <f>HYPERLINK("https://my.pitchbook.com?c=299163-25T","View Company Online")</f>
        <v>View Company Online</v>
      </c>
    </row>
    <row r="693" spans="1:18" hidden="1" x14ac:dyDescent="0.3">
      <c r="A693" s="15" t="s">
        <v>2629</v>
      </c>
      <c r="B693" s="15" t="s">
        <v>2630</v>
      </c>
      <c r="C693" s="18" t="s">
        <v>28</v>
      </c>
      <c r="D693" s="15" t="s">
        <v>2631</v>
      </c>
      <c r="E693" s="18" t="s">
        <v>28</v>
      </c>
      <c r="F693" s="19" t="s">
        <v>28</v>
      </c>
      <c r="G693" s="19" t="s">
        <v>28</v>
      </c>
      <c r="H693" s="19" t="s">
        <v>28</v>
      </c>
      <c r="I693" s="18" t="s">
        <v>28</v>
      </c>
      <c r="J693" s="18" t="s">
        <v>28</v>
      </c>
      <c r="K693" s="18" t="s">
        <v>28</v>
      </c>
      <c r="L693" s="18" t="s">
        <v>28</v>
      </c>
      <c r="M693" s="18" t="s">
        <v>28</v>
      </c>
      <c r="N693" s="17">
        <v>45411</v>
      </c>
      <c r="O693" s="15" t="s">
        <v>52</v>
      </c>
      <c r="P693" s="16" t="s">
        <v>1880</v>
      </c>
      <c r="Q693" s="15" t="s">
        <v>75</v>
      </c>
      <c r="R693" s="13" t="str">
        <f>HYPERLINK("https://my.pitchbook.com?c=297558-01T","View Company Online")</f>
        <v>View Company Online</v>
      </c>
    </row>
    <row r="694" spans="1:18" hidden="1" x14ac:dyDescent="0.3">
      <c r="A694" s="9" t="s">
        <v>2632</v>
      </c>
      <c r="B694" s="9" t="s">
        <v>1592</v>
      </c>
      <c r="C694" s="11" t="s">
        <v>28</v>
      </c>
      <c r="D694" s="9" t="s">
        <v>1593</v>
      </c>
      <c r="E694" s="11" t="s">
        <v>28</v>
      </c>
      <c r="F694" s="10" t="s">
        <v>28</v>
      </c>
      <c r="G694" s="10">
        <v>0.2</v>
      </c>
      <c r="H694" s="10" t="s">
        <v>28</v>
      </c>
      <c r="I694" s="11" t="s">
        <v>28</v>
      </c>
      <c r="J694" s="11" t="s">
        <v>28</v>
      </c>
      <c r="K694" s="11" t="s">
        <v>28</v>
      </c>
      <c r="L694" s="11" t="s">
        <v>28</v>
      </c>
      <c r="M694" s="11" t="s">
        <v>28</v>
      </c>
      <c r="N694" s="8">
        <v>45411</v>
      </c>
      <c r="O694" s="9" t="s">
        <v>52</v>
      </c>
      <c r="P694" s="12" t="s">
        <v>2633</v>
      </c>
      <c r="Q694" s="9" t="s">
        <v>75</v>
      </c>
      <c r="R694" s="14" t="str">
        <f>HYPERLINK("https://my.pitchbook.com?c=257030-38T","View Company Online")</f>
        <v>View Company Online</v>
      </c>
    </row>
    <row r="695" spans="1:18" hidden="1" x14ac:dyDescent="0.3">
      <c r="A695" s="15" t="s">
        <v>2634</v>
      </c>
      <c r="B695" s="15" t="s">
        <v>2635</v>
      </c>
      <c r="C695" s="18" t="s">
        <v>28</v>
      </c>
      <c r="D695" s="15" t="s">
        <v>2636</v>
      </c>
      <c r="E695" s="18" t="s">
        <v>28</v>
      </c>
      <c r="F695" s="19" t="s">
        <v>28</v>
      </c>
      <c r="G695" s="19" t="s">
        <v>28</v>
      </c>
      <c r="H695" s="19" t="s">
        <v>28</v>
      </c>
      <c r="I695" s="18" t="s">
        <v>28</v>
      </c>
      <c r="J695" s="18" t="s">
        <v>28</v>
      </c>
      <c r="K695" s="18" t="s">
        <v>28</v>
      </c>
      <c r="L695" s="18" t="s">
        <v>28</v>
      </c>
      <c r="M695" s="18" t="s">
        <v>28</v>
      </c>
      <c r="N695" s="17">
        <v>45411</v>
      </c>
      <c r="O695" s="15" t="s">
        <v>30</v>
      </c>
      <c r="P695" s="16" t="s">
        <v>28</v>
      </c>
      <c r="Q695" s="15" t="s">
        <v>245</v>
      </c>
      <c r="R695" s="13" t="str">
        <f>HYPERLINK("https://my.pitchbook.com?c=268447-33T","View Company Online")</f>
        <v>View Company Online</v>
      </c>
    </row>
    <row r="696" spans="1:18" hidden="1" x14ac:dyDescent="0.3">
      <c r="A696" s="9" t="s">
        <v>2637</v>
      </c>
      <c r="B696" s="9" t="s">
        <v>2638</v>
      </c>
      <c r="C696" s="11" t="s">
        <v>28</v>
      </c>
      <c r="D696" s="9" t="s">
        <v>2639</v>
      </c>
      <c r="E696" s="11" t="s">
        <v>28</v>
      </c>
      <c r="F696" s="10" t="s">
        <v>28</v>
      </c>
      <c r="G696" s="10">
        <v>1.6</v>
      </c>
      <c r="H696" s="10" t="s">
        <v>28</v>
      </c>
      <c r="I696" s="11" t="s">
        <v>28</v>
      </c>
      <c r="J696" s="11" t="s">
        <v>28</v>
      </c>
      <c r="K696" s="11" t="s">
        <v>28</v>
      </c>
      <c r="L696" s="11" t="s">
        <v>28</v>
      </c>
      <c r="M696" s="11" t="s">
        <v>28</v>
      </c>
      <c r="N696" s="8">
        <v>45411</v>
      </c>
      <c r="O696" s="9" t="s">
        <v>73</v>
      </c>
      <c r="P696" s="12" t="s">
        <v>2640</v>
      </c>
      <c r="Q696" s="9" t="s">
        <v>419</v>
      </c>
      <c r="R696" s="14" t="str">
        <f>HYPERLINK("https://my.pitchbook.com?c=258126-31T","View Company Online")</f>
        <v>View Company Online</v>
      </c>
    </row>
    <row r="697" spans="1:18" hidden="1" x14ac:dyDescent="0.3">
      <c r="A697" s="15" t="s">
        <v>2641</v>
      </c>
      <c r="B697" s="15" t="s">
        <v>2642</v>
      </c>
      <c r="C697" s="18" t="s">
        <v>28</v>
      </c>
      <c r="D697" s="15" t="s">
        <v>2643</v>
      </c>
      <c r="E697" s="18" t="s">
        <v>28</v>
      </c>
      <c r="F697" s="19" t="s">
        <v>28</v>
      </c>
      <c r="G697" s="19">
        <v>8.5</v>
      </c>
      <c r="H697" s="19">
        <v>35.75</v>
      </c>
      <c r="I697" s="18" t="s">
        <v>28</v>
      </c>
      <c r="J697" s="18" t="s">
        <v>28</v>
      </c>
      <c r="K697" s="18" t="s">
        <v>28</v>
      </c>
      <c r="L697" s="18" t="s">
        <v>28</v>
      </c>
      <c r="M697" s="18" t="s">
        <v>28</v>
      </c>
      <c r="N697" s="17">
        <v>45408</v>
      </c>
      <c r="O697" s="15" t="s">
        <v>99</v>
      </c>
      <c r="P697" s="16" t="s">
        <v>2644</v>
      </c>
      <c r="Q697" s="15" t="s">
        <v>37</v>
      </c>
      <c r="R697" s="13" t="str">
        <f>HYPERLINK("https://my.pitchbook.com?c=257989-51T","View Company Online")</f>
        <v>View Company Online</v>
      </c>
    </row>
    <row r="698" spans="1:18" hidden="1" x14ac:dyDescent="0.3">
      <c r="A698" s="9" t="s">
        <v>2645</v>
      </c>
      <c r="B698" s="9" t="s">
        <v>2646</v>
      </c>
      <c r="C698" s="11" t="s">
        <v>28</v>
      </c>
      <c r="D698" s="9" t="s">
        <v>2647</v>
      </c>
      <c r="E698" s="11" t="s">
        <v>28</v>
      </c>
      <c r="F698" s="10" t="s">
        <v>28</v>
      </c>
      <c r="G698" s="10" t="s">
        <v>28</v>
      </c>
      <c r="H698" s="10" t="s">
        <v>28</v>
      </c>
      <c r="I698" s="11" t="s">
        <v>28</v>
      </c>
      <c r="J698" s="11" t="s">
        <v>28</v>
      </c>
      <c r="K698" s="11" t="s">
        <v>28</v>
      </c>
      <c r="L698" s="11" t="s">
        <v>28</v>
      </c>
      <c r="M698" s="11" t="s">
        <v>28</v>
      </c>
      <c r="N698" s="8">
        <v>45408</v>
      </c>
      <c r="O698" s="9" t="s">
        <v>52</v>
      </c>
      <c r="P698" s="12" t="s">
        <v>1453</v>
      </c>
      <c r="Q698" s="9" t="s">
        <v>75</v>
      </c>
      <c r="R698" s="14" t="str">
        <f>HYPERLINK("https://my.pitchbook.com?c=277163-29T","View Company Online")</f>
        <v>View Company Online</v>
      </c>
    </row>
    <row r="699" spans="1:18" hidden="1" x14ac:dyDescent="0.3">
      <c r="A699" s="15" t="s">
        <v>2648</v>
      </c>
      <c r="B699" s="15" t="s">
        <v>2649</v>
      </c>
      <c r="C699" s="18" t="s">
        <v>28</v>
      </c>
      <c r="D699" s="15" t="s">
        <v>2650</v>
      </c>
      <c r="E699" s="18" t="s">
        <v>28</v>
      </c>
      <c r="F699" s="19" t="s">
        <v>28</v>
      </c>
      <c r="G699" s="19">
        <v>6</v>
      </c>
      <c r="H699" s="19">
        <v>21</v>
      </c>
      <c r="I699" s="18" t="s">
        <v>28</v>
      </c>
      <c r="J699" s="18" t="s">
        <v>28</v>
      </c>
      <c r="K699" s="18" t="s">
        <v>28</v>
      </c>
      <c r="L699" s="18" t="s">
        <v>28</v>
      </c>
      <c r="M699" s="18" t="s">
        <v>28</v>
      </c>
      <c r="N699" s="17">
        <v>45408</v>
      </c>
      <c r="O699" s="15" t="s">
        <v>79</v>
      </c>
      <c r="P699" s="16" t="s">
        <v>2651</v>
      </c>
      <c r="Q699" s="15" t="s">
        <v>75</v>
      </c>
      <c r="R699" s="13" t="str">
        <f>HYPERLINK("https://my.pitchbook.com?c=232965-64T","View Company Online")</f>
        <v>View Company Online</v>
      </c>
    </row>
    <row r="700" spans="1:18" hidden="1" x14ac:dyDescent="0.3">
      <c r="A700" s="9" t="s">
        <v>2652</v>
      </c>
      <c r="B700" s="9" t="s">
        <v>1595</v>
      </c>
      <c r="C700" s="11" t="s">
        <v>28</v>
      </c>
      <c r="D700" s="9" t="s">
        <v>1596</v>
      </c>
      <c r="E700" s="11" t="s">
        <v>28</v>
      </c>
      <c r="F700" s="10" t="s">
        <v>28</v>
      </c>
      <c r="G700" s="10" t="s">
        <v>28</v>
      </c>
      <c r="H700" s="10" t="s">
        <v>28</v>
      </c>
      <c r="I700" s="11" t="s">
        <v>28</v>
      </c>
      <c r="J700" s="11" t="s">
        <v>28</v>
      </c>
      <c r="K700" s="11" t="s">
        <v>28</v>
      </c>
      <c r="L700" s="11" t="s">
        <v>28</v>
      </c>
      <c r="M700" s="11" t="s">
        <v>28</v>
      </c>
      <c r="N700" s="8">
        <v>45408</v>
      </c>
      <c r="O700" s="9" t="s">
        <v>52</v>
      </c>
      <c r="P700" s="12" t="s">
        <v>1662</v>
      </c>
      <c r="Q700" s="9" t="s">
        <v>75</v>
      </c>
      <c r="R700" s="14" t="str">
        <f>HYPERLINK("https://my.pitchbook.com?c=266562-37T","View Company Online")</f>
        <v>View Company Online</v>
      </c>
    </row>
    <row r="701" spans="1:18" hidden="1" x14ac:dyDescent="0.3">
      <c r="A701" s="15" t="s">
        <v>2653</v>
      </c>
      <c r="B701" s="15" t="s">
        <v>2654</v>
      </c>
      <c r="C701" s="18" t="s">
        <v>28</v>
      </c>
      <c r="D701" s="15" t="s">
        <v>2655</v>
      </c>
      <c r="E701" s="18" t="s">
        <v>28</v>
      </c>
      <c r="F701" s="19" t="s">
        <v>28</v>
      </c>
      <c r="G701" s="19">
        <v>250</v>
      </c>
      <c r="H701" s="19">
        <v>1000</v>
      </c>
      <c r="I701" s="18" t="s">
        <v>28</v>
      </c>
      <c r="J701" s="18" t="s">
        <v>28</v>
      </c>
      <c r="K701" s="18">
        <v>47</v>
      </c>
      <c r="L701" s="18">
        <v>21.28</v>
      </c>
      <c r="M701" s="18" t="s">
        <v>28</v>
      </c>
      <c r="N701" s="17">
        <v>45407</v>
      </c>
      <c r="O701" s="15" t="s">
        <v>79</v>
      </c>
      <c r="P701" s="16" t="s">
        <v>2656</v>
      </c>
      <c r="Q701" s="15" t="s">
        <v>37</v>
      </c>
      <c r="R701" s="13" t="str">
        <f>HYPERLINK("https://my.pitchbook.com?c=244406-62T","View Company Online")</f>
        <v>View Company Online</v>
      </c>
    </row>
    <row r="702" spans="1:18" hidden="1" x14ac:dyDescent="0.3">
      <c r="A702" s="9" t="s">
        <v>2657</v>
      </c>
      <c r="B702" s="9" t="s">
        <v>2658</v>
      </c>
      <c r="C702" s="11" t="s">
        <v>28</v>
      </c>
      <c r="D702" s="9" t="s">
        <v>2659</v>
      </c>
      <c r="E702" s="11" t="s">
        <v>28</v>
      </c>
      <c r="F702" s="10" t="s">
        <v>28</v>
      </c>
      <c r="G702" s="10">
        <v>22.5</v>
      </c>
      <c r="H702" s="10" t="s">
        <v>28</v>
      </c>
      <c r="I702" s="11" t="s">
        <v>28</v>
      </c>
      <c r="J702" s="11" t="s">
        <v>28</v>
      </c>
      <c r="K702" s="11">
        <v>200</v>
      </c>
      <c r="L702" s="11" t="s">
        <v>28</v>
      </c>
      <c r="M702" s="11">
        <v>5</v>
      </c>
      <c r="N702" s="8">
        <v>45406</v>
      </c>
      <c r="O702" s="9" t="s">
        <v>93</v>
      </c>
      <c r="P702" s="12" t="s">
        <v>2660</v>
      </c>
      <c r="Q702" s="9" t="s">
        <v>774</v>
      </c>
      <c r="R702" s="14" t="str">
        <f>HYPERLINK("https://my.pitchbook.com?c=256468-15T","View Company Online")</f>
        <v>View Company Online</v>
      </c>
    </row>
    <row r="703" spans="1:18" hidden="1" x14ac:dyDescent="0.3">
      <c r="A703" s="15" t="s">
        <v>2661</v>
      </c>
      <c r="B703" s="15" t="s">
        <v>2662</v>
      </c>
      <c r="C703" s="18" t="s">
        <v>28</v>
      </c>
      <c r="D703" s="15" t="s">
        <v>2663</v>
      </c>
      <c r="E703" s="18" t="s">
        <v>28</v>
      </c>
      <c r="F703" s="19" t="s">
        <v>28</v>
      </c>
      <c r="G703" s="19" t="s">
        <v>28</v>
      </c>
      <c r="H703" s="19" t="s">
        <v>28</v>
      </c>
      <c r="I703" s="18" t="s">
        <v>28</v>
      </c>
      <c r="J703" s="18" t="s">
        <v>28</v>
      </c>
      <c r="K703" s="18" t="s">
        <v>28</v>
      </c>
      <c r="L703" s="18" t="s">
        <v>28</v>
      </c>
      <c r="M703" s="18" t="s">
        <v>28</v>
      </c>
      <c r="N703" s="17">
        <v>45406</v>
      </c>
      <c r="O703" s="15" t="s">
        <v>52</v>
      </c>
      <c r="P703" s="16" t="s">
        <v>403</v>
      </c>
      <c r="Q703" s="15" t="s">
        <v>386</v>
      </c>
      <c r="R703" s="13" t="str">
        <f>HYPERLINK("https://my.pitchbook.com?c=288103-60T","View Company Online")</f>
        <v>View Company Online</v>
      </c>
    </row>
    <row r="704" spans="1:18" hidden="1" x14ac:dyDescent="0.3">
      <c r="A704" s="9" t="s">
        <v>2664</v>
      </c>
      <c r="B704" s="9" t="s">
        <v>2665</v>
      </c>
      <c r="C704" s="11" t="s">
        <v>28</v>
      </c>
      <c r="D704" s="9" t="s">
        <v>2666</v>
      </c>
      <c r="E704" s="11" t="s">
        <v>28</v>
      </c>
      <c r="F704" s="10" t="s">
        <v>28</v>
      </c>
      <c r="G704" s="10" t="s">
        <v>28</v>
      </c>
      <c r="H704" s="10" t="s">
        <v>28</v>
      </c>
      <c r="I704" s="11" t="s">
        <v>28</v>
      </c>
      <c r="J704" s="11" t="s">
        <v>28</v>
      </c>
      <c r="K704" s="11" t="s">
        <v>28</v>
      </c>
      <c r="L704" s="11" t="s">
        <v>28</v>
      </c>
      <c r="M704" s="11" t="s">
        <v>28</v>
      </c>
      <c r="N704" s="8">
        <v>45406</v>
      </c>
      <c r="O704" s="9" t="s">
        <v>79</v>
      </c>
      <c r="P704" s="12" t="s">
        <v>2667</v>
      </c>
      <c r="Q704" s="9" t="s">
        <v>419</v>
      </c>
      <c r="R704" s="14" t="str">
        <f>HYPERLINK("https://my.pitchbook.com?c=269797-69T","View Company Online")</f>
        <v>View Company Online</v>
      </c>
    </row>
    <row r="705" spans="1:18" hidden="1" x14ac:dyDescent="0.3">
      <c r="A705" s="15" t="s">
        <v>2668</v>
      </c>
      <c r="B705" s="15" t="s">
        <v>2669</v>
      </c>
      <c r="C705" s="18" t="s">
        <v>28</v>
      </c>
      <c r="D705" s="15" t="s">
        <v>2670</v>
      </c>
      <c r="E705" s="18" t="s">
        <v>28</v>
      </c>
      <c r="F705" s="19" t="s">
        <v>28</v>
      </c>
      <c r="G705" s="19" t="s">
        <v>28</v>
      </c>
      <c r="H705" s="19" t="s">
        <v>28</v>
      </c>
      <c r="I705" s="18" t="s">
        <v>28</v>
      </c>
      <c r="J705" s="18" t="s">
        <v>28</v>
      </c>
      <c r="K705" s="18" t="s">
        <v>28</v>
      </c>
      <c r="L705" s="18" t="s">
        <v>28</v>
      </c>
      <c r="M705" s="18" t="s">
        <v>28</v>
      </c>
      <c r="N705" s="17">
        <v>45406</v>
      </c>
      <c r="O705" s="15" t="s">
        <v>30</v>
      </c>
      <c r="P705" s="16" t="s">
        <v>2671</v>
      </c>
      <c r="Q705" s="15" t="s">
        <v>285</v>
      </c>
      <c r="R705" s="13" t="str">
        <f>HYPERLINK("https://my.pitchbook.com?c=257995-63T","View Company Online")</f>
        <v>View Company Online</v>
      </c>
    </row>
    <row r="706" spans="1:18" hidden="1" x14ac:dyDescent="0.3">
      <c r="A706" s="9" t="s">
        <v>2672</v>
      </c>
      <c r="B706" s="9" t="s">
        <v>2673</v>
      </c>
      <c r="C706" s="11" t="s">
        <v>28</v>
      </c>
      <c r="D706" s="9" t="s">
        <v>2674</v>
      </c>
      <c r="E706" s="11" t="s">
        <v>28</v>
      </c>
      <c r="F706" s="10" t="s">
        <v>28</v>
      </c>
      <c r="G706" s="10">
        <v>12.1</v>
      </c>
      <c r="H706" s="10" t="s">
        <v>28</v>
      </c>
      <c r="I706" s="11" t="s">
        <v>28</v>
      </c>
      <c r="J706" s="11" t="s">
        <v>28</v>
      </c>
      <c r="K706" s="11" t="s">
        <v>28</v>
      </c>
      <c r="L706" s="11" t="s">
        <v>28</v>
      </c>
      <c r="M706" s="11" t="s">
        <v>28</v>
      </c>
      <c r="N706" s="8">
        <v>45406</v>
      </c>
      <c r="O706" s="9" t="s">
        <v>73</v>
      </c>
      <c r="P706" s="12" t="s">
        <v>2675</v>
      </c>
      <c r="Q706" s="9" t="s">
        <v>37</v>
      </c>
      <c r="R706" s="14" t="str">
        <f>HYPERLINK("https://my.pitchbook.com?c=248383-72T","View Company Online")</f>
        <v>View Company Online</v>
      </c>
    </row>
    <row r="707" spans="1:18" hidden="1" x14ac:dyDescent="0.3">
      <c r="A707" s="15" t="s">
        <v>2676</v>
      </c>
      <c r="B707" s="15" t="s">
        <v>2677</v>
      </c>
      <c r="C707" s="18" t="s">
        <v>28</v>
      </c>
      <c r="D707" s="15" t="s">
        <v>2678</v>
      </c>
      <c r="E707" s="18" t="s">
        <v>28</v>
      </c>
      <c r="F707" s="19" t="s">
        <v>28</v>
      </c>
      <c r="G707" s="19">
        <v>0.56999999999999995</v>
      </c>
      <c r="H707" s="19">
        <v>2.93</v>
      </c>
      <c r="I707" s="18" t="s">
        <v>28</v>
      </c>
      <c r="J707" s="18" t="s">
        <v>28</v>
      </c>
      <c r="K707" s="18" t="s">
        <v>28</v>
      </c>
      <c r="L707" s="18" t="s">
        <v>28</v>
      </c>
      <c r="M707" s="18" t="s">
        <v>28</v>
      </c>
      <c r="N707" s="17">
        <v>45406</v>
      </c>
      <c r="O707" s="15" t="s">
        <v>58</v>
      </c>
      <c r="P707" s="16" t="s">
        <v>2679</v>
      </c>
      <c r="Q707" s="15" t="s">
        <v>75</v>
      </c>
      <c r="R707" s="13" t="str">
        <f>HYPERLINK("https://my.pitchbook.com?c=258029-29T","View Company Online")</f>
        <v>View Company Online</v>
      </c>
    </row>
    <row r="708" spans="1:18" hidden="1" x14ac:dyDescent="0.3">
      <c r="A708" s="9" t="s">
        <v>2680</v>
      </c>
      <c r="B708" s="9" t="s">
        <v>2681</v>
      </c>
      <c r="C708" s="11" t="s">
        <v>28</v>
      </c>
      <c r="D708" s="9" t="s">
        <v>2682</v>
      </c>
      <c r="E708" s="11" t="s">
        <v>28</v>
      </c>
      <c r="F708" s="10" t="s">
        <v>28</v>
      </c>
      <c r="G708" s="10">
        <v>0.39</v>
      </c>
      <c r="H708" s="10" t="s">
        <v>28</v>
      </c>
      <c r="I708" s="11" t="s">
        <v>28</v>
      </c>
      <c r="J708" s="11" t="s">
        <v>28</v>
      </c>
      <c r="K708" s="11" t="s">
        <v>28</v>
      </c>
      <c r="L708" s="11" t="s">
        <v>28</v>
      </c>
      <c r="M708" s="11" t="s">
        <v>28</v>
      </c>
      <c r="N708" s="8">
        <v>45405</v>
      </c>
      <c r="O708" s="9" t="s">
        <v>79</v>
      </c>
      <c r="P708" s="12" t="s">
        <v>2683</v>
      </c>
      <c r="Q708" s="9" t="s">
        <v>75</v>
      </c>
      <c r="R708" s="14" t="str">
        <f>HYPERLINK("https://my.pitchbook.com?c=257614-30T","View Company Online")</f>
        <v>View Company Online</v>
      </c>
    </row>
    <row r="709" spans="1:18" hidden="1" x14ac:dyDescent="0.3">
      <c r="A709" s="15" t="s">
        <v>2684</v>
      </c>
      <c r="B709" s="15" t="s">
        <v>2685</v>
      </c>
      <c r="C709" s="18" t="s">
        <v>28</v>
      </c>
      <c r="D709" s="15" t="s">
        <v>2686</v>
      </c>
      <c r="E709" s="18" t="s">
        <v>28</v>
      </c>
      <c r="F709" s="19" t="s">
        <v>28</v>
      </c>
      <c r="G709" s="19" t="s">
        <v>28</v>
      </c>
      <c r="H709" s="19" t="s">
        <v>28</v>
      </c>
      <c r="I709" s="18" t="s">
        <v>28</v>
      </c>
      <c r="J709" s="18" t="s">
        <v>28</v>
      </c>
      <c r="K709" s="18" t="s">
        <v>28</v>
      </c>
      <c r="L709" s="18" t="s">
        <v>28</v>
      </c>
      <c r="M709" s="18" t="s">
        <v>28</v>
      </c>
      <c r="N709" s="17">
        <v>45405</v>
      </c>
      <c r="O709" s="15" t="s">
        <v>52</v>
      </c>
      <c r="P709" s="16" t="s">
        <v>2342</v>
      </c>
      <c r="Q709" s="15" t="s">
        <v>37</v>
      </c>
      <c r="R709" s="13" t="str">
        <f>HYPERLINK("https://my.pitchbook.com?c=271221-13T","View Company Online")</f>
        <v>View Company Online</v>
      </c>
    </row>
    <row r="710" spans="1:18" hidden="1" x14ac:dyDescent="0.3">
      <c r="A710" s="9" t="s">
        <v>2687</v>
      </c>
      <c r="B710" s="9" t="s">
        <v>2688</v>
      </c>
      <c r="C710" s="11" t="s">
        <v>28</v>
      </c>
      <c r="D710" s="9" t="s">
        <v>2689</v>
      </c>
      <c r="E710" s="11">
        <v>63.42</v>
      </c>
      <c r="F710" s="10" t="s">
        <v>28</v>
      </c>
      <c r="G710" s="10">
        <v>58.99</v>
      </c>
      <c r="H710" s="10" t="s">
        <v>28</v>
      </c>
      <c r="I710" s="11">
        <v>66.819999999999993</v>
      </c>
      <c r="J710" s="11" t="s">
        <v>28</v>
      </c>
      <c r="K710" s="11">
        <v>408.26</v>
      </c>
      <c r="L710" s="11" t="s">
        <v>28</v>
      </c>
      <c r="M710" s="11">
        <v>63.76</v>
      </c>
      <c r="N710" s="8">
        <v>45404</v>
      </c>
      <c r="O710" s="9" t="s">
        <v>423</v>
      </c>
      <c r="P710" s="12" t="s">
        <v>2690</v>
      </c>
      <c r="Q710" s="9" t="s">
        <v>69</v>
      </c>
      <c r="R710" s="14" t="str">
        <f>HYPERLINK("https://my.pitchbook.com?c=259248-43T","View Company Online")</f>
        <v>View Company Online</v>
      </c>
    </row>
    <row r="711" spans="1:18" hidden="1" x14ac:dyDescent="0.3">
      <c r="A711" s="15" t="s">
        <v>2691</v>
      </c>
      <c r="B711" s="15" t="s">
        <v>2692</v>
      </c>
      <c r="C711" s="18" t="s">
        <v>28</v>
      </c>
      <c r="D711" s="15" t="s">
        <v>2693</v>
      </c>
      <c r="E711" s="18" t="s">
        <v>28</v>
      </c>
      <c r="F711" s="19" t="s">
        <v>28</v>
      </c>
      <c r="G711" s="19" t="s">
        <v>28</v>
      </c>
      <c r="H711" s="19" t="s">
        <v>28</v>
      </c>
      <c r="I711" s="18" t="s">
        <v>28</v>
      </c>
      <c r="J711" s="18" t="s">
        <v>28</v>
      </c>
      <c r="K711" s="18" t="s">
        <v>28</v>
      </c>
      <c r="L711" s="18" t="s">
        <v>28</v>
      </c>
      <c r="M711" s="18" t="s">
        <v>28</v>
      </c>
      <c r="N711" s="17">
        <v>45404</v>
      </c>
      <c r="O711" s="15" t="s">
        <v>30</v>
      </c>
      <c r="P711" s="16" t="s">
        <v>2694</v>
      </c>
      <c r="Q711" s="15" t="s">
        <v>75</v>
      </c>
      <c r="R711" s="13" t="str">
        <f>HYPERLINK("https://my.pitchbook.com?c=258787-63T","View Company Online")</f>
        <v>View Company Online</v>
      </c>
    </row>
    <row r="712" spans="1:18" hidden="1" x14ac:dyDescent="0.3">
      <c r="A712" s="9" t="s">
        <v>2695</v>
      </c>
      <c r="B712" s="9" t="s">
        <v>2696</v>
      </c>
      <c r="C712" s="11" t="s">
        <v>28</v>
      </c>
      <c r="D712" s="9" t="s">
        <v>2697</v>
      </c>
      <c r="E712" s="11" t="s">
        <v>28</v>
      </c>
      <c r="F712" s="10" t="s">
        <v>28</v>
      </c>
      <c r="G712" s="10">
        <v>0.31</v>
      </c>
      <c r="H712" s="10" t="s">
        <v>28</v>
      </c>
      <c r="I712" s="11" t="s">
        <v>28</v>
      </c>
      <c r="J712" s="11" t="s">
        <v>28</v>
      </c>
      <c r="K712" s="11" t="s">
        <v>28</v>
      </c>
      <c r="L712" s="11" t="s">
        <v>28</v>
      </c>
      <c r="M712" s="11" t="s">
        <v>28</v>
      </c>
      <c r="N712" s="8">
        <v>45404</v>
      </c>
      <c r="O712" s="9" t="s">
        <v>99</v>
      </c>
      <c r="P712" s="12" t="s">
        <v>2698</v>
      </c>
      <c r="Q712" s="9" t="s">
        <v>386</v>
      </c>
      <c r="R712" s="14" t="str">
        <f>HYPERLINK("https://my.pitchbook.com?c=257955-58T","View Company Online")</f>
        <v>View Company Online</v>
      </c>
    </row>
    <row r="713" spans="1:18" hidden="1" x14ac:dyDescent="0.3">
      <c r="A713" s="15" t="s">
        <v>2699</v>
      </c>
      <c r="B713" s="15" t="s">
        <v>2700</v>
      </c>
      <c r="C713" s="18" t="s">
        <v>28</v>
      </c>
      <c r="D713" s="15" t="s">
        <v>2701</v>
      </c>
      <c r="E713" s="18" t="s">
        <v>28</v>
      </c>
      <c r="F713" s="19" t="s">
        <v>28</v>
      </c>
      <c r="G713" s="19" t="s">
        <v>28</v>
      </c>
      <c r="H713" s="19" t="s">
        <v>28</v>
      </c>
      <c r="I713" s="18" t="s">
        <v>28</v>
      </c>
      <c r="J713" s="18" t="s">
        <v>28</v>
      </c>
      <c r="K713" s="18" t="s">
        <v>28</v>
      </c>
      <c r="L713" s="18" t="s">
        <v>28</v>
      </c>
      <c r="M713" s="18" t="s">
        <v>28</v>
      </c>
      <c r="N713" s="17">
        <v>45404</v>
      </c>
      <c r="O713" s="15" t="s">
        <v>52</v>
      </c>
      <c r="P713" s="16" t="s">
        <v>2702</v>
      </c>
      <c r="Q713" s="15" t="s">
        <v>75</v>
      </c>
      <c r="R713" s="13" t="str">
        <f>HYPERLINK("https://my.pitchbook.com?c=265987-99T","View Company Online")</f>
        <v>View Company Online</v>
      </c>
    </row>
    <row r="714" spans="1:18" hidden="1" x14ac:dyDescent="0.3">
      <c r="A714" s="9" t="s">
        <v>2703</v>
      </c>
      <c r="B714" s="9" t="s">
        <v>2704</v>
      </c>
      <c r="C714" s="11" t="s">
        <v>28</v>
      </c>
      <c r="D714" s="9" t="s">
        <v>2705</v>
      </c>
      <c r="E714" s="11">
        <v>30.42</v>
      </c>
      <c r="F714" s="10" t="s">
        <v>28</v>
      </c>
      <c r="G714" s="10" t="s">
        <v>28</v>
      </c>
      <c r="H714" s="10" t="s">
        <v>28</v>
      </c>
      <c r="I714" s="11">
        <v>35.159999999999997</v>
      </c>
      <c r="J714" s="11" t="s">
        <v>28</v>
      </c>
      <c r="K714" s="11">
        <v>214.16</v>
      </c>
      <c r="L714" s="11" t="s">
        <v>28</v>
      </c>
      <c r="M714" s="11">
        <v>16.149999999999999</v>
      </c>
      <c r="N714" s="8">
        <v>45402</v>
      </c>
      <c r="O714" s="9" t="s">
        <v>30</v>
      </c>
      <c r="P714" s="12" t="s">
        <v>28</v>
      </c>
      <c r="Q714" s="9" t="s">
        <v>2706</v>
      </c>
      <c r="R714" s="14" t="str">
        <f>HYPERLINK("https://my.pitchbook.com?c=260367-40T","View Company Online")</f>
        <v>View Company Online</v>
      </c>
    </row>
    <row r="715" spans="1:18" hidden="1" x14ac:dyDescent="0.3">
      <c r="A715" s="15" t="s">
        <v>2707</v>
      </c>
      <c r="B715" s="15" t="s">
        <v>2708</v>
      </c>
      <c r="C715" s="18" t="s">
        <v>28</v>
      </c>
      <c r="D715" s="15" t="s">
        <v>2709</v>
      </c>
      <c r="E715" s="18" t="s">
        <v>28</v>
      </c>
      <c r="F715" s="19">
        <v>690.5</v>
      </c>
      <c r="G715" s="19">
        <v>690.5</v>
      </c>
      <c r="H715" s="19">
        <v>690.5</v>
      </c>
      <c r="I715" s="18" t="s">
        <v>28</v>
      </c>
      <c r="J715" s="18" t="s">
        <v>28</v>
      </c>
      <c r="K715" s="18" t="s">
        <v>28</v>
      </c>
      <c r="L715" s="18" t="s">
        <v>28</v>
      </c>
      <c r="M715" s="18">
        <v>3</v>
      </c>
      <c r="N715" s="17">
        <v>45402</v>
      </c>
      <c r="O715" s="15" t="s">
        <v>41</v>
      </c>
      <c r="P715" s="16" t="s">
        <v>2710</v>
      </c>
      <c r="Q715" s="15" t="s">
        <v>114</v>
      </c>
      <c r="R715" s="13" t="str">
        <f>HYPERLINK("https://my.pitchbook.com?c=244052-20T","View Company Online")</f>
        <v>View Company Online</v>
      </c>
    </row>
    <row r="716" spans="1:18" hidden="1" x14ac:dyDescent="0.3">
      <c r="A716" s="9" t="s">
        <v>2711</v>
      </c>
      <c r="B716" s="9" t="s">
        <v>2712</v>
      </c>
      <c r="C716" s="11" t="s">
        <v>28</v>
      </c>
      <c r="D716" s="9" t="s">
        <v>2713</v>
      </c>
      <c r="E716" s="11" t="s">
        <v>28</v>
      </c>
      <c r="F716" s="10" t="s">
        <v>28</v>
      </c>
      <c r="G716" s="10" t="s">
        <v>28</v>
      </c>
      <c r="H716" s="10" t="s">
        <v>28</v>
      </c>
      <c r="I716" s="11" t="s">
        <v>28</v>
      </c>
      <c r="J716" s="11" t="s">
        <v>28</v>
      </c>
      <c r="K716" s="11" t="s">
        <v>28</v>
      </c>
      <c r="L716" s="11" t="s">
        <v>28</v>
      </c>
      <c r="M716" s="11" t="s">
        <v>28</v>
      </c>
      <c r="N716" s="8">
        <v>45401</v>
      </c>
      <c r="O716" s="9" t="s">
        <v>52</v>
      </c>
      <c r="P716" s="12" t="s">
        <v>2714</v>
      </c>
      <c r="Q716" s="9" t="s">
        <v>37</v>
      </c>
      <c r="R716" s="14" t="str">
        <f>HYPERLINK("https://my.pitchbook.com?c=267495-31T","View Company Online")</f>
        <v>View Company Online</v>
      </c>
    </row>
    <row r="717" spans="1:18" hidden="1" x14ac:dyDescent="0.3">
      <c r="A717" s="15" t="s">
        <v>2715</v>
      </c>
      <c r="B717" s="15" t="s">
        <v>2716</v>
      </c>
      <c r="C717" s="18" t="s">
        <v>28</v>
      </c>
      <c r="D717" s="15" t="s">
        <v>2717</v>
      </c>
      <c r="E717" s="18">
        <v>32.14</v>
      </c>
      <c r="F717" s="19" t="s">
        <v>28</v>
      </c>
      <c r="G717" s="19" t="s">
        <v>28</v>
      </c>
      <c r="H717" s="19" t="s">
        <v>28</v>
      </c>
      <c r="I717" s="18">
        <v>33.57</v>
      </c>
      <c r="J717" s="18" t="s">
        <v>28</v>
      </c>
      <c r="K717" s="18">
        <v>125.32</v>
      </c>
      <c r="L717" s="18" t="s">
        <v>28</v>
      </c>
      <c r="M717" s="18">
        <v>31.21</v>
      </c>
      <c r="N717" s="17">
        <v>45401</v>
      </c>
      <c r="O717" s="15" t="s">
        <v>159</v>
      </c>
      <c r="P717" s="16" t="s">
        <v>2718</v>
      </c>
      <c r="Q717" s="15" t="s">
        <v>226</v>
      </c>
      <c r="R717" s="13" t="str">
        <f>HYPERLINK("https://my.pitchbook.com?c=259214-77T","View Company Online")</f>
        <v>View Company Online</v>
      </c>
    </row>
    <row r="718" spans="1:18" hidden="1" x14ac:dyDescent="0.3">
      <c r="A718" s="9" t="s">
        <v>2719</v>
      </c>
      <c r="B718" s="9" t="s">
        <v>2720</v>
      </c>
      <c r="C718" s="11" t="s">
        <v>28</v>
      </c>
      <c r="D718" s="9" t="s">
        <v>2721</v>
      </c>
      <c r="E718" s="11" t="s">
        <v>28</v>
      </c>
      <c r="F718" s="10">
        <v>2.96</v>
      </c>
      <c r="G718" s="10">
        <v>2.96</v>
      </c>
      <c r="H718" s="10">
        <v>2.96</v>
      </c>
      <c r="I718" s="11" t="s">
        <v>28</v>
      </c>
      <c r="J718" s="11" t="s">
        <v>28</v>
      </c>
      <c r="K718" s="11" t="s">
        <v>28</v>
      </c>
      <c r="L718" s="11" t="s">
        <v>28</v>
      </c>
      <c r="M718" s="11" t="s">
        <v>28</v>
      </c>
      <c r="N718" s="8">
        <v>45401</v>
      </c>
      <c r="O718" s="9" t="s">
        <v>30</v>
      </c>
      <c r="P718" s="12" t="s">
        <v>2722</v>
      </c>
      <c r="Q718" s="9" t="s">
        <v>880</v>
      </c>
      <c r="R718" s="14" t="str">
        <f>HYPERLINK("https://my.pitchbook.com?c=257468-86T","View Company Online")</f>
        <v>View Company Online</v>
      </c>
    </row>
    <row r="719" spans="1:18" hidden="1" x14ac:dyDescent="0.3">
      <c r="A719" s="15" t="s">
        <v>2723</v>
      </c>
      <c r="B719" s="15" t="s">
        <v>2724</v>
      </c>
      <c r="C719" s="18" t="s">
        <v>28</v>
      </c>
      <c r="D719" s="15" t="s">
        <v>2725</v>
      </c>
      <c r="E719" s="18" t="s">
        <v>28</v>
      </c>
      <c r="F719" s="19" t="s">
        <v>28</v>
      </c>
      <c r="G719" s="19" t="s">
        <v>28</v>
      </c>
      <c r="H719" s="19" t="s">
        <v>28</v>
      </c>
      <c r="I719" s="18" t="s">
        <v>28</v>
      </c>
      <c r="J719" s="18" t="s">
        <v>28</v>
      </c>
      <c r="K719" s="18" t="s">
        <v>28</v>
      </c>
      <c r="L719" s="18" t="s">
        <v>28</v>
      </c>
      <c r="M719" s="18" t="s">
        <v>28</v>
      </c>
      <c r="N719" s="17">
        <v>45400</v>
      </c>
      <c r="O719" s="15" t="s">
        <v>173</v>
      </c>
      <c r="P719" s="16" t="s">
        <v>28</v>
      </c>
      <c r="Q719" s="15" t="s">
        <v>174</v>
      </c>
      <c r="R719" s="13" t="str">
        <f>HYPERLINK("https://my.pitchbook.com?c=261226-63T","View Company Online")</f>
        <v>View Company Online</v>
      </c>
    </row>
    <row r="720" spans="1:18" hidden="1" x14ac:dyDescent="0.3">
      <c r="A720" s="9" t="s">
        <v>2726</v>
      </c>
      <c r="B720" s="9" t="s">
        <v>2727</v>
      </c>
      <c r="C720" s="11" t="s">
        <v>28</v>
      </c>
      <c r="D720" s="9" t="s">
        <v>2728</v>
      </c>
      <c r="E720" s="11" t="s">
        <v>28</v>
      </c>
      <c r="F720" s="10" t="s">
        <v>28</v>
      </c>
      <c r="G720" s="10" t="s">
        <v>28</v>
      </c>
      <c r="H720" s="10" t="s">
        <v>28</v>
      </c>
      <c r="I720" s="11" t="s">
        <v>28</v>
      </c>
      <c r="J720" s="11" t="s">
        <v>28</v>
      </c>
      <c r="K720" s="11" t="s">
        <v>28</v>
      </c>
      <c r="L720" s="11" t="s">
        <v>28</v>
      </c>
      <c r="M720" s="11" t="s">
        <v>28</v>
      </c>
      <c r="N720" s="8">
        <v>45400</v>
      </c>
      <c r="O720" s="9" t="s">
        <v>30</v>
      </c>
      <c r="P720" s="12" t="s">
        <v>2729</v>
      </c>
      <c r="Q720" s="9" t="s">
        <v>1213</v>
      </c>
      <c r="R720" s="14" t="str">
        <f>HYPERLINK("https://my.pitchbook.com?c=257204-71T","View Company Online")</f>
        <v>View Company Online</v>
      </c>
    </row>
    <row r="721" spans="1:18" hidden="1" x14ac:dyDescent="0.3">
      <c r="A721" s="15" t="s">
        <v>2730</v>
      </c>
      <c r="B721" s="15" t="s">
        <v>2731</v>
      </c>
      <c r="C721" s="18" t="s">
        <v>28</v>
      </c>
      <c r="D721" s="15" t="s">
        <v>2732</v>
      </c>
      <c r="E721" s="18" t="s">
        <v>28</v>
      </c>
      <c r="F721" s="19" t="s">
        <v>28</v>
      </c>
      <c r="G721" s="19" t="s">
        <v>28</v>
      </c>
      <c r="H721" s="19" t="s">
        <v>28</v>
      </c>
      <c r="I721" s="18" t="s">
        <v>28</v>
      </c>
      <c r="J721" s="18" t="s">
        <v>28</v>
      </c>
      <c r="K721" s="18" t="s">
        <v>28</v>
      </c>
      <c r="L721" s="18" t="s">
        <v>28</v>
      </c>
      <c r="M721" s="18" t="s">
        <v>28</v>
      </c>
      <c r="N721" s="17">
        <v>45400</v>
      </c>
      <c r="O721" s="15" t="s">
        <v>173</v>
      </c>
      <c r="P721" s="16" t="s">
        <v>28</v>
      </c>
      <c r="Q721" s="15" t="s">
        <v>1336</v>
      </c>
      <c r="R721" s="13" t="str">
        <f>HYPERLINK("https://my.pitchbook.com?c=257583-07T","View Company Online")</f>
        <v>View Company Online</v>
      </c>
    </row>
    <row r="722" spans="1:18" hidden="1" x14ac:dyDescent="0.3">
      <c r="A722" s="9" t="s">
        <v>2733</v>
      </c>
      <c r="B722" s="9" t="s">
        <v>2734</v>
      </c>
      <c r="C722" s="11" t="s">
        <v>28</v>
      </c>
      <c r="D722" s="9" t="s">
        <v>2735</v>
      </c>
      <c r="E722" s="11" t="s">
        <v>28</v>
      </c>
      <c r="F722" s="10" t="s">
        <v>28</v>
      </c>
      <c r="G722" s="10" t="s">
        <v>28</v>
      </c>
      <c r="H722" s="10" t="s">
        <v>28</v>
      </c>
      <c r="I722" s="11" t="s">
        <v>28</v>
      </c>
      <c r="J722" s="11" t="s">
        <v>28</v>
      </c>
      <c r="K722" s="11" t="s">
        <v>28</v>
      </c>
      <c r="L722" s="11" t="s">
        <v>28</v>
      </c>
      <c r="M722" s="11" t="s">
        <v>28</v>
      </c>
      <c r="N722" s="8">
        <v>45399</v>
      </c>
      <c r="O722" s="9" t="s">
        <v>52</v>
      </c>
      <c r="P722" s="12" t="s">
        <v>2736</v>
      </c>
      <c r="Q722" s="9" t="s">
        <v>1035</v>
      </c>
      <c r="R722" s="14" t="str">
        <f>HYPERLINK("https://my.pitchbook.com?c=292585-33T","View Company Online")</f>
        <v>View Company Online</v>
      </c>
    </row>
    <row r="723" spans="1:18" hidden="1" x14ac:dyDescent="0.3">
      <c r="A723" s="15" t="s">
        <v>2737</v>
      </c>
      <c r="B723" s="15" t="s">
        <v>2738</v>
      </c>
      <c r="C723" s="18" t="s">
        <v>28</v>
      </c>
      <c r="D723" s="15" t="s">
        <v>2739</v>
      </c>
      <c r="E723" s="18" t="s">
        <v>28</v>
      </c>
      <c r="F723" s="19" t="s">
        <v>28</v>
      </c>
      <c r="G723" s="19">
        <v>6.94</v>
      </c>
      <c r="H723" s="19" t="s">
        <v>28</v>
      </c>
      <c r="I723" s="18" t="s">
        <v>28</v>
      </c>
      <c r="J723" s="18" t="s">
        <v>28</v>
      </c>
      <c r="K723" s="18" t="s">
        <v>28</v>
      </c>
      <c r="L723" s="18" t="s">
        <v>28</v>
      </c>
      <c r="M723" s="18" t="s">
        <v>28</v>
      </c>
      <c r="N723" s="17">
        <v>45399</v>
      </c>
      <c r="O723" s="15" t="s">
        <v>73</v>
      </c>
      <c r="P723" s="16" t="s">
        <v>2740</v>
      </c>
      <c r="Q723" s="15" t="s">
        <v>75</v>
      </c>
      <c r="R723" s="13" t="str">
        <f>HYPERLINK("https://my.pitchbook.com?c=257319-91T","View Company Online")</f>
        <v>View Company Online</v>
      </c>
    </row>
    <row r="724" spans="1:18" hidden="1" x14ac:dyDescent="0.3">
      <c r="A724" s="9" t="s">
        <v>2741</v>
      </c>
      <c r="B724" s="9" t="s">
        <v>2742</v>
      </c>
      <c r="C724" s="11" t="s">
        <v>28</v>
      </c>
      <c r="D724" s="9" t="s">
        <v>2743</v>
      </c>
      <c r="E724" s="11" t="s">
        <v>28</v>
      </c>
      <c r="F724" s="10" t="s">
        <v>28</v>
      </c>
      <c r="G724" s="10">
        <v>0.16</v>
      </c>
      <c r="H724" s="10" t="s">
        <v>28</v>
      </c>
      <c r="I724" s="11" t="s">
        <v>28</v>
      </c>
      <c r="J724" s="11" t="s">
        <v>28</v>
      </c>
      <c r="K724" s="11" t="s">
        <v>28</v>
      </c>
      <c r="L724" s="11" t="s">
        <v>28</v>
      </c>
      <c r="M724" s="11" t="s">
        <v>28</v>
      </c>
      <c r="N724" s="8">
        <v>45399</v>
      </c>
      <c r="O724" s="9" t="s">
        <v>379</v>
      </c>
      <c r="P724" s="12" t="s">
        <v>28</v>
      </c>
      <c r="Q724" s="9" t="s">
        <v>855</v>
      </c>
      <c r="R724" s="14" t="str">
        <f>HYPERLINK("https://my.pitchbook.com?c=257167-72T","View Company Online")</f>
        <v>View Company Online</v>
      </c>
    </row>
    <row r="725" spans="1:18" hidden="1" x14ac:dyDescent="0.3">
      <c r="A725" s="15" t="s">
        <v>2744</v>
      </c>
      <c r="B725" s="15" t="s">
        <v>2745</v>
      </c>
      <c r="C725" s="18" t="s">
        <v>28</v>
      </c>
      <c r="D725" s="15" t="s">
        <v>2746</v>
      </c>
      <c r="E725" s="18" t="s">
        <v>28</v>
      </c>
      <c r="F725" s="19" t="s">
        <v>28</v>
      </c>
      <c r="G725" s="19" t="s">
        <v>28</v>
      </c>
      <c r="H725" s="19" t="s">
        <v>28</v>
      </c>
      <c r="I725" s="18" t="s">
        <v>28</v>
      </c>
      <c r="J725" s="18" t="s">
        <v>28</v>
      </c>
      <c r="K725" s="18" t="s">
        <v>28</v>
      </c>
      <c r="L725" s="18" t="s">
        <v>28</v>
      </c>
      <c r="M725" s="18" t="s">
        <v>28</v>
      </c>
      <c r="N725" s="17">
        <v>45399</v>
      </c>
      <c r="O725" s="15" t="s">
        <v>30</v>
      </c>
      <c r="P725" s="16" t="s">
        <v>2747</v>
      </c>
      <c r="Q725" s="15" t="s">
        <v>136</v>
      </c>
      <c r="R725" s="13" t="str">
        <f>HYPERLINK("https://my.pitchbook.com?c=257353-39T","View Company Online")</f>
        <v>View Company Online</v>
      </c>
    </row>
    <row r="726" spans="1:18" hidden="1" x14ac:dyDescent="0.3">
      <c r="A726" s="9" t="s">
        <v>2748</v>
      </c>
      <c r="B726" s="9" t="s">
        <v>2749</v>
      </c>
      <c r="C726" s="11" t="s">
        <v>28</v>
      </c>
      <c r="D726" s="9" t="s">
        <v>2750</v>
      </c>
      <c r="E726" s="11" t="s">
        <v>28</v>
      </c>
      <c r="F726" s="10" t="s">
        <v>28</v>
      </c>
      <c r="G726" s="10" t="s">
        <v>28</v>
      </c>
      <c r="H726" s="10" t="s">
        <v>28</v>
      </c>
      <c r="I726" s="11" t="s">
        <v>28</v>
      </c>
      <c r="J726" s="11" t="s">
        <v>28</v>
      </c>
      <c r="K726" s="11" t="s">
        <v>28</v>
      </c>
      <c r="L726" s="11" t="s">
        <v>28</v>
      </c>
      <c r="M726" s="11" t="s">
        <v>28</v>
      </c>
      <c r="N726" s="8">
        <v>45399</v>
      </c>
      <c r="O726" s="9" t="s">
        <v>93</v>
      </c>
      <c r="P726" s="12" t="s">
        <v>2751</v>
      </c>
      <c r="Q726" s="9" t="s">
        <v>69</v>
      </c>
      <c r="R726" s="14" t="str">
        <f>HYPERLINK("https://my.pitchbook.com?c=288345-70T","View Company Online")</f>
        <v>View Company Online</v>
      </c>
    </row>
    <row r="727" spans="1:18" hidden="1" x14ac:dyDescent="0.3">
      <c r="A727" s="15" t="s">
        <v>2752</v>
      </c>
      <c r="B727" s="15" t="s">
        <v>2753</v>
      </c>
      <c r="C727" s="18" t="s">
        <v>28</v>
      </c>
      <c r="D727" s="15" t="s">
        <v>2754</v>
      </c>
      <c r="E727" s="18" t="s">
        <v>28</v>
      </c>
      <c r="F727" s="19" t="s">
        <v>28</v>
      </c>
      <c r="G727" s="19" t="s">
        <v>28</v>
      </c>
      <c r="H727" s="19" t="s">
        <v>28</v>
      </c>
      <c r="I727" s="18" t="s">
        <v>28</v>
      </c>
      <c r="J727" s="18" t="s">
        <v>28</v>
      </c>
      <c r="K727" s="18" t="s">
        <v>28</v>
      </c>
      <c r="L727" s="18" t="s">
        <v>28</v>
      </c>
      <c r="M727" s="18" t="s">
        <v>28</v>
      </c>
      <c r="N727" s="17">
        <v>45399</v>
      </c>
      <c r="O727" s="15" t="s">
        <v>30</v>
      </c>
      <c r="P727" s="16" t="s">
        <v>2755</v>
      </c>
      <c r="Q727" s="15" t="s">
        <v>75</v>
      </c>
      <c r="R727" s="13" t="str">
        <f>HYPERLINK("https://my.pitchbook.com?c=257068-81T","View Company Online")</f>
        <v>View Company Online</v>
      </c>
    </row>
    <row r="728" spans="1:18" hidden="1" x14ac:dyDescent="0.3">
      <c r="A728" s="9" t="s">
        <v>2756</v>
      </c>
      <c r="B728" s="9" t="s">
        <v>2757</v>
      </c>
      <c r="C728" s="11" t="s">
        <v>28</v>
      </c>
      <c r="D728" s="9" t="s">
        <v>2758</v>
      </c>
      <c r="E728" s="11" t="s">
        <v>28</v>
      </c>
      <c r="F728" s="10" t="s">
        <v>28</v>
      </c>
      <c r="G728" s="10" t="s">
        <v>28</v>
      </c>
      <c r="H728" s="10" t="s">
        <v>28</v>
      </c>
      <c r="I728" s="11" t="s">
        <v>28</v>
      </c>
      <c r="J728" s="11" t="s">
        <v>28</v>
      </c>
      <c r="K728" s="11" t="s">
        <v>28</v>
      </c>
      <c r="L728" s="11" t="s">
        <v>28</v>
      </c>
      <c r="M728" s="11" t="s">
        <v>28</v>
      </c>
      <c r="N728" s="8">
        <v>45399</v>
      </c>
      <c r="O728" s="9" t="s">
        <v>30</v>
      </c>
      <c r="P728" s="12" t="s">
        <v>2759</v>
      </c>
      <c r="Q728" s="9" t="s">
        <v>414</v>
      </c>
      <c r="R728" s="14" t="str">
        <f>HYPERLINK("https://my.pitchbook.com?c=257222-08T","View Company Online")</f>
        <v>View Company Online</v>
      </c>
    </row>
    <row r="729" spans="1:18" hidden="1" x14ac:dyDescent="0.3">
      <c r="A729" s="15" t="s">
        <v>2760</v>
      </c>
      <c r="B729" s="15" t="s">
        <v>2761</v>
      </c>
      <c r="C729" s="18" t="s">
        <v>28</v>
      </c>
      <c r="D729" s="15" t="s">
        <v>2762</v>
      </c>
      <c r="E729" s="18" t="s">
        <v>28</v>
      </c>
      <c r="F729" s="19" t="s">
        <v>28</v>
      </c>
      <c r="G729" s="19" t="s">
        <v>28</v>
      </c>
      <c r="H729" s="19" t="s">
        <v>28</v>
      </c>
      <c r="I729" s="18" t="s">
        <v>28</v>
      </c>
      <c r="J729" s="18" t="s">
        <v>28</v>
      </c>
      <c r="K729" s="18">
        <v>-0.01</v>
      </c>
      <c r="L729" s="18" t="s">
        <v>28</v>
      </c>
      <c r="M729" s="18">
        <v>-0.2</v>
      </c>
      <c r="N729" s="17">
        <v>45399</v>
      </c>
      <c r="O729" s="15" t="s">
        <v>173</v>
      </c>
      <c r="P729" s="16" t="s">
        <v>28</v>
      </c>
      <c r="Q729" s="15" t="s">
        <v>174</v>
      </c>
      <c r="R729" s="13" t="str">
        <f>HYPERLINK("https://my.pitchbook.com?c=257359-78T","View Company Online")</f>
        <v>View Company Online</v>
      </c>
    </row>
    <row r="730" spans="1:18" hidden="1" x14ac:dyDescent="0.3">
      <c r="A730" s="9" t="s">
        <v>2763</v>
      </c>
      <c r="B730" s="9" t="s">
        <v>2764</v>
      </c>
      <c r="C730" s="11" t="s">
        <v>28</v>
      </c>
      <c r="D730" s="9" t="s">
        <v>2765</v>
      </c>
      <c r="E730" s="11" t="s">
        <v>28</v>
      </c>
      <c r="F730" s="10" t="s">
        <v>28</v>
      </c>
      <c r="G730" s="10" t="s">
        <v>28</v>
      </c>
      <c r="H730" s="10" t="s">
        <v>28</v>
      </c>
      <c r="I730" s="11" t="s">
        <v>28</v>
      </c>
      <c r="J730" s="11" t="s">
        <v>28</v>
      </c>
      <c r="K730" s="11" t="s">
        <v>28</v>
      </c>
      <c r="L730" s="11" t="s">
        <v>28</v>
      </c>
      <c r="M730" s="11" t="s">
        <v>28</v>
      </c>
      <c r="N730" s="8">
        <v>45398</v>
      </c>
      <c r="O730" s="9" t="s">
        <v>41</v>
      </c>
      <c r="P730" s="12" t="s">
        <v>2766</v>
      </c>
      <c r="Q730" s="9" t="s">
        <v>75</v>
      </c>
      <c r="R730" s="14" t="str">
        <f>HYPERLINK("https://my.pitchbook.com?c=257066-38T","View Company Online")</f>
        <v>View Company Online</v>
      </c>
    </row>
    <row r="731" spans="1:18" hidden="1" x14ac:dyDescent="0.3">
      <c r="A731" s="15" t="s">
        <v>2767</v>
      </c>
      <c r="B731" s="15" t="s">
        <v>2768</v>
      </c>
      <c r="C731" s="18" t="s">
        <v>28</v>
      </c>
      <c r="D731" s="15" t="s">
        <v>2769</v>
      </c>
      <c r="E731" s="18" t="s">
        <v>28</v>
      </c>
      <c r="F731" s="19" t="s">
        <v>28</v>
      </c>
      <c r="G731" s="19" t="s">
        <v>28</v>
      </c>
      <c r="H731" s="19" t="s">
        <v>28</v>
      </c>
      <c r="I731" s="18" t="s">
        <v>28</v>
      </c>
      <c r="J731" s="18" t="s">
        <v>28</v>
      </c>
      <c r="K731" s="18" t="s">
        <v>28</v>
      </c>
      <c r="L731" s="18" t="s">
        <v>28</v>
      </c>
      <c r="M731" s="18" t="s">
        <v>28</v>
      </c>
      <c r="N731" s="17">
        <v>45398</v>
      </c>
      <c r="O731" s="15" t="s">
        <v>173</v>
      </c>
      <c r="P731" s="16" t="s">
        <v>28</v>
      </c>
      <c r="Q731" s="15" t="s">
        <v>174</v>
      </c>
      <c r="R731" s="13" t="str">
        <f>HYPERLINK("https://my.pitchbook.com?c=269123-59T","View Company Online")</f>
        <v>View Company Online</v>
      </c>
    </row>
    <row r="732" spans="1:18" hidden="1" x14ac:dyDescent="0.3">
      <c r="A732" s="9" t="s">
        <v>2770</v>
      </c>
      <c r="B732" s="9" t="s">
        <v>2771</v>
      </c>
      <c r="C732" s="11" t="s">
        <v>28</v>
      </c>
      <c r="D732" s="9" t="s">
        <v>2772</v>
      </c>
      <c r="E732" s="11" t="s">
        <v>28</v>
      </c>
      <c r="F732" s="10" t="s">
        <v>28</v>
      </c>
      <c r="G732" s="10">
        <v>7.95</v>
      </c>
      <c r="H732" s="10" t="s">
        <v>28</v>
      </c>
      <c r="I732" s="11" t="s">
        <v>28</v>
      </c>
      <c r="J732" s="11" t="s">
        <v>28</v>
      </c>
      <c r="K732" s="11" t="s">
        <v>28</v>
      </c>
      <c r="L732" s="11" t="s">
        <v>28</v>
      </c>
      <c r="M732" s="11" t="s">
        <v>28</v>
      </c>
      <c r="N732" s="8">
        <v>45397</v>
      </c>
      <c r="O732" s="9" t="s">
        <v>73</v>
      </c>
      <c r="P732" s="12" t="s">
        <v>1132</v>
      </c>
      <c r="Q732" s="9" t="s">
        <v>696</v>
      </c>
      <c r="R732" s="14" t="str">
        <f>HYPERLINK("https://my.pitchbook.com?c=256897-90T","View Company Online")</f>
        <v>View Company Online</v>
      </c>
    </row>
    <row r="733" spans="1:18" hidden="1" x14ac:dyDescent="0.3">
      <c r="A733" s="15" t="s">
        <v>2773</v>
      </c>
      <c r="B733" s="15" t="s">
        <v>1517</v>
      </c>
      <c r="C733" s="18" t="s">
        <v>28</v>
      </c>
      <c r="D733" s="15" t="s">
        <v>1518</v>
      </c>
      <c r="E733" s="18" t="s">
        <v>28</v>
      </c>
      <c r="F733" s="19" t="s">
        <v>28</v>
      </c>
      <c r="G733" s="19">
        <v>0.1</v>
      </c>
      <c r="H733" s="19" t="s">
        <v>28</v>
      </c>
      <c r="I733" s="18" t="s">
        <v>28</v>
      </c>
      <c r="J733" s="18" t="s">
        <v>28</v>
      </c>
      <c r="K733" s="18">
        <v>0.41</v>
      </c>
      <c r="L733" s="18" t="s">
        <v>28</v>
      </c>
      <c r="M733" s="18" t="s">
        <v>28</v>
      </c>
      <c r="N733" s="17">
        <v>45397</v>
      </c>
      <c r="O733" s="15" t="s">
        <v>1639</v>
      </c>
      <c r="P733" s="16" t="s">
        <v>221</v>
      </c>
      <c r="Q733" s="15" t="s">
        <v>75</v>
      </c>
      <c r="R733" s="13" t="str">
        <f>HYPERLINK("https://my.pitchbook.com?c=244457-11T","View Company Online")</f>
        <v>View Company Online</v>
      </c>
    </row>
    <row r="734" spans="1:18" hidden="1" x14ac:dyDescent="0.3">
      <c r="A734" s="9" t="s">
        <v>2774</v>
      </c>
      <c r="B734" s="9" t="s">
        <v>2775</v>
      </c>
      <c r="C734" s="11" t="s">
        <v>28</v>
      </c>
      <c r="D734" s="9" t="s">
        <v>2776</v>
      </c>
      <c r="E734" s="11" t="s">
        <v>28</v>
      </c>
      <c r="F734" s="10" t="s">
        <v>28</v>
      </c>
      <c r="G734" s="10" t="s">
        <v>28</v>
      </c>
      <c r="H734" s="10" t="s">
        <v>28</v>
      </c>
      <c r="I734" s="11" t="s">
        <v>28</v>
      </c>
      <c r="J734" s="11" t="s">
        <v>28</v>
      </c>
      <c r="K734" s="11" t="s">
        <v>28</v>
      </c>
      <c r="L734" s="11" t="s">
        <v>28</v>
      </c>
      <c r="M734" s="11" t="s">
        <v>28</v>
      </c>
      <c r="N734" s="8">
        <v>45397</v>
      </c>
      <c r="O734" s="9" t="s">
        <v>30</v>
      </c>
      <c r="P734" s="12" t="s">
        <v>28</v>
      </c>
      <c r="Q734" s="9" t="s">
        <v>54</v>
      </c>
      <c r="R734" s="14" t="str">
        <f>HYPERLINK("https://my.pitchbook.com?c=256856-59T","View Company Online")</f>
        <v>View Company Online</v>
      </c>
    </row>
    <row r="735" spans="1:18" hidden="1" x14ac:dyDescent="0.3">
      <c r="A735" s="15" t="s">
        <v>2777</v>
      </c>
      <c r="B735" s="15" t="s">
        <v>2778</v>
      </c>
      <c r="C735" s="18" t="s">
        <v>28</v>
      </c>
      <c r="D735" s="15" t="s">
        <v>2779</v>
      </c>
      <c r="E735" s="18" t="s">
        <v>28</v>
      </c>
      <c r="F735" s="19" t="s">
        <v>28</v>
      </c>
      <c r="G735" s="19">
        <v>38.869999999999997</v>
      </c>
      <c r="H735" s="19" t="s">
        <v>28</v>
      </c>
      <c r="I735" s="18" t="s">
        <v>28</v>
      </c>
      <c r="J735" s="18" t="s">
        <v>28</v>
      </c>
      <c r="K735" s="18" t="s">
        <v>28</v>
      </c>
      <c r="L735" s="18" t="s">
        <v>28</v>
      </c>
      <c r="M735" s="18" t="s">
        <v>28</v>
      </c>
      <c r="N735" s="17">
        <v>45397</v>
      </c>
      <c r="O735" s="15" t="s">
        <v>79</v>
      </c>
      <c r="P735" s="16" t="s">
        <v>2780</v>
      </c>
      <c r="Q735" s="15" t="s">
        <v>85</v>
      </c>
      <c r="R735" s="13" t="str">
        <f>HYPERLINK("https://my.pitchbook.com?c=249321-25T","View Company Online")</f>
        <v>View Company Online</v>
      </c>
    </row>
    <row r="736" spans="1:18" hidden="1" x14ac:dyDescent="0.3">
      <c r="A736" s="9" t="s">
        <v>2781</v>
      </c>
      <c r="B736" s="9" t="s">
        <v>2782</v>
      </c>
      <c r="C736" s="11" t="s">
        <v>28</v>
      </c>
      <c r="D736" s="9" t="s">
        <v>2783</v>
      </c>
      <c r="E736" s="11" t="s">
        <v>28</v>
      </c>
      <c r="F736" s="10" t="s">
        <v>28</v>
      </c>
      <c r="G736" s="10" t="s">
        <v>28</v>
      </c>
      <c r="H736" s="10" t="s">
        <v>28</v>
      </c>
      <c r="I736" s="11" t="s">
        <v>28</v>
      </c>
      <c r="J736" s="11" t="s">
        <v>28</v>
      </c>
      <c r="K736" s="11" t="s">
        <v>28</v>
      </c>
      <c r="L736" s="11" t="s">
        <v>28</v>
      </c>
      <c r="M736" s="11" t="s">
        <v>28</v>
      </c>
      <c r="N736" s="8">
        <v>45397</v>
      </c>
      <c r="O736" s="9" t="s">
        <v>30</v>
      </c>
      <c r="P736" s="12" t="s">
        <v>2784</v>
      </c>
      <c r="Q736" s="9" t="s">
        <v>114</v>
      </c>
      <c r="R736" s="14" t="str">
        <f>HYPERLINK("https://my.pitchbook.com?c=296932-24T","View Company Online")</f>
        <v>View Company Online</v>
      </c>
    </row>
    <row r="737" spans="1:18" hidden="1" x14ac:dyDescent="0.3">
      <c r="A737" s="15" t="s">
        <v>2785</v>
      </c>
      <c r="B737" s="15" t="s">
        <v>2301</v>
      </c>
      <c r="C737" s="18" t="s">
        <v>28</v>
      </c>
      <c r="D737" s="15" t="s">
        <v>2302</v>
      </c>
      <c r="E737" s="18" t="s">
        <v>28</v>
      </c>
      <c r="F737" s="19" t="s">
        <v>28</v>
      </c>
      <c r="G737" s="19" t="s">
        <v>28</v>
      </c>
      <c r="H737" s="19" t="s">
        <v>28</v>
      </c>
      <c r="I737" s="18" t="s">
        <v>28</v>
      </c>
      <c r="J737" s="18" t="s">
        <v>28</v>
      </c>
      <c r="K737" s="18" t="s">
        <v>28</v>
      </c>
      <c r="L737" s="18" t="s">
        <v>28</v>
      </c>
      <c r="M737" s="18" t="s">
        <v>28</v>
      </c>
      <c r="N737" s="17">
        <v>45394</v>
      </c>
      <c r="O737" s="15" t="s">
        <v>52</v>
      </c>
      <c r="P737" s="16" t="s">
        <v>1662</v>
      </c>
      <c r="Q737" s="15" t="s">
        <v>75</v>
      </c>
      <c r="R737" s="13" t="str">
        <f>HYPERLINK("https://my.pitchbook.com?c=270440-74T","View Company Online")</f>
        <v>View Company Online</v>
      </c>
    </row>
    <row r="738" spans="1:18" hidden="1" x14ac:dyDescent="0.3">
      <c r="A738" s="9" t="s">
        <v>2786</v>
      </c>
      <c r="B738" s="9" t="s">
        <v>2787</v>
      </c>
      <c r="C738" s="11" t="s">
        <v>28</v>
      </c>
      <c r="D738" s="9" t="s">
        <v>2788</v>
      </c>
      <c r="E738" s="11" t="s">
        <v>28</v>
      </c>
      <c r="F738" s="10" t="s">
        <v>28</v>
      </c>
      <c r="G738" s="10" t="s">
        <v>28</v>
      </c>
      <c r="H738" s="10" t="s">
        <v>28</v>
      </c>
      <c r="I738" s="11" t="s">
        <v>28</v>
      </c>
      <c r="J738" s="11" t="s">
        <v>28</v>
      </c>
      <c r="K738" s="11" t="s">
        <v>28</v>
      </c>
      <c r="L738" s="11" t="s">
        <v>28</v>
      </c>
      <c r="M738" s="11" t="s">
        <v>28</v>
      </c>
      <c r="N738" s="8">
        <v>45394</v>
      </c>
      <c r="O738" s="9" t="s">
        <v>58</v>
      </c>
      <c r="P738" s="12" t="s">
        <v>2789</v>
      </c>
      <c r="Q738" s="9" t="s">
        <v>1853</v>
      </c>
      <c r="R738" s="14" t="str">
        <f>HYPERLINK("https://my.pitchbook.com?c=256713-67T","View Company Online")</f>
        <v>View Company Online</v>
      </c>
    </row>
    <row r="739" spans="1:18" hidden="1" x14ac:dyDescent="0.3">
      <c r="A739" s="15" t="s">
        <v>2790</v>
      </c>
      <c r="B739" s="15" t="s">
        <v>2791</v>
      </c>
      <c r="C739" s="18" t="s">
        <v>28</v>
      </c>
      <c r="D739" s="15" t="s">
        <v>2792</v>
      </c>
      <c r="E739" s="18" t="s">
        <v>28</v>
      </c>
      <c r="F739" s="19" t="s">
        <v>28</v>
      </c>
      <c r="G739" s="19" t="s">
        <v>28</v>
      </c>
      <c r="H739" s="19" t="s">
        <v>28</v>
      </c>
      <c r="I739" s="18" t="s">
        <v>28</v>
      </c>
      <c r="J739" s="18" t="s">
        <v>28</v>
      </c>
      <c r="K739" s="18" t="s">
        <v>28</v>
      </c>
      <c r="L739" s="18" t="s">
        <v>28</v>
      </c>
      <c r="M739" s="18" t="s">
        <v>28</v>
      </c>
      <c r="N739" s="17">
        <v>45394</v>
      </c>
      <c r="O739" s="15" t="s">
        <v>58</v>
      </c>
      <c r="P739" s="16" t="s">
        <v>2793</v>
      </c>
      <c r="Q739" s="15" t="s">
        <v>75</v>
      </c>
      <c r="R739" s="13" t="str">
        <f>HYPERLINK("https://my.pitchbook.com?c=257696-83T","View Company Online")</f>
        <v>View Company Online</v>
      </c>
    </row>
    <row r="740" spans="1:18" hidden="1" x14ac:dyDescent="0.3">
      <c r="A740" s="9" t="s">
        <v>2794</v>
      </c>
      <c r="B740" s="9" t="s">
        <v>2665</v>
      </c>
      <c r="C740" s="11" t="s">
        <v>28</v>
      </c>
      <c r="D740" s="9" t="s">
        <v>2666</v>
      </c>
      <c r="E740" s="11" t="s">
        <v>28</v>
      </c>
      <c r="F740" s="10" t="s">
        <v>28</v>
      </c>
      <c r="G740" s="10" t="s">
        <v>28</v>
      </c>
      <c r="H740" s="10" t="s">
        <v>28</v>
      </c>
      <c r="I740" s="11" t="s">
        <v>28</v>
      </c>
      <c r="J740" s="11" t="s">
        <v>28</v>
      </c>
      <c r="K740" s="11" t="s">
        <v>28</v>
      </c>
      <c r="L740" s="11" t="s">
        <v>28</v>
      </c>
      <c r="M740" s="11" t="s">
        <v>28</v>
      </c>
      <c r="N740" s="8">
        <v>45394</v>
      </c>
      <c r="O740" s="9" t="s">
        <v>52</v>
      </c>
      <c r="P740" s="12" t="s">
        <v>1662</v>
      </c>
      <c r="Q740" s="9" t="s">
        <v>419</v>
      </c>
      <c r="R740" s="14" t="str">
        <f>HYPERLINK("https://my.pitchbook.com?c=269798-23T","View Company Online")</f>
        <v>View Company Online</v>
      </c>
    </row>
    <row r="741" spans="1:18" hidden="1" x14ac:dyDescent="0.3">
      <c r="A741" s="15" t="s">
        <v>2795</v>
      </c>
      <c r="B741" s="15" t="s">
        <v>2068</v>
      </c>
      <c r="C741" s="18" t="s">
        <v>28</v>
      </c>
      <c r="D741" s="15" t="s">
        <v>2796</v>
      </c>
      <c r="E741" s="18" t="s">
        <v>28</v>
      </c>
      <c r="F741" s="19" t="s">
        <v>28</v>
      </c>
      <c r="G741" s="19">
        <v>5</v>
      </c>
      <c r="H741" s="19" t="s">
        <v>28</v>
      </c>
      <c r="I741" s="18" t="s">
        <v>28</v>
      </c>
      <c r="J741" s="18" t="s">
        <v>28</v>
      </c>
      <c r="K741" s="18" t="s">
        <v>28</v>
      </c>
      <c r="L741" s="18" t="s">
        <v>28</v>
      </c>
      <c r="M741" s="18" t="s">
        <v>28</v>
      </c>
      <c r="N741" s="17">
        <v>45393</v>
      </c>
      <c r="O741" s="15" t="s">
        <v>73</v>
      </c>
      <c r="P741" s="16" t="s">
        <v>2797</v>
      </c>
      <c r="Q741" s="15" t="s">
        <v>399</v>
      </c>
      <c r="R741" s="13" t="str">
        <f>HYPERLINK("https://my.pitchbook.com?c=266189-86T","View Company Online")</f>
        <v>View Company Online</v>
      </c>
    </row>
    <row r="742" spans="1:18" hidden="1" x14ac:dyDescent="0.3">
      <c r="A742" s="9" t="s">
        <v>2798</v>
      </c>
      <c r="B742" s="9" t="s">
        <v>2799</v>
      </c>
      <c r="C742" s="11" t="s">
        <v>28</v>
      </c>
      <c r="D742" s="9" t="s">
        <v>2800</v>
      </c>
      <c r="E742" s="11" t="s">
        <v>28</v>
      </c>
      <c r="F742" s="10">
        <v>132.94999999999999</v>
      </c>
      <c r="G742" s="10">
        <v>67.81</v>
      </c>
      <c r="H742" s="10">
        <v>132.94999999999999</v>
      </c>
      <c r="I742" s="11" t="s">
        <v>28</v>
      </c>
      <c r="J742" s="11" t="s">
        <v>28</v>
      </c>
      <c r="K742" s="11" t="s">
        <v>28</v>
      </c>
      <c r="L742" s="11" t="s">
        <v>28</v>
      </c>
      <c r="M742" s="11" t="s">
        <v>28</v>
      </c>
      <c r="N742" s="8">
        <v>45393</v>
      </c>
      <c r="O742" s="9" t="s">
        <v>41</v>
      </c>
      <c r="P742" s="12" t="s">
        <v>2801</v>
      </c>
      <c r="Q742" s="9" t="s">
        <v>245</v>
      </c>
      <c r="R742" s="14" t="str">
        <f>HYPERLINK("https://my.pitchbook.com?c=256737-88T","View Company Online")</f>
        <v>View Company Online</v>
      </c>
    </row>
    <row r="743" spans="1:18" hidden="1" x14ac:dyDescent="0.3">
      <c r="A743" s="15" t="s">
        <v>2802</v>
      </c>
      <c r="B743" s="15" t="s">
        <v>125</v>
      </c>
      <c r="C743" s="18" t="s">
        <v>28</v>
      </c>
      <c r="D743" s="15" t="s">
        <v>126</v>
      </c>
      <c r="E743" s="18" t="s">
        <v>28</v>
      </c>
      <c r="F743" s="19" t="s">
        <v>28</v>
      </c>
      <c r="G743" s="19" t="s">
        <v>28</v>
      </c>
      <c r="H743" s="19" t="s">
        <v>28</v>
      </c>
      <c r="I743" s="18" t="s">
        <v>28</v>
      </c>
      <c r="J743" s="18" t="s">
        <v>28</v>
      </c>
      <c r="K743" s="18">
        <v>5</v>
      </c>
      <c r="L743" s="18" t="s">
        <v>28</v>
      </c>
      <c r="M743" s="18" t="s">
        <v>28</v>
      </c>
      <c r="N743" s="17">
        <v>45393</v>
      </c>
      <c r="O743" s="15" t="s">
        <v>79</v>
      </c>
      <c r="P743" s="16" t="s">
        <v>104</v>
      </c>
      <c r="Q743" s="15" t="s">
        <v>128</v>
      </c>
      <c r="R743" s="13" t="str">
        <f>HYPERLINK("https://my.pitchbook.com?c=266157-10T","View Company Online")</f>
        <v>View Company Online</v>
      </c>
    </row>
    <row r="744" spans="1:18" hidden="1" x14ac:dyDescent="0.3">
      <c r="A744" s="9" t="s">
        <v>2803</v>
      </c>
      <c r="B744" s="9" t="s">
        <v>2804</v>
      </c>
      <c r="C744" s="11" t="s">
        <v>28</v>
      </c>
      <c r="D744" s="9" t="s">
        <v>2805</v>
      </c>
      <c r="E744" s="11" t="s">
        <v>28</v>
      </c>
      <c r="F744" s="10" t="s">
        <v>28</v>
      </c>
      <c r="G744" s="10" t="s">
        <v>28</v>
      </c>
      <c r="H744" s="10" t="s">
        <v>28</v>
      </c>
      <c r="I744" s="11" t="s">
        <v>28</v>
      </c>
      <c r="J744" s="11" t="s">
        <v>28</v>
      </c>
      <c r="K744" s="11" t="s">
        <v>28</v>
      </c>
      <c r="L744" s="11" t="s">
        <v>28</v>
      </c>
      <c r="M744" s="11" t="s">
        <v>28</v>
      </c>
      <c r="N744" s="8">
        <v>45392</v>
      </c>
      <c r="O744" s="9" t="s">
        <v>30</v>
      </c>
      <c r="P744" s="12" t="s">
        <v>2806</v>
      </c>
      <c r="Q744" s="9" t="s">
        <v>245</v>
      </c>
      <c r="R744" s="14" t="str">
        <f>HYPERLINK("https://my.pitchbook.com?c=256588-39T","View Company Online")</f>
        <v>View Company Online</v>
      </c>
    </row>
    <row r="745" spans="1:18" hidden="1" x14ac:dyDescent="0.3">
      <c r="A745" s="15" t="s">
        <v>2807</v>
      </c>
      <c r="B745" s="15" t="s">
        <v>2808</v>
      </c>
      <c r="C745" s="18" t="s">
        <v>28</v>
      </c>
      <c r="D745" s="15" t="s">
        <v>2809</v>
      </c>
      <c r="E745" s="18" t="s">
        <v>28</v>
      </c>
      <c r="F745" s="19" t="s">
        <v>28</v>
      </c>
      <c r="G745" s="19" t="s">
        <v>28</v>
      </c>
      <c r="H745" s="19" t="s">
        <v>28</v>
      </c>
      <c r="I745" s="18" t="s">
        <v>28</v>
      </c>
      <c r="J745" s="18" t="s">
        <v>28</v>
      </c>
      <c r="K745" s="18">
        <v>2.4</v>
      </c>
      <c r="L745" s="18" t="s">
        <v>28</v>
      </c>
      <c r="M745" s="18" t="s">
        <v>28</v>
      </c>
      <c r="N745" s="17">
        <v>45391</v>
      </c>
      <c r="O745" s="15" t="s">
        <v>41</v>
      </c>
      <c r="P745" s="16" t="s">
        <v>2810</v>
      </c>
      <c r="Q745" s="15" t="s">
        <v>37</v>
      </c>
      <c r="R745" s="13" t="str">
        <f>HYPERLINK("https://my.pitchbook.com?c=256499-92T","View Company Online")</f>
        <v>View Company Online</v>
      </c>
    </row>
    <row r="746" spans="1:18" hidden="1" x14ac:dyDescent="0.3">
      <c r="A746" s="9" t="s">
        <v>2811</v>
      </c>
      <c r="B746" s="9" t="s">
        <v>2812</v>
      </c>
      <c r="C746" s="11" t="s">
        <v>28</v>
      </c>
      <c r="D746" s="9" t="s">
        <v>2813</v>
      </c>
      <c r="E746" s="11" t="s">
        <v>28</v>
      </c>
      <c r="F746" s="10" t="s">
        <v>28</v>
      </c>
      <c r="G746" s="10" t="s">
        <v>28</v>
      </c>
      <c r="H746" s="10" t="s">
        <v>28</v>
      </c>
      <c r="I746" s="11" t="s">
        <v>28</v>
      </c>
      <c r="J746" s="11" t="s">
        <v>28</v>
      </c>
      <c r="K746" s="11">
        <v>10.4</v>
      </c>
      <c r="L746" s="11" t="s">
        <v>28</v>
      </c>
      <c r="M746" s="11" t="s">
        <v>28</v>
      </c>
      <c r="N746" s="8">
        <v>45391</v>
      </c>
      <c r="O746" s="9" t="s">
        <v>41</v>
      </c>
      <c r="P746" s="12" t="s">
        <v>2814</v>
      </c>
      <c r="Q746" s="9" t="s">
        <v>245</v>
      </c>
      <c r="R746" s="14" t="str">
        <f>HYPERLINK("https://my.pitchbook.com?c=256499-56T","View Company Online")</f>
        <v>View Company Online</v>
      </c>
    </row>
    <row r="747" spans="1:18" hidden="1" x14ac:dyDescent="0.3">
      <c r="A747" s="15" t="s">
        <v>2815</v>
      </c>
      <c r="B747" s="15" t="s">
        <v>2816</v>
      </c>
      <c r="C747" s="18" t="s">
        <v>28</v>
      </c>
      <c r="D747" s="15" t="s">
        <v>2817</v>
      </c>
      <c r="E747" s="18" t="s">
        <v>28</v>
      </c>
      <c r="F747" s="19">
        <v>390</v>
      </c>
      <c r="G747" s="19">
        <v>390</v>
      </c>
      <c r="H747" s="19">
        <v>390</v>
      </c>
      <c r="I747" s="18" t="s">
        <v>28</v>
      </c>
      <c r="J747" s="18" t="s">
        <v>28</v>
      </c>
      <c r="K747" s="18" t="s">
        <v>28</v>
      </c>
      <c r="L747" s="18" t="s">
        <v>28</v>
      </c>
      <c r="M747" s="18" t="s">
        <v>28</v>
      </c>
      <c r="N747" s="17">
        <v>45391</v>
      </c>
      <c r="O747" s="15" t="s">
        <v>41</v>
      </c>
      <c r="P747" s="16" t="s">
        <v>2818</v>
      </c>
      <c r="Q747" s="15" t="s">
        <v>268</v>
      </c>
      <c r="R747" s="13" t="str">
        <f>HYPERLINK("https://my.pitchbook.com?c=225779-05T","View Company Online")</f>
        <v>View Company Online</v>
      </c>
    </row>
    <row r="748" spans="1:18" hidden="1" x14ac:dyDescent="0.3">
      <c r="A748" s="9" t="s">
        <v>2819</v>
      </c>
      <c r="B748" s="9" t="s">
        <v>878</v>
      </c>
      <c r="C748" s="11" t="s">
        <v>28</v>
      </c>
      <c r="D748" s="9" t="s">
        <v>879</v>
      </c>
      <c r="E748" s="11" t="s">
        <v>28</v>
      </c>
      <c r="F748" s="10" t="s">
        <v>28</v>
      </c>
      <c r="G748" s="10">
        <v>500</v>
      </c>
      <c r="H748" s="10" t="s">
        <v>28</v>
      </c>
      <c r="I748" s="11" t="s">
        <v>28</v>
      </c>
      <c r="J748" s="11" t="s">
        <v>28</v>
      </c>
      <c r="K748" s="11" t="s">
        <v>28</v>
      </c>
      <c r="L748" s="11" t="s">
        <v>28</v>
      </c>
      <c r="M748" s="11" t="s">
        <v>28</v>
      </c>
      <c r="N748" s="8">
        <v>45391</v>
      </c>
      <c r="O748" s="9" t="s">
        <v>93</v>
      </c>
      <c r="P748" s="12" t="s">
        <v>2820</v>
      </c>
      <c r="Q748" s="9" t="s">
        <v>880</v>
      </c>
      <c r="R748" s="14" t="str">
        <f>HYPERLINK("https://my.pitchbook.com?c=272815-93T","View Company Online")</f>
        <v>View Company Online</v>
      </c>
    </row>
    <row r="749" spans="1:18" hidden="1" x14ac:dyDescent="0.3">
      <c r="A749" s="15" t="s">
        <v>2821</v>
      </c>
      <c r="B749" s="15" t="s">
        <v>2822</v>
      </c>
      <c r="C749" s="18" t="s">
        <v>28</v>
      </c>
      <c r="D749" s="15" t="s">
        <v>2823</v>
      </c>
      <c r="E749" s="18" t="s">
        <v>28</v>
      </c>
      <c r="F749" s="19" t="s">
        <v>28</v>
      </c>
      <c r="G749" s="19" t="s">
        <v>28</v>
      </c>
      <c r="H749" s="19" t="s">
        <v>28</v>
      </c>
      <c r="I749" s="18" t="s">
        <v>28</v>
      </c>
      <c r="J749" s="18" t="s">
        <v>28</v>
      </c>
      <c r="K749" s="18" t="s">
        <v>28</v>
      </c>
      <c r="L749" s="18" t="s">
        <v>28</v>
      </c>
      <c r="M749" s="18" t="s">
        <v>28</v>
      </c>
      <c r="N749" s="17">
        <v>45391</v>
      </c>
      <c r="O749" s="15" t="s">
        <v>173</v>
      </c>
      <c r="P749" s="16" t="s">
        <v>28</v>
      </c>
      <c r="Q749" s="15" t="s">
        <v>174</v>
      </c>
      <c r="R749" s="13" t="str">
        <f>HYPERLINK("https://my.pitchbook.com?c=256880-89T","View Company Online")</f>
        <v>View Company Online</v>
      </c>
    </row>
    <row r="750" spans="1:18" hidden="1" x14ac:dyDescent="0.3">
      <c r="A750" s="9" t="s">
        <v>2824</v>
      </c>
      <c r="B750" s="9" t="s">
        <v>2825</v>
      </c>
      <c r="C750" s="11" t="s">
        <v>28</v>
      </c>
      <c r="D750" s="9" t="s">
        <v>2826</v>
      </c>
      <c r="E750" s="11" t="s">
        <v>28</v>
      </c>
      <c r="F750" s="10" t="s">
        <v>28</v>
      </c>
      <c r="G750" s="10" t="s">
        <v>28</v>
      </c>
      <c r="H750" s="10" t="s">
        <v>28</v>
      </c>
      <c r="I750" s="11" t="s">
        <v>28</v>
      </c>
      <c r="J750" s="11" t="s">
        <v>28</v>
      </c>
      <c r="K750" s="11" t="s">
        <v>28</v>
      </c>
      <c r="L750" s="11" t="s">
        <v>28</v>
      </c>
      <c r="M750" s="11" t="s">
        <v>28</v>
      </c>
      <c r="N750" s="8">
        <v>45390</v>
      </c>
      <c r="O750" s="9" t="s">
        <v>73</v>
      </c>
      <c r="P750" s="12" t="s">
        <v>611</v>
      </c>
      <c r="Q750" s="9" t="s">
        <v>75</v>
      </c>
      <c r="R750" s="14" t="str">
        <f>HYPERLINK("https://my.pitchbook.com?c=269697-88T","View Company Online")</f>
        <v>View Company Online</v>
      </c>
    </row>
    <row r="751" spans="1:18" hidden="1" x14ac:dyDescent="0.3">
      <c r="A751" s="15" t="s">
        <v>2827</v>
      </c>
      <c r="B751" s="15" t="s">
        <v>2828</v>
      </c>
      <c r="C751" s="18" t="s">
        <v>28</v>
      </c>
      <c r="D751" s="15" t="s">
        <v>2829</v>
      </c>
      <c r="E751" s="18" t="s">
        <v>28</v>
      </c>
      <c r="F751" s="19" t="s">
        <v>28</v>
      </c>
      <c r="G751" s="19" t="s">
        <v>28</v>
      </c>
      <c r="H751" s="19" t="s">
        <v>28</v>
      </c>
      <c r="I751" s="18" t="s">
        <v>28</v>
      </c>
      <c r="J751" s="18" t="s">
        <v>28</v>
      </c>
      <c r="K751" s="18" t="s">
        <v>28</v>
      </c>
      <c r="L751" s="18" t="s">
        <v>28</v>
      </c>
      <c r="M751" s="18" t="s">
        <v>28</v>
      </c>
      <c r="N751" s="17">
        <v>45388</v>
      </c>
      <c r="O751" s="15" t="s">
        <v>52</v>
      </c>
      <c r="P751" s="16" t="s">
        <v>2830</v>
      </c>
      <c r="Q751" s="15" t="s">
        <v>75</v>
      </c>
      <c r="R751" s="13" t="str">
        <f>HYPERLINK("https://my.pitchbook.com?c=292737-07T","View Company Online")</f>
        <v>View Company Online</v>
      </c>
    </row>
    <row r="752" spans="1:18" hidden="1" x14ac:dyDescent="0.3">
      <c r="A752" s="9" t="s">
        <v>2831</v>
      </c>
      <c r="B752" s="9" t="s">
        <v>2832</v>
      </c>
      <c r="C752" s="11" t="s">
        <v>28</v>
      </c>
      <c r="D752" s="9" t="s">
        <v>2833</v>
      </c>
      <c r="E752" s="11" t="s">
        <v>28</v>
      </c>
      <c r="F752" s="10" t="s">
        <v>28</v>
      </c>
      <c r="G752" s="10" t="s">
        <v>28</v>
      </c>
      <c r="H752" s="10" t="s">
        <v>28</v>
      </c>
      <c r="I752" s="11" t="s">
        <v>28</v>
      </c>
      <c r="J752" s="11" t="s">
        <v>28</v>
      </c>
      <c r="K752" s="11" t="s">
        <v>28</v>
      </c>
      <c r="L752" s="11" t="s">
        <v>28</v>
      </c>
      <c r="M752" s="11" t="s">
        <v>28</v>
      </c>
      <c r="N752" s="8">
        <v>45387</v>
      </c>
      <c r="O752" s="9" t="s">
        <v>58</v>
      </c>
      <c r="P752" s="12" t="s">
        <v>2834</v>
      </c>
      <c r="Q752" s="9" t="s">
        <v>2835</v>
      </c>
      <c r="R752" s="14" t="str">
        <f>HYPERLINK("https://my.pitchbook.com?c=257345-92T","View Company Online")</f>
        <v>View Company Online</v>
      </c>
    </row>
    <row r="753" spans="1:18" hidden="1" x14ac:dyDescent="0.3">
      <c r="A753" s="15" t="s">
        <v>2836</v>
      </c>
      <c r="B753" s="15" t="s">
        <v>2837</v>
      </c>
      <c r="C753" s="18" t="s">
        <v>28</v>
      </c>
      <c r="D753" s="15" t="s">
        <v>2838</v>
      </c>
      <c r="E753" s="18" t="s">
        <v>28</v>
      </c>
      <c r="F753" s="19" t="s">
        <v>28</v>
      </c>
      <c r="G753" s="19">
        <v>30.03</v>
      </c>
      <c r="H753" s="19" t="s">
        <v>28</v>
      </c>
      <c r="I753" s="18" t="s">
        <v>28</v>
      </c>
      <c r="J753" s="18" t="s">
        <v>28</v>
      </c>
      <c r="K753" s="18" t="s">
        <v>28</v>
      </c>
      <c r="L753" s="18" t="s">
        <v>28</v>
      </c>
      <c r="M753" s="18" t="s">
        <v>28</v>
      </c>
      <c r="N753" s="17">
        <v>45387</v>
      </c>
      <c r="O753" s="15" t="s">
        <v>93</v>
      </c>
      <c r="P753" s="16" t="s">
        <v>2839</v>
      </c>
      <c r="Q753" s="15" t="s">
        <v>245</v>
      </c>
      <c r="R753" s="13" t="str">
        <f>HYPERLINK("https://my.pitchbook.com?c=257114-17T","View Company Online")</f>
        <v>View Company Online</v>
      </c>
    </row>
    <row r="754" spans="1:18" hidden="1" x14ac:dyDescent="0.3">
      <c r="A754" s="9" t="s">
        <v>2840</v>
      </c>
      <c r="B754" s="9" t="s">
        <v>2841</v>
      </c>
      <c r="C754" s="11" t="s">
        <v>28</v>
      </c>
      <c r="D754" s="9" t="s">
        <v>2842</v>
      </c>
      <c r="E754" s="11" t="s">
        <v>28</v>
      </c>
      <c r="F754" s="10" t="s">
        <v>28</v>
      </c>
      <c r="G754" s="10" t="s">
        <v>28</v>
      </c>
      <c r="H754" s="10" t="s">
        <v>28</v>
      </c>
      <c r="I754" s="11" t="s">
        <v>28</v>
      </c>
      <c r="J754" s="11" t="s">
        <v>28</v>
      </c>
      <c r="K754" s="11" t="s">
        <v>28</v>
      </c>
      <c r="L754" s="11" t="s">
        <v>28</v>
      </c>
      <c r="M754" s="11" t="s">
        <v>28</v>
      </c>
      <c r="N754" s="8">
        <v>45387</v>
      </c>
      <c r="O754" s="9" t="s">
        <v>30</v>
      </c>
      <c r="P754" s="12" t="s">
        <v>2843</v>
      </c>
      <c r="Q754" s="9" t="s">
        <v>855</v>
      </c>
      <c r="R754" s="14" t="str">
        <f>HYPERLINK("https://my.pitchbook.com?c=256569-67T","View Company Online")</f>
        <v>View Company Online</v>
      </c>
    </row>
    <row r="755" spans="1:18" hidden="1" x14ac:dyDescent="0.3">
      <c r="A755" s="15" t="s">
        <v>2844</v>
      </c>
      <c r="B755" s="15" t="s">
        <v>2646</v>
      </c>
      <c r="C755" s="18" t="s">
        <v>28</v>
      </c>
      <c r="D755" s="15" t="s">
        <v>2647</v>
      </c>
      <c r="E755" s="18" t="s">
        <v>28</v>
      </c>
      <c r="F755" s="19" t="s">
        <v>28</v>
      </c>
      <c r="G755" s="19">
        <v>0.41</v>
      </c>
      <c r="H755" s="19">
        <v>11.81</v>
      </c>
      <c r="I755" s="18" t="s">
        <v>28</v>
      </c>
      <c r="J755" s="18" t="s">
        <v>28</v>
      </c>
      <c r="K755" s="18" t="s">
        <v>28</v>
      </c>
      <c r="L755" s="18" t="s">
        <v>28</v>
      </c>
      <c r="M755" s="18" t="s">
        <v>28</v>
      </c>
      <c r="N755" s="17">
        <v>45387</v>
      </c>
      <c r="O755" s="15" t="s">
        <v>1639</v>
      </c>
      <c r="P755" s="16" t="s">
        <v>28</v>
      </c>
      <c r="Q755" s="15" t="s">
        <v>75</v>
      </c>
      <c r="R755" s="13" t="str">
        <f>HYPERLINK("https://my.pitchbook.com?c=257957-47T","View Company Online")</f>
        <v>View Company Online</v>
      </c>
    </row>
    <row r="756" spans="1:18" hidden="1" x14ac:dyDescent="0.3">
      <c r="A756" s="9" t="s">
        <v>2845</v>
      </c>
      <c r="B756" s="9" t="s">
        <v>2846</v>
      </c>
      <c r="C756" s="11" t="s">
        <v>28</v>
      </c>
      <c r="D756" s="9" t="s">
        <v>2847</v>
      </c>
      <c r="E756" s="11" t="s">
        <v>28</v>
      </c>
      <c r="F756" s="10" t="s">
        <v>28</v>
      </c>
      <c r="G756" s="10" t="s">
        <v>28</v>
      </c>
      <c r="H756" s="10" t="s">
        <v>28</v>
      </c>
      <c r="I756" s="11" t="s">
        <v>28</v>
      </c>
      <c r="J756" s="11" t="s">
        <v>28</v>
      </c>
      <c r="K756" s="11">
        <v>16.010000000000002</v>
      </c>
      <c r="L756" s="11" t="s">
        <v>28</v>
      </c>
      <c r="M756" s="11" t="s">
        <v>28</v>
      </c>
      <c r="N756" s="8">
        <v>45387</v>
      </c>
      <c r="O756" s="9" t="s">
        <v>41</v>
      </c>
      <c r="P756" s="12" t="s">
        <v>2848</v>
      </c>
      <c r="Q756" s="9" t="s">
        <v>169</v>
      </c>
      <c r="R756" s="14" t="str">
        <f>HYPERLINK("https://my.pitchbook.com?c=256589-11T","View Company Online")</f>
        <v>View Company Online</v>
      </c>
    </row>
    <row r="757" spans="1:18" hidden="1" x14ac:dyDescent="0.3">
      <c r="A757" s="15" t="s">
        <v>2849</v>
      </c>
      <c r="B757" s="15" t="s">
        <v>2850</v>
      </c>
      <c r="C757" s="18" t="s">
        <v>28</v>
      </c>
      <c r="D757" s="15" t="s">
        <v>2851</v>
      </c>
      <c r="E757" s="18" t="s">
        <v>28</v>
      </c>
      <c r="F757" s="19" t="s">
        <v>28</v>
      </c>
      <c r="G757" s="19" t="s">
        <v>28</v>
      </c>
      <c r="H757" s="19" t="s">
        <v>28</v>
      </c>
      <c r="I757" s="18" t="s">
        <v>28</v>
      </c>
      <c r="J757" s="18" t="s">
        <v>28</v>
      </c>
      <c r="K757" s="18" t="s">
        <v>28</v>
      </c>
      <c r="L757" s="18" t="s">
        <v>28</v>
      </c>
      <c r="M757" s="18" t="s">
        <v>28</v>
      </c>
      <c r="N757" s="17">
        <v>45387</v>
      </c>
      <c r="O757" s="15" t="s">
        <v>93</v>
      </c>
      <c r="P757" s="16" t="s">
        <v>2852</v>
      </c>
      <c r="Q757" s="15" t="s">
        <v>69</v>
      </c>
      <c r="R757" s="13" t="str">
        <f>HYPERLINK("https://my.pitchbook.com?c=288276-58T","View Company Online")</f>
        <v>View Company Online</v>
      </c>
    </row>
    <row r="758" spans="1:18" hidden="1" x14ac:dyDescent="0.3">
      <c r="A758" s="9" t="s">
        <v>2853</v>
      </c>
      <c r="B758" s="9" t="s">
        <v>2854</v>
      </c>
      <c r="C758" s="11" t="s">
        <v>28</v>
      </c>
      <c r="D758" s="9" t="s">
        <v>2855</v>
      </c>
      <c r="E758" s="11" t="s">
        <v>28</v>
      </c>
      <c r="F758" s="10" t="s">
        <v>28</v>
      </c>
      <c r="G758" s="10">
        <v>11.01</v>
      </c>
      <c r="H758" s="10" t="s">
        <v>28</v>
      </c>
      <c r="I758" s="11" t="s">
        <v>28</v>
      </c>
      <c r="J758" s="11" t="s">
        <v>28</v>
      </c>
      <c r="K758" s="11" t="s">
        <v>28</v>
      </c>
      <c r="L758" s="11" t="s">
        <v>28</v>
      </c>
      <c r="M758" s="11" t="s">
        <v>28</v>
      </c>
      <c r="N758" s="8">
        <v>45387</v>
      </c>
      <c r="O758" s="9" t="s">
        <v>79</v>
      </c>
      <c r="P758" s="12" t="s">
        <v>2856</v>
      </c>
      <c r="Q758" s="9" t="s">
        <v>85</v>
      </c>
      <c r="R758" s="14" t="str">
        <f>HYPERLINK("https://my.pitchbook.com?c=256345-84T","View Company Online")</f>
        <v>View Company Online</v>
      </c>
    </row>
    <row r="759" spans="1:18" hidden="1" x14ac:dyDescent="0.3">
      <c r="A759" s="15" t="s">
        <v>2857</v>
      </c>
      <c r="B759" s="15" t="s">
        <v>2858</v>
      </c>
      <c r="C759" s="18" t="s">
        <v>28</v>
      </c>
      <c r="D759" s="15" t="s">
        <v>2859</v>
      </c>
      <c r="E759" s="18" t="s">
        <v>28</v>
      </c>
      <c r="F759" s="19" t="s">
        <v>28</v>
      </c>
      <c r="G759" s="19">
        <v>15</v>
      </c>
      <c r="H759" s="19" t="s">
        <v>28</v>
      </c>
      <c r="I759" s="18" t="s">
        <v>28</v>
      </c>
      <c r="J759" s="18" t="s">
        <v>28</v>
      </c>
      <c r="K759" s="18" t="s">
        <v>28</v>
      </c>
      <c r="L759" s="18" t="s">
        <v>28</v>
      </c>
      <c r="M759" s="18" t="s">
        <v>28</v>
      </c>
      <c r="N759" s="17">
        <v>45387</v>
      </c>
      <c r="O759" s="15" t="s">
        <v>79</v>
      </c>
      <c r="P759" s="16" t="s">
        <v>2860</v>
      </c>
      <c r="Q759" s="15" t="s">
        <v>696</v>
      </c>
      <c r="R759" s="13" t="str">
        <f>HYPERLINK("https://my.pitchbook.com?c=258887-26T","View Company Online")</f>
        <v>View Company Online</v>
      </c>
    </row>
    <row r="760" spans="1:18" hidden="1" x14ac:dyDescent="0.3">
      <c r="A760" s="9" t="s">
        <v>2861</v>
      </c>
      <c r="B760" s="9" t="s">
        <v>2862</v>
      </c>
      <c r="C760" s="11" t="s">
        <v>28</v>
      </c>
      <c r="D760" s="9" t="s">
        <v>2863</v>
      </c>
      <c r="E760" s="11" t="s">
        <v>28</v>
      </c>
      <c r="F760" s="10" t="s">
        <v>28</v>
      </c>
      <c r="G760" s="10" t="s">
        <v>28</v>
      </c>
      <c r="H760" s="10" t="s">
        <v>28</v>
      </c>
      <c r="I760" s="11" t="s">
        <v>28</v>
      </c>
      <c r="J760" s="11" t="s">
        <v>28</v>
      </c>
      <c r="K760" s="11" t="s">
        <v>28</v>
      </c>
      <c r="L760" s="11" t="s">
        <v>28</v>
      </c>
      <c r="M760" s="11" t="s">
        <v>28</v>
      </c>
      <c r="N760" s="8">
        <v>45386</v>
      </c>
      <c r="O760" s="9" t="s">
        <v>52</v>
      </c>
      <c r="P760" s="12" t="s">
        <v>2864</v>
      </c>
      <c r="Q760" s="9" t="s">
        <v>75</v>
      </c>
      <c r="R760" s="14" t="str">
        <f>HYPERLINK("https://my.pitchbook.com?c=268150-15T","View Company Online")</f>
        <v>View Company Online</v>
      </c>
    </row>
    <row r="761" spans="1:18" hidden="1" x14ac:dyDescent="0.3">
      <c r="A761" s="15" t="s">
        <v>2865</v>
      </c>
      <c r="B761" s="15" t="s">
        <v>2866</v>
      </c>
      <c r="C761" s="18" t="s">
        <v>28</v>
      </c>
      <c r="D761" s="15" t="s">
        <v>2867</v>
      </c>
      <c r="E761" s="18" t="s">
        <v>28</v>
      </c>
      <c r="F761" s="19" t="s">
        <v>28</v>
      </c>
      <c r="G761" s="19">
        <v>1.5</v>
      </c>
      <c r="H761" s="19" t="s">
        <v>28</v>
      </c>
      <c r="I761" s="18" t="s">
        <v>28</v>
      </c>
      <c r="J761" s="18" t="s">
        <v>28</v>
      </c>
      <c r="K761" s="18" t="s">
        <v>28</v>
      </c>
      <c r="L761" s="18" t="s">
        <v>28</v>
      </c>
      <c r="M761" s="18" t="s">
        <v>28</v>
      </c>
      <c r="N761" s="17">
        <v>45386</v>
      </c>
      <c r="O761" s="15" t="s">
        <v>79</v>
      </c>
      <c r="P761" s="16" t="s">
        <v>2868</v>
      </c>
      <c r="Q761" s="15" t="s">
        <v>37</v>
      </c>
      <c r="R761" s="13" t="str">
        <f>HYPERLINK("https://my.pitchbook.com?c=285013-18T","View Company Online")</f>
        <v>View Company Online</v>
      </c>
    </row>
    <row r="762" spans="1:18" hidden="1" x14ac:dyDescent="0.3">
      <c r="A762" s="9" t="s">
        <v>2869</v>
      </c>
      <c r="B762" s="9" t="s">
        <v>2870</v>
      </c>
      <c r="C762" s="11" t="s">
        <v>28</v>
      </c>
      <c r="D762" s="9" t="s">
        <v>2871</v>
      </c>
      <c r="E762" s="11" t="s">
        <v>28</v>
      </c>
      <c r="F762" s="10" t="s">
        <v>28</v>
      </c>
      <c r="G762" s="10">
        <v>10.02</v>
      </c>
      <c r="H762" s="10" t="s">
        <v>28</v>
      </c>
      <c r="I762" s="11" t="s">
        <v>28</v>
      </c>
      <c r="J762" s="11" t="s">
        <v>28</v>
      </c>
      <c r="K762" s="11">
        <v>27.01</v>
      </c>
      <c r="L762" s="11" t="s">
        <v>28</v>
      </c>
      <c r="M762" s="11">
        <v>14.01</v>
      </c>
      <c r="N762" s="8">
        <v>45386</v>
      </c>
      <c r="O762" s="9" t="s">
        <v>58</v>
      </c>
      <c r="P762" s="12" t="s">
        <v>28</v>
      </c>
      <c r="Q762" s="9" t="s">
        <v>95</v>
      </c>
      <c r="R762" s="14" t="str">
        <f>HYPERLINK("https://my.pitchbook.com?c=257106-70T","View Company Online")</f>
        <v>View Company Online</v>
      </c>
    </row>
    <row r="763" spans="1:18" hidden="1" x14ac:dyDescent="0.3">
      <c r="A763" s="15" t="s">
        <v>2872</v>
      </c>
      <c r="B763" s="15" t="s">
        <v>1207</v>
      </c>
      <c r="C763" s="18" t="s">
        <v>28</v>
      </c>
      <c r="D763" s="15" t="s">
        <v>1208</v>
      </c>
      <c r="E763" s="18" t="s">
        <v>28</v>
      </c>
      <c r="F763" s="19" t="s">
        <v>28</v>
      </c>
      <c r="G763" s="19" t="s">
        <v>28</v>
      </c>
      <c r="H763" s="19" t="s">
        <v>28</v>
      </c>
      <c r="I763" s="18" t="s">
        <v>28</v>
      </c>
      <c r="J763" s="18" t="s">
        <v>28</v>
      </c>
      <c r="K763" s="18" t="s">
        <v>28</v>
      </c>
      <c r="L763" s="18" t="s">
        <v>28</v>
      </c>
      <c r="M763" s="18" t="s">
        <v>28</v>
      </c>
      <c r="N763" s="17">
        <v>45386</v>
      </c>
      <c r="O763" s="15" t="s">
        <v>52</v>
      </c>
      <c r="P763" s="16" t="s">
        <v>1662</v>
      </c>
      <c r="Q763" s="15" t="s">
        <v>95</v>
      </c>
      <c r="R763" s="13" t="str">
        <f>HYPERLINK("https://my.pitchbook.com?c=270408-61T","View Company Online")</f>
        <v>View Company Online</v>
      </c>
    </row>
    <row r="764" spans="1:18" hidden="1" x14ac:dyDescent="0.3">
      <c r="A764" s="9" t="s">
        <v>2873</v>
      </c>
      <c r="B764" s="9" t="s">
        <v>1215</v>
      </c>
      <c r="C764" s="11" t="s">
        <v>28</v>
      </c>
      <c r="D764" s="9" t="s">
        <v>1216</v>
      </c>
      <c r="E764" s="11" t="s">
        <v>28</v>
      </c>
      <c r="F764" s="10" t="s">
        <v>28</v>
      </c>
      <c r="G764" s="10" t="s">
        <v>28</v>
      </c>
      <c r="H764" s="10" t="s">
        <v>28</v>
      </c>
      <c r="I764" s="11" t="s">
        <v>28</v>
      </c>
      <c r="J764" s="11" t="s">
        <v>28</v>
      </c>
      <c r="K764" s="11" t="s">
        <v>28</v>
      </c>
      <c r="L764" s="11" t="s">
        <v>28</v>
      </c>
      <c r="M764" s="11" t="s">
        <v>28</v>
      </c>
      <c r="N764" s="8">
        <v>45386</v>
      </c>
      <c r="O764" s="9" t="s">
        <v>52</v>
      </c>
      <c r="P764" s="12" t="s">
        <v>2874</v>
      </c>
      <c r="Q764" s="9" t="s">
        <v>75</v>
      </c>
      <c r="R764" s="14" t="str">
        <f>HYPERLINK("https://my.pitchbook.com?c=258256-45T","View Company Online")</f>
        <v>View Company Online</v>
      </c>
    </row>
    <row r="765" spans="1:18" hidden="1" x14ac:dyDescent="0.3">
      <c r="A765" s="15" t="s">
        <v>2875</v>
      </c>
      <c r="B765" s="15" t="s">
        <v>2876</v>
      </c>
      <c r="C765" s="18" t="s">
        <v>28</v>
      </c>
      <c r="D765" s="15" t="s">
        <v>2877</v>
      </c>
      <c r="E765" s="18" t="s">
        <v>28</v>
      </c>
      <c r="F765" s="19" t="s">
        <v>28</v>
      </c>
      <c r="G765" s="19" t="s">
        <v>28</v>
      </c>
      <c r="H765" s="19" t="s">
        <v>28</v>
      </c>
      <c r="I765" s="18" t="s">
        <v>28</v>
      </c>
      <c r="J765" s="18" t="s">
        <v>28</v>
      </c>
      <c r="K765" s="18" t="s">
        <v>28</v>
      </c>
      <c r="L765" s="18" t="s">
        <v>28</v>
      </c>
      <c r="M765" s="18" t="s">
        <v>28</v>
      </c>
      <c r="N765" s="17">
        <v>45386</v>
      </c>
      <c r="O765" s="15" t="s">
        <v>30</v>
      </c>
      <c r="P765" s="16" t="s">
        <v>2878</v>
      </c>
      <c r="Q765" s="15" t="s">
        <v>245</v>
      </c>
      <c r="R765" s="13" t="str">
        <f>HYPERLINK("https://my.pitchbook.com?c=256204-54T","View Company Online")</f>
        <v>View Company Online</v>
      </c>
    </row>
    <row r="766" spans="1:18" hidden="1" x14ac:dyDescent="0.3">
      <c r="A766" s="9" t="s">
        <v>2879</v>
      </c>
      <c r="B766" s="9" t="s">
        <v>2880</v>
      </c>
      <c r="C766" s="11" t="s">
        <v>28</v>
      </c>
      <c r="D766" s="9" t="s">
        <v>2881</v>
      </c>
      <c r="E766" s="11" t="s">
        <v>28</v>
      </c>
      <c r="F766" s="10" t="s">
        <v>28</v>
      </c>
      <c r="G766" s="10" t="s">
        <v>28</v>
      </c>
      <c r="H766" s="10" t="s">
        <v>28</v>
      </c>
      <c r="I766" s="11" t="s">
        <v>28</v>
      </c>
      <c r="J766" s="11" t="s">
        <v>28</v>
      </c>
      <c r="K766" s="11" t="s">
        <v>28</v>
      </c>
      <c r="L766" s="11" t="s">
        <v>28</v>
      </c>
      <c r="M766" s="11" t="s">
        <v>28</v>
      </c>
      <c r="N766" s="8">
        <v>45385</v>
      </c>
      <c r="O766" s="9" t="s">
        <v>173</v>
      </c>
      <c r="P766" s="12" t="s">
        <v>28</v>
      </c>
      <c r="Q766" s="9" t="s">
        <v>174</v>
      </c>
      <c r="R766" s="14" t="str">
        <f>HYPERLINK("https://my.pitchbook.com?c=269281-18T","View Company Online")</f>
        <v>View Company Online</v>
      </c>
    </row>
    <row r="767" spans="1:18" hidden="1" x14ac:dyDescent="0.3">
      <c r="A767" s="15" t="s">
        <v>2882</v>
      </c>
      <c r="B767" s="15" t="s">
        <v>1288</v>
      </c>
      <c r="C767" s="18" t="s">
        <v>28</v>
      </c>
      <c r="D767" s="15" t="s">
        <v>1289</v>
      </c>
      <c r="E767" s="18" t="s">
        <v>28</v>
      </c>
      <c r="F767" s="19" t="s">
        <v>28</v>
      </c>
      <c r="G767" s="19">
        <v>3.21</v>
      </c>
      <c r="H767" s="19" t="s">
        <v>28</v>
      </c>
      <c r="I767" s="18" t="s">
        <v>28</v>
      </c>
      <c r="J767" s="18" t="s">
        <v>28</v>
      </c>
      <c r="K767" s="18" t="s">
        <v>28</v>
      </c>
      <c r="L767" s="18" t="s">
        <v>28</v>
      </c>
      <c r="M767" s="18" t="s">
        <v>28</v>
      </c>
      <c r="N767" s="17">
        <v>45385</v>
      </c>
      <c r="O767" s="15" t="s">
        <v>73</v>
      </c>
      <c r="P767" s="16" t="s">
        <v>2883</v>
      </c>
      <c r="Q767" s="15" t="s">
        <v>75</v>
      </c>
      <c r="R767" s="13" t="str">
        <f>HYPERLINK("https://my.pitchbook.com?c=250345-09T","View Company Online")</f>
        <v>View Company Online</v>
      </c>
    </row>
    <row r="768" spans="1:18" hidden="1" x14ac:dyDescent="0.3">
      <c r="A768" s="9" t="s">
        <v>2884</v>
      </c>
      <c r="B768" s="9" t="s">
        <v>2885</v>
      </c>
      <c r="C768" s="11" t="s">
        <v>28</v>
      </c>
      <c r="D768" s="9" t="s">
        <v>2886</v>
      </c>
      <c r="E768" s="11" t="s">
        <v>28</v>
      </c>
      <c r="F768" s="10" t="s">
        <v>28</v>
      </c>
      <c r="G768" s="10" t="s">
        <v>28</v>
      </c>
      <c r="H768" s="10" t="s">
        <v>28</v>
      </c>
      <c r="I768" s="11" t="s">
        <v>28</v>
      </c>
      <c r="J768" s="11" t="s">
        <v>28</v>
      </c>
      <c r="K768" s="11">
        <v>30</v>
      </c>
      <c r="L768" s="11" t="s">
        <v>28</v>
      </c>
      <c r="M768" s="11" t="s">
        <v>28</v>
      </c>
      <c r="N768" s="8">
        <v>45385</v>
      </c>
      <c r="O768" s="9" t="s">
        <v>30</v>
      </c>
      <c r="P768" s="12" t="s">
        <v>2887</v>
      </c>
      <c r="Q768" s="9" t="s">
        <v>43</v>
      </c>
      <c r="R768" s="14" t="str">
        <f>HYPERLINK("https://my.pitchbook.com?c=256594-24T","View Company Online")</f>
        <v>View Company Online</v>
      </c>
    </row>
    <row r="769" spans="1:18" hidden="1" x14ac:dyDescent="0.3">
      <c r="A769" s="15" t="s">
        <v>2888</v>
      </c>
      <c r="B769" s="15" t="s">
        <v>2889</v>
      </c>
      <c r="C769" s="18" t="s">
        <v>28</v>
      </c>
      <c r="D769" s="15" t="s">
        <v>2890</v>
      </c>
      <c r="E769" s="18" t="s">
        <v>28</v>
      </c>
      <c r="F769" s="19" t="s">
        <v>28</v>
      </c>
      <c r="G769" s="19">
        <v>2.41</v>
      </c>
      <c r="H769" s="19" t="s">
        <v>28</v>
      </c>
      <c r="I769" s="18" t="s">
        <v>28</v>
      </c>
      <c r="J769" s="18" t="s">
        <v>28</v>
      </c>
      <c r="K769" s="18" t="s">
        <v>28</v>
      </c>
      <c r="L769" s="18" t="s">
        <v>28</v>
      </c>
      <c r="M769" s="18" t="s">
        <v>28</v>
      </c>
      <c r="N769" s="17">
        <v>45384</v>
      </c>
      <c r="O769" s="15" t="s">
        <v>99</v>
      </c>
      <c r="P769" s="16" t="s">
        <v>2891</v>
      </c>
      <c r="Q769" s="15" t="s">
        <v>1793</v>
      </c>
      <c r="R769" s="13" t="str">
        <f>HYPERLINK("https://my.pitchbook.com?c=248483-98T","View Company Online")</f>
        <v>View Company Online</v>
      </c>
    </row>
    <row r="770" spans="1:18" hidden="1" x14ac:dyDescent="0.3">
      <c r="A770" s="9" t="s">
        <v>2892</v>
      </c>
      <c r="B770" s="9" t="s">
        <v>2893</v>
      </c>
      <c r="C770" s="11" t="s">
        <v>28</v>
      </c>
      <c r="D770" s="9" t="s">
        <v>2894</v>
      </c>
      <c r="E770" s="11" t="s">
        <v>28</v>
      </c>
      <c r="F770" s="10" t="s">
        <v>28</v>
      </c>
      <c r="G770" s="10" t="s">
        <v>28</v>
      </c>
      <c r="H770" s="10" t="s">
        <v>28</v>
      </c>
      <c r="I770" s="11" t="s">
        <v>28</v>
      </c>
      <c r="J770" s="11" t="s">
        <v>28</v>
      </c>
      <c r="K770" s="11" t="s">
        <v>28</v>
      </c>
      <c r="L770" s="11" t="s">
        <v>28</v>
      </c>
      <c r="M770" s="11">
        <v>0.06</v>
      </c>
      <c r="N770" s="8">
        <v>45384</v>
      </c>
      <c r="O770" s="9" t="s">
        <v>30</v>
      </c>
      <c r="P770" s="12" t="s">
        <v>2895</v>
      </c>
      <c r="Q770" s="9" t="s">
        <v>832</v>
      </c>
      <c r="R770" s="14" t="str">
        <f>HYPERLINK("https://my.pitchbook.com?c=256588-93T","View Company Online")</f>
        <v>View Company Online</v>
      </c>
    </row>
    <row r="771" spans="1:18" hidden="1" x14ac:dyDescent="0.3">
      <c r="A771" s="15" t="s">
        <v>2896</v>
      </c>
      <c r="B771" s="15" t="s">
        <v>2897</v>
      </c>
      <c r="C771" s="18" t="s">
        <v>28</v>
      </c>
      <c r="D771" s="15" t="s">
        <v>2898</v>
      </c>
      <c r="E771" s="18" t="s">
        <v>28</v>
      </c>
      <c r="F771" s="19" t="s">
        <v>28</v>
      </c>
      <c r="G771" s="19" t="s">
        <v>28</v>
      </c>
      <c r="H771" s="19" t="s">
        <v>28</v>
      </c>
      <c r="I771" s="18" t="s">
        <v>28</v>
      </c>
      <c r="J771" s="18" t="s">
        <v>28</v>
      </c>
      <c r="K771" s="18" t="s">
        <v>28</v>
      </c>
      <c r="L771" s="18" t="s">
        <v>28</v>
      </c>
      <c r="M771" s="18" t="s">
        <v>28</v>
      </c>
      <c r="N771" s="17">
        <v>45384</v>
      </c>
      <c r="O771" s="15" t="s">
        <v>52</v>
      </c>
      <c r="P771" s="16" t="s">
        <v>2899</v>
      </c>
      <c r="Q771" s="15" t="s">
        <v>75</v>
      </c>
      <c r="R771" s="13" t="str">
        <f>HYPERLINK("https://my.pitchbook.com?c=292646-35T","View Company Online")</f>
        <v>View Company Online</v>
      </c>
    </row>
    <row r="772" spans="1:18" hidden="1" x14ac:dyDescent="0.3">
      <c r="A772" s="9" t="s">
        <v>2900</v>
      </c>
      <c r="B772" s="9" t="s">
        <v>2901</v>
      </c>
      <c r="C772" s="11" t="s">
        <v>28</v>
      </c>
      <c r="D772" s="9" t="s">
        <v>2902</v>
      </c>
      <c r="E772" s="11" t="s">
        <v>28</v>
      </c>
      <c r="F772" s="10" t="s">
        <v>28</v>
      </c>
      <c r="G772" s="10">
        <v>2.5</v>
      </c>
      <c r="H772" s="10" t="s">
        <v>28</v>
      </c>
      <c r="I772" s="11" t="s">
        <v>28</v>
      </c>
      <c r="J772" s="11" t="s">
        <v>28</v>
      </c>
      <c r="K772" s="11" t="s">
        <v>28</v>
      </c>
      <c r="L772" s="11" t="s">
        <v>28</v>
      </c>
      <c r="M772" s="11" t="s">
        <v>28</v>
      </c>
      <c r="N772" s="8">
        <v>45383</v>
      </c>
      <c r="O772" s="9" t="s">
        <v>99</v>
      </c>
      <c r="P772" s="12" t="s">
        <v>2903</v>
      </c>
      <c r="Q772" s="9" t="s">
        <v>583</v>
      </c>
      <c r="R772" s="14" t="str">
        <f>HYPERLINK("https://my.pitchbook.com?c=252440-56T","View Company Online")</f>
        <v>View Company Online</v>
      </c>
    </row>
    <row r="773" spans="1:18" hidden="1" x14ac:dyDescent="0.3">
      <c r="A773" s="15" t="s">
        <v>2904</v>
      </c>
      <c r="B773" s="15" t="s">
        <v>2905</v>
      </c>
      <c r="C773" s="18" t="s">
        <v>28</v>
      </c>
      <c r="D773" s="15" t="s">
        <v>2906</v>
      </c>
      <c r="E773" s="18" t="s">
        <v>28</v>
      </c>
      <c r="F773" s="19" t="s">
        <v>28</v>
      </c>
      <c r="G773" s="19" t="s">
        <v>28</v>
      </c>
      <c r="H773" s="19" t="s">
        <v>28</v>
      </c>
      <c r="I773" s="18" t="s">
        <v>28</v>
      </c>
      <c r="J773" s="18" t="s">
        <v>28</v>
      </c>
      <c r="K773" s="18" t="s">
        <v>28</v>
      </c>
      <c r="L773" s="18" t="s">
        <v>28</v>
      </c>
      <c r="M773" s="18" t="s">
        <v>28</v>
      </c>
      <c r="N773" s="17">
        <v>45383</v>
      </c>
      <c r="O773" s="15" t="s">
        <v>30</v>
      </c>
      <c r="P773" s="16" t="s">
        <v>2907</v>
      </c>
      <c r="Q773" s="15" t="s">
        <v>114</v>
      </c>
      <c r="R773" s="13" t="str">
        <f>HYPERLINK("https://my.pitchbook.com?c=281953-27T","View Company Online")</f>
        <v>View Company Online</v>
      </c>
    </row>
    <row r="774" spans="1:18" hidden="1" x14ac:dyDescent="0.3">
      <c r="A774" s="9" t="s">
        <v>2908</v>
      </c>
      <c r="B774" s="9" t="s">
        <v>2909</v>
      </c>
      <c r="C774" s="11" t="s">
        <v>28</v>
      </c>
      <c r="D774" s="9" t="s">
        <v>2910</v>
      </c>
      <c r="E774" s="11" t="s">
        <v>28</v>
      </c>
      <c r="F774" s="10" t="s">
        <v>28</v>
      </c>
      <c r="G774" s="10" t="s">
        <v>28</v>
      </c>
      <c r="H774" s="10" t="s">
        <v>28</v>
      </c>
      <c r="I774" s="11" t="s">
        <v>28</v>
      </c>
      <c r="J774" s="11" t="s">
        <v>28</v>
      </c>
      <c r="K774" s="11" t="s">
        <v>28</v>
      </c>
      <c r="L774" s="11" t="s">
        <v>28</v>
      </c>
      <c r="M774" s="11" t="s">
        <v>28</v>
      </c>
      <c r="N774" s="8">
        <v>45383</v>
      </c>
      <c r="O774" s="9" t="s">
        <v>41</v>
      </c>
      <c r="P774" s="12" t="s">
        <v>2911</v>
      </c>
      <c r="Q774" s="9" t="s">
        <v>105</v>
      </c>
      <c r="R774" s="14" t="str">
        <f>HYPERLINK("https://my.pitchbook.com?c=255413-44T","View Company Online")</f>
        <v>View Company Online</v>
      </c>
    </row>
    <row r="775" spans="1:18" hidden="1" x14ac:dyDescent="0.3">
      <c r="A775" s="15" t="s">
        <v>2912</v>
      </c>
      <c r="B775" s="15" t="s">
        <v>2913</v>
      </c>
      <c r="C775" s="18" t="s">
        <v>28</v>
      </c>
      <c r="D775" s="15" t="s">
        <v>2914</v>
      </c>
      <c r="E775" s="18" t="s">
        <v>28</v>
      </c>
      <c r="F775" s="19" t="s">
        <v>28</v>
      </c>
      <c r="G775" s="19" t="s">
        <v>28</v>
      </c>
      <c r="H775" s="19" t="s">
        <v>28</v>
      </c>
      <c r="I775" s="18" t="s">
        <v>28</v>
      </c>
      <c r="J775" s="18" t="s">
        <v>28</v>
      </c>
      <c r="K775" s="18" t="s">
        <v>28</v>
      </c>
      <c r="L775" s="18" t="s">
        <v>28</v>
      </c>
      <c r="M775" s="18" t="s">
        <v>28</v>
      </c>
      <c r="N775" s="17">
        <v>45383</v>
      </c>
      <c r="O775" s="15" t="s">
        <v>52</v>
      </c>
      <c r="P775" s="16" t="s">
        <v>2915</v>
      </c>
      <c r="Q775" s="15" t="s">
        <v>2916</v>
      </c>
      <c r="R775" s="13" t="str">
        <f>HYPERLINK("https://my.pitchbook.com?c=258172-48T","View Company Online")</f>
        <v>View Company Online</v>
      </c>
    </row>
    <row r="776" spans="1:18" hidden="1" x14ac:dyDescent="0.3">
      <c r="A776" s="9" t="s">
        <v>2917</v>
      </c>
      <c r="B776" s="9" t="s">
        <v>2918</v>
      </c>
      <c r="C776" s="11" t="s">
        <v>28</v>
      </c>
      <c r="D776" s="9" t="s">
        <v>2919</v>
      </c>
      <c r="E776" s="11" t="s">
        <v>28</v>
      </c>
      <c r="F776" s="10" t="s">
        <v>28</v>
      </c>
      <c r="G776" s="10" t="s">
        <v>28</v>
      </c>
      <c r="H776" s="10" t="s">
        <v>28</v>
      </c>
      <c r="I776" s="11" t="s">
        <v>28</v>
      </c>
      <c r="J776" s="11" t="s">
        <v>28</v>
      </c>
      <c r="K776" s="11" t="s">
        <v>28</v>
      </c>
      <c r="L776" s="11" t="s">
        <v>28</v>
      </c>
      <c r="M776" s="11" t="s">
        <v>28</v>
      </c>
      <c r="N776" s="8">
        <v>45383</v>
      </c>
      <c r="O776" s="9" t="s">
        <v>52</v>
      </c>
      <c r="P776" s="12" t="s">
        <v>2830</v>
      </c>
      <c r="Q776" s="9" t="s">
        <v>37</v>
      </c>
      <c r="R776" s="14" t="str">
        <f>HYPERLINK("https://my.pitchbook.com?c=262013-50T","View Company Online")</f>
        <v>View Company Online</v>
      </c>
    </row>
    <row r="777" spans="1:18" hidden="1" x14ac:dyDescent="0.3">
      <c r="A777" s="15" t="s">
        <v>2920</v>
      </c>
      <c r="B777" s="15" t="s">
        <v>2921</v>
      </c>
      <c r="C777" s="18" t="s">
        <v>28</v>
      </c>
      <c r="D777" s="15" t="s">
        <v>2922</v>
      </c>
      <c r="E777" s="18" t="s">
        <v>28</v>
      </c>
      <c r="F777" s="19" t="s">
        <v>28</v>
      </c>
      <c r="G777" s="19" t="s">
        <v>28</v>
      </c>
      <c r="H777" s="19" t="s">
        <v>28</v>
      </c>
      <c r="I777" s="18" t="s">
        <v>28</v>
      </c>
      <c r="J777" s="18" t="s">
        <v>28</v>
      </c>
      <c r="K777" s="18" t="s">
        <v>28</v>
      </c>
      <c r="L777" s="18" t="s">
        <v>28</v>
      </c>
      <c r="M777" s="18" t="s">
        <v>28</v>
      </c>
      <c r="N777" s="17">
        <v>45383</v>
      </c>
      <c r="O777" s="15" t="s">
        <v>52</v>
      </c>
      <c r="P777" s="16" t="s">
        <v>2923</v>
      </c>
      <c r="Q777" s="15" t="s">
        <v>37</v>
      </c>
      <c r="R777" s="13" t="str">
        <f>HYPERLINK("https://my.pitchbook.com?c=263323-27T","View Company Online")</f>
        <v>View Company Online</v>
      </c>
    </row>
    <row r="778" spans="1:18" hidden="1" x14ac:dyDescent="0.3">
      <c r="A778" s="9" t="s">
        <v>2924</v>
      </c>
      <c r="B778" s="9" t="s">
        <v>2925</v>
      </c>
      <c r="C778" s="11" t="s">
        <v>28</v>
      </c>
      <c r="D778" s="9" t="s">
        <v>2926</v>
      </c>
      <c r="E778" s="11" t="s">
        <v>28</v>
      </c>
      <c r="F778" s="10" t="s">
        <v>28</v>
      </c>
      <c r="G778" s="10" t="s">
        <v>28</v>
      </c>
      <c r="H778" s="10" t="s">
        <v>28</v>
      </c>
      <c r="I778" s="11" t="s">
        <v>28</v>
      </c>
      <c r="J778" s="11" t="s">
        <v>28</v>
      </c>
      <c r="K778" s="11" t="s">
        <v>28</v>
      </c>
      <c r="L778" s="11" t="s">
        <v>28</v>
      </c>
      <c r="M778" s="11" t="s">
        <v>28</v>
      </c>
      <c r="N778" s="8">
        <v>45383</v>
      </c>
      <c r="O778" s="9" t="s">
        <v>79</v>
      </c>
      <c r="P778" s="12" t="s">
        <v>2927</v>
      </c>
      <c r="Q778" s="9" t="s">
        <v>85</v>
      </c>
      <c r="R778" s="14" t="str">
        <f>HYPERLINK("https://my.pitchbook.com?c=255962-44T","View Company Online")</f>
        <v>View Company Online</v>
      </c>
    </row>
    <row r="779" spans="1:18" hidden="1" x14ac:dyDescent="0.3">
      <c r="A779" s="15" t="s">
        <v>2928</v>
      </c>
      <c r="B779" s="15" t="s">
        <v>2929</v>
      </c>
      <c r="C779" s="18" t="s">
        <v>28</v>
      </c>
      <c r="D779" s="15" t="s">
        <v>2930</v>
      </c>
      <c r="E779" s="18" t="s">
        <v>28</v>
      </c>
      <c r="F779" s="19" t="s">
        <v>28</v>
      </c>
      <c r="G779" s="19" t="s">
        <v>28</v>
      </c>
      <c r="H779" s="19" t="s">
        <v>28</v>
      </c>
      <c r="I779" s="18" t="s">
        <v>28</v>
      </c>
      <c r="J779" s="18" t="s">
        <v>28</v>
      </c>
      <c r="K779" s="18" t="s">
        <v>28</v>
      </c>
      <c r="L779" s="18" t="s">
        <v>28</v>
      </c>
      <c r="M779" s="18" t="s">
        <v>28</v>
      </c>
      <c r="N779" s="17">
        <v>45383</v>
      </c>
      <c r="O779" s="15" t="s">
        <v>73</v>
      </c>
      <c r="P779" s="16" t="s">
        <v>2931</v>
      </c>
      <c r="Q779" s="15" t="s">
        <v>583</v>
      </c>
      <c r="R779" s="13" t="str">
        <f>HYPERLINK("https://my.pitchbook.com?c=257702-68T","View Company Online")</f>
        <v>View Company Online</v>
      </c>
    </row>
    <row r="780" spans="1:18" hidden="1" x14ac:dyDescent="0.3">
      <c r="A780" s="9" t="s">
        <v>2932</v>
      </c>
      <c r="B780" s="9" t="s">
        <v>2933</v>
      </c>
      <c r="C780" s="11" t="s">
        <v>28</v>
      </c>
      <c r="D780" s="9" t="s">
        <v>2934</v>
      </c>
      <c r="E780" s="11" t="s">
        <v>28</v>
      </c>
      <c r="F780" s="10">
        <v>11.7</v>
      </c>
      <c r="G780" s="10">
        <v>11.7</v>
      </c>
      <c r="H780" s="10">
        <v>11.7</v>
      </c>
      <c r="I780" s="11" t="s">
        <v>28</v>
      </c>
      <c r="J780" s="11" t="s">
        <v>28</v>
      </c>
      <c r="K780" s="11" t="s">
        <v>28</v>
      </c>
      <c r="L780" s="11" t="s">
        <v>28</v>
      </c>
      <c r="M780" s="11" t="s">
        <v>28</v>
      </c>
      <c r="N780" s="8">
        <v>45383</v>
      </c>
      <c r="O780" s="9" t="s">
        <v>30</v>
      </c>
      <c r="P780" s="12" t="s">
        <v>28</v>
      </c>
      <c r="Q780" s="9" t="s">
        <v>160</v>
      </c>
      <c r="R780" s="14" t="str">
        <f>HYPERLINK("https://my.pitchbook.com?c=255900-61T","View Company Online")</f>
        <v>View Company Online</v>
      </c>
    </row>
    <row r="781" spans="1:18" hidden="1" x14ac:dyDescent="0.3">
      <c r="A781" s="15" t="s">
        <v>2935</v>
      </c>
      <c r="B781" s="15" t="s">
        <v>2936</v>
      </c>
      <c r="C781" s="18" t="s">
        <v>28</v>
      </c>
      <c r="D781" s="15" t="s">
        <v>2937</v>
      </c>
      <c r="E781" s="18" t="s">
        <v>28</v>
      </c>
      <c r="F781" s="19" t="s">
        <v>28</v>
      </c>
      <c r="G781" s="19" t="s">
        <v>28</v>
      </c>
      <c r="H781" s="19" t="s">
        <v>28</v>
      </c>
      <c r="I781" s="18" t="s">
        <v>28</v>
      </c>
      <c r="J781" s="18" t="s">
        <v>28</v>
      </c>
      <c r="K781" s="18" t="s">
        <v>28</v>
      </c>
      <c r="L781" s="18" t="s">
        <v>28</v>
      </c>
      <c r="M781" s="18" t="s">
        <v>28</v>
      </c>
      <c r="N781" s="17">
        <v>45382</v>
      </c>
      <c r="O781" s="15" t="s">
        <v>30</v>
      </c>
      <c r="P781" s="16" t="s">
        <v>2938</v>
      </c>
      <c r="Q781" s="15" t="s">
        <v>2939</v>
      </c>
      <c r="R781" s="13" t="str">
        <f>HYPERLINK("https://my.pitchbook.com?c=274144-69T","View Company Online")</f>
        <v>View Company Online</v>
      </c>
    </row>
    <row r="782" spans="1:18" hidden="1" x14ac:dyDescent="0.3">
      <c r="A782" s="9" t="s">
        <v>2940</v>
      </c>
      <c r="B782" s="9" t="s">
        <v>2941</v>
      </c>
      <c r="C782" s="11" t="s">
        <v>28</v>
      </c>
      <c r="D782" s="9" t="s">
        <v>2942</v>
      </c>
      <c r="E782" s="11" t="s">
        <v>28</v>
      </c>
      <c r="F782" s="10">
        <v>16.07</v>
      </c>
      <c r="G782" s="10">
        <v>16.07</v>
      </c>
      <c r="H782" s="10">
        <v>16.07</v>
      </c>
      <c r="I782" s="11" t="s">
        <v>28</v>
      </c>
      <c r="J782" s="11" t="s">
        <v>28</v>
      </c>
      <c r="K782" s="11">
        <v>1.1200000000000001</v>
      </c>
      <c r="L782" s="11">
        <v>14.34</v>
      </c>
      <c r="M782" s="11" t="s">
        <v>28</v>
      </c>
      <c r="N782" s="8">
        <v>45380</v>
      </c>
      <c r="O782" s="9" t="s">
        <v>30</v>
      </c>
      <c r="P782" s="12" t="s">
        <v>2943</v>
      </c>
      <c r="Q782" s="9" t="s">
        <v>114</v>
      </c>
      <c r="R782" s="14" t="str">
        <f>HYPERLINK("https://my.pitchbook.com?c=256778-65T","View Company Online")</f>
        <v>View Company Online</v>
      </c>
    </row>
    <row r="783" spans="1:18" hidden="1" x14ac:dyDescent="0.3">
      <c r="A783" s="15" t="s">
        <v>2944</v>
      </c>
      <c r="B783" s="15" t="s">
        <v>2945</v>
      </c>
      <c r="C783" s="18" t="s">
        <v>28</v>
      </c>
      <c r="D783" s="15" t="s">
        <v>2946</v>
      </c>
      <c r="E783" s="18" t="s">
        <v>28</v>
      </c>
      <c r="F783" s="19" t="s">
        <v>28</v>
      </c>
      <c r="G783" s="19">
        <v>0.14000000000000001</v>
      </c>
      <c r="H783" s="19">
        <v>1.22</v>
      </c>
      <c r="I783" s="18" t="s">
        <v>28</v>
      </c>
      <c r="J783" s="18" t="s">
        <v>28</v>
      </c>
      <c r="K783" s="18" t="s">
        <v>28</v>
      </c>
      <c r="L783" s="18" t="s">
        <v>28</v>
      </c>
      <c r="M783" s="18" t="s">
        <v>28</v>
      </c>
      <c r="N783" s="17">
        <v>45380</v>
      </c>
      <c r="O783" s="15" t="s">
        <v>79</v>
      </c>
      <c r="P783" s="16" t="s">
        <v>2947</v>
      </c>
      <c r="Q783" s="15" t="s">
        <v>386</v>
      </c>
      <c r="R783" s="13" t="str">
        <f>HYPERLINK("https://my.pitchbook.com?c=255745-99T","View Company Online")</f>
        <v>View Company Online</v>
      </c>
    </row>
    <row r="784" spans="1:18" hidden="1" x14ac:dyDescent="0.3">
      <c r="A784" s="9" t="s">
        <v>2948</v>
      </c>
      <c r="B784" s="9" t="s">
        <v>2949</v>
      </c>
      <c r="C784" s="11" t="s">
        <v>28</v>
      </c>
      <c r="D784" s="9" t="s">
        <v>2950</v>
      </c>
      <c r="E784" s="11">
        <v>-42.48</v>
      </c>
      <c r="F784" s="10" t="s">
        <v>28</v>
      </c>
      <c r="G784" s="10">
        <v>30</v>
      </c>
      <c r="H784" s="10" t="s">
        <v>28</v>
      </c>
      <c r="I784" s="11">
        <v>-42.45</v>
      </c>
      <c r="J784" s="11" t="s">
        <v>28</v>
      </c>
      <c r="K784" s="11">
        <v>0</v>
      </c>
      <c r="L784" s="11" t="s">
        <v>28</v>
      </c>
      <c r="M784" s="11">
        <v>-40.770000000000003</v>
      </c>
      <c r="N784" s="8">
        <v>45379</v>
      </c>
      <c r="O784" s="9" t="s">
        <v>159</v>
      </c>
      <c r="P784" s="12" t="s">
        <v>2951</v>
      </c>
      <c r="Q784" s="9" t="s">
        <v>2620</v>
      </c>
      <c r="R784" s="14" t="str">
        <f>HYPERLINK("https://my.pitchbook.com?c=214890-31T","View Company Online")</f>
        <v>View Company Online</v>
      </c>
    </row>
    <row r="785" spans="1:18" hidden="1" x14ac:dyDescent="0.3">
      <c r="A785" s="15" t="s">
        <v>2952</v>
      </c>
      <c r="B785" s="15" t="s">
        <v>706</v>
      </c>
      <c r="C785" s="18" t="s">
        <v>28</v>
      </c>
      <c r="D785" s="15" t="s">
        <v>707</v>
      </c>
      <c r="E785" s="18" t="s">
        <v>28</v>
      </c>
      <c r="F785" s="19" t="s">
        <v>28</v>
      </c>
      <c r="G785" s="19">
        <v>0.4</v>
      </c>
      <c r="H785" s="19" t="s">
        <v>28</v>
      </c>
      <c r="I785" s="18" t="s">
        <v>28</v>
      </c>
      <c r="J785" s="18" t="s">
        <v>28</v>
      </c>
      <c r="K785" s="18" t="s">
        <v>28</v>
      </c>
      <c r="L785" s="18" t="s">
        <v>28</v>
      </c>
      <c r="M785" s="18" t="s">
        <v>28</v>
      </c>
      <c r="N785" s="17">
        <v>45379</v>
      </c>
      <c r="O785" s="15" t="s">
        <v>99</v>
      </c>
      <c r="P785" s="16" t="s">
        <v>2953</v>
      </c>
      <c r="Q785" s="15" t="s">
        <v>75</v>
      </c>
      <c r="R785" s="13" t="str">
        <f>HYPERLINK("https://my.pitchbook.com?c=256254-31T","View Company Online")</f>
        <v>View Company Online</v>
      </c>
    </row>
    <row r="786" spans="1:18" hidden="1" x14ac:dyDescent="0.3">
      <c r="A786" s="9" t="s">
        <v>2954</v>
      </c>
      <c r="B786" s="9" t="s">
        <v>737</v>
      </c>
      <c r="C786" s="11" t="s">
        <v>28</v>
      </c>
      <c r="D786" s="9" t="s">
        <v>738</v>
      </c>
      <c r="E786" s="11" t="s">
        <v>28</v>
      </c>
      <c r="F786" s="10" t="s">
        <v>28</v>
      </c>
      <c r="G786" s="10">
        <v>4.0199999999999996</v>
      </c>
      <c r="H786" s="10" t="s">
        <v>28</v>
      </c>
      <c r="I786" s="11" t="s">
        <v>28</v>
      </c>
      <c r="J786" s="11" t="s">
        <v>28</v>
      </c>
      <c r="K786" s="11" t="s">
        <v>28</v>
      </c>
      <c r="L786" s="11" t="s">
        <v>28</v>
      </c>
      <c r="M786" s="11" t="s">
        <v>28</v>
      </c>
      <c r="N786" s="8">
        <v>45379</v>
      </c>
      <c r="O786" s="9" t="s">
        <v>79</v>
      </c>
      <c r="P786" s="12" t="s">
        <v>28</v>
      </c>
      <c r="Q786" s="9" t="s">
        <v>740</v>
      </c>
      <c r="R786" s="14" t="str">
        <f>HYPERLINK("https://my.pitchbook.com?c=255603-79T","View Company Online")</f>
        <v>View Company Online</v>
      </c>
    </row>
    <row r="787" spans="1:18" hidden="1" x14ac:dyDescent="0.3">
      <c r="A787" s="15" t="s">
        <v>2955</v>
      </c>
      <c r="B787" s="15" t="s">
        <v>2956</v>
      </c>
      <c r="C787" s="18" t="s">
        <v>28</v>
      </c>
      <c r="D787" s="15" t="s">
        <v>2957</v>
      </c>
      <c r="E787" s="18" t="s">
        <v>28</v>
      </c>
      <c r="F787" s="19" t="s">
        <v>28</v>
      </c>
      <c r="G787" s="19" t="s">
        <v>28</v>
      </c>
      <c r="H787" s="19" t="s">
        <v>28</v>
      </c>
      <c r="I787" s="18" t="s">
        <v>28</v>
      </c>
      <c r="J787" s="18" t="s">
        <v>28</v>
      </c>
      <c r="K787" s="18" t="s">
        <v>28</v>
      </c>
      <c r="L787" s="18" t="s">
        <v>28</v>
      </c>
      <c r="M787" s="18" t="s">
        <v>28</v>
      </c>
      <c r="N787" s="17">
        <v>45379</v>
      </c>
      <c r="O787" s="15" t="s">
        <v>52</v>
      </c>
      <c r="P787" s="16" t="s">
        <v>408</v>
      </c>
      <c r="Q787" s="15" t="s">
        <v>43</v>
      </c>
      <c r="R787" s="13" t="str">
        <f>HYPERLINK("https://my.pitchbook.com?c=279520-66T","View Company Online")</f>
        <v>View Company Online</v>
      </c>
    </row>
    <row r="788" spans="1:18" hidden="1" x14ac:dyDescent="0.3">
      <c r="A788" s="9" t="s">
        <v>2958</v>
      </c>
      <c r="B788" s="9" t="s">
        <v>2959</v>
      </c>
      <c r="C788" s="11" t="s">
        <v>28</v>
      </c>
      <c r="D788" s="9" t="s">
        <v>2960</v>
      </c>
      <c r="E788" s="11" t="s">
        <v>28</v>
      </c>
      <c r="F788" s="10" t="s">
        <v>28</v>
      </c>
      <c r="G788" s="10" t="s">
        <v>28</v>
      </c>
      <c r="H788" s="10" t="s">
        <v>28</v>
      </c>
      <c r="I788" s="11" t="s">
        <v>28</v>
      </c>
      <c r="J788" s="11" t="s">
        <v>28</v>
      </c>
      <c r="K788" s="11" t="s">
        <v>28</v>
      </c>
      <c r="L788" s="11" t="s">
        <v>28</v>
      </c>
      <c r="M788" s="11" t="s">
        <v>28</v>
      </c>
      <c r="N788" s="8">
        <v>45378</v>
      </c>
      <c r="O788" s="9" t="s">
        <v>41</v>
      </c>
      <c r="P788" s="12" t="s">
        <v>2961</v>
      </c>
      <c r="Q788" s="9" t="s">
        <v>583</v>
      </c>
      <c r="R788" s="14" t="str">
        <f>HYPERLINK("https://my.pitchbook.com?c=256119-22T","View Company Online")</f>
        <v>View Company Online</v>
      </c>
    </row>
    <row r="789" spans="1:18" hidden="1" x14ac:dyDescent="0.3">
      <c r="A789" s="15" t="s">
        <v>2962</v>
      </c>
      <c r="B789" s="15" t="s">
        <v>2963</v>
      </c>
      <c r="C789" s="18" t="s">
        <v>28</v>
      </c>
      <c r="D789" s="15" t="s">
        <v>2964</v>
      </c>
      <c r="E789" s="18" t="s">
        <v>28</v>
      </c>
      <c r="F789" s="19" t="s">
        <v>28</v>
      </c>
      <c r="G789" s="19" t="s">
        <v>28</v>
      </c>
      <c r="H789" s="19" t="s">
        <v>28</v>
      </c>
      <c r="I789" s="18" t="s">
        <v>28</v>
      </c>
      <c r="J789" s="18" t="s">
        <v>28</v>
      </c>
      <c r="K789" s="18" t="s">
        <v>28</v>
      </c>
      <c r="L789" s="18" t="s">
        <v>28</v>
      </c>
      <c r="M789" s="18" t="s">
        <v>28</v>
      </c>
      <c r="N789" s="17">
        <v>45378</v>
      </c>
      <c r="O789" s="15" t="s">
        <v>58</v>
      </c>
      <c r="P789" s="16" t="s">
        <v>28</v>
      </c>
      <c r="Q789" s="15" t="s">
        <v>1007</v>
      </c>
      <c r="R789" s="13" t="str">
        <f>HYPERLINK("https://my.pitchbook.com?c=268966-81T","View Company Online")</f>
        <v>View Company Online</v>
      </c>
    </row>
    <row r="790" spans="1:18" hidden="1" x14ac:dyDescent="0.3">
      <c r="A790" s="9" t="s">
        <v>2965</v>
      </c>
      <c r="B790" s="9" t="s">
        <v>2966</v>
      </c>
      <c r="C790" s="11" t="s">
        <v>28</v>
      </c>
      <c r="D790" s="9" t="s">
        <v>2967</v>
      </c>
      <c r="E790" s="11">
        <v>7.09</v>
      </c>
      <c r="F790" s="10" t="s">
        <v>28</v>
      </c>
      <c r="G790" s="10" t="s">
        <v>28</v>
      </c>
      <c r="H790" s="10" t="s">
        <v>28</v>
      </c>
      <c r="I790" s="11">
        <v>7.09</v>
      </c>
      <c r="J790" s="11" t="s">
        <v>28</v>
      </c>
      <c r="K790" s="11">
        <v>6.08</v>
      </c>
      <c r="L790" s="11" t="s">
        <v>28</v>
      </c>
      <c r="M790" s="11">
        <v>7.12</v>
      </c>
      <c r="N790" s="8">
        <v>45378</v>
      </c>
      <c r="O790" s="9" t="s">
        <v>30</v>
      </c>
      <c r="P790" s="12" t="s">
        <v>28</v>
      </c>
      <c r="Q790" s="9" t="s">
        <v>240</v>
      </c>
      <c r="R790" s="14" t="str">
        <f>HYPERLINK("https://my.pitchbook.com?c=255518-56T","View Company Online")</f>
        <v>View Company Online</v>
      </c>
    </row>
    <row r="791" spans="1:18" hidden="1" x14ac:dyDescent="0.3">
      <c r="A791" s="15" t="s">
        <v>2968</v>
      </c>
      <c r="B791" s="15" t="s">
        <v>2969</v>
      </c>
      <c r="C791" s="18" t="s">
        <v>28</v>
      </c>
      <c r="D791" s="15" t="s">
        <v>2970</v>
      </c>
      <c r="E791" s="18" t="s">
        <v>28</v>
      </c>
      <c r="F791" s="19" t="s">
        <v>28</v>
      </c>
      <c r="G791" s="19" t="s">
        <v>28</v>
      </c>
      <c r="H791" s="19" t="s">
        <v>28</v>
      </c>
      <c r="I791" s="18" t="s">
        <v>28</v>
      </c>
      <c r="J791" s="18" t="s">
        <v>28</v>
      </c>
      <c r="K791" s="18" t="s">
        <v>28</v>
      </c>
      <c r="L791" s="18" t="s">
        <v>28</v>
      </c>
      <c r="M791" s="18" t="s">
        <v>28</v>
      </c>
      <c r="N791" s="17">
        <v>45378</v>
      </c>
      <c r="O791" s="15" t="s">
        <v>52</v>
      </c>
      <c r="P791" s="16" t="s">
        <v>408</v>
      </c>
      <c r="Q791" s="15" t="s">
        <v>95</v>
      </c>
      <c r="R791" s="13" t="str">
        <f>HYPERLINK("https://my.pitchbook.com?c=279528-85T","View Company Online")</f>
        <v>View Company Online</v>
      </c>
    </row>
    <row r="792" spans="1:18" hidden="1" x14ac:dyDescent="0.3">
      <c r="A792" s="9" t="s">
        <v>2971</v>
      </c>
      <c r="B792" s="9" t="s">
        <v>2972</v>
      </c>
      <c r="C792" s="11" t="s">
        <v>28</v>
      </c>
      <c r="D792" s="9" t="s">
        <v>2973</v>
      </c>
      <c r="E792" s="11" t="s">
        <v>28</v>
      </c>
      <c r="F792" s="10" t="s">
        <v>28</v>
      </c>
      <c r="G792" s="10">
        <v>3.01</v>
      </c>
      <c r="H792" s="10" t="s">
        <v>28</v>
      </c>
      <c r="I792" s="11" t="s">
        <v>28</v>
      </c>
      <c r="J792" s="11" t="s">
        <v>28</v>
      </c>
      <c r="K792" s="11" t="s">
        <v>28</v>
      </c>
      <c r="L792" s="11" t="s">
        <v>28</v>
      </c>
      <c r="M792" s="11" t="s">
        <v>28</v>
      </c>
      <c r="N792" s="8">
        <v>45377</v>
      </c>
      <c r="O792" s="9" t="s">
        <v>79</v>
      </c>
      <c r="P792" s="12" t="s">
        <v>2974</v>
      </c>
      <c r="Q792" s="9" t="s">
        <v>119</v>
      </c>
      <c r="R792" s="14" t="str">
        <f>HYPERLINK("https://my.pitchbook.com?c=255790-72T","View Company Online")</f>
        <v>View Company Online</v>
      </c>
    </row>
    <row r="793" spans="1:18" hidden="1" x14ac:dyDescent="0.3">
      <c r="A793" s="15" t="s">
        <v>2975</v>
      </c>
      <c r="B793" s="15" t="s">
        <v>2976</v>
      </c>
      <c r="C793" s="18" t="s">
        <v>28</v>
      </c>
      <c r="D793" s="15" t="s">
        <v>2977</v>
      </c>
      <c r="E793" s="18" t="s">
        <v>28</v>
      </c>
      <c r="F793" s="19" t="s">
        <v>28</v>
      </c>
      <c r="G793" s="19">
        <v>0.17</v>
      </c>
      <c r="H793" s="19" t="s">
        <v>28</v>
      </c>
      <c r="I793" s="18" t="s">
        <v>28</v>
      </c>
      <c r="J793" s="18" t="s">
        <v>28</v>
      </c>
      <c r="K793" s="18" t="s">
        <v>28</v>
      </c>
      <c r="L793" s="18" t="s">
        <v>28</v>
      </c>
      <c r="M793" s="18" t="s">
        <v>28</v>
      </c>
      <c r="N793" s="17">
        <v>45377</v>
      </c>
      <c r="O793" s="15" t="s">
        <v>1639</v>
      </c>
      <c r="P793" s="16" t="s">
        <v>28</v>
      </c>
      <c r="Q793" s="15" t="s">
        <v>404</v>
      </c>
      <c r="R793" s="13" t="str">
        <f>HYPERLINK("https://my.pitchbook.com?c=250694-92T","View Company Online")</f>
        <v>View Company Online</v>
      </c>
    </row>
    <row r="794" spans="1:18" hidden="1" x14ac:dyDescent="0.3">
      <c r="A794" s="9" t="s">
        <v>2978</v>
      </c>
      <c r="B794" s="9" t="s">
        <v>2979</v>
      </c>
      <c r="C794" s="11" t="s">
        <v>28</v>
      </c>
      <c r="D794" s="9" t="s">
        <v>2980</v>
      </c>
      <c r="E794" s="11" t="s">
        <v>28</v>
      </c>
      <c r="F794" s="10" t="s">
        <v>28</v>
      </c>
      <c r="G794" s="10" t="s">
        <v>28</v>
      </c>
      <c r="H794" s="10" t="s">
        <v>28</v>
      </c>
      <c r="I794" s="11" t="s">
        <v>28</v>
      </c>
      <c r="J794" s="11" t="s">
        <v>28</v>
      </c>
      <c r="K794" s="11" t="s">
        <v>28</v>
      </c>
      <c r="L794" s="11" t="s">
        <v>28</v>
      </c>
      <c r="M794" s="11" t="s">
        <v>28</v>
      </c>
      <c r="N794" s="8">
        <v>45377</v>
      </c>
      <c r="O794" s="9" t="s">
        <v>41</v>
      </c>
      <c r="P794" s="12" t="s">
        <v>2216</v>
      </c>
      <c r="Q794" s="9" t="s">
        <v>1007</v>
      </c>
      <c r="R794" s="14" t="str">
        <f>HYPERLINK("https://my.pitchbook.com?c=271939-24T","View Company Online")</f>
        <v>View Company Online</v>
      </c>
    </row>
    <row r="795" spans="1:18" hidden="1" x14ac:dyDescent="0.3">
      <c r="A795" s="15" t="s">
        <v>2981</v>
      </c>
      <c r="B795" s="15" t="s">
        <v>2982</v>
      </c>
      <c r="C795" s="18" t="s">
        <v>28</v>
      </c>
      <c r="D795" s="15" t="s">
        <v>2983</v>
      </c>
      <c r="E795" s="18" t="s">
        <v>28</v>
      </c>
      <c r="F795" s="19" t="s">
        <v>28</v>
      </c>
      <c r="G795" s="19" t="s">
        <v>28</v>
      </c>
      <c r="H795" s="19" t="s">
        <v>28</v>
      </c>
      <c r="I795" s="18" t="s">
        <v>28</v>
      </c>
      <c r="J795" s="18" t="s">
        <v>28</v>
      </c>
      <c r="K795" s="18" t="s">
        <v>28</v>
      </c>
      <c r="L795" s="18" t="s">
        <v>28</v>
      </c>
      <c r="M795" s="18" t="s">
        <v>28</v>
      </c>
      <c r="N795" s="17">
        <v>45376</v>
      </c>
      <c r="O795" s="15" t="s">
        <v>30</v>
      </c>
      <c r="P795" s="16" t="s">
        <v>769</v>
      </c>
      <c r="Q795" s="15" t="s">
        <v>114</v>
      </c>
      <c r="R795" s="13" t="str">
        <f>HYPERLINK("https://my.pitchbook.com?c=256077-73T","View Company Online")</f>
        <v>View Company Online</v>
      </c>
    </row>
    <row r="796" spans="1:18" hidden="1" x14ac:dyDescent="0.3">
      <c r="A796" s="9" t="s">
        <v>2984</v>
      </c>
      <c r="B796" s="9" t="s">
        <v>2985</v>
      </c>
      <c r="C796" s="11" t="s">
        <v>28</v>
      </c>
      <c r="D796" s="9" t="s">
        <v>2986</v>
      </c>
      <c r="E796" s="11" t="s">
        <v>28</v>
      </c>
      <c r="F796" s="10" t="s">
        <v>28</v>
      </c>
      <c r="G796" s="10" t="s">
        <v>28</v>
      </c>
      <c r="H796" s="10" t="s">
        <v>28</v>
      </c>
      <c r="I796" s="11" t="s">
        <v>28</v>
      </c>
      <c r="J796" s="11" t="s">
        <v>28</v>
      </c>
      <c r="K796" s="11" t="s">
        <v>28</v>
      </c>
      <c r="L796" s="11" t="s">
        <v>28</v>
      </c>
      <c r="M796" s="11" t="s">
        <v>28</v>
      </c>
      <c r="N796" s="8">
        <v>45376</v>
      </c>
      <c r="O796" s="9" t="s">
        <v>52</v>
      </c>
      <c r="P796" s="12" t="s">
        <v>2987</v>
      </c>
      <c r="Q796" s="9" t="s">
        <v>2988</v>
      </c>
      <c r="R796" s="14" t="str">
        <f>HYPERLINK("https://my.pitchbook.com?c=273624-13T","View Company Online")</f>
        <v>View Company Online</v>
      </c>
    </row>
    <row r="797" spans="1:18" hidden="1" x14ac:dyDescent="0.3">
      <c r="A797" s="15" t="s">
        <v>2989</v>
      </c>
      <c r="B797" s="15" t="s">
        <v>2990</v>
      </c>
      <c r="C797" s="18" t="s">
        <v>28</v>
      </c>
      <c r="D797" s="15" t="s">
        <v>2991</v>
      </c>
      <c r="E797" s="18">
        <v>-0.13</v>
      </c>
      <c r="F797" s="19" t="s">
        <v>28</v>
      </c>
      <c r="G797" s="19" t="s">
        <v>28</v>
      </c>
      <c r="H797" s="19" t="s">
        <v>28</v>
      </c>
      <c r="I797" s="18" t="s">
        <v>28</v>
      </c>
      <c r="J797" s="18" t="s">
        <v>28</v>
      </c>
      <c r="K797" s="18">
        <v>0.02</v>
      </c>
      <c r="L797" s="18" t="s">
        <v>28</v>
      </c>
      <c r="M797" s="18">
        <v>-0.13</v>
      </c>
      <c r="N797" s="17">
        <v>45376</v>
      </c>
      <c r="O797" s="15" t="s">
        <v>30</v>
      </c>
      <c r="P797" s="16" t="s">
        <v>2992</v>
      </c>
      <c r="Q797" s="15" t="s">
        <v>424</v>
      </c>
      <c r="R797" s="13" t="str">
        <f>HYPERLINK("https://my.pitchbook.com?c=256611-25T","View Company Online")</f>
        <v>View Company Online</v>
      </c>
    </row>
    <row r="798" spans="1:18" hidden="1" x14ac:dyDescent="0.3">
      <c r="A798" s="9" t="s">
        <v>2993</v>
      </c>
      <c r="B798" s="9" t="s">
        <v>2994</v>
      </c>
      <c r="C798" s="11" t="s">
        <v>28</v>
      </c>
      <c r="D798" s="9" t="s">
        <v>2995</v>
      </c>
      <c r="E798" s="11" t="s">
        <v>28</v>
      </c>
      <c r="F798" s="10" t="s">
        <v>28</v>
      </c>
      <c r="G798" s="10" t="s">
        <v>28</v>
      </c>
      <c r="H798" s="10" t="s">
        <v>28</v>
      </c>
      <c r="I798" s="11" t="s">
        <v>28</v>
      </c>
      <c r="J798" s="11" t="s">
        <v>28</v>
      </c>
      <c r="K798" s="11" t="s">
        <v>28</v>
      </c>
      <c r="L798" s="11" t="s">
        <v>28</v>
      </c>
      <c r="M798" s="11" t="s">
        <v>28</v>
      </c>
      <c r="N798" s="8">
        <v>45373</v>
      </c>
      <c r="O798" s="9" t="s">
        <v>30</v>
      </c>
      <c r="P798" s="12" t="s">
        <v>2996</v>
      </c>
      <c r="Q798" s="9" t="s">
        <v>37</v>
      </c>
      <c r="R798" s="14" t="str">
        <f>HYPERLINK("https://my.pitchbook.com?c=255261-70T","View Company Online")</f>
        <v>View Company Online</v>
      </c>
    </row>
    <row r="799" spans="1:18" hidden="1" x14ac:dyDescent="0.3">
      <c r="A799" s="15" t="s">
        <v>2997</v>
      </c>
      <c r="B799" s="15" t="s">
        <v>2998</v>
      </c>
      <c r="C799" s="18" t="s">
        <v>28</v>
      </c>
      <c r="D799" s="15" t="s">
        <v>2999</v>
      </c>
      <c r="E799" s="18" t="s">
        <v>28</v>
      </c>
      <c r="F799" s="19" t="s">
        <v>28</v>
      </c>
      <c r="G799" s="19">
        <v>0.8</v>
      </c>
      <c r="H799" s="19" t="s">
        <v>28</v>
      </c>
      <c r="I799" s="18" t="s">
        <v>28</v>
      </c>
      <c r="J799" s="18" t="s">
        <v>28</v>
      </c>
      <c r="K799" s="18" t="s">
        <v>28</v>
      </c>
      <c r="L799" s="18" t="s">
        <v>28</v>
      </c>
      <c r="M799" s="18" t="s">
        <v>28</v>
      </c>
      <c r="N799" s="17">
        <v>45373</v>
      </c>
      <c r="O799" s="15" t="s">
        <v>79</v>
      </c>
      <c r="P799" s="16" t="s">
        <v>3000</v>
      </c>
      <c r="Q799" s="15" t="s">
        <v>75</v>
      </c>
      <c r="R799" s="13" t="str">
        <f>HYPERLINK("https://my.pitchbook.com?c=256129-39T","View Company Online")</f>
        <v>View Company Online</v>
      </c>
    </row>
    <row r="800" spans="1:18" hidden="1" x14ac:dyDescent="0.3">
      <c r="A800" s="9" t="s">
        <v>3001</v>
      </c>
      <c r="B800" s="9" t="s">
        <v>3002</v>
      </c>
      <c r="C800" s="11" t="s">
        <v>28</v>
      </c>
      <c r="D800" s="9" t="s">
        <v>3003</v>
      </c>
      <c r="E800" s="11" t="s">
        <v>28</v>
      </c>
      <c r="F800" s="10" t="s">
        <v>28</v>
      </c>
      <c r="G800" s="10" t="s">
        <v>28</v>
      </c>
      <c r="H800" s="10" t="s">
        <v>28</v>
      </c>
      <c r="I800" s="11" t="s">
        <v>28</v>
      </c>
      <c r="J800" s="11" t="s">
        <v>28</v>
      </c>
      <c r="K800" s="11" t="s">
        <v>28</v>
      </c>
      <c r="L800" s="11" t="s">
        <v>28</v>
      </c>
      <c r="M800" s="11" t="s">
        <v>28</v>
      </c>
      <c r="N800" s="8">
        <v>45373</v>
      </c>
      <c r="O800" s="9" t="s">
        <v>30</v>
      </c>
      <c r="P800" s="12" t="s">
        <v>3004</v>
      </c>
      <c r="Q800" s="9" t="s">
        <v>75</v>
      </c>
      <c r="R800" s="14" t="str">
        <f>HYPERLINK("https://my.pitchbook.com?c=255419-74T","View Company Online")</f>
        <v>View Company Online</v>
      </c>
    </row>
    <row r="801" spans="1:18" hidden="1" x14ac:dyDescent="0.3">
      <c r="A801" s="15" t="s">
        <v>3005</v>
      </c>
      <c r="B801" s="15" t="s">
        <v>3006</v>
      </c>
      <c r="C801" s="18" t="s">
        <v>28</v>
      </c>
      <c r="D801" s="15" t="s">
        <v>3007</v>
      </c>
      <c r="E801" s="18" t="s">
        <v>28</v>
      </c>
      <c r="F801" s="19" t="s">
        <v>28</v>
      </c>
      <c r="G801" s="19" t="s">
        <v>28</v>
      </c>
      <c r="H801" s="19" t="s">
        <v>28</v>
      </c>
      <c r="I801" s="18" t="s">
        <v>28</v>
      </c>
      <c r="J801" s="18" t="s">
        <v>28</v>
      </c>
      <c r="K801" s="18" t="s">
        <v>28</v>
      </c>
      <c r="L801" s="18" t="s">
        <v>28</v>
      </c>
      <c r="M801" s="18" t="s">
        <v>28</v>
      </c>
      <c r="N801" s="17">
        <v>45372</v>
      </c>
      <c r="O801" s="15" t="s">
        <v>52</v>
      </c>
      <c r="P801" s="16" t="s">
        <v>1453</v>
      </c>
      <c r="Q801" s="15" t="s">
        <v>245</v>
      </c>
      <c r="R801" s="13" t="str">
        <f>HYPERLINK("https://my.pitchbook.com?c=277209-73T","View Company Online")</f>
        <v>View Company Online</v>
      </c>
    </row>
    <row r="802" spans="1:18" hidden="1" x14ac:dyDescent="0.3">
      <c r="A802" s="9" t="s">
        <v>3008</v>
      </c>
      <c r="B802" s="9" t="s">
        <v>3009</v>
      </c>
      <c r="C802" s="11" t="s">
        <v>28</v>
      </c>
      <c r="D802" s="9" t="s">
        <v>3010</v>
      </c>
      <c r="E802" s="11" t="s">
        <v>28</v>
      </c>
      <c r="F802" s="10" t="s">
        <v>28</v>
      </c>
      <c r="G802" s="10">
        <v>60</v>
      </c>
      <c r="H802" s="10" t="s">
        <v>28</v>
      </c>
      <c r="I802" s="11" t="s">
        <v>28</v>
      </c>
      <c r="J802" s="11" t="s">
        <v>28</v>
      </c>
      <c r="K802" s="11">
        <v>28.3</v>
      </c>
      <c r="L802" s="11" t="s">
        <v>28</v>
      </c>
      <c r="M802" s="11" t="s">
        <v>28</v>
      </c>
      <c r="N802" s="8">
        <v>45372</v>
      </c>
      <c r="O802" s="9" t="s">
        <v>73</v>
      </c>
      <c r="P802" s="12" t="s">
        <v>3011</v>
      </c>
      <c r="Q802" s="9" t="s">
        <v>37</v>
      </c>
      <c r="R802" s="14" t="str">
        <f>HYPERLINK("https://my.pitchbook.com?c=250265-53T","View Company Online")</f>
        <v>View Company Online</v>
      </c>
    </row>
    <row r="803" spans="1:18" hidden="1" x14ac:dyDescent="0.3">
      <c r="A803" s="15" t="s">
        <v>3012</v>
      </c>
      <c r="B803" s="15" t="s">
        <v>3013</v>
      </c>
      <c r="C803" s="18" t="s">
        <v>28</v>
      </c>
      <c r="D803" s="15" t="s">
        <v>3014</v>
      </c>
      <c r="E803" s="18" t="s">
        <v>28</v>
      </c>
      <c r="F803" s="19" t="s">
        <v>28</v>
      </c>
      <c r="G803" s="19" t="s">
        <v>28</v>
      </c>
      <c r="H803" s="19" t="s">
        <v>28</v>
      </c>
      <c r="I803" s="18" t="s">
        <v>28</v>
      </c>
      <c r="J803" s="18" t="s">
        <v>28</v>
      </c>
      <c r="K803" s="18" t="s">
        <v>28</v>
      </c>
      <c r="L803" s="18" t="s">
        <v>28</v>
      </c>
      <c r="M803" s="18" t="s">
        <v>28</v>
      </c>
      <c r="N803" s="17">
        <v>45372</v>
      </c>
      <c r="O803" s="15" t="s">
        <v>41</v>
      </c>
      <c r="P803" s="16" t="s">
        <v>3015</v>
      </c>
      <c r="Q803" s="15" t="s">
        <v>2043</v>
      </c>
      <c r="R803" s="13" t="str">
        <f>HYPERLINK("https://my.pitchbook.com?c=244532-17T","View Company Online")</f>
        <v>View Company Online</v>
      </c>
    </row>
    <row r="804" spans="1:18" hidden="1" x14ac:dyDescent="0.3">
      <c r="A804" s="9" t="s">
        <v>3016</v>
      </c>
      <c r="B804" s="9" t="s">
        <v>3017</v>
      </c>
      <c r="C804" s="11" t="s">
        <v>28</v>
      </c>
      <c r="D804" s="9" t="s">
        <v>3018</v>
      </c>
      <c r="E804" s="11" t="s">
        <v>28</v>
      </c>
      <c r="F804" s="10" t="s">
        <v>28</v>
      </c>
      <c r="G804" s="10" t="s">
        <v>28</v>
      </c>
      <c r="H804" s="10" t="s">
        <v>28</v>
      </c>
      <c r="I804" s="11" t="s">
        <v>28</v>
      </c>
      <c r="J804" s="11" t="s">
        <v>28</v>
      </c>
      <c r="K804" s="11" t="s">
        <v>28</v>
      </c>
      <c r="L804" s="11" t="s">
        <v>28</v>
      </c>
      <c r="M804" s="11" t="s">
        <v>28</v>
      </c>
      <c r="N804" s="8">
        <v>45372</v>
      </c>
      <c r="O804" s="9" t="s">
        <v>52</v>
      </c>
      <c r="P804" s="12" t="s">
        <v>1453</v>
      </c>
      <c r="Q804" s="9" t="s">
        <v>75</v>
      </c>
      <c r="R804" s="14" t="str">
        <f>HYPERLINK("https://my.pitchbook.com?c=277447-60T","View Company Online")</f>
        <v>View Company Online</v>
      </c>
    </row>
    <row r="805" spans="1:18" hidden="1" x14ac:dyDescent="0.3">
      <c r="A805" s="15" t="s">
        <v>3019</v>
      </c>
      <c r="B805" s="15" t="s">
        <v>3020</v>
      </c>
      <c r="C805" s="18" t="s">
        <v>28</v>
      </c>
      <c r="D805" s="15" t="s">
        <v>3021</v>
      </c>
      <c r="E805" s="18" t="s">
        <v>28</v>
      </c>
      <c r="F805" s="19" t="s">
        <v>28</v>
      </c>
      <c r="G805" s="19" t="s">
        <v>28</v>
      </c>
      <c r="H805" s="19" t="s">
        <v>28</v>
      </c>
      <c r="I805" s="18" t="s">
        <v>28</v>
      </c>
      <c r="J805" s="18" t="s">
        <v>28</v>
      </c>
      <c r="K805" s="18">
        <v>8</v>
      </c>
      <c r="L805" s="18" t="s">
        <v>28</v>
      </c>
      <c r="M805" s="18" t="s">
        <v>28</v>
      </c>
      <c r="N805" s="17">
        <v>45372</v>
      </c>
      <c r="O805" s="15" t="s">
        <v>52</v>
      </c>
      <c r="P805" s="16" t="s">
        <v>1453</v>
      </c>
      <c r="Q805" s="15" t="s">
        <v>245</v>
      </c>
      <c r="R805" s="13" t="str">
        <f>HYPERLINK("https://my.pitchbook.com?c=277208-20T","View Company Online")</f>
        <v>View Company Online</v>
      </c>
    </row>
    <row r="806" spans="1:18" hidden="1" x14ac:dyDescent="0.3">
      <c r="A806" s="9" t="s">
        <v>3022</v>
      </c>
      <c r="B806" s="9" t="s">
        <v>3023</v>
      </c>
      <c r="C806" s="11" t="s">
        <v>28</v>
      </c>
      <c r="D806" s="9" t="s">
        <v>3024</v>
      </c>
      <c r="E806" s="11" t="s">
        <v>28</v>
      </c>
      <c r="F806" s="10" t="s">
        <v>28</v>
      </c>
      <c r="G806" s="10" t="s">
        <v>28</v>
      </c>
      <c r="H806" s="10" t="s">
        <v>28</v>
      </c>
      <c r="I806" s="11" t="s">
        <v>28</v>
      </c>
      <c r="J806" s="11" t="s">
        <v>28</v>
      </c>
      <c r="K806" s="11" t="s">
        <v>28</v>
      </c>
      <c r="L806" s="11" t="s">
        <v>28</v>
      </c>
      <c r="M806" s="11" t="s">
        <v>28</v>
      </c>
      <c r="N806" s="8">
        <v>45372</v>
      </c>
      <c r="O806" s="9" t="s">
        <v>30</v>
      </c>
      <c r="P806" s="12" t="s">
        <v>28</v>
      </c>
      <c r="Q806" s="9" t="s">
        <v>240</v>
      </c>
      <c r="R806" s="14" t="str">
        <f>HYPERLINK("https://my.pitchbook.com?c=255300-94T","View Company Online")</f>
        <v>View Company Online</v>
      </c>
    </row>
    <row r="807" spans="1:18" hidden="1" x14ac:dyDescent="0.3">
      <c r="A807" s="15" t="s">
        <v>3025</v>
      </c>
      <c r="B807" s="15" t="s">
        <v>3026</v>
      </c>
      <c r="C807" s="18" t="s">
        <v>28</v>
      </c>
      <c r="D807" s="15" t="s">
        <v>3027</v>
      </c>
      <c r="E807" s="18" t="s">
        <v>28</v>
      </c>
      <c r="F807" s="19" t="s">
        <v>28</v>
      </c>
      <c r="G807" s="19" t="s">
        <v>28</v>
      </c>
      <c r="H807" s="19" t="s">
        <v>28</v>
      </c>
      <c r="I807" s="18" t="s">
        <v>28</v>
      </c>
      <c r="J807" s="18" t="s">
        <v>28</v>
      </c>
      <c r="K807" s="18" t="s">
        <v>28</v>
      </c>
      <c r="L807" s="18" t="s">
        <v>28</v>
      </c>
      <c r="M807" s="18" t="s">
        <v>28</v>
      </c>
      <c r="N807" s="17">
        <v>45372</v>
      </c>
      <c r="O807" s="15" t="s">
        <v>52</v>
      </c>
      <c r="P807" s="16" t="s">
        <v>1453</v>
      </c>
      <c r="Q807" s="15" t="s">
        <v>95</v>
      </c>
      <c r="R807" s="13" t="str">
        <f>HYPERLINK("https://my.pitchbook.com?c=277212-61T","View Company Online")</f>
        <v>View Company Online</v>
      </c>
    </row>
    <row r="808" spans="1:18" hidden="1" x14ac:dyDescent="0.3">
      <c r="A808" s="9" t="s">
        <v>3028</v>
      </c>
      <c r="B808" s="9" t="s">
        <v>3029</v>
      </c>
      <c r="C808" s="11" t="s">
        <v>28</v>
      </c>
      <c r="D808" s="9" t="s">
        <v>3030</v>
      </c>
      <c r="E808" s="11" t="s">
        <v>28</v>
      </c>
      <c r="F808" s="10" t="s">
        <v>28</v>
      </c>
      <c r="G808" s="10" t="s">
        <v>28</v>
      </c>
      <c r="H808" s="10" t="s">
        <v>28</v>
      </c>
      <c r="I808" s="11" t="s">
        <v>28</v>
      </c>
      <c r="J808" s="11" t="s">
        <v>28</v>
      </c>
      <c r="K808" s="11" t="s">
        <v>28</v>
      </c>
      <c r="L808" s="11" t="s">
        <v>28</v>
      </c>
      <c r="M808" s="11" t="s">
        <v>28</v>
      </c>
      <c r="N808" s="8">
        <v>45371</v>
      </c>
      <c r="O808" s="9" t="s">
        <v>30</v>
      </c>
      <c r="P808" s="12" t="s">
        <v>3031</v>
      </c>
      <c r="Q808" s="9" t="s">
        <v>75</v>
      </c>
      <c r="R808" s="14" t="str">
        <f>HYPERLINK("https://my.pitchbook.com?c=279941-50T","View Company Online")</f>
        <v>View Company Online</v>
      </c>
    </row>
    <row r="809" spans="1:18" hidden="1" x14ac:dyDescent="0.3">
      <c r="A809" s="15" t="s">
        <v>3032</v>
      </c>
      <c r="B809" s="15" t="s">
        <v>3033</v>
      </c>
      <c r="C809" s="18" t="s">
        <v>28</v>
      </c>
      <c r="D809" s="15" t="s">
        <v>3034</v>
      </c>
      <c r="E809" s="18" t="s">
        <v>28</v>
      </c>
      <c r="F809" s="19" t="s">
        <v>28</v>
      </c>
      <c r="G809" s="19">
        <v>24.14</v>
      </c>
      <c r="H809" s="19" t="s">
        <v>28</v>
      </c>
      <c r="I809" s="18" t="s">
        <v>28</v>
      </c>
      <c r="J809" s="18" t="s">
        <v>28</v>
      </c>
      <c r="K809" s="18" t="s">
        <v>28</v>
      </c>
      <c r="L809" s="18" t="s">
        <v>28</v>
      </c>
      <c r="M809" s="18" t="s">
        <v>28</v>
      </c>
      <c r="N809" s="17">
        <v>45371</v>
      </c>
      <c r="O809" s="15" t="s">
        <v>93</v>
      </c>
      <c r="P809" s="16" t="s">
        <v>3035</v>
      </c>
      <c r="Q809" s="15" t="s">
        <v>1238</v>
      </c>
      <c r="R809" s="13" t="str">
        <f>HYPERLINK("https://my.pitchbook.com?c=284968-90T","View Company Online")</f>
        <v>View Company Online</v>
      </c>
    </row>
    <row r="810" spans="1:18" hidden="1" x14ac:dyDescent="0.3">
      <c r="A810" s="9" t="s">
        <v>3036</v>
      </c>
      <c r="B810" s="9" t="s">
        <v>3037</v>
      </c>
      <c r="C810" s="11" t="s">
        <v>28</v>
      </c>
      <c r="D810" s="9" t="s">
        <v>3038</v>
      </c>
      <c r="E810" s="11" t="s">
        <v>28</v>
      </c>
      <c r="F810" s="10">
        <v>9.66</v>
      </c>
      <c r="G810" s="10">
        <v>9.66</v>
      </c>
      <c r="H810" s="10">
        <v>9.66</v>
      </c>
      <c r="I810" s="11" t="s">
        <v>28</v>
      </c>
      <c r="J810" s="11" t="s">
        <v>28</v>
      </c>
      <c r="K810" s="11" t="s">
        <v>28</v>
      </c>
      <c r="L810" s="11" t="s">
        <v>28</v>
      </c>
      <c r="M810" s="11" t="s">
        <v>28</v>
      </c>
      <c r="N810" s="8">
        <v>45370</v>
      </c>
      <c r="O810" s="9" t="s">
        <v>30</v>
      </c>
      <c r="P810" s="12" t="s">
        <v>3039</v>
      </c>
      <c r="Q810" s="9" t="s">
        <v>95</v>
      </c>
      <c r="R810" s="14" t="str">
        <f>HYPERLINK("https://my.pitchbook.com?c=254784-16T","View Company Online")</f>
        <v>View Company Online</v>
      </c>
    </row>
    <row r="811" spans="1:18" hidden="1" x14ac:dyDescent="0.3">
      <c r="A811" s="15" t="s">
        <v>3040</v>
      </c>
      <c r="B811" s="15" t="s">
        <v>3041</v>
      </c>
      <c r="C811" s="18" t="s">
        <v>28</v>
      </c>
      <c r="D811" s="15" t="s">
        <v>3042</v>
      </c>
      <c r="E811" s="18" t="s">
        <v>28</v>
      </c>
      <c r="F811" s="19" t="s">
        <v>28</v>
      </c>
      <c r="G811" s="19">
        <v>0.3</v>
      </c>
      <c r="H811" s="19" t="s">
        <v>28</v>
      </c>
      <c r="I811" s="18" t="s">
        <v>28</v>
      </c>
      <c r="J811" s="18" t="s">
        <v>28</v>
      </c>
      <c r="K811" s="18" t="s">
        <v>28</v>
      </c>
      <c r="L811" s="18" t="s">
        <v>28</v>
      </c>
      <c r="M811" s="18" t="s">
        <v>28</v>
      </c>
      <c r="N811" s="17">
        <v>45370</v>
      </c>
      <c r="O811" s="15" t="s">
        <v>52</v>
      </c>
      <c r="P811" s="16" t="s">
        <v>3043</v>
      </c>
      <c r="Q811" s="15" t="s">
        <v>75</v>
      </c>
      <c r="R811" s="13" t="str">
        <f>HYPERLINK("https://my.pitchbook.com?c=254941-84T","View Company Online")</f>
        <v>View Company Online</v>
      </c>
    </row>
    <row r="812" spans="1:18" hidden="1" x14ac:dyDescent="0.3">
      <c r="A812" s="9" t="s">
        <v>3044</v>
      </c>
      <c r="B812" s="9" t="s">
        <v>3045</v>
      </c>
      <c r="C812" s="11" t="s">
        <v>28</v>
      </c>
      <c r="D812" s="9" t="s">
        <v>3046</v>
      </c>
      <c r="E812" s="11" t="s">
        <v>28</v>
      </c>
      <c r="F812" s="10" t="s">
        <v>28</v>
      </c>
      <c r="G812" s="10">
        <v>2.2000000000000002</v>
      </c>
      <c r="H812" s="10" t="s">
        <v>28</v>
      </c>
      <c r="I812" s="11" t="s">
        <v>28</v>
      </c>
      <c r="J812" s="11" t="s">
        <v>28</v>
      </c>
      <c r="K812" s="11" t="s">
        <v>28</v>
      </c>
      <c r="L812" s="11" t="s">
        <v>28</v>
      </c>
      <c r="M812" s="11" t="s">
        <v>28</v>
      </c>
      <c r="N812" s="8">
        <v>45370</v>
      </c>
      <c r="O812" s="9" t="s">
        <v>52</v>
      </c>
      <c r="P812" s="12" t="s">
        <v>3047</v>
      </c>
      <c r="Q812" s="9" t="s">
        <v>3048</v>
      </c>
      <c r="R812" s="14" t="str">
        <f>HYPERLINK("https://my.pitchbook.com?c=254844-73T","View Company Online")</f>
        <v>View Company Online</v>
      </c>
    </row>
    <row r="813" spans="1:18" hidden="1" x14ac:dyDescent="0.3">
      <c r="A813" s="15" t="s">
        <v>3049</v>
      </c>
      <c r="B813" s="15" t="s">
        <v>3050</v>
      </c>
      <c r="C813" s="18" t="s">
        <v>28</v>
      </c>
      <c r="D813" s="15" t="s">
        <v>3051</v>
      </c>
      <c r="E813" s="18" t="s">
        <v>28</v>
      </c>
      <c r="F813" s="19" t="s">
        <v>28</v>
      </c>
      <c r="G813" s="19" t="s">
        <v>28</v>
      </c>
      <c r="H813" s="19" t="s">
        <v>28</v>
      </c>
      <c r="I813" s="18" t="s">
        <v>28</v>
      </c>
      <c r="J813" s="18" t="s">
        <v>28</v>
      </c>
      <c r="K813" s="18" t="s">
        <v>28</v>
      </c>
      <c r="L813" s="18" t="s">
        <v>28</v>
      </c>
      <c r="M813" s="18" t="s">
        <v>28</v>
      </c>
      <c r="N813" s="17">
        <v>45370</v>
      </c>
      <c r="O813" s="15" t="s">
        <v>30</v>
      </c>
      <c r="P813" s="16" t="s">
        <v>3052</v>
      </c>
      <c r="Q813" s="15" t="s">
        <v>37</v>
      </c>
      <c r="R813" s="13" t="str">
        <f>HYPERLINK("https://my.pitchbook.com?c=256728-88T","View Company Online")</f>
        <v>View Company Online</v>
      </c>
    </row>
    <row r="814" spans="1:18" hidden="1" x14ac:dyDescent="0.3">
      <c r="A814" s="9" t="s">
        <v>3053</v>
      </c>
      <c r="B814" s="9" t="s">
        <v>3054</v>
      </c>
      <c r="C814" s="11" t="s">
        <v>28</v>
      </c>
      <c r="D814" s="9" t="s">
        <v>3055</v>
      </c>
      <c r="E814" s="11" t="s">
        <v>28</v>
      </c>
      <c r="F814" s="10" t="s">
        <v>28</v>
      </c>
      <c r="G814" s="10" t="s">
        <v>28</v>
      </c>
      <c r="H814" s="10" t="s">
        <v>28</v>
      </c>
      <c r="I814" s="11" t="s">
        <v>28</v>
      </c>
      <c r="J814" s="11" t="s">
        <v>28</v>
      </c>
      <c r="K814" s="11" t="s">
        <v>28</v>
      </c>
      <c r="L814" s="11" t="s">
        <v>28</v>
      </c>
      <c r="M814" s="11" t="s">
        <v>28</v>
      </c>
      <c r="N814" s="8">
        <v>45369</v>
      </c>
      <c r="O814" s="9" t="s">
        <v>30</v>
      </c>
      <c r="P814" s="12" t="s">
        <v>3056</v>
      </c>
      <c r="Q814" s="9" t="s">
        <v>136</v>
      </c>
      <c r="R814" s="14" t="str">
        <f>HYPERLINK("https://my.pitchbook.com?c=255419-29T","View Company Online")</f>
        <v>View Company Online</v>
      </c>
    </row>
    <row r="815" spans="1:18" hidden="1" x14ac:dyDescent="0.3">
      <c r="A815" s="15" t="s">
        <v>3057</v>
      </c>
      <c r="B815" s="15" t="s">
        <v>3058</v>
      </c>
      <c r="C815" s="18" t="s">
        <v>28</v>
      </c>
      <c r="D815" s="15" t="s">
        <v>3059</v>
      </c>
      <c r="E815" s="18" t="s">
        <v>28</v>
      </c>
      <c r="F815" s="19" t="s">
        <v>28</v>
      </c>
      <c r="G815" s="19">
        <v>201.37</v>
      </c>
      <c r="H815" s="19" t="s">
        <v>28</v>
      </c>
      <c r="I815" s="18" t="s">
        <v>28</v>
      </c>
      <c r="J815" s="18" t="s">
        <v>28</v>
      </c>
      <c r="K815" s="18" t="s">
        <v>28</v>
      </c>
      <c r="L815" s="18" t="s">
        <v>28</v>
      </c>
      <c r="M815" s="18" t="s">
        <v>28</v>
      </c>
      <c r="N815" s="17">
        <v>45369</v>
      </c>
      <c r="O815" s="15" t="s">
        <v>93</v>
      </c>
      <c r="P815" s="16" t="s">
        <v>3060</v>
      </c>
      <c r="Q815" s="15" t="s">
        <v>43</v>
      </c>
      <c r="R815" s="13" t="str">
        <f>HYPERLINK("https://my.pitchbook.com?c=250169-05T","View Company Online")</f>
        <v>View Company Online</v>
      </c>
    </row>
    <row r="816" spans="1:18" hidden="1" x14ac:dyDescent="0.3">
      <c r="A816" s="9" t="s">
        <v>3061</v>
      </c>
      <c r="B816" s="9" t="s">
        <v>3062</v>
      </c>
      <c r="C816" s="11" t="s">
        <v>28</v>
      </c>
      <c r="D816" s="9" t="s">
        <v>3063</v>
      </c>
      <c r="E816" s="11" t="s">
        <v>28</v>
      </c>
      <c r="F816" s="10" t="s">
        <v>28</v>
      </c>
      <c r="G816" s="10">
        <v>1.3</v>
      </c>
      <c r="H816" s="10" t="s">
        <v>28</v>
      </c>
      <c r="I816" s="11" t="s">
        <v>28</v>
      </c>
      <c r="J816" s="11" t="s">
        <v>28</v>
      </c>
      <c r="K816" s="11" t="s">
        <v>28</v>
      </c>
      <c r="L816" s="11" t="s">
        <v>28</v>
      </c>
      <c r="M816" s="11" t="s">
        <v>28</v>
      </c>
      <c r="N816" s="8">
        <v>45369</v>
      </c>
      <c r="O816" s="9" t="s">
        <v>99</v>
      </c>
      <c r="P816" s="12" t="s">
        <v>3064</v>
      </c>
      <c r="Q816" s="9" t="s">
        <v>75</v>
      </c>
      <c r="R816" s="14" t="str">
        <f>HYPERLINK("https://my.pitchbook.com?c=254706-04T","View Company Online")</f>
        <v>View Company Online</v>
      </c>
    </row>
    <row r="817" spans="1:18" hidden="1" x14ac:dyDescent="0.3">
      <c r="A817" s="15" t="s">
        <v>3065</v>
      </c>
      <c r="B817" s="15" t="s">
        <v>3066</v>
      </c>
      <c r="C817" s="18" t="s">
        <v>28</v>
      </c>
      <c r="D817" s="15" t="s">
        <v>3067</v>
      </c>
      <c r="E817" s="18" t="s">
        <v>28</v>
      </c>
      <c r="F817" s="19" t="s">
        <v>28</v>
      </c>
      <c r="G817" s="19" t="s">
        <v>28</v>
      </c>
      <c r="H817" s="19" t="s">
        <v>28</v>
      </c>
      <c r="I817" s="18" t="s">
        <v>28</v>
      </c>
      <c r="J817" s="18" t="s">
        <v>28</v>
      </c>
      <c r="K817" s="18" t="s">
        <v>28</v>
      </c>
      <c r="L817" s="18" t="s">
        <v>28</v>
      </c>
      <c r="M817" s="18" t="s">
        <v>28</v>
      </c>
      <c r="N817" s="17">
        <v>45366</v>
      </c>
      <c r="O817" s="15" t="s">
        <v>30</v>
      </c>
      <c r="P817" s="16" t="s">
        <v>3068</v>
      </c>
      <c r="Q817" s="15" t="s">
        <v>240</v>
      </c>
      <c r="R817" s="13" t="str">
        <f>HYPERLINK("https://my.pitchbook.com?c=256571-02T","View Company Online")</f>
        <v>View Company Online</v>
      </c>
    </row>
    <row r="818" spans="1:18" hidden="1" x14ac:dyDescent="0.3">
      <c r="A818" s="9" t="s">
        <v>3069</v>
      </c>
      <c r="B818" s="9" t="s">
        <v>3070</v>
      </c>
      <c r="C818" s="11" t="s">
        <v>28</v>
      </c>
      <c r="D818" s="9" t="s">
        <v>3071</v>
      </c>
      <c r="E818" s="11" t="s">
        <v>28</v>
      </c>
      <c r="F818" s="10" t="s">
        <v>28</v>
      </c>
      <c r="G818" s="10" t="s">
        <v>28</v>
      </c>
      <c r="H818" s="10" t="s">
        <v>28</v>
      </c>
      <c r="I818" s="11" t="s">
        <v>28</v>
      </c>
      <c r="J818" s="11" t="s">
        <v>28</v>
      </c>
      <c r="K818" s="11" t="s">
        <v>28</v>
      </c>
      <c r="L818" s="11" t="s">
        <v>28</v>
      </c>
      <c r="M818" s="11" t="s">
        <v>28</v>
      </c>
      <c r="N818" s="8">
        <v>45365</v>
      </c>
      <c r="O818" s="9" t="s">
        <v>30</v>
      </c>
      <c r="P818" s="12" t="s">
        <v>28</v>
      </c>
      <c r="Q818" s="9" t="s">
        <v>169</v>
      </c>
      <c r="R818" s="14" t="str">
        <f>HYPERLINK("https://my.pitchbook.com?c=254439-10T","View Company Online")</f>
        <v>View Company Online</v>
      </c>
    </row>
    <row r="819" spans="1:18" hidden="1" x14ac:dyDescent="0.3">
      <c r="A819" s="15" t="s">
        <v>3072</v>
      </c>
      <c r="B819" s="15" t="s">
        <v>3073</v>
      </c>
      <c r="C819" s="18" t="s">
        <v>28</v>
      </c>
      <c r="D819" s="15" t="s">
        <v>3074</v>
      </c>
      <c r="E819" s="18" t="s">
        <v>28</v>
      </c>
      <c r="F819" s="19" t="s">
        <v>28</v>
      </c>
      <c r="G819" s="19" t="s">
        <v>28</v>
      </c>
      <c r="H819" s="19" t="s">
        <v>28</v>
      </c>
      <c r="I819" s="18">
        <v>44.47</v>
      </c>
      <c r="J819" s="18" t="s">
        <v>28</v>
      </c>
      <c r="K819" s="18">
        <v>709.84</v>
      </c>
      <c r="L819" s="18" t="s">
        <v>28</v>
      </c>
      <c r="M819" s="18">
        <v>-30.3</v>
      </c>
      <c r="N819" s="17">
        <v>45365</v>
      </c>
      <c r="O819" s="15" t="s">
        <v>30</v>
      </c>
      <c r="P819" s="16" t="s">
        <v>28</v>
      </c>
      <c r="Q819" s="15" t="s">
        <v>169</v>
      </c>
      <c r="R819" s="13" t="str">
        <f>HYPERLINK("https://my.pitchbook.com?c=254440-72T","View Company Online")</f>
        <v>View Company Online</v>
      </c>
    </row>
    <row r="820" spans="1:18" hidden="1" x14ac:dyDescent="0.3">
      <c r="A820" s="9" t="s">
        <v>3075</v>
      </c>
      <c r="B820" s="9" t="s">
        <v>3076</v>
      </c>
      <c r="C820" s="11" t="s">
        <v>28</v>
      </c>
      <c r="D820" s="9" t="s">
        <v>3077</v>
      </c>
      <c r="E820" s="11">
        <v>209.68</v>
      </c>
      <c r="F820" s="10" t="s">
        <v>28</v>
      </c>
      <c r="G820" s="10">
        <v>141.86000000000001</v>
      </c>
      <c r="H820" s="10" t="s">
        <v>28</v>
      </c>
      <c r="I820" s="11">
        <v>436.96</v>
      </c>
      <c r="J820" s="11" t="s">
        <v>28</v>
      </c>
      <c r="K820" s="11">
        <v>3851.42</v>
      </c>
      <c r="L820" s="11" t="s">
        <v>28</v>
      </c>
      <c r="M820" s="11">
        <v>-454.37</v>
      </c>
      <c r="N820" s="8">
        <v>45365</v>
      </c>
      <c r="O820" s="9" t="s">
        <v>159</v>
      </c>
      <c r="P820" s="12" t="s">
        <v>28</v>
      </c>
      <c r="Q820" s="9" t="s">
        <v>109</v>
      </c>
      <c r="R820" s="14" t="str">
        <f>HYPERLINK("https://my.pitchbook.com?c=270649-81T","View Company Online")</f>
        <v>View Company Online</v>
      </c>
    </row>
    <row r="821" spans="1:18" hidden="1" x14ac:dyDescent="0.3">
      <c r="A821" s="15" t="s">
        <v>3078</v>
      </c>
      <c r="B821" s="15" t="s">
        <v>1215</v>
      </c>
      <c r="C821" s="18" t="s">
        <v>28</v>
      </c>
      <c r="D821" s="15" t="s">
        <v>1216</v>
      </c>
      <c r="E821" s="18" t="s">
        <v>28</v>
      </c>
      <c r="F821" s="19" t="s">
        <v>28</v>
      </c>
      <c r="G821" s="19" t="s">
        <v>28</v>
      </c>
      <c r="H821" s="19" t="s">
        <v>28</v>
      </c>
      <c r="I821" s="18" t="s">
        <v>28</v>
      </c>
      <c r="J821" s="18" t="s">
        <v>28</v>
      </c>
      <c r="K821" s="18" t="s">
        <v>28</v>
      </c>
      <c r="L821" s="18" t="s">
        <v>28</v>
      </c>
      <c r="M821" s="18" t="s">
        <v>28</v>
      </c>
      <c r="N821" s="17">
        <v>45365</v>
      </c>
      <c r="O821" s="15" t="s">
        <v>52</v>
      </c>
      <c r="P821" s="16" t="s">
        <v>3079</v>
      </c>
      <c r="Q821" s="15" t="s">
        <v>75</v>
      </c>
      <c r="R821" s="13" t="str">
        <f>HYPERLINK("https://my.pitchbook.com?c=258514-93T","View Company Online")</f>
        <v>View Company Online</v>
      </c>
    </row>
    <row r="822" spans="1:18" hidden="1" x14ac:dyDescent="0.3">
      <c r="A822" s="9" t="s">
        <v>3080</v>
      </c>
      <c r="B822" s="9" t="s">
        <v>3081</v>
      </c>
      <c r="C822" s="11" t="s">
        <v>28</v>
      </c>
      <c r="D822" s="9" t="s">
        <v>3082</v>
      </c>
      <c r="E822" s="11" t="s">
        <v>28</v>
      </c>
      <c r="F822" s="10" t="s">
        <v>28</v>
      </c>
      <c r="G822" s="10" t="s">
        <v>28</v>
      </c>
      <c r="H822" s="10" t="s">
        <v>28</v>
      </c>
      <c r="I822" s="11" t="s">
        <v>28</v>
      </c>
      <c r="J822" s="11" t="s">
        <v>28</v>
      </c>
      <c r="K822" s="11" t="s">
        <v>28</v>
      </c>
      <c r="L822" s="11" t="s">
        <v>28</v>
      </c>
      <c r="M822" s="11" t="s">
        <v>28</v>
      </c>
      <c r="N822" s="8">
        <v>45365</v>
      </c>
      <c r="O822" s="9" t="s">
        <v>30</v>
      </c>
      <c r="P822" s="12" t="s">
        <v>3083</v>
      </c>
      <c r="Q822" s="9" t="s">
        <v>880</v>
      </c>
      <c r="R822" s="14" t="str">
        <f>HYPERLINK("https://my.pitchbook.com?c=254590-93T","View Company Online")</f>
        <v>View Company Online</v>
      </c>
    </row>
    <row r="823" spans="1:18" hidden="1" x14ac:dyDescent="0.3">
      <c r="A823" s="15" t="s">
        <v>3084</v>
      </c>
      <c r="B823" s="15" t="s">
        <v>3085</v>
      </c>
      <c r="C823" s="18" t="s">
        <v>28</v>
      </c>
      <c r="D823" s="15" t="s">
        <v>3086</v>
      </c>
      <c r="E823" s="18" t="s">
        <v>28</v>
      </c>
      <c r="F823" s="19" t="s">
        <v>28</v>
      </c>
      <c r="G823" s="19" t="s">
        <v>28</v>
      </c>
      <c r="H823" s="19" t="s">
        <v>28</v>
      </c>
      <c r="I823" s="18" t="s">
        <v>28</v>
      </c>
      <c r="J823" s="18" t="s">
        <v>28</v>
      </c>
      <c r="K823" s="18" t="s">
        <v>28</v>
      </c>
      <c r="L823" s="18" t="s">
        <v>28</v>
      </c>
      <c r="M823" s="18" t="s">
        <v>28</v>
      </c>
      <c r="N823" s="17">
        <v>45365</v>
      </c>
      <c r="O823" s="15" t="s">
        <v>30</v>
      </c>
      <c r="P823" s="16" t="s">
        <v>2275</v>
      </c>
      <c r="Q823" s="15" t="s">
        <v>136</v>
      </c>
      <c r="R823" s="13" t="str">
        <f>HYPERLINK("https://my.pitchbook.com?c=256116-07T","View Company Online")</f>
        <v>View Company Online</v>
      </c>
    </row>
    <row r="824" spans="1:18" hidden="1" x14ac:dyDescent="0.3">
      <c r="A824" s="9" t="s">
        <v>3087</v>
      </c>
      <c r="B824" s="9" t="s">
        <v>3088</v>
      </c>
      <c r="C824" s="11" t="s">
        <v>28</v>
      </c>
      <c r="D824" s="9" t="s">
        <v>3089</v>
      </c>
      <c r="E824" s="11" t="s">
        <v>28</v>
      </c>
      <c r="F824" s="10" t="s">
        <v>28</v>
      </c>
      <c r="G824" s="10" t="s">
        <v>28</v>
      </c>
      <c r="H824" s="10" t="s">
        <v>28</v>
      </c>
      <c r="I824" s="11" t="s">
        <v>28</v>
      </c>
      <c r="J824" s="11" t="s">
        <v>28</v>
      </c>
      <c r="K824" s="11" t="s">
        <v>28</v>
      </c>
      <c r="L824" s="11" t="s">
        <v>28</v>
      </c>
      <c r="M824" s="11" t="s">
        <v>28</v>
      </c>
      <c r="N824" s="8">
        <v>45365</v>
      </c>
      <c r="O824" s="9" t="s">
        <v>30</v>
      </c>
      <c r="P824" s="12" t="s">
        <v>3090</v>
      </c>
      <c r="Q824" s="9" t="s">
        <v>226</v>
      </c>
      <c r="R824" s="14" t="str">
        <f>HYPERLINK("https://my.pitchbook.com?c=256806-46T","View Company Online")</f>
        <v>View Company Online</v>
      </c>
    </row>
    <row r="825" spans="1:18" hidden="1" x14ac:dyDescent="0.3">
      <c r="A825" s="15" t="s">
        <v>3091</v>
      </c>
      <c r="B825" s="15" t="s">
        <v>3092</v>
      </c>
      <c r="C825" s="18" t="s">
        <v>28</v>
      </c>
      <c r="D825" s="15" t="s">
        <v>3093</v>
      </c>
      <c r="E825" s="18" t="s">
        <v>28</v>
      </c>
      <c r="F825" s="19" t="s">
        <v>28</v>
      </c>
      <c r="G825" s="19">
        <v>0.08</v>
      </c>
      <c r="H825" s="19" t="s">
        <v>28</v>
      </c>
      <c r="I825" s="18" t="s">
        <v>28</v>
      </c>
      <c r="J825" s="18" t="s">
        <v>28</v>
      </c>
      <c r="K825" s="18" t="s">
        <v>28</v>
      </c>
      <c r="L825" s="18" t="s">
        <v>28</v>
      </c>
      <c r="M825" s="18" t="s">
        <v>28</v>
      </c>
      <c r="N825" s="17">
        <v>45364</v>
      </c>
      <c r="O825" s="15" t="s">
        <v>73</v>
      </c>
      <c r="P825" s="16" t="s">
        <v>221</v>
      </c>
      <c r="Q825" s="15" t="s">
        <v>583</v>
      </c>
      <c r="R825" s="13" t="str">
        <f>HYPERLINK("https://my.pitchbook.com?c=244437-13T","View Company Online")</f>
        <v>View Company Online</v>
      </c>
    </row>
    <row r="826" spans="1:18" hidden="1" x14ac:dyDescent="0.3">
      <c r="A826" s="9" t="s">
        <v>3094</v>
      </c>
      <c r="B826" s="9" t="s">
        <v>3095</v>
      </c>
      <c r="C826" s="11" t="s">
        <v>28</v>
      </c>
      <c r="D826" s="9" t="s">
        <v>3096</v>
      </c>
      <c r="E826" s="11" t="s">
        <v>28</v>
      </c>
      <c r="F826" s="10" t="s">
        <v>28</v>
      </c>
      <c r="G826" s="10">
        <v>1.61</v>
      </c>
      <c r="H826" s="10" t="s">
        <v>28</v>
      </c>
      <c r="I826" s="11" t="s">
        <v>28</v>
      </c>
      <c r="J826" s="11" t="s">
        <v>28</v>
      </c>
      <c r="K826" s="11" t="s">
        <v>28</v>
      </c>
      <c r="L826" s="11" t="s">
        <v>28</v>
      </c>
      <c r="M826" s="11" t="s">
        <v>28</v>
      </c>
      <c r="N826" s="8">
        <v>45364</v>
      </c>
      <c r="O826" s="9" t="s">
        <v>79</v>
      </c>
      <c r="P826" s="12" t="s">
        <v>3097</v>
      </c>
      <c r="Q826" s="9" t="s">
        <v>404</v>
      </c>
      <c r="R826" s="14" t="str">
        <f>HYPERLINK("https://my.pitchbook.com?c=288306-28T","View Company Online")</f>
        <v>View Company Online</v>
      </c>
    </row>
    <row r="827" spans="1:18" hidden="1" x14ac:dyDescent="0.3">
      <c r="A827" s="15" t="s">
        <v>3098</v>
      </c>
      <c r="B827" s="15" t="s">
        <v>3099</v>
      </c>
      <c r="C827" s="18" t="s">
        <v>28</v>
      </c>
      <c r="D827" s="15" t="s">
        <v>3100</v>
      </c>
      <c r="E827" s="18" t="s">
        <v>28</v>
      </c>
      <c r="F827" s="19" t="s">
        <v>28</v>
      </c>
      <c r="G827" s="19" t="s">
        <v>28</v>
      </c>
      <c r="H827" s="19" t="s">
        <v>28</v>
      </c>
      <c r="I827" s="18" t="s">
        <v>28</v>
      </c>
      <c r="J827" s="18" t="s">
        <v>28</v>
      </c>
      <c r="K827" s="18" t="s">
        <v>28</v>
      </c>
      <c r="L827" s="18" t="s">
        <v>28</v>
      </c>
      <c r="M827" s="18" t="s">
        <v>28</v>
      </c>
      <c r="N827" s="17">
        <v>45364</v>
      </c>
      <c r="O827" s="15" t="s">
        <v>73</v>
      </c>
      <c r="P827" s="16" t="s">
        <v>3101</v>
      </c>
      <c r="Q827" s="15" t="s">
        <v>75</v>
      </c>
      <c r="R827" s="13" t="str">
        <f>HYPERLINK("https://my.pitchbook.com?c=244351-18T","View Company Online")</f>
        <v>View Company Online</v>
      </c>
    </row>
    <row r="828" spans="1:18" hidden="1" x14ac:dyDescent="0.3">
      <c r="A828" s="9" t="s">
        <v>3102</v>
      </c>
      <c r="B828" s="9" t="s">
        <v>2976</v>
      </c>
      <c r="C828" s="11" t="s">
        <v>28</v>
      </c>
      <c r="D828" s="9" t="s">
        <v>2977</v>
      </c>
      <c r="E828" s="11" t="s">
        <v>28</v>
      </c>
      <c r="F828" s="10" t="s">
        <v>28</v>
      </c>
      <c r="G828" s="10">
        <v>0.4</v>
      </c>
      <c r="H828" s="10" t="s">
        <v>28</v>
      </c>
      <c r="I828" s="11" t="s">
        <v>28</v>
      </c>
      <c r="J828" s="11" t="s">
        <v>28</v>
      </c>
      <c r="K828" s="11" t="s">
        <v>28</v>
      </c>
      <c r="L828" s="11" t="s">
        <v>28</v>
      </c>
      <c r="M828" s="11" t="s">
        <v>28</v>
      </c>
      <c r="N828" s="8">
        <v>45364</v>
      </c>
      <c r="O828" s="9" t="s">
        <v>47</v>
      </c>
      <c r="P828" s="12" t="s">
        <v>3097</v>
      </c>
      <c r="Q828" s="9" t="s">
        <v>404</v>
      </c>
      <c r="R828" s="14" t="str">
        <f>HYPERLINK("https://my.pitchbook.com?c=292490-83T","View Company Online")</f>
        <v>View Company Online</v>
      </c>
    </row>
    <row r="829" spans="1:18" hidden="1" x14ac:dyDescent="0.3">
      <c r="A829" s="15" t="s">
        <v>3103</v>
      </c>
      <c r="B829" s="15" t="s">
        <v>3104</v>
      </c>
      <c r="C829" s="18" t="s">
        <v>28</v>
      </c>
      <c r="D829" s="15" t="s">
        <v>3105</v>
      </c>
      <c r="E829" s="18" t="s">
        <v>28</v>
      </c>
      <c r="F829" s="19" t="s">
        <v>28</v>
      </c>
      <c r="G829" s="19">
        <v>5.04</v>
      </c>
      <c r="H829" s="19" t="s">
        <v>28</v>
      </c>
      <c r="I829" s="18" t="s">
        <v>28</v>
      </c>
      <c r="J829" s="18" t="s">
        <v>28</v>
      </c>
      <c r="K829" s="18" t="s">
        <v>28</v>
      </c>
      <c r="L829" s="18" t="s">
        <v>28</v>
      </c>
      <c r="M829" s="18" t="s">
        <v>28</v>
      </c>
      <c r="N829" s="17">
        <v>45364</v>
      </c>
      <c r="O829" s="15" t="s">
        <v>73</v>
      </c>
      <c r="P829" s="16" t="s">
        <v>2974</v>
      </c>
      <c r="Q829" s="15" t="s">
        <v>114</v>
      </c>
      <c r="R829" s="13" t="str">
        <f>HYPERLINK("https://my.pitchbook.com?c=254340-64T","View Company Online")</f>
        <v>View Company Online</v>
      </c>
    </row>
    <row r="830" spans="1:18" hidden="1" x14ac:dyDescent="0.3">
      <c r="A830" s="9" t="s">
        <v>3106</v>
      </c>
      <c r="B830" s="9" t="s">
        <v>3107</v>
      </c>
      <c r="C830" s="11" t="s">
        <v>28</v>
      </c>
      <c r="D830" s="9" t="s">
        <v>3108</v>
      </c>
      <c r="E830" s="11" t="s">
        <v>28</v>
      </c>
      <c r="F830" s="10" t="s">
        <v>28</v>
      </c>
      <c r="G830" s="10" t="s">
        <v>28</v>
      </c>
      <c r="H830" s="10" t="s">
        <v>28</v>
      </c>
      <c r="I830" s="11" t="s">
        <v>28</v>
      </c>
      <c r="J830" s="11" t="s">
        <v>28</v>
      </c>
      <c r="K830" s="11" t="s">
        <v>28</v>
      </c>
      <c r="L830" s="11" t="s">
        <v>28</v>
      </c>
      <c r="M830" s="11" t="s">
        <v>28</v>
      </c>
      <c r="N830" s="8">
        <v>45363</v>
      </c>
      <c r="O830" s="9" t="s">
        <v>30</v>
      </c>
      <c r="P830" s="12" t="s">
        <v>3109</v>
      </c>
      <c r="Q830" s="9" t="s">
        <v>362</v>
      </c>
      <c r="R830" s="14" t="str">
        <f>HYPERLINK("https://my.pitchbook.com?c=255423-97T","View Company Online")</f>
        <v>View Company Online</v>
      </c>
    </row>
    <row r="831" spans="1:18" hidden="1" x14ac:dyDescent="0.3">
      <c r="A831" s="15" t="s">
        <v>3110</v>
      </c>
      <c r="B831" s="15" t="s">
        <v>3111</v>
      </c>
      <c r="C831" s="18" t="s">
        <v>28</v>
      </c>
      <c r="D831" s="15" t="s">
        <v>3112</v>
      </c>
      <c r="E831" s="18" t="s">
        <v>28</v>
      </c>
      <c r="F831" s="19" t="s">
        <v>28</v>
      </c>
      <c r="G831" s="19">
        <v>2.42</v>
      </c>
      <c r="H831" s="19" t="s">
        <v>28</v>
      </c>
      <c r="I831" s="18" t="s">
        <v>28</v>
      </c>
      <c r="J831" s="18" t="s">
        <v>28</v>
      </c>
      <c r="K831" s="18" t="s">
        <v>28</v>
      </c>
      <c r="L831" s="18" t="s">
        <v>28</v>
      </c>
      <c r="M831" s="18" t="s">
        <v>28</v>
      </c>
      <c r="N831" s="17">
        <v>45363</v>
      </c>
      <c r="O831" s="15" t="s">
        <v>73</v>
      </c>
      <c r="P831" s="16" t="s">
        <v>3113</v>
      </c>
      <c r="Q831" s="15" t="s">
        <v>75</v>
      </c>
      <c r="R831" s="13" t="str">
        <f>HYPERLINK("https://my.pitchbook.com?c=254259-82T","View Company Online")</f>
        <v>View Company Online</v>
      </c>
    </row>
    <row r="832" spans="1:18" hidden="1" x14ac:dyDescent="0.3">
      <c r="A832" s="9" t="s">
        <v>3114</v>
      </c>
      <c r="B832" s="9" t="s">
        <v>3115</v>
      </c>
      <c r="C832" s="11" t="s">
        <v>28</v>
      </c>
      <c r="D832" s="9" t="s">
        <v>3116</v>
      </c>
      <c r="E832" s="11" t="s">
        <v>28</v>
      </c>
      <c r="F832" s="10">
        <v>7.26</v>
      </c>
      <c r="G832" s="10">
        <v>7.26</v>
      </c>
      <c r="H832" s="10">
        <v>7.26</v>
      </c>
      <c r="I832" s="11" t="s">
        <v>28</v>
      </c>
      <c r="J832" s="11" t="s">
        <v>28</v>
      </c>
      <c r="K832" s="11" t="s">
        <v>28</v>
      </c>
      <c r="L832" s="11" t="s">
        <v>28</v>
      </c>
      <c r="M832" s="11">
        <v>10.199999999999999</v>
      </c>
      <c r="N832" s="8">
        <v>45363</v>
      </c>
      <c r="O832" s="9" t="s">
        <v>30</v>
      </c>
      <c r="P832" s="12" t="s">
        <v>3117</v>
      </c>
      <c r="Q832" s="9" t="s">
        <v>136</v>
      </c>
      <c r="R832" s="14" t="str">
        <f>HYPERLINK("https://my.pitchbook.com?c=254239-66T","View Company Online")</f>
        <v>View Company Online</v>
      </c>
    </row>
    <row r="833" spans="1:18" hidden="1" x14ac:dyDescent="0.3">
      <c r="A833" s="15" t="s">
        <v>3118</v>
      </c>
      <c r="B833" s="15" t="s">
        <v>3119</v>
      </c>
      <c r="C833" s="18" t="s">
        <v>28</v>
      </c>
      <c r="D833" s="15" t="s">
        <v>3120</v>
      </c>
      <c r="E833" s="18" t="s">
        <v>28</v>
      </c>
      <c r="F833" s="19" t="s">
        <v>28</v>
      </c>
      <c r="G833" s="19">
        <v>40.71</v>
      </c>
      <c r="H833" s="19" t="s">
        <v>28</v>
      </c>
      <c r="I833" s="18" t="s">
        <v>28</v>
      </c>
      <c r="J833" s="18" t="s">
        <v>28</v>
      </c>
      <c r="K833" s="18" t="s">
        <v>28</v>
      </c>
      <c r="L833" s="18" t="s">
        <v>28</v>
      </c>
      <c r="M833" s="18" t="s">
        <v>28</v>
      </c>
      <c r="N833" s="17">
        <v>45362</v>
      </c>
      <c r="O833" s="15" t="s">
        <v>79</v>
      </c>
      <c r="P833" s="16" t="s">
        <v>3121</v>
      </c>
      <c r="Q833" s="15" t="s">
        <v>37</v>
      </c>
      <c r="R833" s="13" t="str">
        <f>HYPERLINK("https://my.pitchbook.com?c=248972-95T","View Company Online")</f>
        <v>View Company Online</v>
      </c>
    </row>
    <row r="834" spans="1:18" hidden="1" x14ac:dyDescent="0.3">
      <c r="A834" s="9" t="s">
        <v>3122</v>
      </c>
      <c r="B834" s="9" t="s">
        <v>3123</v>
      </c>
      <c r="C834" s="11" t="s">
        <v>28</v>
      </c>
      <c r="D834" s="9" t="s">
        <v>3124</v>
      </c>
      <c r="E834" s="11" t="s">
        <v>28</v>
      </c>
      <c r="F834" s="10" t="s">
        <v>28</v>
      </c>
      <c r="G834" s="10">
        <v>0.02</v>
      </c>
      <c r="H834" s="10" t="s">
        <v>28</v>
      </c>
      <c r="I834" s="11" t="s">
        <v>28</v>
      </c>
      <c r="J834" s="11" t="s">
        <v>28</v>
      </c>
      <c r="K834" s="11" t="s">
        <v>28</v>
      </c>
      <c r="L834" s="11" t="s">
        <v>28</v>
      </c>
      <c r="M834" s="11" t="s">
        <v>28</v>
      </c>
      <c r="N834" s="8">
        <v>45362</v>
      </c>
      <c r="O834" s="9" t="s">
        <v>52</v>
      </c>
      <c r="P834" s="12" t="s">
        <v>3125</v>
      </c>
      <c r="Q834" s="9" t="s">
        <v>75</v>
      </c>
      <c r="R834" s="14" t="str">
        <f>HYPERLINK("https://my.pitchbook.com?c=266843-08T","View Company Online")</f>
        <v>View Company Online</v>
      </c>
    </row>
    <row r="835" spans="1:18" hidden="1" x14ac:dyDescent="0.3">
      <c r="A835" s="15" t="s">
        <v>3126</v>
      </c>
      <c r="B835" s="15" t="s">
        <v>3127</v>
      </c>
      <c r="C835" s="18" t="s">
        <v>28</v>
      </c>
      <c r="D835" s="15" t="s">
        <v>3128</v>
      </c>
      <c r="E835" s="18" t="s">
        <v>28</v>
      </c>
      <c r="F835" s="19" t="s">
        <v>28</v>
      </c>
      <c r="G835" s="19" t="s">
        <v>28</v>
      </c>
      <c r="H835" s="19" t="s">
        <v>28</v>
      </c>
      <c r="I835" s="18" t="s">
        <v>28</v>
      </c>
      <c r="J835" s="18" t="s">
        <v>28</v>
      </c>
      <c r="K835" s="18" t="s">
        <v>28</v>
      </c>
      <c r="L835" s="18" t="s">
        <v>28</v>
      </c>
      <c r="M835" s="18" t="s">
        <v>28</v>
      </c>
      <c r="N835" s="17">
        <v>45362</v>
      </c>
      <c r="O835" s="15" t="s">
        <v>73</v>
      </c>
      <c r="P835" s="16" t="s">
        <v>3129</v>
      </c>
      <c r="Q835" s="15" t="s">
        <v>75</v>
      </c>
      <c r="R835" s="13" t="str">
        <f>HYPERLINK("https://my.pitchbook.com?c=257197-96T","View Company Online")</f>
        <v>View Company Online</v>
      </c>
    </row>
    <row r="836" spans="1:18" hidden="1" x14ac:dyDescent="0.3">
      <c r="A836" s="9" t="s">
        <v>3130</v>
      </c>
      <c r="B836" s="9" t="s">
        <v>3131</v>
      </c>
      <c r="C836" s="11" t="s">
        <v>28</v>
      </c>
      <c r="D836" s="9" t="s">
        <v>3132</v>
      </c>
      <c r="E836" s="11" t="s">
        <v>28</v>
      </c>
      <c r="F836" s="10" t="s">
        <v>28</v>
      </c>
      <c r="G836" s="10">
        <v>10</v>
      </c>
      <c r="H836" s="10" t="s">
        <v>28</v>
      </c>
      <c r="I836" s="11" t="s">
        <v>28</v>
      </c>
      <c r="J836" s="11" t="s">
        <v>28</v>
      </c>
      <c r="K836" s="11" t="s">
        <v>28</v>
      </c>
      <c r="L836" s="11" t="s">
        <v>28</v>
      </c>
      <c r="M836" s="11" t="s">
        <v>28</v>
      </c>
      <c r="N836" s="8">
        <v>45362</v>
      </c>
      <c r="O836" s="9" t="s">
        <v>58</v>
      </c>
      <c r="P836" s="12" t="s">
        <v>3133</v>
      </c>
      <c r="Q836" s="9" t="s">
        <v>470</v>
      </c>
      <c r="R836" s="14" t="str">
        <f>HYPERLINK("https://my.pitchbook.com?c=254485-45T","View Company Online")</f>
        <v>View Company Online</v>
      </c>
    </row>
    <row r="837" spans="1:18" hidden="1" x14ac:dyDescent="0.3">
      <c r="A837" s="15" t="s">
        <v>3134</v>
      </c>
      <c r="B837" s="15" t="s">
        <v>706</v>
      </c>
      <c r="C837" s="18" t="s">
        <v>28</v>
      </c>
      <c r="D837" s="15" t="s">
        <v>707</v>
      </c>
      <c r="E837" s="18" t="s">
        <v>28</v>
      </c>
      <c r="F837" s="19" t="s">
        <v>28</v>
      </c>
      <c r="G837" s="19">
        <v>0.02</v>
      </c>
      <c r="H837" s="19">
        <v>0.33</v>
      </c>
      <c r="I837" s="18" t="s">
        <v>28</v>
      </c>
      <c r="J837" s="18" t="s">
        <v>28</v>
      </c>
      <c r="K837" s="18" t="s">
        <v>28</v>
      </c>
      <c r="L837" s="18" t="s">
        <v>28</v>
      </c>
      <c r="M837" s="18" t="s">
        <v>28</v>
      </c>
      <c r="N837" s="17">
        <v>45362</v>
      </c>
      <c r="O837" s="15" t="s">
        <v>52</v>
      </c>
      <c r="P837" s="16" t="s">
        <v>3135</v>
      </c>
      <c r="Q837" s="15" t="s">
        <v>75</v>
      </c>
      <c r="R837" s="13" t="str">
        <f>HYPERLINK("https://my.pitchbook.com?c=256253-77T","View Company Online")</f>
        <v>View Company Online</v>
      </c>
    </row>
    <row r="838" spans="1:18" hidden="1" x14ac:dyDescent="0.3">
      <c r="A838" s="9" t="s">
        <v>3136</v>
      </c>
      <c r="B838" s="9" t="s">
        <v>3137</v>
      </c>
      <c r="C838" s="11" t="s">
        <v>28</v>
      </c>
      <c r="D838" s="9" t="s">
        <v>3138</v>
      </c>
      <c r="E838" s="11" t="s">
        <v>28</v>
      </c>
      <c r="F838" s="10" t="s">
        <v>28</v>
      </c>
      <c r="G838" s="10">
        <v>0.3</v>
      </c>
      <c r="H838" s="10" t="s">
        <v>28</v>
      </c>
      <c r="I838" s="11" t="s">
        <v>28</v>
      </c>
      <c r="J838" s="11" t="s">
        <v>28</v>
      </c>
      <c r="K838" s="11" t="s">
        <v>28</v>
      </c>
      <c r="L838" s="11" t="s">
        <v>28</v>
      </c>
      <c r="M838" s="11" t="s">
        <v>28</v>
      </c>
      <c r="N838" s="8">
        <v>45361</v>
      </c>
      <c r="O838" s="9" t="s">
        <v>52</v>
      </c>
      <c r="P838" s="12" t="s">
        <v>3139</v>
      </c>
      <c r="Q838" s="9" t="s">
        <v>75</v>
      </c>
      <c r="R838" s="14" t="str">
        <f>HYPERLINK("https://my.pitchbook.com?c=273778-84T","View Company Online")</f>
        <v>View Company Online</v>
      </c>
    </row>
    <row r="839" spans="1:18" hidden="1" x14ac:dyDescent="0.3">
      <c r="A839" s="15" t="s">
        <v>3140</v>
      </c>
      <c r="B839" s="15" t="s">
        <v>3141</v>
      </c>
      <c r="C839" s="18" t="s">
        <v>28</v>
      </c>
      <c r="D839" s="15" t="s">
        <v>3142</v>
      </c>
      <c r="E839" s="18" t="s">
        <v>28</v>
      </c>
      <c r="F839" s="19" t="s">
        <v>28</v>
      </c>
      <c r="G839" s="19">
        <v>2.0099999999999998</v>
      </c>
      <c r="H839" s="19" t="s">
        <v>28</v>
      </c>
      <c r="I839" s="18" t="s">
        <v>28</v>
      </c>
      <c r="J839" s="18" t="s">
        <v>28</v>
      </c>
      <c r="K839" s="18" t="s">
        <v>28</v>
      </c>
      <c r="L839" s="18" t="s">
        <v>28</v>
      </c>
      <c r="M839" s="18" t="s">
        <v>28</v>
      </c>
      <c r="N839" s="17">
        <v>45359</v>
      </c>
      <c r="O839" s="15" t="s">
        <v>79</v>
      </c>
      <c r="P839" s="16" t="s">
        <v>3143</v>
      </c>
      <c r="Q839" s="15" t="s">
        <v>75</v>
      </c>
      <c r="R839" s="13" t="str">
        <f>HYPERLINK("https://my.pitchbook.com?c=260232-49T","View Company Online")</f>
        <v>View Company Online</v>
      </c>
    </row>
    <row r="840" spans="1:18" hidden="1" x14ac:dyDescent="0.3">
      <c r="A840" s="9" t="s">
        <v>3144</v>
      </c>
      <c r="B840" s="9" t="s">
        <v>3145</v>
      </c>
      <c r="C840" s="11" t="s">
        <v>28</v>
      </c>
      <c r="D840" s="9" t="s">
        <v>3146</v>
      </c>
      <c r="E840" s="11" t="s">
        <v>28</v>
      </c>
      <c r="F840" s="10">
        <v>0.01</v>
      </c>
      <c r="G840" s="10">
        <v>0.01</v>
      </c>
      <c r="H840" s="10">
        <v>0.01</v>
      </c>
      <c r="I840" s="11" t="s">
        <v>28</v>
      </c>
      <c r="J840" s="11" t="s">
        <v>28</v>
      </c>
      <c r="K840" s="11" t="s">
        <v>28</v>
      </c>
      <c r="L840" s="11" t="s">
        <v>28</v>
      </c>
      <c r="M840" s="11" t="s">
        <v>28</v>
      </c>
      <c r="N840" s="8">
        <v>45359</v>
      </c>
      <c r="O840" s="9" t="s">
        <v>30</v>
      </c>
      <c r="P840" s="12" t="s">
        <v>3147</v>
      </c>
      <c r="Q840" s="9" t="s">
        <v>226</v>
      </c>
      <c r="R840" s="14" t="str">
        <f>HYPERLINK("https://my.pitchbook.com?c=281956-06T","View Company Online")</f>
        <v>View Company Online</v>
      </c>
    </row>
    <row r="841" spans="1:18" hidden="1" x14ac:dyDescent="0.3">
      <c r="A841" s="15" t="s">
        <v>3148</v>
      </c>
      <c r="B841" s="15" t="s">
        <v>3149</v>
      </c>
      <c r="C841" s="18" t="s">
        <v>28</v>
      </c>
      <c r="D841" s="15" t="s">
        <v>3150</v>
      </c>
      <c r="E841" s="18" t="s">
        <v>28</v>
      </c>
      <c r="F841" s="19" t="s">
        <v>28</v>
      </c>
      <c r="G841" s="19">
        <v>0.25</v>
      </c>
      <c r="H841" s="19" t="s">
        <v>28</v>
      </c>
      <c r="I841" s="18" t="s">
        <v>28</v>
      </c>
      <c r="J841" s="18" t="s">
        <v>28</v>
      </c>
      <c r="K841" s="18" t="s">
        <v>28</v>
      </c>
      <c r="L841" s="18" t="s">
        <v>28</v>
      </c>
      <c r="M841" s="18" t="s">
        <v>28</v>
      </c>
      <c r="N841" s="17">
        <v>45359</v>
      </c>
      <c r="O841" s="15" t="s">
        <v>99</v>
      </c>
      <c r="P841" s="16" t="s">
        <v>3151</v>
      </c>
      <c r="Q841" s="15" t="s">
        <v>114</v>
      </c>
      <c r="R841" s="13" t="str">
        <f>HYPERLINK("https://my.pitchbook.com?c=253932-49T","View Company Online")</f>
        <v>View Company Online</v>
      </c>
    </row>
    <row r="842" spans="1:18" hidden="1" x14ac:dyDescent="0.3">
      <c r="A842" s="9" t="s">
        <v>3152</v>
      </c>
      <c r="B842" s="9" t="s">
        <v>3153</v>
      </c>
      <c r="C842" s="11" t="s">
        <v>28</v>
      </c>
      <c r="D842" s="9" t="s">
        <v>3154</v>
      </c>
      <c r="E842" s="11" t="s">
        <v>28</v>
      </c>
      <c r="F842" s="10" t="s">
        <v>28</v>
      </c>
      <c r="G842" s="10">
        <v>0.2</v>
      </c>
      <c r="H842" s="10" t="s">
        <v>28</v>
      </c>
      <c r="I842" s="11" t="s">
        <v>28</v>
      </c>
      <c r="J842" s="11" t="s">
        <v>28</v>
      </c>
      <c r="K842" s="11" t="s">
        <v>28</v>
      </c>
      <c r="L842" s="11" t="s">
        <v>28</v>
      </c>
      <c r="M842" s="11" t="s">
        <v>28</v>
      </c>
      <c r="N842" s="8">
        <v>45358</v>
      </c>
      <c r="O842" s="9" t="s">
        <v>73</v>
      </c>
      <c r="P842" s="12" t="s">
        <v>3155</v>
      </c>
      <c r="Q842" s="9" t="s">
        <v>75</v>
      </c>
      <c r="R842" s="14" t="str">
        <f>HYPERLINK("https://my.pitchbook.com?c=253846-18T","View Company Online")</f>
        <v>View Company Online</v>
      </c>
    </row>
    <row r="843" spans="1:18" hidden="1" x14ac:dyDescent="0.3">
      <c r="A843" s="15" t="s">
        <v>3156</v>
      </c>
      <c r="B843" s="15" t="s">
        <v>1098</v>
      </c>
      <c r="C843" s="18" t="s">
        <v>28</v>
      </c>
      <c r="D843" s="15" t="s">
        <v>1099</v>
      </c>
      <c r="E843" s="18" t="s">
        <v>28</v>
      </c>
      <c r="F843" s="19" t="s">
        <v>28</v>
      </c>
      <c r="G843" s="19">
        <v>1.84</v>
      </c>
      <c r="H843" s="19" t="s">
        <v>28</v>
      </c>
      <c r="I843" s="18" t="s">
        <v>28</v>
      </c>
      <c r="J843" s="18" t="s">
        <v>28</v>
      </c>
      <c r="K843" s="18" t="s">
        <v>28</v>
      </c>
      <c r="L843" s="18" t="s">
        <v>28</v>
      </c>
      <c r="M843" s="18" t="s">
        <v>28</v>
      </c>
      <c r="N843" s="17">
        <v>45358</v>
      </c>
      <c r="O843" s="15" t="s">
        <v>79</v>
      </c>
      <c r="P843" s="16" t="s">
        <v>3157</v>
      </c>
      <c r="Q843" s="15" t="s">
        <v>37</v>
      </c>
      <c r="R843" s="13" t="str">
        <f>HYPERLINK("https://my.pitchbook.com?c=246756-97T","View Company Online")</f>
        <v>View Company Online</v>
      </c>
    </row>
    <row r="844" spans="1:18" hidden="1" x14ac:dyDescent="0.3">
      <c r="A844" s="9" t="s">
        <v>3158</v>
      </c>
      <c r="B844" s="9" t="s">
        <v>3159</v>
      </c>
      <c r="C844" s="11" t="s">
        <v>28</v>
      </c>
      <c r="D844" s="9" t="s">
        <v>3160</v>
      </c>
      <c r="E844" s="11" t="s">
        <v>28</v>
      </c>
      <c r="F844" s="10" t="s">
        <v>28</v>
      </c>
      <c r="G844" s="10" t="s">
        <v>28</v>
      </c>
      <c r="H844" s="10" t="s">
        <v>28</v>
      </c>
      <c r="I844" s="11" t="s">
        <v>28</v>
      </c>
      <c r="J844" s="11" t="s">
        <v>28</v>
      </c>
      <c r="K844" s="11" t="s">
        <v>28</v>
      </c>
      <c r="L844" s="11" t="s">
        <v>28</v>
      </c>
      <c r="M844" s="11" t="s">
        <v>28</v>
      </c>
      <c r="N844" s="8">
        <v>45358</v>
      </c>
      <c r="O844" s="9" t="s">
        <v>73</v>
      </c>
      <c r="P844" s="12" t="s">
        <v>3161</v>
      </c>
      <c r="Q844" s="9" t="s">
        <v>37</v>
      </c>
      <c r="R844" s="14" t="str">
        <f>HYPERLINK("https://my.pitchbook.com?c=260111-71T","View Company Online")</f>
        <v>View Company Online</v>
      </c>
    </row>
    <row r="845" spans="1:18" hidden="1" x14ac:dyDescent="0.3">
      <c r="A845" s="15" t="s">
        <v>3162</v>
      </c>
      <c r="B845" s="15" t="s">
        <v>3163</v>
      </c>
      <c r="C845" s="18" t="s">
        <v>28</v>
      </c>
      <c r="D845" s="15" t="s">
        <v>3164</v>
      </c>
      <c r="E845" s="18" t="s">
        <v>28</v>
      </c>
      <c r="F845" s="19" t="s">
        <v>28</v>
      </c>
      <c r="G845" s="19" t="s">
        <v>28</v>
      </c>
      <c r="H845" s="19" t="s">
        <v>28</v>
      </c>
      <c r="I845" s="18" t="s">
        <v>28</v>
      </c>
      <c r="J845" s="18" t="s">
        <v>28</v>
      </c>
      <c r="K845" s="18" t="s">
        <v>28</v>
      </c>
      <c r="L845" s="18" t="s">
        <v>28</v>
      </c>
      <c r="M845" s="18" t="s">
        <v>28</v>
      </c>
      <c r="N845" s="17">
        <v>45358</v>
      </c>
      <c r="O845" s="15" t="s">
        <v>30</v>
      </c>
      <c r="P845" s="16" t="s">
        <v>3165</v>
      </c>
      <c r="Q845" s="15" t="s">
        <v>240</v>
      </c>
      <c r="R845" s="13" t="str">
        <f>HYPERLINK("https://my.pitchbook.com?c=258308-11T","View Company Online")</f>
        <v>View Company Online</v>
      </c>
    </row>
    <row r="846" spans="1:18" hidden="1" x14ac:dyDescent="0.3">
      <c r="A846" s="9" t="s">
        <v>3166</v>
      </c>
      <c r="B846" s="9" t="s">
        <v>3167</v>
      </c>
      <c r="C846" s="11" t="s">
        <v>28</v>
      </c>
      <c r="D846" s="9" t="s">
        <v>3168</v>
      </c>
      <c r="E846" s="11" t="s">
        <v>28</v>
      </c>
      <c r="F846" s="10" t="s">
        <v>28</v>
      </c>
      <c r="G846" s="10" t="s">
        <v>28</v>
      </c>
      <c r="H846" s="10" t="s">
        <v>28</v>
      </c>
      <c r="I846" s="11" t="s">
        <v>28</v>
      </c>
      <c r="J846" s="11" t="s">
        <v>28</v>
      </c>
      <c r="K846" s="11" t="s">
        <v>28</v>
      </c>
      <c r="L846" s="11" t="s">
        <v>28</v>
      </c>
      <c r="M846" s="11" t="s">
        <v>28</v>
      </c>
      <c r="N846" s="8">
        <v>45357</v>
      </c>
      <c r="O846" s="9" t="s">
        <v>52</v>
      </c>
      <c r="P846" s="12" t="s">
        <v>1880</v>
      </c>
      <c r="Q846" s="9" t="s">
        <v>75</v>
      </c>
      <c r="R846" s="14" t="str">
        <f>HYPERLINK("https://my.pitchbook.com?c=277452-01T","View Company Online")</f>
        <v>View Company Online</v>
      </c>
    </row>
    <row r="847" spans="1:18" hidden="1" x14ac:dyDescent="0.3">
      <c r="A847" s="15" t="s">
        <v>3169</v>
      </c>
      <c r="B847" s="15" t="s">
        <v>3170</v>
      </c>
      <c r="C847" s="18" t="s">
        <v>28</v>
      </c>
      <c r="D847" s="15" t="s">
        <v>3171</v>
      </c>
      <c r="E847" s="18" t="s">
        <v>28</v>
      </c>
      <c r="F847" s="19" t="s">
        <v>28</v>
      </c>
      <c r="G847" s="19" t="s">
        <v>28</v>
      </c>
      <c r="H847" s="19" t="s">
        <v>28</v>
      </c>
      <c r="I847" s="18" t="s">
        <v>28</v>
      </c>
      <c r="J847" s="18" t="s">
        <v>28</v>
      </c>
      <c r="K847" s="18">
        <v>30.01</v>
      </c>
      <c r="L847" s="18" t="s">
        <v>28</v>
      </c>
      <c r="M847" s="18" t="s">
        <v>28</v>
      </c>
      <c r="N847" s="17">
        <v>45357</v>
      </c>
      <c r="O847" s="15" t="s">
        <v>30</v>
      </c>
      <c r="P847" s="16" t="s">
        <v>3172</v>
      </c>
      <c r="Q847" s="15" t="s">
        <v>1007</v>
      </c>
      <c r="R847" s="13" t="str">
        <f>HYPERLINK("https://my.pitchbook.com?c=254169-19T","View Company Online")</f>
        <v>View Company Online</v>
      </c>
    </row>
    <row r="848" spans="1:18" hidden="1" x14ac:dyDescent="0.3">
      <c r="A848" s="9" t="s">
        <v>3173</v>
      </c>
      <c r="B848" s="9" t="s">
        <v>3174</v>
      </c>
      <c r="C848" s="11" t="s">
        <v>28</v>
      </c>
      <c r="D848" s="9" t="s">
        <v>3175</v>
      </c>
      <c r="E848" s="11" t="s">
        <v>28</v>
      </c>
      <c r="F848" s="10" t="s">
        <v>28</v>
      </c>
      <c r="G848" s="10" t="s">
        <v>28</v>
      </c>
      <c r="H848" s="10" t="s">
        <v>28</v>
      </c>
      <c r="I848" s="11" t="s">
        <v>28</v>
      </c>
      <c r="J848" s="11" t="s">
        <v>28</v>
      </c>
      <c r="K848" s="11" t="s">
        <v>28</v>
      </c>
      <c r="L848" s="11" t="s">
        <v>28</v>
      </c>
      <c r="M848" s="11" t="s">
        <v>28</v>
      </c>
      <c r="N848" s="8">
        <v>45357</v>
      </c>
      <c r="O848" s="9" t="s">
        <v>30</v>
      </c>
      <c r="P848" s="12" t="s">
        <v>3176</v>
      </c>
      <c r="Q848" s="9" t="s">
        <v>54</v>
      </c>
      <c r="R848" s="14" t="str">
        <f>HYPERLINK("https://my.pitchbook.com?c=233091-82T","View Company Online")</f>
        <v>View Company Online</v>
      </c>
    </row>
    <row r="849" spans="1:18" hidden="1" x14ac:dyDescent="0.3">
      <c r="A849" s="15" t="s">
        <v>3177</v>
      </c>
      <c r="B849" s="15" t="s">
        <v>3178</v>
      </c>
      <c r="C849" s="18" t="s">
        <v>28</v>
      </c>
      <c r="D849" s="15" t="s">
        <v>3179</v>
      </c>
      <c r="E849" s="18" t="s">
        <v>28</v>
      </c>
      <c r="F849" s="19" t="s">
        <v>28</v>
      </c>
      <c r="G849" s="19">
        <v>5.3</v>
      </c>
      <c r="H849" s="19" t="s">
        <v>28</v>
      </c>
      <c r="I849" s="18" t="s">
        <v>28</v>
      </c>
      <c r="J849" s="18" t="s">
        <v>28</v>
      </c>
      <c r="K849" s="18" t="s">
        <v>28</v>
      </c>
      <c r="L849" s="18" t="s">
        <v>28</v>
      </c>
      <c r="M849" s="18" t="s">
        <v>28</v>
      </c>
      <c r="N849" s="17">
        <v>45357</v>
      </c>
      <c r="O849" s="15" t="s">
        <v>73</v>
      </c>
      <c r="P849" s="16" t="s">
        <v>3180</v>
      </c>
      <c r="Q849" s="15" t="s">
        <v>54</v>
      </c>
      <c r="R849" s="13" t="str">
        <f>HYPERLINK("https://my.pitchbook.com?c=253673-83T","View Company Online")</f>
        <v>View Company Online</v>
      </c>
    </row>
    <row r="850" spans="1:18" hidden="1" x14ac:dyDescent="0.3">
      <c r="A850" s="9" t="s">
        <v>3181</v>
      </c>
      <c r="B850" s="9" t="s">
        <v>3182</v>
      </c>
      <c r="C850" s="11" t="s">
        <v>28</v>
      </c>
      <c r="D850" s="9" t="s">
        <v>3183</v>
      </c>
      <c r="E850" s="11" t="s">
        <v>28</v>
      </c>
      <c r="F850" s="10" t="s">
        <v>28</v>
      </c>
      <c r="G850" s="10" t="s">
        <v>28</v>
      </c>
      <c r="H850" s="10" t="s">
        <v>28</v>
      </c>
      <c r="I850" s="11" t="s">
        <v>28</v>
      </c>
      <c r="J850" s="11" t="s">
        <v>28</v>
      </c>
      <c r="K850" s="11" t="s">
        <v>28</v>
      </c>
      <c r="L850" s="11" t="s">
        <v>28</v>
      </c>
      <c r="M850" s="11" t="s">
        <v>28</v>
      </c>
      <c r="N850" s="8">
        <v>45357</v>
      </c>
      <c r="O850" s="9" t="s">
        <v>173</v>
      </c>
      <c r="P850" s="12" t="s">
        <v>28</v>
      </c>
      <c r="Q850" s="9" t="s">
        <v>240</v>
      </c>
      <c r="R850" s="14" t="str">
        <f>HYPERLINK("https://my.pitchbook.com?c=273023-83T","View Company Online")</f>
        <v>View Company Online</v>
      </c>
    </row>
    <row r="851" spans="1:18" hidden="1" x14ac:dyDescent="0.3">
      <c r="A851" s="15" t="s">
        <v>3184</v>
      </c>
      <c r="B851" s="15" t="s">
        <v>3185</v>
      </c>
      <c r="C851" s="18" t="s">
        <v>28</v>
      </c>
      <c r="D851" s="15" t="s">
        <v>3186</v>
      </c>
      <c r="E851" s="18" t="s">
        <v>28</v>
      </c>
      <c r="F851" s="19" t="s">
        <v>28</v>
      </c>
      <c r="G851" s="19">
        <v>0.4</v>
      </c>
      <c r="H851" s="19" t="s">
        <v>28</v>
      </c>
      <c r="I851" s="18" t="s">
        <v>28</v>
      </c>
      <c r="J851" s="18" t="s">
        <v>28</v>
      </c>
      <c r="K851" s="18" t="s">
        <v>28</v>
      </c>
      <c r="L851" s="18" t="s">
        <v>28</v>
      </c>
      <c r="M851" s="18" t="s">
        <v>28</v>
      </c>
      <c r="N851" s="17">
        <v>45357</v>
      </c>
      <c r="O851" s="15" t="s">
        <v>79</v>
      </c>
      <c r="P851" s="16" t="s">
        <v>3187</v>
      </c>
      <c r="Q851" s="15" t="s">
        <v>1007</v>
      </c>
      <c r="R851" s="13" t="str">
        <f>HYPERLINK("https://my.pitchbook.com?c=244441-00T","View Company Online")</f>
        <v>View Company Online</v>
      </c>
    </row>
    <row r="852" spans="1:18" hidden="1" x14ac:dyDescent="0.3">
      <c r="A852" s="9" t="s">
        <v>3188</v>
      </c>
      <c r="B852" s="9" t="s">
        <v>3189</v>
      </c>
      <c r="C852" s="11" t="s">
        <v>28</v>
      </c>
      <c r="D852" s="9" t="s">
        <v>3190</v>
      </c>
      <c r="E852" s="11" t="s">
        <v>28</v>
      </c>
      <c r="F852" s="10" t="s">
        <v>28</v>
      </c>
      <c r="G852" s="10">
        <v>5.03</v>
      </c>
      <c r="H852" s="10" t="s">
        <v>28</v>
      </c>
      <c r="I852" s="11" t="s">
        <v>28</v>
      </c>
      <c r="J852" s="11" t="s">
        <v>28</v>
      </c>
      <c r="K852" s="11">
        <v>6</v>
      </c>
      <c r="L852" s="11" t="s">
        <v>28</v>
      </c>
      <c r="M852" s="11" t="s">
        <v>28</v>
      </c>
      <c r="N852" s="8">
        <v>45356</v>
      </c>
      <c r="O852" s="9" t="s">
        <v>79</v>
      </c>
      <c r="P852" s="12" t="s">
        <v>1612</v>
      </c>
      <c r="Q852" s="9" t="s">
        <v>75</v>
      </c>
      <c r="R852" s="14" t="str">
        <f>HYPERLINK("https://my.pitchbook.com?c=254485-18T","View Company Online")</f>
        <v>View Company Online</v>
      </c>
    </row>
    <row r="853" spans="1:18" hidden="1" x14ac:dyDescent="0.3">
      <c r="A853" s="15" t="s">
        <v>3191</v>
      </c>
      <c r="B853" s="15" t="s">
        <v>3192</v>
      </c>
      <c r="C853" s="18" t="s">
        <v>28</v>
      </c>
      <c r="D853" s="15" t="s">
        <v>3193</v>
      </c>
      <c r="E853" s="18" t="s">
        <v>28</v>
      </c>
      <c r="F853" s="19" t="s">
        <v>28</v>
      </c>
      <c r="G853" s="19">
        <v>4.03</v>
      </c>
      <c r="H853" s="19" t="s">
        <v>28</v>
      </c>
      <c r="I853" s="18" t="s">
        <v>28</v>
      </c>
      <c r="J853" s="18" t="s">
        <v>28</v>
      </c>
      <c r="K853" s="18" t="s">
        <v>28</v>
      </c>
      <c r="L853" s="18" t="s">
        <v>28</v>
      </c>
      <c r="M853" s="18" t="s">
        <v>28</v>
      </c>
      <c r="N853" s="17">
        <v>45356</v>
      </c>
      <c r="O853" s="15" t="s">
        <v>79</v>
      </c>
      <c r="P853" s="16" t="s">
        <v>3194</v>
      </c>
      <c r="Q853" s="15" t="s">
        <v>114</v>
      </c>
      <c r="R853" s="13" t="str">
        <f>HYPERLINK("https://my.pitchbook.com?c=253580-68T","View Company Online")</f>
        <v>View Company Online</v>
      </c>
    </row>
    <row r="854" spans="1:18" hidden="1" x14ac:dyDescent="0.3">
      <c r="A854" s="9" t="s">
        <v>3195</v>
      </c>
      <c r="B854" s="9" t="s">
        <v>3196</v>
      </c>
      <c r="C854" s="11" t="s">
        <v>28</v>
      </c>
      <c r="D854" s="9" t="s">
        <v>3197</v>
      </c>
      <c r="E854" s="11" t="s">
        <v>28</v>
      </c>
      <c r="F854" s="10" t="s">
        <v>28</v>
      </c>
      <c r="G854" s="10" t="s">
        <v>28</v>
      </c>
      <c r="H854" s="10" t="s">
        <v>28</v>
      </c>
      <c r="I854" s="11" t="s">
        <v>28</v>
      </c>
      <c r="J854" s="11" t="s">
        <v>28</v>
      </c>
      <c r="K854" s="11">
        <v>70</v>
      </c>
      <c r="L854" s="11" t="s">
        <v>28</v>
      </c>
      <c r="M854" s="11" t="s">
        <v>28</v>
      </c>
      <c r="N854" s="8">
        <v>45356</v>
      </c>
      <c r="O854" s="9" t="s">
        <v>93</v>
      </c>
      <c r="P854" s="12" t="s">
        <v>3198</v>
      </c>
      <c r="Q854" s="9" t="s">
        <v>362</v>
      </c>
      <c r="R854" s="14" t="str">
        <f>HYPERLINK("https://my.pitchbook.com?c=253594-36T","View Company Online")</f>
        <v>View Company Online</v>
      </c>
    </row>
    <row r="855" spans="1:18" hidden="1" x14ac:dyDescent="0.3">
      <c r="A855" s="15" t="s">
        <v>3199</v>
      </c>
      <c r="B855" s="15" t="s">
        <v>3200</v>
      </c>
      <c r="C855" s="18" t="s">
        <v>28</v>
      </c>
      <c r="D855" s="15" t="s">
        <v>3201</v>
      </c>
      <c r="E855" s="18" t="s">
        <v>28</v>
      </c>
      <c r="F855" s="19" t="s">
        <v>28</v>
      </c>
      <c r="G855" s="19" t="s">
        <v>28</v>
      </c>
      <c r="H855" s="19" t="s">
        <v>28</v>
      </c>
      <c r="I855" s="18" t="s">
        <v>28</v>
      </c>
      <c r="J855" s="18" t="s">
        <v>28</v>
      </c>
      <c r="K855" s="18" t="s">
        <v>28</v>
      </c>
      <c r="L855" s="18" t="s">
        <v>28</v>
      </c>
      <c r="M855" s="18" t="s">
        <v>28</v>
      </c>
      <c r="N855" s="17">
        <v>45356</v>
      </c>
      <c r="O855" s="15" t="s">
        <v>41</v>
      </c>
      <c r="P855" s="16" t="s">
        <v>3202</v>
      </c>
      <c r="Q855" s="15" t="s">
        <v>75</v>
      </c>
      <c r="R855" s="13" t="str">
        <f>HYPERLINK("https://my.pitchbook.com?c=253595-35T","View Company Online")</f>
        <v>View Company Online</v>
      </c>
    </row>
    <row r="856" spans="1:18" hidden="1" x14ac:dyDescent="0.3">
      <c r="A856" s="9" t="s">
        <v>3203</v>
      </c>
      <c r="B856" s="9" t="s">
        <v>3204</v>
      </c>
      <c r="C856" s="11" t="s">
        <v>28</v>
      </c>
      <c r="D856" s="9" t="s">
        <v>3205</v>
      </c>
      <c r="E856" s="11" t="s">
        <v>28</v>
      </c>
      <c r="F856" s="10">
        <v>59.54</v>
      </c>
      <c r="G856" s="10">
        <v>59.54</v>
      </c>
      <c r="H856" s="10">
        <v>59.54</v>
      </c>
      <c r="I856" s="11" t="s">
        <v>28</v>
      </c>
      <c r="J856" s="11" t="s">
        <v>28</v>
      </c>
      <c r="K856" s="11" t="s">
        <v>28</v>
      </c>
      <c r="L856" s="11" t="s">
        <v>28</v>
      </c>
      <c r="M856" s="11" t="s">
        <v>28</v>
      </c>
      <c r="N856" s="8">
        <v>45356</v>
      </c>
      <c r="O856" s="9" t="s">
        <v>30</v>
      </c>
      <c r="P856" s="12" t="s">
        <v>3206</v>
      </c>
      <c r="Q856" s="9" t="s">
        <v>37</v>
      </c>
      <c r="R856" s="14" t="str">
        <f>HYPERLINK("https://my.pitchbook.com?c=253603-36T","View Company Online")</f>
        <v>View Company Online</v>
      </c>
    </row>
    <row r="857" spans="1:18" hidden="1" x14ac:dyDescent="0.3">
      <c r="A857" s="15" t="s">
        <v>3207</v>
      </c>
      <c r="B857" s="15" t="s">
        <v>3208</v>
      </c>
      <c r="C857" s="18" t="s">
        <v>28</v>
      </c>
      <c r="D857" s="15" t="s">
        <v>3209</v>
      </c>
      <c r="E857" s="18" t="s">
        <v>28</v>
      </c>
      <c r="F857" s="19" t="s">
        <v>28</v>
      </c>
      <c r="G857" s="19">
        <v>2</v>
      </c>
      <c r="H857" s="19" t="s">
        <v>28</v>
      </c>
      <c r="I857" s="18" t="s">
        <v>28</v>
      </c>
      <c r="J857" s="18" t="s">
        <v>28</v>
      </c>
      <c r="K857" s="18" t="s">
        <v>28</v>
      </c>
      <c r="L857" s="18" t="s">
        <v>28</v>
      </c>
      <c r="M857" s="18" t="s">
        <v>28</v>
      </c>
      <c r="N857" s="17">
        <v>45355</v>
      </c>
      <c r="O857" s="15" t="s">
        <v>73</v>
      </c>
      <c r="P857" s="16" t="s">
        <v>1250</v>
      </c>
      <c r="Q857" s="15" t="s">
        <v>136</v>
      </c>
      <c r="R857" s="13" t="str">
        <f>HYPERLINK("https://my.pitchbook.com?c=253475-29T","View Company Online")</f>
        <v>View Company Online</v>
      </c>
    </row>
    <row r="858" spans="1:18" hidden="1" x14ac:dyDescent="0.3">
      <c r="A858" s="9" t="s">
        <v>3210</v>
      </c>
      <c r="B858" s="9" t="s">
        <v>3211</v>
      </c>
      <c r="C858" s="11" t="s">
        <v>28</v>
      </c>
      <c r="D858" s="9" t="s">
        <v>3212</v>
      </c>
      <c r="E858" s="11" t="s">
        <v>28</v>
      </c>
      <c r="F858" s="10" t="s">
        <v>28</v>
      </c>
      <c r="G858" s="10">
        <v>0.03</v>
      </c>
      <c r="H858" s="10" t="s">
        <v>28</v>
      </c>
      <c r="I858" s="11" t="s">
        <v>28</v>
      </c>
      <c r="J858" s="11" t="s">
        <v>28</v>
      </c>
      <c r="K858" s="11" t="s">
        <v>28</v>
      </c>
      <c r="L858" s="11" t="s">
        <v>28</v>
      </c>
      <c r="M858" s="11" t="s">
        <v>28</v>
      </c>
      <c r="N858" s="8">
        <v>45355</v>
      </c>
      <c r="O858" s="9" t="s">
        <v>52</v>
      </c>
      <c r="P858" s="12" t="s">
        <v>3213</v>
      </c>
      <c r="Q858" s="9" t="s">
        <v>75</v>
      </c>
      <c r="R858" s="14" t="str">
        <f>HYPERLINK("https://my.pitchbook.com?c=258547-78T","View Company Online")</f>
        <v>View Company Online</v>
      </c>
    </row>
    <row r="859" spans="1:18" hidden="1" x14ac:dyDescent="0.3">
      <c r="A859" s="15" t="s">
        <v>3214</v>
      </c>
      <c r="B859" s="15" t="s">
        <v>3215</v>
      </c>
      <c r="C859" s="18" t="s">
        <v>28</v>
      </c>
      <c r="D859" s="15" t="s">
        <v>3216</v>
      </c>
      <c r="E859" s="18" t="s">
        <v>28</v>
      </c>
      <c r="F859" s="19" t="s">
        <v>28</v>
      </c>
      <c r="G859" s="19">
        <v>3.76</v>
      </c>
      <c r="H859" s="19" t="s">
        <v>28</v>
      </c>
      <c r="I859" s="18" t="s">
        <v>28</v>
      </c>
      <c r="J859" s="18" t="s">
        <v>28</v>
      </c>
      <c r="K859" s="18">
        <v>3.84</v>
      </c>
      <c r="L859" s="18" t="s">
        <v>28</v>
      </c>
      <c r="M859" s="18" t="s">
        <v>28</v>
      </c>
      <c r="N859" s="17">
        <v>45355</v>
      </c>
      <c r="O859" s="15" t="s">
        <v>99</v>
      </c>
      <c r="P859" s="16" t="s">
        <v>3217</v>
      </c>
      <c r="Q859" s="15" t="s">
        <v>75</v>
      </c>
      <c r="R859" s="13" t="str">
        <f>HYPERLINK("https://my.pitchbook.com?c=249295-87T","View Company Online")</f>
        <v>View Company Online</v>
      </c>
    </row>
    <row r="860" spans="1:18" hidden="1" x14ac:dyDescent="0.3">
      <c r="A860" s="9" t="s">
        <v>3218</v>
      </c>
      <c r="B860" s="9" t="s">
        <v>3219</v>
      </c>
      <c r="C860" s="11" t="s">
        <v>28</v>
      </c>
      <c r="D860" s="9" t="s">
        <v>3220</v>
      </c>
      <c r="E860" s="11" t="s">
        <v>28</v>
      </c>
      <c r="F860" s="10" t="s">
        <v>28</v>
      </c>
      <c r="G860" s="10" t="s">
        <v>28</v>
      </c>
      <c r="H860" s="10" t="s">
        <v>28</v>
      </c>
      <c r="I860" s="11" t="s">
        <v>28</v>
      </c>
      <c r="J860" s="11" t="s">
        <v>28</v>
      </c>
      <c r="K860" s="11" t="s">
        <v>28</v>
      </c>
      <c r="L860" s="11" t="s">
        <v>28</v>
      </c>
      <c r="M860" s="11" t="s">
        <v>28</v>
      </c>
      <c r="N860" s="8">
        <v>45354</v>
      </c>
      <c r="O860" s="9" t="s">
        <v>41</v>
      </c>
      <c r="P860" s="12" t="s">
        <v>3221</v>
      </c>
      <c r="Q860" s="9" t="s">
        <v>75</v>
      </c>
      <c r="R860" s="14" t="str">
        <f>HYPERLINK("https://my.pitchbook.com?c=255714-58T","View Company Online")</f>
        <v>View Company Online</v>
      </c>
    </row>
    <row r="861" spans="1:18" hidden="1" x14ac:dyDescent="0.3">
      <c r="A861" s="15" t="s">
        <v>3222</v>
      </c>
      <c r="B861" s="15" t="s">
        <v>3223</v>
      </c>
      <c r="C861" s="18" t="s">
        <v>28</v>
      </c>
      <c r="D861" s="15" t="s">
        <v>3224</v>
      </c>
      <c r="E861" s="18" t="s">
        <v>28</v>
      </c>
      <c r="F861" s="19" t="s">
        <v>28</v>
      </c>
      <c r="G861" s="19" t="s">
        <v>28</v>
      </c>
      <c r="H861" s="19" t="s">
        <v>28</v>
      </c>
      <c r="I861" s="18" t="s">
        <v>28</v>
      </c>
      <c r="J861" s="18" t="s">
        <v>28</v>
      </c>
      <c r="K861" s="18" t="s">
        <v>28</v>
      </c>
      <c r="L861" s="18" t="s">
        <v>28</v>
      </c>
      <c r="M861" s="18" t="s">
        <v>28</v>
      </c>
      <c r="N861" s="17">
        <v>45353</v>
      </c>
      <c r="O861" s="15" t="s">
        <v>30</v>
      </c>
      <c r="P861" s="16" t="s">
        <v>3225</v>
      </c>
      <c r="Q861" s="15" t="s">
        <v>213</v>
      </c>
      <c r="R861" s="13" t="str">
        <f>HYPERLINK("https://my.pitchbook.com?c=256478-41T","View Company Online")</f>
        <v>View Company Online</v>
      </c>
    </row>
    <row r="862" spans="1:18" hidden="1" x14ac:dyDescent="0.3">
      <c r="A862" s="9" t="s">
        <v>3226</v>
      </c>
      <c r="B862" s="9" t="s">
        <v>3227</v>
      </c>
      <c r="C862" s="11" t="s">
        <v>28</v>
      </c>
      <c r="D862" s="9" t="s">
        <v>3228</v>
      </c>
      <c r="E862" s="11" t="s">
        <v>28</v>
      </c>
      <c r="F862" s="10" t="s">
        <v>28</v>
      </c>
      <c r="G862" s="10">
        <v>0.81</v>
      </c>
      <c r="H862" s="10">
        <v>8.06</v>
      </c>
      <c r="I862" s="11" t="s">
        <v>28</v>
      </c>
      <c r="J862" s="11" t="s">
        <v>28</v>
      </c>
      <c r="K862" s="11" t="s">
        <v>28</v>
      </c>
      <c r="L862" s="11" t="s">
        <v>28</v>
      </c>
      <c r="M862" s="11" t="s">
        <v>28</v>
      </c>
      <c r="N862" s="8">
        <v>45352</v>
      </c>
      <c r="O862" s="9" t="s">
        <v>73</v>
      </c>
      <c r="P862" s="12" t="s">
        <v>3229</v>
      </c>
      <c r="Q862" s="9" t="s">
        <v>583</v>
      </c>
      <c r="R862" s="14" t="str">
        <f>HYPERLINK("https://my.pitchbook.com?c=253372-51T","View Company Online")</f>
        <v>View Company Online</v>
      </c>
    </row>
    <row r="863" spans="1:18" hidden="1" x14ac:dyDescent="0.3">
      <c r="A863" s="15" t="s">
        <v>3230</v>
      </c>
      <c r="B863" s="15" t="s">
        <v>3231</v>
      </c>
      <c r="C863" s="18" t="s">
        <v>28</v>
      </c>
      <c r="D863" s="15" t="s">
        <v>3232</v>
      </c>
      <c r="E863" s="18" t="s">
        <v>28</v>
      </c>
      <c r="F863" s="19" t="s">
        <v>28</v>
      </c>
      <c r="G863" s="19" t="s">
        <v>28</v>
      </c>
      <c r="H863" s="19" t="s">
        <v>28</v>
      </c>
      <c r="I863" s="18" t="s">
        <v>28</v>
      </c>
      <c r="J863" s="18" t="s">
        <v>28</v>
      </c>
      <c r="K863" s="18" t="s">
        <v>28</v>
      </c>
      <c r="L863" s="18" t="s">
        <v>28</v>
      </c>
      <c r="M863" s="18" t="s">
        <v>28</v>
      </c>
      <c r="N863" s="17">
        <v>45352</v>
      </c>
      <c r="O863" s="15" t="s">
        <v>93</v>
      </c>
      <c r="P863" s="16" t="s">
        <v>3233</v>
      </c>
      <c r="Q863" s="15" t="s">
        <v>692</v>
      </c>
      <c r="R863" s="13" t="str">
        <f>HYPERLINK("https://my.pitchbook.com?c=254301-76T","View Company Online")</f>
        <v>View Company Online</v>
      </c>
    </row>
    <row r="864" spans="1:18" hidden="1" x14ac:dyDescent="0.3">
      <c r="A864" s="9" t="s">
        <v>3234</v>
      </c>
      <c r="B864" s="9" t="s">
        <v>2943</v>
      </c>
      <c r="C864" s="11" t="s">
        <v>28</v>
      </c>
      <c r="D864" s="9" t="s">
        <v>3235</v>
      </c>
      <c r="E864" s="11" t="s">
        <v>28</v>
      </c>
      <c r="F864" s="10" t="s">
        <v>28</v>
      </c>
      <c r="G864" s="10">
        <v>10.07</v>
      </c>
      <c r="H864" s="10" t="s">
        <v>28</v>
      </c>
      <c r="I864" s="11" t="s">
        <v>28</v>
      </c>
      <c r="J864" s="11" t="s">
        <v>28</v>
      </c>
      <c r="K864" s="11" t="s">
        <v>28</v>
      </c>
      <c r="L864" s="11" t="s">
        <v>28</v>
      </c>
      <c r="M864" s="11" t="s">
        <v>28</v>
      </c>
      <c r="N864" s="8">
        <v>45352</v>
      </c>
      <c r="O864" s="9" t="s">
        <v>73</v>
      </c>
      <c r="P864" s="12" t="s">
        <v>3236</v>
      </c>
      <c r="Q864" s="9" t="s">
        <v>37</v>
      </c>
      <c r="R864" s="14" t="str">
        <f>HYPERLINK("https://my.pitchbook.com?c=255615-40T","View Company Online")</f>
        <v>View Company Online</v>
      </c>
    </row>
    <row r="865" spans="1:18" hidden="1" x14ac:dyDescent="0.3">
      <c r="A865" s="15" t="s">
        <v>3237</v>
      </c>
      <c r="B865" s="15" t="s">
        <v>3238</v>
      </c>
      <c r="C865" s="18" t="s">
        <v>28</v>
      </c>
      <c r="D865" s="15" t="s">
        <v>3239</v>
      </c>
      <c r="E865" s="18" t="s">
        <v>28</v>
      </c>
      <c r="F865" s="19" t="s">
        <v>28</v>
      </c>
      <c r="G865" s="19">
        <v>0.4</v>
      </c>
      <c r="H865" s="19">
        <v>3</v>
      </c>
      <c r="I865" s="18" t="s">
        <v>28</v>
      </c>
      <c r="J865" s="18" t="s">
        <v>28</v>
      </c>
      <c r="K865" s="18">
        <v>0.1</v>
      </c>
      <c r="L865" s="18">
        <v>30</v>
      </c>
      <c r="M865" s="18" t="s">
        <v>28</v>
      </c>
      <c r="N865" s="17">
        <v>45352</v>
      </c>
      <c r="O865" s="15" t="s">
        <v>79</v>
      </c>
      <c r="P865" s="16" t="s">
        <v>3240</v>
      </c>
      <c r="Q865" s="15" t="s">
        <v>386</v>
      </c>
      <c r="R865" s="13" t="str">
        <f>HYPERLINK("https://my.pitchbook.com?c=274956-76T","View Company Online")</f>
        <v>View Company Online</v>
      </c>
    </row>
    <row r="866" spans="1:18" hidden="1" x14ac:dyDescent="0.3">
      <c r="A866" s="9" t="s">
        <v>3241</v>
      </c>
      <c r="B866" s="9" t="s">
        <v>3242</v>
      </c>
      <c r="C866" s="11" t="s">
        <v>28</v>
      </c>
      <c r="D866" s="9" t="s">
        <v>3243</v>
      </c>
      <c r="E866" s="11" t="s">
        <v>28</v>
      </c>
      <c r="F866" s="10">
        <v>602.75</v>
      </c>
      <c r="G866" s="10">
        <v>602.75</v>
      </c>
      <c r="H866" s="10">
        <v>602.75</v>
      </c>
      <c r="I866" s="11" t="s">
        <v>28</v>
      </c>
      <c r="J866" s="11" t="s">
        <v>28</v>
      </c>
      <c r="K866" s="11" t="s">
        <v>28</v>
      </c>
      <c r="L866" s="11" t="s">
        <v>28</v>
      </c>
      <c r="M866" s="11" t="s">
        <v>28</v>
      </c>
      <c r="N866" s="8">
        <v>45352</v>
      </c>
      <c r="O866" s="9" t="s">
        <v>30</v>
      </c>
      <c r="P866" s="12" t="s">
        <v>3244</v>
      </c>
      <c r="Q866" s="9" t="s">
        <v>136</v>
      </c>
      <c r="R866" s="14" t="str">
        <f>HYPERLINK("https://my.pitchbook.com?c=235966-69T","View Company Online")</f>
        <v>View Company Online</v>
      </c>
    </row>
    <row r="867" spans="1:18" hidden="1" x14ac:dyDescent="0.3">
      <c r="A867" s="15" t="s">
        <v>3245</v>
      </c>
      <c r="B867" s="15" t="s">
        <v>3246</v>
      </c>
      <c r="C867" s="18" t="s">
        <v>28</v>
      </c>
      <c r="D867" s="15" t="s">
        <v>3247</v>
      </c>
      <c r="E867" s="18" t="s">
        <v>28</v>
      </c>
      <c r="F867" s="19" t="s">
        <v>28</v>
      </c>
      <c r="G867" s="19">
        <v>8.11</v>
      </c>
      <c r="H867" s="19">
        <v>20.149999999999999</v>
      </c>
      <c r="I867" s="18" t="s">
        <v>28</v>
      </c>
      <c r="J867" s="18" t="s">
        <v>28</v>
      </c>
      <c r="K867" s="18" t="s">
        <v>28</v>
      </c>
      <c r="L867" s="18" t="s">
        <v>28</v>
      </c>
      <c r="M867" s="18" t="s">
        <v>28</v>
      </c>
      <c r="N867" s="17">
        <v>45352</v>
      </c>
      <c r="O867" s="15" t="s">
        <v>79</v>
      </c>
      <c r="P867" s="16" t="s">
        <v>3248</v>
      </c>
      <c r="Q867" s="15" t="s">
        <v>136</v>
      </c>
      <c r="R867" s="13" t="str">
        <f>HYPERLINK("https://my.pitchbook.com?c=253865-26T","View Company Online")</f>
        <v>View Company Online</v>
      </c>
    </row>
    <row r="868" spans="1:18" hidden="1" x14ac:dyDescent="0.3">
      <c r="A868" s="9" t="s">
        <v>3249</v>
      </c>
      <c r="B868" s="9" t="s">
        <v>3250</v>
      </c>
      <c r="C868" s="11" t="s">
        <v>28</v>
      </c>
      <c r="D868" s="9" t="s">
        <v>3251</v>
      </c>
      <c r="E868" s="11" t="s">
        <v>28</v>
      </c>
      <c r="F868" s="10" t="s">
        <v>28</v>
      </c>
      <c r="G868" s="10" t="s">
        <v>28</v>
      </c>
      <c r="H868" s="10" t="s">
        <v>28</v>
      </c>
      <c r="I868" s="11" t="s">
        <v>28</v>
      </c>
      <c r="J868" s="11" t="s">
        <v>28</v>
      </c>
      <c r="K868" s="11" t="s">
        <v>28</v>
      </c>
      <c r="L868" s="11" t="s">
        <v>28</v>
      </c>
      <c r="M868" s="11" t="s">
        <v>28</v>
      </c>
      <c r="N868" s="8">
        <v>45352</v>
      </c>
      <c r="O868" s="9" t="s">
        <v>52</v>
      </c>
      <c r="P868" s="12" t="s">
        <v>1970</v>
      </c>
      <c r="Q868" s="9" t="s">
        <v>95</v>
      </c>
      <c r="R868" s="14" t="str">
        <f>HYPERLINK("https://my.pitchbook.com?c=291899-08T","View Company Online")</f>
        <v>View Company Online</v>
      </c>
    </row>
    <row r="869" spans="1:18" hidden="1" x14ac:dyDescent="0.3">
      <c r="A869" s="15" t="s">
        <v>3252</v>
      </c>
      <c r="B869" s="15" t="s">
        <v>3253</v>
      </c>
      <c r="C869" s="18" t="s">
        <v>28</v>
      </c>
      <c r="D869" s="15" t="s">
        <v>3254</v>
      </c>
      <c r="E869" s="18" t="s">
        <v>28</v>
      </c>
      <c r="F869" s="19" t="s">
        <v>28</v>
      </c>
      <c r="G869" s="19" t="s">
        <v>28</v>
      </c>
      <c r="H869" s="19" t="s">
        <v>28</v>
      </c>
      <c r="I869" s="18" t="s">
        <v>28</v>
      </c>
      <c r="J869" s="18" t="s">
        <v>28</v>
      </c>
      <c r="K869" s="18" t="s">
        <v>28</v>
      </c>
      <c r="L869" s="18" t="s">
        <v>28</v>
      </c>
      <c r="M869" s="18" t="s">
        <v>28</v>
      </c>
      <c r="N869" s="17">
        <v>45352</v>
      </c>
      <c r="O869" s="15" t="s">
        <v>99</v>
      </c>
      <c r="P869" s="16" t="s">
        <v>3255</v>
      </c>
      <c r="Q869" s="15" t="s">
        <v>37</v>
      </c>
      <c r="R869" s="13" t="str">
        <f>HYPERLINK("https://my.pitchbook.com?c=255122-11T","View Company Online")</f>
        <v>View Company Online</v>
      </c>
    </row>
    <row r="870" spans="1:18" hidden="1" x14ac:dyDescent="0.3">
      <c r="A870" s="9" t="s">
        <v>3256</v>
      </c>
      <c r="B870" s="9" t="s">
        <v>3257</v>
      </c>
      <c r="C870" s="11" t="s">
        <v>28</v>
      </c>
      <c r="D870" s="9" t="s">
        <v>3258</v>
      </c>
      <c r="E870" s="11" t="s">
        <v>28</v>
      </c>
      <c r="F870" s="10" t="s">
        <v>28</v>
      </c>
      <c r="G870" s="10" t="s">
        <v>28</v>
      </c>
      <c r="H870" s="10" t="s">
        <v>28</v>
      </c>
      <c r="I870" s="11" t="s">
        <v>28</v>
      </c>
      <c r="J870" s="11" t="s">
        <v>28</v>
      </c>
      <c r="K870" s="11" t="s">
        <v>28</v>
      </c>
      <c r="L870" s="11" t="s">
        <v>28</v>
      </c>
      <c r="M870" s="11" t="s">
        <v>28</v>
      </c>
      <c r="N870" s="8">
        <v>45352</v>
      </c>
      <c r="O870" s="9" t="s">
        <v>30</v>
      </c>
      <c r="P870" s="12" t="s">
        <v>3259</v>
      </c>
      <c r="Q870" s="9" t="s">
        <v>880</v>
      </c>
      <c r="R870" s="14" t="str">
        <f>HYPERLINK("https://my.pitchbook.com?c=295712-29T","View Company Online")</f>
        <v>View Company Online</v>
      </c>
    </row>
    <row r="871" spans="1:18" hidden="1" x14ac:dyDescent="0.3">
      <c r="A871" s="15" t="s">
        <v>3260</v>
      </c>
      <c r="B871" s="15" t="s">
        <v>3261</v>
      </c>
      <c r="C871" s="18" t="s">
        <v>28</v>
      </c>
      <c r="D871" s="15" t="s">
        <v>3262</v>
      </c>
      <c r="E871" s="18" t="s">
        <v>28</v>
      </c>
      <c r="F871" s="19" t="s">
        <v>28</v>
      </c>
      <c r="G871" s="19" t="s">
        <v>28</v>
      </c>
      <c r="H871" s="19" t="s">
        <v>28</v>
      </c>
      <c r="I871" s="18" t="s">
        <v>28</v>
      </c>
      <c r="J871" s="18" t="s">
        <v>28</v>
      </c>
      <c r="K871" s="18" t="s">
        <v>28</v>
      </c>
      <c r="L871" s="18" t="s">
        <v>28</v>
      </c>
      <c r="M871" s="18" t="s">
        <v>28</v>
      </c>
      <c r="N871" s="17">
        <v>45351</v>
      </c>
      <c r="O871" s="15" t="s">
        <v>79</v>
      </c>
      <c r="P871" s="16" t="s">
        <v>3263</v>
      </c>
      <c r="Q871" s="15" t="s">
        <v>583</v>
      </c>
      <c r="R871" s="13" t="str">
        <f>HYPERLINK("https://my.pitchbook.com?c=256019-68T","View Company Online")</f>
        <v>View Company Online</v>
      </c>
    </row>
    <row r="872" spans="1:18" hidden="1" x14ac:dyDescent="0.3">
      <c r="A872" s="9" t="s">
        <v>3264</v>
      </c>
      <c r="B872" s="9" t="s">
        <v>3265</v>
      </c>
      <c r="C872" s="11" t="s">
        <v>28</v>
      </c>
      <c r="D872" s="9" t="s">
        <v>3266</v>
      </c>
      <c r="E872" s="11" t="s">
        <v>28</v>
      </c>
      <c r="F872" s="10" t="s">
        <v>28</v>
      </c>
      <c r="G872" s="10">
        <v>0.81</v>
      </c>
      <c r="H872" s="10">
        <v>8.06</v>
      </c>
      <c r="I872" s="11" t="s">
        <v>28</v>
      </c>
      <c r="J872" s="11" t="s">
        <v>28</v>
      </c>
      <c r="K872" s="11" t="s">
        <v>28</v>
      </c>
      <c r="L872" s="11" t="s">
        <v>28</v>
      </c>
      <c r="M872" s="11" t="s">
        <v>28</v>
      </c>
      <c r="N872" s="8">
        <v>45351</v>
      </c>
      <c r="O872" s="9" t="s">
        <v>79</v>
      </c>
      <c r="P872" s="12" t="s">
        <v>3267</v>
      </c>
      <c r="Q872" s="9" t="s">
        <v>583</v>
      </c>
      <c r="R872" s="14" t="str">
        <f>HYPERLINK("https://my.pitchbook.com?c=253269-64T","View Company Online")</f>
        <v>View Company Online</v>
      </c>
    </row>
    <row r="873" spans="1:18" hidden="1" x14ac:dyDescent="0.3">
      <c r="A873" s="15" t="s">
        <v>3268</v>
      </c>
      <c r="B873" s="15" t="s">
        <v>3269</v>
      </c>
      <c r="C873" s="18" t="s">
        <v>28</v>
      </c>
      <c r="D873" s="15" t="s">
        <v>3270</v>
      </c>
      <c r="E873" s="18" t="s">
        <v>28</v>
      </c>
      <c r="F873" s="19" t="s">
        <v>28</v>
      </c>
      <c r="G873" s="19" t="s">
        <v>28</v>
      </c>
      <c r="H873" s="19" t="s">
        <v>28</v>
      </c>
      <c r="I873" s="18" t="s">
        <v>28</v>
      </c>
      <c r="J873" s="18" t="s">
        <v>28</v>
      </c>
      <c r="K873" s="18" t="s">
        <v>28</v>
      </c>
      <c r="L873" s="18" t="s">
        <v>28</v>
      </c>
      <c r="M873" s="18" t="s">
        <v>28</v>
      </c>
      <c r="N873" s="17">
        <v>45351</v>
      </c>
      <c r="O873" s="15" t="s">
        <v>30</v>
      </c>
      <c r="P873" s="16" t="s">
        <v>3271</v>
      </c>
      <c r="Q873" s="15" t="s">
        <v>1068</v>
      </c>
      <c r="R873" s="13" t="str">
        <f>HYPERLINK("https://my.pitchbook.com?c=253263-16T","View Company Online")</f>
        <v>View Company Online</v>
      </c>
    </row>
    <row r="874" spans="1:18" hidden="1" x14ac:dyDescent="0.3">
      <c r="A874" s="9" t="s">
        <v>3272</v>
      </c>
      <c r="B874" s="9" t="s">
        <v>3273</v>
      </c>
      <c r="C874" s="11" t="s">
        <v>28</v>
      </c>
      <c r="D874" s="9" t="s">
        <v>3274</v>
      </c>
      <c r="E874" s="11" t="s">
        <v>28</v>
      </c>
      <c r="F874" s="10" t="s">
        <v>28</v>
      </c>
      <c r="G874" s="10">
        <v>0.38</v>
      </c>
      <c r="H874" s="10">
        <v>5.92</v>
      </c>
      <c r="I874" s="11" t="s">
        <v>28</v>
      </c>
      <c r="J874" s="11" t="s">
        <v>28</v>
      </c>
      <c r="K874" s="11" t="s">
        <v>28</v>
      </c>
      <c r="L874" s="11" t="s">
        <v>28</v>
      </c>
      <c r="M874" s="11" t="s">
        <v>28</v>
      </c>
      <c r="N874" s="8">
        <v>45351</v>
      </c>
      <c r="O874" s="9" t="s">
        <v>1639</v>
      </c>
      <c r="P874" s="12" t="s">
        <v>28</v>
      </c>
      <c r="Q874" s="9" t="s">
        <v>37</v>
      </c>
      <c r="R874" s="14" t="str">
        <f>HYPERLINK("https://my.pitchbook.com?c=246604-78T","View Company Online")</f>
        <v>View Company Online</v>
      </c>
    </row>
    <row r="875" spans="1:18" hidden="1" x14ac:dyDescent="0.3">
      <c r="A875" s="15" t="s">
        <v>3275</v>
      </c>
      <c r="B875" s="15" t="s">
        <v>3276</v>
      </c>
      <c r="C875" s="18" t="s">
        <v>28</v>
      </c>
      <c r="D875" s="15" t="s">
        <v>3277</v>
      </c>
      <c r="E875" s="18" t="s">
        <v>28</v>
      </c>
      <c r="F875" s="19" t="s">
        <v>28</v>
      </c>
      <c r="G875" s="19" t="s">
        <v>28</v>
      </c>
      <c r="H875" s="19" t="s">
        <v>28</v>
      </c>
      <c r="I875" s="18" t="s">
        <v>28</v>
      </c>
      <c r="J875" s="18" t="s">
        <v>28</v>
      </c>
      <c r="K875" s="18" t="s">
        <v>28</v>
      </c>
      <c r="L875" s="18" t="s">
        <v>28</v>
      </c>
      <c r="M875" s="18" t="s">
        <v>28</v>
      </c>
      <c r="N875" s="17">
        <v>45351</v>
      </c>
      <c r="O875" s="15" t="s">
        <v>30</v>
      </c>
      <c r="P875" s="16" t="s">
        <v>3278</v>
      </c>
      <c r="Q875" s="15" t="s">
        <v>136</v>
      </c>
      <c r="R875" s="13" t="str">
        <f>HYPERLINK("https://my.pitchbook.com?c=262946-44T","View Company Online")</f>
        <v>View Company Online</v>
      </c>
    </row>
    <row r="876" spans="1:18" hidden="1" x14ac:dyDescent="0.3">
      <c r="A876" s="9" t="s">
        <v>3279</v>
      </c>
      <c r="B876" s="9" t="s">
        <v>3280</v>
      </c>
      <c r="C876" s="11" t="s">
        <v>28</v>
      </c>
      <c r="D876" s="9" t="s">
        <v>3281</v>
      </c>
      <c r="E876" s="11" t="s">
        <v>28</v>
      </c>
      <c r="F876" s="10" t="s">
        <v>28</v>
      </c>
      <c r="G876" s="10">
        <v>1</v>
      </c>
      <c r="H876" s="10" t="s">
        <v>28</v>
      </c>
      <c r="I876" s="11" t="s">
        <v>28</v>
      </c>
      <c r="J876" s="11" t="s">
        <v>28</v>
      </c>
      <c r="K876" s="11">
        <v>0.04</v>
      </c>
      <c r="L876" s="11" t="s">
        <v>28</v>
      </c>
      <c r="M876" s="11" t="s">
        <v>28</v>
      </c>
      <c r="N876" s="8">
        <v>45351</v>
      </c>
      <c r="O876" s="9" t="s">
        <v>99</v>
      </c>
      <c r="P876" s="12" t="s">
        <v>3282</v>
      </c>
      <c r="Q876" s="9" t="s">
        <v>696</v>
      </c>
      <c r="R876" s="14" t="str">
        <f>HYPERLINK("https://my.pitchbook.com?c=253352-08T","View Company Online")</f>
        <v>View Company Online</v>
      </c>
    </row>
    <row r="877" spans="1:18" hidden="1" x14ac:dyDescent="0.3">
      <c r="A877" s="15" t="s">
        <v>3283</v>
      </c>
      <c r="B877" s="15" t="s">
        <v>3284</v>
      </c>
      <c r="C877" s="18" t="s">
        <v>28</v>
      </c>
      <c r="D877" s="15" t="s">
        <v>3285</v>
      </c>
      <c r="E877" s="18" t="s">
        <v>28</v>
      </c>
      <c r="F877" s="19">
        <v>1.33</v>
      </c>
      <c r="G877" s="19">
        <v>1</v>
      </c>
      <c r="H877" s="19">
        <v>1.33</v>
      </c>
      <c r="I877" s="18" t="s">
        <v>28</v>
      </c>
      <c r="J877" s="18" t="s">
        <v>28</v>
      </c>
      <c r="K877" s="18" t="s">
        <v>28</v>
      </c>
      <c r="L877" s="18" t="s">
        <v>28</v>
      </c>
      <c r="M877" s="18" t="s">
        <v>28</v>
      </c>
      <c r="N877" s="17">
        <v>45350</v>
      </c>
      <c r="O877" s="15" t="s">
        <v>30</v>
      </c>
      <c r="P877" s="16" t="s">
        <v>3286</v>
      </c>
      <c r="Q877" s="15" t="s">
        <v>119</v>
      </c>
      <c r="R877" s="13" t="str">
        <f>HYPERLINK("https://my.pitchbook.com?c=255385-63T","View Company Online")</f>
        <v>View Company Online</v>
      </c>
    </row>
    <row r="878" spans="1:18" hidden="1" x14ac:dyDescent="0.3">
      <c r="A878" s="9" t="s">
        <v>3287</v>
      </c>
      <c r="B878" s="9" t="s">
        <v>3288</v>
      </c>
      <c r="C878" s="11" t="s">
        <v>28</v>
      </c>
      <c r="D878" s="9" t="s">
        <v>3289</v>
      </c>
      <c r="E878" s="11" t="s">
        <v>28</v>
      </c>
      <c r="F878" s="10">
        <v>17</v>
      </c>
      <c r="G878" s="10">
        <v>17</v>
      </c>
      <c r="H878" s="10">
        <v>17</v>
      </c>
      <c r="I878" s="11" t="s">
        <v>28</v>
      </c>
      <c r="J878" s="11" t="s">
        <v>28</v>
      </c>
      <c r="K878" s="11" t="s">
        <v>28</v>
      </c>
      <c r="L878" s="11" t="s">
        <v>28</v>
      </c>
      <c r="M878" s="11" t="s">
        <v>28</v>
      </c>
      <c r="N878" s="8">
        <v>45350</v>
      </c>
      <c r="O878" s="9" t="s">
        <v>30</v>
      </c>
      <c r="P878" s="12" t="s">
        <v>3290</v>
      </c>
      <c r="Q878" s="9" t="s">
        <v>43</v>
      </c>
      <c r="R878" s="14" t="str">
        <f>HYPERLINK("https://my.pitchbook.com?c=253163-98T","View Company Online")</f>
        <v>View Company Online</v>
      </c>
    </row>
    <row r="879" spans="1:18" hidden="1" x14ac:dyDescent="0.3">
      <c r="A879" s="15" t="s">
        <v>3291</v>
      </c>
      <c r="B879" s="15" t="s">
        <v>3292</v>
      </c>
      <c r="C879" s="18" t="s">
        <v>28</v>
      </c>
      <c r="D879" s="15" t="s">
        <v>3293</v>
      </c>
      <c r="E879" s="18" t="s">
        <v>28</v>
      </c>
      <c r="F879" s="19" t="s">
        <v>28</v>
      </c>
      <c r="G879" s="19" t="s">
        <v>28</v>
      </c>
      <c r="H879" s="19" t="s">
        <v>28</v>
      </c>
      <c r="I879" s="18" t="s">
        <v>28</v>
      </c>
      <c r="J879" s="18" t="s">
        <v>28</v>
      </c>
      <c r="K879" s="18" t="s">
        <v>28</v>
      </c>
      <c r="L879" s="18" t="s">
        <v>28</v>
      </c>
      <c r="M879" s="18" t="s">
        <v>28</v>
      </c>
      <c r="N879" s="17">
        <v>45350</v>
      </c>
      <c r="O879" s="15" t="s">
        <v>41</v>
      </c>
      <c r="P879" s="16" t="s">
        <v>3294</v>
      </c>
      <c r="Q879" s="15" t="s">
        <v>362</v>
      </c>
      <c r="R879" s="13" t="str">
        <f>HYPERLINK("https://my.pitchbook.com?c=253169-29T","View Company Online")</f>
        <v>View Company Online</v>
      </c>
    </row>
    <row r="880" spans="1:18" hidden="1" x14ac:dyDescent="0.3">
      <c r="A880" s="9" t="s">
        <v>3295</v>
      </c>
      <c r="B880" s="9" t="s">
        <v>3296</v>
      </c>
      <c r="C880" s="11" t="s">
        <v>28</v>
      </c>
      <c r="D880" s="9" t="s">
        <v>3297</v>
      </c>
      <c r="E880" s="11" t="s">
        <v>28</v>
      </c>
      <c r="F880" s="10" t="s">
        <v>28</v>
      </c>
      <c r="G880" s="10" t="s">
        <v>28</v>
      </c>
      <c r="H880" s="10" t="s">
        <v>28</v>
      </c>
      <c r="I880" s="11" t="s">
        <v>28</v>
      </c>
      <c r="J880" s="11" t="s">
        <v>28</v>
      </c>
      <c r="K880" s="11" t="s">
        <v>28</v>
      </c>
      <c r="L880" s="11" t="s">
        <v>28</v>
      </c>
      <c r="M880" s="11" t="s">
        <v>28</v>
      </c>
      <c r="N880" s="8">
        <v>45349</v>
      </c>
      <c r="O880" s="9" t="s">
        <v>30</v>
      </c>
      <c r="P880" s="12" t="s">
        <v>3298</v>
      </c>
      <c r="Q880" s="9" t="s">
        <v>136</v>
      </c>
      <c r="R880" s="14" t="str">
        <f>HYPERLINK("https://my.pitchbook.com?c=255176-83T","View Company Online")</f>
        <v>View Company Online</v>
      </c>
    </row>
    <row r="881" spans="1:18" hidden="1" x14ac:dyDescent="0.3">
      <c r="A881" s="15" t="s">
        <v>3299</v>
      </c>
      <c r="B881" s="15" t="s">
        <v>3300</v>
      </c>
      <c r="C881" s="18" t="s">
        <v>28</v>
      </c>
      <c r="D881" s="15" t="s">
        <v>3301</v>
      </c>
      <c r="E881" s="18" t="s">
        <v>28</v>
      </c>
      <c r="F881" s="19" t="s">
        <v>28</v>
      </c>
      <c r="G881" s="19">
        <v>2.02</v>
      </c>
      <c r="H881" s="19" t="s">
        <v>28</v>
      </c>
      <c r="I881" s="18" t="s">
        <v>28</v>
      </c>
      <c r="J881" s="18" t="s">
        <v>28</v>
      </c>
      <c r="K881" s="18">
        <v>1.6</v>
      </c>
      <c r="L881" s="18" t="s">
        <v>28</v>
      </c>
      <c r="M881" s="18" t="s">
        <v>28</v>
      </c>
      <c r="N881" s="17">
        <v>45349</v>
      </c>
      <c r="O881" s="15" t="s">
        <v>99</v>
      </c>
      <c r="P881" s="16" t="s">
        <v>3302</v>
      </c>
      <c r="Q881" s="15" t="s">
        <v>75</v>
      </c>
      <c r="R881" s="13" t="str">
        <f>HYPERLINK("https://my.pitchbook.com?c=253095-13T","View Company Online")</f>
        <v>View Company Online</v>
      </c>
    </row>
    <row r="882" spans="1:18" hidden="1" x14ac:dyDescent="0.3">
      <c r="A882" s="9" t="s">
        <v>3303</v>
      </c>
      <c r="B882" s="9" t="s">
        <v>3304</v>
      </c>
      <c r="C882" s="11" t="s">
        <v>28</v>
      </c>
      <c r="D882" s="9" t="s">
        <v>3305</v>
      </c>
      <c r="E882" s="11" t="s">
        <v>28</v>
      </c>
      <c r="F882" s="10" t="s">
        <v>28</v>
      </c>
      <c r="G882" s="10" t="s">
        <v>28</v>
      </c>
      <c r="H882" s="10" t="s">
        <v>28</v>
      </c>
      <c r="I882" s="11" t="s">
        <v>28</v>
      </c>
      <c r="J882" s="11" t="s">
        <v>28</v>
      </c>
      <c r="K882" s="11">
        <v>560.21</v>
      </c>
      <c r="L882" s="11" t="s">
        <v>28</v>
      </c>
      <c r="M882" s="11">
        <v>-53.62</v>
      </c>
      <c r="N882" s="8">
        <v>45349</v>
      </c>
      <c r="O882" s="9" t="s">
        <v>30</v>
      </c>
      <c r="P882" s="12" t="s">
        <v>2072</v>
      </c>
      <c r="Q882" s="9" t="s">
        <v>114</v>
      </c>
      <c r="R882" s="14" t="str">
        <f>HYPERLINK("https://my.pitchbook.com?c=252765-73T","View Company Online")</f>
        <v>View Company Online</v>
      </c>
    </row>
    <row r="883" spans="1:18" hidden="1" x14ac:dyDescent="0.3">
      <c r="A883" s="15" t="s">
        <v>3306</v>
      </c>
      <c r="B883" s="15" t="s">
        <v>3307</v>
      </c>
      <c r="C883" s="18" t="s">
        <v>28</v>
      </c>
      <c r="D883" s="15" t="s">
        <v>3308</v>
      </c>
      <c r="E883" s="18" t="s">
        <v>28</v>
      </c>
      <c r="F883" s="19" t="s">
        <v>28</v>
      </c>
      <c r="G883" s="19">
        <v>10</v>
      </c>
      <c r="H883" s="19" t="s">
        <v>28</v>
      </c>
      <c r="I883" s="18" t="s">
        <v>28</v>
      </c>
      <c r="J883" s="18" t="s">
        <v>28</v>
      </c>
      <c r="K883" s="18" t="s">
        <v>28</v>
      </c>
      <c r="L883" s="18" t="s">
        <v>28</v>
      </c>
      <c r="M883" s="18" t="s">
        <v>28</v>
      </c>
      <c r="N883" s="17">
        <v>45348</v>
      </c>
      <c r="O883" s="15" t="s">
        <v>79</v>
      </c>
      <c r="P883" s="16" t="s">
        <v>3309</v>
      </c>
      <c r="Q883" s="15" t="s">
        <v>119</v>
      </c>
      <c r="R883" s="13" t="str">
        <f>HYPERLINK("https://my.pitchbook.com?c=252982-27T","View Company Online")</f>
        <v>View Company Online</v>
      </c>
    </row>
    <row r="884" spans="1:18" hidden="1" x14ac:dyDescent="0.3">
      <c r="A884" s="9" t="s">
        <v>3310</v>
      </c>
      <c r="B884" s="9" t="s">
        <v>3311</v>
      </c>
      <c r="C884" s="11" t="s">
        <v>28</v>
      </c>
      <c r="D884" s="9" t="s">
        <v>3312</v>
      </c>
      <c r="E884" s="11" t="s">
        <v>28</v>
      </c>
      <c r="F884" s="10" t="s">
        <v>28</v>
      </c>
      <c r="G884" s="10" t="s">
        <v>28</v>
      </c>
      <c r="H884" s="10" t="s">
        <v>28</v>
      </c>
      <c r="I884" s="11" t="s">
        <v>28</v>
      </c>
      <c r="J884" s="11" t="s">
        <v>28</v>
      </c>
      <c r="K884" s="11" t="s">
        <v>28</v>
      </c>
      <c r="L884" s="11" t="s">
        <v>28</v>
      </c>
      <c r="M884" s="11" t="s">
        <v>28</v>
      </c>
      <c r="N884" s="8">
        <v>45348</v>
      </c>
      <c r="O884" s="9" t="s">
        <v>52</v>
      </c>
      <c r="P884" s="12" t="s">
        <v>1453</v>
      </c>
      <c r="Q884" s="9" t="s">
        <v>75</v>
      </c>
      <c r="R884" s="14" t="str">
        <f>HYPERLINK("https://my.pitchbook.com?c=277230-34T","View Company Online")</f>
        <v>View Company Online</v>
      </c>
    </row>
    <row r="885" spans="1:18" hidden="1" x14ac:dyDescent="0.3">
      <c r="A885" s="15" t="s">
        <v>3313</v>
      </c>
      <c r="B885" s="15" t="s">
        <v>3314</v>
      </c>
      <c r="C885" s="18" t="s">
        <v>28</v>
      </c>
      <c r="D885" s="15" t="s">
        <v>3315</v>
      </c>
      <c r="E885" s="18" t="s">
        <v>28</v>
      </c>
      <c r="F885" s="19" t="s">
        <v>28</v>
      </c>
      <c r="G885" s="19" t="s">
        <v>28</v>
      </c>
      <c r="H885" s="19" t="s">
        <v>28</v>
      </c>
      <c r="I885" s="18" t="s">
        <v>28</v>
      </c>
      <c r="J885" s="18" t="s">
        <v>28</v>
      </c>
      <c r="K885" s="18" t="s">
        <v>28</v>
      </c>
      <c r="L885" s="18" t="s">
        <v>28</v>
      </c>
      <c r="M885" s="18" t="s">
        <v>28</v>
      </c>
      <c r="N885" s="17">
        <v>45348</v>
      </c>
      <c r="O885" s="15" t="s">
        <v>52</v>
      </c>
      <c r="P885" s="16" t="s">
        <v>89</v>
      </c>
      <c r="Q885" s="15" t="s">
        <v>95</v>
      </c>
      <c r="R885" s="13" t="str">
        <f>HYPERLINK("https://my.pitchbook.com?c=253157-32T","View Company Online")</f>
        <v>View Company Online</v>
      </c>
    </row>
    <row r="886" spans="1:18" hidden="1" x14ac:dyDescent="0.3">
      <c r="A886" s="9" t="s">
        <v>3316</v>
      </c>
      <c r="B886" s="9" t="s">
        <v>3317</v>
      </c>
      <c r="C886" s="11" t="s">
        <v>28</v>
      </c>
      <c r="D886" s="9" t="s">
        <v>3318</v>
      </c>
      <c r="E886" s="11" t="s">
        <v>28</v>
      </c>
      <c r="F886" s="10" t="s">
        <v>28</v>
      </c>
      <c r="G886" s="10" t="s">
        <v>28</v>
      </c>
      <c r="H886" s="10" t="s">
        <v>28</v>
      </c>
      <c r="I886" s="11" t="s">
        <v>28</v>
      </c>
      <c r="J886" s="11" t="s">
        <v>28</v>
      </c>
      <c r="K886" s="11" t="s">
        <v>28</v>
      </c>
      <c r="L886" s="11" t="s">
        <v>28</v>
      </c>
      <c r="M886" s="11" t="s">
        <v>28</v>
      </c>
      <c r="N886" s="8">
        <v>45345</v>
      </c>
      <c r="O886" s="9" t="s">
        <v>30</v>
      </c>
      <c r="P886" s="12" t="s">
        <v>3319</v>
      </c>
      <c r="Q886" s="9" t="s">
        <v>114</v>
      </c>
      <c r="R886" s="14" t="str">
        <f>HYPERLINK("https://my.pitchbook.com?c=252806-05T","View Company Online")</f>
        <v>View Company Online</v>
      </c>
    </row>
    <row r="887" spans="1:18" hidden="1" x14ac:dyDescent="0.3">
      <c r="A887" s="15" t="s">
        <v>3320</v>
      </c>
      <c r="B887" s="15" t="s">
        <v>3321</v>
      </c>
      <c r="C887" s="18" t="s">
        <v>28</v>
      </c>
      <c r="D887" s="15" t="s">
        <v>3322</v>
      </c>
      <c r="E887" s="18" t="s">
        <v>28</v>
      </c>
      <c r="F887" s="19" t="s">
        <v>28</v>
      </c>
      <c r="G887" s="19" t="s">
        <v>28</v>
      </c>
      <c r="H887" s="19" t="s">
        <v>28</v>
      </c>
      <c r="I887" s="18" t="s">
        <v>28</v>
      </c>
      <c r="J887" s="18" t="s">
        <v>28</v>
      </c>
      <c r="K887" s="18" t="s">
        <v>28</v>
      </c>
      <c r="L887" s="18" t="s">
        <v>28</v>
      </c>
      <c r="M887" s="18" t="s">
        <v>28</v>
      </c>
      <c r="N887" s="17">
        <v>45345</v>
      </c>
      <c r="O887" s="15" t="s">
        <v>173</v>
      </c>
      <c r="P887" s="16" t="s">
        <v>28</v>
      </c>
      <c r="Q887" s="15" t="s">
        <v>174</v>
      </c>
      <c r="R887" s="13" t="str">
        <f>HYPERLINK("https://my.pitchbook.com?c=253165-42T","View Company Online")</f>
        <v>View Company Online</v>
      </c>
    </row>
    <row r="888" spans="1:18" hidden="1" x14ac:dyDescent="0.3">
      <c r="A888" s="9" t="s">
        <v>3323</v>
      </c>
      <c r="B888" s="9" t="s">
        <v>3324</v>
      </c>
      <c r="C888" s="11" t="s">
        <v>28</v>
      </c>
      <c r="D888" s="9" t="s">
        <v>3325</v>
      </c>
      <c r="E888" s="11" t="s">
        <v>28</v>
      </c>
      <c r="F888" s="10" t="s">
        <v>28</v>
      </c>
      <c r="G888" s="10" t="s">
        <v>28</v>
      </c>
      <c r="H888" s="10" t="s">
        <v>28</v>
      </c>
      <c r="I888" s="11" t="s">
        <v>28</v>
      </c>
      <c r="J888" s="11" t="s">
        <v>28</v>
      </c>
      <c r="K888" s="11" t="s">
        <v>28</v>
      </c>
      <c r="L888" s="11" t="s">
        <v>28</v>
      </c>
      <c r="M888" s="11" t="s">
        <v>28</v>
      </c>
      <c r="N888" s="8">
        <v>45345</v>
      </c>
      <c r="O888" s="9" t="s">
        <v>173</v>
      </c>
      <c r="P888" s="12" t="s">
        <v>28</v>
      </c>
      <c r="Q888" s="9" t="s">
        <v>174</v>
      </c>
      <c r="R888" s="14" t="str">
        <f>HYPERLINK("https://my.pitchbook.com?c=256358-35T","View Company Online")</f>
        <v>View Company Online</v>
      </c>
    </row>
    <row r="889" spans="1:18" hidden="1" x14ac:dyDescent="0.3">
      <c r="A889" s="15" t="s">
        <v>3326</v>
      </c>
      <c r="B889" s="15" t="s">
        <v>3327</v>
      </c>
      <c r="C889" s="18" t="s">
        <v>28</v>
      </c>
      <c r="D889" s="15" t="s">
        <v>3328</v>
      </c>
      <c r="E889" s="18" t="s">
        <v>28</v>
      </c>
      <c r="F889" s="19">
        <v>4.12</v>
      </c>
      <c r="G889" s="19">
        <v>4.04</v>
      </c>
      <c r="H889" s="19">
        <v>4.12</v>
      </c>
      <c r="I889" s="18" t="s">
        <v>28</v>
      </c>
      <c r="J889" s="18" t="s">
        <v>28</v>
      </c>
      <c r="K889" s="18" t="s">
        <v>28</v>
      </c>
      <c r="L889" s="18" t="s">
        <v>28</v>
      </c>
      <c r="M889" s="18" t="s">
        <v>28</v>
      </c>
      <c r="N889" s="17">
        <v>45345</v>
      </c>
      <c r="O889" s="15" t="s">
        <v>30</v>
      </c>
      <c r="P889" s="16" t="s">
        <v>3329</v>
      </c>
      <c r="Q889" s="15" t="s">
        <v>54</v>
      </c>
      <c r="R889" s="13" t="str">
        <f>HYPERLINK("https://my.pitchbook.com?c=270526-78T","View Company Online")</f>
        <v>View Company Online</v>
      </c>
    </row>
    <row r="890" spans="1:18" hidden="1" x14ac:dyDescent="0.3">
      <c r="A890" s="9" t="s">
        <v>3330</v>
      </c>
      <c r="B890" s="9" t="s">
        <v>3331</v>
      </c>
      <c r="C890" s="11" t="s">
        <v>28</v>
      </c>
      <c r="D890" s="9" t="s">
        <v>3332</v>
      </c>
      <c r="E890" s="11" t="s">
        <v>28</v>
      </c>
      <c r="F890" s="10" t="s">
        <v>28</v>
      </c>
      <c r="G890" s="10" t="s">
        <v>28</v>
      </c>
      <c r="H890" s="10" t="s">
        <v>28</v>
      </c>
      <c r="I890" s="11" t="s">
        <v>28</v>
      </c>
      <c r="J890" s="11" t="s">
        <v>28</v>
      </c>
      <c r="K890" s="11" t="s">
        <v>28</v>
      </c>
      <c r="L890" s="11" t="s">
        <v>28</v>
      </c>
      <c r="M890" s="11" t="s">
        <v>28</v>
      </c>
      <c r="N890" s="8">
        <v>45345</v>
      </c>
      <c r="O890" s="9" t="s">
        <v>73</v>
      </c>
      <c r="P890" s="12" t="s">
        <v>3333</v>
      </c>
      <c r="Q890" s="9" t="s">
        <v>37</v>
      </c>
      <c r="R890" s="14" t="str">
        <f>HYPERLINK("https://my.pitchbook.com?c=256561-21T","View Company Online")</f>
        <v>View Company Online</v>
      </c>
    </row>
    <row r="891" spans="1:18" hidden="1" x14ac:dyDescent="0.3">
      <c r="A891" s="15" t="s">
        <v>3334</v>
      </c>
      <c r="B891" s="15" t="s">
        <v>3335</v>
      </c>
      <c r="C891" s="18" t="s">
        <v>28</v>
      </c>
      <c r="D891" s="15" t="s">
        <v>3336</v>
      </c>
      <c r="E891" s="18" t="s">
        <v>28</v>
      </c>
      <c r="F891" s="19" t="s">
        <v>28</v>
      </c>
      <c r="G891" s="19" t="s">
        <v>28</v>
      </c>
      <c r="H891" s="19" t="s">
        <v>28</v>
      </c>
      <c r="I891" s="18" t="s">
        <v>28</v>
      </c>
      <c r="J891" s="18" t="s">
        <v>28</v>
      </c>
      <c r="K891" s="18" t="s">
        <v>28</v>
      </c>
      <c r="L891" s="18" t="s">
        <v>28</v>
      </c>
      <c r="M891" s="18" t="s">
        <v>28</v>
      </c>
      <c r="N891" s="17">
        <v>45345</v>
      </c>
      <c r="O891" s="15" t="s">
        <v>79</v>
      </c>
      <c r="P891" s="16" t="s">
        <v>3337</v>
      </c>
      <c r="Q891" s="15" t="s">
        <v>75</v>
      </c>
      <c r="R891" s="13" t="str">
        <f>HYPERLINK("https://my.pitchbook.com?c=252805-96T","View Company Online")</f>
        <v>View Company Online</v>
      </c>
    </row>
    <row r="892" spans="1:18" hidden="1" x14ac:dyDescent="0.3">
      <c r="A892" s="9" t="s">
        <v>3338</v>
      </c>
      <c r="B892" s="9" t="s">
        <v>3339</v>
      </c>
      <c r="C892" s="11" t="s">
        <v>28</v>
      </c>
      <c r="D892" s="9" t="s">
        <v>3340</v>
      </c>
      <c r="E892" s="11" t="s">
        <v>28</v>
      </c>
      <c r="F892" s="10" t="s">
        <v>28</v>
      </c>
      <c r="G892" s="10" t="s">
        <v>28</v>
      </c>
      <c r="H892" s="10" t="s">
        <v>28</v>
      </c>
      <c r="I892" s="11" t="s">
        <v>28</v>
      </c>
      <c r="J892" s="11" t="s">
        <v>28</v>
      </c>
      <c r="K892" s="11" t="s">
        <v>28</v>
      </c>
      <c r="L892" s="11" t="s">
        <v>28</v>
      </c>
      <c r="M892" s="11" t="s">
        <v>28</v>
      </c>
      <c r="N892" s="8">
        <v>45345</v>
      </c>
      <c r="O892" s="9" t="s">
        <v>30</v>
      </c>
      <c r="P892" s="12" t="s">
        <v>3341</v>
      </c>
      <c r="Q892" s="9" t="s">
        <v>1007</v>
      </c>
      <c r="R892" s="14" t="str">
        <f>HYPERLINK("https://my.pitchbook.com?c=256853-26T","View Company Online")</f>
        <v>View Company Online</v>
      </c>
    </row>
    <row r="893" spans="1:18" hidden="1" x14ac:dyDescent="0.3">
      <c r="A893" s="15" t="s">
        <v>3342</v>
      </c>
      <c r="B893" s="15" t="s">
        <v>3343</v>
      </c>
      <c r="C893" s="18" t="s">
        <v>28</v>
      </c>
      <c r="D893" s="15" t="s">
        <v>3344</v>
      </c>
      <c r="E893" s="18" t="s">
        <v>28</v>
      </c>
      <c r="F893" s="19" t="s">
        <v>28</v>
      </c>
      <c r="G893" s="19">
        <v>20</v>
      </c>
      <c r="H893" s="19">
        <v>70</v>
      </c>
      <c r="I893" s="18" t="s">
        <v>28</v>
      </c>
      <c r="J893" s="18" t="s">
        <v>28</v>
      </c>
      <c r="K893" s="18" t="s">
        <v>28</v>
      </c>
      <c r="L893" s="18" t="s">
        <v>28</v>
      </c>
      <c r="M893" s="18" t="s">
        <v>28</v>
      </c>
      <c r="N893" s="17">
        <v>45345</v>
      </c>
      <c r="O893" s="15" t="s">
        <v>79</v>
      </c>
      <c r="P893" s="16" t="s">
        <v>3345</v>
      </c>
      <c r="Q893" s="15" t="s">
        <v>37</v>
      </c>
      <c r="R893" s="13" t="str">
        <f>HYPERLINK("https://my.pitchbook.com?c=251127-19T","View Company Online")</f>
        <v>View Company Online</v>
      </c>
    </row>
    <row r="894" spans="1:18" hidden="1" x14ac:dyDescent="0.3">
      <c r="A894" s="9" t="s">
        <v>3346</v>
      </c>
      <c r="B894" s="9" t="s">
        <v>3347</v>
      </c>
      <c r="C894" s="11" t="s">
        <v>28</v>
      </c>
      <c r="D894" s="9" t="s">
        <v>3348</v>
      </c>
      <c r="E894" s="11" t="s">
        <v>28</v>
      </c>
      <c r="F894" s="10" t="s">
        <v>28</v>
      </c>
      <c r="G894" s="10">
        <v>0.2</v>
      </c>
      <c r="H894" s="10" t="s">
        <v>28</v>
      </c>
      <c r="I894" s="11" t="s">
        <v>28</v>
      </c>
      <c r="J894" s="11" t="s">
        <v>28</v>
      </c>
      <c r="K894" s="11" t="s">
        <v>28</v>
      </c>
      <c r="L894" s="11" t="s">
        <v>28</v>
      </c>
      <c r="M894" s="11" t="s">
        <v>28</v>
      </c>
      <c r="N894" s="8">
        <v>45344</v>
      </c>
      <c r="O894" s="9" t="s">
        <v>52</v>
      </c>
      <c r="P894" s="12" t="s">
        <v>2736</v>
      </c>
      <c r="Q894" s="9" t="s">
        <v>114</v>
      </c>
      <c r="R894" s="14" t="str">
        <f>HYPERLINK("https://my.pitchbook.com?c=292571-65T","View Company Online")</f>
        <v>View Company Online</v>
      </c>
    </row>
    <row r="895" spans="1:18" hidden="1" x14ac:dyDescent="0.3">
      <c r="A895" s="15" t="s">
        <v>3349</v>
      </c>
      <c r="B895" s="15" t="s">
        <v>1436</v>
      </c>
      <c r="C895" s="18" t="s">
        <v>28</v>
      </c>
      <c r="D895" s="15" t="s">
        <v>1437</v>
      </c>
      <c r="E895" s="18" t="s">
        <v>28</v>
      </c>
      <c r="F895" s="19" t="s">
        <v>28</v>
      </c>
      <c r="G895" s="19" t="s">
        <v>28</v>
      </c>
      <c r="H895" s="19" t="s">
        <v>28</v>
      </c>
      <c r="I895" s="18" t="s">
        <v>28</v>
      </c>
      <c r="J895" s="18" t="s">
        <v>28</v>
      </c>
      <c r="K895" s="18" t="s">
        <v>28</v>
      </c>
      <c r="L895" s="18" t="s">
        <v>28</v>
      </c>
      <c r="M895" s="18" t="s">
        <v>28</v>
      </c>
      <c r="N895" s="17">
        <v>45344</v>
      </c>
      <c r="O895" s="15" t="s">
        <v>79</v>
      </c>
      <c r="P895" s="16" t="s">
        <v>3350</v>
      </c>
      <c r="Q895" s="15" t="s">
        <v>75</v>
      </c>
      <c r="R895" s="13" t="str">
        <f>HYPERLINK("https://my.pitchbook.com?c=256078-81T","View Company Online")</f>
        <v>View Company Online</v>
      </c>
    </row>
    <row r="896" spans="1:18" hidden="1" x14ac:dyDescent="0.3">
      <c r="A896" s="9" t="s">
        <v>3351</v>
      </c>
      <c r="B896" s="9" t="s">
        <v>3352</v>
      </c>
      <c r="C896" s="11" t="s">
        <v>28</v>
      </c>
      <c r="D896" s="9" t="s">
        <v>3353</v>
      </c>
      <c r="E896" s="11" t="s">
        <v>28</v>
      </c>
      <c r="F896" s="10" t="s">
        <v>28</v>
      </c>
      <c r="G896" s="10" t="s">
        <v>28</v>
      </c>
      <c r="H896" s="10" t="s">
        <v>28</v>
      </c>
      <c r="I896" s="11" t="s">
        <v>28</v>
      </c>
      <c r="J896" s="11" t="s">
        <v>28</v>
      </c>
      <c r="K896" s="11" t="s">
        <v>28</v>
      </c>
      <c r="L896" s="11" t="s">
        <v>28</v>
      </c>
      <c r="M896" s="11" t="s">
        <v>28</v>
      </c>
      <c r="N896" s="8">
        <v>45344</v>
      </c>
      <c r="O896" s="9" t="s">
        <v>41</v>
      </c>
      <c r="P896" s="12" t="s">
        <v>3354</v>
      </c>
      <c r="Q896" s="9" t="s">
        <v>245</v>
      </c>
      <c r="R896" s="14" t="str">
        <f>HYPERLINK("https://my.pitchbook.com?c=252750-07T","View Company Online")</f>
        <v>View Company Online</v>
      </c>
    </row>
    <row r="897" spans="1:18" hidden="1" x14ac:dyDescent="0.3">
      <c r="A897" s="15" t="s">
        <v>3355</v>
      </c>
      <c r="B897" s="15" t="s">
        <v>3356</v>
      </c>
      <c r="C897" s="18" t="s">
        <v>28</v>
      </c>
      <c r="D897" s="15" t="s">
        <v>3357</v>
      </c>
      <c r="E897" s="18" t="s">
        <v>28</v>
      </c>
      <c r="F897" s="19" t="s">
        <v>28</v>
      </c>
      <c r="G897" s="19" t="s">
        <v>28</v>
      </c>
      <c r="H897" s="19" t="s">
        <v>28</v>
      </c>
      <c r="I897" s="18" t="s">
        <v>28</v>
      </c>
      <c r="J897" s="18" t="s">
        <v>28</v>
      </c>
      <c r="K897" s="18" t="s">
        <v>28</v>
      </c>
      <c r="L897" s="18" t="s">
        <v>28</v>
      </c>
      <c r="M897" s="18" t="s">
        <v>28</v>
      </c>
      <c r="N897" s="17">
        <v>45343</v>
      </c>
      <c r="O897" s="15" t="s">
        <v>30</v>
      </c>
      <c r="P897" s="16" t="s">
        <v>3358</v>
      </c>
      <c r="Q897" s="15" t="s">
        <v>136</v>
      </c>
      <c r="R897" s="13" t="str">
        <f>HYPERLINK("https://my.pitchbook.com?c=270094-42T","View Company Online")</f>
        <v>View Company Online</v>
      </c>
    </row>
    <row r="898" spans="1:18" hidden="1" x14ac:dyDescent="0.3">
      <c r="A898" s="9" t="s">
        <v>3359</v>
      </c>
      <c r="B898" s="9" t="s">
        <v>1193</v>
      </c>
      <c r="C898" s="11" t="s">
        <v>28</v>
      </c>
      <c r="D898" s="9" t="s">
        <v>1194</v>
      </c>
      <c r="E898" s="11" t="s">
        <v>28</v>
      </c>
      <c r="F898" s="10" t="s">
        <v>28</v>
      </c>
      <c r="G898" s="10">
        <v>2.06</v>
      </c>
      <c r="H898" s="10" t="s">
        <v>28</v>
      </c>
      <c r="I898" s="11" t="s">
        <v>28</v>
      </c>
      <c r="J898" s="11" t="s">
        <v>28</v>
      </c>
      <c r="K898" s="11" t="s">
        <v>28</v>
      </c>
      <c r="L898" s="11" t="s">
        <v>28</v>
      </c>
      <c r="M898" s="11" t="s">
        <v>28</v>
      </c>
      <c r="N898" s="8">
        <v>45342</v>
      </c>
      <c r="O898" s="9" t="s">
        <v>79</v>
      </c>
      <c r="P898" s="12" t="s">
        <v>3360</v>
      </c>
      <c r="Q898" s="9" t="s">
        <v>75</v>
      </c>
      <c r="R898" s="14" t="str">
        <f>HYPERLINK("https://my.pitchbook.com?c=252452-62T","View Company Online")</f>
        <v>View Company Online</v>
      </c>
    </row>
    <row r="899" spans="1:18" hidden="1" x14ac:dyDescent="0.3">
      <c r="A899" s="15" t="s">
        <v>3361</v>
      </c>
      <c r="B899" s="15" t="s">
        <v>3362</v>
      </c>
      <c r="C899" s="18" t="s">
        <v>28</v>
      </c>
      <c r="D899" s="15" t="s">
        <v>3363</v>
      </c>
      <c r="E899" s="18" t="s">
        <v>28</v>
      </c>
      <c r="F899" s="19" t="s">
        <v>28</v>
      </c>
      <c r="G899" s="19" t="s">
        <v>28</v>
      </c>
      <c r="H899" s="19" t="s">
        <v>28</v>
      </c>
      <c r="I899" s="18" t="s">
        <v>28</v>
      </c>
      <c r="J899" s="18" t="s">
        <v>28</v>
      </c>
      <c r="K899" s="18" t="s">
        <v>28</v>
      </c>
      <c r="L899" s="18" t="s">
        <v>28</v>
      </c>
      <c r="M899" s="18" t="s">
        <v>28</v>
      </c>
      <c r="N899" s="17">
        <v>45342</v>
      </c>
      <c r="O899" s="15" t="s">
        <v>41</v>
      </c>
      <c r="P899" s="16" t="s">
        <v>182</v>
      </c>
      <c r="Q899" s="15" t="s">
        <v>348</v>
      </c>
      <c r="R899" s="13" t="str">
        <f>HYPERLINK("https://my.pitchbook.com?c=245375-47T","View Company Online")</f>
        <v>View Company Online</v>
      </c>
    </row>
    <row r="900" spans="1:18" hidden="1" x14ac:dyDescent="0.3">
      <c r="A900" s="9" t="s">
        <v>3364</v>
      </c>
      <c r="B900" s="9" t="s">
        <v>3365</v>
      </c>
      <c r="C900" s="11" t="s">
        <v>28</v>
      </c>
      <c r="D900" s="9" t="s">
        <v>3366</v>
      </c>
      <c r="E900" s="11" t="s">
        <v>28</v>
      </c>
      <c r="F900" s="10" t="s">
        <v>28</v>
      </c>
      <c r="G900" s="10" t="s">
        <v>28</v>
      </c>
      <c r="H900" s="10" t="s">
        <v>28</v>
      </c>
      <c r="I900" s="11" t="s">
        <v>28</v>
      </c>
      <c r="J900" s="11" t="s">
        <v>28</v>
      </c>
      <c r="K900" s="11">
        <v>1100.4000000000001</v>
      </c>
      <c r="L900" s="11" t="s">
        <v>28</v>
      </c>
      <c r="M900" s="11" t="s">
        <v>28</v>
      </c>
      <c r="N900" s="8">
        <v>45342</v>
      </c>
      <c r="O900" s="9" t="s">
        <v>30</v>
      </c>
      <c r="P900" s="12" t="s">
        <v>3367</v>
      </c>
      <c r="Q900" s="9" t="s">
        <v>1068</v>
      </c>
      <c r="R900" s="14" t="str">
        <f>HYPERLINK("https://my.pitchbook.com?c=252528-49T","View Company Online")</f>
        <v>View Company Online</v>
      </c>
    </row>
    <row r="901" spans="1:18" hidden="1" x14ac:dyDescent="0.3">
      <c r="A901" s="15" t="s">
        <v>3368</v>
      </c>
      <c r="B901" s="15" t="s">
        <v>3369</v>
      </c>
      <c r="C901" s="18" t="s">
        <v>28</v>
      </c>
      <c r="D901" s="15" t="s">
        <v>3370</v>
      </c>
      <c r="E901" s="18">
        <v>17.32</v>
      </c>
      <c r="F901" s="19" t="s">
        <v>28</v>
      </c>
      <c r="G901" s="19" t="s">
        <v>28</v>
      </c>
      <c r="H901" s="19" t="s">
        <v>28</v>
      </c>
      <c r="I901" s="18">
        <v>105.44</v>
      </c>
      <c r="J901" s="18" t="s">
        <v>28</v>
      </c>
      <c r="K901" s="18">
        <v>768.68</v>
      </c>
      <c r="L901" s="18" t="s">
        <v>28</v>
      </c>
      <c r="M901" s="18">
        <v>-19.57</v>
      </c>
      <c r="N901" s="17">
        <v>45342</v>
      </c>
      <c r="O901" s="15" t="s">
        <v>41</v>
      </c>
      <c r="P901" s="16" t="s">
        <v>3371</v>
      </c>
      <c r="Q901" s="15" t="s">
        <v>169</v>
      </c>
      <c r="R901" s="13" t="str">
        <f>HYPERLINK("https://my.pitchbook.com?c=258776-38T","View Company Online")</f>
        <v>View Company Online</v>
      </c>
    </row>
    <row r="902" spans="1:18" hidden="1" x14ac:dyDescent="0.3">
      <c r="A902" s="9" t="s">
        <v>3372</v>
      </c>
      <c r="B902" s="9" t="s">
        <v>3373</v>
      </c>
      <c r="C902" s="11" t="s">
        <v>28</v>
      </c>
      <c r="D902" s="9" t="s">
        <v>3374</v>
      </c>
      <c r="E902" s="11" t="s">
        <v>28</v>
      </c>
      <c r="F902" s="10" t="s">
        <v>28</v>
      </c>
      <c r="G902" s="10" t="s">
        <v>28</v>
      </c>
      <c r="H902" s="10" t="s">
        <v>28</v>
      </c>
      <c r="I902" s="11" t="s">
        <v>28</v>
      </c>
      <c r="J902" s="11" t="s">
        <v>28</v>
      </c>
      <c r="K902" s="11" t="s">
        <v>28</v>
      </c>
      <c r="L902" s="11" t="s">
        <v>28</v>
      </c>
      <c r="M902" s="11" t="s">
        <v>28</v>
      </c>
      <c r="N902" s="8">
        <v>45341</v>
      </c>
      <c r="O902" s="9" t="s">
        <v>52</v>
      </c>
      <c r="P902" s="12" t="s">
        <v>3375</v>
      </c>
      <c r="Q902" s="9" t="s">
        <v>774</v>
      </c>
      <c r="R902" s="14" t="str">
        <f>HYPERLINK("https://my.pitchbook.com?c=252737-20T","View Company Online")</f>
        <v>View Company Online</v>
      </c>
    </row>
    <row r="903" spans="1:18" hidden="1" x14ac:dyDescent="0.3">
      <c r="A903" s="15" t="s">
        <v>3376</v>
      </c>
      <c r="B903" s="15" t="s">
        <v>3377</v>
      </c>
      <c r="C903" s="18" t="s">
        <v>28</v>
      </c>
      <c r="D903" s="15" t="s">
        <v>3378</v>
      </c>
      <c r="E903" s="18" t="s">
        <v>28</v>
      </c>
      <c r="F903" s="19" t="s">
        <v>28</v>
      </c>
      <c r="G903" s="19" t="s">
        <v>28</v>
      </c>
      <c r="H903" s="19" t="s">
        <v>28</v>
      </c>
      <c r="I903" s="18" t="s">
        <v>28</v>
      </c>
      <c r="J903" s="18" t="s">
        <v>28</v>
      </c>
      <c r="K903" s="18" t="s">
        <v>28</v>
      </c>
      <c r="L903" s="18" t="s">
        <v>28</v>
      </c>
      <c r="M903" s="18" t="s">
        <v>28</v>
      </c>
      <c r="N903" s="17">
        <v>45341</v>
      </c>
      <c r="O903" s="15" t="s">
        <v>52</v>
      </c>
      <c r="P903" s="16" t="s">
        <v>3375</v>
      </c>
      <c r="Q903" s="15" t="s">
        <v>37</v>
      </c>
      <c r="R903" s="13" t="str">
        <f>HYPERLINK("https://my.pitchbook.com?c=252734-59T","View Company Online")</f>
        <v>View Company Online</v>
      </c>
    </row>
    <row r="904" spans="1:18" hidden="1" x14ac:dyDescent="0.3">
      <c r="A904" s="9" t="s">
        <v>3379</v>
      </c>
      <c r="B904" s="9" t="s">
        <v>3380</v>
      </c>
      <c r="C904" s="11" t="s">
        <v>28</v>
      </c>
      <c r="D904" s="9" t="s">
        <v>3381</v>
      </c>
      <c r="E904" s="11" t="s">
        <v>28</v>
      </c>
      <c r="F904" s="10" t="s">
        <v>28</v>
      </c>
      <c r="G904" s="10" t="s">
        <v>28</v>
      </c>
      <c r="H904" s="10" t="s">
        <v>28</v>
      </c>
      <c r="I904" s="11" t="s">
        <v>28</v>
      </c>
      <c r="J904" s="11" t="s">
        <v>28</v>
      </c>
      <c r="K904" s="11" t="s">
        <v>28</v>
      </c>
      <c r="L904" s="11" t="s">
        <v>28</v>
      </c>
      <c r="M904" s="11" t="s">
        <v>28</v>
      </c>
      <c r="N904" s="8">
        <v>45341</v>
      </c>
      <c r="O904" s="9" t="s">
        <v>52</v>
      </c>
      <c r="P904" s="12" t="s">
        <v>3375</v>
      </c>
      <c r="Q904" s="9" t="s">
        <v>75</v>
      </c>
      <c r="R904" s="14" t="str">
        <f>HYPERLINK("https://my.pitchbook.com?c=252741-52T","View Company Online")</f>
        <v>View Company Online</v>
      </c>
    </row>
    <row r="905" spans="1:18" hidden="1" x14ac:dyDescent="0.3">
      <c r="A905" s="15" t="s">
        <v>3382</v>
      </c>
      <c r="B905" s="15" t="s">
        <v>3383</v>
      </c>
      <c r="C905" s="18" t="s">
        <v>28</v>
      </c>
      <c r="D905" s="15" t="s">
        <v>3384</v>
      </c>
      <c r="E905" s="18" t="s">
        <v>28</v>
      </c>
      <c r="F905" s="19" t="s">
        <v>28</v>
      </c>
      <c r="G905" s="19" t="s">
        <v>28</v>
      </c>
      <c r="H905" s="19" t="s">
        <v>28</v>
      </c>
      <c r="I905" s="18" t="s">
        <v>28</v>
      </c>
      <c r="J905" s="18" t="s">
        <v>28</v>
      </c>
      <c r="K905" s="18" t="s">
        <v>28</v>
      </c>
      <c r="L905" s="18" t="s">
        <v>28</v>
      </c>
      <c r="M905" s="18" t="s">
        <v>28</v>
      </c>
      <c r="N905" s="17">
        <v>45341</v>
      </c>
      <c r="O905" s="15" t="s">
        <v>52</v>
      </c>
      <c r="P905" s="16" t="s">
        <v>3375</v>
      </c>
      <c r="Q905" s="15" t="s">
        <v>43</v>
      </c>
      <c r="R905" s="13" t="str">
        <f>HYPERLINK("https://my.pitchbook.com?c=252746-38T","View Company Online")</f>
        <v>View Company Online</v>
      </c>
    </row>
    <row r="906" spans="1:18" hidden="1" x14ac:dyDescent="0.3">
      <c r="A906" s="9" t="s">
        <v>3385</v>
      </c>
      <c r="B906" s="9" t="s">
        <v>3386</v>
      </c>
      <c r="C906" s="11" t="s">
        <v>28</v>
      </c>
      <c r="D906" s="9" t="s">
        <v>3387</v>
      </c>
      <c r="E906" s="11" t="s">
        <v>28</v>
      </c>
      <c r="F906" s="10" t="s">
        <v>28</v>
      </c>
      <c r="G906" s="10" t="s">
        <v>28</v>
      </c>
      <c r="H906" s="10" t="s">
        <v>28</v>
      </c>
      <c r="I906" s="11" t="s">
        <v>28</v>
      </c>
      <c r="J906" s="11" t="s">
        <v>28</v>
      </c>
      <c r="K906" s="11" t="s">
        <v>28</v>
      </c>
      <c r="L906" s="11" t="s">
        <v>28</v>
      </c>
      <c r="M906" s="11" t="s">
        <v>28</v>
      </c>
      <c r="N906" s="8">
        <v>45341</v>
      </c>
      <c r="O906" s="9" t="s">
        <v>52</v>
      </c>
      <c r="P906" s="12" t="s">
        <v>3375</v>
      </c>
      <c r="Q906" s="9" t="s">
        <v>37</v>
      </c>
      <c r="R906" s="14" t="str">
        <f>HYPERLINK("https://my.pitchbook.com?c=252717-49T","View Company Online")</f>
        <v>View Company Online</v>
      </c>
    </row>
    <row r="907" spans="1:18" hidden="1" x14ac:dyDescent="0.3">
      <c r="A907" s="15" t="s">
        <v>3388</v>
      </c>
      <c r="B907" s="15" t="s">
        <v>3389</v>
      </c>
      <c r="C907" s="18" t="s">
        <v>28</v>
      </c>
      <c r="D907" s="15" t="s">
        <v>3390</v>
      </c>
      <c r="E907" s="18" t="s">
        <v>28</v>
      </c>
      <c r="F907" s="19" t="s">
        <v>28</v>
      </c>
      <c r="G907" s="19" t="s">
        <v>28</v>
      </c>
      <c r="H907" s="19" t="s">
        <v>28</v>
      </c>
      <c r="I907" s="18" t="s">
        <v>28</v>
      </c>
      <c r="J907" s="18" t="s">
        <v>28</v>
      </c>
      <c r="K907" s="18" t="s">
        <v>28</v>
      </c>
      <c r="L907" s="18" t="s">
        <v>28</v>
      </c>
      <c r="M907" s="18" t="s">
        <v>28</v>
      </c>
      <c r="N907" s="17">
        <v>45341</v>
      </c>
      <c r="O907" s="15" t="s">
        <v>52</v>
      </c>
      <c r="P907" s="16" t="s">
        <v>3375</v>
      </c>
      <c r="Q907" s="15" t="s">
        <v>75</v>
      </c>
      <c r="R907" s="13" t="str">
        <f>HYPERLINK("https://my.pitchbook.com?c=252742-69T","View Company Online")</f>
        <v>View Company Online</v>
      </c>
    </row>
    <row r="908" spans="1:18" hidden="1" x14ac:dyDescent="0.3">
      <c r="A908" s="9" t="s">
        <v>3391</v>
      </c>
      <c r="B908" s="9" t="s">
        <v>3392</v>
      </c>
      <c r="C908" s="11" t="s">
        <v>28</v>
      </c>
      <c r="D908" s="9" t="s">
        <v>3393</v>
      </c>
      <c r="E908" s="11" t="s">
        <v>28</v>
      </c>
      <c r="F908" s="10" t="s">
        <v>28</v>
      </c>
      <c r="G908" s="10" t="s">
        <v>28</v>
      </c>
      <c r="H908" s="10" t="s">
        <v>28</v>
      </c>
      <c r="I908" s="11" t="s">
        <v>28</v>
      </c>
      <c r="J908" s="11" t="s">
        <v>28</v>
      </c>
      <c r="K908" s="11" t="s">
        <v>28</v>
      </c>
      <c r="L908" s="11" t="s">
        <v>28</v>
      </c>
      <c r="M908" s="11" t="s">
        <v>28</v>
      </c>
      <c r="N908" s="8">
        <v>45341</v>
      </c>
      <c r="O908" s="9" t="s">
        <v>52</v>
      </c>
      <c r="P908" s="12" t="s">
        <v>3375</v>
      </c>
      <c r="Q908" s="9" t="s">
        <v>583</v>
      </c>
      <c r="R908" s="14" t="str">
        <f>HYPERLINK("https://my.pitchbook.com?c=252755-47T","View Company Online")</f>
        <v>View Company Online</v>
      </c>
    </row>
    <row r="909" spans="1:18" hidden="1" x14ac:dyDescent="0.3">
      <c r="A909" s="15" t="s">
        <v>3394</v>
      </c>
      <c r="B909" s="15" t="s">
        <v>3395</v>
      </c>
      <c r="C909" s="18" t="s">
        <v>28</v>
      </c>
      <c r="D909" s="15" t="s">
        <v>3396</v>
      </c>
      <c r="E909" s="18" t="s">
        <v>28</v>
      </c>
      <c r="F909" s="19" t="s">
        <v>28</v>
      </c>
      <c r="G909" s="19" t="s">
        <v>28</v>
      </c>
      <c r="H909" s="19" t="s">
        <v>28</v>
      </c>
      <c r="I909" s="18" t="s">
        <v>28</v>
      </c>
      <c r="J909" s="18" t="s">
        <v>28</v>
      </c>
      <c r="K909" s="18" t="s">
        <v>28</v>
      </c>
      <c r="L909" s="18" t="s">
        <v>28</v>
      </c>
      <c r="M909" s="18" t="s">
        <v>28</v>
      </c>
      <c r="N909" s="17">
        <v>45341</v>
      </c>
      <c r="O909" s="15" t="s">
        <v>52</v>
      </c>
      <c r="P909" s="16" t="s">
        <v>3375</v>
      </c>
      <c r="Q909" s="15" t="s">
        <v>119</v>
      </c>
      <c r="R909" s="13" t="str">
        <f>HYPERLINK("https://my.pitchbook.com?c=252740-80T","View Company Online")</f>
        <v>View Company Online</v>
      </c>
    </row>
    <row r="910" spans="1:18" hidden="1" x14ac:dyDescent="0.3">
      <c r="A910" s="9" t="s">
        <v>3397</v>
      </c>
      <c r="B910" s="9" t="s">
        <v>3095</v>
      </c>
      <c r="C910" s="11" t="s">
        <v>28</v>
      </c>
      <c r="D910" s="9" t="s">
        <v>3096</v>
      </c>
      <c r="E910" s="11" t="s">
        <v>28</v>
      </c>
      <c r="F910" s="10" t="s">
        <v>28</v>
      </c>
      <c r="G910" s="10" t="s">
        <v>28</v>
      </c>
      <c r="H910" s="10" t="s">
        <v>28</v>
      </c>
      <c r="I910" s="11" t="s">
        <v>28</v>
      </c>
      <c r="J910" s="11" t="s">
        <v>28</v>
      </c>
      <c r="K910" s="11" t="s">
        <v>28</v>
      </c>
      <c r="L910" s="11" t="s">
        <v>28</v>
      </c>
      <c r="M910" s="11" t="s">
        <v>28</v>
      </c>
      <c r="N910" s="8">
        <v>45341</v>
      </c>
      <c r="O910" s="9" t="s">
        <v>52</v>
      </c>
      <c r="P910" s="12" t="s">
        <v>3375</v>
      </c>
      <c r="Q910" s="9" t="s">
        <v>404</v>
      </c>
      <c r="R910" s="14" t="str">
        <f>HYPERLINK("https://my.pitchbook.com?c=252745-39T","View Company Online")</f>
        <v>View Company Online</v>
      </c>
    </row>
    <row r="911" spans="1:18" hidden="1" x14ac:dyDescent="0.3">
      <c r="A911" s="15" t="s">
        <v>3398</v>
      </c>
      <c r="B911" s="15" t="s">
        <v>3399</v>
      </c>
      <c r="C911" s="18" t="s">
        <v>28</v>
      </c>
      <c r="D911" s="15" t="s">
        <v>3400</v>
      </c>
      <c r="E911" s="18" t="s">
        <v>28</v>
      </c>
      <c r="F911" s="19" t="s">
        <v>28</v>
      </c>
      <c r="G911" s="19" t="s">
        <v>28</v>
      </c>
      <c r="H911" s="19" t="s">
        <v>28</v>
      </c>
      <c r="I911" s="18" t="s">
        <v>28</v>
      </c>
      <c r="J911" s="18" t="s">
        <v>28</v>
      </c>
      <c r="K911" s="18" t="s">
        <v>28</v>
      </c>
      <c r="L911" s="18" t="s">
        <v>28</v>
      </c>
      <c r="M911" s="18" t="s">
        <v>28</v>
      </c>
      <c r="N911" s="17">
        <v>45341</v>
      </c>
      <c r="O911" s="15" t="s">
        <v>173</v>
      </c>
      <c r="P911" s="16" t="s">
        <v>28</v>
      </c>
      <c r="Q911" s="15" t="s">
        <v>174</v>
      </c>
      <c r="R911" s="13" t="str">
        <f>HYPERLINK("https://my.pitchbook.com?c=252432-19T","View Company Online")</f>
        <v>View Company Online</v>
      </c>
    </row>
    <row r="912" spans="1:18" hidden="1" x14ac:dyDescent="0.3">
      <c r="A912" s="9" t="s">
        <v>3401</v>
      </c>
      <c r="B912" s="9" t="s">
        <v>3253</v>
      </c>
      <c r="C912" s="11" t="s">
        <v>28</v>
      </c>
      <c r="D912" s="9" t="s">
        <v>3254</v>
      </c>
      <c r="E912" s="11" t="s">
        <v>28</v>
      </c>
      <c r="F912" s="10" t="s">
        <v>28</v>
      </c>
      <c r="G912" s="10" t="s">
        <v>28</v>
      </c>
      <c r="H912" s="10" t="s">
        <v>28</v>
      </c>
      <c r="I912" s="11" t="s">
        <v>28</v>
      </c>
      <c r="J912" s="11" t="s">
        <v>28</v>
      </c>
      <c r="K912" s="11" t="s">
        <v>28</v>
      </c>
      <c r="L912" s="11" t="s">
        <v>28</v>
      </c>
      <c r="M912" s="11" t="s">
        <v>28</v>
      </c>
      <c r="N912" s="8">
        <v>45341</v>
      </c>
      <c r="O912" s="9" t="s">
        <v>52</v>
      </c>
      <c r="P912" s="12" t="s">
        <v>3375</v>
      </c>
      <c r="Q912" s="9" t="s">
        <v>37</v>
      </c>
      <c r="R912" s="14" t="str">
        <f>HYPERLINK("https://my.pitchbook.com?c=252739-09T","View Company Online")</f>
        <v>View Company Online</v>
      </c>
    </row>
    <row r="913" spans="1:18" hidden="1" x14ac:dyDescent="0.3">
      <c r="A913" s="15" t="s">
        <v>3402</v>
      </c>
      <c r="B913" s="15" t="s">
        <v>3403</v>
      </c>
      <c r="C913" s="18" t="s">
        <v>28</v>
      </c>
      <c r="D913" s="15" t="s">
        <v>3404</v>
      </c>
      <c r="E913" s="18" t="s">
        <v>28</v>
      </c>
      <c r="F913" s="19" t="s">
        <v>28</v>
      </c>
      <c r="G913" s="19" t="s">
        <v>28</v>
      </c>
      <c r="H913" s="19" t="s">
        <v>28</v>
      </c>
      <c r="I913" s="18" t="s">
        <v>28</v>
      </c>
      <c r="J913" s="18" t="s">
        <v>28</v>
      </c>
      <c r="K913" s="18" t="s">
        <v>28</v>
      </c>
      <c r="L913" s="18" t="s">
        <v>28</v>
      </c>
      <c r="M913" s="18" t="s">
        <v>28</v>
      </c>
      <c r="N913" s="17">
        <v>45341</v>
      </c>
      <c r="O913" s="15" t="s">
        <v>52</v>
      </c>
      <c r="P913" s="16" t="s">
        <v>3375</v>
      </c>
      <c r="Q913" s="15" t="s">
        <v>37</v>
      </c>
      <c r="R913" s="13" t="str">
        <f>HYPERLINK("https://my.pitchbook.com?c=252737-65T","View Company Online")</f>
        <v>View Company Online</v>
      </c>
    </row>
    <row r="914" spans="1:18" hidden="1" x14ac:dyDescent="0.3">
      <c r="A914" s="9" t="s">
        <v>3405</v>
      </c>
      <c r="B914" s="9" t="s">
        <v>1358</v>
      </c>
      <c r="C914" s="11" t="s">
        <v>28</v>
      </c>
      <c r="D914" s="9" t="s">
        <v>1359</v>
      </c>
      <c r="E914" s="11" t="s">
        <v>28</v>
      </c>
      <c r="F914" s="10" t="s">
        <v>28</v>
      </c>
      <c r="G914" s="10" t="s">
        <v>28</v>
      </c>
      <c r="H914" s="10" t="s">
        <v>28</v>
      </c>
      <c r="I914" s="11" t="s">
        <v>28</v>
      </c>
      <c r="J914" s="11" t="s">
        <v>28</v>
      </c>
      <c r="K914" s="11" t="s">
        <v>28</v>
      </c>
      <c r="L914" s="11" t="s">
        <v>28</v>
      </c>
      <c r="M914" s="11" t="s">
        <v>28</v>
      </c>
      <c r="N914" s="8">
        <v>45341</v>
      </c>
      <c r="O914" s="9" t="s">
        <v>52</v>
      </c>
      <c r="P914" s="12" t="s">
        <v>3375</v>
      </c>
      <c r="Q914" s="9" t="s">
        <v>1361</v>
      </c>
      <c r="R914" s="14" t="str">
        <f>HYPERLINK("https://my.pitchbook.com?c=252743-95T","View Company Online")</f>
        <v>View Company Online</v>
      </c>
    </row>
    <row r="915" spans="1:18" hidden="1" x14ac:dyDescent="0.3">
      <c r="A915" s="15" t="s">
        <v>3406</v>
      </c>
      <c r="B915" s="15" t="s">
        <v>3407</v>
      </c>
      <c r="C915" s="18" t="s">
        <v>28</v>
      </c>
      <c r="D915" s="15" t="s">
        <v>3408</v>
      </c>
      <c r="E915" s="18" t="s">
        <v>28</v>
      </c>
      <c r="F915" s="19" t="s">
        <v>28</v>
      </c>
      <c r="G915" s="19" t="s">
        <v>28</v>
      </c>
      <c r="H915" s="19" t="s">
        <v>28</v>
      </c>
      <c r="I915" s="18" t="s">
        <v>28</v>
      </c>
      <c r="J915" s="18" t="s">
        <v>28</v>
      </c>
      <c r="K915" s="18" t="s">
        <v>28</v>
      </c>
      <c r="L915" s="18" t="s">
        <v>28</v>
      </c>
      <c r="M915" s="18" t="s">
        <v>28</v>
      </c>
      <c r="N915" s="17">
        <v>45341</v>
      </c>
      <c r="O915" s="15" t="s">
        <v>52</v>
      </c>
      <c r="P915" s="16" t="s">
        <v>3375</v>
      </c>
      <c r="Q915" s="15" t="s">
        <v>75</v>
      </c>
      <c r="R915" s="13" t="str">
        <f>HYPERLINK("https://my.pitchbook.com?c=252743-68T","View Company Online")</f>
        <v>View Company Online</v>
      </c>
    </row>
    <row r="916" spans="1:18" hidden="1" x14ac:dyDescent="0.3">
      <c r="A916" s="9" t="s">
        <v>3409</v>
      </c>
      <c r="B916" s="9" t="s">
        <v>3410</v>
      </c>
      <c r="C916" s="11" t="s">
        <v>28</v>
      </c>
      <c r="D916" s="9" t="s">
        <v>3411</v>
      </c>
      <c r="E916" s="11" t="s">
        <v>28</v>
      </c>
      <c r="F916" s="10" t="s">
        <v>28</v>
      </c>
      <c r="G916" s="10" t="s">
        <v>28</v>
      </c>
      <c r="H916" s="10" t="s">
        <v>28</v>
      </c>
      <c r="I916" s="11" t="s">
        <v>28</v>
      </c>
      <c r="J916" s="11" t="s">
        <v>28</v>
      </c>
      <c r="K916" s="11" t="s">
        <v>28</v>
      </c>
      <c r="L916" s="11" t="s">
        <v>28</v>
      </c>
      <c r="M916" s="11" t="s">
        <v>28</v>
      </c>
      <c r="N916" s="8">
        <v>45341</v>
      </c>
      <c r="O916" s="9" t="s">
        <v>52</v>
      </c>
      <c r="P916" s="12" t="s">
        <v>3375</v>
      </c>
      <c r="Q916" s="9" t="s">
        <v>414</v>
      </c>
      <c r="R916" s="14" t="str">
        <f>HYPERLINK("https://my.pitchbook.com?c=252738-46T","View Company Online")</f>
        <v>View Company Online</v>
      </c>
    </row>
    <row r="917" spans="1:18" hidden="1" x14ac:dyDescent="0.3">
      <c r="A917" s="15" t="s">
        <v>3412</v>
      </c>
      <c r="B917" s="15" t="s">
        <v>3149</v>
      </c>
      <c r="C917" s="18" t="s">
        <v>28</v>
      </c>
      <c r="D917" s="15" t="s">
        <v>3150</v>
      </c>
      <c r="E917" s="18" t="s">
        <v>28</v>
      </c>
      <c r="F917" s="19" t="s">
        <v>28</v>
      </c>
      <c r="G917" s="19" t="s">
        <v>28</v>
      </c>
      <c r="H917" s="19" t="s">
        <v>28</v>
      </c>
      <c r="I917" s="18" t="s">
        <v>28</v>
      </c>
      <c r="J917" s="18" t="s">
        <v>28</v>
      </c>
      <c r="K917" s="18" t="s">
        <v>28</v>
      </c>
      <c r="L917" s="18" t="s">
        <v>28</v>
      </c>
      <c r="M917" s="18" t="s">
        <v>28</v>
      </c>
      <c r="N917" s="17">
        <v>45341</v>
      </c>
      <c r="O917" s="15" t="s">
        <v>52</v>
      </c>
      <c r="P917" s="16" t="s">
        <v>3375</v>
      </c>
      <c r="Q917" s="15" t="s">
        <v>114</v>
      </c>
      <c r="R917" s="13" t="str">
        <f>HYPERLINK("https://my.pitchbook.com?c=252740-17T","View Company Online")</f>
        <v>View Company Online</v>
      </c>
    </row>
    <row r="918" spans="1:18" hidden="1" x14ac:dyDescent="0.3">
      <c r="A918" s="9" t="s">
        <v>3413</v>
      </c>
      <c r="B918" s="9" t="s">
        <v>3414</v>
      </c>
      <c r="C918" s="11" t="s">
        <v>28</v>
      </c>
      <c r="D918" s="9" t="s">
        <v>3415</v>
      </c>
      <c r="E918" s="11" t="s">
        <v>28</v>
      </c>
      <c r="F918" s="10" t="s">
        <v>28</v>
      </c>
      <c r="G918" s="10" t="s">
        <v>28</v>
      </c>
      <c r="H918" s="10" t="s">
        <v>28</v>
      </c>
      <c r="I918" s="11" t="s">
        <v>28</v>
      </c>
      <c r="J918" s="11" t="s">
        <v>28</v>
      </c>
      <c r="K918" s="11" t="s">
        <v>28</v>
      </c>
      <c r="L918" s="11" t="s">
        <v>28</v>
      </c>
      <c r="M918" s="11" t="s">
        <v>28</v>
      </c>
      <c r="N918" s="8">
        <v>45338</v>
      </c>
      <c r="O918" s="9" t="s">
        <v>52</v>
      </c>
      <c r="P918" s="12" t="s">
        <v>1970</v>
      </c>
      <c r="Q918" s="9" t="s">
        <v>1051</v>
      </c>
      <c r="R918" s="14" t="str">
        <f>HYPERLINK("https://my.pitchbook.com?c=291989-53T","View Company Online")</f>
        <v>View Company Online</v>
      </c>
    </row>
    <row r="919" spans="1:18" hidden="1" x14ac:dyDescent="0.3">
      <c r="A919" s="15" t="s">
        <v>3416</v>
      </c>
      <c r="B919" s="15" t="s">
        <v>3417</v>
      </c>
      <c r="C919" s="18" t="s">
        <v>28</v>
      </c>
      <c r="D919" s="15" t="s">
        <v>3418</v>
      </c>
      <c r="E919" s="18" t="s">
        <v>28</v>
      </c>
      <c r="F919" s="19" t="s">
        <v>28</v>
      </c>
      <c r="G919" s="19" t="s">
        <v>28</v>
      </c>
      <c r="H919" s="19" t="s">
        <v>28</v>
      </c>
      <c r="I919" s="18" t="s">
        <v>28</v>
      </c>
      <c r="J919" s="18" t="s">
        <v>28</v>
      </c>
      <c r="K919" s="18" t="s">
        <v>28</v>
      </c>
      <c r="L919" s="18" t="s">
        <v>28</v>
      </c>
      <c r="M919" s="18" t="s">
        <v>28</v>
      </c>
      <c r="N919" s="17">
        <v>45337</v>
      </c>
      <c r="O919" s="15" t="s">
        <v>30</v>
      </c>
      <c r="P919" s="16" t="s">
        <v>3419</v>
      </c>
      <c r="Q919" s="15" t="s">
        <v>1035</v>
      </c>
      <c r="R919" s="13" t="str">
        <f>HYPERLINK("https://my.pitchbook.com?c=252158-32T","View Company Online")</f>
        <v>View Company Online</v>
      </c>
    </row>
    <row r="920" spans="1:18" hidden="1" x14ac:dyDescent="0.3">
      <c r="A920" s="9" t="s">
        <v>3420</v>
      </c>
      <c r="B920" s="9" t="s">
        <v>3421</v>
      </c>
      <c r="C920" s="11" t="s">
        <v>28</v>
      </c>
      <c r="D920" s="9" t="s">
        <v>3422</v>
      </c>
      <c r="E920" s="11" t="s">
        <v>28</v>
      </c>
      <c r="F920" s="10" t="s">
        <v>28</v>
      </c>
      <c r="G920" s="10" t="s">
        <v>28</v>
      </c>
      <c r="H920" s="10" t="s">
        <v>28</v>
      </c>
      <c r="I920" s="11" t="s">
        <v>28</v>
      </c>
      <c r="J920" s="11" t="s">
        <v>28</v>
      </c>
      <c r="K920" s="11" t="s">
        <v>28</v>
      </c>
      <c r="L920" s="11" t="s">
        <v>28</v>
      </c>
      <c r="M920" s="11" t="s">
        <v>28</v>
      </c>
      <c r="N920" s="8">
        <v>45334</v>
      </c>
      <c r="O920" s="9" t="s">
        <v>99</v>
      </c>
      <c r="P920" s="12" t="s">
        <v>2235</v>
      </c>
      <c r="Q920" s="9" t="s">
        <v>235</v>
      </c>
      <c r="R920" s="14" t="str">
        <f>HYPERLINK("https://my.pitchbook.com?c=268002-46T","View Company Online")</f>
        <v>View Company Online</v>
      </c>
    </row>
    <row r="921" spans="1:18" hidden="1" x14ac:dyDescent="0.3">
      <c r="A921" s="15" t="s">
        <v>3423</v>
      </c>
      <c r="B921" s="15" t="s">
        <v>3424</v>
      </c>
      <c r="C921" s="18" t="s">
        <v>28</v>
      </c>
      <c r="D921" s="15" t="s">
        <v>3425</v>
      </c>
      <c r="E921" s="18" t="s">
        <v>28</v>
      </c>
      <c r="F921" s="19" t="s">
        <v>28</v>
      </c>
      <c r="G921" s="19">
        <v>400</v>
      </c>
      <c r="H921" s="19">
        <v>816.33</v>
      </c>
      <c r="I921" s="18" t="s">
        <v>28</v>
      </c>
      <c r="J921" s="18" t="s">
        <v>28</v>
      </c>
      <c r="K921" s="18" t="s">
        <v>28</v>
      </c>
      <c r="L921" s="18" t="s">
        <v>28</v>
      </c>
      <c r="M921" s="18" t="s">
        <v>28</v>
      </c>
      <c r="N921" s="17">
        <v>45334</v>
      </c>
      <c r="O921" s="15" t="s">
        <v>93</v>
      </c>
      <c r="P921" s="16" t="s">
        <v>3426</v>
      </c>
      <c r="Q921" s="15" t="s">
        <v>226</v>
      </c>
      <c r="R921" s="13" t="str">
        <f>HYPERLINK("https://my.pitchbook.com?c=248919-94T","View Company Online")</f>
        <v>View Company Online</v>
      </c>
    </row>
    <row r="922" spans="1:18" hidden="1" x14ac:dyDescent="0.3">
      <c r="A922" s="9" t="s">
        <v>3427</v>
      </c>
      <c r="B922" s="9" t="s">
        <v>3428</v>
      </c>
      <c r="C922" s="11" t="s">
        <v>28</v>
      </c>
      <c r="D922" s="9" t="s">
        <v>3429</v>
      </c>
      <c r="E922" s="11" t="s">
        <v>28</v>
      </c>
      <c r="F922" s="10" t="s">
        <v>28</v>
      </c>
      <c r="G922" s="10" t="s">
        <v>28</v>
      </c>
      <c r="H922" s="10" t="s">
        <v>28</v>
      </c>
      <c r="I922" s="11" t="s">
        <v>28</v>
      </c>
      <c r="J922" s="11" t="s">
        <v>28</v>
      </c>
      <c r="K922" s="11" t="s">
        <v>28</v>
      </c>
      <c r="L922" s="11" t="s">
        <v>28</v>
      </c>
      <c r="M922" s="11" t="s">
        <v>28</v>
      </c>
      <c r="N922" s="8">
        <v>45333</v>
      </c>
      <c r="O922" s="9" t="s">
        <v>52</v>
      </c>
      <c r="P922" s="12" t="s">
        <v>3430</v>
      </c>
      <c r="Q922" s="9" t="s">
        <v>114</v>
      </c>
      <c r="R922" s="14" t="str">
        <f>HYPERLINK("https://my.pitchbook.com?c=252007-66T","View Company Online")</f>
        <v>View Company Online</v>
      </c>
    </row>
    <row r="923" spans="1:18" hidden="1" x14ac:dyDescent="0.3">
      <c r="A923" s="15" t="s">
        <v>3431</v>
      </c>
      <c r="B923" s="15" t="s">
        <v>3432</v>
      </c>
      <c r="C923" s="18" t="s">
        <v>28</v>
      </c>
      <c r="D923" s="15" t="s">
        <v>3433</v>
      </c>
      <c r="E923" s="18" t="s">
        <v>28</v>
      </c>
      <c r="F923" s="19" t="s">
        <v>28</v>
      </c>
      <c r="G923" s="19">
        <v>0.81</v>
      </c>
      <c r="H923" s="19" t="s">
        <v>28</v>
      </c>
      <c r="I923" s="18" t="s">
        <v>28</v>
      </c>
      <c r="J923" s="18" t="s">
        <v>28</v>
      </c>
      <c r="K923" s="18" t="s">
        <v>28</v>
      </c>
      <c r="L923" s="18" t="s">
        <v>28</v>
      </c>
      <c r="M923" s="18" t="s">
        <v>28</v>
      </c>
      <c r="N923" s="17">
        <v>45331</v>
      </c>
      <c r="O923" s="15" t="s">
        <v>79</v>
      </c>
      <c r="P923" s="16" t="s">
        <v>3434</v>
      </c>
      <c r="Q923" s="15" t="s">
        <v>75</v>
      </c>
      <c r="R923" s="13" t="str">
        <f>HYPERLINK("https://my.pitchbook.com?c=251676-10T","View Company Online")</f>
        <v>View Company Online</v>
      </c>
    </row>
    <row r="924" spans="1:18" hidden="1" x14ac:dyDescent="0.3">
      <c r="A924" s="9" t="s">
        <v>3435</v>
      </c>
      <c r="B924" s="9" t="s">
        <v>3436</v>
      </c>
      <c r="C924" s="11" t="s">
        <v>28</v>
      </c>
      <c r="D924" s="9" t="s">
        <v>3437</v>
      </c>
      <c r="E924" s="11" t="s">
        <v>28</v>
      </c>
      <c r="F924" s="10" t="s">
        <v>28</v>
      </c>
      <c r="G924" s="10">
        <v>0.27</v>
      </c>
      <c r="H924" s="10" t="s">
        <v>28</v>
      </c>
      <c r="I924" s="11" t="s">
        <v>28</v>
      </c>
      <c r="J924" s="11" t="s">
        <v>28</v>
      </c>
      <c r="K924" s="11" t="s">
        <v>28</v>
      </c>
      <c r="L924" s="11" t="s">
        <v>28</v>
      </c>
      <c r="M924" s="11" t="s">
        <v>28</v>
      </c>
      <c r="N924" s="8">
        <v>45331</v>
      </c>
      <c r="O924" s="9" t="s">
        <v>79</v>
      </c>
      <c r="P924" s="12" t="s">
        <v>1250</v>
      </c>
      <c r="Q924" s="9" t="s">
        <v>136</v>
      </c>
      <c r="R924" s="14" t="str">
        <f>HYPERLINK("https://my.pitchbook.com?c=256575-79T","View Company Online")</f>
        <v>View Company Online</v>
      </c>
    </row>
    <row r="925" spans="1:18" hidden="1" x14ac:dyDescent="0.3">
      <c r="A925" s="15" t="s">
        <v>3438</v>
      </c>
      <c r="B925" s="15" t="s">
        <v>3439</v>
      </c>
      <c r="C925" s="18" t="s">
        <v>28</v>
      </c>
      <c r="D925" s="15" t="s">
        <v>3440</v>
      </c>
      <c r="E925" s="18" t="s">
        <v>28</v>
      </c>
      <c r="F925" s="19" t="s">
        <v>28</v>
      </c>
      <c r="G925" s="19" t="s">
        <v>28</v>
      </c>
      <c r="H925" s="19" t="s">
        <v>28</v>
      </c>
      <c r="I925" s="18" t="s">
        <v>28</v>
      </c>
      <c r="J925" s="18" t="s">
        <v>28</v>
      </c>
      <c r="K925" s="18" t="s">
        <v>28</v>
      </c>
      <c r="L925" s="18" t="s">
        <v>28</v>
      </c>
      <c r="M925" s="18" t="s">
        <v>28</v>
      </c>
      <c r="N925" s="17">
        <v>45331</v>
      </c>
      <c r="O925" s="15" t="s">
        <v>79</v>
      </c>
      <c r="P925" s="16" t="s">
        <v>611</v>
      </c>
      <c r="Q925" s="15" t="s">
        <v>75</v>
      </c>
      <c r="R925" s="13" t="str">
        <f>HYPERLINK("https://my.pitchbook.com?c=285522-13T","View Company Online")</f>
        <v>View Company Online</v>
      </c>
    </row>
    <row r="926" spans="1:18" hidden="1" x14ac:dyDescent="0.3">
      <c r="A926" s="9" t="s">
        <v>3441</v>
      </c>
      <c r="B926" s="9" t="s">
        <v>3442</v>
      </c>
      <c r="C926" s="11" t="s">
        <v>28</v>
      </c>
      <c r="D926" s="9" t="s">
        <v>3443</v>
      </c>
      <c r="E926" s="11" t="s">
        <v>28</v>
      </c>
      <c r="F926" s="10" t="s">
        <v>28</v>
      </c>
      <c r="G926" s="10" t="s">
        <v>28</v>
      </c>
      <c r="H926" s="10" t="s">
        <v>28</v>
      </c>
      <c r="I926" s="11" t="s">
        <v>28</v>
      </c>
      <c r="J926" s="11" t="s">
        <v>28</v>
      </c>
      <c r="K926" s="11" t="s">
        <v>28</v>
      </c>
      <c r="L926" s="11" t="s">
        <v>28</v>
      </c>
      <c r="M926" s="11" t="s">
        <v>28</v>
      </c>
      <c r="N926" s="8">
        <v>45331</v>
      </c>
      <c r="O926" s="9" t="s">
        <v>30</v>
      </c>
      <c r="P926" s="12" t="s">
        <v>28</v>
      </c>
      <c r="Q926" s="9" t="s">
        <v>566</v>
      </c>
      <c r="R926" s="14" t="str">
        <f>HYPERLINK("https://my.pitchbook.com?c=270715-96T","View Company Online")</f>
        <v>View Company Online</v>
      </c>
    </row>
    <row r="927" spans="1:18" hidden="1" x14ac:dyDescent="0.3">
      <c r="A927" s="15" t="s">
        <v>3444</v>
      </c>
      <c r="B927" s="15" t="s">
        <v>3445</v>
      </c>
      <c r="C927" s="18" t="s">
        <v>28</v>
      </c>
      <c r="D927" s="15" t="s">
        <v>3446</v>
      </c>
      <c r="E927" s="18" t="s">
        <v>28</v>
      </c>
      <c r="F927" s="19" t="s">
        <v>28</v>
      </c>
      <c r="G927" s="19">
        <v>0.45</v>
      </c>
      <c r="H927" s="19" t="s">
        <v>28</v>
      </c>
      <c r="I927" s="18" t="s">
        <v>28</v>
      </c>
      <c r="J927" s="18" t="s">
        <v>28</v>
      </c>
      <c r="K927" s="18" t="s">
        <v>28</v>
      </c>
      <c r="L927" s="18" t="s">
        <v>28</v>
      </c>
      <c r="M927" s="18" t="s">
        <v>28</v>
      </c>
      <c r="N927" s="17">
        <v>45330</v>
      </c>
      <c r="O927" s="15" t="s">
        <v>99</v>
      </c>
      <c r="P927" s="16" t="s">
        <v>3447</v>
      </c>
      <c r="Q927" s="15" t="s">
        <v>114</v>
      </c>
      <c r="R927" s="13" t="str">
        <f>HYPERLINK("https://my.pitchbook.com?c=248882-14T","View Company Online")</f>
        <v>View Company Online</v>
      </c>
    </row>
    <row r="928" spans="1:18" hidden="1" x14ac:dyDescent="0.3">
      <c r="A928" s="9" t="s">
        <v>3448</v>
      </c>
      <c r="B928" s="9" t="s">
        <v>3449</v>
      </c>
      <c r="C928" s="11" t="s">
        <v>28</v>
      </c>
      <c r="D928" s="9" t="s">
        <v>3450</v>
      </c>
      <c r="E928" s="11" t="s">
        <v>28</v>
      </c>
      <c r="F928" s="10" t="s">
        <v>28</v>
      </c>
      <c r="G928" s="10">
        <v>1.1200000000000001</v>
      </c>
      <c r="H928" s="10" t="s">
        <v>28</v>
      </c>
      <c r="I928" s="11" t="s">
        <v>28</v>
      </c>
      <c r="J928" s="11" t="s">
        <v>28</v>
      </c>
      <c r="K928" s="11" t="s">
        <v>28</v>
      </c>
      <c r="L928" s="11" t="s">
        <v>28</v>
      </c>
      <c r="M928" s="11" t="s">
        <v>28</v>
      </c>
      <c r="N928" s="8">
        <v>45330</v>
      </c>
      <c r="O928" s="9" t="s">
        <v>79</v>
      </c>
      <c r="P928" s="12" t="s">
        <v>3451</v>
      </c>
      <c r="Q928" s="9" t="s">
        <v>75</v>
      </c>
      <c r="R928" s="14" t="str">
        <f>HYPERLINK("https://my.pitchbook.com?c=251561-26T","View Company Online")</f>
        <v>View Company Online</v>
      </c>
    </row>
    <row r="929" spans="1:18" hidden="1" x14ac:dyDescent="0.3">
      <c r="A929" s="15" t="s">
        <v>3452</v>
      </c>
      <c r="B929" s="15" t="s">
        <v>3453</v>
      </c>
      <c r="C929" s="18" t="s">
        <v>28</v>
      </c>
      <c r="D929" s="15" t="s">
        <v>3454</v>
      </c>
      <c r="E929" s="18" t="s">
        <v>28</v>
      </c>
      <c r="F929" s="19" t="s">
        <v>28</v>
      </c>
      <c r="G929" s="19" t="s">
        <v>28</v>
      </c>
      <c r="H929" s="19" t="s">
        <v>28</v>
      </c>
      <c r="I929" s="18" t="s">
        <v>28</v>
      </c>
      <c r="J929" s="18" t="s">
        <v>28</v>
      </c>
      <c r="K929" s="18" t="s">
        <v>28</v>
      </c>
      <c r="L929" s="18" t="s">
        <v>28</v>
      </c>
      <c r="M929" s="18" t="s">
        <v>28</v>
      </c>
      <c r="N929" s="17">
        <v>45330</v>
      </c>
      <c r="O929" s="15" t="s">
        <v>73</v>
      </c>
      <c r="P929" s="16" t="s">
        <v>611</v>
      </c>
      <c r="Q929" s="15" t="s">
        <v>75</v>
      </c>
      <c r="R929" s="13" t="str">
        <f>HYPERLINK("https://my.pitchbook.com?c=256076-65T","View Company Online")</f>
        <v>View Company Online</v>
      </c>
    </row>
    <row r="930" spans="1:18" hidden="1" x14ac:dyDescent="0.3">
      <c r="A930" s="9" t="s">
        <v>3455</v>
      </c>
      <c r="B930" s="9" t="s">
        <v>3456</v>
      </c>
      <c r="C930" s="11" t="s">
        <v>28</v>
      </c>
      <c r="D930" s="9" t="s">
        <v>3457</v>
      </c>
      <c r="E930" s="11" t="s">
        <v>28</v>
      </c>
      <c r="F930" s="10" t="s">
        <v>28</v>
      </c>
      <c r="G930" s="10" t="s">
        <v>28</v>
      </c>
      <c r="H930" s="10" t="s">
        <v>28</v>
      </c>
      <c r="I930" s="11" t="s">
        <v>28</v>
      </c>
      <c r="J930" s="11" t="s">
        <v>28</v>
      </c>
      <c r="K930" s="11" t="s">
        <v>28</v>
      </c>
      <c r="L930" s="11" t="s">
        <v>28</v>
      </c>
      <c r="M930" s="11" t="s">
        <v>28</v>
      </c>
      <c r="N930" s="8">
        <v>45329</v>
      </c>
      <c r="O930" s="9" t="s">
        <v>173</v>
      </c>
      <c r="P930" s="12" t="s">
        <v>28</v>
      </c>
      <c r="Q930" s="9" t="s">
        <v>174</v>
      </c>
      <c r="R930" s="14" t="str">
        <f>HYPERLINK("https://my.pitchbook.com?c=251767-99T","View Company Online")</f>
        <v>View Company Online</v>
      </c>
    </row>
    <row r="931" spans="1:18" hidden="1" x14ac:dyDescent="0.3">
      <c r="A931" s="15" t="s">
        <v>3458</v>
      </c>
      <c r="B931" s="15" t="s">
        <v>3459</v>
      </c>
      <c r="C931" s="18" t="s">
        <v>28</v>
      </c>
      <c r="D931" s="15" t="s">
        <v>3460</v>
      </c>
      <c r="E931" s="18" t="s">
        <v>28</v>
      </c>
      <c r="F931" s="19" t="s">
        <v>28</v>
      </c>
      <c r="G931" s="19" t="s">
        <v>28</v>
      </c>
      <c r="H931" s="19" t="s">
        <v>28</v>
      </c>
      <c r="I931" s="18" t="s">
        <v>28</v>
      </c>
      <c r="J931" s="18" t="s">
        <v>28</v>
      </c>
      <c r="K931" s="18" t="s">
        <v>28</v>
      </c>
      <c r="L931" s="18" t="s">
        <v>28</v>
      </c>
      <c r="M931" s="18" t="s">
        <v>28</v>
      </c>
      <c r="N931" s="17">
        <v>45329</v>
      </c>
      <c r="O931" s="15" t="s">
        <v>30</v>
      </c>
      <c r="P931" s="16" t="s">
        <v>3461</v>
      </c>
      <c r="Q931" s="15" t="s">
        <v>43</v>
      </c>
      <c r="R931" s="13" t="str">
        <f>HYPERLINK("https://my.pitchbook.com?c=251768-53T","View Company Online")</f>
        <v>View Company Online</v>
      </c>
    </row>
    <row r="932" spans="1:18" hidden="1" x14ac:dyDescent="0.3">
      <c r="A932" s="9" t="s">
        <v>3462</v>
      </c>
      <c r="B932" s="9" t="s">
        <v>3463</v>
      </c>
      <c r="C932" s="11" t="s">
        <v>28</v>
      </c>
      <c r="D932" s="9" t="s">
        <v>3464</v>
      </c>
      <c r="E932" s="11" t="s">
        <v>28</v>
      </c>
      <c r="F932" s="10" t="s">
        <v>28</v>
      </c>
      <c r="G932" s="10">
        <v>0.61</v>
      </c>
      <c r="H932" s="10" t="s">
        <v>28</v>
      </c>
      <c r="I932" s="11" t="s">
        <v>28</v>
      </c>
      <c r="J932" s="11" t="s">
        <v>28</v>
      </c>
      <c r="K932" s="11" t="s">
        <v>28</v>
      </c>
      <c r="L932" s="11" t="s">
        <v>28</v>
      </c>
      <c r="M932" s="11" t="s">
        <v>28</v>
      </c>
      <c r="N932" s="8">
        <v>45329</v>
      </c>
      <c r="O932" s="9" t="s">
        <v>99</v>
      </c>
      <c r="P932" s="12" t="s">
        <v>3465</v>
      </c>
      <c r="Q932" s="9" t="s">
        <v>75</v>
      </c>
      <c r="R932" s="14" t="str">
        <f>HYPERLINK("https://my.pitchbook.com?c=251415-28T","View Company Online")</f>
        <v>View Company Online</v>
      </c>
    </row>
    <row r="933" spans="1:18" hidden="1" x14ac:dyDescent="0.3">
      <c r="A933" s="15" t="s">
        <v>3466</v>
      </c>
      <c r="B933" s="15" t="s">
        <v>3467</v>
      </c>
      <c r="C933" s="18" t="s">
        <v>28</v>
      </c>
      <c r="D933" s="15" t="s">
        <v>3468</v>
      </c>
      <c r="E933" s="18" t="s">
        <v>28</v>
      </c>
      <c r="F933" s="19" t="s">
        <v>28</v>
      </c>
      <c r="G933" s="19">
        <v>20.32</v>
      </c>
      <c r="H933" s="19">
        <v>20.32</v>
      </c>
      <c r="I933" s="18" t="s">
        <v>28</v>
      </c>
      <c r="J933" s="18" t="s">
        <v>28</v>
      </c>
      <c r="K933" s="18" t="s">
        <v>28</v>
      </c>
      <c r="L933" s="18" t="s">
        <v>28</v>
      </c>
      <c r="M933" s="18" t="s">
        <v>28</v>
      </c>
      <c r="N933" s="17">
        <v>45328</v>
      </c>
      <c r="O933" s="15" t="s">
        <v>30</v>
      </c>
      <c r="P933" s="16" t="s">
        <v>28</v>
      </c>
      <c r="Q933" s="15" t="s">
        <v>59</v>
      </c>
      <c r="R933" s="13" t="str">
        <f>HYPERLINK("https://my.pitchbook.com?c=235114-66T","View Company Online")</f>
        <v>View Company Online</v>
      </c>
    </row>
    <row r="934" spans="1:18" hidden="1" x14ac:dyDescent="0.3">
      <c r="A934" s="9" t="s">
        <v>3469</v>
      </c>
      <c r="B934" s="9" t="s">
        <v>3467</v>
      </c>
      <c r="C934" s="11" t="s">
        <v>28</v>
      </c>
      <c r="D934" s="9" t="s">
        <v>3468</v>
      </c>
      <c r="E934" s="11" t="s">
        <v>28</v>
      </c>
      <c r="F934" s="10" t="s">
        <v>28</v>
      </c>
      <c r="G934" s="10" t="s">
        <v>28</v>
      </c>
      <c r="H934" s="10" t="s">
        <v>28</v>
      </c>
      <c r="I934" s="11" t="s">
        <v>28</v>
      </c>
      <c r="J934" s="11" t="s">
        <v>28</v>
      </c>
      <c r="K934" s="11" t="s">
        <v>28</v>
      </c>
      <c r="L934" s="11" t="s">
        <v>28</v>
      </c>
      <c r="M934" s="11" t="s">
        <v>28</v>
      </c>
      <c r="N934" s="8">
        <v>45328</v>
      </c>
      <c r="O934" s="9" t="s">
        <v>30</v>
      </c>
      <c r="P934" s="12" t="s">
        <v>2729</v>
      </c>
      <c r="Q934" s="9" t="s">
        <v>59</v>
      </c>
      <c r="R934" s="14" t="str">
        <f>HYPERLINK("https://my.pitchbook.com?c=251357-41T","View Company Online")</f>
        <v>View Company Online</v>
      </c>
    </row>
    <row r="935" spans="1:18" hidden="1" x14ac:dyDescent="0.3">
      <c r="A935" s="15" t="s">
        <v>3470</v>
      </c>
      <c r="B935" s="15" t="s">
        <v>3471</v>
      </c>
      <c r="C935" s="18" t="s">
        <v>28</v>
      </c>
      <c r="D935" s="15" t="s">
        <v>3472</v>
      </c>
      <c r="E935" s="18" t="s">
        <v>28</v>
      </c>
      <c r="F935" s="19" t="s">
        <v>28</v>
      </c>
      <c r="G935" s="19" t="s">
        <v>28</v>
      </c>
      <c r="H935" s="19" t="s">
        <v>28</v>
      </c>
      <c r="I935" s="18" t="s">
        <v>28</v>
      </c>
      <c r="J935" s="18" t="s">
        <v>28</v>
      </c>
      <c r="K935" s="18" t="s">
        <v>28</v>
      </c>
      <c r="L935" s="18" t="s">
        <v>28</v>
      </c>
      <c r="M935" s="18" t="s">
        <v>28</v>
      </c>
      <c r="N935" s="17">
        <v>45328</v>
      </c>
      <c r="O935" s="15" t="s">
        <v>79</v>
      </c>
      <c r="P935" s="16" t="s">
        <v>3473</v>
      </c>
      <c r="Q935" s="15" t="s">
        <v>37</v>
      </c>
      <c r="R935" s="13" t="str">
        <f>HYPERLINK("https://my.pitchbook.com?c=256076-11T","View Company Online")</f>
        <v>View Company Online</v>
      </c>
    </row>
    <row r="936" spans="1:18" hidden="1" x14ac:dyDescent="0.3">
      <c r="A936" s="9" t="s">
        <v>3474</v>
      </c>
      <c r="B936" s="9" t="s">
        <v>3475</v>
      </c>
      <c r="C936" s="11" t="s">
        <v>28</v>
      </c>
      <c r="D936" s="9" t="s">
        <v>3476</v>
      </c>
      <c r="E936" s="11" t="s">
        <v>28</v>
      </c>
      <c r="F936" s="10" t="s">
        <v>28</v>
      </c>
      <c r="G936" s="10" t="s">
        <v>28</v>
      </c>
      <c r="H936" s="10" t="s">
        <v>28</v>
      </c>
      <c r="I936" s="11" t="s">
        <v>28</v>
      </c>
      <c r="J936" s="11" t="s">
        <v>28</v>
      </c>
      <c r="K936" s="11" t="s">
        <v>28</v>
      </c>
      <c r="L936" s="11" t="s">
        <v>28</v>
      </c>
      <c r="M936" s="11" t="s">
        <v>28</v>
      </c>
      <c r="N936" s="8">
        <v>45328</v>
      </c>
      <c r="O936" s="9" t="s">
        <v>173</v>
      </c>
      <c r="P936" s="12" t="s">
        <v>28</v>
      </c>
      <c r="Q936" s="9" t="s">
        <v>174</v>
      </c>
      <c r="R936" s="14" t="str">
        <f>HYPERLINK("https://my.pitchbook.com?c=251689-42T","View Company Online")</f>
        <v>View Company Online</v>
      </c>
    </row>
    <row r="937" spans="1:18" hidden="1" x14ac:dyDescent="0.3">
      <c r="A937" s="15" t="s">
        <v>3477</v>
      </c>
      <c r="B937" s="15" t="s">
        <v>3478</v>
      </c>
      <c r="C937" s="18" t="s">
        <v>28</v>
      </c>
      <c r="D937" s="15" t="s">
        <v>3479</v>
      </c>
      <c r="E937" s="18" t="s">
        <v>28</v>
      </c>
      <c r="F937" s="19" t="s">
        <v>28</v>
      </c>
      <c r="G937" s="19">
        <v>9</v>
      </c>
      <c r="H937" s="19" t="s">
        <v>28</v>
      </c>
      <c r="I937" s="18" t="s">
        <v>28</v>
      </c>
      <c r="J937" s="18" t="s">
        <v>28</v>
      </c>
      <c r="K937" s="18" t="s">
        <v>28</v>
      </c>
      <c r="L937" s="18" t="s">
        <v>28</v>
      </c>
      <c r="M937" s="18" t="s">
        <v>28</v>
      </c>
      <c r="N937" s="17">
        <v>45328</v>
      </c>
      <c r="O937" s="15" t="s">
        <v>73</v>
      </c>
      <c r="P937" s="16" t="s">
        <v>3480</v>
      </c>
      <c r="Q937" s="15" t="s">
        <v>95</v>
      </c>
      <c r="R937" s="13" t="str">
        <f>HYPERLINK("https://my.pitchbook.com?c=253142-92T","View Company Online")</f>
        <v>View Company Online</v>
      </c>
    </row>
    <row r="938" spans="1:18" hidden="1" x14ac:dyDescent="0.3">
      <c r="A938" s="9" t="s">
        <v>3481</v>
      </c>
      <c r="B938" s="9" t="s">
        <v>3482</v>
      </c>
      <c r="C938" s="11" t="s">
        <v>28</v>
      </c>
      <c r="D938" s="9" t="s">
        <v>3483</v>
      </c>
      <c r="E938" s="11" t="s">
        <v>28</v>
      </c>
      <c r="F938" s="10" t="s">
        <v>28</v>
      </c>
      <c r="G938" s="10" t="s">
        <v>28</v>
      </c>
      <c r="H938" s="10" t="s">
        <v>28</v>
      </c>
      <c r="I938" s="11" t="s">
        <v>28</v>
      </c>
      <c r="J938" s="11" t="s">
        <v>28</v>
      </c>
      <c r="K938" s="11" t="s">
        <v>28</v>
      </c>
      <c r="L938" s="11" t="s">
        <v>28</v>
      </c>
      <c r="M938" s="11" t="s">
        <v>28</v>
      </c>
      <c r="N938" s="8">
        <v>45328</v>
      </c>
      <c r="O938" s="9" t="s">
        <v>30</v>
      </c>
      <c r="P938" s="12" t="s">
        <v>3484</v>
      </c>
      <c r="Q938" s="9" t="s">
        <v>832</v>
      </c>
      <c r="R938" s="14" t="str">
        <f>HYPERLINK("https://my.pitchbook.com?c=251439-13T","View Company Online")</f>
        <v>View Company Online</v>
      </c>
    </row>
    <row r="939" spans="1:18" hidden="1" x14ac:dyDescent="0.3">
      <c r="A939" s="15" t="s">
        <v>3485</v>
      </c>
      <c r="B939" s="15" t="s">
        <v>3486</v>
      </c>
      <c r="C939" s="18" t="s">
        <v>28</v>
      </c>
      <c r="D939" s="15" t="s">
        <v>3487</v>
      </c>
      <c r="E939" s="18">
        <v>-6.07</v>
      </c>
      <c r="F939" s="19" t="s">
        <v>28</v>
      </c>
      <c r="G939" s="19">
        <v>10.1</v>
      </c>
      <c r="H939" s="19" t="s">
        <v>28</v>
      </c>
      <c r="I939" s="18">
        <v>11.5</v>
      </c>
      <c r="J939" s="18" t="s">
        <v>28</v>
      </c>
      <c r="K939" s="18">
        <v>161.57</v>
      </c>
      <c r="L939" s="18" t="s">
        <v>28</v>
      </c>
      <c r="M939" s="18">
        <v>-12.21</v>
      </c>
      <c r="N939" s="17">
        <v>45328</v>
      </c>
      <c r="O939" s="15" t="s">
        <v>159</v>
      </c>
      <c r="P939" s="16" t="s">
        <v>3488</v>
      </c>
      <c r="Q939" s="15" t="s">
        <v>263</v>
      </c>
      <c r="R939" s="13" t="str">
        <f>HYPERLINK("https://my.pitchbook.com?c=277899-49T","View Company Online")</f>
        <v>View Company Online</v>
      </c>
    </row>
    <row r="940" spans="1:18" hidden="1" x14ac:dyDescent="0.3">
      <c r="A940" s="9" t="s">
        <v>3489</v>
      </c>
      <c r="B940" s="9" t="s">
        <v>3490</v>
      </c>
      <c r="C940" s="11" t="s">
        <v>28</v>
      </c>
      <c r="D940" s="9" t="s">
        <v>3491</v>
      </c>
      <c r="E940" s="11">
        <v>-511.24</v>
      </c>
      <c r="F940" s="10" t="s">
        <v>28</v>
      </c>
      <c r="G940" s="10" t="s">
        <v>28</v>
      </c>
      <c r="H940" s="10" t="s">
        <v>28</v>
      </c>
      <c r="I940" s="11">
        <v>-450.21</v>
      </c>
      <c r="J940" s="11" t="s">
        <v>28</v>
      </c>
      <c r="K940" s="11">
        <v>1072.5</v>
      </c>
      <c r="L940" s="11" t="s">
        <v>28</v>
      </c>
      <c r="M940" s="11">
        <v>-323.54000000000002</v>
      </c>
      <c r="N940" s="8">
        <v>45327</v>
      </c>
      <c r="O940" s="9" t="s">
        <v>30</v>
      </c>
      <c r="P940" s="12" t="s">
        <v>3492</v>
      </c>
      <c r="Q940" s="9" t="s">
        <v>607</v>
      </c>
      <c r="R940" s="14" t="str">
        <f>HYPERLINK("https://my.pitchbook.com?c=250888-06T","View Company Online")</f>
        <v>View Company Online</v>
      </c>
    </row>
    <row r="941" spans="1:18" hidden="1" x14ac:dyDescent="0.3">
      <c r="A941" s="15" t="s">
        <v>3493</v>
      </c>
      <c r="B941" s="15" t="s">
        <v>3494</v>
      </c>
      <c r="C941" s="18" t="s">
        <v>28</v>
      </c>
      <c r="D941" s="15" t="s">
        <v>3495</v>
      </c>
      <c r="E941" s="18" t="s">
        <v>28</v>
      </c>
      <c r="F941" s="19" t="s">
        <v>28</v>
      </c>
      <c r="G941" s="19" t="s">
        <v>28</v>
      </c>
      <c r="H941" s="19" t="s">
        <v>28</v>
      </c>
      <c r="I941" s="18" t="s">
        <v>28</v>
      </c>
      <c r="J941" s="18" t="s">
        <v>28</v>
      </c>
      <c r="K941" s="18" t="s">
        <v>28</v>
      </c>
      <c r="L941" s="18" t="s">
        <v>28</v>
      </c>
      <c r="M941" s="18" t="s">
        <v>28</v>
      </c>
      <c r="N941" s="17">
        <v>45327</v>
      </c>
      <c r="O941" s="15" t="s">
        <v>173</v>
      </c>
      <c r="P941" s="16" t="s">
        <v>28</v>
      </c>
      <c r="Q941" s="15" t="s">
        <v>174</v>
      </c>
      <c r="R941" s="13" t="str">
        <f>HYPERLINK("https://my.pitchbook.com?c=251568-10T","View Company Online")</f>
        <v>View Company Online</v>
      </c>
    </row>
    <row r="942" spans="1:18" hidden="1" x14ac:dyDescent="0.3">
      <c r="A942" s="9" t="s">
        <v>3496</v>
      </c>
      <c r="B942" s="9" t="s">
        <v>3395</v>
      </c>
      <c r="C942" s="11" t="s">
        <v>28</v>
      </c>
      <c r="D942" s="9" t="s">
        <v>3396</v>
      </c>
      <c r="E942" s="11" t="s">
        <v>28</v>
      </c>
      <c r="F942" s="10" t="s">
        <v>28</v>
      </c>
      <c r="G942" s="10">
        <v>7.12</v>
      </c>
      <c r="H942" s="10" t="s">
        <v>28</v>
      </c>
      <c r="I942" s="11" t="s">
        <v>28</v>
      </c>
      <c r="J942" s="11" t="s">
        <v>28</v>
      </c>
      <c r="K942" s="11" t="s">
        <v>28</v>
      </c>
      <c r="L942" s="11" t="s">
        <v>28</v>
      </c>
      <c r="M942" s="11" t="s">
        <v>28</v>
      </c>
      <c r="N942" s="8">
        <v>45326</v>
      </c>
      <c r="O942" s="9" t="s">
        <v>79</v>
      </c>
      <c r="P942" s="12" t="s">
        <v>3497</v>
      </c>
      <c r="Q942" s="9" t="s">
        <v>119</v>
      </c>
      <c r="R942" s="14" t="str">
        <f>HYPERLINK("https://my.pitchbook.com?c=250661-17T","View Company Online")</f>
        <v>View Company Online</v>
      </c>
    </row>
    <row r="943" spans="1:18" hidden="1" x14ac:dyDescent="0.3">
      <c r="A943" s="15" t="s">
        <v>3498</v>
      </c>
      <c r="B943" s="15" t="s">
        <v>3499</v>
      </c>
      <c r="C943" s="18" t="s">
        <v>28</v>
      </c>
      <c r="D943" s="15" t="s">
        <v>3500</v>
      </c>
      <c r="E943" s="18">
        <v>1.55</v>
      </c>
      <c r="F943" s="19" t="s">
        <v>28</v>
      </c>
      <c r="G943" s="19" t="s">
        <v>28</v>
      </c>
      <c r="H943" s="19" t="s">
        <v>28</v>
      </c>
      <c r="I943" s="18">
        <v>1.55</v>
      </c>
      <c r="J943" s="18" t="s">
        <v>28</v>
      </c>
      <c r="K943" s="18">
        <v>0.08</v>
      </c>
      <c r="L943" s="18" t="s">
        <v>28</v>
      </c>
      <c r="M943" s="18">
        <v>1.55</v>
      </c>
      <c r="N943" s="17">
        <v>45324</v>
      </c>
      <c r="O943" s="15" t="s">
        <v>173</v>
      </c>
      <c r="P943" s="16" t="s">
        <v>28</v>
      </c>
      <c r="Q943" s="15" t="s">
        <v>174</v>
      </c>
      <c r="R943" s="13" t="str">
        <f>HYPERLINK("https://my.pitchbook.com?c=269943-85T","View Company Online")</f>
        <v>View Company Online</v>
      </c>
    </row>
    <row r="944" spans="1:18" hidden="1" x14ac:dyDescent="0.3">
      <c r="A944" s="9" t="s">
        <v>3501</v>
      </c>
      <c r="B944" s="9" t="s">
        <v>3502</v>
      </c>
      <c r="C944" s="11" t="s">
        <v>28</v>
      </c>
      <c r="D944" s="9" t="s">
        <v>3503</v>
      </c>
      <c r="E944" s="11" t="s">
        <v>28</v>
      </c>
      <c r="F944" s="10" t="s">
        <v>28</v>
      </c>
      <c r="G944" s="10" t="s">
        <v>28</v>
      </c>
      <c r="H944" s="10" t="s">
        <v>28</v>
      </c>
      <c r="I944" s="11" t="s">
        <v>28</v>
      </c>
      <c r="J944" s="11" t="s">
        <v>28</v>
      </c>
      <c r="K944" s="11" t="s">
        <v>28</v>
      </c>
      <c r="L944" s="11" t="s">
        <v>28</v>
      </c>
      <c r="M944" s="11" t="s">
        <v>28</v>
      </c>
      <c r="N944" s="8">
        <v>45324</v>
      </c>
      <c r="O944" s="9" t="s">
        <v>30</v>
      </c>
      <c r="P944" s="12" t="s">
        <v>3504</v>
      </c>
      <c r="Q944" s="9" t="s">
        <v>114</v>
      </c>
      <c r="R944" s="14" t="str">
        <f>HYPERLINK("https://my.pitchbook.com?c=251801-38T","View Company Online")</f>
        <v>View Company Online</v>
      </c>
    </row>
    <row r="945" spans="1:18" hidden="1" x14ac:dyDescent="0.3">
      <c r="A945" s="15" t="s">
        <v>3505</v>
      </c>
      <c r="B945" s="15" t="s">
        <v>3506</v>
      </c>
      <c r="C945" s="18" t="s">
        <v>28</v>
      </c>
      <c r="D945" s="15" t="s">
        <v>3507</v>
      </c>
      <c r="E945" s="18" t="s">
        <v>28</v>
      </c>
      <c r="F945" s="19">
        <v>1.02</v>
      </c>
      <c r="G945" s="19">
        <v>0.61</v>
      </c>
      <c r="H945" s="19">
        <v>1.02</v>
      </c>
      <c r="I945" s="18" t="s">
        <v>28</v>
      </c>
      <c r="J945" s="18" t="s">
        <v>28</v>
      </c>
      <c r="K945" s="18" t="s">
        <v>28</v>
      </c>
      <c r="L945" s="18" t="s">
        <v>28</v>
      </c>
      <c r="M945" s="18" t="s">
        <v>28</v>
      </c>
      <c r="N945" s="17">
        <v>45323</v>
      </c>
      <c r="O945" s="15" t="s">
        <v>30</v>
      </c>
      <c r="P945" s="16" t="s">
        <v>28</v>
      </c>
      <c r="Q945" s="15" t="s">
        <v>566</v>
      </c>
      <c r="R945" s="13" t="str">
        <f>HYPERLINK("https://my.pitchbook.com?c=274751-56T","View Company Online")</f>
        <v>View Company Online</v>
      </c>
    </row>
    <row r="946" spans="1:18" hidden="1" x14ac:dyDescent="0.3">
      <c r="A946" s="9" t="s">
        <v>3508</v>
      </c>
      <c r="B946" s="9" t="s">
        <v>3509</v>
      </c>
      <c r="C946" s="11" t="s">
        <v>28</v>
      </c>
      <c r="D946" s="9" t="s">
        <v>3510</v>
      </c>
      <c r="E946" s="11" t="s">
        <v>28</v>
      </c>
      <c r="F946" s="10" t="s">
        <v>28</v>
      </c>
      <c r="G946" s="10">
        <v>0.02</v>
      </c>
      <c r="H946" s="10" t="s">
        <v>28</v>
      </c>
      <c r="I946" s="11" t="s">
        <v>28</v>
      </c>
      <c r="J946" s="11" t="s">
        <v>28</v>
      </c>
      <c r="K946" s="11" t="s">
        <v>28</v>
      </c>
      <c r="L946" s="11" t="s">
        <v>28</v>
      </c>
      <c r="M946" s="11" t="s">
        <v>28</v>
      </c>
      <c r="N946" s="8">
        <v>45323</v>
      </c>
      <c r="O946" s="9" t="s">
        <v>47</v>
      </c>
      <c r="P946" s="12" t="s">
        <v>151</v>
      </c>
      <c r="Q946" s="9" t="s">
        <v>1336</v>
      </c>
      <c r="R946" s="14" t="str">
        <f>HYPERLINK("https://my.pitchbook.com?c=255703-15T","View Company Online")</f>
        <v>View Company Online</v>
      </c>
    </row>
    <row r="947" spans="1:18" hidden="1" x14ac:dyDescent="0.3">
      <c r="A947" s="15" t="s">
        <v>3511</v>
      </c>
      <c r="B947" s="15" t="s">
        <v>3512</v>
      </c>
      <c r="C947" s="18" t="s">
        <v>28</v>
      </c>
      <c r="D947" s="15" t="s">
        <v>3513</v>
      </c>
      <c r="E947" s="18" t="s">
        <v>28</v>
      </c>
      <c r="F947" s="19" t="s">
        <v>28</v>
      </c>
      <c r="G947" s="19">
        <v>2.0299999999999998</v>
      </c>
      <c r="H947" s="19" t="s">
        <v>28</v>
      </c>
      <c r="I947" s="18" t="s">
        <v>28</v>
      </c>
      <c r="J947" s="18" t="s">
        <v>28</v>
      </c>
      <c r="K947" s="18" t="s">
        <v>28</v>
      </c>
      <c r="L947" s="18" t="s">
        <v>28</v>
      </c>
      <c r="M947" s="18" t="s">
        <v>28</v>
      </c>
      <c r="N947" s="17">
        <v>45323</v>
      </c>
      <c r="O947" s="15" t="s">
        <v>79</v>
      </c>
      <c r="P947" s="16" t="s">
        <v>3514</v>
      </c>
      <c r="Q947" s="15" t="s">
        <v>75</v>
      </c>
      <c r="R947" s="13" t="str">
        <f>HYPERLINK("https://my.pitchbook.com?c=251697-25T","View Company Online")</f>
        <v>View Company Online</v>
      </c>
    </row>
    <row r="948" spans="1:18" hidden="1" x14ac:dyDescent="0.3">
      <c r="A948" s="9" t="s">
        <v>3515</v>
      </c>
      <c r="B948" s="9" t="s">
        <v>3516</v>
      </c>
      <c r="C948" s="11" t="s">
        <v>28</v>
      </c>
      <c r="D948" s="9" t="s">
        <v>3517</v>
      </c>
      <c r="E948" s="11">
        <v>1246.58</v>
      </c>
      <c r="F948" s="10" t="s">
        <v>28</v>
      </c>
      <c r="G948" s="10">
        <v>0.51</v>
      </c>
      <c r="H948" s="10" t="s">
        <v>28</v>
      </c>
      <c r="I948" s="11">
        <v>1562.13</v>
      </c>
      <c r="J948" s="11" t="s">
        <v>28</v>
      </c>
      <c r="K948" s="11">
        <v>5621.01</v>
      </c>
      <c r="L948" s="11" t="s">
        <v>28</v>
      </c>
      <c r="M948" s="11">
        <v>378.98</v>
      </c>
      <c r="N948" s="8">
        <v>45323</v>
      </c>
      <c r="O948" s="9" t="s">
        <v>159</v>
      </c>
      <c r="P948" s="12" t="s">
        <v>28</v>
      </c>
      <c r="Q948" s="9" t="s">
        <v>348</v>
      </c>
      <c r="R948" s="14" t="str">
        <f>HYPERLINK("https://my.pitchbook.com?c=251536-60T","View Company Online")</f>
        <v>View Company Online</v>
      </c>
    </row>
    <row r="949" spans="1:18" hidden="1" x14ac:dyDescent="0.3">
      <c r="A949" s="15" t="s">
        <v>3518</v>
      </c>
      <c r="B949" s="15" t="s">
        <v>3519</v>
      </c>
      <c r="C949" s="18" t="s">
        <v>28</v>
      </c>
      <c r="D949" s="15" t="s">
        <v>3520</v>
      </c>
      <c r="E949" s="18" t="s">
        <v>28</v>
      </c>
      <c r="F949" s="19" t="s">
        <v>28</v>
      </c>
      <c r="G949" s="19" t="s">
        <v>28</v>
      </c>
      <c r="H949" s="19" t="s">
        <v>28</v>
      </c>
      <c r="I949" s="18" t="s">
        <v>28</v>
      </c>
      <c r="J949" s="18" t="s">
        <v>28</v>
      </c>
      <c r="K949" s="18" t="s">
        <v>28</v>
      </c>
      <c r="L949" s="18" t="s">
        <v>28</v>
      </c>
      <c r="M949" s="18" t="s">
        <v>28</v>
      </c>
      <c r="N949" s="17">
        <v>45323</v>
      </c>
      <c r="O949" s="15" t="s">
        <v>52</v>
      </c>
      <c r="P949" s="16" t="s">
        <v>3521</v>
      </c>
      <c r="Q949" s="15" t="s">
        <v>95</v>
      </c>
      <c r="R949" s="13" t="str">
        <f>HYPERLINK("https://my.pitchbook.com?c=284354-92T","View Company Online")</f>
        <v>View Company Online</v>
      </c>
    </row>
    <row r="950" spans="1:18" hidden="1" x14ac:dyDescent="0.3">
      <c r="A950" s="9" t="s">
        <v>3522</v>
      </c>
      <c r="B950" s="9" t="s">
        <v>3523</v>
      </c>
      <c r="C950" s="11" t="s">
        <v>28</v>
      </c>
      <c r="D950" s="9" t="s">
        <v>3524</v>
      </c>
      <c r="E950" s="11" t="s">
        <v>28</v>
      </c>
      <c r="F950" s="10" t="s">
        <v>28</v>
      </c>
      <c r="G950" s="10" t="s">
        <v>28</v>
      </c>
      <c r="H950" s="10" t="s">
        <v>28</v>
      </c>
      <c r="I950" s="11" t="s">
        <v>28</v>
      </c>
      <c r="J950" s="11" t="s">
        <v>28</v>
      </c>
      <c r="K950" s="11" t="s">
        <v>28</v>
      </c>
      <c r="L950" s="11" t="s">
        <v>28</v>
      </c>
      <c r="M950" s="11" t="s">
        <v>28</v>
      </c>
      <c r="N950" s="8">
        <v>45323</v>
      </c>
      <c r="O950" s="9" t="s">
        <v>52</v>
      </c>
      <c r="P950" s="12" t="s">
        <v>1880</v>
      </c>
      <c r="Q950" s="9" t="s">
        <v>95</v>
      </c>
      <c r="R950" s="14" t="str">
        <f>HYPERLINK("https://my.pitchbook.com?c=261033-58T","View Company Online")</f>
        <v>View Company Online</v>
      </c>
    </row>
    <row r="951" spans="1:18" hidden="1" x14ac:dyDescent="0.3">
      <c r="A951" s="15" t="s">
        <v>3525</v>
      </c>
      <c r="B951" s="15" t="s">
        <v>3526</v>
      </c>
      <c r="C951" s="18" t="s">
        <v>28</v>
      </c>
      <c r="D951" s="15" t="s">
        <v>3527</v>
      </c>
      <c r="E951" s="18" t="s">
        <v>28</v>
      </c>
      <c r="F951" s="19" t="s">
        <v>28</v>
      </c>
      <c r="G951" s="19" t="s">
        <v>28</v>
      </c>
      <c r="H951" s="19" t="s">
        <v>28</v>
      </c>
      <c r="I951" s="18" t="s">
        <v>28</v>
      </c>
      <c r="J951" s="18" t="s">
        <v>28</v>
      </c>
      <c r="K951" s="18" t="s">
        <v>28</v>
      </c>
      <c r="L951" s="18" t="s">
        <v>28</v>
      </c>
      <c r="M951" s="18" t="s">
        <v>28</v>
      </c>
      <c r="N951" s="17">
        <v>45323</v>
      </c>
      <c r="O951" s="15" t="s">
        <v>58</v>
      </c>
      <c r="P951" s="16" t="s">
        <v>3528</v>
      </c>
      <c r="Q951" s="15" t="s">
        <v>424</v>
      </c>
      <c r="R951" s="13" t="str">
        <f>HYPERLINK("https://my.pitchbook.com?c=259923-52T","View Company Online")</f>
        <v>View Company Online</v>
      </c>
    </row>
    <row r="952" spans="1:18" hidden="1" x14ac:dyDescent="0.3">
      <c r="A952" s="9" t="s">
        <v>3529</v>
      </c>
      <c r="B952" s="9" t="s">
        <v>3530</v>
      </c>
      <c r="C952" s="11" t="s">
        <v>28</v>
      </c>
      <c r="D952" s="9" t="s">
        <v>3531</v>
      </c>
      <c r="E952" s="11" t="s">
        <v>28</v>
      </c>
      <c r="F952" s="10" t="s">
        <v>28</v>
      </c>
      <c r="G952" s="10" t="s">
        <v>28</v>
      </c>
      <c r="H952" s="10" t="s">
        <v>28</v>
      </c>
      <c r="I952" s="11" t="s">
        <v>28</v>
      </c>
      <c r="J952" s="11" t="s">
        <v>28</v>
      </c>
      <c r="K952" s="11" t="s">
        <v>28</v>
      </c>
      <c r="L952" s="11" t="s">
        <v>28</v>
      </c>
      <c r="M952" s="11" t="s">
        <v>28</v>
      </c>
      <c r="N952" s="8">
        <v>45323</v>
      </c>
      <c r="O952" s="9" t="s">
        <v>30</v>
      </c>
      <c r="P952" s="12" t="s">
        <v>28</v>
      </c>
      <c r="Q952" s="9" t="s">
        <v>1068</v>
      </c>
      <c r="R952" s="14" t="str">
        <f>HYPERLINK("https://my.pitchbook.com?c=272255-41T","View Company Online")</f>
        <v>View Company Online</v>
      </c>
    </row>
    <row r="953" spans="1:18" hidden="1" x14ac:dyDescent="0.3">
      <c r="A953" s="15" t="s">
        <v>3532</v>
      </c>
      <c r="B953" s="15" t="s">
        <v>3533</v>
      </c>
      <c r="C953" s="18" t="s">
        <v>28</v>
      </c>
      <c r="D953" s="15" t="s">
        <v>3534</v>
      </c>
      <c r="E953" s="18" t="s">
        <v>28</v>
      </c>
      <c r="F953" s="19" t="s">
        <v>28</v>
      </c>
      <c r="G953" s="19" t="s">
        <v>28</v>
      </c>
      <c r="H953" s="19" t="s">
        <v>28</v>
      </c>
      <c r="I953" s="18" t="s">
        <v>28</v>
      </c>
      <c r="J953" s="18" t="s">
        <v>28</v>
      </c>
      <c r="K953" s="18" t="s">
        <v>28</v>
      </c>
      <c r="L953" s="18" t="s">
        <v>28</v>
      </c>
      <c r="M953" s="18" t="s">
        <v>28</v>
      </c>
      <c r="N953" s="17">
        <v>45323</v>
      </c>
      <c r="O953" s="15" t="s">
        <v>99</v>
      </c>
      <c r="P953" s="16" t="s">
        <v>3535</v>
      </c>
      <c r="Q953" s="15" t="s">
        <v>75</v>
      </c>
      <c r="R953" s="13" t="str">
        <f>HYPERLINK("https://my.pitchbook.com?c=252003-16T","View Company Online")</f>
        <v>View Company Online</v>
      </c>
    </row>
    <row r="954" spans="1:18" hidden="1" x14ac:dyDescent="0.3">
      <c r="A954" s="9" t="s">
        <v>3536</v>
      </c>
      <c r="B954" s="9" t="s">
        <v>3537</v>
      </c>
      <c r="C954" s="11" t="s">
        <v>28</v>
      </c>
      <c r="D954" s="9" t="s">
        <v>3538</v>
      </c>
      <c r="E954" s="11" t="s">
        <v>28</v>
      </c>
      <c r="F954" s="10" t="s">
        <v>28</v>
      </c>
      <c r="G954" s="10" t="s">
        <v>28</v>
      </c>
      <c r="H954" s="10" t="s">
        <v>28</v>
      </c>
      <c r="I954" s="11" t="s">
        <v>28</v>
      </c>
      <c r="J954" s="11" t="s">
        <v>28</v>
      </c>
      <c r="K954" s="11" t="s">
        <v>28</v>
      </c>
      <c r="L954" s="11" t="s">
        <v>28</v>
      </c>
      <c r="M954" s="11" t="s">
        <v>28</v>
      </c>
      <c r="N954" s="8">
        <v>45323</v>
      </c>
      <c r="O954" s="9" t="s">
        <v>30</v>
      </c>
      <c r="P954" s="12" t="s">
        <v>3539</v>
      </c>
      <c r="Q954" s="9" t="s">
        <v>240</v>
      </c>
      <c r="R954" s="14" t="str">
        <f>HYPERLINK("https://my.pitchbook.com?c=251371-18T","View Company Online")</f>
        <v>View Company Online</v>
      </c>
    </row>
    <row r="955" spans="1:18" hidden="1" x14ac:dyDescent="0.3">
      <c r="A955" s="15" t="s">
        <v>3540</v>
      </c>
      <c r="B955" s="15" t="s">
        <v>3541</v>
      </c>
      <c r="C955" s="18" t="s">
        <v>28</v>
      </c>
      <c r="D955" s="15" t="s">
        <v>3542</v>
      </c>
      <c r="E955" s="18" t="s">
        <v>28</v>
      </c>
      <c r="F955" s="19" t="s">
        <v>28</v>
      </c>
      <c r="G955" s="19" t="s">
        <v>28</v>
      </c>
      <c r="H955" s="19" t="s">
        <v>28</v>
      </c>
      <c r="I955" s="18" t="s">
        <v>28</v>
      </c>
      <c r="J955" s="18" t="s">
        <v>28</v>
      </c>
      <c r="K955" s="18">
        <v>34.67</v>
      </c>
      <c r="L955" s="18" t="s">
        <v>28</v>
      </c>
      <c r="M955" s="18" t="s">
        <v>28</v>
      </c>
      <c r="N955" s="17">
        <v>45323</v>
      </c>
      <c r="O955" s="15" t="s">
        <v>30</v>
      </c>
      <c r="P955" s="16" t="s">
        <v>3543</v>
      </c>
      <c r="Q955" s="15" t="s">
        <v>136</v>
      </c>
      <c r="R955" s="13" t="str">
        <f>HYPERLINK("https://my.pitchbook.com?c=246618-55T","View Company Online")</f>
        <v>View Company Online</v>
      </c>
    </row>
    <row r="956" spans="1:18" hidden="1" x14ac:dyDescent="0.3">
      <c r="A956" s="9" t="s">
        <v>3544</v>
      </c>
      <c r="B956" s="9" t="s">
        <v>3545</v>
      </c>
      <c r="C956" s="11" t="s">
        <v>28</v>
      </c>
      <c r="D956" s="9" t="s">
        <v>3546</v>
      </c>
      <c r="E956" s="11" t="s">
        <v>28</v>
      </c>
      <c r="F956" s="10">
        <v>20.350000000000001</v>
      </c>
      <c r="G956" s="10">
        <v>10.17</v>
      </c>
      <c r="H956" s="10">
        <v>20.350000000000001</v>
      </c>
      <c r="I956" s="11" t="s">
        <v>28</v>
      </c>
      <c r="J956" s="11" t="s">
        <v>28</v>
      </c>
      <c r="K956" s="11" t="s">
        <v>28</v>
      </c>
      <c r="L956" s="11" t="s">
        <v>28</v>
      </c>
      <c r="M956" s="11" t="s">
        <v>28</v>
      </c>
      <c r="N956" s="8">
        <v>45323</v>
      </c>
      <c r="O956" s="9" t="s">
        <v>41</v>
      </c>
      <c r="P956" s="12" t="s">
        <v>3547</v>
      </c>
      <c r="Q956" s="9" t="s">
        <v>449</v>
      </c>
      <c r="R956" s="14" t="str">
        <f>HYPERLINK("https://my.pitchbook.com?c=251007-04T","View Company Online")</f>
        <v>View Company Online</v>
      </c>
    </row>
    <row r="957" spans="1:18" hidden="1" x14ac:dyDescent="0.3">
      <c r="A957" s="15" t="s">
        <v>3548</v>
      </c>
      <c r="B957" s="15" t="s">
        <v>3549</v>
      </c>
      <c r="C957" s="18" t="s">
        <v>28</v>
      </c>
      <c r="D957" s="15" t="s">
        <v>3550</v>
      </c>
      <c r="E957" s="18" t="s">
        <v>28</v>
      </c>
      <c r="F957" s="19" t="s">
        <v>28</v>
      </c>
      <c r="G957" s="19" t="s">
        <v>28</v>
      </c>
      <c r="H957" s="19" t="s">
        <v>28</v>
      </c>
      <c r="I957" s="18" t="s">
        <v>28</v>
      </c>
      <c r="J957" s="18" t="s">
        <v>28</v>
      </c>
      <c r="K957" s="18" t="s">
        <v>28</v>
      </c>
      <c r="L957" s="18" t="s">
        <v>28</v>
      </c>
      <c r="M957" s="18" t="s">
        <v>28</v>
      </c>
      <c r="N957" s="17">
        <v>45323</v>
      </c>
      <c r="O957" s="15" t="s">
        <v>73</v>
      </c>
      <c r="P957" s="16" t="s">
        <v>221</v>
      </c>
      <c r="Q957" s="15" t="s">
        <v>75</v>
      </c>
      <c r="R957" s="13" t="str">
        <f>HYPERLINK("https://my.pitchbook.com?c=265740-85T","View Company Online")</f>
        <v>View Company Online</v>
      </c>
    </row>
    <row r="958" spans="1:18" hidden="1" x14ac:dyDescent="0.3">
      <c r="A958" s="9" t="s">
        <v>3551</v>
      </c>
      <c r="B958" s="9" t="s">
        <v>3552</v>
      </c>
      <c r="C958" s="11" t="s">
        <v>28</v>
      </c>
      <c r="D958" s="9" t="s">
        <v>3553</v>
      </c>
      <c r="E958" s="11" t="s">
        <v>28</v>
      </c>
      <c r="F958" s="10" t="s">
        <v>28</v>
      </c>
      <c r="G958" s="10">
        <v>0.13</v>
      </c>
      <c r="H958" s="10">
        <v>1.25</v>
      </c>
      <c r="I958" s="11" t="s">
        <v>28</v>
      </c>
      <c r="J958" s="11" t="s">
        <v>28</v>
      </c>
      <c r="K958" s="11" t="s">
        <v>28</v>
      </c>
      <c r="L958" s="11" t="s">
        <v>28</v>
      </c>
      <c r="M958" s="11" t="s">
        <v>28</v>
      </c>
      <c r="N958" s="8">
        <v>45323</v>
      </c>
      <c r="O958" s="9" t="s">
        <v>52</v>
      </c>
      <c r="P958" s="12" t="s">
        <v>1964</v>
      </c>
      <c r="Q958" s="9" t="s">
        <v>517</v>
      </c>
      <c r="R958" s="14" t="str">
        <f>HYPERLINK("https://my.pitchbook.com?c=258241-15T","View Company Online")</f>
        <v>View Company Online</v>
      </c>
    </row>
    <row r="959" spans="1:18" hidden="1" x14ac:dyDescent="0.3">
      <c r="A959" s="15" t="s">
        <v>3554</v>
      </c>
      <c r="B959" s="15" t="s">
        <v>3555</v>
      </c>
      <c r="C959" s="18" t="s">
        <v>28</v>
      </c>
      <c r="D959" s="15" t="s">
        <v>3556</v>
      </c>
      <c r="E959" s="18" t="s">
        <v>28</v>
      </c>
      <c r="F959" s="19" t="s">
        <v>28</v>
      </c>
      <c r="G959" s="19" t="s">
        <v>28</v>
      </c>
      <c r="H959" s="19" t="s">
        <v>28</v>
      </c>
      <c r="I959" s="18" t="s">
        <v>28</v>
      </c>
      <c r="J959" s="18" t="s">
        <v>28</v>
      </c>
      <c r="K959" s="18" t="s">
        <v>28</v>
      </c>
      <c r="L959" s="18" t="s">
        <v>28</v>
      </c>
      <c r="M959" s="18" t="s">
        <v>28</v>
      </c>
      <c r="N959" s="17">
        <v>45323</v>
      </c>
      <c r="O959" s="15" t="s">
        <v>58</v>
      </c>
      <c r="P959" s="16" t="s">
        <v>3557</v>
      </c>
      <c r="Q959" s="15" t="s">
        <v>37</v>
      </c>
      <c r="R959" s="13" t="str">
        <f>HYPERLINK("https://my.pitchbook.com?c=252151-48T","View Company Online")</f>
        <v>View Company Online</v>
      </c>
    </row>
    <row r="960" spans="1:18" hidden="1" x14ac:dyDescent="0.3">
      <c r="A960" s="9" t="s">
        <v>3558</v>
      </c>
      <c r="B960" s="9" t="s">
        <v>3559</v>
      </c>
      <c r="C960" s="11" t="s">
        <v>28</v>
      </c>
      <c r="D960" s="9" t="s">
        <v>3560</v>
      </c>
      <c r="E960" s="11" t="s">
        <v>28</v>
      </c>
      <c r="F960" s="10">
        <v>23.4</v>
      </c>
      <c r="G960" s="10">
        <v>23.4</v>
      </c>
      <c r="H960" s="10">
        <v>23.4</v>
      </c>
      <c r="I960" s="11" t="s">
        <v>28</v>
      </c>
      <c r="J960" s="11" t="s">
        <v>28</v>
      </c>
      <c r="K960" s="11">
        <v>9</v>
      </c>
      <c r="L960" s="11">
        <v>2.6</v>
      </c>
      <c r="M960" s="11" t="s">
        <v>28</v>
      </c>
      <c r="N960" s="8">
        <v>45323</v>
      </c>
      <c r="O960" s="9" t="s">
        <v>30</v>
      </c>
      <c r="P960" s="12" t="s">
        <v>3561</v>
      </c>
      <c r="Q960" s="9" t="s">
        <v>75</v>
      </c>
      <c r="R960" s="14" t="str">
        <f>HYPERLINK("https://my.pitchbook.com?c=251746-66T","View Company Online")</f>
        <v>View Company Online</v>
      </c>
    </row>
    <row r="961" spans="1:18" hidden="1" x14ac:dyDescent="0.3">
      <c r="A961" s="15" t="s">
        <v>3562</v>
      </c>
      <c r="B961" s="15" t="s">
        <v>3563</v>
      </c>
      <c r="C961" s="18" t="s">
        <v>28</v>
      </c>
      <c r="D961" s="15" t="s">
        <v>3564</v>
      </c>
      <c r="E961" s="18" t="s">
        <v>28</v>
      </c>
      <c r="F961" s="19" t="s">
        <v>28</v>
      </c>
      <c r="G961" s="19">
        <v>0.08</v>
      </c>
      <c r="H961" s="19" t="s">
        <v>28</v>
      </c>
      <c r="I961" s="18" t="s">
        <v>28</v>
      </c>
      <c r="J961" s="18" t="s">
        <v>28</v>
      </c>
      <c r="K961" s="18" t="s">
        <v>28</v>
      </c>
      <c r="L961" s="18" t="s">
        <v>28</v>
      </c>
      <c r="M961" s="18" t="s">
        <v>28</v>
      </c>
      <c r="N961" s="17">
        <v>45323</v>
      </c>
      <c r="O961" s="15" t="s">
        <v>79</v>
      </c>
      <c r="P961" s="16" t="s">
        <v>221</v>
      </c>
      <c r="Q961" s="15" t="s">
        <v>75</v>
      </c>
      <c r="R961" s="13" t="str">
        <f>HYPERLINK("https://my.pitchbook.com?c=255751-12T","View Company Online")</f>
        <v>View Company Online</v>
      </c>
    </row>
    <row r="962" spans="1:18" hidden="1" x14ac:dyDescent="0.3">
      <c r="A962" s="9" t="s">
        <v>3565</v>
      </c>
      <c r="B962" s="9" t="s">
        <v>3566</v>
      </c>
      <c r="C962" s="11" t="s">
        <v>28</v>
      </c>
      <c r="D962" s="9" t="s">
        <v>3567</v>
      </c>
      <c r="E962" s="11" t="s">
        <v>28</v>
      </c>
      <c r="F962" s="10" t="s">
        <v>28</v>
      </c>
      <c r="G962" s="10">
        <v>7</v>
      </c>
      <c r="H962" s="10" t="s">
        <v>28</v>
      </c>
      <c r="I962" s="11" t="s">
        <v>28</v>
      </c>
      <c r="J962" s="11" t="s">
        <v>28</v>
      </c>
      <c r="K962" s="11" t="s">
        <v>28</v>
      </c>
      <c r="L962" s="11" t="s">
        <v>28</v>
      </c>
      <c r="M962" s="11" t="s">
        <v>28</v>
      </c>
      <c r="N962" s="8">
        <v>45323</v>
      </c>
      <c r="O962" s="9" t="s">
        <v>73</v>
      </c>
      <c r="P962" s="12" t="s">
        <v>3568</v>
      </c>
      <c r="Q962" s="9" t="s">
        <v>414</v>
      </c>
      <c r="R962" s="14" t="str">
        <f>HYPERLINK("https://my.pitchbook.com?c=250971-76T","View Company Online")</f>
        <v>View Company Online</v>
      </c>
    </row>
    <row r="963" spans="1:18" hidden="1" x14ac:dyDescent="0.3">
      <c r="A963" s="15" t="s">
        <v>3569</v>
      </c>
      <c r="B963" s="15" t="s">
        <v>3570</v>
      </c>
      <c r="C963" s="18" t="s">
        <v>28</v>
      </c>
      <c r="D963" s="15" t="s">
        <v>3571</v>
      </c>
      <c r="E963" s="18" t="s">
        <v>28</v>
      </c>
      <c r="F963" s="19" t="s">
        <v>28</v>
      </c>
      <c r="G963" s="19" t="s">
        <v>28</v>
      </c>
      <c r="H963" s="19" t="s">
        <v>28</v>
      </c>
      <c r="I963" s="18" t="s">
        <v>28</v>
      </c>
      <c r="J963" s="18" t="s">
        <v>28</v>
      </c>
      <c r="K963" s="18" t="s">
        <v>28</v>
      </c>
      <c r="L963" s="18" t="s">
        <v>28</v>
      </c>
      <c r="M963" s="18" t="s">
        <v>28</v>
      </c>
      <c r="N963" s="17">
        <v>45323</v>
      </c>
      <c r="O963" s="15" t="s">
        <v>52</v>
      </c>
      <c r="P963" s="16" t="s">
        <v>3572</v>
      </c>
      <c r="Q963" s="15" t="s">
        <v>75</v>
      </c>
      <c r="R963" s="13" t="str">
        <f>HYPERLINK("https://my.pitchbook.com?c=262722-97T","View Company Online")</f>
        <v>View Company Online</v>
      </c>
    </row>
    <row r="964" spans="1:18" hidden="1" x14ac:dyDescent="0.3">
      <c r="A964" s="9" t="s">
        <v>3573</v>
      </c>
      <c r="B964" s="9" t="s">
        <v>3574</v>
      </c>
      <c r="C964" s="11" t="s">
        <v>28</v>
      </c>
      <c r="D964" s="9" t="s">
        <v>3575</v>
      </c>
      <c r="E964" s="11" t="s">
        <v>28</v>
      </c>
      <c r="F964" s="10">
        <v>8.14</v>
      </c>
      <c r="G964" s="10">
        <v>8.14</v>
      </c>
      <c r="H964" s="10">
        <v>8.14</v>
      </c>
      <c r="I964" s="11" t="s">
        <v>28</v>
      </c>
      <c r="J964" s="11" t="s">
        <v>28</v>
      </c>
      <c r="K964" s="11" t="s">
        <v>28</v>
      </c>
      <c r="L964" s="11" t="s">
        <v>28</v>
      </c>
      <c r="M964" s="11" t="s">
        <v>28</v>
      </c>
      <c r="N964" s="8">
        <v>45322</v>
      </c>
      <c r="O964" s="9" t="s">
        <v>30</v>
      </c>
      <c r="P964" s="12" t="s">
        <v>28</v>
      </c>
      <c r="Q964" s="9" t="s">
        <v>136</v>
      </c>
      <c r="R964" s="14" t="str">
        <f>HYPERLINK("https://my.pitchbook.com?c=255542-95T","View Company Online")</f>
        <v>View Company Online</v>
      </c>
    </row>
    <row r="965" spans="1:18" hidden="1" x14ac:dyDescent="0.3">
      <c r="A965" s="15" t="s">
        <v>3576</v>
      </c>
      <c r="B965" s="15" t="s">
        <v>3577</v>
      </c>
      <c r="C965" s="18" t="s">
        <v>28</v>
      </c>
      <c r="D965" s="15" t="s">
        <v>3578</v>
      </c>
      <c r="E965" s="18" t="s">
        <v>28</v>
      </c>
      <c r="F965" s="19" t="s">
        <v>28</v>
      </c>
      <c r="G965" s="19" t="s">
        <v>28</v>
      </c>
      <c r="H965" s="19" t="s">
        <v>28</v>
      </c>
      <c r="I965" s="18" t="s">
        <v>28</v>
      </c>
      <c r="J965" s="18" t="s">
        <v>28</v>
      </c>
      <c r="K965" s="18" t="s">
        <v>28</v>
      </c>
      <c r="L965" s="18" t="s">
        <v>28</v>
      </c>
      <c r="M965" s="18" t="s">
        <v>28</v>
      </c>
      <c r="N965" s="17">
        <v>45322</v>
      </c>
      <c r="O965" s="15" t="s">
        <v>41</v>
      </c>
      <c r="P965" s="16" t="s">
        <v>3579</v>
      </c>
      <c r="Q965" s="15" t="s">
        <v>3580</v>
      </c>
      <c r="R965" s="13" t="str">
        <f>HYPERLINK("https://my.pitchbook.com?c=250838-92T","View Company Online")</f>
        <v>View Company Online</v>
      </c>
    </row>
    <row r="966" spans="1:18" hidden="1" x14ac:dyDescent="0.3">
      <c r="A966" s="9" t="s">
        <v>3581</v>
      </c>
      <c r="B966" s="9" t="s">
        <v>3582</v>
      </c>
      <c r="C966" s="11" t="s">
        <v>28</v>
      </c>
      <c r="D966" s="9" t="s">
        <v>3583</v>
      </c>
      <c r="E966" s="11">
        <v>-4.07</v>
      </c>
      <c r="F966" s="10" t="s">
        <v>28</v>
      </c>
      <c r="G966" s="10" t="s">
        <v>28</v>
      </c>
      <c r="H966" s="10" t="s">
        <v>28</v>
      </c>
      <c r="I966" s="11">
        <v>-4.07</v>
      </c>
      <c r="J966" s="11" t="s">
        <v>28</v>
      </c>
      <c r="K966" s="11">
        <v>2.2599999999999998</v>
      </c>
      <c r="L966" s="11" t="s">
        <v>28</v>
      </c>
      <c r="M966" s="11">
        <v>-5.66</v>
      </c>
      <c r="N966" s="8">
        <v>45321</v>
      </c>
      <c r="O966" s="9" t="s">
        <v>173</v>
      </c>
      <c r="P966" s="12" t="s">
        <v>28</v>
      </c>
      <c r="Q966" s="9" t="s">
        <v>174</v>
      </c>
      <c r="R966" s="14" t="str">
        <f>HYPERLINK("https://my.pitchbook.com?c=251097-94T","View Company Online")</f>
        <v>View Company Online</v>
      </c>
    </row>
    <row r="967" spans="1:18" hidden="1" x14ac:dyDescent="0.3">
      <c r="A967" s="15" t="s">
        <v>3584</v>
      </c>
      <c r="B967" s="15" t="s">
        <v>3585</v>
      </c>
      <c r="C967" s="18" t="s">
        <v>28</v>
      </c>
      <c r="D967" s="15" t="s">
        <v>3586</v>
      </c>
      <c r="E967" s="18">
        <v>-3.65</v>
      </c>
      <c r="F967" s="19" t="s">
        <v>28</v>
      </c>
      <c r="G967" s="19" t="s">
        <v>28</v>
      </c>
      <c r="H967" s="19" t="s">
        <v>28</v>
      </c>
      <c r="I967" s="18">
        <v>-3.65</v>
      </c>
      <c r="J967" s="18" t="s">
        <v>28</v>
      </c>
      <c r="K967" s="18">
        <v>1.1499999999999999</v>
      </c>
      <c r="L967" s="18" t="s">
        <v>28</v>
      </c>
      <c r="M967" s="18">
        <v>-3.65</v>
      </c>
      <c r="N967" s="17">
        <v>45321</v>
      </c>
      <c r="O967" s="15" t="s">
        <v>173</v>
      </c>
      <c r="P967" s="16" t="s">
        <v>28</v>
      </c>
      <c r="Q967" s="15" t="s">
        <v>174</v>
      </c>
      <c r="R967" s="13" t="str">
        <f>HYPERLINK("https://my.pitchbook.com?c=251096-41T","View Company Online")</f>
        <v>View Company Online</v>
      </c>
    </row>
    <row r="968" spans="1:18" hidden="1" x14ac:dyDescent="0.3">
      <c r="A968" s="9" t="s">
        <v>3587</v>
      </c>
      <c r="B968" s="9" t="s">
        <v>3588</v>
      </c>
      <c r="C968" s="11" t="s">
        <v>28</v>
      </c>
      <c r="D968" s="9" t="s">
        <v>3589</v>
      </c>
      <c r="E968" s="11" t="s">
        <v>28</v>
      </c>
      <c r="F968" s="10" t="s">
        <v>28</v>
      </c>
      <c r="G968" s="10" t="s">
        <v>28</v>
      </c>
      <c r="H968" s="10" t="s">
        <v>28</v>
      </c>
      <c r="I968" s="11" t="s">
        <v>28</v>
      </c>
      <c r="J968" s="11" t="s">
        <v>28</v>
      </c>
      <c r="K968" s="11">
        <v>9.17</v>
      </c>
      <c r="L968" s="11" t="s">
        <v>28</v>
      </c>
      <c r="M968" s="11">
        <v>8.51</v>
      </c>
      <c r="N968" s="8">
        <v>45321</v>
      </c>
      <c r="O968" s="9" t="s">
        <v>173</v>
      </c>
      <c r="P968" s="12" t="s">
        <v>28</v>
      </c>
      <c r="Q968" s="9" t="s">
        <v>174</v>
      </c>
      <c r="R968" s="14" t="str">
        <f>HYPERLINK("https://my.pitchbook.com?c=251095-33T","View Company Online")</f>
        <v>View Company Online</v>
      </c>
    </row>
    <row r="969" spans="1:18" hidden="1" x14ac:dyDescent="0.3">
      <c r="A969" s="15" t="s">
        <v>3590</v>
      </c>
      <c r="B969" s="15" t="s">
        <v>3591</v>
      </c>
      <c r="C969" s="18" t="s">
        <v>28</v>
      </c>
      <c r="D969" s="15" t="s">
        <v>3592</v>
      </c>
      <c r="E969" s="18" t="s">
        <v>28</v>
      </c>
      <c r="F969" s="19" t="s">
        <v>28</v>
      </c>
      <c r="G969" s="19" t="s">
        <v>28</v>
      </c>
      <c r="H969" s="19" t="s">
        <v>28</v>
      </c>
      <c r="I969" s="18" t="s">
        <v>28</v>
      </c>
      <c r="J969" s="18" t="s">
        <v>28</v>
      </c>
      <c r="K969" s="18" t="s">
        <v>28</v>
      </c>
      <c r="L969" s="18" t="s">
        <v>28</v>
      </c>
      <c r="M969" s="18" t="s">
        <v>28</v>
      </c>
      <c r="N969" s="17">
        <v>45321</v>
      </c>
      <c r="O969" s="15" t="s">
        <v>99</v>
      </c>
      <c r="P969" s="16" t="s">
        <v>3593</v>
      </c>
      <c r="Q969" s="15" t="s">
        <v>616</v>
      </c>
      <c r="R969" s="13" t="str">
        <f>HYPERLINK("https://my.pitchbook.com?c=250676-20T","View Company Online")</f>
        <v>View Company Online</v>
      </c>
    </row>
    <row r="970" spans="1:18" hidden="1" x14ac:dyDescent="0.3">
      <c r="A970" s="9" t="s">
        <v>3594</v>
      </c>
      <c r="B970" s="9" t="s">
        <v>3595</v>
      </c>
      <c r="C970" s="11" t="s">
        <v>28</v>
      </c>
      <c r="D970" s="9" t="s">
        <v>3596</v>
      </c>
      <c r="E970" s="11" t="s">
        <v>28</v>
      </c>
      <c r="F970" s="10">
        <v>12.73</v>
      </c>
      <c r="G970" s="10">
        <v>12.73</v>
      </c>
      <c r="H970" s="10">
        <v>12.73</v>
      </c>
      <c r="I970" s="11" t="s">
        <v>28</v>
      </c>
      <c r="J970" s="11" t="s">
        <v>28</v>
      </c>
      <c r="K970" s="11" t="s">
        <v>28</v>
      </c>
      <c r="L970" s="11" t="s">
        <v>28</v>
      </c>
      <c r="M970" s="11" t="s">
        <v>28</v>
      </c>
      <c r="N970" s="8">
        <v>45321</v>
      </c>
      <c r="O970" s="9" t="s">
        <v>30</v>
      </c>
      <c r="P970" s="12" t="s">
        <v>3597</v>
      </c>
      <c r="Q970" s="9" t="s">
        <v>285</v>
      </c>
      <c r="R970" s="14" t="str">
        <f>HYPERLINK("https://my.pitchbook.com?c=252137-53T","View Company Online")</f>
        <v>View Company Online</v>
      </c>
    </row>
    <row r="971" spans="1:18" hidden="1" x14ac:dyDescent="0.3">
      <c r="A971" s="15" t="s">
        <v>3598</v>
      </c>
      <c r="B971" s="15" t="s">
        <v>3599</v>
      </c>
      <c r="C971" s="18" t="s">
        <v>28</v>
      </c>
      <c r="D971" s="15" t="s">
        <v>3600</v>
      </c>
      <c r="E971" s="18" t="s">
        <v>28</v>
      </c>
      <c r="F971" s="19" t="s">
        <v>28</v>
      </c>
      <c r="G971" s="19" t="s">
        <v>28</v>
      </c>
      <c r="H971" s="19" t="s">
        <v>28</v>
      </c>
      <c r="I971" s="18" t="s">
        <v>28</v>
      </c>
      <c r="J971" s="18" t="s">
        <v>28</v>
      </c>
      <c r="K971" s="18">
        <v>7.56</v>
      </c>
      <c r="L971" s="18" t="s">
        <v>28</v>
      </c>
      <c r="M971" s="18">
        <v>6.66</v>
      </c>
      <c r="N971" s="17">
        <v>45320</v>
      </c>
      <c r="O971" s="15" t="s">
        <v>173</v>
      </c>
      <c r="P971" s="16" t="s">
        <v>28</v>
      </c>
      <c r="Q971" s="15" t="s">
        <v>174</v>
      </c>
      <c r="R971" s="13" t="str">
        <f>HYPERLINK("https://my.pitchbook.com?c=251049-34T","View Company Online")</f>
        <v>View Company Online</v>
      </c>
    </row>
    <row r="972" spans="1:18" hidden="1" x14ac:dyDescent="0.3">
      <c r="A972" s="9" t="s">
        <v>3601</v>
      </c>
      <c r="B972" s="9" t="s">
        <v>3602</v>
      </c>
      <c r="C972" s="11" t="s">
        <v>28</v>
      </c>
      <c r="D972" s="9" t="s">
        <v>3603</v>
      </c>
      <c r="E972" s="11" t="s">
        <v>28</v>
      </c>
      <c r="F972" s="10" t="s">
        <v>28</v>
      </c>
      <c r="G972" s="10">
        <v>0.2</v>
      </c>
      <c r="H972" s="10" t="s">
        <v>28</v>
      </c>
      <c r="I972" s="11" t="s">
        <v>28</v>
      </c>
      <c r="J972" s="11" t="s">
        <v>28</v>
      </c>
      <c r="K972" s="11" t="s">
        <v>28</v>
      </c>
      <c r="L972" s="11" t="s">
        <v>28</v>
      </c>
      <c r="M972" s="11" t="s">
        <v>28</v>
      </c>
      <c r="N972" s="8">
        <v>45320</v>
      </c>
      <c r="O972" s="9" t="s">
        <v>99</v>
      </c>
      <c r="P972" s="12" t="s">
        <v>3604</v>
      </c>
      <c r="Q972" s="9" t="s">
        <v>37</v>
      </c>
      <c r="R972" s="14" t="str">
        <f>HYPERLINK("https://my.pitchbook.com?c=250516-90T","View Company Online")</f>
        <v>View Company Online</v>
      </c>
    </row>
    <row r="973" spans="1:18" hidden="1" x14ac:dyDescent="0.3">
      <c r="A973" s="15" t="s">
        <v>3605</v>
      </c>
      <c r="B973" s="15" t="s">
        <v>3606</v>
      </c>
      <c r="C973" s="18" t="s">
        <v>28</v>
      </c>
      <c r="D973" s="15" t="s">
        <v>3607</v>
      </c>
      <c r="E973" s="18" t="s">
        <v>28</v>
      </c>
      <c r="F973" s="19" t="s">
        <v>28</v>
      </c>
      <c r="G973" s="19" t="s">
        <v>28</v>
      </c>
      <c r="H973" s="19" t="s">
        <v>28</v>
      </c>
      <c r="I973" s="18" t="s">
        <v>28</v>
      </c>
      <c r="J973" s="18" t="s">
        <v>28</v>
      </c>
      <c r="K973" s="18">
        <v>0.73</v>
      </c>
      <c r="L973" s="18" t="s">
        <v>28</v>
      </c>
      <c r="M973" s="18">
        <v>0.3</v>
      </c>
      <c r="N973" s="17">
        <v>45320</v>
      </c>
      <c r="O973" s="15" t="s">
        <v>173</v>
      </c>
      <c r="P973" s="16" t="s">
        <v>28</v>
      </c>
      <c r="Q973" s="15" t="s">
        <v>174</v>
      </c>
      <c r="R973" s="13" t="str">
        <f>HYPERLINK("https://my.pitchbook.com?c=251086-96T","View Company Online")</f>
        <v>View Company Online</v>
      </c>
    </row>
    <row r="974" spans="1:18" hidden="1" x14ac:dyDescent="0.3">
      <c r="A974" s="9" t="s">
        <v>3608</v>
      </c>
      <c r="B974" s="9" t="s">
        <v>3609</v>
      </c>
      <c r="C974" s="11" t="s">
        <v>28</v>
      </c>
      <c r="D974" s="9" t="s">
        <v>3610</v>
      </c>
      <c r="E974" s="11">
        <v>-189.05</v>
      </c>
      <c r="F974" s="10" t="s">
        <v>28</v>
      </c>
      <c r="G974" s="10">
        <v>208.99</v>
      </c>
      <c r="H974" s="10" t="s">
        <v>28</v>
      </c>
      <c r="I974" s="11">
        <v>59.58</v>
      </c>
      <c r="J974" s="11" t="s">
        <v>28</v>
      </c>
      <c r="K974" s="11">
        <v>7356.34</v>
      </c>
      <c r="L974" s="11" t="s">
        <v>28</v>
      </c>
      <c r="M974" s="11">
        <v>-195.89</v>
      </c>
      <c r="N974" s="8">
        <v>45320</v>
      </c>
      <c r="O974" s="9" t="s">
        <v>159</v>
      </c>
      <c r="P974" s="12" t="s">
        <v>343</v>
      </c>
      <c r="Q974" s="9" t="s">
        <v>109</v>
      </c>
      <c r="R974" s="14" t="str">
        <f>HYPERLINK("https://my.pitchbook.com?c=250493-23T","View Company Online")</f>
        <v>View Company Online</v>
      </c>
    </row>
    <row r="975" spans="1:18" hidden="1" x14ac:dyDescent="0.3">
      <c r="A975" s="15" t="s">
        <v>3611</v>
      </c>
      <c r="B975" s="15" t="s">
        <v>3612</v>
      </c>
      <c r="C975" s="18" t="s">
        <v>28</v>
      </c>
      <c r="D975" s="15" t="s">
        <v>3613</v>
      </c>
      <c r="E975" s="18" t="s">
        <v>28</v>
      </c>
      <c r="F975" s="19" t="s">
        <v>28</v>
      </c>
      <c r="G975" s="19" t="s">
        <v>28</v>
      </c>
      <c r="H975" s="19" t="s">
        <v>28</v>
      </c>
      <c r="I975" s="18" t="s">
        <v>28</v>
      </c>
      <c r="J975" s="18" t="s">
        <v>28</v>
      </c>
      <c r="K975" s="18">
        <v>0.92</v>
      </c>
      <c r="L975" s="18" t="s">
        <v>28</v>
      </c>
      <c r="M975" s="18">
        <v>0.86</v>
      </c>
      <c r="N975" s="17">
        <v>45320</v>
      </c>
      <c r="O975" s="15" t="s">
        <v>173</v>
      </c>
      <c r="P975" s="16" t="s">
        <v>28</v>
      </c>
      <c r="Q975" s="15" t="s">
        <v>174</v>
      </c>
      <c r="R975" s="13" t="str">
        <f>HYPERLINK("https://my.pitchbook.com?c=251052-49T","View Company Online")</f>
        <v>View Company Online</v>
      </c>
    </row>
    <row r="976" spans="1:18" hidden="1" x14ac:dyDescent="0.3">
      <c r="A976" s="9" t="s">
        <v>3614</v>
      </c>
      <c r="B976" s="9" t="s">
        <v>3615</v>
      </c>
      <c r="C976" s="11" t="s">
        <v>28</v>
      </c>
      <c r="D976" s="9" t="s">
        <v>3616</v>
      </c>
      <c r="E976" s="11" t="s">
        <v>28</v>
      </c>
      <c r="F976" s="10" t="s">
        <v>28</v>
      </c>
      <c r="G976" s="10" t="s">
        <v>28</v>
      </c>
      <c r="H976" s="10" t="s">
        <v>28</v>
      </c>
      <c r="I976" s="11" t="s">
        <v>28</v>
      </c>
      <c r="J976" s="11" t="s">
        <v>28</v>
      </c>
      <c r="K976" s="11">
        <v>3.36</v>
      </c>
      <c r="L976" s="11" t="s">
        <v>28</v>
      </c>
      <c r="M976" s="11">
        <v>2.56</v>
      </c>
      <c r="N976" s="8">
        <v>45320</v>
      </c>
      <c r="O976" s="9" t="s">
        <v>173</v>
      </c>
      <c r="P976" s="12" t="s">
        <v>28</v>
      </c>
      <c r="Q976" s="9" t="s">
        <v>240</v>
      </c>
      <c r="R976" s="14" t="str">
        <f>HYPERLINK("https://my.pitchbook.com?c=251051-59T","View Company Online")</f>
        <v>View Company Online</v>
      </c>
    </row>
    <row r="977" spans="1:18" hidden="1" x14ac:dyDescent="0.3">
      <c r="A977" s="15" t="s">
        <v>3617</v>
      </c>
      <c r="B977" s="15" t="s">
        <v>3618</v>
      </c>
      <c r="C977" s="18" t="s">
        <v>28</v>
      </c>
      <c r="D977" s="15" t="s">
        <v>3619</v>
      </c>
      <c r="E977" s="18" t="s">
        <v>28</v>
      </c>
      <c r="F977" s="19">
        <v>31.85</v>
      </c>
      <c r="G977" s="19">
        <v>31.85</v>
      </c>
      <c r="H977" s="19">
        <v>31.85</v>
      </c>
      <c r="I977" s="18" t="s">
        <v>28</v>
      </c>
      <c r="J977" s="18" t="s">
        <v>28</v>
      </c>
      <c r="K977" s="18" t="s">
        <v>28</v>
      </c>
      <c r="L977" s="18" t="s">
        <v>28</v>
      </c>
      <c r="M977" s="18" t="s">
        <v>28</v>
      </c>
      <c r="N977" s="17">
        <v>45317</v>
      </c>
      <c r="O977" s="15" t="s">
        <v>30</v>
      </c>
      <c r="P977" s="16" t="s">
        <v>3620</v>
      </c>
      <c r="Q977" s="15" t="s">
        <v>69</v>
      </c>
      <c r="R977" s="13" t="str">
        <f>HYPERLINK("https://my.pitchbook.com?c=250614-37T","View Company Online")</f>
        <v>View Company Online</v>
      </c>
    </row>
    <row r="978" spans="1:18" hidden="1" x14ac:dyDescent="0.3">
      <c r="A978" s="9" t="s">
        <v>3621</v>
      </c>
      <c r="B978" s="9" t="s">
        <v>3622</v>
      </c>
      <c r="C978" s="11" t="s">
        <v>28</v>
      </c>
      <c r="D978" s="9" t="s">
        <v>3623</v>
      </c>
      <c r="E978" s="11" t="s">
        <v>28</v>
      </c>
      <c r="F978" s="10" t="s">
        <v>28</v>
      </c>
      <c r="G978" s="10" t="s">
        <v>28</v>
      </c>
      <c r="H978" s="10" t="s">
        <v>28</v>
      </c>
      <c r="I978" s="11" t="s">
        <v>28</v>
      </c>
      <c r="J978" s="11" t="s">
        <v>28</v>
      </c>
      <c r="K978" s="11" t="s">
        <v>28</v>
      </c>
      <c r="L978" s="11" t="s">
        <v>28</v>
      </c>
      <c r="M978" s="11" t="s">
        <v>28</v>
      </c>
      <c r="N978" s="8">
        <v>45317</v>
      </c>
      <c r="O978" s="9" t="s">
        <v>41</v>
      </c>
      <c r="P978" s="12" t="s">
        <v>3624</v>
      </c>
      <c r="Q978" s="9" t="s">
        <v>855</v>
      </c>
      <c r="R978" s="14" t="str">
        <f>HYPERLINK("https://my.pitchbook.com?c=250874-02T","View Company Online")</f>
        <v>View Company Online</v>
      </c>
    </row>
    <row r="979" spans="1:18" hidden="1" x14ac:dyDescent="0.3">
      <c r="A979" s="15" t="s">
        <v>3625</v>
      </c>
      <c r="B979" s="15" t="s">
        <v>3626</v>
      </c>
      <c r="C979" s="18" t="s">
        <v>28</v>
      </c>
      <c r="D979" s="15" t="s">
        <v>3627</v>
      </c>
      <c r="E979" s="18" t="s">
        <v>28</v>
      </c>
      <c r="F979" s="19" t="s">
        <v>28</v>
      </c>
      <c r="G979" s="19" t="s">
        <v>28</v>
      </c>
      <c r="H979" s="19" t="s">
        <v>28</v>
      </c>
      <c r="I979" s="18" t="s">
        <v>28</v>
      </c>
      <c r="J979" s="18" t="s">
        <v>28</v>
      </c>
      <c r="K979" s="18" t="s">
        <v>28</v>
      </c>
      <c r="L979" s="18" t="s">
        <v>28</v>
      </c>
      <c r="M979" s="18" t="s">
        <v>28</v>
      </c>
      <c r="N979" s="17">
        <v>45317</v>
      </c>
      <c r="O979" s="15" t="s">
        <v>79</v>
      </c>
      <c r="P979" s="16" t="s">
        <v>221</v>
      </c>
      <c r="Q979" s="15" t="s">
        <v>75</v>
      </c>
      <c r="R979" s="13" t="str">
        <f>HYPERLINK("https://my.pitchbook.com?c=265740-04T","View Company Online")</f>
        <v>View Company Online</v>
      </c>
    </row>
    <row r="980" spans="1:18" hidden="1" x14ac:dyDescent="0.3">
      <c r="A980" s="9" t="s">
        <v>3628</v>
      </c>
      <c r="B980" s="9" t="s">
        <v>3629</v>
      </c>
      <c r="C980" s="11" t="s">
        <v>28</v>
      </c>
      <c r="D980" s="9" t="s">
        <v>3630</v>
      </c>
      <c r="E980" s="11" t="s">
        <v>28</v>
      </c>
      <c r="F980" s="10" t="s">
        <v>28</v>
      </c>
      <c r="G980" s="10" t="s">
        <v>28</v>
      </c>
      <c r="H980" s="10" t="s">
        <v>28</v>
      </c>
      <c r="I980" s="11" t="s">
        <v>28</v>
      </c>
      <c r="J980" s="11" t="s">
        <v>28</v>
      </c>
      <c r="K980" s="11" t="s">
        <v>28</v>
      </c>
      <c r="L980" s="11" t="s">
        <v>28</v>
      </c>
      <c r="M980" s="11" t="s">
        <v>28</v>
      </c>
      <c r="N980" s="8">
        <v>45317</v>
      </c>
      <c r="O980" s="9" t="s">
        <v>30</v>
      </c>
      <c r="P980" s="12" t="s">
        <v>3631</v>
      </c>
      <c r="Q980" s="9" t="s">
        <v>1853</v>
      </c>
      <c r="R980" s="14" t="str">
        <f>HYPERLINK("https://my.pitchbook.com?c=252088-66T","View Company Online")</f>
        <v>View Company Online</v>
      </c>
    </row>
    <row r="981" spans="1:18" hidden="1" x14ac:dyDescent="0.3">
      <c r="A981" s="15" t="s">
        <v>3632</v>
      </c>
      <c r="B981" s="15" t="s">
        <v>3633</v>
      </c>
      <c r="C981" s="18" t="s">
        <v>28</v>
      </c>
      <c r="D981" s="15" t="s">
        <v>3634</v>
      </c>
      <c r="E981" s="18" t="s">
        <v>28</v>
      </c>
      <c r="F981" s="19" t="s">
        <v>28</v>
      </c>
      <c r="G981" s="19">
        <v>0.1</v>
      </c>
      <c r="H981" s="19" t="s">
        <v>28</v>
      </c>
      <c r="I981" s="18" t="s">
        <v>28</v>
      </c>
      <c r="J981" s="18" t="s">
        <v>28</v>
      </c>
      <c r="K981" s="18" t="s">
        <v>28</v>
      </c>
      <c r="L981" s="18" t="s">
        <v>28</v>
      </c>
      <c r="M981" s="18" t="s">
        <v>28</v>
      </c>
      <c r="N981" s="17">
        <v>45315</v>
      </c>
      <c r="O981" s="15" t="s">
        <v>52</v>
      </c>
      <c r="P981" s="16" t="s">
        <v>3635</v>
      </c>
      <c r="Q981" s="15" t="s">
        <v>419</v>
      </c>
      <c r="R981" s="13" t="str">
        <f>HYPERLINK("https://my.pitchbook.com?c=264995-83T","View Company Online")</f>
        <v>View Company Online</v>
      </c>
    </row>
    <row r="982" spans="1:18" hidden="1" x14ac:dyDescent="0.3">
      <c r="A982" s="9" t="s">
        <v>3636</v>
      </c>
      <c r="B982" s="9" t="s">
        <v>1952</v>
      </c>
      <c r="C982" s="11" t="s">
        <v>28</v>
      </c>
      <c r="D982" s="9" t="s">
        <v>1953</v>
      </c>
      <c r="E982" s="11" t="s">
        <v>28</v>
      </c>
      <c r="F982" s="10" t="s">
        <v>28</v>
      </c>
      <c r="G982" s="10">
        <v>0.92</v>
      </c>
      <c r="H982" s="10" t="s">
        <v>28</v>
      </c>
      <c r="I982" s="11" t="s">
        <v>28</v>
      </c>
      <c r="J982" s="11" t="s">
        <v>28</v>
      </c>
      <c r="K982" s="11" t="s">
        <v>28</v>
      </c>
      <c r="L982" s="11" t="s">
        <v>28</v>
      </c>
      <c r="M982" s="11" t="s">
        <v>28</v>
      </c>
      <c r="N982" s="8">
        <v>45315</v>
      </c>
      <c r="O982" s="9" t="s">
        <v>79</v>
      </c>
      <c r="P982" s="12" t="s">
        <v>3637</v>
      </c>
      <c r="Q982" s="9" t="s">
        <v>75</v>
      </c>
      <c r="R982" s="14" t="str">
        <f>HYPERLINK("https://my.pitchbook.com?c=250210-00T","View Company Online")</f>
        <v>View Company Online</v>
      </c>
    </row>
    <row r="983" spans="1:18" hidden="1" x14ac:dyDescent="0.3">
      <c r="A983" s="15" t="s">
        <v>3638</v>
      </c>
      <c r="B983" s="15" t="s">
        <v>3639</v>
      </c>
      <c r="C983" s="18" t="s">
        <v>28</v>
      </c>
      <c r="D983" s="15" t="s">
        <v>3640</v>
      </c>
      <c r="E983" s="18" t="s">
        <v>28</v>
      </c>
      <c r="F983" s="19" t="s">
        <v>28</v>
      </c>
      <c r="G983" s="19">
        <v>5.1100000000000003</v>
      </c>
      <c r="H983" s="19">
        <v>851.7</v>
      </c>
      <c r="I983" s="18" t="s">
        <v>28</v>
      </c>
      <c r="J983" s="18" t="s">
        <v>28</v>
      </c>
      <c r="K983" s="18" t="s">
        <v>28</v>
      </c>
      <c r="L983" s="18" t="s">
        <v>28</v>
      </c>
      <c r="M983" s="18" t="s">
        <v>28</v>
      </c>
      <c r="N983" s="17">
        <v>45315</v>
      </c>
      <c r="O983" s="15" t="s">
        <v>73</v>
      </c>
      <c r="P983" s="16" t="s">
        <v>3194</v>
      </c>
      <c r="Q983" s="15" t="s">
        <v>95</v>
      </c>
      <c r="R983" s="13" t="str">
        <f>HYPERLINK("https://my.pitchbook.com?c=250211-08T","View Company Online")</f>
        <v>View Company Online</v>
      </c>
    </row>
    <row r="984" spans="1:18" hidden="1" x14ac:dyDescent="0.3">
      <c r="A984" s="9" t="s">
        <v>3641</v>
      </c>
      <c r="B984" s="9" t="s">
        <v>3642</v>
      </c>
      <c r="C984" s="11" t="s">
        <v>28</v>
      </c>
      <c r="D984" s="9" t="s">
        <v>3643</v>
      </c>
      <c r="E984" s="11" t="s">
        <v>28</v>
      </c>
      <c r="F984" s="10" t="s">
        <v>28</v>
      </c>
      <c r="G984" s="10" t="s">
        <v>28</v>
      </c>
      <c r="H984" s="10" t="s">
        <v>28</v>
      </c>
      <c r="I984" s="11" t="s">
        <v>28</v>
      </c>
      <c r="J984" s="11" t="s">
        <v>28</v>
      </c>
      <c r="K984" s="11" t="s">
        <v>28</v>
      </c>
      <c r="L984" s="11" t="s">
        <v>28</v>
      </c>
      <c r="M984" s="11" t="s">
        <v>28</v>
      </c>
      <c r="N984" s="8">
        <v>45315</v>
      </c>
      <c r="O984" s="9" t="s">
        <v>30</v>
      </c>
      <c r="P984" s="12" t="s">
        <v>854</v>
      </c>
      <c r="Q984" s="9" t="s">
        <v>114</v>
      </c>
      <c r="R984" s="14" t="str">
        <f>HYPERLINK("https://my.pitchbook.com?c=251370-46T","View Company Online")</f>
        <v>View Company Online</v>
      </c>
    </row>
    <row r="985" spans="1:18" hidden="1" x14ac:dyDescent="0.3">
      <c r="A985" s="15" t="s">
        <v>3644</v>
      </c>
      <c r="B985" s="15" t="s">
        <v>3645</v>
      </c>
      <c r="C985" s="18" t="s">
        <v>28</v>
      </c>
      <c r="D985" s="15" t="s">
        <v>3646</v>
      </c>
      <c r="E985" s="18" t="s">
        <v>28</v>
      </c>
      <c r="F985" s="19">
        <v>16.37</v>
      </c>
      <c r="G985" s="19">
        <v>16.37</v>
      </c>
      <c r="H985" s="19">
        <v>16.37</v>
      </c>
      <c r="I985" s="18" t="s">
        <v>28</v>
      </c>
      <c r="J985" s="18" t="s">
        <v>28</v>
      </c>
      <c r="K985" s="18" t="s">
        <v>28</v>
      </c>
      <c r="L985" s="18" t="s">
        <v>28</v>
      </c>
      <c r="M985" s="18" t="s">
        <v>28</v>
      </c>
      <c r="N985" s="17">
        <v>45314</v>
      </c>
      <c r="O985" s="15" t="s">
        <v>30</v>
      </c>
      <c r="P985" s="16" t="s">
        <v>3647</v>
      </c>
      <c r="Q985" s="15" t="s">
        <v>136</v>
      </c>
      <c r="R985" s="13" t="str">
        <f>HYPERLINK("https://my.pitchbook.com?c=245885-05T","View Company Online")</f>
        <v>View Company Online</v>
      </c>
    </row>
    <row r="986" spans="1:18" hidden="1" x14ac:dyDescent="0.3">
      <c r="A986" s="9" t="s">
        <v>3648</v>
      </c>
      <c r="B986" s="9" t="s">
        <v>3649</v>
      </c>
      <c r="C986" s="11" t="s">
        <v>28</v>
      </c>
      <c r="D986" s="9" t="s">
        <v>3650</v>
      </c>
      <c r="E986" s="11" t="s">
        <v>28</v>
      </c>
      <c r="F986" s="10" t="s">
        <v>28</v>
      </c>
      <c r="G986" s="10" t="s">
        <v>28</v>
      </c>
      <c r="H986" s="10" t="s">
        <v>28</v>
      </c>
      <c r="I986" s="11" t="s">
        <v>28</v>
      </c>
      <c r="J986" s="11" t="s">
        <v>28</v>
      </c>
      <c r="K986" s="11" t="s">
        <v>28</v>
      </c>
      <c r="L986" s="11" t="s">
        <v>28</v>
      </c>
      <c r="M986" s="11" t="s">
        <v>28</v>
      </c>
      <c r="N986" s="8">
        <v>45314</v>
      </c>
      <c r="O986" s="9" t="s">
        <v>41</v>
      </c>
      <c r="P986" s="12" t="s">
        <v>3651</v>
      </c>
      <c r="Q986" s="9" t="s">
        <v>75</v>
      </c>
      <c r="R986" s="14" t="str">
        <f>HYPERLINK("https://my.pitchbook.com?c=250063-93T","View Company Online")</f>
        <v>View Company Online</v>
      </c>
    </row>
    <row r="987" spans="1:18" hidden="1" x14ac:dyDescent="0.3">
      <c r="A987" s="15" t="s">
        <v>3652</v>
      </c>
      <c r="B987" s="15" t="s">
        <v>3653</v>
      </c>
      <c r="C987" s="18" t="s">
        <v>28</v>
      </c>
      <c r="D987" s="15" t="s">
        <v>3654</v>
      </c>
      <c r="E987" s="18">
        <v>0.59</v>
      </c>
      <c r="F987" s="19" t="s">
        <v>28</v>
      </c>
      <c r="G987" s="19" t="s">
        <v>28</v>
      </c>
      <c r="H987" s="19" t="s">
        <v>28</v>
      </c>
      <c r="I987" s="18">
        <v>0.59</v>
      </c>
      <c r="J987" s="18" t="s">
        <v>28</v>
      </c>
      <c r="K987" s="18">
        <v>0.59</v>
      </c>
      <c r="L987" s="18" t="s">
        <v>28</v>
      </c>
      <c r="M987" s="18">
        <v>0.59</v>
      </c>
      <c r="N987" s="17">
        <v>45313</v>
      </c>
      <c r="O987" s="15" t="s">
        <v>173</v>
      </c>
      <c r="P987" s="16" t="s">
        <v>28</v>
      </c>
      <c r="Q987" s="15" t="s">
        <v>174</v>
      </c>
      <c r="R987" s="13" t="str">
        <f>HYPERLINK("https://my.pitchbook.com?c=249940-00T","View Company Online")</f>
        <v>View Company Online</v>
      </c>
    </row>
    <row r="988" spans="1:18" hidden="1" x14ac:dyDescent="0.3">
      <c r="A988" s="9" t="s">
        <v>3655</v>
      </c>
      <c r="B988" s="9" t="s">
        <v>3656</v>
      </c>
      <c r="C988" s="11" t="s">
        <v>28</v>
      </c>
      <c r="D988" s="9" t="s">
        <v>3657</v>
      </c>
      <c r="E988" s="11" t="s">
        <v>28</v>
      </c>
      <c r="F988" s="10" t="s">
        <v>28</v>
      </c>
      <c r="G988" s="10">
        <v>6.14</v>
      </c>
      <c r="H988" s="10" t="s">
        <v>28</v>
      </c>
      <c r="I988" s="11" t="s">
        <v>28</v>
      </c>
      <c r="J988" s="11" t="s">
        <v>28</v>
      </c>
      <c r="K988" s="11" t="s">
        <v>28</v>
      </c>
      <c r="L988" s="11" t="s">
        <v>28</v>
      </c>
      <c r="M988" s="11" t="s">
        <v>28</v>
      </c>
      <c r="N988" s="8">
        <v>45313</v>
      </c>
      <c r="O988" s="9" t="s">
        <v>79</v>
      </c>
      <c r="P988" s="12" t="s">
        <v>3658</v>
      </c>
      <c r="Q988" s="9" t="s">
        <v>75</v>
      </c>
      <c r="R988" s="14" t="str">
        <f>HYPERLINK("https://my.pitchbook.com?c=211538-35T","View Company Online")</f>
        <v>View Company Online</v>
      </c>
    </row>
    <row r="989" spans="1:18" hidden="1" x14ac:dyDescent="0.3">
      <c r="A989" s="15" t="s">
        <v>3659</v>
      </c>
      <c r="B989" s="15" t="s">
        <v>3660</v>
      </c>
      <c r="C989" s="18" t="s">
        <v>28</v>
      </c>
      <c r="D989" s="15" t="s">
        <v>3661</v>
      </c>
      <c r="E989" s="18" t="s">
        <v>28</v>
      </c>
      <c r="F989" s="19" t="s">
        <v>28</v>
      </c>
      <c r="G989" s="19" t="s">
        <v>28</v>
      </c>
      <c r="H989" s="19" t="s">
        <v>28</v>
      </c>
      <c r="I989" s="18" t="s">
        <v>28</v>
      </c>
      <c r="J989" s="18" t="s">
        <v>28</v>
      </c>
      <c r="K989" s="18">
        <v>20.010000000000002</v>
      </c>
      <c r="L989" s="18" t="s">
        <v>28</v>
      </c>
      <c r="M989" s="18" t="s">
        <v>28</v>
      </c>
      <c r="N989" s="17">
        <v>45313</v>
      </c>
      <c r="O989" s="15" t="s">
        <v>30</v>
      </c>
      <c r="P989" s="16" t="s">
        <v>983</v>
      </c>
      <c r="Q989" s="15" t="s">
        <v>245</v>
      </c>
      <c r="R989" s="13" t="str">
        <f>HYPERLINK("https://my.pitchbook.com?c=250109-29T","View Company Online")</f>
        <v>View Company Online</v>
      </c>
    </row>
    <row r="990" spans="1:18" hidden="1" x14ac:dyDescent="0.3">
      <c r="A990" s="9" t="s">
        <v>3662</v>
      </c>
      <c r="B990" s="9" t="s">
        <v>3663</v>
      </c>
      <c r="C990" s="11" t="s">
        <v>28</v>
      </c>
      <c r="D990" s="9" t="s">
        <v>3664</v>
      </c>
      <c r="E990" s="11" t="s">
        <v>28</v>
      </c>
      <c r="F990" s="10" t="s">
        <v>28</v>
      </c>
      <c r="G990" s="10" t="s">
        <v>28</v>
      </c>
      <c r="H990" s="10" t="s">
        <v>28</v>
      </c>
      <c r="I990" s="11" t="s">
        <v>28</v>
      </c>
      <c r="J990" s="11" t="s">
        <v>28</v>
      </c>
      <c r="K990" s="11">
        <v>520.19000000000005</v>
      </c>
      <c r="L990" s="11" t="s">
        <v>28</v>
      </c>
      <c r="M990" s="11" t="s">
        <v>28</v>
      </c>
      <c r="N990" s="8">
        <v>45310</v>
      </c>
      <c r="O990" s="9" t="s">
        <v>30</v>
      </c>
      <c r="P990" s="12" t="s">
        <v>3665</v>
      </c>
      <c r="Q990" s="9" t="s">
        <v>85</v>
      </c>
      <c r="R990" s="14" t="str">
        <f>HYPERLINK("https://my.pitchbook.com?c=249863-14T","View Company Online")</f>
        <v>View Company Online</v>
      </c>
    </row>
    <row r="991" spans="1:18" hidden="1" x14ac:dyDescent="0.3">
      <c r="A991" s="15" t="s">
        <v>3666</v>
      </c>
      <c r="B991" s="15" t="s">
        <v>3667</v>
      </c>
      <c r="C991" s="18" t="s">
        <v>28</v>
      </c>
      <c r="D991" s="15" t="s">
        <v>3668</v>
      </c>
      <c r="E991" s="18" t="s">
        <v>28</v>
      </c>
      <c r="F991" s="19" t="s">
        <v>28</v>
      </c>
      <c r="G991" s="19" t="s">
        <v>28</v>
      </c>
      <c r="H991" s="19" t="s">
        <v>28</v>
      </c>
      <c r="I991" s="18" t="s">
        <v>28</v>
      </c>
      <c r="J991" s="18" t="s">
        <v>28</v>
      </c>
      <c r="K991" s="18" t="s">
        <v>28</v>
      </c>
      <c r="L991" s="18" t="s">
        <v>28</v>
      </c>
      <c r="M991" s="18" t="s">
        <v>28</v>
      </c>
      <c r="N991" s="17">
        <v>45310</v>
      </c>
      <c r="O991" s="15" t="s">
        <v>52</v>
      </c>
      <c r="P991" s="16" t="s">
        <v>3375</v>
      </c>
      <c r="Q991" s="15" t="s">
        <v>75</v>
      </c>
      <c r="R991" s="13" t="str">
        <f>HYPERLINK("https://my.pitchbook.com?c=252738-91T","View Company Online")</f>
        <v>View Company Online</v>
      </c>
    </row>
    <row r="992" spans="1:18" hidden="1" x14ac:dyDescent="0.3">
      <c r="A992" s="9" t="s">
        <v>3669</v>
      </c>
      <c r="B992" s="9" t="s">
        <v>3670</v>
      </c>
      <c r="C992" s="11" t="s">
        <v>28</v>
      </c>
      <c r="D992" s="9" t="s">
        <v>3671</v>
      </c>
      <c r="E992" s="11" t="s">
        <v>28</v>
      </c>
      <c r="F992" s="10" t="s">
        <v>28</v>
      </c>
      <c r="G992" s="10">
        <v>10.24</v>
      </c>
      <c r="H992" s="10" t="s">
        <v>28</v>
      </c>
      <c r="I992" s="11" t="s">
        <v>28</v>
      </c>
      <c r="J992" s="11" t="s">
        <v>28</v>
      </c>
      <c r="K992" s="11" t="s">
        <v>28</v>
      </c>
      <c r="L992" s="11" t="s">
        <v>28</v>
      </c>
      <c r="M992" s="11" t="s">
        <v>28</v>
      </c>
      <c r="N992" s="8">
        <v>45310</v>
      </c>
      <c r="O992" s="9" t="s">
        <v>73</v>
      </c>
      <c r="P992" s="12" t="s">
        <v>3672</v>
      </c>
      <c r="Q992" s="9" t="s">
        <v>348</v>
      </c>
      <c r="R992" s="14" t="str">
        <f>HYPERLINK("https://my.pitchbook.com?c=255328-21T","View Company Online")</f>
        <v>View Company Online</v>
      </c>
    </row>
    <row r="993" spans="1:18" hidden="1" x14ac:dyDescent="0.3">
      <c r="A993" s="15" t="s">
        <v>3673</v>
      </c>
      <c r="B993" s="15" t="s">
        <v>3674</v>
      </c>
      <c r="C993" s="18" t="s">
        <v>28</v>
      </c>
      <c r="D993" s="15" t="s">
        <v>3675</v>
      </c>
      <c r="E993" s="18" t="s">
        <v>28</v>
      </c>
      <c r="F993" s="19">
        <v>5.69</v>
      </c>
      <c r="G993" s="19">
        <v>5.69</v>
      </c>
      <c r="H993" s="19">
        <v>5.69</v>
      </c>
      <c r="I993" s="18" t="s">
        <v>28</v>
      </c>
      <c r="J993" s="18" t="s">
        <v>28</v>
      </c>
      <c r="K993" s="18" t="s">
        <v>28</v>
      </c>
      <c r="L993" s="18" t="s">
        <v>28</v>
      </c>
      <c r="M993" s="18" t="s">
        <v>28</v>
      </c>
      <c r="N993" s="17">
        <v>45310</v>
      </c>
      <c r="O993" s="15" t="s">
        <v>30</v>
      </c>
      <c r="P993" s="16" t="s">
        <v>28</v>
      </c>
      <c r="Q993" s="15" t="s">
        <v>136</v>
      </c>
      <c r="R993" s="13" t="str">
        <f>HYPERLINK("https://my.pitchbook.com?c=249807-61T","View Company Online")</f>
        <v>View Company Online</v>
      </c>
    </row>
    <row r="994" spans="1:18" hidden="1" x14ac:dyDescent="0.3">
      <c r="A994" s="9" t="s">
        <v>3676</v>
      </c>
      <c r="B994" s="9" t="s">
        <v>3677</v>
      </c>
      <c r="C994" s="11" t="s">
        <v>28</v>
      </c>
      <c r="D994" s="9" t="s">
        <v>3678</v>
      </c>
      <c r="E994" s="11" t="s">
        <v>28</v>
      </c>
      <c r="F994" s="10" t="s">
        <v>28</v>
      </c>
      <c r="G994" s="10">
        <v>11.84</v>
      </c>
      <c r="H994" s="10" t="s">
        <v>28</v>
      </c>
      <c r="I994" s="11" t="s">
        <v>28</v>
      </c>
      <c r="J994" s="11" t="s">
        <v>28</v>
      </c>
      <c r="K994" s="11">
        <v>950.86</v>
      </c>
      <c r="L994" s="11" t="s">
        <v>28</v>
      </c>
      <c r="M994" s="11">
        <v>60.49</v>
      </c>
      <c r="N994" s="8">
        <v>45309</v>
      </c>
      <c r="O994" s="9" t="s">
        <v>423</v>
      </c>
      <c r="P994" s="12" t="s">
        <v>28</v>
      </c>
      <c r="Q994" s="9" t="s">
        <v>37</v>
      </c>
      <c r="R994" s="14" t="str">
        <f>HYPERLINK("https://my.pitchbook.com?c=250506-46T","View Company Online")</f>
        <v>View Company Online</v>
      </c>
    </row>
    <row r="995" spans="1:18" hidden="1" x14ac:dyDescent="0.3">
      <c r="A995" s="15" t="s">
        <v>3679</v>
      </c>
      <c r="B995" s="15" t="s">
        <v>3680</v>
      </c>
      <c r="C995" s="18" t="s">
        <v>28</v>
      </c>
      <c r="D995" s="15" t="s">
        <v>3681</v>
      </c>
      <c r="E995" s="18" t="s">
        <v>28</v>
      </c>
      <c r="F995" s="19" t="s">
        <v>28</v>
      </c>
      <c r="G995" s="19" t="s">
        <v>28</v>
      </c>
      <c r="H995" s="19" t="s">
        <v>28</v>
      </c>
      <c r="I995" s="18" t="s">
        <v>28</v>
      </c>
      <c r="J995" s="18" t="s">
        <v>28</v>
      </c>
      <c r="K995" s="18" t="s">
        <v>28</v>
      </c>
      <c r="L995" s="18" t="s">
        <v>28</v>
      </c>
      <c r="M995" s="18" t="s">
        <v>28</v>
      </c>
      <c r="N995" s="17">
        <v>45309</v>
      </c>
      <c r="O995" s="15" t="s">
        <v>52</v>
      </c>
      <c r="P995" s="16" t="s">
        <v>3682</v>
      </c>
      <c r="Q995" s="15" t="s">
        <v>353</v>
      </c>
      <c r="R995" s="13" t="str">
        <f>HYPERLINK("https://my.pitchbook.com?c=284567-77T","View Company Online")</f>
        <v>View Company Online</v>
      </c>
    </row>
    <row r="996" spans="1:18" hidden="1" x14ac:dyDescent="0.3">
      <c r="A996" s="9" t="s">
        <v>3683</v>
      </c>
      <c r="B996" s="9" t="s">
        <v>3684</v>
      </c>
      <c r="C996" s="11" t="s">
        <v>28</v>
      </c>
      <c r="D996" s="9" t="s">
        <v>3685</v>
      </c>
      <c r="E996" s="11" t="s">
        <v>28</v>
      </c>
      <c r="F996" s="10" t="s">
        <v>28</v>
      </c>
      <c r="G996" s="10" t="s">
        <v>28</v>
      </c>
      <c r="H996" s="10" t="s">
        <v>28</v>
      </c>
      <c r="I996" s="11" t="s">
        <v>28</v>
      </c>
      <c r="J996" s="11" t="s">
        <v>28</v>
      </c>
      <c r="K996" s="11" t="s">
        <v>28</v>
      </c>
      <c r="L996" s="11" t="s">
        <v>28</v>
      </c>
      <c r="M996" s="11" t="s">
        <v>28</v>
      </c>
      <c r="N996" s="8">
        <v>45309</v>
      </c>
      <c r="O996" s="9" t="s">
        <v>173</v>
      </c>
      <c r="P996" s="12" t="s">
        <v>28</v>
      </c>
      <c r="Q996" s="9" t="s">
        <v>174</v>
      </c>
      <c r="R996" s="14" t="str">
        <f>HYPERLINK("https://my.pitchbook.com?c=270831-25T","View Company Online")</f>
        <v>View Company Online</v>
      </c>
    </row>
    <row r="997" spans="1:18" hidden="1" x14ac:dyDescent="0.3">
      <c r="A997" s="15" t="s">
        <v>3686</v>
      </c>
      <c r="B997" s="15" t="s">
        <v>3687</v>
      </c>
      <c r="C997" s="18" t="s">
        <v>28</v>
      </c>
      <c r="D997" s="15" t="s">
        <v>3688</v>
      </c>
      <c r="E997" s="18" t="s">
        <v>28</v>
      </c>
      <c r="F997" s="19" t="s">
        <v>28</v>
      </c>
      <c r="G997" s="19" t="s">
        <v>28</v>
      </c>
      <c r="H997" s="19" t="s">
        <v>28</v>
      </c>
      <c r="I997" s="18" t="s">
        <v>28</v>
      </c>
      <c r="J997" s="18" t="s">
        <v>28</v>
      </c>
      <c r="K997" s="18" t="s">
        <v>28</v>
      </c>
      <c r="L997" s="18" t="s">
        <v>28</v>
      </c>
      <c r="M997" s="18" t="s">
        <v>28</v>
      </c>
      <c r="N997" s="17">
        <v>45308</v>
      </c>
      <c r="O997" s="15" t="s">
        <v>30</v>
      </c>
      <c r="P997" s="16" t="s">
        <v>3689</v>
      </c>
      <c r="Q997" s="15" t="s">
        <v>245</v>
      </c>
      <c r="R997" s="13" t="str">
        <f>HYPERLINK("https://my.pitchbook.com?c=249622-57T","View Company Online")</f>
        <v>View Company Online</v>
      </c>
    </row>
    <row r="998" spans="1:18" hidden="1" x14ac:dyDescent="0.3">
      <c r="A998" s="9" t="s">
        <v>3690</v>
      </c>
      <c r="B998" s="9" t="s">
        <v>601</v>
      </c>
      <c r="C998" s="11" t="s">
        <v>28</v>
      </c>
      <c r="D998" s="9" t="s">
        <v>602</v>
      </c>
      <c r="E998" s="11" t="s">
        <v>28</v>
      </c>
      <c r="F998" s="10" t="s">
        <v>28</v>
      </c>
      <c r="G998" s="10">
        <v>0.4</v>
      </c>
      <c r="H998" s="10" t="s">
        <v>28</v>
      </c>
      <c r="I998" s="11" t="s">
        <v>28</v>
      </c>
      <c r="J998" s="11" t="s">
        <v>28</v>
      </c>
      <c r="K998" s="11" t="s">
        <v>28</v>
      </c>
      <c r="L998" s="11" t="s">
        <v>28</v>
      </c>
      <c r="M998" s="11" t="s">
        <v>28</v>
      </c>
      <c r="N998" s="8">
        <v>45308</v>
      </c>
      <c r="O998" s="9" t="s">
        <v>379</v>
      </c>
      <c r="P998" s="12" t="s">
        <v>28</v>
      </c>
      <c r="Q998" s="9" t="s">
        <v>85</v>
      </c>
      <c r="R998" s="14" t="str">
        <f>HYPERLINK("https://my.pitchbook.com?c=249589-18T","View Company Online")</f>
        <v>View Company Online</v>
      </c>
    </row>
    <row r="999" spans="1:18" hidden="1" x14ac:dyDescent="0.3">
      <c r="A999" s="15" t="s">
        <v>3691</v>
      </c>
      <c r="B999" s="15" t="s">
        <v>3692</v>
      </c>
      <c r="C999" s="18" t="s">
        <v>28</v>
      </c>
      <c r="D999" s="15" t="s">
        <v>3693</v>
      </c>
      <c r="E999" s="18" t="s">
        <v>28</v>
      </c>
      <c r="F999" s="19" t="s">
        <v>28</v>
      </c>
      <c r="G999" s="19" t="s">
        <v>28</v>
      </c>
      <c r="H999" s="19" t="s">
        <v>28</v>
      </c>
      <c r="I999" s="18" t="s">
        <v>28</v>
      </c>
      <c r="J999" s="18" t="s">
        <v>28</v>
      </c>
      <c r="K999" s="18">
        <v>37.869999999999997</v>
      </c>
      <c r="L999" s="18" t="s">
        <v>28</v>
      </c>
      <c r="M999" s="18" t="s">
        <v>28</v>
      </c>
      <c r="N999" s="17">
        <v>45307</v>
      </c>
      <c r="O999" s="15" t="s">
        <v>41</v>
      </c>
      <c r="P999" s="16" t="s">
        <v>3694</v>
      </c>
      <c r="Q999" s="15" t="s">
        <v>213</v>
      </c>
      <c r="R999" s="13" t="str">
        <f>HYPERLINK("https://my.pitchbook.com?c=249585-13T","View Company Online")</f>
        <v>View Company Online</v>
      </c>
    </row>
    <row r="1000" spans="1:18" hidden="1" x14ac:dyDescent="0.3">
      <c r="A1000" s="9" t="s">
        <v>3695</v>
      </c>
      <c r="B1000" s="9" t="s">
        <v>3696</v>
      </c>
      <c r="C1000" s="11" t="s">
        <v>28</v>
      </c>
      <c r="D1000" s="9" t="s">
        <v>3697</v>
      </c>
      <c r="E1000" s="11" t="s">
        <v>28</v>
      </c>
      <c r="F1000" s="10" t="s">
        <v>28</v>
      </c>
      <c r="G1000" s="10" t="s">
        <v>28</v>
      </c>
      <c r="H1000" s="10" t="s">
        <v>28</v>
      </c>
      <c r="I1000" s="11" t="s">
        <v>28</v>
      </c>
      <c r="J1000" s="11" t="s">
        <v>28</v>
      </c>
      <c r="K1000" s="11" t="s">
        <v>28</v>
      </c>
      <c r="L1000" s="11" t="s">
        <v>28</v>
      </c>
      <c r="M1000" s="11" t="s">
        <v>28</v>
      </c>
      <c r="N1000" s="8">
        <v>45307</v>
      </c>
      <c r="O1000" s="9" t="s">
        <v>30</v>
      </c>
      <c r="P1000" s="12" t="s">
        <v>3698</v>
      </c>
      <c r="Q1000" s="9" t="s">
        <v>75</v>
      </c>
      <c r="R1000" s="14" t="str">
        <f>HYPERLINK("https://my.pitchbook.com?c=254000-35T","View Company Online")</f>
        <v>View Company Online</v>
      </c>
    </row>
    <row r="1001" spans="1:18" hidden="1" x14ac:dyDescent="0.3">
      <c r="A1001" s="15" t="s">
        <v>3699</v>
      </c>
      <c r="B1001" s="15" t="s">
        <v>3700</v>
      </c>
      <c r="C1001" s="18" t="s">
        <v>28</v>
      </c>
      <c r="D1001" s="15" t="s">
        <v>3701</v>
      </c>
      <c r="E1001" s="18" t="s">
        <v>28</v>
      </c>
      <c r="F1001" s="19" t="s">
        <v>28</v>
      </c>
      <c r="G1001" s="19" t="s">
        <v>28</v>
      </c>
      <c r="H1001" s="19" t="s">
        <v>28</v>
      </c>
      <c r="I1001" s="18" t="s">
        <v>28</v>
      </c>
      <c r="J1001" s="18" t="s">
        <v>28</v>
      </c>
      <c r="K1001" s="18" t="s">
        <v>28</v>
      </c>
      <c r="L1001" s="18" t="s">
        <v>28</v>
      </c>
      <c r="M1001" s="18" t="s">
        <v>28</v>
      </c>
      <c r="N1001" s="17">
        <v>45306</v>
      </c>
      <c r="O1001" s="15" t="s">
        <v>173</v>
      </c>
      <c r="P1001" s="16" t="s">
        <v>28</v>
      </c>
      <c r="Q1001" s="15" t="s">
        <v>174</v>
      </c>
      <c r="R1001" s="13" t="str">
        <f>HYPERLINK("https://my.pitchbook.com?c=249577-39T","View Company Online")</f>
        <v>View Company Online</v>
      </c>
    </row>
    <row r="1002" spans="1:18" hidden="1" x14ac:dyDescent="0.3">
      <c r="A1002" s="9" t="s">
        <v>3702</v>
      </c>
      <c r="B1002" s="9" t="s">
        <v>3703</v>
      </c>
      <c r="C1002" s="11" t="s">
        <v>28</v>
      </c>
      <c r="D1002" s="9" t="s">
        <v>3704</v>
      </c>
      <c r="E1002" s="11" t="s">
        <v>28</v>
      </c>
      <c r="F1002" s="10" t="s">
        <v>28</v>
      </c>
      <c r="G1002" s="10" t="s">
        <v>28</v>
      </c>
      <c r="H1002" s="10" t="s">
        <v>28</v>
      </c>
      <c r="I1002" s="11" t="s">
        <v>28</v>
      </c>
      <c r="J1002" s="11" t="s">
        <v>28</v>
      </c>
      <c r="K1002" s="11" t="s">
        <v>28</v>
      </c>
      <c r="L1002" s="11" t="s">
        <v>28</v>
      </c>
      <c r="M1002" s="11" t="s">
        <v>28</v>
      </c>
      <c r="N1002" s="8">
        <v>45306</v>
      </c>
      <c r="O1002" s="9" t="s">
        <v>73</v>
      </c>
      <c r="P1002" s="12" t="s">
        <v>221</v>
      </c>
      <c r="Q1002" s="9" t="s">
        <v>37</v>
      </c>
      <c r="R1002" s="14" t="str">
        <f>HYPERLINK("https://my.pitchbook.com?c=265742-29T","View Company Online")</f>
        <v>View Company Online</v>
      </c>
    </row>
    <row r="1003" spans="1:18" hidden="1" x14ac:dyDescent="0.3">
      <c r="A1003" s="15" t="s">
        <v>3705</v>
      </c>
      <c r="B1003" s="15" t="s">
        <v>3706</v>
      </c>
      <c r="C1003" s="18" t="s">
        <v>28</v>
      </c>
      <c r="D1003" s="15" t="s">
        <v>3707</v>
      </c>
      <c r="E1003" s="18" t="s">
        <v>28</v>
      </c>
      <c r="F1003" s="19" t="s">
        <v>28</v>
      </c>
      <c r="G1003" s="19" t="s">
        <v>28</v>
      </c>
      <c r="H1003" s="19" t="s">
        <v>28</v>
      </c>
      <c r="I1003" s="18" t="s">
        <v>28</v>
      </c>
      <c r="J1003" s="18" t="s">
        <v>28</v>
      </c>
      <c r="K1003" s="18" t="s">
        <v>28</v>
      </c>
      <c r="L1003" s="18" t="s">
        <v>28</v>
      </c>
      <c r="M1003" s="18" t="s">
        <v>28</v>
      </c>
      <c r="N1003" s="17">
        <v>45304</v>
      </c>
      <c r="O1003" s="15" t="s">
        <v>30</v>
      </c>
      <c r="P1003" s="16" t="s">
        <v>3708</v>
      </c>
      <c r="Q1003" s="15" t="s">
        <v>362</v>
      </c>
      <c r="R1003" s="13" t="str">
        <f>HYPERLINK("https://my.pitchbook.com?c=249737-68T","View Company Online")</f>
        <v>View Company Online</v>
      </c>
    </row>
    <row r="1004" spans="1:18" hidden="1" x14ac:dyDescent="0.3">
      <c r="A1004" s="9" t="s">
        <v>3709</v>
      </c>
      <c r="B1004" s="9" t="s">
        <v>3710</v>
      </c>
      <c r="C1004" s="11" t="s">
        <v>28</v>
      </c>
      <c r="D1004" s="9" t="s">
        <v>3711</v>
      </c>
      <c r="E1004" s="11">
        <v>-12.23</v>
      </c>
      <c r="F1004" s="10" t="s">
        <v>28</v>
      </c>
      <c r="G1004" s="10" t="s">
        <v>28</v>
      </c>
      <c r="H1004" s="10" t="s">
        <v>28</v>
      </c>
      <c r="I1004" s="11">
        <v>-6.64</v>
      </c>
      <c r="J1004" s="11" t="s">
        <v>28</v>
      </c>
      <c r="K1004" s="11">
        <v>134.19999999999999</v>
      </c>
      <c r="L1004" s="11" t="s">
        <v>28</v>
      </c>
      <c r="M1004" s="11">
        <v>-28.32</v>
      </c>
      <c r="N1004" s="8">
        <v>45304</v>
      </c>
      <c r="O1004" s="9" t="s">
        <v>30</v>
      </c>
      <c r="P1004" s="12" t="s">
        <v>28</v>
      </c>
      <c r="Q1004" s="9" t="s">
        <v>470</v>
      </c>
      <c r="R1004" s="14" t="str">
        <f>HYPERLINK("https://my.pitchbook.com?c=249375-34T","View Company Online")</f>
        <v>View Company Online</v>
      </c>
    </row>
    <row r="1005" spans="1:18" hidden="1" x14ac:dyDescent="0.3">
      <c r="A1005" s="15" t="s">
        <v>3712</v>
      </c>
      <c r="B1005" s="15" t="s">
        <v>3713</v>
      </c>
      <c r="C1005" s="18" t="s">
        <v>28</v>
      </c>
      <c r="D1005" s="15" t="s">
        <v>3714</v>
      </c>
      <c r="E1005" s="18" t="s">
        <v>28</v>
      </c>
      <c r="F1005" s="19" t="s">
        <v>28</v>
      </c>
      <c r="G1005" s="19" t="s">
        <v>28</v>
      </c>
      <c r="H1005" s="19" t="s">
        <v>28</v>
      </c>
      <c r="I1005" s="18" t="s">
        <v>28</v>
      </c>
      <c r="J1005" s="18" t="s">
        <v>28</v>
      </c>
      <c r="K1005" s="18" t="s">
        <v>28</v>
      </c>
      <c r="L1005" s="18" t="s">
        <v>28</v>
      </c>
      <c r="M1005" s="18" t="s">
        <v>28</v>
      </c>
      <c r="N1005" s="17">
        <v>45303</v>
      </c>
      <c r="O1005" s="15" t="s">
        <v>58</v>
      </c>
      <c r="P1005" s="16" t="s">
        <v>3715</v>
      </c>
      <c r="Q1005" s="15" t="s">
        <v>32</v>
      </c>
      <c r="R1005" s="13" t="str">
        <f>HYPERLINK("https://my.pitchbook.com?c=251536-24T","View Company Online")</f>
        <v>View Company Online</v>
      </c>
    </row>
    <row r="1006" spans="1:18" hidden="1" x14ac:dyDescent="0.3">
      <c r="A1006" s="9" t="s">
        <v>3716</v>
      </c>
      <c r="B1006" s="9" t="s">
        <v>3717</v>
      </c>
      <c r="C1006" s="11" t="s">
        <v>28</v>
      </c>
      <c r="D1006" s="9" t="s">
        <v>3718</v>
      </c>
      <c r="E1006" s="11" t="s">
        <v>28</v>
      </c>
      <c r="F1006" s="10" t="s">
        <v>28</v>
      </c>
      <c r="G1006" s="10" t="s">
        <v>28</v>
      </c>
      <c r="H1006" s="10" t="s">
        <v>28</v>
      </c>
      <c r="I1006" s="11" t="s">
        <v>28</v>
      </c>
      <c r="J1006" s="11" t="s">
        <v>28</v>
      </c>
      <c r="K1006" s="11" t="s">
        <v>28</v>
      </c>
      <c r="L1006" s="11" t="s">
        <v>28</v>
      </c>
      <c r="M1006" s="11" t="s">
        <v>28</v>
      </c>
      <c r="N1006" s="8">
        <v>45303</v>
      </c>
      <c r="O1006" s="9" t="s">
        <v>52</v>
      </c>
      <c r="P1006" s="12" t="s">
        <v>68</v>
      </c>
      <c r="Q1006" s="9" t="s">
        <v>75</v>
      </c>
      <c r="R1006" s="14" t="str">
        <f>HYPERLINK("https://my.pitchbook.com?c=300251-17T","View Company Online")</f>
        <v>View Company Online</v>
      </c>
    </row>
    <row r="1007" spans="1:18" hidden="1" x14ac:dyDescent="0.3">
      <c r="A1007" s="15" t="s">
        <v>3719</v>
      </c>
      <c r="B1007" s="15" t="s">
        <v>3720</v>
      </c>
      <c r="C1007" s="18" t="s">
        <v>28</v>
      </c>
      <c r="D1007" s="15" t="s">
        <v>3721</v>
      </c>
      <c r="E1007" s="18" t="s">
        <v>28</v>
      </c>
      <c r="F1007" s="19" t="s">
        <v>28</v>
      </c>
      <c r="G1007" s="19">
        <v>13.5</v>
      </c>
      <c r="H1007" s="19" t="s">
        <v>28</v>
      </c>
      <c r="I1007" s="18" t="s">
        <v>28</v>
      </c>
      <c r="J1007" s="18" t="s">
        <v>28</v>
      </c>
      <c r="K1007" s="18" t="s">
        <v>28</v>
      </c>
      <c r="L1007" s="18" t="s">
        <v>28</v>
      </c>
      <c r="M1007" s="18" t="s">
        <v>28</v>
      </c>
      <c r="N1007" s="17">
        <v>45302</v>
      </c>
      <c r="O1007" s="15" t="s">
        <v>73</v>
      </c>
      <c r="P1007" s="16" t="s">
        <v>3722</v>
      </c>
      <c r="Q1007" s="15" t="s">
        <v>658</v>
      </c>
      <c r="R1007" s="13" t="str">
        <f>HYPERLINK("https://my.pitchbook.com?c=158702-86T","View Company Online")</f>
        <v>View Company Online</v>
      </c>
    </row>
    <row r="1008" spans="1:18" hidden="1" x14ac:dyDescent="0.3">
      <c r="A1008" s="9" t="s">
        <v>3723</v>
      </c>
      <c r="B1008" s="9" t="s">
        <v>3724</v>
      </c>
      <c r="C1008" s="11" t="s">
        <v>28</v>
      </c>
      <c r="D1008" s="9" t="s">
        <v>3725</v>
      </c>
      <c r="E1008" s="11" t="s">
        <v>28</v>
      </c>
      <c r="F1008" s="10" t="s">
        <v>28</v>
      </c>
      <c r="G1008" s="10" t="s">
        <v>28</v>
      </c>
      <c r="H1008" s="10" t="s">
        <v>28</v>
      </c>
      <c r="I1008" s="11" t="s">
        <v>28</v>
      </c>
      <c r="J1008" s="11" t="s">
        <v>28</v>
      </c>
      <c r="K1008" s="11" t="s">
        <v>28</v>
      </c>
      <c r="L1008" s="11" t="s">
        <v>28</v>
      </c>
      <c r="M1008" s="11" t="s">
        <v>28</v>
      </c>
      <c r="N1008" s="8">
        <v>45302</v>
      </c>
      <c r="O1008" s="9" t="s">
        <v>30</v>
      </c>
      <c r="P1008" s="12" t="s">
        <v>3726</v>
      </c>
      <c r="Q1008" s="9" t="s">
        <v>75</v>
      </c>
      <c r="R1008" s="14" t="str">
        <f>HYPERLINK("https://my.pitchbook.com?c=254674-00T","View Company Online")</f>
        <v>View Company Online</v>
      </c>
    </row>
    <row r="1009" spans="1:18" hidden="1" x14ac:dyDescent="0.3">
      <c r="A1009" s="15" t="s">
        <v>3727</v>
      </c>
      <c r="B1009" s="15" t="s">
        <v>3728</v>
      </c>
      <c r="C1009" s="18" t="s">
        <v>28</v>
      </c>
      <c r="D1009" s="15" t="s">
        <v>3729</v>
      </c>
      <c r="E1009" s="18" t="s">
        <v>28</v>
      </c>
      <c r="F1009" s="19" t="s">
        <v>28</v>
      </c>
      <c r="G1009" s="19">
        <v>1.5</v>
      </c>
      <c r="H1009" s="19" t="s">
        <v>28</v>
      </c>
      <c r="I1009" s="18" t="s">
        <v>28</v>
      </c>
      <c r="J1009" s="18" t="s">
        <v>28</v>
      </c>
      <c r="K1009" s="18" t="s">
        <v>28</v>
      </c>
      <c r="L1009" s="18" t="s">
        <v>28</v>
      </c>
      <c r="M1009" s="18" t="s">
        <v>28</v>
      </c>
      <c r="N1009" s="17">
        <v>45301</v>
      </c>
      <c r="O1009" s="15" t="s">
        <v>73</v>
      </c>
      <c r="P1009" s="16" t="s">
        <v>3730</v>
      </c>
      <c r="Q1009" s="15" t="s">
        <v>1341</v>
      </c>
      <c r="R1009" s="13" t="str">
        <f>HYPERLINK("https://my.pitchbook.com?c=253620-10T","View Company Online")</f>
        <v>View Company Online</v>
      </c>
    </row>
    <row r="1010" spans="1:18" hidden="1" x14ac:dyDescent="0.3">
      <c r="A1010" s="9" t="s">
        <v>3731</v>
      </c>
      <c r="B1010" s="9" t="s">
        <v>3732</v>
      </c>
      <c r="C1010" s="11" t="s">
        <v>28</v>
      </c>
      <c r="D1010" s="9" t="s">
        <v>3733</v>
      </c>
      <c r="E1010" s="11" t="s">
        <v>28</v>
      </c>
      <c r="F1010" s="10" t="s">
        <v>28</v>
      </c>
      <c r="G1010" s="10">
        <v>1.64</v>
      </c>
      <c r="H1010" s="10" t="s">
        <v>28</v>
      </c>
      <c r="I1010" s="11" t="s">
        <v>28</v>
      </c>
      <c r="J1010" s="11" t="s">
        <v>28</v>
      </c>
      <c r="K1010" s="11" t="s">
        <v>28</v>
      </c>
      <c r="L1010" s="11" t="s">
        <v>28</v>
      </c>
      <c r="M1010" s="11" t="s">
        <v>28</v>
      </c>
      <c r="N1010" s="8">
        <v>45301</v>
      </c>
      <c r="O1010" s="9" t="s">
        <v>73</v>
      </c>
      <c r="P1010" s="12" t="s">
        <v>3734</v>
      </c>
      <c r="Q1010" s="9" t="s">
        <v>37</v>
      </c>
      <c r="R1010" s="14" t="str">
        <f>HYPERLINK("https://my.pitchbook.com?c=249110-92T","View Company Online")</f>
        <v>View Company Online</v>
      </c>
    </row>
    <row r="1011" spans="1:18" hidden="1" x14ac:dyDescent="0.3">
      <c r="A1011" s="15" t="s">
        <v>3735</v>
      </c>
      <c r="B1011" s="15" t="s">
        <v>3736</v>
      </c>
      <c r="C1011" s="18" t="s">
        <v>28</v>
      </c>
      <c r="D1011" s="15" t="s">
        <v>3737</v>
      </c>
      <c r="E1011" s="18" t="s">
        <v>28</v>
      </c>
      <c r="F1011" s="19" t="s">
        <v>28</v>
      </c>
      <c r="G1011" s="19" t="s">
        <v>28</v>
      </c>
      <c r="H1011" s="19" t="s">
        <v>28</v>
      </c>
      <c r="I1011" s="18" t="s">
        <v>28</v>
      </c>
      <c r="J1011" s="18" t="s">
        <v>28</v>
      </c>
      <c r="K1011" s="18" t="s">
        <v>28</v>
      </c>
      <c r="L1011" s="18" t="s">
        <v>28</v>
      </c>
      <c r="M1011" s="18" t="s">
        <v>28</v>
      </c>
      <c r="N1011" s="17">
        <v>45301</v>
      </c>
      <c r="O1011" s="15" t="s">
        <v>30</v>
      </c>
      <c r="P1011" s="16" t="s">
        <v>3738</v>
      </c>
      <c r="Q1011" s="15" t="s">
        <v>75</v>
      </c>
      <c r="R1011" s="13" t="str">
        <f>HYPERLINK("https://my.pitchbook.com?c=249332-32T","View Company Online")</f>
        <v>View Company Online</v>
      </c>
    </row>
    <row r="1012" spans="1:18" hidden="1" x14ac:dyDescent="0.3">
      <c r="A1012" s="9" t="s">
        <v>3739</v>
      </c>
      <c r="B1012" s="9" t="s">
        <v>3740</v>
      </c>
      <c r="C1012" s="11" t="s">
        <v>28</v>
      </c>
      <c r="D1012" s="9" t="s">
        <v>3741</v>
      </c>
      <c r="E1012" s="11" t="s">
        <v>28</v>
      </c>
      <c r="F1012" s="10" t="s">
        <v>28</v>
      </c>
      <c r="G1012" s="10">
        <v>4</v>
      </c>
      <c r="H1012" s="10" t="s">
        <v>28</v>
      </c>
      <c r="I1012" s="11" t="s">
        <v>28</v>
      </c>
      <c r="J1012" s="11" t="s">
        <v>28</v>
      </c>
      <c r="K1012" s="11" t="s">
        <v>28</v>
      </c>
      <c r="L1012" s="11" t="s">
        <v>28</v>
      </c>
      <c r="M1012" s="11" t="s">
        <v>28</v>
      </c>
      <c r="N1012" s="8">
        <v>45301</v>
      </c>
      <c r="O1012" s="9" t="s">
        <v>99</v>
      </c>
      <c r="P1012" s="12" t="s">
        <v>3742</v>
      </c>
      <c r="Q1012" s="9" t="s">
        <v>1853</v>
      </c>
      <c r="R1012" s="14" t="str">
        <f>HYPERLINK("https://my.pitchbook.com?c=249100-75T","View Company Online")</f>
        <v>View Company Online</v>
      </c>
    </row>
    <row r="1013" spans="1:18" hidden="1" x14ac:dyDescent="0.3">
      <c r="A1013" s="15" t="s">
        <v>3743</v>
      </c>
      <c r="B1013" s="15" t="s">
        <v>3744</v>
      </c>
      <c r="C1013" s="18" t="s">
        <v>28</v>
      </c>
      <c r="D1013" s="15" t="s">
        <v>3745</v>
      </c>
      <c r="E1013" s="18" t="s">
        <v>28</v>
      </c>
      <c r="F1013" s="19" t="s">
        <v>28</v>
      </c>
      <c r="G1013" s="19">
        <v>23</v>
      </c>
      <c r="H1013" s="19" t="s">
        <v>28</v>
      </c>
      <c r="I1013" s="18" t="s">
        <v>28</v>
      </c>
      <c r="J1013" s="18" t="s">
        <v>28</v>
      </c>
      <c r="K1013" s="18" t="s">
        <v>28</v>
      </c>
      <c r="L1013" s="18" t="s">
        <v>28</v>
      </c>
      <c r="M1013" s="18" t="s">
        <v>28</v>
      </c>
      <c r="N1013" s="17">
        <v>45301</v>
      </c>
      <c r="O1013" s="15" t="s">
        <v>79</v>
      </c>
      <c r="P1013" s="16" t="s">
        <v>3746</v>
      </c>
      <c r="Q1013" s="15" t="s">
        <v>85</v>
      </c>
      <c r="R1013" s="13" t="str">
        <f>HYPERLINK("https://my.pitchbook.com?c=255447-46T","View Company Online")</f>
        <v>View Company Online</v>
      </c>
    </row>
    <row r="1014" spans="1:18" hidden="1" x14ac:dyDescent="0.3">
      <c r="A1014" s="9" t="s">
        <v>3747</v>
      </c>
      <c r="B1014" s="9" t="s">
        <v>3748</v>
      </c>
      <c r="C1014" s="11" t="s">
        <v>28</v>
      </c>
      <c r="D1014" s="9" t="s">
        <v>3749</v>
      </c>
      <c r="E1014" s="11" t="s">
        <v>28</v>
      </c>
      <c r="F1014" s="10" t="s">
        <v>28</v>
      </c>
      <c r="G1014" s="10">
        <v>37.11</v>
      </c>
      <c r="H1014" s="10" t="s">
        <v>28</v>
      </c>
      <c r="I1014" s="11" t="s">
        <v>28</v>
      </c>
      <c r="J1014" s="11" t="s">
        <v>28</v>
      </c>
      <c r="K1014" s="11" t="s">
        <v>28</v>
      </c>
      <c r="L1014" s="11" t="s">
        <v>28</v>
      </c>
      <c r="M1014" s="11" t="s">
        <v>28</v>
      </c>
      <c r="N1014" s="8">
        <v>45300</v>
      </c>
      <c r="O1014" s="9" t="s">
        <v>79</v>
      </c>
      <c r="P1014" s="12" t="s">
        <v>28</v>
      </c>
      <c r="Q1014" s="9" t="s">
        <v>37</v>
      </c>
      <c r="R1014" s="14" t="str">
        <f>HYPERLINK("https://my.pitchbook.com?c=249063-22T","View Company Online")</f>
        <v>View Company Online</v>
      </c>
    </row>
    <row r="1015" spans="1:18" hidden="1" x14ac:dyDescent="0.3">
      <c r="A1015" s="15" t="s">
        <v>3750</v>
      </c>
      <c r="B1015" s="15" t="s">
        <v>3389</v>
      </c>
      <c r="C1015" s="18" t="s">
        <v>28</v>
      </c>
      <c r="D1015" s="15" t="s">
        <v>3390</v>
      </c>
      <c r="E1015" s="18" t="s">
        <v>28</v>
      </c>
      <c r="F1015" s="19" t="s">
        <v>28</v>
      </c>
      <c r="G1015" s="19">
        <v>0.45</v>
      </c>
      <c r="H1015" s="19" t="s">
        <v>28</v>
      </c>
      <c r="I1015" s="18" t="s">
        <v>28</v>
      </c>
      <c r="J1015" s="18" t="s">
        <v>28</v>
      </c>
      <c r="K1015" s="18" t="s">
        <v>28</v>
      </c>
      <c r="L1015" s="18" t="s">
        <v>28</v>
      </c>
      <c r="M1015" s="18" t="s">
        <v>28</v>
      </c>
      <c r="N1015" s="17">
        <v>45300</v>
      </c>
      <c r="O1015" s="15" t="s">
        <v>99</v>
      </c>
      <c r="P1015" s="16" t="s">
        <v>3751</v>
      </c>
      <c r="Q1015" s="15" t="s">
        <v>75</v>
      </c>
      <c r="R1015" s="13" t="str">
        <f>HYPERLINK("https://my.pitchbook.com?c=246536-29T","View Company Online")</f>
        <v>View Company Online</v>
      </c>
    </row>
    <row r="1016" spans="1:18" hidden="1" x14ac:dyDescent="0.3">
      <c r="A1016" s="9" t="s">
        <v>3752</v>
      </c>
      <c r="B1016" s="9" t="s">
        <v>3753</v>
      </c>
      <c r="C1016" s="11" t="s">
        <v>28</v>
      </c>
      <c r="D1016" s="9" t="s">
        <v>3754</v>
      </c>
      <c r="E1016" s="11" t="s">
        <v>28</v>
      </c>
      <c r="F1016" s="10" t="s">
        <v>28</v>
      </c>
      <c r="G1016" s="10" t="s">
        <v>28</v>
      </c>
      <c r="H1016" s="10" t="s">
        <v>28</v>
      </c>
      <c r="I1016" s="11" t="s">
        <v>28</v>
      </c>
      <c r="J1016" s="11" t="s">
        <v>28</v>
      </c>
      <c r="K1016" s="11" t="s">
        <v>28</v>
      </c>
      <c r="L1016" s="11" t="s">
        <v>28</v>
      </c>
      <c r="M1016" s="11" t="s">
        <v>28</v>
      </c>
      <c r="N1016" s="8">
        <v>45300</v>
      </c>
      <c r="O1016" s="9" t="s">
        <v>41</v>
      </c>
      <c r="P1016" s="12" t="s">
        <v>3755</v>
      </c>
      <c r="Q1016" s="9" t="s">
        <v>75</v>
      </c>
      <c r="R1016" s="14" t="str">
        <f>HYPERLINK("https://my.pitchbook.com?c=249077-08T","View Company Online")</f>
        <v>View Company Online</v>
      </c>
    </row>
    <row r="1017" spans="1:18" hidden="1" x14ac:dyDescent="0.3">
      <c r="A1017" s="15" t="s">
        <v>3756</v>
      </c>
      <c r="B1017" s="15" t="s">
        <v>3757</v>
      </c>
      <c r="C1017" s="18" t="s">
        <v>28</v>
      </c>
      <c r="D1017" s="15" t="s">
        <v>3758</v>
      </c>
      <c r="E1017" s="18" t="s">
        <v>28</v>
      </c>
      <c r="F1017" s="19" t="s">
        <v>28</v>
      </c>
      <c r="G1017" s="19" t="s">
        <v>28</v>
      </c>
      <c r="H1017" s="19" t="s">
        <v>28</v>
      </c>
      <c r="I1017" s="18" t="s">
        <v>28</v>
      </c>
      <c r="J1017" s="18" t="s">
        <v>28</v>
      </c>
      <c r="K1017" s="18" t="s">
        <v>28</v>
      </c>
      <c r="L1017" s="18" t="s">
        <v>28</v>
      </c>
      <c r="M1017" s="18" t="s">
        <v>28</v>
      </c>
      <c r="N1017" s="17">
        <v>45300</v>
      </c>
      <c r="O1017" s="15" t="s">
        <v>30</v>
      </c>
      <c r="P1017" s="16" t="s">
        <v>3759</v>
      </c>
      <c r="Q1017" s="15" t="s">
        <v>95</v>
      </c>
      <c r="R1017" s="13" t="str">
        <f>HYPERLINK("https://my.pitchbook.com?c=250112-17T","View Company Online")</f>
        <v>View Company Online</v>
      </c>
    </row>
    <row r="1018" spans="1:18" hidden="1" x14ac:dyDescent="0.3">
      <c r="A1018" s="9" t="s">
        <v>3760</v>
      </c>
      <c r="B1018" s="9" t="s">
        <v>551</v>
      </c>
      <c r="C1018" s="11" t="s">
        <v>28</v>
      </c>
      <c r="D1018" s="9" t="s">
        <v>552</v>
      </c>
      <c r="E1018" s="11" t="s">
        <v>28</v>
      </c>
      <c r="F1018" s="10" t="s">
        <v>28</v>
      </c>
      <c r="G1018" s="10" t="s">
        <v>28</v>
      </c>
      <c r="H1018" s="10" t="s">
        <v>28</v>
      </c>
      <c r="I1018" s="11" t="s">
        <v>28</v>
      </c>
      <c r="J1018" s="11" t="s">
        <v>28</v>
      </c>
      <c r="K1018" s="11" t="s">
        <v>28</v>
      </c>
      <c r="L1018" s="11" t="s">
        <v>28</v>
      </c>
      <c r="M1018" s="11" t="s">
        <v>28</v>
      </c>
      <c r="N1018" s="8">
        <v>45300</v>
      </c>
      <c r="O1018" s="9" t="s">
        <v>30</v>
      </c>
      <c r="P1018" s="12" t="s">
        <v>3761</v>
      </c>
      <c r="Q1018" s="9" t="s">
        <v>213</v>
      </c>
      <c r="R1018" s="14" t="str">
        <f>HYPERLINK("https://my.pitchbook.com?c=253343-44T","View Company Online")</f>
        <v>View Company Online</v>
      </c>
    </row>
    <row r="1019" spans="1:18" hidden="1" x14ac:dyDescent="0.3">
      <c r="A1019" s="15" t="s">
        <v>3762</v>
      </c>
      <c r="B1019" s="15" t="s">
        <v>3763</v>
      </c>
      <c r="C1019" s="18" t="s">
        <v>28</v>
      </c>
      <c r="D1019" s="15" t="s">
        <v>3764</v>
      </c>
      <c r="E1019" s="18" t="s">
        <v>28</v>
      </c>
      <c r="F1019" s="19" t="s">
        <v>28</v>
      </c>
      <c r="G1019" s="19">
        <v>0.51</v>
      </c>
      <c r="H1019" s="19" t="s">
        <v>28</v>
      </c>
      <c r="I1019" s="18" t="s">
        <v>28</v>
      </c>
      <c r="J1019" s="18" t="s">
        <v>28</v>
      </c>
      <c r="K1019" s="18" t="s">
        <v>28</v>
      </c>
      <c r="L1019" s="18" t="s">
        <v>28</v>
      </c>
      <c r="M1019" s="18" t="s">
        <v>28</v>
      </c>
      <c r="N1019" s="17">
        <v>45299</v>
      </c>
      <c r="O1019" s="15" t="s">
        <v>99</v>
      </c>
      <c r="P1019" s="16" t="s">
        <v>2227</v>
      </c>
      <c r="Q1019" s="15" t="s">
        <v>75</v>
      </c>
      <c r="R1019" s="13" t="str">
        <f>HYPERLINK("https://my.pitchbook.com?c=246221-92T","View Company Online")</f>
        <v>View Company Online</v>
      </c>
    </row>
    <row r="1020" spans="1:18" hidden="1" x14ac:dyDescent="0.3">
      <c r="A1020" s="9" t="s">
        <v>3765</v>
      </c>
      <c r="B1020" s="9" t="s">
        <v>3766</v>
      </c>
      <c r="C1020" s="11" t="s">
        <v>28</v>
      </c>
      <c r="D1020" s="9" t="s">
        <v>3767</v>
      </c>
      <c r="E1020" s="11" t="s">
        <v>28</v>
      </c>
      <c r="F1020" s="10" t="s">
        <v>28</v>
      </c>
      <c r="G1020" s="10" t="s">
        <v>28</v>
      </c>
      <c r="H1020" s="10" t="s">
        <v>28</v>
      </c>
      <c r="I1020" s="11" t="s">
        <v>28</v>
      </c>
      <c r="J1020" s="11" t="s">
        <v>28</v>
      </c>
      <c r="K1020" s="11" t="s">
        <v>28</v>
      </c>
      <c r="L1020" s="11" t="s">
        <v>28</v>
      </c>
      <c r="M1020" s="11" t="s">
        <v>28</v>
      </c>
      <c r="N1020" s="8">
        <v>45299</v>
      </c>
      <c r="O1020" s="9" t="s">
        <v>30</v>
      </c>
      <c r="P1020" s="12" t="s">
        <v>3768</v>
      </c>
      <c r="Q1020" s="9" t="s">
        <v>75</v>
      </c>
      <c r="R1020" s="14" t="str">
        <f>HYPERLINK("https://my.pitchbook.com?c=248921-20T","View Company Online")</f>
        <v>View Company Online</v>
      </c>
    </row>
    <row r="1021" spans="1:18" hidden="1" x14ac:dyDescent="0.3">
      <c r="A1021" s="15" t="s">
        <v>3769</v>
      </c>
      <c r="B1021" s="15" t="s">
        <v>3770</v>
      </c>
      <c r="C1021" s="18" t="s">
        <v>28</v>
      </c>
      <c r="D1021" s="15" t="s">
        <v>3771</v>
      </c>
      <c r="E1021" s="18" t="s">
        <v>28</v>
      </c>
      <c r="F1021" s="19" t="s">
        <v>28</v>
      </c>
      <c r="G1021" s="19" t="s">
        <v>28</v>
      </c>
      <c r="H1021" s="19" t="s">
        <v>28</v>
      </c>
      <c r="I1021" s="18" t="s">
        <v>28</v>
      </c>
      <c r="J1021" s="18" t="s">
        <v>28</v>
      </c>
      <c r="K1021" s="18" t="s">
        <v>28</v>
      </c>
      <c r="L1021" s="18" t="s">
        <v>28</v>
      </c>
      <c r="M1021" s="18" t="s">
        <v>28</v>
      </c>
      <c r="N1021" s="17">
        <v>45299</v>
      </c>
      <c r="O1021" s="15" t="s">
        <v>30</v>
      </c>
      <c r="P1021" s="16" t="s">
        <v>3772</v>
      </c>
      <c r="Q1021" s="15" t="s">
        <v>607</v>
      </c>
      <c r="R1021" s="13" t="str">
        <f>HYPERLINK("https://my.pitchbook.com?c=286587-55T","View Company Online")</f>
        <v>View Company Online</v>
      </c>
    </row>
    <row r="1022" spans="1:18" hidden="1" x14ac:dyDescent="0.3">
      <c r="A1022" s="9" t="s">
        <v>3773</v>
      </c>
      <c r="B1022" s="9" t="s">
        <v>3774</v>
      </c>
      <c r="C1022" s="11" t="s">
        <v>28</v>
      </c>
      <c r="D1022" s="9" t="s">
        <v>3775</v>
      </c>
      <c r="E1022" s="11" t="s">
        <v>28</v>
      </c>
      <c r="F1022" s="10" t="s">
        <v>28</v>
      </c>
      <c r="G1022" s="10" t="s">
        <v>28</v>
      </c>
      <c r="H1022" s="10" t="s">
        <v>28</v>
      </c>
      <c r="I1022" s="11" t="s">
        <v>28</v>
      </c>
      <c r="J1022" s="11" t="s">
        <v>28</v>
      </c>
      <c r="K1022" s="11" t="s">
        <v>28</v>
      </c>
      <c r="L1022" s="11" t="s">
        <v>28</v>
      </c>
      <c r="M1022" s="11" t="s">
        <v>28</v>
      </c>
      <c r="N1022" s="8">
        <v>45299</v>
      </c>
      <c r="O1022" s="9" t="s">
        <v>30</v>
      </c>
      <c r="P1022" s="12" t="s">
        <v>3776</v>
      </c>
      <c r="Q1022" s="9" t="s">
        <v>362</v>
      </c>
      <c r="R1022" s="14" t="str">
        <f>HYPERLINK("https://my.pitchbook.com?c=248952-70T","View Company Online")</f>
        <v>View Company Online</v>
      </c>
    </row>
    <row r="1023" spans="1:18" hidden="1" x14ac:dyDescent="0.3">
      <c r="A1023" s="15" t="s">
        <v>3777</v>
      </c>
      <c r="B1023" s="15" t="s">
        <v>3778</v>
      </c>
      <c r="C1023" s="18" t="s">
        <v>28</v>
      </c>
      <c r="D1023" s="15" t="s">
        <v>3779</v>
      </c>
      <c r="E1023" s="18" t="s">
        <v>28</v>
      </c>
      <c r="F1023" s="19" t="s">
        <v>28</v>
      </c>
      <c r="G1023" s="19" t="s">
        <v>28</v>
      </c>
      <c r="H1023" s="19" t="s">
        <v>28</v>
      </c>
      <c r="I1023" s="18" t="s">
        <v>28</v>
      </c>
      <c r="J1023" s="18" t="s">
        <v>28</v>
      </c>
      <c r="K1023" s="18" t="s">
        <v>28</v>
      </c>
      <c r="L1023" s="18" t="s">
        <v>28</v>
      </c>
      <c r="M1023" s="18" t="s">
        <v>28</v>
      </c>
      <c r="N1023" s="17">
        <v>45299</v>
      </c>
      <c r="O1023" s="15" t="s">
        <v>379</v>
      </c>
      <c r="P1023" s="16" t="s">
        <v>28</v>
      </c>
      <c r="Q1023" s="15" t="s">
        <v>75</v>
      </c>
      <c r="R1023" s="13" t="str">
        <f>HYPERLINK("https://my.pitchbook.com?c=248931-55T","View Company Online")</f>
        <v>View Company Online</v>
      </c>
    </row>
    <row r="1024" spans="1:18" hidden="1" x14ac:dyDescent="0.3">
      <c r="A1024" s="9" t="s">
        <v>3780</v>
      </c>
      <c r="B1024" s="9" t="s">
        <v>3781</v>
      </c>
      <c r="C1024" s="11" t="s">
        <v>28</v>
      </c>
      <c r="D1024" s="9" t="s">
        <v>3782</v>
      </c>
      <c r="E1024" s="11" t="s">
        <v>28</v>
      </c>
      <c r="F1024" s="10">
        <v>684.5</v>
      </c>
      <c r="G1024" s="10">
        <v>684.5</v>
      </c>
      <c r="H1024" s="10">
        <v>684.5</v>
      </c>
      <c r="I1024" s="11" t="s">
        <v>28</v>
      </c>
      <c r="J1024" s="11" t="s">
        <v>28</v>
      </c>
      <c r="K1024" s="11">
        <v>260.10000000000002</v>
      </c>
      <c r="L1024" s="11">
        <v>2.63</v>
      </c>
      <c r="M1024" s="11" t="s">
        <v>28</v>
      </c>
      <c r="N1024" s="8">
        <v>45296</v>
      </c>
      <c r="O1024" s="9" t="s">
        <v>30</v>
      </c>
      <c r="P1024" s="12" t="s">
        <v>3783</v>
      </c>
      <c r="Q1024" s="9" t="s">
        <v>105</v>
      </c>
      <c r="R1024" s="14" t="str">
        <f>HYPERLINK("https://my.pitchbook.com?c=232387-66T","View Company Online")</f>
        <v>View Company Online</v>
      </c>
    </row>
    <row r="1025" spans="1:18" hidden="1" x14ac:dyDescent="0.3">
      <c r="A1025" s="15" t="s">
        <v>3784</v>
      </c>
      <c r="B1025" s="15" t="s">
        <v>3785</v>
      </c>
      <c r="C1025" s="18" t="s">
        <v>28</v>
      </c>
      <c r="D1025" s="15" t="s">
        <v>3786</v>
      </c>
      <c r="E1025" s="18">
        <v>0.89</v>
      </c>
      <c r="F1025" s="19" t="s">
        <v>28</v>
      </c>
      <c r="G1025" s="19" t="s">
        <v>28</v>
      </c>
      <c r="H1025" s="19" t="s">
        <v>28</v>
      </c>
      <c r="I1025" s="18">
        <v>0.89</v>
      </c>
      <c r="J1025" s="18" t="s">
        <v>28</v>
      </c>
      <c r="K1025" s="18">
        <v>1.93</v>
      </c>
      <c r="L1025" s="18" t="s">
        <v>28</v>
      </c>
      <c r="M1025" s="18">
        <v>-0.99</v>
      </c>
      <c r="N1025" s="17">
        <v>45295</v>
      </c>
      <c r="O1025" s="15" t="s">
        <v>173</v>
      </c>
      <c r="P1025" s="16" t="s">
        <v>28</v>
      </c>
      <c r="Q1025" s="15" t="s">
        <v>174</v>
      </c>
      <c r="R1025" s="13" t="str">
        <f>HYPERLINK("https://my.pitchbook.com?c=248822-47T","View Company Online")</f>
        <v>View Company Online</v>
      </c>
    </row>
    <row r="1026" spans="1:18" hidden="1" x14ac:dyDescent="0.3">
      <c r="A1026" s="9" t="s">
        <v>3787</v>
      </c>
      <c r="B1026" s="9" t="s">
        <v>3788</v>
      </c>
      <c r="C1026" s="11" t="s">
        <v>28</v>
      </c>
      <c r="D1026" s="9" t="s">
        <v>3789</v>
      </c>
      <c r="E1026" s="11" t="s">
        <v>28</v>
      </c>
      <c r="F1026" s="10">
        <v>4.6100000000000003</v>
      </c>
      <c r="G1026" s="10">
        <v>2.35</v>
      </c>
      <c r="H1026" s="10">
        <v>4.6100000000000003</v>
      </c>
      <c r="I1026" s="11" t="s">
        <v>28</v>
      </c>
      <c r="J1026" s="11" t="s">
        <v>28</v>
      </c>
      <c r="K1026" s="11">
        <v>0.6</v>
      </c>
      <c r="L1026" s="11">
        <v>7.72</v>
      </c>
      <c r="M1026" s="11" t="s">
        <v>28</v>
      </c>
      <c r="N1026" s="8">
        <v>45294</v>
      </c>
      <c r="O1026" s="9" t="s">
        <v>30</v>
      </c>
      <c r="P1026" s="12" t="s">
        <v>3790</v>
      </c>
      <c r="Q1026" s="9" t="s">
        <v>692</v>
      </c>
      <c r="R1026" s="14" t="str">
        <f>HYPERLINK("https://my.pitchbook.com?c=248667-04T","View Company Online")</f>
        <v>View Company Online</v>
      </c>
    </row>
    <row r="1027" spans="1:18" hidden="1" x14ac:dyDescent="0.3">
      <c r="A1027" s="15" t="s">
        <v>3791</v>
      </c>
      <c r="B1027" s="15" t="s">
        <v>3792</v>
      </c>
      <c r="C1027" s="18" t="s">
        <v>28</v>
      </c>
      <c r="D1027" s="15" t="s">
        <v>3793</v>
      </c>
      <c r="E1027" s="18" t="s">
        <v>28</v>
      </c>
      <c r="F1027" s="19">
        <v>4248.3999999999996</v>
      </c>
      <c r="G1027" s="19">
        <v>633.16999999999996</v>
      </c>
      <c r="H1027" s="19">
        <v>4248.3999999999996</v>
      </c>
      <c r="I1027" s="18" t="s">
        <v>28</v>
      </c>
      <c r="J1027" s="18" t="s">
        <v>28</v>
      </c>
      <c r="K1027" s="18" t="s">
        <v>28</v>
      </c>
      <c r="L1027" s="18" t="s">
        <v>28</v>
      </c>
      <c r="M1027" s="18" t="s">
        <v>28</v>
      </c>
      <c r="N1027" s="17">
        <v>45294</v>
      </c>
      <c r="O1027" s="15" t="s">
        <v>41</v>
      </c>
      <c r="P1027" s="16" t="s">
        <v>3015</v>
      </c>
      <c r="Q1027" s="15" t="s">
        <v>1144</v>
      </c>
      <c r="R1027" s="13" t="str">
        <f>HYPERLINK("https://my.pitchbook.com?c=248459-14T","View Company Online")</f>
        <v>View Company Online</v>
      </c>
    </row>
    <row r="1028" spans="1:18" hidden="1" x14ac:dyDescent="0.3">
      <c r="A1028" s="9" t="s">
        <v>3794</v>
      </c>
      <c r="B1028" s="9" t="s">
        <v>3795</v>
      </c>
      <c r="C1028" s="11" t="s">
        <v>28</v>
      </c>
      <c r="D1028" s="9" t="s">
        <v>3796</v>
      </c>
      <c r="E1028" s="11" t="s">
        <v>28</v>
      </c>
      <c r="F1028" s="10">
        <v>5.14</v>
      </c>
      <c r="G1028" s="10">
        <v>5.14</v>
      </c>
      <c r="H1028" s="10">
        <v>5.14</v>
      </c>
      <c r="I1028" s="11" t="s">
        <v>28</v>
      </c>
      <c r="J1028" s="11" t="s">
        <v>28</v>
      </c>
      <c r="K1028" s="11" t="s">
        <v>28</v>
      </c>
      <c r="L1028" s="11" t="s">
        <v>28</v>
      </c>
      <c r="M1028" s="11" t="s">
        <v>28</v>
      </c>
      <c r="N1028" s="8">
        <v>45293</v>
      </c>
      <c r="O1028" s="9" t="s">
        <v>30</v>
      </c>
      <c r="P1028" s="12" t="s">
        <v>3797</v>
      </c>
      <c r="Q1028" s="9" t="s">
        <v>290</v>
      </c>
      <c r="R1028" s="14" t="str">
        <f>HYPERLINK("https://my.pitchbook.com?c=248353-66T","View Company Online")</f>
        <v>View Company Online</v>
      </c>
    </row>
    <row r="1029" spans="1:18" hidden="1" x14ac:dyDescent="0.3">
      <c r="A1029" s="15" t="s">
        <v>3798</v>
      </c>
      <c r="B1029" s="15" t="s">
        <v>3799</v>
      </c>
      <c r="C1029" s="18" t="s">
        <v>28</v>
      </c>
      <c r="D1029" s="15" t="s">
        <v>3800</v>
      </c>
      <c r="E1029" s="18" t="s">
        <v>28</v>
      </c>
      <c r="F1029" s="19" t="s">
        <v>28</v>
      </c>
      <c r="G1029" s="19" t="s">
        <v>28</v>
      </c>
      <c r="H1029" s="19" t="s">
        <v>28</v>
      </c>
      <c r="I1029" s="18" t="s">
        <v>28</v>
      </c>
      <c r="J1029" s="18" t="s">
        <v>28</v>
      </c>
      <c r="K1029" s="18" t="s">
        <v>28</v>
      </c>
      <c r="L1029" s="18" t="s">
        <v>28</v>
      </c>
      <c r="M1029" s="18" t="s">
        <v>28</v>
      </c>
      <c r="N1029" s="17">
        <v>45292</v>
      </c>
      <c r="O1029" s="15" t="s">
        <v>52</v>
      </c>
      <c r="P1029" s="16" t="s">
        <v>1880</v>
      </c>
      <c r="Q1029" s="15" t="s">
        <v>419</v>
      </c>
      <c r="R1029" s="13" t="str">
        <f>HYPERLINK("https://my.pitchbook.com?c=295941-16T","View Company Online")</f>
        <v>View Company Online</v>
      </c>
    </row>
    <row r="1030" spans="1:18" hidden="1" x14ac:dyDescent="0.3">
      <c r="A1030" s="9" t="s">
        <v>3801</v>
      </c>
      <c r="B1030" s="9" t="s">
        <v>3802</v>
      </c>
      <c r="C1030" s="11" t="s">
        <v>28</v>
      </c>
      <c r="D1030" s="9" t="s">
        <v>3803</v>
      </c>
      <c r="E1030" s="11" t="s">
        <v>28</v>
      </c>
      <c r="F1030" s="10" t="s">
        <v>28</v>
      </c>
      <c r="G1030" s="10" t="s">
        <v>28</v>
      </c>
      <c r="H1030" s="10" t="s">
        <v>28</v>
      </c>
      <c r="I1030" s="11" t="s">
        <v>28</v>
      </c>
      <c r="J1030" s="11" t="s">
        <v>28</v>
      </c>
      <c r="K1030" s="11" t="s">
        <v>28</v>
      </c>
      <c r="L1030" s="11" t="s">
        <v>28</v>
      </c>
      <c r="M1030" s="11" t="s">
        <v>28</v>
      </c>
      <c r="N1030" s="8">
        <v>45292</v>
      </c>
      <c r="O1030" s="9" t="s">
        <v>52</v>
      </c>
      <c r="P1030" s="12" t="s">
        <v>3804</v>
      </c>
      <c r="Q1030" s="9" t="s">
        <v>386</v>
      </c>
      <c r="R1030" s="14" t="str">
        <f>HYPERLINK("https://my.pitchbook.com?c=268080-76T","View Company Online")</f>
        <v>View Company Online</v>
      </c>
    </row>
    <row r="1031" spans="1:18" hidden="1" x14ac:dyDescent="0.3">
      <c r="A1031" s="15" t="s">
        <v>3805</v>
      </c>
      <c r="B1031" s="15" t="s">
        <v>3806</v>
      </c>
      <c r="C1031" s="18" t="s">
        <v>28</v>
      </c>
      <c r="D1031" s="15" t="s">
        <v>3807</v>
      </c>
      <c r="E1031" s="18" t="s">
        <v>28</v>
      </c>
      <c r="F1031" s="19" t="s">
        <v>28</v>
      </c>
      <c r="G1031" s="19">
        <v>0.13</v>
      </c>
      <c r="H1031" s="19" t="s">
        <v>28</v>
      </c>
      <c r="I1031" s="18" t="s">
        <v>28</v>
      </c>
      <c r="J1031" s="18" t="s">
        <v>28</v>
      </c>
      <c r="K1031" s="18" t="s">
        <v>28</v>
      </c>
      <c r="L1031" s="18" t="s">
        <v>28</v>
      </c>
      <c r="M1031" s="18" t="s">
        <v>28</v>
      </c>
      <c r="N1031" s="17">
        <v>45292</v>
      </c>
      <c r="O1031" s="15" t="s">
        <v>99</v>
      </c>
      <c r="P1031" s="16" t="s">
        <v>1964</v>
      </c>
      <c r="Q1031" s="15" t="s">
        <v>75</v>
      </c>
      <c r="R1031" s="13" t="str">
        <f>HYPERLINK("https://my.pitchbook.com?c=258216-49T","View Company Online")</f>
        <v>View Company Online</v>
      </c>
    </row>
    <row r="1032" spans="1:18" hidden="1" x14ac:dyDescent="0.3">
      <c r="A1032" s="9" t="s">
        <v>3808</v>
      </c>
      <c r="B1032" s="9" t="s">
        <v>3809</v>
      </c>
      <c r="C1032" s="11" t="s">
        <v>28</v>
      </c>
      <c r="D1032" s="9" t="s">
        <v>3810</v>
      </c>
      <c r="E1032" s="11" t="s">
        <v>28</v>
      </c>
      <c r="F1032" s="10" t="s">
        <v>28</v>
      </c>
      <c r="G1032" s="10" t="s">
        <v>28</v>
      </c>
      <c r="H1032" s="10" t="s">
        <v>28</v>
      </c>
      <c r="I1032" s="11" t="s">
        <v>28</v>
      </c>
      <c r="J1032" s="11" t="s">
        <v>28</v>
      </c>
      <c r="K1032" s="11" t="s">
        <v>28</v>
      </c>
      <c r="L1032" s="11" t="s">
        <v>28</v>
      </c>
      <c r="M1032" s="11" t="s">
        <v>28</v>
      </c>
      <c r="N1032" s="8">
        <v>45292</v>
      </c>
      <c r="O1032" s="9" t="s">
        <v>73</v>
      </c>
      <c r="P1032" s="12" t="s">
        <v>3811</v>
      </c>
      <c r="Q1032" s="9" t="s">
        <v>1035</v>
      </c>
      <c r="R1032" s="14" t="str">
        <f>HYPERLINK("https://my.pitchbook.com?c=280360-54T","View Company Online")</f>
        <v>View Company Online</v>
      </c>
    </row>
    <row r="1033" spans="1:18" hidden="1" x14ac:dyDescent="0.3">
      <c r="A1033" s="15" t="s">
        <v>3812</v>
      </c>
      <c r="B1033" s="15" t="s">
        <v>1545</v>
      </c>
      <c r="C1033" s="18" t="s">
        <v>28</v>
      </c>
      <c r="D1033" s="15" t="s">
        <v>1546</v>
      </c>
      <c r="E1033" s="18" t="s">
        <v>28</v>
      </c>
      <c r="F1033" s="19" t="s">
        <v>28</v>
      </c>
      <c r="G1033" s="19" t="s">
        <v>28</v>
      </c>
      <c r="H1033" s="19" t="s">
        <v>28</v>
      </c>
      <c r="I1033" s="18" t="s">
        <v>28</v>
      </c>
      <c r="J1033" s="18" t="s">
        <v>28</v>
      </c>
      <c r="K1033" s="18" t="s">
        <v>28</v>
      </c>
      <c r="L1033" s="18" t="s">
        <v>28</v>
      </c>
      <c r="M1033" s="18" t="s">
        <v>28</v>
      </c>
      <c r="N1033" s="17">
        <v>45292</v>
      </c>
      <c r="O1033" s="15" t="s">
        <v>52</v>
      </c>
      <c r="P1033" s="16" t="s">
        <v>1651</v>
      </c>
      <c r="Q1033" s="15" t="s">
        <v>75</v>
      </c>
      <c r="R1033" s="13" t="str">
        <f>HYPERLINK("https://my.pitchbook.com?c=269966-71T","View Company Online")</f>
        <v>View Company Online</v>
      </c>
    </row>
    <row r="1034" spans="1:18" hidden="1" x14ac:dyDescent="0.3">
      <c r="A1034" s="9" t="s">
        <v>3813</v>
      </c>
      <c r="B1034" s="9" t="s">
        <v>1825</v>
      </c>
      <c r="C1034" s="11" t="s">
        <v>28</v>
      </c>
      <c r="D1034" s="9" t="s">
        <v>1826</v>
      </c>
      <c r="E1034" s="11" t="s">
        <v>28</v>
      </c>
      <c r="F1034" s="10" t="s">
        <v>28</v>
      </c>
      <c r="G1034" s="10" t="s">
        <v>28</v>
      </c>
      <c r="H1034" s="10" t="s">
        <v>28</v>
      </c>
      <c r="I1034" s="11" t="s">
        <v>28</v>
      </c>
      <c r="J1034" s="11" t="s">
        <v>28</v>
      </c>
      <c r="K1034" s="11" t="s">
        <v>28</v>
      </c>
      <c r="L1034" s="11" t="s">
        <v>28</v>
      </c>
      <c r="M1034" s="11" t="s">
        <v>28</v>
      </c>
      <c r="N1034" s="8">
        <v>45292</v>
      </c>
      <c r="O1034" s="9" t="s">
        <v>52</v>
      </c>
      <c r="P1034" s="12" t="s">
        <v>1258</v>
      </c>
      <c r="Q1034" s="9" t="s">
        <v>75</v>
      </c>
      <c r="R1034" s="14" t="str">
        <f>HYPERLINK("https://my.pitchbook.com?c=272034-01T","View Company Online")</f>
        <v>View Company Online</v>
      </c>
    </row>
    <row r="1035" spans="1:18" hidden="1" x14ac:dyDescent="0.3">
      <c r="A1035" s="15" t="s">
        <v>3814</v>
      </c>
      <c r="B1035" s="15" t="s">
        <v>3815</v>
      </c>
      <c r="C1035" s="18" t="s">
        <v>28</v>
      </c>
      <c r="D1035" s="15" t="s">
        <v>3816</v>
      </c>
      <c r="E1035" s="18" t="s">
        <v>28</v>
      </c>
      <c r="F1035" s="19" t="s">
        <v>28</v>
      </c>
      <c r="G1035" s="19" t="s">
        <v>28</v>
      </c>
      <c r="H1035" s="19" t="s">
        <v>28</v>
      </c>
      <c r="I1035" s="18" t="s">
        <v>28</v>
      </c>
      <c r="J1035" s="18" t="s">
        <v>28</v>
      </c>
      <c r="K1035" s="18" t="s">
        <v>28</v>
      </c>
      <c r="L1035" s="18" t="s">
        <v>28</v>
      </c>
      <c r="M1035" s="18" t="s">
        <v>28</v>
      </c>
      <c r="N1035" s="17">
        <v>45292</v>
      </c>
      <c r="O1035" s="15" t="s">
        <v>52</v>
      </c>
      <c r="P1035" s="16" t="s">
        <v>375</v>
      </c>
      <c r="Q1035" s="15" t="s">
        <v>583</v>
      </c>
      <c r="R1035" s="13" t="str">
        <f>HYPERLINK("https://my.pitchbook.com?c=294407-29T","View Company Online")</f>
        <v>View Company Online</v>
      </c>
    </row>
    <row r="1036" spans="1:18" hidden="1" x14ac:dyDescent="0.3">
      <c r="A1036" s="9" t="s">
        <v>3817</v>
      </c>
      <c r="B1036" s="9" t="s">
        <v>2734</v>
      </c>
      <c r="C1036" s="11" t="s">
        <v>28</v>
      </c>
      <c r="D1036" s="9" t="s">
        <v>2735</v>
      </c>
      <c r="E1036" s="11" t="s">
        <v>28</v>
      </c>
      <c r="F1036" s="10" t="s">
        <v>28</v>
      </c>
      <c r="G1036" s="10" t="s">
        <v>28</v>
      </c>
      <c r="H1036" s="10" t="s">
        <v>28</v>
      </c>
      <c r="I1036" s="11" t="s">
        <v>28</v>
      </c>
      <c r="J1036" s="11" t="s">
        <v>28</v>
      </c>
      <c r="K1036" s="11" t="s">
        <v>28</v>
      </c>
      <c r="L1036" s="11" t="s">
        <v>28</v>
      </c>
      <c r="M1036" s="11" t="s">
        <v>28</v>
      </c>
      <c r="N1036" s="8">
        <v>45292</v>
      </c>
      <c r="O1036" s="9" t="s">
        <v>52</v>
      </c>
      <c r="P1036" s="12" t="s">
        <v>3818</v>
      </c>
      <c r="Q1036" s="9" t="s">
        <v>1035</v>
      </c>
      <c r="R1036" s="14" t="str">
        <f>HYPERLINK("https://my.pitchbook.com?c=292585-69T","View Company Online")</f>
        <v>View Company Online</v>
      </c>
    </row>
    <row r="1037" spans="1:18" hidden="1" x14ac:dyDescent="0.3">
      <c r="A1037" s="15" t="s">
        <v>3819</v>
      </c>
      <c r="B1037" s="15" t="s">
        <v>3820</v>
      </c>
      <c r="C1037" s="18" t="s">
        <v>28</v>
      </c>
      <c r="D1037" s="15" t="s">
        <v>3821</v>
      </c>
      <c r="E1037" s="18" t="s">
        <v>28</v>
      </c>
      <c r="F1037" s="19" t="s">
        <v>28</v>
      </c>
      <c r="G1037" s="19" t="s">
        <v>28</v>
      </c>
      <c r="H1037" s="19" t="s">
        <v>28</v>
      </c>
      <c r="I1037" s="18" t="s">
        <v>28</v>
      </c>
      <c r="J1037" s="18" t="s">
        <v>28</v>
      </c>
      <c r="K1037" s="18" t="s">
        <v>28</v>
      </c>
      <c r="L1037" s="18" t="s">
        <v>28</v>
      </c>
      <c r="M1037" s="18" t="s">
        <v>28</v>
      </c>
      <c r="N1037" s="17">
        <v>45292</v>
      </c>
      <c r="O1037" s="15" t="s">
        <v>52</v>
      </c>
      <c r="P1037" s="16" t="s">
        <v>28</v>
      </c>
      <c r="Q1037" s="15" t="s">
        <v>95</v>
      </c>
      <c r="R1037" s="13" t="str">
        <f>HYPERLINK("https://my.pitchbook.com?c=298892-35T","View Company Online")</f>
        <v>View Company Online</v>
      </c>
    </row>
    <row r="1038" spans="1:18" hidden="1" x14ac:dyDescent="0.3">
      <c r="A1038" s="9" t="s">
        <v>3822</v>
      </c>
      <c r="B1038" s="9" t="s">
        <v>3823</v>
      </c>
      <c r="C1038" s="11" t="s">
        <v>28</v>
      </c>
      <c r="D1038" s="9" t="s">
        <v>3824</v>
      </c>
      <c r="E1038" s="11" t="s">
        <v>28</v>
      </c>
      <c r="F1038" s="10" t="s">
        <v>28</v>
      </c>
      <c r="G1038" s="10" t="s">
        <v>28</v>
      </c>
      <c r="H1038" s="10" t="s">
        <v>28</v>
      </c>
      <c r="I1038" s="11" t="s">
        <v>28</v>
      </c>
      <c r="J1038" s="11" t="s">
        <v>28</v>
      </c>
      <c r="K1038" s="11" t="s">
        <v>28</v>
      </c>
      <c r="L1038" s="11" t="s">
        <v>28</v>
      </c>
      <c r="M1038" s="11" t="s">
        <v>28</v>
      </c>
      <c r="N1038" s="8">
        <v>45292</v>
      </c>
      <c r="O1038" s="9" t="s">
        <v>73</v>
      </c>
      <c r="P1038" s="12" t="s">
        <v>3825</v>
      </c>
      <c r="Q1038" s="9" t="s">
        <v>75</v>
      </c>
      <c r="R1038" s="14" t="str">
        <f>HYPERLINK("https://my.pitchbook.com?c=276750-55T","View Company Online")</f>
        <v>View Company Online</v>
      </c>
    </row>
    <row r="1039" spans="1:18" hidden="1" x14ac:dyDescent="0.3">
      <c r="A1039" s="15" t="s">
        <v>3826</v>
      </c>
      <c r="B1039" s="15" t="s">
        <v>3827</v>
      </c>
      <c r="C1039" s="18" t="s">
        <v>28</v>
      </c>
      <c r="D1039" s="15" t="s">
        <v>3828</v>
      </c>
      <c r="E1039" s="18" t="s">
        <v>28</v>
      </c>
      <c r="F1039" s="19" t="s">
        <v>28</v>
      </c>
      <c r="G1039" s="19" t="s">
        <v>28</v>
      </c>
      <c r="H1039" s="19" t="s">
        <v>28</v>
      </c>
      <c r="I1039" s="18" t="s">
        <v>28</v>
      </c>
      <c r="J1039" s="18" t="s">
        <v>28</v>
      </c>
      <c r="K1039" s="18" t="s">
        <v>28</v>
      </c>
      <c r="L1039" s="18" t="s">
        <v>28</v>
      </c>
      <c r="M1039" s="18" t="s">
        <v>28</v>
      </c>
      <c r="N1039" s="17">
        <v>45292</v>
      </c>
      <c r="O1039" s="15" t="s">
        <v>52</v>
      </c>
      <c r="P1039" s="16" t="s">
        <v>2493</v>
      </c>
      <c r="Q1039" s="15" t="s">
        <v>75</v>
      </c>
      <c r="R1039" s="13" t="str">
        <f>HYPERLINK("https://my.pitchbook.com?c=277385-95T","View Company Online")</f>
        <v>View Company Online</v>
      </c>
    </row>
    <row r="1040" spans="1:18" hidden="1" x14ac:dyDescent="0.3">
      <c r="A1040" s="9" t="s">
        <v>3829</v>
      </c>
      <c r="B1040" s="9" t="s">
        <v>3830</v>
      </c>
      <c r="C1040" s="11" t="s">
        <v>28</v>
      </c>
      <c r="D1040" s="9" t="s">
        <v>3831</v>
      </c>
      <c r="E1040" s="11" t="s">
        <v>28</v>
      </c>
      <c r="F1040" s="10" t="s">
        <v>28</v>
      </c>
      <c r="G1040" s="10">
        <v>0.13</v>
      </c>
      <c r="H1040" s="10" t="s">
        <v>28</v>
      </c>
      <c r="I1040" s="11" t="s">
        <v>28</v>
      </c>
      <c r="J1040" s="11" t="s">
        <v>28</v>
      </c>
      <c r="K1040" s="11" t="s">
        <v>28</v>
      </c>
      <c r="L1040" s="11" t="s">
        <v>28</v>
      </c>
      <c r="M1040" s="11" t="s">
        <v>28</v>
      </c>
      <c r="N1040" s="8">
        <v>45292</v>
      </c>
      <c r="O1040" s="9" t="s">
        <v>99</v>
      </c>
      <c r="P1040" s="12" t="s">
        <v>1964</v>
      </c>
      <c r="Q1040" s="9" t="s">
        <v>75</v>
      </c>
      <c r="R1040" s="14" t="str">
        <f>HYPERLINK("https://my.pitchbook.com?c=258217-21T","View Company Online")</f>
        <v>View Company Online</v>
      </c>
    </row>
    <row r="1041" spans="1:18" hidden="1" x14ac:dyDescent="0.3">
      <c r="A1041" s="15" t="s">
        <v>3832</v>
      </c>
      <c r="B1041" s="15" t="s">
        <v>1506</v>
      </c>
      <c r="C1041" s="18" t="s">
        <v>28</v>
      </c>
      <c r="D1041" s="15" t="s">
        <v>1507</v>
      </c>
      <c r="E1041" s="18" t="s">
        <v>28</v>
      </c>
      <c r="F1041" s="19" t="s">
        <v>28</v>
      </c>
      <c r="G1041" s="19" t="s">
        <v>28</v>
      </c>
      <c r="H1041" s="19" t="s">
        <v>28</v>
      </c>
      <c r="I1041" s="18" t="s">
        <v>28</v>
      </c>
      <c r="J1041" s="18" t="s">
        <v>28</v>
      </c>
      <c r="K1041" s="18" t="s">
        <v>28</v>
      </c>
      <c r="L1041" s="18" t="s">
        <v>28</v>
      </c>
      <c r="M1041" s="18" t="s">
        <v>28</v>
      </c>
      <c r="N1041" s="17">
        <v>45292</v>
      </c>
      <c r="O1041" s="15" t="s">
        <v>52</v>
      </c>
      <c r="P1041" s="16" t="s">
        <v>3833</v>
      </c>
      <c r="Q1041" s="15" t="s">
        <v>249</v>
      </c>
      <c r="R1041" s="13" t="str">
        <f>HYPERLINK("https://my.pitchbook.com?c=285977-62T","View Company Online")</f>
        <v>View Company Online</v>
      </c>
    </row>
    <row r="1042" spans="1:18" hidden="1" x14ac:dyDescent="0.3">
      <c r="A1042" s="9" t="s">
        <v>3834</v>
      </c>
      <c r="B1042" s="9" t="s">
        <v>3835</v>
      </c>
      <c r="C1042" s="11" t="s">
        <v>28</v>
      </c>
      <c r="D1042" s="9" t="s">
        <v>3836</v>
      </c>
      <c r="E1042" s="11" t="s">
        <v>28</v>
      </c>
      <c r="F1042" s="10" t="s">
        <v>28</v>
      </c>
      <c r="G1042" s="10" t="s">
        <v>28</v>
      </c>
      <c r="H1042" s="10" t="s">
        <v>28</v>
      </c>
      <c r="I1042" s="11" t="s">
        <v>28</v>
      </c>
      <c r="J1042" s="11" t="s">
        <v>28</v>
      </c>
      <c r="K1042" s="11" t="s">
        <v>28</v>
      </c>
      <c r="L1042" s="11" t="s">
        <v>28</v>
      </c>
      <c r="M1042" s="11" t="s">
        <v>28</v>
      </c>
      <c r="N1042" s="8">
        <v>45292</v>
      </c>
      <c r="O1042" s="9" t="s">
        <v>52</v>
      </c>
      <c r="P1042" s="12" t="s">
        <v>2736</v>
      </c>
      <c r="Q1042" s="9" t="s">
        <v>75</v>
      </c>
      <c r="R1042" s="14" t="str">
        <f>HYPERLINK("https://my.pitchbook.com?c=292596-94T","View Company Online")</f>
        <v>View Company Online</v>
      </c>
    </row>
    <row r="1043" spans="1:18" hidden="1" x14ac:dyDescent="0.3">
      <c r="A1043" s="15" t="s">
        <v>3837</v>
      </c>
      <c r="B1043" s="15" t="s">
        <v>3838</v>
      </c>
      <c r="C1043" s="18" t="s">
        <v>28</v>
      </c>
      <c r="D1043" s="15" t="s">
        <v>3839</v>
      </c>
      <c r="E1043" s="18" t="s">
        <v>28</v>
      </c>
      <c r="F1043" s="19" t="s">
        <v>28</v>
      </c>
      <c r="G1043" s="19">
        <v>0.13</v>
      </c>
      <c r="H1043" s="19" t="s">
        <v>28</v>
      </c>
      <c r="I1043" s="18" t="s">
        <v>28</v>
      </c>
      <c r="J1043" s="18" t="s">
        <v>28</v>
      </c>
      <c r="K1043" s="18" t="s">
        <v>28</v>
      </c>
      <c r="L1043" s="18" t="s">
        <v>28</v>
      </c>
      <c r="M1043" s="18" t="s">
        <v>28</v>
      </c>
      <c r="N1043" s="17">
        <v>45292</v>
      </c>
      <c r="O1043" s="15" t="s">
        <v>99</v>
      </c>
      <c r="P1043" s="16" t="s">
        <v>1964</v>
      </c>
      <c r="Q1043" s="15" t="s">
        <v>263</v>
      </c>
      <c r="R1043" s="13" t="str">
        <f>HYPERLINK("https://my.pitchbook.com?c=258217-39T","View Company Online")</f>
        <v>View Company Online</v>
      </c>
    </row>
    <row r="1044" spans="1:18" hidden="1" x14ac:dyDescent="0.3">
      <c r="A1044" s="9" t="s">
        <v>3840</v>
      </c>
      <c r="B1044" s="9" t="s">
        <v>3841</v>
      </c>
      <c r="C1044" s="11" t="s">
        <v>28</v>
      </c>
      <c r="D1044" s="9" t="s">
        <v>3842</v>
      </c>
      <c r="E1044" s="11" t="s">
        <v>28</v>
      </c>
      <c r="F1044" s="10" t="s">
        <v>28</v>
      </c>
      <c r="G1044" s="10" t="s">
        <v>28</v>
      </c>
      <c r="H1044" s="10" t="s">
        <v>28</v>
      </c>
      <c r="I1044" s="11" t="s">
        <v>28</v>
      </c>
      <c r="J1044" s="11" t="s">
        <v>28</v>
      </c>
      <c r="K1044" s="11" t="s">
        <v>28</v>
      </c>
      <c r="L1044" s="11" t="s">
        <v>28</v>
      </c>
      <c r="M1044" s="11" t="s">
        <v>28</v>
      </c>
      <c r="N1044" s="8">
        <v>45292</v>
      </c>
      <c r="O1044" s="9" t="s">
        <v>73</v>
      </c>
      <c r="P1044" s="12" t="s">
        <v>123</v>
      </c>
      <c r="Q1044" s="9" t="s">
        <v>114</v>
      </c>
      <c r="R1044" s="14" t="str">
        <f>HYPERLINK("https://my.pitchbook.com?c=248739-76T","View Company Online")</f>
        <v>View Company Online</v>
      </c>
    </row>
    <row r="1045" spans="1:18" hidden="1" x14ac:dyDescent="0.3">
      <c r="A1045" s="15" t="s">
        <v>3843</v>
      </c>
      <c r="B1045" s="15" t="s">
        <v>3844</v>
      </c>
      <c r="C1045" s="18" t="s">
        <v>28</v>
      </c>
      <c r="D1045" s="15" t="s">
        <v>3845</v>
      </c>
      <c r="E1045" s="18" t="s">
        <v>28</v>
      </c>
      <c r="F1045" s="19" t="s">
        <v>28</v>
      </c>
      <c r="G1045" s="19" t="s">
        <v>28</v>
      </c>
      <c r="H1045" s="19" t="s">
        <v>28</v>
      </c>
      <c r="I1045" s="18" t="s">
        <v>28</v>
      </c>
      <c r="J1045" s="18" t="s">
        <v>28</v>
      </c>
      <c r="K1045" s="18" t="s">
        <v>28</v>
      </c>
      <c r="L1045" s="18" t="s">
        <v>28</v>
      </c>
      <c r="M1045" s="18" t="s">
        <v>28</v>
      </c>
      <c r="N1045" s="17">
        <v>45292</v>
      </c>
      <c r="O1045" s="15" t="s">
        <v>52</v>
      </c>
      <c r="P1045" s="16" t="s">
        <v>3846</v>
      </c>
      <c r="Q1045" s="15" t="s">
        <v>414</v>
      </c>
      <c r="R1045" s="13" t="str">
        <f>HYPERLINK("https://my.pitchbook.com?c=265788-64T","View Company Online")</f>
        <v>View Company Online</v>
      </c>
    </row>
    <row r="1046" spans="1:18" hidden="1" x14ac:dyDescent="0.3">
      <c r="A1046" s="9" t="s">
        <v>3847</v>
      </c>
      <c r="B1046" s="9" t="s">
        <v>3848</v>
      </c>
      <c r="C1046" s="11" t="s">
        <v>28</v>
      </c>
      <c r="D1046" s="9" t="s">
        <v>3849</v>
      </c>
      <c r="E1046" s="11" t="s">
        <v>28</v>
      </c>
      <c r="F1046" s="10" t="s">
        <v>28</v>
      </c>
      <c r="G1046" s="10" t="s">
        <v>28</v>
      </c>
      <c r="H1046" s="10" t="s">
        <v>28</v>
      </c>
      <c r="I1046" s="11" t="s">
        <v>28</v>
      </c>
      <c r="J1046" s="11" t="s">
        <v>28</v>
      </c>
      <c r="K1046" s="11" t="s">
        <v>28</v>
      </c>
      <c r="L1046" s="11" t="s">
        <v>28</v>
      </c>
      <c r="M1046" s="11" t="s">
        <v>28</v>
      </c>
      <c r="N1046" s="8">
        <v>45292</v>
      </c>
      <c r="O1046" s="9" t="s">
        <v>52</v>
      </c>
      <c r="P1046" s="12" t="s">
        <v>2830</v>
      </c>
      <c r="Q1046" s="9" t="s">
        <v>75</v>
      </c>
      <c r="R1046" s="14" t="str">
        <f>HYPERLINK("https://my.pitchbook.com?c=293654-80T","View Company Online")</f>
        <v>View Company Online</v>
      </c>
    </row>
    <row r="1047" spans="1:18" hidden="1" x14ac:dyDescent="0.3">
      <c r="A1047" s="15" t="s">
        <v>3850</v>
      </c>
      <c r="B1047" s="15" t="s">
        <v>3851</v>
      </c>
      <c r="C1047" s="18" t="s">
        <v>28</v>
      </c>
      <c r="D1047" s="15" t="s">
        <v>3852</v>
      </c>
      <c r="E1047" s="18" t="s">
        <v>28</v>
      </c>
      <c r="F1047" s="19" t="s">
        <v>28</v>
      </c>
      <c r="G1047" s="19" t="s">
        <v>28</v>
      </c>
      <c r="H1047" s="19" t="s">
        <v>28</v>
      </c>
      <c r="I1047" s="18" t="s">
        <v>28</v>
      </c>
      <c r="J1047" s="18" t="s">
        <v>28</v>
      </c>
      <c r="K1047" s="18" t="s">
        <v>28</v>
      </c>
      <c r="L1047" s="18" t="s">
        <v>28</v>
      </c>
      <c r="M1047" s="18" t="s">
        <v>28</v>
      </c>
      <c r="N1047" s="17">
        <v>45292</v>
      </c>
      <c r="O1047" s="15" t="s">
        <v>52</v>
      </c>
      <c r="P1047" s="16" t="s">
        <v>2830</v>
      </c>
      <c r="Q1047" s="15" t="s">
        <v>75</v>
      </c>
      <c r="R1047" s="13" t="str">
        <f>HYPERLINK("https://my.pitchbook.com?c=293679-37T","View Company Online")</f>
        <v>View Company Online</v>
      </c>
    </row>
    <row r="1048" spans="1:18" hidden="1" x14ac:dyDescent="0.3">
      <c r="A1048" s="9" t="s">
        <v>3853</v>
      </c>
      <c r="B1048" s="9" t="s">
        <v>3854</v>
      </c>
      <c r="C1048" s="11" t="s">
        <v>28</v>
      </c>
      <c r="D1048" s="9" t="s">
        <v>3855</v>
      </c>
      <c r="E1048" s="11" t="s">
        <v>28</v>
      </c>
      <c r="F1048" s="10" t="s">
        <v>28</v>
      </c>
      <c r="G1048" s="10" t="s">
        <v>28</v>
      </c>
      <c r="H1048" s="10" t="s">
        <v>28</v>
      </c>
      <c r="I1048" s="11" t="s">
        <v>28</v>
      </c>
      <c r="J1048" s="11" t="s">
        <v>28</v>
      </c>
      <c r="K1048" s="11">
        <v>6</v>
      </c>
      <c r="L1048" s="11" t="s">
        <v>28</v>
      </c>
      <c r="M1048" s="11" t="s">
        <v>28</v>
      </c>
      <c r="N1048" s="8">
        <v>45292</v>
      </c>
      <c r="O1048" s="9" t="s">
        <v>52</v>
      </c>
      <c r="P1048" s="12" t="s">
        <v>2442</v>
      </c>
      <c r="Q1048" s="9" t="s">
        <v>263</v>
      </c>
      <c r="R1048" s="14" t="str">
        <f>HYPERLINK("https://my.pitchbook.com?c=262015-21T","View Company Online")</f>
        <v>View Company Online</v>
      </c>
    </row>
    <row r="1049" spans="1:18" hidden="1" x14ac:dyDescent="0.3">
      <c r="A1049" s="15" t="s">
        <v>3856</v>
      </c>
      <c r="B1049" s="15" t="s">
        <v>3857</v>
      </c>
      <c r="C1049" s="18" t="s">
        <v>28</v>
      </c>
      <c r="D1049" s="15" t="s">
        <v>3858</v>
      </c>
      <c r="E1049" s="18" t="s">
        <v>28</v>
      </c>
      <c r="F1049" s="19" t="s">
        <v>28</v>
      </c>
      <c r="G1049" s="19">
        <v>0.15</v>
      </c>
      <c r="H1049" s="19" t="s">
        <v>28</v>
      </c>
      <c r="I1049" s="18" t="s">
        <v>28</v>
      </c>
      <c r="J1049" s="18" t="s">
        <v>28</v>
      </c>
      <c r="K1049" s="18" t="s">
        <v>28</v>
      </c>
      <c r="L1049" s="18" t="s">
        <v>28</v>
      </c>
      <c r="M1049" s="18" t="s">
        <v>28</v>
      </c>
      <c r="N1049" s="17">
        <v>45292</v>
      </c>
      <c r="O1049" s="15" t="s">
        <v>99</v>
      </c>
      <c r="P1049" s="16" t="s">
        <v>1964</v>
      </c>
      <c r="Q1049" s="15" t="s">
        <v>75</v>
      </c>
      <c r="R1049" s="13" t="str">
        <f>HYPERLINK("https://my.pitchbook.com?c=258241-51T","View Company Online")</f>
        <v>View Company Online</v>
      </c>
    </row>
    <row r="1050" spans="1:18" hidden="1" x14ac:dyDescent="0.3">
      <c r="A1050" s="9" t="s">
        <v>3859</v>
      </c>
      <c r="B1050" s="9" t="s">
        <v>1634</v>
      </c>
      <c r="C1050" s="11" t="s">
        <v>28</v>
      </c>
      <c r="D1050" s="9" t="s">
        <v>1635</v>
      </c>
      <c r="E1050" s="11" t="s">
        <v>28</v>
      </c>
      <c r="F1050" s="10" t="s">
        <v>28</v>
      </c>
      <c r="G1050" s="10" t="s">
        <v>28</v>
      </c>
      <c r="H1050" s="10" t="s">
        <v>28</v>
      </c>
      <c r="I1050" s="11" t="s">
        <v>28</v>
      </c>
      <c r="J1050" s="11" t="s">
        <v>28</v>
      </c>
      <c r="K1050" s="11" t="s">
        <v>28</v>
      </c>
      <c r="L1050" s="11" t="s">
        <v>28</v>
      </c>
      <c r="M1050" s="11" t="s">
        <v>28</v>
      </c>
      <c r="N1050" s="8">
        <v>45292</v>
      </c>
      <c r="O1050" s="9" t="s">
        <v>52</v>
      </c>
      <c r="P1050" s="12" t="s">
        <v>1662</v>
      </c>
      <c r="Q1050" s="9" t="s">
        <v>75</v>
      </c>
      <c r="R1050" s="14" t="str">
        <f>HYPERLINK("https://my.pitchbook.com?c=270443-17T","View Company Online")</f>
        <v>View Company Online</v>
      </c>
    </row>
    <row r="1051" spans="1:18" hidden="1" x14ac:dyDescent="0.3">
      <c r="A1051" s="15" t="s">
        <v>3860</v>
      </c>
      <c r="B1051" s="15" t="s">
        <v>3861</v>
      </c>
      <c r="C1051" s="18" t="s">
        <v>28</v>
      </c>
      <c r="D1051" s="15" t="s">
        <v>3862</v>
      </c>
      <c r="E1051" s="18" t="s">
        <v>28</v>
      </c>
      <c r="F1051" s="19" t="s">
        <v>28</v>
      </c>
      <c r="G1051" s="19" t="s">
        <v>28</v>
      </c>
      <c r="H1051" s="19" t="s">
        <v>28</v>
      </c>
      <c r="I1051" s="18" t="s">
        <v>28</v>
      </c>
      <c r="J1051" s="18" t="s">
        <v>28</v>
      </c>
      <c r="K1051" s="18" t="s">
        <v>28</v>
      </c>
      <c r="L1051" s="18" t="s">
        <v>28</v>
      </c>
      <c r="M1051" s="18" t="s">
        <v>28</v>
      </c>
      <c r="N1051" s="17">
        <v>45292</v>
      </c>
      <c r="O1051" s="15" t="s">
        <v>52</v>
      </c>
      <c r="P1051" s="16" t="s">
        <v>2830</v>
      </c>
      <c r="Q1051" s="15" t="s">
        <v>75</v>
      </c>
      <c r="R1051" s="13" t="str">
        <f>HYPERLINK("https://my.pitchbook.com?c=293633-83T","View Company Online")</f>
        <v>View Company Online</v>
      </c>
    </row>
    <row r="1052" spans="1:18" hidden="1" x14ac:dyDescent="0.3">
      <c r="A1052" s="9" t="s">
        <v>3863</v>
      </c>
      <c r="B1052" s="9" t="s">
        <v>3864</v>
      </c>
      <c r="C1052" s="11" t="s">
        <v>28</v>
      </c>
      <c r="D1052" s="9" t="s">
        <v>3865</v>
      </c>
      <c r="E1052" s="11" t="s">
        <v>28</v>
      </c>
      <c r="F1052" s="10" t="s">
        <v>28</v>
      </c>
      <c r="G1052" s="10" t="s">
        <v>28</v>
      </c>
      <c r="H1052" s="10" t="s">
        <v>28</v>
      </c>
      <c r="I1052" s="11" t="s">
        <v>28</v>
      </c>
      <c r="J1052" s="11" t="s">
        <v>28</v>
      </c>
      <c r="K1052" s="11" t="s">
        <v>28</v>
      </c>
      <c r="L1052" s="11" t="s">
        <v>28</v>
      </c>
      <c r="M1052" s="11" t="s">
        <v>28</v>
      </c>
      <c r="N1052" s="8">
        <v>45292</v>
      </c>
      <c r="O1052" s="9" t="s">
        <v>52</v>
      </c>
      <c r="P1052" s="12" t="s">
        <v>2830</v>
      </c>
      <c r="Q1052" s="9" t="s">
        <v>75</v>
      </c>
      <c r="R1052" s="14" t="str">
        <f>HYPERLINK("https://my.pitchbook.com?c=293630-59T","View Company Online")</f>
        <v>View Company Online</v>
      </c>
    </row>
    <row r="1053" spans="1:18" hidden="1" x14ac:dyDescent="0.3">
      <c r="A1053" s="15" t="s">
        <v>3866</v>
      </c>
      <c r="B1053" s="15" t="s">
        <v>3867</v>
      </c>
      <c r="C1053" s="18" t="s">
        <v>28</v>
      </c>
      <c r="D1053" s="15" t="s">
        <v>3868</v>
      </c>
      <c r="E1053" s="18" t="s">
        <v>28</v>
      </c>
      <c r="F1053" s="19" t="s">
        <v>28</v>
      </c>
      <c r="G1053" s="19" t="s">
        <v>28</v>
      </c>
      <c r="H1053" s="19" t="s">
        <v>28</v>
      </c>
      <c r="I1053" s="18" t="s">
        <v>28</v>
      </c>
      <c r="J1053" s="18" t="s">
        <v>28</v>
      </c>
      <c r="K1053" s="18" t="s">
        <v>28</v>
      </c>
      <c r="L1053" s="18" t="s">
        <v>28</v>
      </c>
      <c r="M1053" s="18" t="s">
        <v>28</v>
      </c>
      <c r="N1053" s="17">
        <v>45292</v>
      </c>
      <c r="O1053" s="15" t="s">
        <v>52</v>
      </c>
      <c r="P1053" s="16" t="s">
        <v>3869</v>
      </c>
      <c r="Q1053" s="15" t="s">
        <v>37</v>
      </c>
      <c r="R1053" s="13" t="str">
        <f>HYPERLINK("https://my.pitchbook.com?c=290026-54T","View Company Online")</f>
        <v>View Company Online</v>
      </c>
    </row>
    <row r="1054" spans="1:18" hidden="1" x14ac:dyDescent="0.3">
      <c r="A1054" s="9" t="s">
        <v>3870</v>
      </c>
      <c r="B1054" s="9" t="s">
        <v>3871</v>
      </c>
      <c r="C1054" s="11" t="s">
        <v>28</v>
      </c>
      <c r="D1054" s="9" t="s">
        <v>3872</v>
      </c>
      <c r="E1054" s="11" t="s">
        <v>28</v>
      </c>
      <c r="F1054" s="10" t="s">
        <v>28</v>
      </c>
      <c r="G1054" s="10" t="s">
        <v>28</v>
      </c>
      <c r="H1054" s="10" t="s">
        <v>28</v>
      </c>
      <c r="I1054" s="11" t="s">
        <v>28</v>
      </c>
      <c r="J1054" s="11" t="s">
        <v>28</v>
      </c>
      <c r="K1054" s="11" t="s">
        <v>28</v>
      </c>
      <c r="L1054" s="11" t="s">
        <v>28</v>
      </c>
      <c r="M1054" s="11" t="s">
        <v>28</v>
      </c>
      <c r="N1054" s="8">
        <v>45292</v>
      </c>
      <c r="O1054" s="9" t="s">
        <v>52</v>
      </c>
      <c r="P1054" s="12" t="s">
        <v>2493</v>
      </c>
      <c r="Q1054" s="9" t="s">
        <v>37</v>
      </c>
      <c r="R1054" s="14" t="str">
        <f>HYPERLINK("https://my.pitchbook.com?c=277155-46T","View Company Online")</f>
        <v>View Company Online</v>
      </c>
    </row>
    <row r="1055" spans="1:18" hidden="1" x14ac:dyDescent="0.3">
      <c r="A1055" s="15" t="s">
        <v>3873</v>
      </c>
      <c r="B1055" s="15" t="s">
        <v>3874</v>
      </c>
      <c r="C1055" s="18" t="s">
        <v>28</v>
      </c>
      <c r="D1055" s="15" t="s">
        <v>3875</v>
      </c>
      <c r="E1055" s="18" t="s">
        <v>28</v>
      </c>
      <c r="F1055" s="19" t="s">
        <v>28</v>
      </c>
      <c r="G1055" s="19" t="s">
        <v>28</v>
      </c>
      <c r="H1055" s="19" t="s">
        <v>28</v>
      </c>
      <c r="I1055" s="18" t="s">
        <v>28</v>
      </c>
      <c r="J1055" s="18" t="s">
        <v>28</v>
      </c>
      <c r="K1055" s="18" t="s">
        <v>28</v>
      </c>
      <c r="L1055" s="18" t="s">
        <v>28</v>
      </c>
      <c r="M1055" s="18" t="s">
        <v>28</v>
      </c>
      <c r="N1055" s="17">
        <v>45292</v>
      </c>
      <c r="O1055" s="15" t="s">
        <v>52</v>
      </c>
      <c r="P1055" s="16" t="s">
        <v>1970</v>
      </c>
      <c r="Q1055" s="15" t="s">
        <v>75</v>
      </c>
      <c r="R1055" s="13" t="str">
        <f>HYPERLINK("https://my.pitchbook.com?c=291908-35T","View Company Online")</f>
        <v>View Company Online</v>
      </c>
    </row>
    <row r="1056" spans="1:18" hidden="1" x14ac:dyDescent="0.3">
      <c r="A1056" s="9" t="s">
        <v>3876</v>
      </c>
      <c r="B1056" s="9" t="s">
        <v>3877</v>
      </c>
      <c r="C1056" s="11" t="s">
        <v>28</v>
      </c>
      <c r="D1056" s="9" t="s">
        <v>3878</v>
      </c>
      <c r="E1056" s="11" t="s">
        <v>28</v>
      </c>
      <c r="F1056" s="10" t="s">
        <v>28</v>
      </c>
      <c r="G1056" s="10">
        <v>0.36</v>
      </c>
      <c r="H1056" s="10" t="s">
        <v>28</v>
      </c>
      <c r="I1056" s="11" t="s">
        <v>28</v>
      </c>
      <c r="J1056" s="11" t="s">
        <v>28</v>
      </c>
      <c r="K1056" s="11" t="s">
        <v>28</v>
      </c>
      <c r="L1056" s="11" t="s">
        <v>28</v>
      </c>
      <c r="M1056" s="11" t="s">
        <v>28</v>
      </c>
      <c r="N1056" s="8">
        <v>45292</v>
      </c>
      <c r="O1056" s="9" t="s">
        <v>1639</v>
      </c>
      <c r="P1056" s="12" t="s">
        <v>28</v>
      </c>
      <c r="Q1056" s="9" t="s">
        <v>75</v>
      </c>
      <c r="R1056" s="14" t="str">
        <f>HYPERLINK("https://my.pitchbook.com?c=248345-20T","View Company Online")</f>
        <v>View Company Online</v>
      </c>
    </row>
    <row r="1057" spans="1:18" hidden="1" x14ac:dyDescent="0.3">
      <c r="A1057" s="15" t="s">
        <v>3879</v>
      </c>
      <c r="B1057" s="15" t="s">
        <v>1215</v>
      </c>
      <c r="C1057" s="18" t="s">
        <v>28</v>
      </c>
      <c r="D1057" s="15" t="s">
        <v>1216</v>
      </c>
      <c r="E1057" s="18" t="s">
        <v>28</v>
      </c>
      <c r="F1057" s="19" t="s">
        <v>28</v>
      </c>
      <c r="G1057" s="19" t="s">
        <v>28</v>
      </c>
      <c r="H1057" s="19" t="s">
        <v>28</v>
      </c>
      <c r="I1057" s="18" t="s">
        <v>28</v>
      </c>
      <c r="J1057" s="18" t="s">
        <v>28</v>
      </c>
      <c r="K1057" s="18" t="s">
        <v>28</v>
      </c>
      <c r="L1057" s="18" t="s">
        <v>28</v>
      </c>
      <c r="M1057" s="18" t="s">
        <v>28</v>
      </c>
      <c r="N1057" s="17">
        <v>45292</v>
      </c>
      <c r="O1057" s="15" t="s">
        <v>52</v>
      </c>
      <c r="P1057" s="16" t="s">
        <v>501</v>
      </c>
      <c r="Q1057" s="15" t="s">
        <v>75</v>
      </c>
      <c r="R1057" s="13" t="str">
        <f>HYPERLINK("https://my.pitchbook.com?c=301617-73T","View Company Online")</f>
        <v>View Company Online</v>
      </c>
    </row>
    <row r="1058" spans="1:18" hidden="1" x14ac:dyDescent="0.3">
      <c r="A1058" s="9" t="s">
        <v>3880</v>
      </c>
      <c r="B1058" s="9" t="s">
        <v>3881</v>
      </c>
      <c r="C1058" s="11" t="s">
        <v>28</v>
      </c>
      <c r="D1058" s="9" t="s">
        <v>3882</v>
      </c>
      <c r="E1058" s="11" t="s">
        <v>28</v>
      </c>
      <c r="F1058" s="10" t="s">
        <v>28</v>
      </c>
      <c r="G1058" s="10" t="s">
        <v>28</v>
      </c>
      <c r="H1058" s="10" t="s">
        <v>28</v>
      </c>
      <c r="I1058" s="11" t="s">
        <v>28</v>
      </c>
      <c r="J1058" s="11" t="s">
        <v>28</v>
      </c>
      <c r="K1058" s="11" t="s">
        <v>28</v>
      </c>
      <c r="L1058" s="11" t="s">
        <v>28</v>
      </c>
      <c r="M1058" s="11" t="s">
        <v>28</v>
      </c>
      <c r="N1058" s="8">
        <v>45292</v>
      </c>
      <c r="O1058" s="9" t="s">
        <v>52</v>
      </c>
      <c r="P1058" s="12" t="s">
        <v>1258</v>
      </c>
      <c r="Q1058" s="9" t="s">
        <v>75</v>
      </c>
      <c r="R1058" s="14" t="str">
        <f>HYPERLINK("https://my.pitchbook.com?c=272039-50T","View Company Online")</f>
        <v>View Company Online</v>
      </c>
    </row>
    <row r="1059" spans="1:18" hidden="1" x14ac:dyDescent="0.3">
      <c r="A1059" s="15" t="s">
        <v>3883</v>
      </c>
      <c r="B1059" s="15" t="s">
        <v>3884</v>
      </c>
      <c r="C1059" s="18" t="s">
        <v>28</v>
      </c>
      <c r="D1059" s="15" t="s">
        <v>3885</v>
      </c>
      <c r="E1059" s="18" t="s">
        <v>28</v>
      </c>
      <c r="F1059" s="19" t="s">
        <v>28</v>
      </c>
      <c r="G1059" s="19" t="s">
        <v>28</v>
      </c>
      <c r="H1059" s="19" t="s">
        <v>28</v>
      </c>
      <c r="I1059" s="18" t="s">
        <v>28</v>
      </c>
      <c r="J1059" s="18" t="s">
        <v>28</v>
      </c>
      <c r="K1059" s="18" t="s">
        <v>28</v>
      </c>
      <c r="L1059" s="18" t="s">
        <v>28</v>
      </c>
      <c r="M1059" s="18" t="s">
        <v>28</v>
      </c>
      <c r="N1059" s="17">
        <v>45292</v>
      </c>
      <c r="O1059" s="15" t="s">
        <v>99</v>
      </c>
      <c r="P1059" s="16" t="s">
        <v>497</v>
      </c>
      <c r="Q1059" s="15" t="s">
        <v>75</v>
      </c>
      <c r="R1059" s="13" t="str">
        <f>HYPERLINK("https://my.pitchbook.com?c=271812-97T","View Company Online")</f>
        <v>View Company Online</v>
      </c>
    </row>
    <row r="1060" spans="1:18" hidden="1" x14ac:dyDescent="0.3">
      <c r="A1060" s="9" t="s">
        <v>3886</v>
      </c>
      <c r="B1060" s="9" t="s">
        <v>3887</v>
      </c>
      <c r="C1060" s="11" t="s">
        <v>28</v>
      </c>
      <c r="D1060" s="9" t="s">
        <v>3888</v>
      </c>
      <c r="E1060" s="11" t="s">
        <v>28</v>
      </c>
      <c r="F1060" s="10" t="s">
        <v>28</v>
      </c>
      <c r="G1060" s="10" t="s">
        <v>28</v>
      </c>
      <c r="H1060" s="10" t="s">
        <v>28</v>
      </c>
      <c r="I1060" s="11" t="s">
        <v>28</v>
      </c>
      <c r="J1060" s="11" t="s">
        <v>28</v>
      </c>
      <c r="K1060" s="11" t="s">
        <v>28</v>
      </c>
      <c r="L1060" s="11" t="s">
        <v>28</v>
      </c>
      <c r="M1060" s="11" t="s">
        <v>28</v>
      </c>
      <c r="N1060" s="8">
        <v>45292</v>
      </c>
      <c r="O1060" s="9" t="s">
        <v>52</v>
      </c>
      <c r="P1060" s="12" t="s">
        <v>1970</v>
      </c>
      <c r="Q1060" s="9" t="s">
        <v>75</v>
      </c>
      <c r="R1060" s="14" t="str">
        <f>HYPERLINK("https://my.pitchbook.com?c=291916-09T","View Company Online")</f>
        <v>View Company Online</v>
      </c>
    </row>
    <row r="1061" spans="1:18" hidden="1" x14ac:dyDescent="0.3">
      <c r="A1061" s="15" t="s">
        <v>3889</v>
      </c>
      <c r="B1061" s="15" t="s">
        <v>1496</v>
      </c>
      <c r="C1061" s="18" t="s">
        <v>28</v>
      </c>
      <c r="D1061" s="15" t="s">
        <v>1497</v>
      </c>
      <c r="E1061" s="18" t="s">
        <v>28</v>
      </c>
      <c r="F1061" s="19" t="s">
        <v>28</v>
      </c>
      <c r="G1061" s="19" t="s">
        <v>28</v>
      </c>
      <c r="H1061" s="19" t="s">
        <v>28</v>
      </c>
      <c r="I1061" s="18" t="s">
        <v>28</v>
      </c>
      <c r="J1061" s="18" t="s">
        <v>28</v>
      </c>
      <c r="K1061" s="18" t="s">
        <v>28</v>
      </c>
      <c r="L1061" s="18" t="s">
        <v>28</v>
      </c>
      <c r="M1061" s="18" t="s">
        <v>28</v>
      </c>
      <c r="N1061" s="17">
        <v>45292</v>
      </c>
      <c r="O1061" s="15" t="s">
        <v>52</v>
      </c>
      <c r="P1061" s="16" t="s">
        <v>1258</v>
      </c>
      <c r="Q1061" s="15" t="s">
        <v>37</v>
      </c>
      <c r="R1061" s="13" t="str">
        <f>HYPERLINK("https://my.pitchbook.com?c=272042-20T","View Company Online")</f>
        <v>View Company Online</v>
      </c>
    </row>
    <row r="1062" spans="1:18" hidden="1" x14ac:dyDescent="0.3">
      <c r="A1062" s="9" t="s">
        <v>3890</v>
      </c>
      <c r="B1062" s="9" t="s">
        <v>3891</v>
      </c>
      <c r="C1062" s="11" t="s">
        <v>28</v>
      </c>
      <c r="D1062" s="9" t="s">
        <v>3892</v>
      </c>
      <c r="E1062" s="11" t="s">
        <v>28</v>
      </c>
      <c r="F1062" s="10" t="s">
        <v>28</v>
      </c>
      <c r="G1062" s="10" t="s">
        <v>28</v>
      </c>
      <c r="H1062" s="10" t="s">
        <v>28</v>
      </c>
      <c r="I1062" s="11" t="s">
        <v>28</v>
      </c>
      <c r="J1062" s="11" t="s">
        <v>28</v>
      </c>
      <c r="K1062" s="11" t="s">
        <v>28</v>
      </c>
      <c r="L1062" s="11" t="s">
        <v>28</v>
      </c>
      <c r="M1062" s="11" t="s">
        <v>28</v>
      </c>
      <c r="N1062" s="8">
        <v>45292</v>
      </c>
      <c r="O1062" s="9" t="s">
        <v>52</v>
      </c>
      <c r="P1062" s="12" t="s">
        <v>3893</v>
      </c>
      <c r="Q1062" s="9" t="s">
        <v>119</v>
      </c>
      <c r="R1062" s="14" t="str">
        <f>HYPERLINK("https://my.pitchbook.com?c=267422-59T","View Company Online")</f>
        <v>View Company Online</v>
      </c>
    </row>
    <row r="1063" spans="1:18" hidden="1" x14ac:dyDescent="0.3">
      <c r="A1063" s="15" t="s">
        <v>3894</v>
      </c>
      <c r="B1063" s="15" t="s">
        <v>3895</v>
      </c>
      <c r="C1063" s="18" t="s">
        <v>28</v>
      </c>
      <c r="D1063" s="15" t="s">
        <v>3896</v>
      </c>
      <c r="E1063" s="18" t="s">
        <v>28</v>
      </c>
      <c r="F1063" s="19" t="s">
        <v>28</v>
      </c>
      <c r="G1063" s="19" t="s">
        <v>28</v>
      </c>
      <c r="H1063" s="19" t="s">
        <v>28</v>
      </c>
      <c r="I1063" s="18" t="s">
        <v>28</v>
      </c>
      <c r="J1063" s="18" t="s">
        <v>28</v>
      </c>
      <c r="K1063" s="18" t="s">
        <v>28</v>
      </c>
      <c r="L1063" s="18" t="s">
        <v>28</v>
      </c>
      <c r="M1063" s="18" t="s">
        <v>28</v>
      </c>
      <c r="N1063" s="17">
        <v>45292</v>
      </c>
      <c r="O1063" s="15" t="s">
        <v>52</v>
      </c>
      <c r="P1063" s="16" t="s">
        <v>1970</v>
      </c>
      <c r="Q1063" s="15" t="s">
        <v>316</v>
      </c>
      <c r="R1063" s="13" t="str">
        <f>HYPERLINK("https://my.pitchbook.com?c=295536-70T","View Company Online")</f>
        <v>View Company Online</v>
      </c>
    </row>
    <row r="1064" spans="1:18" hidden="1" x14ac:dyDescent="0.3">
      <c r="A1064" s="9" t="s">
        <v>3897</v>
      </c>
      <c r="B1064" s="9" t="s">
        <v>2440</v>
      </c>
      <c r="C1064" s="11" t="s">
        <v>28</v>
      </c>
      <c r="D1064" s="9" t="s">
        <v>2441</v>
      </c>
      <c r="E1064" s="11" t="s">
        <v>28</v>
      </c>
      <c r="F1064" s="10" t="s">
        <v>28</v>
      </c>
      <c r="G1064" s="10" t="s">
        <v>28</v>
      </c>
      <c r="H1064" s="10" t="s">
        <v>28</v>
      </c>
      <c r="I1064" s="11" t="s">
        <v>28</v>
      </c>
      <c r="J1064" s="11" t="s">
        <v>28</v>
      </c>
      <c r="K1064" s="11" t="s">
        <v>28</v>
      </c>
      <c r="L1064" s="11" t="s">
        <v>28</v>
      </c>
      <c r="M1064" s="11" t="s">
        <v>28</v>
      </c>
      <c r="N1064" s="8">
        <v>45292</v>
      </c>
      <c r="O1064" s="9" t="s">
        <v>52</v>
      </c>
      <c r="P1064" s="12" t="s">
        <v>1970</v>
      </c>
      <c r="Q1064" s="9" t="s">
        <v>75</v>
      </c>
      <c r="R1064" s="14" t="str">
        <f>HYPERLINK("https://my.pitchbook.com?c=291922-03T","View Company Online")</f>
        <v>View Company Online</v>
      </c>
    </row>
    <row r="1065" spans="1:18" hidden="1" x14ac:dyDescent="0.3">
      <c r="A1065" s="15" t="s">
        <v>3898</v>
      </c>
      <c r="B1065" s="15" t="s">
        <v>3899</v>
      </c>
      <c r="C1065" s="18" t="s">
        <v>28</v>
      </c>
      <c r="D1065" s="15" t="s">
        <v>3900</v>
      </c>
      <c r="E1065" s="18" t="s">
        <v>28</v>
      </c>
      <c r="F1065" s="19" t="s">
        <v>28</v>
      </c>
      <c r="G1065" s="19" t="s">
        <v>28</v>
      </c>
      <c r="H1065" s="19" t="s">
        <v>28</v>
      </c>
      <c r="I1065" s="18" t="s">
        <v>28</v>
      </c>
      <c r="J1065" s="18" t="s">
        <v>28</v>
      </c>
      <c r="K1065" s="18" t="s">
        <v>28</v>
      </c>
      <c r="L1065" s="18" t="s">
        <v>28</v>
      </c>
      <c r="M1065" s="18" t="s">
        <v>28</v>
      </c>
      <c r="N1065" s="17">
        <v>45292</v>
      </c>
      <c r="O1065" s="15" t="s">
        <v>30</v>
      </c>
      <c r="P1065" s="16" t="s">
        <v>3901</v>
      </c>
      <c r="Q1065" s="15" t="s">
        <v>1144</v>
      </c>
      <c r="R1065" s="13" t="str">
        <f>HYPERLINK("https://my.pitchbook.com?c=292224-88T","View Company Online")</f>
        <v>View Company Online</v>
      </c>
    </row>
    <row r="1066" spans="1:18" hidden="1" x14ac:dyDescent="0.3">
      <c r="A1066" s="9" t="s">
        <v>3902</v>
      </c>
      <c r="B1066" s="9" t="s">
        <v>3903</v>
      </c>
      <c r="C1066" s="11" t="s">
        <v>28</v>
      </c>
      <c r="D1066" s="9" t="s">
        <v>3904</v>
      </c>
      <c r="E1066" s="11" t="s">
        <v>28</v>
      </c>
      <c r="F1066" s="10" t="s">
        <v>28</v>
      </c>
      <c r="G1066" s="10" t="s">
        <v>28</v>
      </c>
      <c r="H1066" s="10" t="s">
        <v>28</v>
      </c>
      <c r="I1066" s="11" t="s">
        <v>28</v>
      </c>
      <c r="J1066" s="11" t="s">
        <v>28</v>
      </c>
      <c r="K1066" s="11" t="s">
        <v>28</v>
      </c>
      <c r="L1066" s="11" t="s">
        <v>28</v>
      </c>
      <c r="M1066" s="11" t="s">
        <v>28</v>
      </c>
      <c r="N1066" s="8">
        <v>45292</v>
      </c>
      <c r="O1066" s="9" t="s">
        <v>52</v>
      </c>
      <c r="P1066" s="12" t="s">
        <v>2736</v>
      </c>
      <c r="Q1066" s="9" t="s">
        <v>75</v>
      </c>
      <c r="R1066" s="14" t="str">
        <f>HYPERLINK("https://my.pitchbook.com?c=292602-07T","View Company Online")</f>
        <v>View Company Online</v>
      </c>
    </row>
    <row r="1067" spans="1:18" hidden="1" x14ac:dyDescent="0.3">
      <c r="A1067" s="15" t="s">
        <v>3905</v>
      </c>
      <c r="B1067" s="15" t="s">
        <v>3906</v>
      </c>
      <c r="C1067" s="18" t="s">
        <v>28</v>
      </c>
      <c r="D1067" s="15" t="s">
        <v>3907</v>
      </c>
      <c r="E1067" s="18" t="s">
        <v>28</v>
      </c>
      <c r="F1067" s="19" t="s">
        <v>28</v>
      </c>
      <c r="G1067" s="19">
        <v>0.13</v>
      </c>
      <c r="H1067" s="19" t="s">
        <v>28</v>
      </c>
      <c r="I1067" s="18" t="s">
        <v>28</v>
      </c>
      <c r="J1067" s="18" t="s">
        <v>28</v>
      </c>
      <c r="K1067" s="18" t="s">
        <v>28</v>
      </c>
      <c r="L1067" s="18" t="s">
        <v>28</v>
      </c>
      <c r="M1067" s="18" t="s">
        <v>28</v>
      </c>
      <c r="N1067" s="17">
        <v>45292</v>
      </c>
      <c r="O1067" s="15" t="s">
        <v>52</v>
      </c>
      <c r="P1067" s="16" t="s">
        <v>3833</v>
      </c>
      <c r="Q1067" s="15" t="s">
        <v>136</v>
      </c>
      <c r="R1067" s="13" t="str">
        <f>HYPERLINK("https://my.pitchbook.com?c=286418-53T","View Company Online")</f>
        <v>View Company Online</v>
      </c>
    </row>
    <row r="1068" spans="1:18" hidden="1" x14ac:dyDescent="0.3">
      <c r="A1068" s="9" t="s">
        <v>3908</v>
      </c>
      <c r="B1068" s="9" t="s">
        <v>3909</v>
      </c>
      <c r="C1068" s="11" t="s">
        <v>28</v>
      </c>
      <c r="D1068" s="9" t="s">
        <v>3910</v>
      </c>
      <c r="E1068" s="11" t="s">
        <v>28</v>
      </c>
      <c r="F1068" s="10" t="s">
        <v>28</v>
      </c>
      <c r="G1068" s="10" t="s">
        <v>28</v>
      </c>
      <c r="H1068" s="10" t="s">
        <v>28</v>
      </c>
      <c r="I1068" s="11" t="s">
        <v>28</v>
      </c>
      <c r="J1068" s="11" t="s">
        <v>28</v>
      </c>
      <c r="K1068" s="11" t="s">
        <v>28</v>
      </c>
      <c r="L1068" s="11" t="s">
        <v>28</v>
      </c>
      <c r="M1068" s="11" t="s">
        <v>28</v>
      </c>
      <c r="N1068" s="8">
        <v>45292</v>
      </c>
      <c r="O1068" s="9" t="s">
        <v>30</v>
      </c>
      <c r="P1068" s="12" t="s">
        <v>3911</v>
      </c>
      <c r="Q1068" s="9" t="s">
        <v>3912</v>
      </c>
      <c r="R1068" s="14" t="str">
        <f>HYPERLINK("https://my.pitchbook.com?c=285336-46T","View Company Online")</f>
        <v>View Company Online</v>
      </c>
    </row>
    <row r="1069" spans="1:18" hidden="1" x14ac:dyDescent="0.3">
      <c r="A1069" s="15" t="s">
        <v>3913</v>
      </c>
      <c r="B1069" s="15" t="s">
        <v>3914</v>
      </c>
      <c r="C1069" s="18" t="s">
        <v>28</v>
      </c>
      <c r="D1069" s="15" t="s">
        <v>3915</v>
      </c>
      <c r="E1069" s="18" t="s">
        <v>28</v>
      </c>
      <c r="F1069" s="19" t="s">
        <v>28</v>
      </c>
      <c r="G1069" s="19" t="s">
        <v>28</v>
      </c>
      <c r="H1069" s="19" t="s">
        <v>28</v>
      </c>
      <c r="I1069" s="18" t="s">
        <v>28</v>
      </c>
      <c r="J1069" s="18" t="s">
        <v>28</v>
      </c>
      <c r="K1069" s="18" t="s">
        <v>28</v>
      </c>
      <c r="L1069" s="18" t="s">
        <v>28</v>
      </c>
      <c r="M1069" s="18" t="s">
        <v>28</v>
      </c>
      <c r="N1069" s="17">
        <v>45292</v>
      </c>
      <c r="O1069" s="15" t="s">
        <v>30</v>
      </c>
      <c r="P1069" s="16" t="s">
        <v>2398</v>
      </c>
      <c r="Q1069" s="15" t="s">
        <v>245</v>
      </c>
      <c r="R1069" s="13" t="str">
        <f>HYPERLINK("https://my.pitchbook.com?c=251775-91T","View Company Online")</f>
        <v>View Company Online</v>
      </c>
    </row>
    <row r="1070" spans="1:18" hidden="1" x14ac:dyDescent="0.3">
      <c r="A1070" s="9" t="s">
        <v>3916</v>
      </c>
      <c r="B1070" s="9" t="s">
        <v>3917</v>
      </c>
      <c r="C1070" s="11" t="s">
        <v>28</v>
      </c>
      <c r="D1070" s="9" t="s">
        <v>3918</v>
      </c>
      <c r="E1070" s="11" t="s">
        <v>28</v>
      </c>
      <c r="F1070" s="10" t="s">
        <v>28</v>
      </c>
      <c r="G1070" s="10" t="s">
        <v>28</v>
      </c>
      <c r="H1070" s="10" t="s">
        <v>28</v>
      </c>
      <c r="I1070" s="11" t="s">
        <v>28</v>
      </c>
      <c r="J1070" s="11" t="s">
        <v>28</v>
      </c>
      <c r="K1070" s="11" t="s">
        <v>28</v>
      </c>
      <c r="L1070" s="11" t="s">
        <v>28</v>
      </c>
      <c r="M1070" s="11" t="s">
        <v>28</v>
      </c>
      <c r="N1070" s="8">
        <v>45292</v>
      </c>
      <c r="O1070" s="9" t="s">
        <v>52</v>
      </c>
      <c r="P1070" s="12" t="s">
        <v>1970</v>
      </c>
      <c r="Q1070" s="9" t="s">
        <v>37</v>
      </c>
      <c r="R1070" s="14" t="str">
        <f>HYPERLINK("https://my.pitchbook.com?c=291934-54T","View Company Online")</f>
        <v>View Company Online</v>
      </c>
    </row>
    <row r="1071" spans="1:18" hidden="1" x14ac:dyDescent="0.3">
      <c r="A1071" s="15" t="s">
        <v>3919</v>
      </c>
      <c r="B1071" s="15" t="s">
        <v>3920</v>
      </c>
      <c r="C1071" s="18" t="s">
        <v>28</v>
      </c>
      <c r="D1071" s="15" t="s">
        <v>3921</v>
      </c>
      <c r="E1071" s="18" t="s">
        <v>28</v>
      </c>
      <c r="F1071" s="19" t="s">
        <v>28</v>
      </c>
      <c r="G1071" s="19" t="s">
        <v>28</v>
      </c>
      <c r="H1071" s="19" t="s">
        <v>28</v>
      </c>
      <c r="I1071" s="18" t="s">
        <v>28</v>
      </c>
      <c r="J1071" s="18" t="s">
        <v>28</v>
      </c>
      <c r="K1071" s="18" t="s">
        <v>28</v>
      </c>
      <c r="L1071" s="18" t="s">
        <v>28</v>
      </c>
      <c r="M1071" s="18" t="s">
        <v>28</v>
      </c>
      <c r="N1071" s="17">
        <v>45292</v>
      </c>
      <c r="O1071" s="15" t="s">
        <v>52</v>
      </c>
      <c r="P1071" s="16" t="s">
        <v>2830</v>
      </c>
      <c r="Q1071" s="15" t="s">
        <v>75</v>
      </c>
      <c r="R1071" s="13" t="str">
        <f>HYPERLINK("https://my.pitchbook.com?c=292810-51T","View Company Online")</f>
        <v>View Company Online</v>
      </c>
    </row>
    <row r="1072" spans="1:18" hidden="1" x14ac:dyDescent="0.3">
      <c r="A1072" s="9" t="s">
        <v>3922</v>
      </c>
      <c r="B1072" s="9" t="s">
        <v>3923</v>
      </c>
      <c r="C1072" s="11" t="s">
        <v>28</v>
      </c>
      <c r="D1072" s="9" t="s">
        <v>3924</v>
      </c>
      <c r="E1072" s="11" t="s">
        <v>28</v>
      </c>
      <c r="F1072" s="10" t="s">
        <v>28</v>
      </c>
      <c r="G1072" s="10" t="s">
        <v>28</v>
      </c>
      <c r="H1072" s="10" t="s">
        <v>28</v>
      </c>
      <c r="I1072" s="11" t="s">
        <v>28</v>
      </c>
      <c r="J1072" s="11" t="s">
        <v>28</v>
      </c>
      <c r="K1072" s="11" t="s">
        <v>28</v>
      </c>
      <c r="L1072" s="11" t="s">
        <v>28</v>
      </c>
      <c r="M1072" s="11" t="s">
        <v>28</v>
      </c>
      <c r="N1072" s="8">
        <v>45292</v>
      </c>
      <c r="O1072" s="9" t="s">
        <v>52</v>
      </c>
      <c r="P1072" s="12" t="s">
        <v>2830</v>
      </c>
      <c r="Q1072" s="9" t="s">
        <v>75</v>
      </c>
      <c r="R1072" s="14" t="str">
        <f>HYPERLINK("https://my.pitchbook.com?c=292814-56T","View Company Online")</f>
        <v>View Company Online</v>
      </c>
    </row>
    <row r="1073" spans="1:18" hidden="1" x14ac:dyDescent="0.3">
      <c r="A1073" s="15" t="s">
        <v>3925</v>
      </c>
      <c r="B1073" s="15" t="s">
        <v>3926</v>
      </c>
      <c r="C1073" s="18" t="s">
        <v>28</v>
      </c>
      <c r="D1073" s="15" t="s">
        <v>3927</v>
      </c>
      <c r="E1073" s="18" t="s">
        <v>28</v>
      </c>
      <c r="F1073" s="19" t="s">
        <v>28</v>
      </c>
      <c r="G1073" s="19" t="s">
        <v>28</v>
      </c>
      <c r="H1073" s="19" t="s">
        <v>28</v>
      </c>
      <c r="I1073" s="18" t="s">
        <v>28</v>
      </c>
      <c r="J1073" s="18" t="s">
        <v>28</v>
      </c>
      <c r="K1073" s="18" t="s">
        <v>28</v>
      </c>
      <c r="L1073" s="18" t="s">
        <v>28</v>
      </c>
      <c r="M1073" s="18" t="s">
        <v>28</v>
      </c>
      <c r="N1073" s="17">
        <v>45292</v>
      </c>
      <c r="O1073" s="15" t="s">
        <v>52</v>
      </c>
      <c r="P1073" s="16" t="s">
        <v>2830</v>
      </c>
      <c r="Q1073" s="15" t="s">
        <v>245</v>
      </c>
      <c r="R1073" s="13" t="str">
        <f>HYPERLINK("https://my.pitchbook.com?c=292813-30T","View Company Online")</f>
        <v>View Company Online</v>
      </c>
    </row>
    <row r="1074" spans="1:18" hidden="1" x14ac:dyDescent="0.3">
      <c r="A1074" s="9" t="s">
        <v>3928</v>
      </c>
      <c r="B1074" s="9" t="s">
        <v>3929</v>
      </c>
      <c r="C1074" s="11" t="s">
        <v>28</v>
      </c>
      <c r="D1074" s="9" t="s">
        <v>3930</v>
      </c>
      <c r="E1074" s="11" t="s">
        <v>28</v>
      </c>
      <c r="F1074" s="10" t="s">
        <v>28</v>
      </c>
      <c r="G1074" s="10" t="s">
        <v>28</v>
      </c>
      <c r="H1074" s="10" t="s">
        <v>28</v>
      </c>
      <c r="I1074" s="11" t="s">
        <v>28</v>
      </c>
      <c r="J1074" s="11" t="s">
        <v>28</v>
      </c>
      <c r="K1074" s="11" t="s">
        <v>28</v>
      </c>
      <c r="L1074" s="11" t="s">
        <v>28</v>
      </c>
      <c r="M1074" s="11" t="s">
        <v>28</v>
      </c>
      <c r="N1074" s="8">
        <v>45292</v>
      </c>
      <c r="O1074" s="9" t="s">
        <v>52</v>
      </c>
      <c r="P1074" s="12" t="s">
        <v>3931</v>
      </c>
      <c r="Q1074" s="9" t="s">
        <v>37</v>
      </c>
      <c r="R1074" s="14" t="str">
        <f>HYPERLINK("https://my.pitchbook.com?c=295230-70T","View Company Online")</f>
        <v>View Company Online</v>
      </c>
    </row>
    <row r="1075" spans="1:18" hidden="1" x14ac:dyDescent="0.3">
      <c r="A1075" s="15" t="s">
        <v>3932</v>
      </c>
      <c r="B1075" s="15" t="s">
        <v>3933</v>
      </c>
      <c r="C1075" s="18" t="s">
        <v>28</v>
      </c>
      <c r="D1075" s="15" t="s">
        <v>3934</v>
      </c>
      <c r="E1075" s="18" t="s">
        <v>28</v>
      </c>
      <c r="F1075" s="19" t="s">
        <v>28</v>
      </c>
      <c r="G1075" s="19" t="s">
        <v>28</v>
      </c>
      <c r="H1075" s="19" t="s">
        <v>28</v>
      </c>
      <c r="I1075" s="18" t="s">
        <v>28</v>
      </c>
      <c r="J1075" s="18" t="s">
        <v>28</v>
      </c>
      <c r="K1075" s="18" t="s">
        <v>28</v>
      </c>
      <c r="L1075" s="18" t="s">
        <v>28</v>
      </c>
      <c r="M1075" s="18" t="s">
        <v>28</v>
      </c>
      <c r="N1075" s="17">
        <v>45292</v>
      </c>
      <c r="O1075" s="15" t="s">
        <v>52</v>
      </c>
      <c r="P1075" s="16" t="s">
        <v>3935</v>
      </c>
      <c r="Q1075" s="15" t="s">
        <v>381</v>
      </c>
      <c r="R1075" s="13" t="str">
        <f>HYPERLINK("https://my.pitchbook.com?c=294853-51T","View Company Online")</f>
        <v>View Company Online</v>
      </c>
    </row>
    <row r="1076" spans="1:18" hidden="1" x14ac:dyDescent="0.3">
      <c r="A1076" s="9" t="s">
        <v>3936</v>
      </c>
      <c r="B1076" s="9" t="s">
        <v>1915</v>
      </c>
      <c r="C1076" s="11" t="s">
        <v>28</v>
      </c>
      <c r="D1076" s="9" t="s">
        <v>1916</v>
      </c>
      <c r="E1076" s="11" t="s">
        <v>28</v>
      </c>
      <c r="F1076" s="10" t="s">
        <v>28</v>
      </c>
      <c r="G1076" s="10" t="s">
        <v>28</v>
      </c>
      <c r="H1076" s="10" t="s">
        <v>28</v>
      </c>
      <c r="I1076" s="11" t="s">
        <v>28</v>
      </c>
      <c r="J1076" s="11" t="s">
        <v>28</v>
      </c>
      <c r="K1076" s="11" t="s">
        <v>28</v>
      </c>
      <c r="L1076" s="11" t="s">
        <v>28</v>
      </c>
      <c r="M1076" s="11" t="s">
        <v>28</v>
      </c>
      <c r="N1076" s="8">
        <v>45292</v>
      </c>
      <c r="O1076" s="9" t="s">
        <v>52</v>
      </c>
      <c r="P1076" s="12" t="s">
        <v>3375</v>
      </c>
      <c r="Q1076" s="9" t="s">
        <v>75</v>
      </c>
      <c r="R1076" s="14" t="str">
        <f>HYPERLINK("https://my.pitchbook.com?c=252884-53T","View Company Online")</f>
        <v>View Company Online</v>
      </c>
    </row>
    <row r="1077" spans="1:18" hidden="1" x14ac:dyDescent="0.3">
      <c r="A1077" s="15" t="s">
        <v>3937</v>
      </c>
      <c r="B1077" s="15" t="s">
        <v>401</v>
      </c>
      <c r="C1077" s="18" t="s">
        <v>28</v>
      </c>
      <c r="D1077" s="15" t="s">
        <v>402</v>
      </c>
      <c r="E1077" s="18" t="s">
        <v>28</v>
      </c>
      <c r="F1077" s="19" t="s">
        <v>28</v>
      </c>
      <c r="G1077" s="19" t="s">
        <v>28</v>
      </c>
      <c r="H1077" s="19" t="s">
        <v>28</v>
      </c>
      <c r="I1077" s="18" t="s">
        <v>28</v>
      </c>
      <c r="J1077" s="18" t="s">
        <v>28</v>
      </c>
      <c r="K1077" s="18">
        <v>2.25</v>
      </c>
      <c r="L1077" s="18" t="s">
        <v>28</v>
      </c>
      <c r="M1077" s="18" t="s">
        <v>28</v>
      </c>
      <c r="N1077" s="17">
        <v>45292</v>
      </c>
      <c r="O1077" s="15" t="s">
        <v>52</v>
      </c>
      <c r="P1077" s="16" t="s">
        <v>3938</v>
      </c>
      <c r="Q1077" s="15" t="s">
        <v>404</v>
      </c>
      <c r="R1077" s="13" t="str">
        <f>HYPERLINK("https://my.pitchbook.com?c=263333-71T","View Company Online")</f>
        <v>View Company Online</v>
      </c>
    </row>
    <row r="1078" spans="1:18" hidden="1" x14ac:dyDescent="0.3">
      <c r="A1078" s="9" t="s">
        <v>3939</v>
      </c>
      <c r="B1078" s="9" t="s">
        <v>401</v>
      </c>
      <c r="C1078" s="11" t="s">
        <v>28</v>
      </c>
      <c r="D1078" s="9" t="s">
        <v>402</v>
      </c>
      <c r="E1078" s="11" t="s">
        <v>28</v>
      </c>
      <c r="F1078" s="10" t="s">
        <v>28</v>
      </c>
      <c r="G1078" s="10" t="s">
        <v>28</v>
      </c>
      <c r="H1078" s="10" t="s">
        <v>28</v>
      </c>
      <c r="I1078" s="11" t="s">
        <v>28</v>
      </c>
      <c r="J1078" s="11" t="s">
        <v>28</v>
      </c>
      <c r="K1078" s="11">
        <v>2.25</v>
      </c>
      <c r="L1078" s="11" t="s">
        <v>28</v>
      </c>
      <c r="M1078" s="11" t="s">
        <v>28</v>
      </c>
      <c r="N1078" s="8">
        <v>45292</v>
      </c>
      <c r="O1078" s="9" t="s">
        <v>52</v>
      </c>
      <c r="P1078" s="12" t="s">
        <v>1651</v>
      </c>
      <c r="Q1078" s="9" t="s">
        <v>404</v>
      </c>
      <c r="R1078" s="14" t="str">
        <f>HYPERLINK("https://my.pitchbook.com?c=263334-52T","View Company Online")</f>
        <v>View Company Online</v>
      </c>
    </row>
    <row r="1079" spans="1:18" hidden="1" x14ac:dyDescent="0.3">
      <c r="A1079" s="15" t="s">
        <v>3940</v>
      </c>
      <c r="B1079" s="15" t="s">
        <v>3941</v>
      </c>
      <c r="C1079" s="18" t="s">
        <v>28</v>
      </c>
      <c r="D1079" s="15" t="s">
        <v>3942</v>
      </c>
      <c r="E1079" s="18" t="s">
        <v>28</v>
      </c>
      <c r="F1079" s="19" t="s">
        <v>28</v>
      </c>
      <c r="G1079" s="19" t="s">
        <v>28</v>
      </c>
      <c r="H1079" s="19" t="s">
        <v>28</v>
      </c>
      <c r="I1079" s="18" t="s">
        <v>28</v>
      </c>
      <c r="J1079" s="18" t="s">
        <v>28</v>
      </c>
      <c r="K1079" s="18" t="s">
        <v>28</v>
      </c>
      <c r="L1079" s="18" t="s">
        <v>28</v>
      </c>
      <c r="M1079" s="18" t="s">
        <v>28</v>
      </c>
      <c r="N1079" s="17">
        <v>45292</v>
      </c>
      <c r="O1079" s="15" t="s">
        <v>52</v>
      </c>
      <c r="P1079" s="16" t="s">
        <v>3931</v>
      </c>
      <c r="Q1079" s="15" t="s">
        <v>75</v>
      </c>
      <c r="R1079" s="13" t="str">
        <f>HYPERLINK("https://my.pitchbook.com?c=295220-35T","View Company Online")</f>
        <v>View Company Online</v>
      </c>
    </row>
    <row r="1080" spans="1:18" hidden="1" x14ac:dyDescent="0.3">
      <c r="A1080" s="9" t="s">
        <v>3943</v>
      </c>
      <c r="B1080" s="9" t="s">
        <v>2452</v>
      </c>
      <c r="C1080" s="11" t="s">
        <v>28</v>
      </c>
      <c r="D1080" s="9" t="s">
        <v>2453</v>
      </c>
      <c r="E1080" s="11" t="s">
        <v>28</v>
      </c>
      <c r="F1080" s="10" t="s">
        <v>28</v>
      </c>
      <c r="G1080" s="10">
        <v>0.5</v>
      </c>
      <c r="H1080" s="10" t="s">
        <v>28</v>
      </c>
      <c r="I1080" s="11" t="s">
        <v>28</v>
      </c>
      <c r="J1080" s="11" t="s">
        <v>28</v>
      </c>
      <c r="K1080" s="11" t="s">
        <v>28</v>
      </c>
      <c r="L1080" s="11" t="s">
        <v>28</v>
      </c>
      <c r="M1080" s="11" t="s">
        <v>28</v>
      </c>
      <c r="N1080" s="8">
        <v>45292</v>
      </c>
      <c r="O1080" s="9" t="s">
        <v>52</v>
      </c>
      <c r="P1080" s="12" t="s">
        <v>3944</v>
      </c>
      <c r="Q1080" s="9" t="s">
        <v>692</v>
      </c>
      <c r="R1080" s="14" t="str">
        <f>HYPERLINK("https://my.pitchbook.com?c=296734-96T","View Company Online")</f>
        <v>View Company Online</v>
      </c>
    </row>
    <row r="1081" spans="1:18" hidden="1" x14ac:dyDescent="0.3">
      <c r="A1081" s="15" t="s">
        <v>3945</v>
      </c>
      <c r="B1081" s="15" t="s">
        <v>3946</v>
      </c>
      <c r="C1081" s="18" t="s">
        <v>28</v>
      </c>
      <c r="D1081" s="15" t="s">
        <v>3947</v>
      </c>
      <c r="E1081" s="18" t="s">
        <v>28</v>
      </c>
      <c r="F1081" s="19" t="s">
        <v>28</v>
      </c>
      <c r="G1081" s="19">
        <v>0.61</v>
      </c>
      <c r="H1081" s="19" t="s">
        <v>28</v>
      </c>
      <c r="I1081" s="18" t="s">
        <v>28</v>
      </c>
      <c r="J1081" s="18" t="s">
        <v>28</v>
      </c>
      <c r="K1081" s="18" t="s">
        <v>28</v>
      </c>
      <c r="L1081" s="18" t="s">
        <v>28</v>
      </c>
      <c r="M1081" s="18" t="s">
        <v>28</v>
      </c>
      <c r="N1081" s="17">
        <v>45292</v>
      </c>
      <c r="O1081" s="15" t="s">
        <v>379</v>
      </c>
      <c r="P1081" s="16" t="s">
        <v>3948</v>
      </c>
      <c r="Q1081" s="15" t="s">
        <v>136</v>
      </c>
      <c r="R1081" s="13" t="str">
        <f>HYPERLINK("https://my.pitchbook.com?c=298959-04T","View Company Online")</f>
        <v>View Company Online</v>
      </c>
    </row>
    <row r="1082" spans="1:18" hidden="1" x14ac:dyDescent="0.3">
      <c r="A1082" s="9" t="s">
        <v>3949</v>
      </c>
      <c r="B1082" s="9" t="s">
        <v>3950</v>
      </c>
      <c r="C1082" s="11" t="s">
        <v>28</v>
      </c>
      <c r="D1082" s="9" t="s">
        <v>3951</v>
      </c>
      <c r="E1082" s="11" t="s">
        <v>28</v>
      </c>
      <c r="F1082" s="10" t="s">
        <v>28</v>
      </c>
      <c r="G1082" s="10" t="s">
        <v>28</v>
      </c>
      <c r="H1082" s="10" t="s">
        <v>28</v>
      </c>
      <c r="I1082" s="11" t="s">
        <v>28</v>
      </c>
      <c r="J1082" s="11" t="s">
        <v>28</v>
      </c>
      <c r="K1082" s="11" t="s">
        <v>28</v>
      </c>
      <c r="L1082" s="11" t="s">
        <v>28</v>
      </c>
      <c r="M1082" s="11" t="s">
        <v>28</v>
      </c>
      <c r="N1082" s="8">
        <v>45292</v>
      </c>
      <c r="O1082" s="9" t="s">
        <v>52</v>
      </c>
      <c r="P1082" s="12" t="s">
        <v>1651</v>
      </c>
      <c r="Q1082" s="9" t="s">
        <v>75</v>
      </c>
      <c r="R1082" s="14" t="str">
        <f>HYPERLINK("https://my.pitchbook.com?c=269015-68T","View Company Online")</f>
        <v>View Company Online</v>
      </c>
    </row>
    <row r="1083" spans="1:18" hidden="1" x14ac:dyDescent="0.3">
      <c r="A1083" s="15" t="s">
        <v>3952</v>
      </c>
      <c r="B1083" s="15" t="s">
        <v>3953</v>
      </c>
      <c r="C1083" s="18" t="s">
        <v>28</v>
      </c>
      <c r="D1083" s="15" t="s">
        <v>3954</v>
      </c>
      <c r="E1083" s="18" t="s">
        <v>28</v>
      </c>
      <c r="F1083" s="19" t="s">
        <v>28</v>
      </c>
      <c r="G1083" s="19" t="s">
        <v>28</v>
      </c>
      <c r="H1083" s="19" t="s">
        <v>28</v>
      </c>
      <c r="I1083" s="18" t="s">
        <v>28</v>
      </c>
      <c r="J1083" s="18" t="s">
        <v>28</v>
      </c>
      <c r="K1083" s="18" t="s">
        <v>28</v>
      </c>
      <c r="L1083" s="18" t="s">
        <v>28</v>
      </c>
      <c r="M1083" s="18" t="s">
        <v>28</v>
      </c>
      <c r="N1083" s="17">
        <v>45292</v>
      </c>
      <c r="O1083" s="15" t="s">
        <v>52</v>
      </c>
      <c r="P1083" s="16" t="s">
        <v>3955</v>
      </c>
      <c r="Q1083" s="15" t="s">
        <v>75</v>
      </c>
      <c r="R1083" s="13" t="str">
        <f>HYPERLINK("https://my.pitchbook.com?c=292621-60T","View Company Online")</f>
        <v>View Company Online</v>
      </c>
    </row>
    <row r="1084" spans="1:18" hidden="1" x14ac:dyDescent="0.3">
      <c r="A1084" s="9" t="s">
        <v>3956</v>
      </c>
      <c r="B1084" s="9" t="s">
        <v>3957</v>
      </c>
      <c r="C1084" s="11" t="s">
        <v>28</v>
      </c>
      <c r="D1084" s="9" t="s">
        <v>3958</v>
      </c>
      <c r="E1084" s="11" t="s">
        <v>28</v>
      </c>
      <c r="F1084" s="10" t="s">
        <v>28</v>
      </c>
      <c r="G1084" s="10" t="s">
        <v>28</v>
      </c>
      <c r="H1084" s="10" t="s">
        <v>28</v>
      </c>
      <c r="I1084" s="11" t="s">
        <v>28</v>
      </c>
      <c r="J1084" s="11" t="s">
        <v>28</v>
      </c>
      <c r="K1084" s="11" t="s">
        <v>28</v>
      </c>
      <c r="L1084" s="11" t="s">
        <v>28</v>
      </c>
      <c r="M1084" s="11" t="s">
        <v>28</v>
      </c>
      <c r="N1084" s="8">
        <v>45292</v>
      </c>
      <c r="O1084" s="9" t="s">
        <v>52</v>
      </c>
      <c r="P1084" s="12" t="s">
        <v>2864</v>
      </c>
      <c r="Q1084" s="9" t="s">
        <v>75</v>
      </c>
      <c r="R1084" s="14" t="str">
        <f>HYPERLINK("https://my.pitchbook.com?c=271228-06T","View Company Online")</f>
        <v>View Company Online</v>
      </c>
    </row>
    <row r="1085" spans="1:18" hidden="1" x14ac:dyDescent="0.3">
      <c r="A1085" s="15" t="s">
        <v>3959</v>
      </c>
      <c r="B1085" s="15" t="s">
        <v>499</v>
      </c>
      <c r="C1085" s="18" t="s">
        <v>28</v>
      </c>
      <c r="D1085" s="15" t="s">
        <v>500</v>
      </c>
      <c r="E1085" s="18" t="s">
        <v>28</v>
      </c>
      <c r="F1085" s="19" t="s">
        <v>28</v>
      </c>
      <c r="G1085" s="19" t="s">
        <v>28</v>
      </c>
      <c r="H1085" s="19" t="s">
        <v>28</v>
      </c>
      <c r="I1085" s="18" t="s">
        <v>28</v>
      </c>
      <c r="J1085" s="18" t="s">
        <v>28</v>
      </c>
      <c r="K1085" s="18" t="s">
        <v>28</v>
      </c>
      <c r="L1085" s="18" t="s">
        <v>28</v>
      </c>
      <c r="M1085" s="18" t="s">
        <v>28</v>
      </c>
      <c r="N1085" s="17">
        <v>45292</v>
      </c>
      <c r="O1085" s="15" t="s">
        <v>52</v>
      </c>
      <c r="P1085" s="16" t="s">
        <v>3960</v>
      </c>
      <c r="Q1085" s="15" t="s">
        <v>136</v>
      </c>
      <c r="R1085" s="13" t="str">
        <f>HYPERLINK("https://my.pitchbook.com?c=294585-94T","View Company Online")</f>
        <v>View Company Online</v>
      </c>
    </row>
    <row r="1086" spans="1:18" hidden="1" x14ac:dyDescent="0.3">
      <c r="A1086" s="9" t="s">
        <v>3961</v>
      </c>
      <c r="B1086" s="9" t="s">
        <v>2359</v>
      </c>
      <c r="C1086" s="11" t="s">
        <v>28</v>
      </c>
      <c r="D1086" s="9" t="s">
        <v>2360</v>
      </c>
      <c r="E1086" s="11" t="s">
        <v>28</v>
      </c>
      <c r="F1086" s="10" t="s">
        <v>28</v>
      </c>
      <c r="G1086" s="10" t="s">
        <v>28</v>
      </c>
      <c r="H1086" s="10" t="s">
        <v>28</v>
      </c>
      <c r="I1086" s="11" t="s">
        <v>28</v>
      </c>
      <c r="J1086" s="11" t="s">
        <v>28</v>
      </c>
      <c r="K1086" s="11" t="s">
        <v>28</v>
      </c>
      <c r="L1086" s="11" t="s">
        <v>28</v>
      </c>
      <c r="M1086" s="11" t="s">
        <v>28</v>
      </c>
      <c r="N1086" s="8">
        <v>45292</v>
      </c>
      <c r="O1086" s="9" t="s">
        <v>52</v>
      </c>
      <c r="P1086" s="12" t="s">
        <v>1970</v>
      </c>
      <c r="Q1086" s="9" t="s">
        <v>136</v>
      </c>
      <c r="R1086" s="14" t="str">
        <f>HYPERLINK("https://my.pitchbook.com?c=291958-75T","View Company Online")</f>
        <v>View Company Online</v>
      </c>
    </row>
    <row r="1087" spans="1:18" hidden="1" x14ac:dyDescent="0.3">
      <c r="A1087" s="15" t="s">
        <v>3962</v>
      </c>
      <c r="B1087" s="15" t="s">
        <v>2359</v>
      </c>
      <c r="C1087" s="18" t="s">
        <v>28</v>
      </c>
      <c r="D1087" s="15" t="s">
        <v>2360</v>
      </c>
      <c r="E1087" s="18" t="s">
        <v>28</v>
      </c>
      <c r="F1087" s="19" t="s">
        <v>28</v>
      </c>
      <c r="G1087" s="19" t="s">
        <v>28</v>
      </c>
      <c r="H1087" s="19" t="s">
        <v>28</v>
      </c>
      <c r="I1087" s="18" t="s">
        <v>28</v>
      </c>
      <c r="J1087" s="18" t="s">
        <v>28</v>
      </c>
      <c r="K1087" s="18" t="s">
        <v>28</v>
      </c>
      <c r="L1087" s="18" t="s">
        <v>28</v>
      </c>
      <c r="M1087" s="18" t="s">
        <v>28</v>
      </c>
      <c r="N1087" s="17">
        <v>45292</v>
      </c>
      <c r="O1087" s="15" t="s">
        <v>52</v>
      </c>
      <c r="P1087" s="16" t="s">
        <v>501</v>
      </c>
      <c r="Q1087" s="15" t="s">
        <v>136</v>
      </c>
      <c r="R1087" s="13" t="str">
        <f>HYPERLINK("https://my.pitchbook.com?c=301614-49T","View Company Online")</f>
        <v>View Company Online</v>
      </c>
    </row>
    <row r="1088" spans="1:18" hidden="1" x14ac:dyDescent="0.3">
      <c r="A1088" s="9" t="s">
        <v>3963</v>
      </c>
      <c r="B1088" s="9" t="s">
        <v>3964</v>
      </c>
      <c r="C1088" s="11" t="s">
        <v>28</v>
      </c>
      <c r="D1088" s="9" t="s">
        <v>3965</v>
      </c>
      <c r="E1088" s="11" t="s">
        <v>28</v>
      </c>
      <c r="F1088" s="10" t="s">
        <v>28</v>
      </c>
      <c r="G1088" s="10" t="s">
        <v>28</v>
      </c>
      <c r="H1088" s="10" t="s">
        <v>28</v>
      </c>
      <c r="I1088" s="11" t="s">
        <v>28</v>
      </c>
      <c r="J1088" s="11" t="s">
        <v>28</v>
      </c>
      <c r="K1088" s="11" t="s">
        <v>28</v>
      </c>
      <c r="L1088" s="11" t="s">
        <v>28</v>
      </c>
      <c r="M1088" s="11" t="s">
        <v>28</v>
      </c>
      <c r="N1088" s="8">
        <v>45292</v>
      </c>
      <c r="O1088" s="9" t="s">
        <v>52</v>
      </c>
      <c r="P1088" s="12" t="s">
        <v>1970</v>
      </c>
      <c r="Q1088" s="9" t="s">
        <v>37</v>
      </c>
      <c r="R1088" s="14" t="str">
        <f>HYPERLINK("https://my.pitchbook.com?c=295538-59T","View Company Online")</f>
        <v>View Company Online</v>
      </c>
    </row>
    <row r="1089" spans="1:18" hidden="1" x14ac:dyDescent="0.3">
      <c r="A1089" s="15" t="s">
        <v>3966</v>
      </c>
      <c r="B1089" s="15" t="s">
        <v>3967</v>
      </c>
      <c r="C1089" s="18" t="s">
        <v>28</v>
      </c>
      <c r="D1089" s="15" t="s">
        <v>3968</v>
      </c>
      <c r="E1089" s="18" t="s">
        <v>28</v>
      </c>
      <c r="F1089" s="19" t="s">
        <v>28</v>
      </c>
      <c r="G1089" s="19">
        <v>0.15</v>
      </c>
      <c r="H1089" s="19">
        <v>1.5</v>
      </c>
      <c r="I1089" s="18" t="s">
        <v>28</v>
      </c>
      <c r="J1089" s="18" t="s">
        <v>28</v>
      </c>
      <c r="K1089" s="18" t="s">
        <v>28</v>
      </c>
      <c r="L1089" s="18" t="s">
        <v>28</v>
      </c>
      <c r="M1089" s="18" t="s">
        <v>28</v>
      </c>
      <c r="N1089" s="17">
        <v>45292</v>
      </c>
      <c r="O1089" s="15" t="s">
        <v>99</v>
      </c>
      <c r="P1089" s="16" t="s">
        <v>3969</v>
      </c>
      <c r="Q1089" s="15" t="s">
        <v>75</v>
      </c>
      <c r="R1089" s="13" t="str">
        <f>HYPERLINK("https://my.pitchbook.com?c=258241-24T","View Company Online")</f>
        <v>View Company Online</v>
      </c>
    </row>
    <row r="1090" spans="1:18" hidden="1" x14ac:dyDescent="0.3">
      <c r="A1090" s="9" t="s">
        <v>3970</v>
      </c>
      <c r="B1090" s="9" t="s">
        <v>3971</v>
      </c>
      <c r="C1090" s="11" t="s">
        <v>28</v>
      </c>
      <c r="D1090" s="9" t="s">
        <v>3972</v>
      </c>
      <c r="E1090" s="11" t="s">
        <v>28</v>
      </c>
      <c r="F1090" s="10" t="s">
        <v>28</v>
      </c>
      <c r="G1090" s="10" t="s">
        <v>28</v>
      </c>
      <c r="H1090" s="10" t="s">
        <v>28</v>
      </c>
      <c r="I1090" s="11" t="s">
        <v>28</v>
      </c>
      <c r="J1090" s="11" t="s">
        <v>28</v>
      </c>
      <c r="K1090" s="11" t="s">
        <v>28</v>
      </c>
      <c r="L1090" s="11" t="s">
        <v>28</v>
      </c>
      <c r="M1090" s="11" t="s">
        <v>28</v>
      </c>
      <c r="N1090" s="8">
        <v>45292</v>
      </c>
      <c r="O1090" s="9" t="s">
        <v>52</v>
      </c>
      <c r="P1090" s="12" t="s">
        <v>1970</v>
      </c>
      <c r="Q1090" s="9" t="s">
        <v>3973</v>
      </c>
      <c r="R1090" s="14" t="str">
        <f>HYPERLINK("https://my.pitchbook.com?c=291987-28T","View Company Online")</f>
        <v>View Company Online</v>
      </c>
    </row>
    <row r="1091" spans="1:18" hidden="1" x14ac:dyDescent="0.3">
      <c r="A1091" s="15" t="s">
        <v>3974</v>
      </c>
      <c r="B1091" s="15" t="s">
        <v>377</v>
      </c>
      <c r="C1091" s="18" t="s">
        <v>28</v>
      </c>
      <c r="D1091" s="15" t="s">
        <v>378</v>
      </c>
      <c r="E1091" s="18" t="s">
        <v>28</v>
      </c>
      <c r="F1091" s="19" t="s">
        <v>28</v>
      </c>
      <c r="G1091" s="19" t="s">
        <v>28</v>
      </c>
      <c r="H1091" s="19" t="s">
        <v>28</v>
      </c>
      <c r="I1091" s="18" t="s">
        <v>28</v>
      </c>
      <c r="J1091" s="18" t="s">
        <v>28</v>
      </c>
      <c r="K1091" s="18" t="s">
        <v>28</v>
      </c>
      <c r="L1091" s="18" t="s">
        <v>28</v>
      </c>
      <c r="M1091" s="18" t="s">
        <v>28</v>
      </c>
      <c r="N1091" s="17">
        <v>45292</v>
      </c>
      <c r="O1091" s="15" t="s">
        <v>52</v>
      </c>
      <c r="P1091" s="16" t="s">
        <v>1970</v>
      </c>
      <c r="Q1091" s="15" t="s">
        <v>381</v>
      </c>
      <c r="R1091" s="13" t="str">
        <f>HYPERLINK("https://my.pitchbook.com?c=291963-07T","View Company Online")</f>
        <v>View Company Online</v>
      </c>
    </row>
    <row r="1092" spans="1:18" hidden="1" x14ac:dyDescent="0.3">
      <c r="A1092" s="9" t="s">
        <v>3975</v>
      </c>
      <c r="B1092" s="9" t="s">
        <v>3976</v>
      </c>
      <c r="C1092" s="11" t="s">
        <v>28</v>
      </c>
      <c r="D1092" s="9" t="s">
        <v>3977</v>
      </c>
      <c r="E1092" s="11" t="s">
        <v>28</v>
      </c>
      <c r="F1092" s="10" t="s">
        <v>28</v>
      </c>
      <c r="G1092" s="10" t="s">
        <v>28</v>
      </c>
      <c r="H1092" s="10" t="s">
        <v>28</v>
      </c>
      <c r="I1092" s="11" t="s">
        <v>28</v>
      </c>
      <c r="J1092" s="11" t="s">
        <v>28</v>
      </c>
      <c r="K1092" s="11" t="s">
        <v>28</v>
      </c>
      <c r="L1092" s="11" t="s">
        <v>28</v>
      </c>
      <c r="M1092" s="11" t="s">
        <v>28</v>
      </c>
      <c r="N1092" s="8">
        <v>45292</v>
      </c>
      <c r="O1092" s="9" t="s">
        <v>52</v>
      </c>
      <c r="P1092" s="12" t="s">
        <v>2442</v>
      </c>
      <c r="Q1092" s="9" t="s">
        <v>75</v>
      </c>
      <c r="R1092" s="14" t="str">
        <f>HYPERLINK("https://my.pitchbook.com?c=265195-99T","View Company Online")</f>
        <v>View Company Online</v>
      </c>
    </row>
    <row r="1093" spans="1:18" hidden="1" x14ac:dyDescent="0.3">
      <c r="A1093" s="15" t="s">
        <v>3978</v>
      </c>
      <c r="B1093" s="15" t="s">
        <v>3979</v>
      </c>
      <c r="C1093" s="18" t="s">
        <v>28</v>
      </c>
      <c r="D1093" s="15" t="s">
        <v>3980</v>
      </c>
      <c r="E1093" s="18" t="s">
        <v>28</v>
      </c>
      <c r="F1093" s="19" t="s">
        <v>28</v>
      </c>
      <c r="G1093" s="19" t="s">
        <v>28</v>
      </c>
      <c r="H1093" s="19" t="s">
        <v>28</v>
      </c>
      <c r="I1093" s="18" t="s">
        <v>28</v>
      </c>
      <c r="J1093" s="18" t="s">
        <v>28</v>
      </c>
      <c r="K1093" s="18" t="s">
        <v>28</v>
      </c>
      <c r="L1093" s="18" t="s">
        <v>28</v>
      </c>
      <c r="M1093" s="18" t="s">
        <v>28</v>
      </c>
      <c r="N1093" s="17">
        <v>45292</v>
      </c>
      <c r="O1093" s="15" t="s">
        <v>73</v>
      </c>
      <c r="P1093" s="16" t="s">
        <v>3981</v>
      </c>
      <c r="Q1093" s="15" t="s">
        <v>522</v>
      </c>
      <c r="R1093" s="13" t="str">
        <f>HYPERLINK("https://my.pitchbook.com?c=277937-65T","View Company Online")</f>
        <v>View Company Online</v>
      </c>
    </row>
    <row r="1094" spans="1:18" hidden="1" x14ac:dyDescent="0.3">
      <c r="A1094" s="9" t="s">
        <v>3982</v>
      </c>
      <c r="B1094" s="9" t="s">
        <v>3983</v>
      </c>
      <c r="C1094" s="11" t="s">
        <v>28</v>
      </c>
      <c r="D1094" s="9" t="s">
        <v>3984</v>
      </c>
      <c r="E1094" s="11" t="s">
        <v>28</v>
      </c>
      <c r="F1094" s="10" t="s">
        <v>28</v>
      </c>
      <c r="G1094" s="10">
        <v>0.13</v>
      </c>
      <c r="H1094" s="10" t="s">
        <v>28</v>
      </c>
      <c r="I1094" s="11" t="s">
        <v>28</v>
      </c>
      <c r="J1094" s="11" t="s">
        <v>28</v>
      </c>
      <c r="K1094" s="11" t="s">
        <v>28</v>
      </c>
      <c r="L1094" s="11" t="s">
        <v>28</v>
      </c>
      <c r="M1094" s="11" t="s">
        <v>28</v>
      </c>
      <c r="N1094" s="8">
        <v>45292</v>
      </c>
      <c r="O1094" s="9" t="s">
        <v>99</v>
      </c>
      <c r="P1094" s="12" t="s">
        <v>1964</v>
      </c>
      <c r="Q1094" s="9" t="s">
        <v>75</v>
      </c>
      <c r="R1094" s="14" t="str">
        <f>HYPERLINK("https://my.pitchbook.com?c=257601-25T","View Company Online")</f>
        <v>View Company Online</v>
      </c>
    </row>
    <row r="1095" spans="1:18" hidden="1" x14ac:dyDescent="0.3">
      <c r="A1095" s="15" t="s">
        <v>3985</v>
      </c>
      <c r="B1095" s="15" t="s">
        <v>3986</v>
      </c>
      <c r="C1095" s="18" t="s">
        <v>28</v>
      </c>
      <c r="D1095" s="15" t="s">
        <v>3987</v>
      </c>
      <c r="E1095" s="18" t="s">
        <v>28</v>
      </c>
      <c r="F1095" s="19" t="s">
        <v>28</v>
      </c>
      <c r="G1095" s="19" t="s">
        <v>28</v>
      </c>
      <c r="H1095" s="19" t="s">
        <v>28</v>
      </c>
      <c r="I1095" s="18" t="s">
        <v>28</v>
      </c>
      <c r="J1095" s="18" t="s">
        <v>28</v>
      </c>
      <c r="K1095" s="18" t="s">
        <v>28</v>
      </c>
      <c r="L1095" s="18" t="s">
        <v>28</v>
      </c>
      <c r="M1095" s="18" t="s">
        <v>28</v>
      </c>
      <c r="N1095" s="17">
        <v>45291</v>
      </c>
      <c r="O1095" s="15" t="s">
        <v>30</v>
      </c>
      <c r="P1095" s="16" t="s">
        <v>3988</v>
      </c>
      <c r="Q1095" s="15" t="s">
        <v>43</v>
      </c>
      <c r="R1095" s="13" t="str">
        <f>HYPERLINK("https://my.pitchbook.com?c=233452-09T","View Company Online")</f>
        <v>View Company Online</v>
      </c>
    </row>
    <row r="1096" spans="1:18" hidden="1" x14ac:dyDescent="0.3">
      <c r="A1096" s="9" t="s">
        <v>3989</v>
      </c>
      <c r="B1096" s="9" t="s">
        <v>3990</v>
      </c>
      <c r="C1096" s="11" t="s">
        <v>28</v>
      </c>
      <c r="D1096" s="9" t="s">
        <v>3991</v>
      </c>
      <c r="E1096" s="11" t="s">
        <v>28</v>
      </c>
      <c r="F1096" s="10" t="s">
        <v>28</v>
      </c>
      <c r="G1096" s="10" t="s">
        <v>28</v>
      </c>
      <c r="H1096" s="10" t="s">
        <v>28</v>
      </c>
      <c r="I1096" s="11" t="s">
        <v>28</v>
      </c>
      <c r="J1096" s="11" t="s">
        <v>28</v>
      </c>
      <c r="K1096" s="11" t="s">
        <v>28</v>
      </c>
      <c r="L1096" s="11" t="s">
        <v>28</v>
      </c>
      <c r="M1096" s="11" t="s">
        <v>28</v>
      </c>
      <c r="N1096" s="8">
        <v>45291</v>
      </c>
      <c r="O1096" s="9" t="s">
        <v>58</v>
      </c>
      <c r="P1096" s="12" t="s">
        <v>28</v>
      </c>
      <c r="Q1096" s="9" t="s">
        <v>753</v>
      </c>
      <c r="R1096" s="14" t="str">
        <f>HYPERLINK("https://my.pitchbook.com?c=269424-46T","View Company Online")</f>
        <v>View Company Online</v>
      </c>
    </row>
    <row r="1097" spans="1:18" hidden="1" x14ac:dyDescent="0.3">
      <c r="A1097" s="15" t="s">
        <v>3992</v>
      </c>
      <c r="B1097" s="15" t="s">
        <v>3993</v>
      </c>
      <c r="C1097" s="18" t="s">
        <v>28</v>
      </c>
      <c r="D1097" s="15" t="s">
        <v>3994</v>
      </c>
      <c r="E1097" s="18" t="s">
        <v>28</v>
      </c>
      <c r="F1097" s="19" t="s">
        <v>28</v>
      </c>
      <c r="G1097" s="19" t="s">
        <v>28</v>
      </c>
      <c r="H1097" s="19" t="s">
        <v>28</v>
      </c>
      <c r="I1097" s="18" t="s">
        <v>28</v>
      </c>
      <c r="J1097" s="18" t="s">
        <v>28</v>
      </c>
      <c r="K1097" s="18" t="s">
        <v>28</v>
      </c>
      <c r="L1097" s="18" t="s">
        <v>28</v>
      </c>
      <c r="M1097" s="18" t="s">
        <v>28</v>
      </c>
      <c r="N1097" s="17">
        <v>45291</v>
      </c>
      <c r="O1097" s="15" t="s">
        <v>41</v>
      </c>
      <c r="P1097" s="16" t="s">
        <v>182</v>
      </c>
      <c r="Q1097" s="15" t="s">
        <v>226</v>
      </c>
      <c r="R1097" s="13" t="str">
        <f>HYPERLINK("https://my.pitchbook.com?c=245205-46T","View Company Online")</f>
        <v>View Company Online</v>
      </c>
    </row>
    <row r="1098" spans="1:18" hidden="1" x14ac:dyDescent="0.3">
      <c r="A1098" s="9" t="s">
        <v>3995</v>
      </c>
      <c r="B1098" s="9" t="s">
        <v>3996</v>
      </c>
      <c r="C1098" s="11" t="s">
        <v>28</v>
      </c>
      <c r="D1098" s="9" t="s">
        <v>3997</v>
      </c>
      <c r="E1098" s="11" t="s">
        <v>28</v>
      </c>
      <c r="F1098" s="10" t="s">
        <v>28</v>
      </c>
      <c r="G1098" s="10" t="s">
        <v>28</v>
      </c>
      <c r="H1098" s="10" t="s">
        <v>28</v>
      </c>
      <c r="I1098" s="11" t="s">
        <v>28</v>
      </c>
      <c r="J1098" s="11" t="s">
        <v>28</v>
      </c>
      <c r="K1098" s="11" t="s">
        <v>28</v>
      </c>
      <c r="L1098" s="11" t="s">
        <v>28</v>
      </c>
      <c r="M1098" s="11" t="s">
        <v>28</v>
      </c>
      <c r="N1098" s="8">
        <v>45291</v>
      </c>
      <c r="O1098" s="9" t="s">
        <v>41</v>
      </c>
      <c r="P1098" s="12" t="s">
        <v>3998</v>
      </c>
      <c r="Q1098" s="9" t="s">
        <v>105</v>
      </c>
      <c r="R1098" s="14" t="str">
        <f>HYPERLINK("https://my.pitchbook.com?c=224293-24T","View Company Online")</f>
        <v>View Company Online</v>
      </c>
    </row>
    <row r="1099" spans="1:18" hidden="1" x14ac:dyDescent="0.3">
      <c r="A1099" s="15" t="s">
        <v>3999</v>
      </c>
      <c r="B1099" s="15" t="s">
        <v>4000</v>
      </c>
      <c r="C1099" s="18" t="s">
        <v>28</v>
      </c>
      <c r="D1099" s="15" t="s">
        <v>4001</v>
      </c>
      <c r="E1099" s="18" t="s">
        <v>28</v>
      </c>
      <c r="F1099" s="19">
        <v>2.04</v>
      </c>
      <c r="G1099" s="19">
        <v>2.04</v>
      </c>
      <c r="H1099" s="19">
        <v>2.04</v>
      </c>
      <c r="I1099" s="18" t="s">
        <v>28</v>
      </c>
      <c r="J1099" s="18" t="s">
        <v>28</v>
      </c>
      <c r="K1099" s="18" t="s">
        <v>28</v>
      </c>
      <c r="L1099" s="18" t="s">
        <v>28</v>
      </c>
      <c r="M1099" s="18" t="s">
        <v>28</v>
      </c>
      <c r="N1099" s="17">
        <v>45291</v>
      </c>
      <c r="O1099" s="15" t="s">
        <v>30</v>
      </c>
      <c r="P1099" s="16" t="s">
        <v>4002</v>
      </c>
      <c r="Q1099" s="15" t="s">
        <v>64</v>
      </c>
      <c r="R1099" s="13" t="str">
        <f>HYPERLINK("https://my.pitchbook.com?c=288654-31T","View Company Online")</f>
        <v>View Company Online</v>
      </c>
    </row>
    <row r="1100" spans="1:18" x14ac:dyDescent="0.3">
      <c r="A1100" s="9" t="s">
        <v>4003</v>
      </c>
      <c r="B1100" s="9" t="s">
        <v>4004</v>
      </c>
      <c r="C1100" s="11" t="s">
        <v>28</v>
      </c>
      <c r="D1100" s="9" t="s">
        <v>4005</v>
      </c>
      <c r="E1100" s="11">
        <v>3.19</v>
      </c>
      <c r="F1100" s="10" t="s">
        <v>28</v>
      </c>
      <c r="G1100" s="10">
        <v>173.41</v>
      </c>
      <c r="H1100" s="10">
        <v>173.41</v>
      </c>
      <c r="I1100" s="11">
        <v>9.85</v>
      </c>
      <c r="J1100" s="11">
        <v>17.61</v>
      </c>
      <c r="K1100" s="11">
        <v>58.41</v>
      </c>
      <c r="L1100" s="11">
        <v>2.97</v>
      </c>
      <c r="M1100" s="11">
        <v>2.96</v>
      </c>
      <c r="N1100" s="8">
        <v>45290</v>
      </c>
      <c r="O1100" s="9" t="s">
        <v>41</v>
      </c>
      <c r="P1100" s="12" t="s">
        <v>4006</v>
      </c>
      <c r="Q1100" s="9" t="s">
        <v>188</v>
      </c>
      <c r="R1100" s="14" t="str">
        <f>HYPERLINK("https://my.pitchbook.com?c=245032-21T","View Company Online")</f>
        <v>View Company Online</v>
      </c>
    </row>
    <row r="1101" spans="1:18" hidden="1" x14ac:dyDescent="0.3">
      <c r="A1101" s="15" t="s">
        <v>4007</v>
      </c>
      <c r="B1101" s="15" t="s">
        <v>2626</v>
      </c>
      <c r="C1101" s="18" t="s">
        <v>28</v>
      </c>
      <c r="D1101" s="15" t="s">
        <v>2627</v>
      </c>
      <c r="E1101" s="18" t="s">
        <v>28</v>
      </c>
      <c r="F1101" s="19" t="s">
        <v>28</v>
      </c>
      <c r="G1101" s="19">
        <v>0.01</v>
      </c>
      <c r="H1101" s="19" t="s">
        <v>28</v>
      </c>
      <c r="I1101" s="18" t="s">
        <v>28</v>
      </c>
      <c r="J1101" s="18" t="s">
        <v>28</v>
      </c>
      <c r="K1101" s="18" t="s">
        <v>28</v>
      </c>
      <c r="L1101" s="18" t="s">
        <v>28</v>
      </c>
      <c r="M1101" s="18" t="s">
        <v>28</v>
      </c>
      <c r="N1101" s="17">
        <v>45290</v>
      </c>
      <c r="O1101" s="15" t="s">
        <v>52</v>
      </c>
      <c r="P1101" s="16" t="s">
        <v>68</v>
      </c>
      <c r="Q1101" s="15" t="s">
        <v>75</v>
      </c>
      <c r="R1101" s="13" t="str">
        <f>HYPERLINK("https://my.pitchbook.com?c=299160-91T","View Company Online")</f>
        <v>View Company Online</v>
      </c>
    </row>
    <row r="1102" spans="1:18" hidden="1" x14ac:dyDescent="0.3">
      <c r="A1102" s="9" t="s">
        <v>4008</v>
      </c>
      <c r="B1102" s="9" t="s">
        <v>4009</v>
      </c>
      <c r="C1102" s="11" t="s">
        <v>28</v>
      </c>
      <c r="D1102" s="9" t="s">
        <v>4010</v>
      </c>
      <c r="E1102" s="11" t="s">
        <v>28</v>
      </c>
      <c r="F1102" s="10" t="s">
        <v>28</v>
      </c>
      <c r="G1102" s="10" t="s">
        <v>28</v>
      </c>
      <c r="H1102" s="10" t="s">
        <v>28</v>
      </c>
      <c r="I1102" s="11" t="s">
        <v>28</v>
      </c>
      <c r="J1102" s="11" t="s">
        <v>28</v>
      </c>
      <c r="K1102" s="11" t="s">
        <v>28</v>
      </c>
      <c r="L1102" s="11" t="s">
        <v>28</v>
      </c>
      <c r="M1102" s="11" t="s">
        <v>28</v>
      </c>
      <c r="N1102" s="8">
        <v>45290</v>
      </c>
      <c r="O1102" s="9" t="s">
        <v>30</v>
      </c>
      <c r="P1102" s="12" t="s">
        <v>4011</v>
      </c>
      <c r="Q1102" s="9" t="s">
        <v>371</v>
      </c>
      <c r="R1102" s="14" t="str">
        <f>HYPERLINK("https://my.pitchbook.com?c=249890-05T","View Company Online")</f>
        <v>View Company Online</v>
      </c>
    </row>
    <row r="1103" spans="1:18" hidden="1" x14ac:dyDescent="0.3">
      <c r="A1103" s="15" t="s">
        <v>4012</v>
      </c>
      <c r="B1103" s="15" t="s">
        <v>4013</v>
      </c>
      <c r="C1103" s="18" t="s">
        <v>28</v>
      </c>
      <c r="D1103" s="15" t="s">
        <v>4014</v>
      </c>
      <c r="E1103" s="18" t="s">
        <v>28</v>
      </c>
      <c r="F1103" s="19">
        <v>7.95</v>
      </c>
      <c r="G1103" s="19">
        <v>7.95</v>
      </c>
      <c r="H1103" s="19">
        <v>7.95</v>
      </c>
      <c r="I1103" s="18" t="s">
        <v>28</v>
      </c>
      <c r="J1103" s="18" t="s">
        <v>28</v>
      </c>
      <c r="K1103" s="18">
        <v>28.01</v>
      </c>
      <c r="L1103" s="18">
        <v>0.28000000000000003</v>
      </c>
      <c r="M1103" s="18" t="s">
        <v>28</v>
      </c>
      <c r="N1103" s="17">
        <v>45289</v>
      </c>
      <c r="O1103" s="15" t="s">
        <v>30</v>
      </c>
      <c r="P1103" s="16" t="s">
        <v>4015</v>
      </c>
      <c r="Q1103" s="15" t="s">
        <v>75</v>
      </c>
      <c r="R1103" s="13" t="str">
        <f>HYPERLINK("https://my.pitchbook.com?c=245316-61T","View Company Online")</f>
        <v>View Company Online</v>
      </c>
    </row>
    <row r="1104" spans="1:18" hidden="1" x14ac:dyDescent="0.3">
      <c r="A1104" s="9" t="s">
        <v>4016</v>
      </c>
      <c r="B1104" s="9" t="s">
        <v>1215</v>
      </c>
      <c r="C1104" s="11" t="s">
        <v>28</v>
      </c>
      <c r="D1104" s="9" t="s">
        <v>1216</v>
      </c>
      <c r="E1104" s="11" t="s">
        <v>28</v>
      </c>
      <c r="F1104" s="10" t="s">
        <v>28</v>
      </c>
      <c r="G1104" s="10" t="s">
        <v>28</v>
      </c>
      <c r="H1104" s="10" t="s">
        <v>28</v>
      </c>
      <c r="I1104" s="11" t="s">
        <v>28</v>
      </c>
      <c r="J1104" s="11" t="s">
        <v>28</v>
      </c>
      <c r="K1104" s="11" t="s">
        <v>28</v>
      </c>
      <c r="L1104" s="11" t="s">
        <v>28</v>
      </c>
      <c r="M1104" s="11" t="s">
        <v>28</v>
      </c>
      <c r="N1104" s="8">
        <v>45289</v>
      </c>
      <c r="O1104" s="9" t="s">
        <v>52</v>
      </c>
      <c r="P1104" s="12" t="s">
        <v>2134</v>
      </c>
      <c r="Q1104" s="9" t="s">
        <v>75</v>
      </c>
      <c r="R1104" s="14" t="str">
        <f>HYPERLINK("https://my.pitchbook.com?c=258934-96T","View Company Online")</f>
        <v>View Company Online</v>
      </c>
    </row>
    <row r="1105" spans="1:18" hidden="1" x14ac:dyDescent="0.3">
      <c r="A1105" s="15" t="s">
        <v>4017</v>
      </c>
      <c r="B1105" s="15" t="s">
        <v>279</v>
      </c>
      <c r="C1105" s="18" t="s">
        <v>28</v>
      </c>
      <c r="D1105" s="15" t="s">
        <v>2280</v>
      </c>
      <c r="E1105" s="18">
        <v>-120.79</v>
      </c>
      <c r="F1105" s="19" t="s">
        <v>28</v>
      </c>
      <c r="G1105" s="19" t="s">
        <v>28</v>
      </c>
      <c r="H1105" s="19" t="s">
        <v>28</v>
      </c>
      <c r="I1105" s="18">
        <v>500.28</v>
      </c>
      <c r="J1105" s="18" t="s">
        <v>28</v>
      </c>
      <c r="K1105" s="18">
        <v>10630.57</v>
      </c>
      <c r="L1105" s="18" t="s">
        <v>28</v>
      </c>
      <c r="M1105" s="18">
        <v>-737.45</v>
      </c>
      <c r="N1105" s="17">
        <v>45288</v>
      </c>
      <c r="O1105" s="15" t="s">
        <v>30</v>
      </c>
      <c r="P1105" s="16" t="s">
        <v>4018</v>
      </c>
      <c r="Q1105" s="15" t="s">
        <v>136</v>
      </c>
      <c r="R1105" s="13" t="str">
        <f>HYPERLINK("https://my.pitchbook.com?c=272830-42T","View Company Online")</f>
        <v>View Company Online</v>
      </c>
    </row>
    <row r="1106" spans="1:18" hidden="1" x14ac:dyDescent="0.3">
      <c r="A1106" s="9" t="s">
        <v>4019</v>
      </c>
      <c r="B1106" s="9" t="s">
        <v>4020</v>
      </c>
      <c r="C1106" s="11" t="s">
        <v>28</v>
      </c>
      <c r="D1106" s="9" t="s">
        <v>4021</v>
      </c>
      <c r="E1106" s="11" t="s">
        <v>28</v>
      </c>
      <c r="F1106" s="10" t="s">
        <v>28</v>
      </c>
      <c r="G1106" s="10">
        <v>0.47</v>
      </c>
      <c r="H1106" s="10" t="s">
        <v>28</v>
      </c>
      <c r="I1106" s="11" t="s">
        <v>28</v>
      </c>
      <c r="J1106" s="11" t="s">
        <v>28</v>
      </c>
      <c r="K1106" s="11" t="s">
        <v>28</v>
      </c>
      <c r="L1106" s="11" t="s">
        <v>28</v>
      </c>
      <c r="M1106" s="11" t="s">
        <v>28</v>
      </c>
      <c r="N1106" s="8">
        <v>45288</v>
      </c>
      <c r="O1106" s="9" t="s">
        <v>73</v>
      </c>
      <c r="P1106" s="12" t="s">
        <v>4022</v>
      </c>
      <c r="Q1106" s="9" t="s">
        <v>75</v>
      </c>
      <c r="R1106" s="14" t="str">
        <f>HYPERLINK("https://my.pitchbook.com?c=234820-54T","View Company Online")</f>
        <v>View Company Online</v>
      </c>
    </row>
    <row r="1107" spans="1:18" hidden="1" x14ac:dyDescent="0.3">
      <c r="A1107" s="15" t="s">
        <v>4023</v>
      </c>
      <c r="B1107" s="15" t="s">
        <v>4024</v>
      </c>
      <c r="C1107" s="18" t="s">
        <v>28</v>
      </c>
      <c r="D1107" s="15" t="s">
        <v>4025</v>
      </c>
      <c r="E1107" s="18" t="s">
        <v>28</v>
      </c>
      <c r="F1107" s="19" t="s">
        <v>28</v>
      </c>
      <c r="G1107" s="19" t="s">
        <v>28</v>
      </c>
      <c r="H1107" s="19" t="s">
        <v>28</v>
      </c>
      <c r="I1107" s="18" t="s">
        <v>28</v>
      </c>
      <c r="J1107" s="18" t="s">
        <v>28</v>
      </c>
      <c r="K1107" s="18" t="s">
        <v>28</v>
      </c>
      <c r="L1107" s="18" t="s">
        <v>28</v>
      </c>
      <c r="M1107" s="18" t="s">
        <v>28</v>
      </c>
      <c r="N1107" s="17">
        <v>45287</v>
      </c>
      <c r="O1107" s="15" t="s">
        <v>30</v>
      </c>
      <c r="P1107" s="16" t="s">
        <v>4026</v>
      </c>
      <c r="Q1107" s="15" t="s">
        <v>240</v>
      </c>
      <c r="R1107" s="13" t="str">
        <f>HYPERLINK("https://my.pitchbook.com?c=254467-27T","View Company Online")</f>
        <v>View Company Online</v>
      </c>
    </row>
    <row r="1108" spans="1:18" hidden="1" x14ac:dyDescent="0.3">
      <c r="A1108" s="9" t="s">
        <v>4027</v>
      </c>
      <c r="B1108" s="9" t="s">
        <v>4028</v>
      </c>
      <c r="C1108" s="11" t="s">
        <v>28</v>
      </c>
      <c r="D1108" s="9" t="s">
        <v>4029</v>
      </c>
      <c r="E1108" s="11" t="s">
        <v>28</v>
      </c>
      <c r="F1108" s="10" t="s">
        <v>28</v>
      </c>
      <c r="G1108" s="10" t="s">
        <v>28</v>
      </c>
      <c r="H1108" s="10" t="s">
        <v>28</v>
      </c>
      <c r="I1108" s="11" t="s">
        <v>28</v>
      </c>
      <c r="J1108" s="11" t="s">
        <v>28</v>
      </c>
      <c r="K1108" s="11" t="s">
        <v>28</v>
      </c>
      <c r="L1108" s="11" t="s">
        <v>28</v>
      </c>
      <c r="M1108" s="11" t="s">
        <v>28</v>
      </c>
      <c r="N1108" s="8">
        <v>45286</v>
      </c>
      <c r="O1108" s="9" t="s">
        <v>30</v>
      </c>
      <c r="P1108" s="12" t="s">
        <v>4030</v>
      </c>
      <c r="Q1108" s="9" t="s">
        <v>69</v>
      </c>
      <c r="R1108" s="14" t="str">
        <f>HYPERLINK("https://my.pitchbook.com?c=248388-76T","View Company Online")</f>
        <v>View Company Online</v>
      </c>
    </row>
    <row r="1109" spans="1:18" hidden="1" x14ac:dyDescent="0.3">
      <c r="A1109" s="15" t="s">
        <v>4031</v>
      </c>
      <c r="B1109" s="15" t="s">
        <v>4032</v>
      </c>
      <c r="C1109" s="18" t="s">
        <v>28</v>
      </c>
      <c r="D1109" s="15" t="s">
        <v>4033</v>
      </c>
      <c r="E1109" s="18" t="s">
        <v>28</v>
      </c>
      <c r="F1109" s="19" t="s">
        <v>28</v>
      </c>
      <c r="G1109" s="19" t="s">
        <v>28</v>
      </c>
      <c r="H1109" s="19" t="s">
        <v>28</v>
      </c>
      <c r="I1109" s="18" t="s">
        <v>28</v>
      </c>
      <c r="J1109" s="18" t="s">
        <v>28</v>
      </c>
      <c r="K1109" s="18" t="s">
        <v>28</v>
      </c>
      <c r="L1109" s="18" t="s">
        <v>28</v>
      </c>
      <c r="M1109" s="18" t="s">
        <v>28</v>
      </c>
      <c r="N1109" s="17">
        <v>45286</v>
      </c>
      <c r="O1109" s="15" t="s">
        <v>93</v>
      </c>
      <c r="P1109" s="16" t="s">
        <v>4034</v>
      </c>
      <c r="Q1109" s="15" t="s">
        <v>37</v>
      </c>
      <c r="R1109" s="13" t="str">
        <f>HYPERLINK("https://my.pitchbook.com?c=248365-99T","View Company Online")</f>
        <v>View Company Online</v>
      </c>
    </row>
    <row r="1110" spans="1:18" hidden="1" x14ac:dyDescent="0.3">
      <c r="A1110" s="9" t="s">
        <v>4035</v>
      </c>
      <c r="B1110" s="9" t="s">
        <v>2897</v>
      </c>
      <c r="C1110" s="11" t="s">
        <v>28</v>
      </c>
      <c r="D1110" s="9" t="s">
        <v>2898</v>
      </c>
      <c r="E1110" s="11" t="s">
        <v>28</v>
      </c>
      <c r="F1110" s="10" t="s">
        <v>28</v>
      </c>
      <c r="G1110" s="10" t="s">
        <v>28</v>
      </c>
      <c r="H1110" s="10" t="s">
        <v>28</v>
      </c>
      <c r="I1110" s="11" t="s">
        <v>28</v>
      </c>
      <c r="J1110" s="11" t="s">
        <v>28</v>
      </c>
      <c r="K1110" s="11" t="s">
        <v>28</v>
      </c>
      <c r="L1110" s="11" t="s">
        <v>28</v>
      </c>
      <c r="M1110" s="11" t="s">
        <v>28</v>
      </c>
      <c r="N1110" s="8">
        <v>45286</v>
      </c>
      <c r="O1110" s="9" t="s">
        <v>73</v>
      </c>
      <c r="P1110" s="12" t="s">
        <v>4036</v>
      </c>
      <c r="Q1110" s="9" t="s">
        <v>75</v>
      </c>
      <c r="R1110" s="14" t="str">
        <f>HYPERLINK("https://my.pitchbook.com?c=248641-66T","View Company Online")</f>
        <v>View Company Online</v>
      </c>
    </row>
    <row r="1111" spans="1:18" hidden="1" x14ac:dyDescent="0.3">
      <c r="A1111" s="15" t="s">
        <v>4037</v>
      </c>
      <c r="B1111" s="15" t="s">
        <v>4038</v>
      </c>
      <c r="C1111" s="18" t="s">
        <v>28</v>
      </c>
      <c r="D1111" s="15" t="s">
        <v>4039</v>
      </c>
      <c r="E1111" s="18" t="s">
        <v>28</v>
      </c>
      <c r="F1111" s="19" t="s">
        <v>28</v>
      </c>
      <c r="G1111" s="19">
        <v>0.6</v>
      </c>
      <c r="H1111" s="19" t="s">
        <v>28</v>
      </c>
      <c r="I1111" s="18" t="s">
        <v>28</v>
      </c>
      <c r="J1111" s="18" t="s">
        <v>28</v>
      </c>
      <c r="K1111" s="18" t="s">
        <v>28</v>
      </c>
      <c r="L1111" s="18" t="s">
        <v>28</v>
      </c>
      <c r="M1111" s="18" t="s">
        <v>28</v>
      </c>
      <c r="N1111" s="17">
        <v>45285</v>
      </c>
      <c r="O1111" s="15" t="s">
        <v>79</v>
      </c>
      <c r="P1111" s="16" t="s">
        <v>4040</v>
      </c>
      <c r="Q1111" s="15" t="s">
        <v>37</v>
      </c>
      <c r="R1111" s="13" t="str">
        <f>HYPERLINK("https://my.pitchbook.com?c=248321-08T","View Company Online")</f>
        <v>View Company Online</v>
      </c>
    </row>
    <row r="1112" spans="1:18" hidden="1" x14ac:dyDescent="0.3">
      <c r="A1112" s="9" t="s">
        <v>4041</v>
      </c>
      <c r="B1112" s="9" t="s">
        <v>4042</v>
      </c>
      <c r="C1112" s="11" t="s">
        <v>28</v>
      </c>
      <c r="D1112" s="9" t="s">
        <v>4043</v>
      </c>
      <c r="E1112" s="11" t="s">
        <v>28</v>
      </c>
      <c r="F1112" s="10" t="s">
        <v>28</v>
      </c>
      <c r="G1112" s="10" t="s">
        <v>28</v>
      </c>
      <c r="H1112" s="10" t="s">
        <v>28</v>
      </c>
      <c r="I1112" s="11" t="s">
        <v>28</v>
      </c>
      <c r="J1112" s="11" t="s">
        <v>28</v>
      </c>
      <c r="K1112" s="11" t="s">
        <v>28</v>
      </c>
      <c r="L1112" s="11" t="s">
        <v>28</v>
      </c>
      <c r="M1112" s="11" t="s">
        <v>28</v>
      </c>
      <c r="N1112" s="8">
        <v>45283</v>
      </c>
      <c r="O1112" s="9" t="s">
        <v>99</v>
      </c>
      <c r="P1112" s="12" t="s">
        <v>221</v>
      </c>
      <c r="Q1112" s="9" t="s">
        <v>75</v>
      </c>
      <c r="R1112" s="14" t="str">
        <f>HYPERLINK("https://my.pitchbook.com?c=255807-91T","View Company Online")</f>
        <v>View Company Online</v>
      </c>
    </row>
    <row r="1113" spans="1:18" hidden="1" x14ac:dyDescent="0.3">
      <c r="A1113" s="15" t="s">
        <v>4044</v>
      </c>
      <c r="B1113" s="15" t="s">
        <v>4045</v>
      </c>
      <c r="C1113" s="18" t="s">
        <v>28</v>
      </c>
      <c r="D1113" s="15" t="s">
        <v>4046</v>
      </c>
      <c r="E1113" s="18" t="s">
        <v>28</v>
      </c>
      <c r="F1113" s="19" t="s">
        <v>28</v>
      </c>
      <c r="G1113" s="19" t="s">
        <v>28</v>
      </c>
      <c r="H1113" s="19" t="s">
        <v>28</v>
      </c>
      <c r="I1113" s="18" t="s">
        <v>28</v>
      </c>
      <c r="J1113" s="18" t="s">
        <v>28</v>
      </c>
      <c r="K1113" s="18">
        <v>2.2799999999999998</v>
      </c>
      <c r="L1113" s="18" t="s">
        <v>28</v>
      </c>
      <c r="M1113" s="18">
        <v>1.65</v>
      </c>
      <c r="N1113" s="17">
        <v>45282</v>
      </c>
      <c r="O1113" s="15" t="s">
        <v>173</v>
      </c>
      <c r="P1113" s="16" t="s">
        <v>28</v>
      </c>
      <c r="Q1113" s="15" t="s">
        <v>174</v>
      </c>
      <c r="R1113" s="13" t="str">
        <f>HYPERLINK("https://my.pitchbook.com?c=248502-07T","View Company Online")</f>
        <v>View Company Online</v>
      </c>
    </row>
    <row r="1114" spans="1:18" hidden="1" x14ac:dyDescent="0.3">
      <c r="A1114" s="9" t="s">
        <v>4047</v>
      </c>
      <c r="B1114" s="9" t="s">
        <v>4048</v>
      </c>
      <c r="C1114" s="11" t="s">
        <v>28</v>
      </c>
      <c r="D1114" s="9" t="s">
        <v>4049</v>
      </c>
      <c r="E1114" s="11" t="s">
        <v>28</v>
      </c>
      <c r="F1114" s="10" t="s">
        <v>28</v>
      </c>
      <c r="G1114" s="10">
        <v>0.04</v>
      </c>
      <c r="H1114" s="10" t="s">
        <v>28</v>
      </c>
      <c r="I1114" s="11" t="s">
        <v>28</v>
      </c>
      <c r="J1114" s="11" t="s">
        <v>28</v>
      </c>
      <c r="K1114" s="11" t="s">
        <v>28</v>
      </c>
      <c r="L1114" s="11" t="s">
        <v>28</v>
      </c>
      <c r="M1114" s="11" t="s">
        <v>28</v>
      </c>
      <c r="N1114" s="8">
        <v>45282</v>
      </c>
      <c r="O1114" s="9" t="s">
        <v>79</v>
      </c>
      <c r="P1114" s="12" t="s">
        <v>234</v>
      </c>
      <c r="Q1114" s="9" t="s">
        <v>75</v>
      </c>
      <c r="R1114" s="14" t="str">
        <f>HYPERLINK("https://my.pitchbook.com?c=270518-41T","View Company Online")</f>
        <v>View Company Online</v>
      </c>
    </row>
    <row r="1115" spans="1:18" hidden="1" x14ac:dyDescent="0.3">
      <c r="A1115" s="15" t="s">
        <v>4050</v>
      </c>
      <c r="B1115" s="15" t="s">
        <v>4051</v>
      </c>
      <c r="C1115" s="18" t="s">
        <v>28</v>
      </c>
      <c r="D1115" s="15" t="s">
        <v>4052</v>
      </c>
      <c r="E1115" s="18" t="s">
        <v>28</v>
      </c>
      <c r="F1115" s="19" t="s">
        <v>28</v>
      </c>
      <c r="G1115" s="19">
        <v>86.49</v>
      </c>
      <c r="H1115" s="19" t="s">
        <v>28</v>
      </c>
      <c r="I1115" s="18" t="s">
        <v>28</v>
      </c>
      <c r="J1115" s="18" t="s">
        <v>28</v>
      </c>
      <c r="K1115" s="18">
        <v>146.02000000000001</v>
      </c>
      <c r="L1115" s="18" t="s">
        <v>28</v>
      </c>
      <c r="M1115" s="18" t="s">
        <v>28</v>
      </c>
      <c r="N1115" s="17">
        <v>45282</v>
      </c>
      <c r="O1115" s="15" t="s">
        <v>93</v>
      </c>
      <c r="P1115" s="16" t="s">
        <v>4053</v>
      </c>
      <c r="Q1115" s="15" t="s">
        <v>169</v>
      </c>
      <c r="R1115" s="13" t="str">
        <f>HYPERLINK("https://my.pitchbook.com?c=248296-60T","View Company Online")</f>
        <v>View Company Online</v>
      </c>
    </row>
    <row r="1116" spans="1:18" hidden="1" x14ac:dyDescent="0.3">
      <c r="A1116" s="9" t="s">
        <v>4054</v>
      </c>
      <c r="B1116" s="9" t="s">
        <v>4055</v>
      </c>
      <c r="C1116" s="11" t="s">
        <v>28</v>
      </c>
      <c r="D1116" s="9" t="s">
        <v>4056</v>
      </c>
      <c r="E1116" s="11" t="s">
        <v>28</v>
      </c>
      <c r="F1116" s="10" t="s">
        <v>28</v>
      </c>
      <c r="G1116" s="10" t="s">
        <v>28</v>
      </c>
      <c r="H1116" s="10" t="s">
        <v>28</v>
      </c>
      <c r="I1116" s="11" t="s">
        <v>28</v>
      </c>
      <c r="J1116" s="11" t="s">
        <v>28</v>
      </c>
      <c r="K1116" s="11" t="s">
        <v>28</v>
      </c>
      <c r="L1116" s="11" t="s">
        <v>28</v>
      </c>
      <c r="M1116" s="11" t="s">
        <v>28</v>
      </c>
      <c r="N1116" s="8">
        <v>45282</v>
      </c>
      <c r="O1116" s="9" t="s">
        <v>30</v>
      </c>
      <c r="P1116" s="12" t="s">
        <v>4057</v>
      </c>
      <c r="Q1116" s="9" t="s">
        <v>268</v>
      </c>
      <c r="R1116" s="14" t="str">
        <f>HYPERLINK("https://my.pitchbook.com?c=242895-79T","View Company Online")</f>
        <v>View Company Online</v>
      </c>
    </row>
    <row r="1117" spans="1:18" hidden="1" x14ac:dyDescent="0.3">
      <c r="A1117" s="15" t="s">
        <v>4058</v>
      </c>
      <c r="B1117" s="15" t="s">
        <v>4059</v>
      </c>
      <c r="C1117" s="18" t="s">
        <v>28</v>
      </c>
      <c r="D1117" s="15" t="s">
        <v>4060</v>
      </c>
      <c r="E1117" s="18" t="s">
        <v>28</v>
      </c>
      <c r="F1117" s="19" t="s">
        <v>28</v>
      </c>
      <c r="G1117" s="19">
        <v>0.32</v>
      </c>
      <c r="H1117" s="19" t="s">
        <v>28</v>
      </c>
      <c r="I1117" s="18" t="s">
        <v>28</v>
      </c>
      <c r="J1117" s="18" t="s">
        <v>28</v>
      </c>
      <c r="K1117" s="18" t="s">
        <v>28</v>
      </c>
      <c r="L1117" s="18" t="s">
        <v>28</v>
      </c>
      <c r="M1117" s="18" t="s">
        <v>28</v>
      </c>
      <c r="N1117" s="17">
        <v>45282</v>
      </c>
      <c r="O1117" s="15" t="s">
        <v>79</v>
      </c>
      <c r="P1117" s="16" t="s">
        <v>234</v>
      </c>
      <c r="Q1117" s="15" t="s">
        <v>959</v>
      </c>
      <c r="R1117" s="13" t="str">
        <f>HYPERLINK("https://my.pitchbook.com?c=270560-80T","View Company Online")</f>
        <v>View Company Online</v>
      </c>
    </row>
    <row r="1118" spans="1:18" hidden="1" x14ac:dyDescent="0.3">
      <c r="A1118" s="9" t="s">
        <v>4061</v>
      </c>
      <c r="B1118" s="9" t="s">
        <v>4062</v>
      </c>
      <c r="C1118" s="11" t="s">
        <v>28</v>
      </c>
      <c r="D1118" s="9" t="s">
        <v>28</v>
      </c>
      <c r="E1118" s="11">
        <v>2.0499999999999998</v>
      </c>
      <c r="F1118" s="10" t="s">
        <v>28</v>
      </c>
      <c r="G1118" s="10" t="s">
        <v>28</v>
      </c>
      <c r="H1118" s="10" t="s">
        <v>28</v>
      </c>
      <c r="I1118" s="11">
        <v>2.0499999999999998</v>
      </c>
      <c r="J1118" s="11" t="s">
        <v>28</v>
      </c>
      <c r="K1118" s="11">
        <v>1.71</v>
      </c>
      <c r="L1118" s="11" t="s">
        <v>28</v>
      </c>
      <c r="M1118" s="11">
        <v>2.0499999999999998</v>
      </c>
      <c r="N1118" s="8">
        <v>45282</v>
      </c>
      <c r="O1118" s="9" t="s">
        <v>173</v>
      </c>
      <c r="P1118" s="12" t="s">
        <v>28</v>
      </c>
      <c r="Q1118" s="9" t="s">
        <v>240</v>
      </c>
      <c r="R1118" s="14" t="str">
        <f>HYPERLINK("https://my.pitchbook.com?c=248486-32T","View Company Online")</f>
        <v>View Company Online</v>
      </c>
    </row>
    <row r="1119" spans="1:18" hidden="1" x14ac:dyDescent="0.3">
      <c r="A1119" s="15" t="s">
        <v>4063</v>
      </c>
      <c r="B1119" s="15" t="s">
        <v>4064</v>
      </c>
      <c r="C1119" s="18" t="s">
        <v>28</v>
      </c>
      <c r="D1119" s="15" t="s">
        <v>4065</v>
      </c>
      <c r="E1119" s="18" t="s">
        <v>28</v>
      </c>
      <c r="F1119" s="19" t="s">
        <v>28</v>
      </c>
      <c r="G1119" s="19">
        <v>0.01</v>
      </c>
      <c r="H1119" s="19" t="s">
        <v>28</v>
      </c>
      <c r="I1119" s="18" t="s">
        <v>28</v>
      </c>
      <c r="J1119" s="18" t="s">
        <v>28</v>
      </c>
      <c r="K1119" s="18" t="s">
        <v>28</v>
      </c>
      <c r="L1119" s="18" t="s">
        <v>28</v>
      </c>
      <c r="M1119" s="18" t="s">
        <v>28</v>
      </c>
      <c r="N1119" s="17">
        <v>45282</v>
      </c>
      <c r="O1119" s="15" t="s">
        <v>79</v>
      </c>
      <c r="P1119" s="16" t="s">
        <v>234</v>
      </c>
      <c r="Q1119" s="15" t="s">
        <v>75</v>
      </c>
      <c r="R1119" s="13" t="str">
        <f>HYPERLINK("https://my.pitchbook.com?c=270523-90T","View Company Online")</f>
        <v>View Company Online</v>
      </c>
    </row>
    <row r="1120" spans="1:18" hidden="1" x14ac:dyDescent="0.3">
      <c r="A1120" s="9" t="s">
        <v>4066</v>
      </c>
      <c r="B1120" s="9" t="s">
        <v>4067</v>
      </c>
      <c r="C1120" s="11" t="s">
        <v>28</v>
      </c>
      <c r="D1120" s="9" t="s">
        <v>4068</v>
      </c>
      <c r="E1120" s="11" t="s">
        <v>28</v>
      </c>
      <c r="F1120" s="10" t="s">
        <v>28</v>
      </c>
      <c r="G1120" s="10">
        <v>1.69</v>
      </c>
      <c r="H1120" s="10" t="s">
        <v>28</v>
      </c>
      <c r="I1120" s="11" t="s">
        <v>28</v>
      </c>
      <c r="J1120" s="11" t="s">
        <v>28</v>
      </c>
      <c r="K1120" s="11" t="s">
        <v>28</v>
      </c>
      <c r="L1120" s="11" t="s">
        <v>28</v>
      </c>
      <c r="M1120" s="11" t="s">
        <v>28</v>
      </c>
      <c r="N1120" s="8">
        <v>45281</v>
      </c>
      <c r="O1120" s="9" t="s">
        <v>1639</v>
      </c>
      <c r="P1120" s="12" t="s">
        <v>28</v>
      </c>
      <c r="Q1120" s="9" t="s">
        <v>381</v>
      </c>
      <c r="R1120" s="14" t="str">
        <f>HYPERLINK("https://my.pitchbook.com?c=248270-41T","View Company Online")</f>
        <v>View Company Online</v>
      </c>
    </row>
    <row r="1121" spans="1:18" hidden="1" x14ac:dyDescent="0.3">
      <c r="A1121" s="15" t="s">
        <v>4069</v>
      </c>
      <c r="B1121" s="15" t="s">
        <v>4070</v>
      </c>
      <c r="C1121" s="18" t="s">
        <v>28</v>
      </c>
      <c r="D1121" s="15" t="s">
        <v>4071</v>
      </c>
      <c r="E1121" s="18" t="s">
        <v>28</v>
      </c>
      <c r="F1121" s="19">
        <v>229.02</v>
      </c>
      <c r="G1121" s="19">
        <v>116.8</v>
      </c>
      <c r="H1121" s="19">
        <v>229.02</v>
      </c>
      <c r="I1121" s="18" t="s">
        <v>28</v>
      </c>
      <c r="J1121" s="18" t="s">
        <v>28</v>
      </c>
      <c r="K1121" s="18" t="s">
        <v>28</v>
      </c>
      <c r="L1121" s="18" t="s">
        <v>28</v>
      </c>
      <c r="M1121" s="18" t="s">
        <v>28</v>
      </c>
      <c r="N1121" s="17">
        <v>45281</v>
      </c>
      <c r="O1121" s="15" t="s">
        <v>30</v>
      </c>
      <c r="P1121" s="16" t="s">
        <v>4072</v>
      </c>
      <c r="Q1121" s="15" t="s">
        <v>348</v>
      </c>
      <c r="R1121" s="13" t="str">
        <f>HYPERLINK("https://my.pitchbook.com?c=273750-13T","View Company Online")</f>
        <v>View Company Online</v>
      </c>
    </row>
    <row r="1122" spans="1:18" hidden="1" x14ac:dyDescent="0.3">
      <c r="A1122" s="9" t="s">
        <v>4073</v>
      </c>
      <c r="B1122" s="9" t="s">
        <v>4074</v>
      </c>
      <c r="C1122" s="11" t="s">
        <v>28</v>
      </c>
      <c r="D1122" s="9" t="s">
        <v>4075</v>
      </c>
      <c r="E1122" s="11" t="s">
        <v>28</v>
      </c>
      <c r="F1122" s="10" t="s">
        <v>28</v>
      </c>
      <c r="G1122" s="10" t="s">
        <v>28</v>
      </c>
      <c r="H1122" s="10" t="s">
        <v>28</v>
      </c>
      <c r="I1122" s="11" t="s">
        <v>28</v>
      </c>
      <c r="J1122" s="11" t="s">
        <v>28</v>
      </c>
      <c r="K1122" s="11" t="s">
        <v>28</v>
      </c>
      <c r="L1122" s="11" t="s">
        <v>28</v>
      </c>
      <c r="M1122" s="11" t="s">
        <v>28</v>
      </c>
      <c r="N1122" s="8">
        <v>45280</v>
      </c>
      <c r="O1122" s="9" t="s">
        <v>30</v>
      </c>
      <c r="P1122" s="12" t="s">
        <v>4076</v>
      </c>
      <c r="Q1122" s="9" t="s">
        <v>583</v>
      </c>
      <c r="R1122" s="14" t="str">
        <f>HYPERLINK("https://my.pitchbook.com?c=248332-78T","View Company Online")</f>
        <v>View Company Online</v>
      </c>
    </row>
    <row r="1123" spans="1:18" hidden="1" x14ac:dyDescent="0.3">
      <c r="A1123" s="15" t="s">
        <v>4077</v>
      </c>
      <c r="B1123" s="15" t="s">
        <v>3117</v>
      </c>
      <c r="C1123" s="18" t="s">
        <v>28</v>
      </c>
      <c r="D1123" s="15" t="s">
        <v>4078</v>
      </c>
      <c r="E1123" s="18">
        <v>47.15</v>
      </c>
      <c r="F1123" s="19" t="s">
        <v>28</v>
      </c>
      <c r="G1123" s="19" t="s">
        <v>28</v>
      </c>
      <c r="H1123" s="19" t="s">
        <v>28</v>
      </c>
      <c r="I1123" s="18">
        <v>85.04</v>
      </c>
      <c r="J1123" s="18" t="s">
        <v>28</v>
      </c>
      <c r="K1123" s="18">
        <v>336.8</v>
      </c>
      <c r="L1123" s="18" t="s">
        <v>28</v>
      </c>
      <c r="M1123" s="18">
        <v>19.57</v>
      </c>
      <c r="N1123" s="17">
        <v>45280</v>
      </c>
      <c r="O1123" s="15" t="s">
        <v>173</v>
      </c>
      <c r="P1123" s="16" t="s">
        <v>28</v>
      </c>
      <c r="Q1123" s="15" t="s">
        <v>753</v>
      </c>
      <c r="R1123" s="13" t="str">
        <f>HYPERLINK("https://my.pitchbook.com?c=288032-59T","View Company Online")</f>
        <v>View Company Online</v>
      </c>
    </row>
    <row r="1124" spans="1:18" hidden="1" x14ac:dyDescent="0.3">
      <c r="A1124" s="9" t="s">
        <v>4079</v>
      </c>
      <c r="B1124" s="9" t="s">
        <v>4080</v>
      </c>
      <c r="C1124" s="11" t="s">
        <v>28</v>
      </c>
      <c r="D1124" s="9" t="s">
        <v>4081</v>
      </c>
      <c r="E1124" s="11" t="s">
        <v>28</v>
      </c>
      <c r="F1124" s="10" t="s">
        <v>28</v>
      </c>
      <c r="G1124" s="10">
        <v>1.51</v>
      </c>
      <c r="H1124" s="10">
        <v>11.6</v>
      </c>
      <c r="I1124" s="11" t="s">
        <v>28</v>
      </c>
      <c r="J1124" s="11" t="s">
        <v>28</v>
      </c>
      <c r="K1124" s="11" t="s">
        <v>28</v>
      </c>
      <c r="L1124" s="11" t="s">
        <v>28</v>
      </c>
      <c r="M1124" s="11" t="s">
        <v>28</v>
      </c>
      <c r="N1124" s="8">
        <v>45279</v>
      </c>
      <c r="O1124" s="9" t="s">
        <v>99</v>
      </c>
      <c r="P1124" s="12" t="s">
        <v>4082</v>
      </c>
      <c r="Q1124" s="9" t="s">
        <v>37</v>
      </c>
      <c r="R1124" s="14" t="str">
        <f>HYPERLINK("https://my.pitchbook.com?c=202795-03T","View Company Online")</f>
        <v>View Company Online</v>
      </c>
    </row>
    <row r="1125" spans="1:18" hidden="1" x14ac:dyDescent="0.3">
      <c r="A1125" s="15" t="s">
        <v>4083</v>
      </c>
      <c r="B1125" s="15" t="s">
        <v>4084</v>
      </c>
      <c r="C1125" s="18" t="s">
        <v>28</v>
      </c>
      <c r="D1125" s="15" t="s">
        <v>4085</v>
      </c>
      <c r="E1125" s="18" t="s">
        <v>28</v>
      </c>
      <c r="F1125" s="19" t="s">
        <v>28</v>
      </c>
      <c r="G1125" s="19">
        <v>6.11</v>
      </c>
      <c r="H1125" s="19">
        <v>24.42</v>
      </c>
      <c r="I1125" s="18" t="s">
        <v>28</v>
      </c>
      <c r="J1125" s="18" t="s">
        <v>28</v>
      </c>
      <c r="K1125" s="18" t="s">
        <v>28</v>
      </c>
      <c r="L1125" s="18" t="s">
        <v>28</v>
      </c>
      <c r="M1125" s="18" t="s">
        <v>28</v>
      </c>
      <c r="N1125" s="17">
        <v>45279</v>
      </c>
      <c r="O1125" s="15" t="s">
        <v>58</v>
      </c>
      <c r="P1125" s="16" t="s">
        <v>4086</v>
      </c>
      <c r="Q1125" s="15" t="s">
        <v>4087</v>
      </c>
      <c r="R1125" s="13" t="str">
        <f>HYPERLINK("https://my.pitchbook.com?c=248052-70T","View Company Online")</f>
        <v>View Company Online</v>
      </c>
    </row>
    <row r="1126" spans="1:18" hidden="1" x14ac:dyDescent="0.3">
      <c r="A1126" s="9" t="s">
        <v>4088</v>
      </c>
      <c r="B1126" s="9" t="s">
        <v>4089</v>
      </c>
      <c r="C1126" s="11" t="s">
        <v>28</v>
      </c>
      <c r="D1126" s="9" t="s">
        <v>4090</v>
      </c>
      <c r="E1126" s="11">
        <v>-8.36</v>
      </c>
      <c r="F1126" s="10" t="s">
        <v>28</v>
      </c>
      <c r="G1126" s="10">
        <v>81.41</v>
      </c>
      <c r="H1126" s="10" t="s">
        <v>28</v>
      </c>
      <c r="I1126" s="11">
        <v>24.62</v>
      </c>
      <c r="J1126" s="11" t="s">
        <v>28</v>
      </c>
      <c r="K1126" s="11">
        <v>209.98</v>
      </c>
      <c r="L1126" s="11" t="s">
        <v>28</v>
      </c>
      <c r="M1126" s="11">
        <v>-50.47</v>
      </c>
      <c r="N1126" s="8">
        <v>45279</v>
      </c>
      <c r="O1126" s="9" t="s">
        <v>423</v>
      </c>
      <c r="P1126" s="12" t="s">
        <v>28</v>
      </c>
      <c r="Q1126" s="9" t="s">
        <v>75</v>
      </c>
      <c r="R1126" s="14" t="str">
        <f>HYPERLINK("https://my.pitchbook.com?c=251547-94T","View Company Online")</f>
        <v>View Company Online</v>
      </c>
    </row>
    <row r="1127" spans="1:18" hidden="1" x14ac:dyDescent="0.3">
      <c r="A1127" s="15" t="s">
        <v>4091</v>
      </c>
      <c r="B1127" s="15" t="s">
        <v>4092</v>
      </c>
      <c r="C1127" s="18" t="s">
        <v>28</v>
      </c>
      <c r="D1127" s="15" t="s">
        <v>4093</v>
      </c>
      <c r="E1127" s="18" t="s">
        <v>28</v>
      </c>
      <c r="F1127" s="19" t="s">
        <v>28</v>
      </c>
      <c r="G1127" s="19" t="s">
        <v>28</v>
      </c>
      <c r="H1127" s="19" t="s">
        <v>28</v>
      </c>
      <c r="I1127" s="18" t="s">
        <v>28</v>
      </c>
      <c r="J1127" s="18" t="s">
        <v>28</v>
      </c>
      <c r="K1127" s="18" t="s">
        <v>28</v>
      </c>
      <c r="L1127" s="18" t="s">
        <v>28</v>
      </c>
      <c r="M1127" s="18" t="s">
        <v>28</v>
      </c>
      <c r="N1127" s="17">
        <v>45279</v>
      </c>
      <c r="O1127" s="15" t="s">
        <v>30</v>
      </c>
      <c r="P1127" s="16" t="s">
        <v>4094</v>
      </c>
      <c r="Q1127" s="15" t="s">
        <v>362</v>
      </c>
      <c r="R1127" s="13" t="str">
        <f>HYPERLINK("https://my.pitchbook.com?c=248047-39T","View Company Online")</f>
        <v>View Company Online</v>
      </c>
    </row>
    <row r="1128" spans="1:18" hidden="1" x14ac:dyDescent="0.3">
      <c r="A1128" s="9" t="s">
        <v>4095</v>
      </c>
      <c r="B1128" s="9" t="s">
        <v>4096</v>
      </c>
      <c r="C1128" s="11" t="s">
        <v>28</v>
      </c>
      <c r="D1128" s="9" t="s">
        <v>4097</v>
      </c>
      <c r="E1128" s="11" t="s">
        <v>28</v>
      </c>
      <c r="F1128" s="10" t="s">
        <v>28</v>
      </c>
      <c r="G1128" s="10">
        <v>7.12</v>
      </c>
      <c r="H1128" s="10" t="s">
        <v>28</v>
      </c>
      <c r="I1128" s="11" t="s">
        <v>28</v>
      </c>
      <c r="J1128" s="11" t="s">
        <v>28</v>
      </c>
      <c r="K1128" s="11" t="s">
        <v>28</v>
      </c>
      <c r="L1128" s="11" t="s">
        <v>28</v>
      </c>
      <c r="M1128" s="11" t="s">
        <v>28</v>
      </c>
      <c r="N1128" s="8">
        <v>45279</v>
      </c>
      <c r="O1128" s="9" t="s">
        <v>73</v>
      </c>
      <c r="P1128" s="12" t="s">
        <v>4098</v>
      </c>
      <c r="Q1128" s="9" t="s">
        <v>2181</v>
      </c>
      <c r="R1128" s="14" t="str">
        <f>HYPERLINK("https://my.pitchbook.com?c=256275-91T","View Company Online")</f>
        <v>View Company Online</v>
      </c>
    </row>
    <row r="1129" spans="1:18" hidden="1" x14ac:dyDescent="0.3">
      <c r="A1129" s="15" t="s">
        <v>4099</v>
      </c>
      <c r="B1129" s="15" t="s">
        <v>4100</v>
      </c>
      <c r="C1129" s="18" t="s">
        <v>28</v>
      </c>
      <c r="D1129" s="15" t="s">
        <v>4101</v>
      </c>
      <c r="E1129" s="18" t="s">
        <v>28</v>
      </c>
      <c r="F1129" s="19" t="s">
        <v>28</v>
      </c>
      <c r="G1129" s="19" t="s">
        <v>28</v>
      </c>
      <c r="H1129" s="19" t="s">
        <v>28</v>
      </c>
      <c r="I1129" s="18" t="s">
        <v>28</v>
      </c>
      <c r="J1129" s="18" t="s">
        <v>28</v>
      </c>
      <c r="K1129" s="18" t="s">
        <v>28</v>
      </c>
      <c r="L1129" s="18" t="s">
        <v>28</v>
      </c>
      <c r="M1129" s="18" t="s">
        <v>28</v>
      </c>
      <c r="N1129" s="17">
        <v>45279</v>
      </c>
      <c r="O1129" s="15" t="s">
        <v>41</v>
      </c>
      <c r="P1129" s="16" t="s">
        <v>4102</v>
      </c>
      <c r="Q1129" s="15" t="s">
        <v>913</v>
      </c>
      <c r="R1129" s="13" t="str">
        <f>HYPERLINK("https://my.pitchbook.com?c=247957-39T","View Company Online")</f>
        <v>View Company Online</v>
      </c>
    </row>
    <row r="1130" spans="1:18" hidden="1" x14ac:dyDescent="0.3">
      <c r="A1130" s="9" t="s">
        <v>4103</v>
      </c>
      <c r="B1130" s="9" t="s">
        <v>4104</v>
      </c>
      <c r="C1130" s="11" t="s">
        <v>28</v>
      </c>
      <c r="D1130" s="9" t="s">
        <v>4105</v>
      </c>
      <c r="E1130" s="11" t="s">
        <v>28</v>
      </c>
      <c r="F1130" s="10" t="s">
        <v>28</v>
      </c>
      <c r="G1130" s="10" t="s">
        <v>28</v>
      </c>
      <c r="H1130" s="10" t="s">
        <v>28</v>
      </c>
      <c r="I1130" s="11" t="s">
        <v>28</v>
      </c>
      <c r="J1130" s="11" t="s">
        <v>28</v>
      </c>
      <c r="K1130" s="11" t="s">
        <v>28</v>
      </c>
      <c r="L1130" s="11" t="s">
        <v>28</v>
      </c>
      <c r="M1130" s="11" t="s">
        <v>28</v>
      </c>
      <c r="N1130" s="8">
        <v>45278</v>
      </c>
      <c r="O1130" s="9" t="s">
        <v>52</v>
      </c>
      <c r="P1130" s="12" t="s">
        <v>1970</v>
      </c>
      <c r="Q1130" s="9" t="s">
        <v>75</v>
      </c>
      <c r="R1130" s="14" t="str">
        <f>HYPERLINK("https://my.pitchbook.com?c=295945-39T","View Company Online")</f>
        <v>View Company Online</v>
      </c>
    </row>
    <row r="1131" spans="1:18" x14ac:dyDescent="0.3">
      <c r="A1131" s="15" t="s">
        <v>4106</v>
      </c>
      <c r="B1131" s="15" t="s">
        <v>4107</v>
      </c>
      <c r="C1131" s="18">
        <v>17.100000000000001</v>
      </c>
      <c r="D1131" s="15" t="s">
        <v>4108</v>
      </c>
      <c r="E1131" s="18" t="s">
        <v>28</v>
      </c>
      <c r="F1131" s="19">
        <v>670.59</v>
      </c>
      <c r="G1131" s="19">
        <v>570</v>
      </c>
      <c r="H1131" s="19">
        <v>670.59</v>
      </c>
      <c r="I1131" s="18">
        <v>39.22</v>
      </c>
      <c r="J1131" s="18">
        <v>17.100000000000001</v>
      </c>
      <c r="K1131" s="18">
        <v>133.16999999999999</v>
      </c>
      <c r="L1131" s="18">
        <v>5.04</v>
      </c>
      <c r="M1131" s="18" t="s">
        <v>28</v>
      </c>
      <c r="N1131" s="17">
        <v>45278</v>
      </c>
      <c r="O1131" s="15" t="s">
        <v>41</v>
      </c>
      <c r="P1131" s="16" t="s">
        <v>4109</v>
      </c>
      <c r="Q1131" s="15" t="s">
        <v>1007</v>
      </c>
      <c r="R1131" s="13" t="str">
        <f>HYPERLINK("https://my.pitchbook.com?c=239479-21T","View Company Online")</f>
        <v>View Company Online</v>
      </c>
    </row>
    <row r="1132" spans="1:18" hidden="1" x14ac:dyDescent="0.3">
      <c r="A1132" s="9" t="s">
        <v>4110</v>
      </c>
      <c r="B1132" s="9" t="s">
        <v>4111</v>
      </c>
      <c r="C1132" s="11" t="s">
        <v>28</v>
      </c>
      <c r="D1132" s="9" t="s">
        <v>4112</v>
      </c>
      <c r="E1132" s="11" t="s">
        <v>28</v>
      </c>
      <c r="F1132" s="10" t="s">
        <v>28</v>
      </c>
      <c r="G1132" s="10" t="s">
        <v>28</v>
      </c>
      <c r="H1132" s="10" t="s">
        <v>28</v>
      </c>
      <c r="I1132" s="11" t="s">
        <v>28</v>
      </c>
      <c r="J1132" s="11" t="s">
        <v>28</v>
      </c>
      <c r="K1132" s="11" t="s">
        <v>28</v>
      </c>
      <c r="L1132" s="11" t="s">
        <v>28</v>
      </c>
      <c r="M1132" s="11" t="s">
        <v>28</v>
      </c>
      <c r="N1132" s="8">
        <v>45278</v>
      </c>
      <c r="O1132" s="9" t="s">
        <v>30</v>
      </c>
      <c r="P1132" s="12" t="s">
        <v>4113</v>
      </c>
      <c r="Q1132" s="9" t="s">
        <v>696</v>
      </c>
      <c r="R1132" s="14" t="str">
        <f>HYPERLINK("https://my.pitchbook.com?c=247912-03T","View Company Online")</f>
        <v>View Company Online</v>
      </c>
    </row>
    <row r="1133" spans="1:18" hidden="1" x14ac:dyDescent="0.3">
      <c r="A1133" s="15" t="s">
        <v>4114</v>
      </c>
      <c r="B1133" s="15" t="s">
        <v>4115</v>
      </c>
      <c r="C1133" s="18" t="s">
        <v>28</v>
      </c>
      <c r="D1133" s="15" t="s">
        <v>4116</v>
      </c>
      <c r="E1133" s="18" t="s">
        <v>28</v>
      </c>
      <c r="F1133" s="19" t="s">
        <v>28</v>
      </c>
      <c r="G1133" s="19" t="s">
        <v>28</v>
      </c>
      <c r="H1133" s="19" t="s">
        <v>28</v>
      </c>
      <c r="I1133" s="18" t="s">
        <v>28</v>
      </c>
      <c r="J1133" s="18" t="s">
        <v>28</v>
      </c>
      <c r="K1133" s="18" t="s">
        <v>28</v>
      </c>
      <c r="L1133" s="18" t="s">
        <v>28</v>
      </c>
      <c r="M1133" s="18" t="s">
        <v>28</v>
      </c>
      <c r="N1133" s="17">
        <v>45278</v>
      </c>
      <c r="O1133" s="15" t="s">
        <v>30</v>
      </c>
      <c r="P1133" s="16" t="s">
        <v>4117</v>
      </c>
      <c r="Q1133" s="15" t="s">
        <v>880</v>
      </c>
      <c r="R1133" s="13" t="str">
        <f>HYPERLINK("https://my.pitchbook.com?c=247907-98T","View Company Online")</f>
        <v>View Company Online</v>
      </c>
    </row>
    <row r="1134" spans="1:18" hidden="1" x14ac:dyDescent="0.3">
      <c r="A1134" s="9" t="s">
        <v>4118</v>
      </c>
      <c r="B1134" s="9" t="s">
        <v>726</v>
      </c>
      <c r="C1134" s="11" t="s">
        <v>28</v>
      </c>
      <c r="D1134" s="9" t="s">
        <v>727</v>
      </c>
      <c r="E1134" s="11" t="s">
        <v>28</v>
      </c>
      <c r="F1134" s="10" t="s">
        <v>28</v>
      </c>
      <c r="G1134" s="10" t="s">
        <v>28</v>
      </c>
      <c r="H1134" s="10">
        <v>14</v>
      </c>
      <c r="I1134" s="11" t="s">
        <v>28</v>
      </c>
      <c r="J1134" s="11" t="s">
        <v>28</v>
      </c>
      <c r="K1134" s="11" t="s">
        <v>28</v>
      </c>
      <c r="L1134" s="11" t="s">
        <v>28</v>
      </c>
      <c r="M1134" s="11" t="s">
        <v>28</v>
      </c>
      <c r="N1134" s="8">
        <v>45275</v>
      </c>
      <c r="O1134" s="9" t="s">
        <v>99</v>
      </c>
      <c r="P1134" s="12" t="s">
        <v>4119</v>
      </c>
      <c r="Q1134" s="9" t="s">
        <v>114</v>
      </c>
      <c r="R1134" s="14" t="str">
        <f>HYPERLINK("https://my.pitchbook.com?c=247788-64T","View Company Online")</f>
        <v>View Company Online</v>
      </c>
    </row>
    <row r="1135" spans="1:18" hidden="1" x14ac:dyDescent="0.3">
      <c r="A1135" s="15" t="s">
        <v>4120</v>
      </c>
      <c r="B1135" s="15" t="s">
        <v>4121</v>
      </c>
      <c r="C1135" s="18" t="s">
        <v>28</v>
      </c>
      <c r="D1135" s="15" t="s">
        <v>4122</v>
      </c>
      <c r="E1135" s="18" t="s">
        <v>28</v>
      </c>
      <c r="F1135" s="19" t="s">
        <v>28</v>
      </c>
      <c r="G1135" s="19" t="s">
        <v>28</v>
      </c>
      <c r="H1135" s="19" t="s">
        <v>28</v>
      </c>
      <c r="I1135" s="18" t="s">
        <v>28</v>
      </c>
      <c r="J1135" s="18" t="s">
        <v>28</v>
      </c>
      <c r="K1135" s="18">
        <v>-1.25</v>
      </c>
      <c r="L1135" s="18" t="s">
        <v>28</v>
      </c>
      <c r="M1135" s="18">
        <v>-1.53</v>
      </c>
      <c r="N1135" s="17">
        <v>45274</v>
      </c>
      <c r="O1135" s="15" t="s">
        <v>173</v>
      </c>
      <c r="P1135" s="16" t="s">
        <v>28</v>
      </c>
      <c r="Q1135" s="15" t="s">
        <v>174</v>
      </c>
      <c r="R1135" s="13" t="str">
        <f>HYPERLINK("https://my.pitchbook.com?c=247747-33T","View Company Online")</f>
        <v>View Company Online</v>
      </c>
    </row>
    <row r="1136" spans="1:18" hidden="1" x14ac:dyDescent="0.3">
      <c r="A1136" s="9" t="s">
        <v>4123</v>
      </c>
      <c r="B1136" s="9" t="s">
        <v>618</v>
      </c>
      <c r="C1136" s="11" t="s">
        <v>28</v>
      </c>
      <c r="D1136" s="9" t="s">
        <v>619</v>
      </c>
      <c r="E1136" s="11" t="s">
        <v>28</v>
      </c>
      <c r="F1136" s="10" t="s">
        <v>28</v>
      </c>
      <c r="G1136" s="10">
        <v>7.0000000000000007E-2</v>
      </c>
      <c r="H1136" s="10" t="s">
        <v>28</v>
      </c>
      <c r="I1136" s="11" t="s">
        <v>28</v>
      </c>
      <c r="J1136" s="11" t="s">
        <v>28</v>
      </c>
      <c r="K1136" s="11" t="s">
        <v>28</v>
      </c>
      <c r="L1136" s="11" t="s">
        <v>28</v>
      </c>
      <c r="M1136" s="11" t="s">
        <v>28</v>
      </c>
      <c r="N1136" s="8">
        <v>45274</v>
      </c>
      <c r="O1136" s="9" t="s">
        <v>93</v>
      </c>
      <c r="P1136" s="12" t="s">
        <v>4124</v>
      </c>
      <c r="Q1136" s="9" t="s">
        <v>263</v>
      </c>
      <c r="R1136" s="14" t="str">
        <f>HYPERLINK("https://my.pitchbook.com?c=249505-75T","View Company Online")</f>
        <v>View Company Online</v>
      </c>
    </row>
    <row r="1137" spans="1:18" hidden="1" x14ac:dyDescent="0.3">
      <c r="A1137" s="15" t="s">
        <v>4125</v>
      </c>
      <c r="B1137" s="15" t="s">
        <v>4126</v>
      </c>
      <c r="C1137" s="18" t="s">
        <v>28</v>
      </c>
      <c r="D1137" s="15" t="s">
        <v>4127</v>
      </c>
      <c r="E1137" s="18" t="s">
        <v>28</v>
      </c>
      <c r="F1137" s="19" t="s">
        <v>28</v>
      </c>
      <c r="G1137" s="19">
        <v>4.49</v>
      </c>
      <c r="H1137" s="19" t="s">
        <v>28</v>
      </c>
      <c r="I1137" s="18" t="s">
        <v>28</v>
      </c>
      <c r="J1137" s="18" t="s">
        <v>28</v>
      </c>
      <c r="K1137" s="18" t="s">
        <v>28</v>
      </c>
      <c r="L1137" s="18" t="s">
        <v>28</v>
      </c>
      <c r="M1137" s="18" t="s">
        <v>28</v>
      </c>
      <c r="N1137" s="17">
        <v>45274</v>
      </c>
      <c r="O1137" s="15" t="s">
        <v>73</v>
      </c>
      <c r="P1137" s="16" t="s">
        <v>4128</v>
      </c>
      <c r="Q1137" s="15" t="s">
        <v>75</v>
      </c>
      <c r="R1137" s="13" t="str">
        <f>HYPERLINK("https://my.pitchbook.com?c=247685-77T","View Company Online")</f>
        <v>View Company Online</v>
      </c>
    </row>
    <row r="1138" spans="1:18" hidden="1" x14ac:dyDescent="0.3">
      <c r="A1138" s="9" t="s">
        <v>4129</v>
      </c>
      <c r="B1138" s="9" t="s">
        <v>4130</v>
      </c>
      <c r="C1138" s="11" t="s">
        <v>28</v>
      </c>
      <c r="D1138" s="9" t="s">
        <v>4131</v>
      </c>
      <c r="E1138" s="11" t="s">
        <v>28</v>
      </c>
      <c r="F1138" s="10" t="s">
        <v>28</v>
      </c>
      <c r="G1138" s="10" t="s">
        <v>28</v>
      </c>
      <c r="H1138" s="10" t="s">
        <v>28</v>
      </c>
      <c r="I1138" s="11" t="s">
        <v>28</v>
      </c>
      <c r="J1138" s="11" t="s">
        <v>28</v>
      </c>
      <c r="K1138" s="11" t="s">
        <v>28</v>
      </c>
      <c r="L1138" s="11" t="s">
        <v>28</v>
      </c>
      <c r="M1138" s="11" t="s">
        <v>28</v>
      </c>
      <c r="N1138" s="8">
        <v>45273</v>
      </c>
      <c r="O1138" s="9" t="s">
        <v>41</v>
      </c>
      <c r="P1138" s="12" t="s">
        <v>28</v>
      </c>
      <c r="Q1138" s="9" t="s">
        <v>399</v>
      </c>
      <c r="R1138" s="14" t="str">
        <f>HYPERLINK("https://my.pitchbook.com?c=247629-07T","View Company Online")</f>
        <v>View Company Online</v>
      </c>
    </row>
    <row r="1139" spans="1:18" hidden="1" x14ac:dyDescent="0.3">
      <c r="A1139" s="15" t="s">
        <v>4132</v>
      </c>
      <c r="B1139" s="15" t="s">
        <v>4133</v>
      </c>
      <c r="C1139" s="18" t="s">
        <v>28</v>
      </c>
      <c r="D1139" s="15" t="s">
        <v>4134</v>
      </c>
      <c r="E1139" s="18" t="s">
        <v>28</v>
      </c>
      <c r="F1139" s="19" t="s">
        <v>28</v>
      </c>
      <c r="G1139" s="19">
        <v>5.0999999999999996</v>
      </c>
      <c r="H1139" s="19" t="s">
        <v>28</v>
      </c>
      <c r="I1139" s="18" t="s">
        <v>28</v>
      </c>
      <c r="J1139" s="18" t="s">
        <v>28</v>
      </c>
      <c r="K1139" s="18" t="s">
        <v>28</v>
      </c>
      <c r="L1139" s="18" t="s">
        <v>28</v>
      </c>
      <c r="M1139" s="18" t="s">
        <v>28</v>
      </c>
      <c r="N1139" s="17">
        <v>45273</v>
      </c>
      <c r="O1139" s="15" t="s">
        <v>79</v>
      </c>
      <c r="P1139" s="16" t="s">
        <v>4135</v>
      </c>
      <c r="Q1139" s="15" t="s">
        <v>1263</v>
      </c>
      <c r="R1139" s="13" t="str">
        <f>HYPERLINK("https://my.pitchbook.com?c=247522-96T","View Company Online")</f>
        <v>View Company Online</v>
      </c>
    </row>
    <row r="1140" spans="1:18" hidden="1" x14ac:dyDescent="0.3">
      <c r="A1140" s="9" t="s">
        <v>4136</v>
      </c>
      <c r="B1140" s="9" t="s">
        <v>4137</v>
      </c>
      <c r="C1140" s="11" t="s">
        <v>28</v>
      </c>
      <c r="D1140" s="9" t="s">
        <v>4138</v>
      </c>
      <c r="E1140" s="11" t="s">
        <v>28</v>
      </c>
      <c r="F1140" s="10" t="s">
        <v>28</v>
      </c>
      <c r="G1140" s="10" t="s">
        <v>28</v>
      </c>
      <c r="H1140" s="10" t="s">
        <v>28</v>
      </c>
      <c r="I1140" s="11" t="s">
        <v>28</v>
      </c>
      <c r="J1140" s="11" t="s">
        <v>28</v>
      </c>
      <c r="K1140" s="11">
        <v>0.84</v>
      </c>
      <c r="L1140" s="11" t="s">
        <v>28</v>
      </c>
      <c r="M1140" s="11">
        <v>0.61</v>
      </c>
      <c r="N1140" s="8">
        <v>45273</v>
      </c>
      <c r="O1140" s="9" t="s">
        <v>173</v>
      </c>
      <c r="P1140" s="12" t="s">
        <v>28</v>
      </c>
      <c r="Q1140" s="9" t="s">
        <v>174</v>
      </c>
      <c r="R1140" s="14" t="str">
        <f>HYPERLINK("https://my.pitchbook.com?c=247746-70T","View Company Online")</f>
        <v>View Company Online</v>
      </c>
    </row>
    <row r="1141" spans="1:18" hidden="1" x14ac:dyDescent="0.3">
      <c r="A1141" s="15" t="s">
        <v>4139</v>
      </c>
      <c r="B1141" s="15" t="s">
        <v>4140</v>
      </c>
      <c r="C1141" s="18" t="s">
        <v>28</v>
      </c>
      <c r="D1141" s="15" t="s">
        <v>4141</v>
      </c>
      <c r="E1141" s="18" t="s">
        <v>28</v>
      </c>
      <c r="F1141" s="19" t="s">
        <v>28</v>
      </c>
      <c r="G1141" s="19" t="s">
        <v>28</v>
      </c>
      <c r="H1141" s="19" t="s">
        <v>28</v>
      </c>
      <c r="I1141" s="18" t="s">
        <v>28</v>
      </c>
      <c r="J1141" s="18" t="s">
        <v>28</v>
      </c>
      <c r="K1141" s="18" t="s">
        <v>28</v>
      </c>
      <c r="L1141" s="18" t="s">
        <v>28</v>
      </c>
      <c r="M1141" s="18" t="s">
        <v>28</v>
      </c>
      <c r="N1141" s="17">
        <v>45273</v>
      </c>
      <c r="O1141" s="15" t="s">
        <v>30</v>
      </c>
      <c r="P1141" s="16" t="s">
        <v>1950</v>
      </c>
      <c r="Q1141" s="15" t="s">
        <v>583</v>
      </c>
      <c r="R1141" s="13" t="str">
        <f>HYPERLINK("https://my.pitchbook.com?c=247690-81T","View Company Online")</f>
        <v>View Company Online</v>
      </c>
    </row>
    <row r="1142" spans="1:18" hidden="1" x14ac:dyDescent="0.3">
      <c r="A1142" s="9" t="s">
        <v>4142</v>
      </c>
      <c r="B1142" s="9" t="s">
        <v>4143</v>
      </c>
      <c r="C1142" s="11" t="s">
        <v>28</v>
      </c>
      <c r="D1142" s="9" t="s">
        <v>4144</v>
      </c>
      <c r="E1142" s="11" t="s">
        <v>28</v>
      </c>
      <c r="F1142" s="10">
        <v>99.19</v>
      </c>
      <c r="G1142" s="10">
        <v>80.540000000000006</v>
      </c>
      <c r="H1142" s="10">
        <v>99.19</v>
      </c>
      <c r="I1142" s="11" t="s">
        <v>28</v>
      </c>
      <c r="J1142" s="11" t="s">
        <v>28</v>
      </c>
      <c r="K1142" s="11" t="s">
        <v>28</v>
      </c>
      <c r="L1142" s="11" t="s">
        <v>28</v>
      </c>
      <c r="M1142" s="11" t="s">
        <v>28</v>
      </c>
      <c r="N1142" s="8">
        <v>45273</v>
      </c>
      <c r="O1142" s="9" t="s">
        <v>30</v>
      </c>
      <c r="P1142" s="12" t="s">
        <v>950</v>
      </c>
      <c r="Q1142" s="9" t="s">
        <v>226</v>
      </c>
      <c r="R1142" s="14" t="str">
        <f>HYPERLINK("https://my.pitchbook.com?c=247977-91T","View Company Online")</f>
        <v>View Company Online</v>
      </c>
    </row>
    <row r="1143" spans="1:18" hidden="1" x14ac:dyDescent="0.3">
      <c r="A1143" s="15" t="s">
        <v>4145</v>
      </c>
      <c r="B1143" s="15" t="s">
        <v>4146</v>
      </c>
      <c r="C1143" s="18" t="s">
        <v>28</v>
      </c>
      <c r="D1143" s="15" t="s">
        <v>4147</v>
      </c>
      <c r="E1143" s="18" t="s">
        <v>28</v>
      </c>
      <c r="F1143" s="19" t="s">
        <v>28</v>
      </c>
      <c r="G1143" s="19">
        <v>0.06</v>
      </c>
      <c r="H1143" s="19" t="s">
        <v>28</v>
      </c>
      <c r="I1143" s="18" t="s">
        <v>28</v>
      </c>
      <c r="J1143" s="18" t="s">
        <v>28</v>
      </c>
      <c r="K1143" s="18" t="s">
        <v>28</v>
      </c>
      <c r="L1143" s="18" t="s">
        <v>28</v>
      </c>
      <c r="M1143" s="18" t="s">
        <v>28</v>
      </c>
      <c r="N1143" s="17">
        <v>45272</v>
      </c>
      <c r="O1143" s="15" t="s">
        <v>99</v>
      </c>
      <c r="P1143" s="16" t="s">
        <v>4148</v>
      </c>
      <c r="Q1143" s="15" t="s">
        <v>75</v>
      </c>
      <c r="R1143" s="13" t="str">
        <f>HYPERLINK("https://my.pitchbook.com?c=215846-20T","View Company Online")</f>
        <v>View Company Online</v>
      </c>
    </row>
    <row r="1144" spans="1:18" hidden="1" x14ac:dyDescent="0.3">
      <c r="A1144" s="9" t="s">
        <v>4149</v>
      </c>
      <c r="B1144" s="9" t="s">
        <v>4150</v>
      </c>
      <c r="C1144" s="11" t="s">
        <v>28</v>
      </c>
      <c r="D1144" s="9" t="s">
        <v>4151</v>
      </c>
      <c r="E1144" s="11" t="s">
        <v>28</v>
      </c>
      <c r="F1144" s="10" t="s">
        <v>28</v>
      </c>
      <c r="G1144" s="10">
        <v>14.28</v>
      </c>
      <c r="H1144" s="10" t="s">
        <v>28</v>
      </c>
      <c r="I1144" s="11" t="s">
        <v>28</v>
      </c>
      <c r="J1144" s="11" t="s">
        <v>28</v>
      </c>
      <c r="K1144" s="11" t="s">
        <v>28</v>
      </c>
      <c r="L1144" s="11" t="s">
        <v>28</v>
      </c>
      <c r="M1144" s="11" t="s">
        <v>28</v>
      </c>
      <c r="N1144" s="8">
        <v>45272</v>
      </c>
      <c r="O1144" s="9" t="s">
        <v>173</v>
      </c>
      <c r="P1144" s="12" t="s">
        <v>28</v>
      </c>
      <c r="Q1144" s="9" t="s">
        <v>114</v>
      </c>
      <c r="R1144" s="14" t="str">
        <f>HYPERLINK("https://my.pitchbook.com?c=247489-39T","View Company Online")</f>
        <v>View Company Online</v>
      </c>
    </row>
    <row r="1145" spans="1:18" hidden="1" x14ac:dyDescent="0.3">
      <c r="A1145" s="15" t="s">
        <v>4152</v>
      </c>
      <c r="B1145" s="15" t="s">
        <v>4153</v>
      </c>
      <c r="C1145" s="18" t="s">
        <v>28</v>
      </c>
      <c r="D1145" s="15" t="s">
        <v>4154</v>
      </c>
      <c r="E1145" s="18" t="s">
        <v>28</v>
      </c>
      <c r="F1145" s="19" t="s">
        <v>28</v>
      </c>
      <c r="G1145" s="19" t="s">
        <v>28</v>
      </c>
      <c r="H1145" s="19" t="s">
        <v>28</v>
      </c>
      <c r="I1145" s="18" t="s">
        <v>28</v>
      </c>
      <c r="J1145" s="18" t="s">
        <v>28</v>
      </c>
      <c r="K1145" s="18" t="s">
        <v>28</v>
      </c>
      <c r="L1145" s="18" t="s">
        <v>28</v>
      </c>
      <c r="M1145" s="18" t="s">
        <v>28</v>
      </c>
      <c r="N1145" s="17">
        <v>45272</v>
      </c>
      <c r="O1145" s="15" t="s">
        <v>52</v>
      </c>
      <c r="P1145" s="16" t="s">
        <v>2830</v>
      </c>
      <c r="Q1145" s="15" t="s">
        <v>371</v>
      </c>
      <c r="R1145" s="13" t="str">
        <f>HYPERLINK("https://my.pitchbook.com?c=291947-86T","View Company Online")</f>
        <v>View Company Online</v>
      </c>
    </row>
    <row r="1146" spans="1:18" hidden="1" x14ac:dyDescent="0.3">
      <c r="A1146" s="9" t="s">
        <v>4155</v>
      </c>
      <c r="B1146" s="9" t="s">
        <v>4156</v>
      </c>
      <c r="C1146" s="11" t="s">
        <v>28</v>
      </c>
      <c r="D1146" s="9" t="s">
        <v>4157</v>
      </c>
      <c r="E1146" s="11" t="s">
        <v>28</v>
      </c>
      <c r="F1146" s="10" t="s">
        <v>28</v>
      </c>
      <c r="G1146" s="10">
        <v>1.22</v>
      </c>
      <c r="H1146" s="10" t="s">
        <v>28</v>
      </c>
      <c r="I1146" s="11" t="s">
        <v>28</v>
      </c>
      <c r="J1146" s="11" t="s">
        <v>28</v>
      </c>
      <c r="K1146" s="11" t="s">
        <v>28</v>
      </c>
      <c r="L1146" s="11" t="s">
        <v>28</v>
      </c>
      <c r="M1146" s="11" t="s">
        <v>28</v>
      </c>
      <c r="N1146" s="8">
        <v>45271</v>
      </c>
      <c r="O1146" s="9" t="s">
        <v>99</v>
      </c>
      <c r="P1146" s="12" t="s">
        <v>4158</v>
      </c>
      <c r="Q1146" s="9" t="s">
        <v>249</v>
      </c>
      <c r="R1146" s="14" t="str">
        <f>HYPERLINK("https://my.pitchbook.com?c=224602-39T","View Company Online")</f>
        <v>View Company Online</v>
      </c>
    </row>
    <row r="1147" spans="1:18" hidden="1" x14ac:dyDescent="0.3">
      <c r="A1147" s="15" t="s">
        <v>4159</v>
      </c>
      <c r="B1147" s="15" t="s">
        <v>4160</v>
      </c>
      <c r="C1147" s="18" t="s">
        <v>28</v>
      </c>
      <c r="D1147" s="15" t="s">
        <v>4161</v>
      </c>
      <c r="E1147" s="18" t="s">
        <v>28</v>
      </c>
      <c r="F1147" s="19" t="s">
        <v>28</v>
      </c>
      <c r="G1147" s="19" t="s">
        <v>28</v>
      </c>
      <c r="H1147" s="19" t="s">
        <v>28</v>
      </c>
      <c r="I1147" s="18" t="s">
        <v>28</v>
      </c>
      <c r="J1147" s="18" t="s">
        <v>28</v>
      </c>
      <c r="K1147" s="18" t="s">
        <v>28</v>
      </c>
      <c r="L1147" s="18" t="s">
        <v>28</v>
      </c>
      <c r="M1147" s="18" t="s">
        <v>28</v>
      </c>
      <c r="N1147" s="17">
        <v>45271</v>
      </c>
      <c r="O1147" s="15" t="s">
        <v>30</v>
      </c>
      <c r="P1147" s="16" t="s">
        <v>4162</v>
      </c>
      <c r="Q1147" s="15" t="s">
        <v>1144</v>
      </c>
      <c r="R1147" s="13" t="str">
        <f>HYPERLINK("https://my.pitchbook.com?c=256693-96T","View Company Online")</f>
        <v>View Company Online</v>
      </c>
    </row>
    <row r="1148" spans="1:18" hidden="1" x14ac:dyDescent="0.3">
      <c r="A1148" s="9" t="s">
        <v>4163</v>
      </c>
      <c r="B1148" s="9" t="s">
        <v>4164</v>
      </c>
      <c r="C1148" s="11" t="s">
        <v>28</v>
      </c>
      <c r="D1148" s="9" t="s">
        <v>4165</v>
      </c>
      <c r="E1148" s="11" t="s">
        <v>28</v>
      </c>
      <c r="F1148" s="10" t="s">
        <v>28</v>
      </c>
      <c r="G1148" s="10" t="s">
        <v>28</v>
      </c>
      <c r="H1148" s="10" t="s">
        <v>28</v>
      </c>
      <c r="I1148" s="11" t="s">
        <v>28</v>
      </c>
      <c r="J1148" s="11" t="s">
        <v>28</v>
      </c>
      <c r="K1148" s="11" t="s">
        <v>28</v>
      </c>
      <c r="L1148" s="11" t="s">
        <v>28</v>
      </c>
      <c r="M1148" s="11" t="s">
        <v>28</v>
      </c>
      <c r="N1148" s="8">
        <v>45271</v>
      </c>
      <c r="O1148" s="9" t="s">
        <v>93</v>
      </c>
      <c r="P1148" s="12" t="s">
        <v>4166</v>
      </c>
      <c r="Q1148" s="9" t="s">
        <v>1035</v>
      </c>
      <c r="R1148" s="14" t="str">
        <f>HYPERLINK("https://my.pitchbook.com?c=247365-19T","View Company Online")</f>
        <v>View Company Online</v>
      </c>
    </row>
    <row r="1149" spans="1:18" hidden="1" x14ac:dyDescent="0.3">
      <c r="A1149" s="15" t="s">
        <v>4167</v>
      </c>
      <c r="B1149" s="15" t="s">
        <v>4168</v>
      </c>
      <c r="C1149" s="18" t="s">
        <v>28</v>
      </c>
      <c r="D1149" s="15" t="s">
        <v>4169</v>
      </c>
      <c r="E1149" s="18" t="s">
        <v>28</v>
      </c>
      <c r="F1149" s="19">
        <v>0.33</v>
      </c>
      <c r="G1149" s="19">
        <v>0.33</v>
      </c>
      <c r="H1149" s="19">
        <v>0.33</v>
      </c>
      <c r="I1149" s="18" t="s">
        <v>28</v>
      </c>
      <c r="J1149" s="18" t="s">
        <v>28</v>
      </c>
      <c r="K1149" s="18" t="s">
        <v>28</v>
      </c>
      <c r="L1149" s="18" t="s">
        <v>28</v>
      </c>
      <c r="M1149" s="18" t="s">
        <v>28</v>
      </c>
      <c r="N1149" s="17">
        <v>45269</v>
      </c>
      <c r="O1149" s="15" t="s">
        <v>30</v>
      </c>
      <c r="P1149" s="16" t="s">
        <v>4170</v>
      </c>
      <c r="Q1149" s="15" t="s">
        <v>240</v>
      </c>
      <c r="R1149" s="13" t="str">
        <f>HYPERLINK("https://my.pitchbook.com?c=247299-49T","View Company Online")</f>
        <v>View Company Online</v>
      </c>
    </row>
    <row r="1150" spans="1:18" hidden="1" x14ac:dyDescent="0.3">
      <c r="A1150" s="9" t="s">
        <v>4171</v>
      </c>
      <c r="B1150" s="9" t="s">
        <v>4172</v>
      </c>
      <c r="C1150" s="11" t="s">
        <v>28</v>
      </c>
      <c r="D1150" s="9" t="s">
        <v>4173</v>
      </c>
      <c r="E1150" s="11" t="s">
        <v>28</v>
      </c>
      <c r="F1150" s="10" t="s">
        <v>28</v>
      </c>
      <c r="G1150" s="10" t="s">
        <v>28</v>
      </c>
      <c r="H1150" s="10" t="s">
        <v>28</v>
      </c>
      <c r="I1150" s="11" t="s">
        <v>28</v>
      </c>
      <c r="J1150" s="11" t="s">
        <v>28</v>
      </c>
      <c r="K1150" s="11" t="s">
        <v>28</v>
      </c>
      <c r="L1150" s="11" t="s">
        <v>28</v>
      </c>
      <c r="M1150" s="11" t="s">
        <v>28</v>
      </c>
      <c r="N1150" s="8">
        <v>45268</v>
      </c>
      <c r="O1150" s="9" t="s">
        <v>73</v>
      </c>
      <c r="P1150" s="12" t="s">
        <v>4174</v>
      </c>
      <c r="Q1150" s="9" t="s">
        <v>75</v>
      </c>
      <c r="R1150" s="14" t="str">
        <f>HYPERLINK("https://my.pitchbook.com?c=248712-13T","View Company Online")</f>
        <v>View Company Online</v>
      </c>
    </row>
    <row r="1151" spans="1:18" hidden="1" x14ac:dyDescent="0.3">
      <c r="A1151" s="15" t="s">
        <v>4175</v>
      </c>
      <c r="B1151" s="15" t="s">
        <v>4176</v>
      </c>
      <c r="C1151" s="18" t="s">
        <v>28</v>
      </c>
      <c r="D1151" s="15" t="s">
        <v>4177</v>
      </c>
      <c r="E1151" s="18" t="s">
        <v>28</v>
      </c>
      <c r="F1151" s="19">
        <v>91.98</v>
      </c>
      <c r="G1151" s="19">
        <v>91.98</v>
      </c>
      <c r="H1151" s="19">
        <v>91.98</v>
      </c>
      <c r="I1151" s="18" t="s">
        <v>28</v>
      </c>
      <c r="J1151" s="18" t="s">
        <v>28</v>
      </c>
      <c r="K1151" s="18" t="s">
        <v>28</v>
      </c>
      <c r="L1151" s="18" t="s">
        <v>28</v>
      </c>
      <c r="M1151" s="18" t="s">
        <v>28</v>
      </c>
      <c r="N1151" s="17">
        <v>45268</v>
      </c>
      <c r="O1151" s="15" t="s">
        <v>30</v>
      </c>
      <c r="P1151" s="16" t="s">
        <v>4178</v>
      </c>
      <c r="Q1151" s="15" t="s">
        <v>245</v>
      </c>
      <c r="R1151" s="13" t="str">
        <f>HYPERLINK("https://my.pitchbook.com?c=248464-36T","View Company Online")</f>
        <v>View Company Online</v>
      </c>
    </row>
    <row r="1152" spans="1:18" hidden="1" x14ac:dyDescent="0.3">
      <c r="A1152" s="9" t="s">
        <v>4179</v>
      </c>
      <c r="B1152" s="9" t="s">
        <v>4180</v>
      </c>
      <c r="C1152" s="11" t="s">
        <v>28</v>
      </c>
      <c r="D1152" s="9" t="s">
        <v>4181</v>
      </c>
      <c r="E1152" s="11" t="s">
        <v>28</v>
      </c>
      <c r="F1152" s="10" t="s">
        <v>28</v>
      </c>
      <c r="G1152" s="10" t="s">
        <v>28</v>
      </c>
      <c r="H1152" s="10" t="s">
        <v>28</v>
      </c>
      <c r="I1152" s="11" t="s">
        <v>28</v>
      </c>
      <c r="J1152" s="11" t="s">
        <v>28</v>
      </c>
      <c r="K1152" s="11" t="s">
        <v>28</v>
      </c>
      <c r="L1152" s="11" t="s">
        <v>28</v>
      </c>
      <c r="M1152" s="11" t="s">
        <v>28</v>
      </c>
      <c r="N1152" s="8">
        <v>45268</v>
      </c>
      <c r="O1152" s="9" t="s">
        <v>173</v>
      </c>
      <c r="P1152" s="12" t="s">
        <v>28</v>
      </c>
      <c r="Q1152" s="9" t="s">
        <v>174</v>
      </c>
      <c r="R1152" s="14" t="str">
        <f>HYPERLINK("https://my.pitchbook.com?c=247721-95T","View Company Online")</f>
        <v>View Company Online</v>
      </c>
    </row>
    <row r="1153" spans="1:18" hidden="1" x14ac:dyDescent="0.3">
      <c r="A1153" s="15" t="s">
        <v>4182</v>
      </c>
      <c r="B1153" s="15" t="s">
        <v>4183</v>
      </c>
      <c r="C1153" s="18" t="s">
        <v>28</v>
      </c>
      <c r="D1153" s="15" t="s">
        <v>4184</v>
      </c>
      <c r="E1153" s="18" t="s">
        <v>28</v>
      </c>
      <c r="F1153" s="19">
        <v>58</v>
      </c>
      <c r="G1153" s="19">
        <v>58</v>
      </c>
      <c r="H1153" s="19">
        <v>58</v>
      </c>
      <c r="I1153" s="18" t="s">
        <v>28</v>
      </c>
      <c r="J1153" s="18" t="s">
        <v>28</v>
      </c>
      <c r="K1153" s="18" t="s">
        <v>28</v>
      </c>
      <c r="L1153" s="18" t="s">
        <v>28</v>
      </c>
      <c r="M1153" s="18" t="s">
        <v>28</v>
      </c>
      <c r="N1153" s="17">
        <v>45268</v>
      </c>
      <c r="O1153" s="15" t="s">
        <v>30</v>
      </c>
      <c r="P1153" s="16" t="s">
        <v>4185</v>
      </c>
      <c r="Q1153" s="15" t="s">
        <v>331</v>
      </c>
      <c r="R1153" s="13" t="str">
        <f>HYPERLINK("https://my.pitchbook.com?c=247381-21T","View Company Online")</f>
        <v>View Company Online</v>
      </c>
    </row>
    <row r="1154" spans="1:18" hidden="1" x14ac:dyDescent="0.3">
      <c r="A1154" s="9" t="s">
        <v>4186</v>
      </c>
      <c r="B1154" s="9" t="s">
        <v>4187</v>
      </c>
      <c r="C1154" s="11" t="s">
        <v>28</v>
      </c>
      <c r="D1154" s="9" t="s">
        <v>4188</v>
      </c>
      <c r="E1154" s="11" t="s">
        <v>28</v>
      </c>
      <c r="F1154" s="10" t="s">
        <v>28</v>
      </c>
      <c r="G1154" s="10" t="s">
        <v>28</v>
      </c>
      <c r="H1154" s="10" t="s">
        <v>28</v>
      </c>
      <c r="I1154" s="11" t="s">
        <v>28</v>
      </c>
      <c r="J1154" s="11" t="s">
        <v>28</v>
      </c>
      <c r="K1154" s="11" t="s">
        <v>28</v>
      </c>
      <c r="L1154" s="11" t="s">
        <v>28</v>
      </c>
      <c r="M1154" s="11" t="s">
        <v>28</v>
      </c>
      <c r="N1154" s="8">
        <v>45268</v>
      </c>
      <c r="O1154" s="9" t="s">
        <v>379</v>
      </c>
      <c r="P1154" s="12" t="s">
        <v>4189</v>
      </c>
      <c r="Q1154" s="9" t="s">
        <v>855</v>
      </c>
      <c r="R1154" s="14" t="str">
        <f>HYPERLINK("https://my.pitchbook.com?c=247247-65T","View Company Online")</f>
        <v>View Company Online</v>
      </c>
    </row>
    <row r="1155" spans="1:18" hidden="1" x14ac:dyDescent="0.3">
      <c r="A1155" s="15" t="s">
        <v>4190</v>
      </c>
      <c r="B1155" s="15" t="s">
        <v>4191</v>
      </c>
      <c r="C1155" s="18" t="s">
        <v>28</v>
      </c>
      <c r="D1155" s="15" t="s">
        <v>4192</v>
      </c>
      <c r="E1155" s="18" t="s">
        <v>28</v>
      </c>
      <c r="F1155" s="19" t="s">
        <v>28</v>
      </c>
      <c r="G1155" s="19" t="s">
        <v>28</v>
      </c>
      <c r="H1155" s="19" t="s">
        <v>28</v>
      </c>
      <c r="I1155" s="18" t="s">
        <v>28</v>
      </c>
      <c r="J1155" s="18" t="s">
        <v>28</v>
      </c>
      <c r="K1155" s="18" t="s">
        <v>28</v>
      </c>
      <c r="L1155" s="18" t="s">
        <v>28</v>
      </c>
      <c r="M1155" s="18" t="s">
        <v>28</v>
      </c>
      <c r="N1155" s="17">
        <v>45268</v>
      </c>
      <c r="O1155" s="15" t="s">
        <v>52</v>
      </c>
      <c r="P1155" s="16" t="s">
        <v>1880</v>
      </c>
      <c r="Q1155" s="15" t="s">
        <v>37</v>
      </c>
      <c r="R1155" s="13" t="str">
        <f>HYPERLINK("https://my.pitchbook.com?c=297569-71T","View Company Online")</f>
        <v>View Company Online</v>
      </c>
    </row>
    <row r="1156" spans="1:18" hidden="1" x14ac:dyDescent="0.3">
      <c r="A1156" s="9" t="s">
        <v>4193</v>
      </c>
      <c r="B1156" s="9" t="s">
        <v>480</v>
      </c>
      <c r="C1156" s="11" t="s">
        <v>28</v>
      </c>
      <c r="D1156" s="9" t="s">
        <v>481</v>
      </c>
      <c r="E1156" s="11" t="s">
        <v>28</v>
      </c>
      <c r="F1156" s="10" t="s">
        <v>28</v>
      </c>
      <c r="G1156" s="10">
        <v>12</v>
      </c>
      <c r="H1156" s="10" t="s">
        <v>28</v>
      </c>
      <c r="I1156" s="11" t="s">
        <v>28</v>
      </c>
      <c r="J1156" s="11" t="s">
        <v>28</v>
      </c>
      <c r="K1156" s="11" t="s">
        <v>28</v>
      </c>
      <c r="L1156" s="11" t="s">
        <v>28</v>
      </c>
      <c r="M1156" s="11" t="s">
        <v>28</v>
      </c>
      <c r="N1156" s="8">
        <v>45267</v>
      </c>
      <c r="O1156" s="9" t="s">
        <v>73</v>
      </c>
      <c r="P1156" s="12" t="s">
        <v>4194</v>
      </c>
      <c r="Q1156" s="9" t="s">
        <v>409</v>
      </c>
      <c r="R1156" s="14" t="str">
        <f>HYPERLINK("https://my.pitchbook.com?c=221140-72T","View Company Online")</f>
        <v>View Company Online</v>
      </c>
    </row>
    <row r="1157" spans="1:18" x14ac:dyDescent="0.3">
      <c r="A1157" s="15" t="s">
        <v>4195</v>
      </c>
      <c r="B1157" s="15" t="s">
        <v>4196</v>
      </c>
      <c r="C1157" s="18">
        <v>9.68</v>
      </c>
      <c r="D1157" s="15" t="s">
        <v>4197</v>
      </c>
      <c r="E1157" s="18">
        <v>94.63</v>
      </c>
      <c r="F1157" s="19">
        <v>1500</v>
      </c>
      <c r="G1157" s="19">
        <v>1500</v>
      </c>
      <c r="H1157" s="19">
        <v>1840.49</v>
      </c>
      <c r="I1157" s="18">
        <v>154.9</v>
      </c>
      <c r="J1157" s="18">
        <v>11.88</v>
      </c>
      <c r="K1157" s="18">
        <v>375.35</v>
      </c>
      <c r="L1157" s="18">
        <v>4.9000000000000004</v>
      </c>
      <c r="M1157" s="18">
        <v>-6.43</v>
      </c>
      <c r="N1157" s="17">
        <v>45267</v>
      </c>
      <c r="O1157" s="15" t="s">
        <v>41</v>
      </c>
      <c r="P1157" s="16" t="s">
        <v>4198</v>
      </c>
      <c r="Q1157" s="15" t="s">
        <v>583</v>
      </c>
      <c r="R1157" s="13" t="str">
        <f>HYPERLINK("https://my.pitchbook.com?c=209602-99T","View Company Online")</f>
        <v>View Company Online</v>
      </c>
    </row>
    <row r="1158" spans="1:18" hidden="1" x14ac:dyDescent="0.3">
      <c r="A1158" s="9" t="s">
        <v>4199</v>
      </c>
      <c r="B1158" s="9" t="s">
        <v>4200</v>
      </c>
      <c r="C1158" s="11" t="s">
        <v>28</v>
      </c>
      <c r="D1158" s="9" t="s">
        <v>4201</v>
      </c>
      <c r="E1158" s="11" t="s">
        <v>28</v>
      </c>
      <c r="F1158" s="10" t="s">
        <v>28</v>
      </c>
      <c r="G1158" s="10" t="s">
        <v>28</v>
      </c>
      <c r="H1158" s="10" t="s">
        <v>28</v>
      </c>
      <c r="I1158" s="11" t="s">
        <v>28</v>
      </c>
      <c r="J1158" s="11" t="s">
        <v>28</v>
      </c>
      <c r="K1158" s="11" t="s">
        <v>28</v>
      </c>
      <c r="L1158" s="11" t="s">
        <v>28</v>
      </c>
      <c r="M1158" s="11" t="s">
        <v>28</v>
      </c>
      <c r="N1158" s="8">
        <v>45267</v>
      </c>
      <c r="O1158" s="9" t="s">
        <v>30</v>
      </c>
      <c r="P1158" s="12" t="s">
        <v>4202</v>
      </c>
      <c r="Q1158" s="9" t="s">
        <v>43</v>
      </c>
      <c r="R1158" s="14" t="str">
        <f>HYPERLINK("https://my.pitchbook.com?c=247218-13T","View Company Online")</f>
        <v>View Company Online</v>
      </c>
    </row>
    <row r="1159" spans="1:18" hidden="1" x14ac:dyDescent="0.3">
      <c r="A1159" s="15" t="s">
        <v>4203</v>
      </c>
      <c r="B1159" s="15" t="s">
        <v>4204</v>
      </c>
      <c r="C1159" s="18" t="s">
        <v>28</v>
      </c>
      <c r="D1159" s="15" t="s">
        <v>4205</v>
      </c>
      <c r="E1159" s="18" t="s">
        <v>28</v>
      </c>
      <c r="F1159" s="19" t="s">
        <v>28</v>
      </c>
      <c r="G1159" s="19" t="s">
        <v>28</v>
      </c>
      <c r="H1159" s="19" t="s">
        <v>28</v>
      </c>
      <c r="I1159" s="18" t="s">
        <v>28</v>
      </c>
      <c r="J1159" s="18" t="s">
        <v>28</v>
      </c>
      <c r="K1159" s="18" t="s">
        <v>28</v>
      </c>
      <c r="L1159" s="18" t="s">
        <v>28</v>
      </c>
      <c r="M1159" s="18" t="s">
        <v>28</v>
      </c>
      <c r="N1159" s="17">
        <v>45267</v>
      </c>
      <c r="O1159" s="15" t="s">
        <v>30</v>
      </c>
      <c r="P1159" s="16" t="s">
        <v>2239</v>
      </c>
      <c r="Q1159" s="15" t="s">
        <v>43</v>
      </c>
      <c r="R1159" s="13" t="str">
        <f>HYPERLINK("https://my.pitchbook.com?c=247189-51T","View Company Online")</f>
        <v>View Company Online</v>
      </c>
    </row>
    <row r="1160" spans="1:18" hidden="1" x14ac:dyDescent="0.3">
      <c r="A1160" s="9" t="s">
        <v>4206</v>
      </c>
      <c r="B1160" s="9" t="s">
        <v>4207</v>
      </c>
      <c r="C1160" s="11" t="s">
        <v>28</v>
      </c>
      <c r="D1160" s="9" t="s">
        <v>4208</v>
      </c>
      <c r="E1160" s="11" t="s">
        <v>28</v>
      </c>
      <c r="F1160" s="10" t="s">
        <v>28</v>
      </c>
      <c r="G1160" s="10">
        <v>7.34</v>
      </c>
      <c r="H1160" s="10" t="s">
        <v>28</v>
      </c>
      <c r="I1160" s="11" t="s">
        <v>28</v>
      </c>
      <c r="J1160" s="11" t="s">
        <v>28</v>
      </c>
      <c r="K1160" s="11" t="s">
        <v>28</v>
      </c>
      <c r="L1160" s="11" t="s">
        <v>28</v>
      </c>
      <c r="M1160" s="11" t="s">
        <v>28</v>
      </c>
      <c r="N1160" s="8">
        <v>45267</v>
      </c>
      <c r="O1160" s="9" t="s">
        <v>79</v>
      </c>
      <c r="P1160" s="12" t="s">
        <v>4209</v>
      </c>
      <c r="Q1160" s="9" t="s">
        <v>43</v>
      </c>
      <c r="R1160" s="14" t="str">
        <f>HYPERLINK("https://my.pitchbook.com?c=226300-42T","View Company Online")</f>
        <v>View Company Online</v>
      </c>
    </row>
    <row r="1161" spans="1:18" hidden="1" x14ac:dyDescent="0.3">
      <c r="A1161" s="15" t="s">
        <v>4210</v>
      </c>
      <c r="B1161" s="15" t="s">
        <v>4211</v>
      </c>
      <c r="C1161" s="18" t="s">
        <v>28</v>
      </c>
      <c r="D1161" s="15" t="s">
        <v>4212</v>
      </c>
      <c r="E1161" s="18" t="s">
        <v>28</v>
      </c>
      <c r="F1161" s="19" t="s">
        <v>28</v>
      </c>
      <c r="G1161" s="19">
        <v>0.82</v>
      </c>
      <c r="H1161" s="19" t="s">
        <v>28</v>
      </c>
      <c r="I1161" s="18" t="s">
        <v>28</v>
      </c>
      <c r="J1161" s="18" t="s">
        <v>28</v>
      </c>
      <c r="K1161" s="18" t="s">
        <v>28</v>
      </c>
      <c r="L1161" s="18" t="s">
        <v>28</v>
      </c>
      <c r="M1161" s="18" t="s">
        <v>28</v>
      </c>
      <c r="N1161" s="17">
        <v>45266</v>
      </c>
      <c r="O1161" s="15" t="s">
        <v>79</v>
      </c>
      <c r="P1161" s="16" t="s">
        <v>1590</v>
      </c>
      <c r="Q1161" s="15" t="s">
        <v>386</v>
      </c>
      <c r="R1161" s="13" t="str">
        <f>HYPERLINK("https://my.pitchbook.com?c=247127-68T","View Company Online")</f>
        <v>View Company Online</v>
      </c>
    </row>
    <row r="1162" spans="1:18" hidden="1" x14ac:dyDescent="0.3">
      <c r="A1162" s="9" t="s">
        <v>4213</v>
      </c>
      <c r="B1162" s="9" t="s">
        <v>4214</v>
      </c>
      <c r="C1162" s="11" t="s">
        <v>28</v>
      </c>
      <c r="D1162" s="9" t="s">
        <v>4215</v>
      </c>
      <c r="E1162" s="11" t="s">
        <v>28</v>
      </c>
      <c r="F1162" s="10" t="s">
        <v>28</v>
      </c>
      <c r="G1162" s="10">
        <v>0.02</v>
      </c>
      <c r="H1162" s="10" t="s">
        <v>28</v>
      </c>
      <c r="I1162" s="11" t="s">
        <v>28</v>
      </c>
      <c r="J1162" s="11" t="s">
        <v>28</v>
      </c>
      <c r="K1162" s="11" t="s">
        <v>28</v>
      </c>
      <c r="L1162" s="11" t="s">
        <v>28</v>
      </c>
      <c r="M1162" s="11" t="s">
        <v>28</v>
      </c>
      <c r="N1162" s="8">
        <v>45266</v>
      </c>
      <c r="O1162" s="9" t="s">
        <v>52</v>
      </c>
      <c r="P1162" s="12" t="s">
        <v>4216</v>
      </c>
      <c r="Q1162" s="9" t="s">
        <v>249</v>
      </c>
      <c r="R1162" s="14" t="str">
        <f>HYPERLINK("https://my.pitchbook.com?c=253027-63T","View Company Online")</f>
        <v>View Company Online</v>
      </c>
    </row>
    <row r="1163" spans="1:18" hidden="1" x14ac:dyDescent="0.3">
      <c r="A1163" s="15" t="s">
        <v>4217</v>
      </c>
      <c r="B1163" s="15" t="s">
        <v>4218</v>
      </c>
      <c r="C1163" s="18" t="s">
        <v>28</v>
      </c>
      <c r="D1163" s="15" t="s">
        <v>4219</v>
      </c>
      <c r="E1163" s="18" t="s">
        <v>28</v>
      </c>
      <c r="F1163" s="19">
        <v>132.62</v>
      </c>
      <c r="G1163" s="19">
        <v>132.62</v>
      </c>
      <c r="H1163" s="19">
        <v>132.62</v>
      </c>
      <c r="I1163" s="18" t="s">
        <v>28</v>
      </c>
      <c r="J1163" s="18" t="s">
        <v>28</v>
      </c>
      <c r="K1163" s="18" t="s">
        <v>28</v>
      </c>
      <c r="L1163" s="18" t="s">
        <v>28</v>
      </c>
      <c r="M1163" s="18" t="s">
        <v>28</v>
      </c>
      <c r="N1163" s="17">
        <v>45266</v>
      </c>
      <c r="O1163" s="15" t="s">
        <v>30</v>
      </c>
      <c r="P1163" s="16" t="s">
        <v>4220</v>
      </c>
      <c r="Q1163" s="15" t="s">
        <v>119</v>
      </c>
      <c r="R1163" s="13" t="str">
        <f>HYPERLINK("https://my.pitchbook.com?c=233682-94T","View Company Online")</f>
        <v>View Company Online</v>
      </c>
    </row>
    <row r="1164" spans="1:18" hidden="1" x14ac:dyDescent="0.3">
      <c r="A1164" s="9" t="s">
        <v>4221</v>
      </c>
      <c r="B1164" s="9" t="s">
        <v>4222</v>
      </c>
      <c r="C1164" s="11" t="s">
        <v>28</v>
      </c>
      <c r="D1164" s="9" t="s">
        <v>4223</v>
      </c>
      <c r="E1164" s="11" t="s">
        <v>28</v>
      </c>
      <c r="F1164" s="10" t="s">
        <v>28</v>
      </c>
      <c r="G1164" s="10" t="s">
        <v>28</v>
      </c>
      <c r="H1164" s="10" t="s">
        <v>28</v>
      </c>
      <c r="I1164" s="11" t="s">
        <v>28</v>
      </c>
      <c r="J1164" s="11" t="s">
        <v>28</v>
      </c>
      <c r="K1164" s="11" t="s">
        <v>28</v>
      </c>
      <c r="L1164" s="11" t="s">
        <v>28</v>
      </c>
      <c r="M1164" s="11" t="s">
        <v>28</v>
      </c>
      <c r="N1164" s="8">
        <v>45265</v>
      </c>
      <c r="O1164" s="9" t="s">
        <v>30</v>
      </c>
      <c r="P1164" s="12" t="s">
        <v>4224</v>
      </c>
      <c r="Q1164" s="9" t="s">
        <v>75</v>
      </c>
      <c r="R1164" s="14" t="str">
        <f>HYPERLINK("https://my.pitchbook.com?c=246988-18T","View Company Online")</f>
        <v>View Company Online</v>
      </c>
    </row>
    <row r="1165" spans="1:18" hidden="1" x14ac:dyDescent="0.3">
      <c r="A1165" s="15" t="s">
        <v>4225</v>
      </c>
      <c r="B1165" s="15" t="s">
        <v>4226</v>
      </c>
      <c r="C1165" s="18" t="s">
        <v>28</v>
      </c>
      <c r="D1165" s="15" t="s">
        <v>4227</v>
      </c>
      <c r="E1165" s="18" t="s">
        <v>28</v>
      </c>
      <c r="F1165" s="19" t="s">
        <v>28</v>
      </c>
      <c r="G1165" s="19" t="s">
        <v>28</v>
      </c>
      <c r="H1165" s="19" t="s">
        <v>28</v>
      </c>
      <c r="I1165" s="18" t="s">
        <v>28</v>
      </c>
      <c r="J1165" s="18" t="s">
        <v>28</v>
      </c>
      <c r="K1165" s="18" t="s">
        <v>28</v>
      </c>
      <c r="L1165" s="18" t="s">
        <v>28</v>
      </c>
      <c r="M1165" s="18" t="s">
        <v>28</v>
      </c>
      <c r="N1165" s="17">
        <v>45265</v>
      </c>
      <c r="O1165" s="15" t="s">
        <v>58</v>
      </c>
      <c r="P1165" s="16" t="s">
        <v>2951</v>
      </c>
      <c r="Q1165" s="15" t="s">
        <v>54</v>
      </c>
      <c r="R1165" s="13" t="str">
        <f>HYPERLINK("https://my.pitchbook.com?c=246978-46T","View Company Online")</f>
        <v>View Company Online</v>
      </c>
    </row>
    <row r="1166" spans="1:18" hidden="1" x14ac:dyDescent="0.3">
      <c r="A1166" s="9" t="s">
        <v>4228</v>
      </c>
      <c r="B1166" s="9" t="s">
        <v>4229</v>
      </c>
      <c r="C1166" s="11" t="s">
        <v>28</v>
      </c>
      <c r="D1166" s="9" t="s">
        <v>4230</v>
      </c>
      <c r="E1166" s="11" t="s">
        <v>28</v>
      </c>
      <c r="F1166" s="10" t="s">
        <v>28</v>
      </c>
      <c r="G1166" s="10" t="s">
        <v>28</v>
      </c>
      <c r="H1166" s="10" t="s">
        <v>28</v>
      </c>
      <c r="I1166" s="11" t="s">
        <v>28</v>
      </c>
      <c r="J1166" s="11" t="s">
        <v>28</v>
      </c>
      <c r="K1166" s="11" t="s">
        <v>28</v>
      </c>
      <c r="L1166" s="11" t="s">
        <v>28</v>
      </c>
      <c r="M1166" s="11" t="s">
        <v>28</v>
      </c>
      <c r="N1166" s="8">
        <v>45265</v>
      </c>
      <c r="O1166" s="9" t="s">
        <v>30</v>
      </c>
      <c r="P1166" s="12" t="s">
        <v>4231</v>
      </c>
      <c r="Q1166" s="9" t="s">
        <v>136</v>
      </c>
      <c r="R1166" s="14" t="str">
        <f>HYPERLINK("https://my.pitchbook.com?c=292206-25T","View Company Online")</f>
        <v>View Company Online</v>
      </c>
    </row>
    <row r="1167" spans="1:18" hidden="1" x14ac:dyDescent="0.3">
      <c r="A1167" s="15" t="s">
        <v>4232</v>
      </c>
      <c r="B1167" s="15" t="s">
        <v>4233</v>
      </c>
      <c r="C1167" s="18" t="s">
        <v>28</v>
      </c>
      <c r="D1167" s="15" t="s">
        <v>4234</v>
      </c>
      <c r="E1167" s="18" t="s">
        <v>28</v>
      </c>
      <c r="F1167" s="19" t="s">
        <v>28</v>
      </c>
      <c r="G1167" s="19">
        <v>0.13</v>
      </c>
      <c r="H1167" s="19" t="s">
        <v>28</v>
      </c>
      <c r="I1167" s="18" t="s">
        <v>28</v>
      </c>
      <c r="J1167" s="18" t="s">
        <v>28</v>
      </c>
      <c r="K1167" s="18">
        <v>1.4</v>
      </c>
      <c r="L1167" s="18" t="s">
        <v>28</v>
      </c>
      <c r="M1167" s="18" t="s">
        <v>28</v>
      </c>
      <c r="N1167" s="17">
        <v>45265</v>
      </c>
      <c r="O1167" s="15" t="s">
        <v>52</v>
      </c>
      <c r="P1167" s="16" t="s">
        <v>1258</v>
      </c>
      <c r="Q1167" s="15" t="s">
        <v>75</v>
      </c>
      <c r="R1167" s="13" t="str">
        <f>HYPERLINK("https://my.pitchbook.com?c=261432-91T","View Company Online")</f>
        <v>View Company Online</v>
      </c>
    </row>
    <row r="1168" spans="1:18" hidden="1" x14ac:dyDescent="0.3">
      <c r="A1168" s="9" t="s">
        <v>4235</v>
      </c>
      <c r="B1168" s="9" t="s">
        <v>4236</v>
      </c>
      <c r="C1168" s="11" t="s">
        <v>28</v>
      </c>
      <c r="D1168" s="9" t="s">
        <v>4237</v>
      </c>
      <c r="E1168" s="11" t="s">
        <v>28</v>
      </c>
      <c r="F1168" s="10" t="s">
        <v>28</v>
      </c>
      <c r="G1168" s="10" t="s">
        <v>28</v>
      </c>
      <c r="H1168" s="10" t="s">
        <v>28</v>
      </c>
      <c r="I1168" s="11" t="s">
        <v>28</v>
      </c>
      <c r="J1168" s="11" t="s">
        <v>28</v>
      </c>
      <c r="K1168" s="11" t="s">
        <v>28</v>
      </c>
      <c r="L1168" s="11" t="s">
        <v>28</v>
      </c>
      <c r="M1168" s="11" t="s">
        <v>28</v>
      </c>
      <c r="N1168" s="8">
        <v>45264</v>
      </c>
      <c r="O1168" s="9" t="s">
        <v>173</v>
      </c>
      <c r="P1168" s="12" t="s">
        <v>28</v>
      </c>
      <c r="Q1168" s="9" t="s">
        <v>174</v>
      </c>
      <c r="R1168" s="14" t="str">
        <f>HYPERLINK("https://my.pitchbook.com?c=248049-82T","View Company Online")</f>
        <v>View Company Online</v>
      </c>
    </row>
    <row r="1169" spans="1:18" x14ac:dyDescent="0.3">
      <c r="A1169" s="15" t="s">
        <v>4238</v>
      </c>
      <c r="B1169" s="15" t="s">
        <v>4239</v>
      </c>
      <c r="C1169" s="18">
        <v>5.71</v>
      </c>
      <c r="D1169" s="15" t="s">
        <v>4240</v>
      </c>
      <c r="E1169" s="18" t="s">
        <v>28</v>
      </c>
      <c r="F1169" s="19">
        <v>338.45</v>
      </c>
      <c r="G1169" s="19">
        <v>239.09</v>
      </c>
      <c r="H1169" s="19">
        <v>338.45</v>
      </c>
      <c r="I1169" s="18">
        <v>59.31</v>
      </c>
      <c r="J1169" s="18">
        <v>5.71</v>
      </c>
      <c r="K1169" s="18">
        <v>168.04</v>
      </c>
      <c r="L1169" s="18">
        <v>2.0099999999999998</v>
      </c>
      <c r="M1169" s="18" t="s">
        <v>28</v>
      </c>
      <c r="N1169" s="17">
        <v>45264</v>
      </c>
      <c r="O1169" s="15" t="s">
        <v>30</v>
      </c>
      <c r="P1169" s="16" t="s">
        <v>4241</v>
      </c>
      <c r="Q1169" s="15" t="s">
        <v>3048</v>
      </c>
      <c r="R1169" s="13" t="str">
        <f>HYPERLINK("https://my.pitchbook.com?c=216174-34T","View Company Online")</f>
        <v>View Company Online</v>
      </c>
    </row>
    <row r="1170" spans="1:18" hidden="1" x14ac:dyDescent="0.3">
      <c r="A1170" s="9" t="s">
        <v>4242</v>
      </c>
      <c r="B1170" s="9" t="s">
        <v>4243</v>
      </c>
      <c r="C1170" s="11" t="s">
        <v>28</v>
      </c>
      <c r="D1170" s="9" t="s">
        <v>4244</v>
      </c>
      <c r="E1170" s="11" t="s">
        <v>28</v>
      </c>
      <c r="F1170" s="10" t="s">
        <v>28</v>
      </c>
      <c r="G1170" s="10" t="s">
        <v>28</v>
      </c>
      <c r="H1170" s="10" t="s">
        <v>28</v>
      </c>
      <c r="I1170" s="11" t="s">
        <v>28</v>
      </c>
      <c r="J1170" s="11" t="s">
        <v>28</v>
      </c>
      <c r="K1170" s="11" t="s">
        <v>28</v>
      </c>
      <c r="L1170" s="11" t="s">
        <v>28</v>
      </c>
      <c r="M1170" s="11" t="s">
        <v>28</v>
      </c>
      <c r="N1170" s="8">
        <v>45263</v>
      </c>
      <c r="O1170" s="9" t="s">
        <v>52</v>
      </c>
      <c r="P1170" s="12" t="s">
        <v>4245</v>
      </c>
      <c r="Q1170" s="9" t="s">
        <v>37</v>
      </c>
      <c r="R1170" s="14" t="str">
        <f>HYPERLINK("https://my.pitchbook.com?c=287492-86T","View Company Online")</f>
        <v>View Company Online</v>
      </c>
    </row>
    <row r="1171" spans="1:18" hidden="1" x14ac:dyDescent="0.3">
      <c r="A1171" s="15" t="s">
        <v>4246</v>
      </c>
      <c r="B1171" s="15" t="s">
        <v>4247</v>
      </c>
      <c r="C1171" s="18" t="s">
        <v>28</v>
      </c>
      <c r="D1171" s="15" t="s">
        <v>4248</v>
      </c>
      <c r="E1171" s="18" t="s">
        <v>28</v>
      </c>
      <c r="F1171" s="19" t="s">
        <v>28</v>
      </c>
      <c r="G1171" s="19" t="s">
        <v>28</v>
      </c>
      <c r="H1171" s="19" t="s">
        <v>28</v>
      </c>
      <c r="I1171" s="18" t="s">
        <v>28</v>
      </c>
      <c r="J1171" s="18" t="s">
        <v>28</v>
      </c>
      <c r="K1171" s="18" t="s">
        <v>28</v>
      </c>
      <c r="L1171" s="18" t="s">
        <v>28</v>
      </c>
      <c r="M1171" s="18" t="s">
        <v>28</v>
      </c>
      <c r="N1171" s="17">
        <v>45263</v>
      </c>
      <c r="O1171" s="15" t="s">
        <v>52</v>
      </c>
      <c r="P1171" s="16" t="s">
        <v>2039</v>
      </c>
      <c r="Q1171" s="15" t="s">
        <v>37</v>
      </c>
      <c r="R1171" s="13" t="str">
        <f>HYPERLINK("https://my.pitchbook.com?c=287412-67T","View Company Online")</f>
        <v>View Company Online</v>
      </c>
    </row>
    <row r="1172" spans="1:18" hidden="1" x14ac:dyDescent="0.3">
      <c r="A1172" s="9" t="s">
        <v>4249</v>
      </c>
      <c r="B1172" s="9" t="s">
        <v>2949</v>
      </c>
      <c r="C1172" s="11" t="s">
        <v>28</v>
      </c>
      <c r="D1172" s="9" t="s">
        <v>2950</v>
      </c>
      <c r="E1172" s="11">
        <v>-28.54</v>
      </c>
      <c r="F1172" s="10" t="s">
        <v>28</v>
      </c>
      <c r="G1172" s="10">
        <v>10</v>
      </c>
      <c r="H1172" s="10" t="s">
        <v>28</v>
      </c>
      <c r="I1172" s="11">
        <v>-28.48</v>
      </c>
      <c r="J1172" s="11" t="s">
        <v>28</v>
      </c>
      <c r="K1172" s="11">
        <v>0</v>
      </c>
      <c r="L1172" s="11" t="s">
        <v>28</v>
      </c>
      <c r="M1172" s="11">
        <v>-26.87</v>
      </c>
      <c r="N1172" s="8">
        <v>45262</v>
      </c>
      <c r="O1172" s="9" t="s">
        <v>159</v>
      </c>
      <c r="P1172" s="12" t="s">
        <v>4250</v>
      </c>
      <c r="Q1172" s="9" t="s">
        <v>2620</v>
      </c>
      <c r="R1172" s="14" t="str">
        <f>HYPERLINK("https://my.pitchbook.com?c=249087-70T","View Company Online")</f>
        <v>View Company Online</v>
      </c>
    </row>
    <row r="1173" spans="1:18" hidden="1" x14ac:dyDescent="0.3">
      <c r="A1173" s="15" t="s">
        <v>4251</v>
      </c>
      <c r="B1173" s="15" t="s">
        <v>4252</v>
      </c>
      <c r="C1173" s="18" t="s">
        <v>28</v>
      </c>
      <c r="D1173" s="15" t="s">
        <v>4253</v>
      </c>
      <c r="E1173" s="18" t="s">
        <v>28</v>
      </c>
      <c r="F1173" s="19" t="s">
        <v>28</v>
      </c>
      <c r="G1173" s="19" t="s">
        <v>28</v>
      </c>
      <c r="H1173" s="19" t="s">
        <v>28</v>
      </c>
      <c r="I1173" s="18" t="s">
        <v>28</v>
      </c>
      <c r="J1173" s="18" t="s">
        <v>28</v>
      </c>
      <c r="K1173" s="18" t="s">
        <v>28</v>
      </c>
      <c r="L1173" s="18" t="s">
        <v>28</v>
      </c>
      <c r="M1173" s="18" t="s">
        <v>28</v>
      </c>
      <c r="N1173" s="17">
        <v>45261</v>
      </c>
      <c r="O1173" s="15" t="s">
        <v>30</v>
      </c>
      <c r="P1173" s="16" t="s">
        <v>4254</v>
      </c>
      <c r="Q1173" s="15" t="s">
        <v>136</v>
      </c>
      <c r="R1173" s="13" t="str">
        <f>HYPERLINK("https://my.pitchbook.com?c=256828-96T","View Company Online")</f>
        <v>View Company Online</v>
      </c>
    </row>
    <row r="1174" spans="1:18" hidden="1" x14ac:dyDescent="0.3">
      <c r="A1174" s="9" t="s">
        <v>4255</v>
      </c>
      <c r="B1174" s="9" t="s">
        <v>4256</v>
      </c>
      <c r="C1174" s="11" t="s">
        <v>28</v>
      </c>
      <c r="D1174" s="9" t="s">
        <v>4257</v>
      </c>
      <c r="E1174" s="11" t="s">
        <v>28</v>
      </c>
      <c r="F1174" s="10" t="s">
        <v>28</v>
      </c>
      <c r="G1174" s="10" t="s">
        <v>28</v>
      </c>
      <c r="H1174" s="10" t="s">
        <v>28</v>
      </c>
      <c r="I1174" s="11" t="s">
        <v>28</v>
      </c>
      <c r="J1174" s="11" t="s">
        <v>28</v>
      </c>
      <c r="K1174" s="11" t="s">
        <v>28</v>
      </c>
      <c r="L1174" s="11" t="s">
        <v>28</v>
      </c>
      <c r="M1174" s="11" t="s">
        <v>28</v>
      </c>
      <c r="N1174" s="8">
        <v>45261</v>
      </c>
      <c r="O1174" s="9" t="s">
        <v>52</v>
      </c>
      <c r="P1174" s="12" t="s">
        <v>4258</v>
      </c>
      <c r="Q1174" s="9" t="s">
        <v>75</v>
      </c>
      <c r="R1174" s="14" t="str">
        <f>HYPERLINK("https://my.pitchbook.com?c=263348-38T","View Company Online")</f>
        <v>View Company Online</v>
      </c>
    </row>
    <row r="1175" spans="1:18" hidden="1" x14ac:dyDescent="0.3">
      <c r="A1175" s="15" t="s">
        <v>4259</v>
      </c>
      <c r="B1175" s="15" t="s">
        <v>4260</v>
      </c>
      <c r="C1175" s="18" t="s">
        <v>28</v>
      </c>
      <c r="D1175" s="15" t="s">
        <v>4261</v>
      </c>
      <c r="E1175" s="18" t="s">
        <v>28</v>
      </c>
      <c r="F1175" s="19">
        <v>77.47</v>
      </c>
      <c r="G1175" s="19">
        <v>77.47</v>
      </c>
      <c r="H1175" s="19">
        <v>77.47</v>
      </c>
      <c r="I1175" s="18" t="s">
        <v>28</v>
      </c>
      <c r="J1175" s="18" t="s">
        <v>28</v>
      </c>
      <c r="K1175" s="18">
        <v>84</v>
      </c>
      <c r="L1175" s="18">
        <v>0.92</v>
      </c>
      <c r="M1175" s="18" t="s">
        <v>28</v>
      </c>
      <c r="N1175" s="17">
        <v>45261</v>
      </c>
      <c r="O1175" s="15" t="s">
        <v>30</v>
      </c>
      <c r="P1175" s="16" t="s">
        <v>4262</v>
      </c>
      <c r="Q1175" s="15" t="s">
        <v>75</v>
      </c>
      <c r="R1175" s="13" t="str">
        <f>HYPERLINK("https://my.pitchbook.com?c=246716-74T","View Company Online")</f>
        <v>View Company Online</v>
      </c>
    </row>
    <row r="1176" spans="1:18" hidden="1" x14ac:dyDescent="0.3">
      <c r="A1176" s="9" t="s">
        <v>4263</v>
      </c>
      <c r="B1176" s="9" t="s">
        <v>1843</v>
      </c>
      <c r="C1176" s="11" t="s">
        <v>28</v>
      </c>
      <c r="D1176" s="9" t="s">
        <v>1844</v>
      </c>
      <c r="E1176" s="11" t="s">
        <v>28</v>
      </c>
      <c r="F1176" s="10" t="s">
        <v>28</v>
      </c>
      <c r="G1176" s="10">
        <v>0.3</v>
      </c>
      <c r="H1176" s="10">
        <v>2</v>
      </c>
      <c r="I1176" s="11" t="s">
        <v>28</v>
      </c>
      <c r="J1176" s="11" t="s">
        <v>28</v>
      </c>
      <c r="K1176" s="11" t="s">
        <v>28</v>
      </c>
      <c r="L1176" s="11" t="s">
        <v>28</v>
      </c>
      <c r="M1176" s="11" t="s">
        <v>28</v>
      </c>
      <c r="N1176" s="8">
        <v>45261</v>
      </c>
      <c r="O1176" s="9" t="s">
        <v>99</v>
      </c>
      <c r="P1176" s="12" t="s">
        <v>4264</v>
      </c>
      <c r="Q1176" s="9" t="s">
        <v>75</v>
      </c>
      <c r="R1176" s="14" t="str">
        <f>HYPERLINK("https://my.pitchbook.com?c=258241-60T","View Company Online")</f>
        <v>View Company Online</v>
      </c>
    </row>
    <row r="1177" spans="1:18" hidden="1" x14ac:dyDescent="0.3">
      <c r="A1177" s="15" t="s">
        <v>4265</v>
      </c>
      <c r="B1177" s="15" t="s">
        <v>4266</v>
      </c>
      <c r="C1177" s="18" t="s">
        <v>28</v>
      </c>
      <c r="D1177" s="15" t="s">
        <v>4267</v>
      </c>
      <c r="E1177" s="18" t="s">
        <v>28</v>
      </c>
      <c r="F1177" s="19" t="s">
        <v>28</v>
      </c>
      <c r="G1177" s="19" t="s">
        <v>28</v>
      </c>
      <c r="H1177" s="19" t="s">
        <v>28</v>
      </c>
      <c r="I1177" s="18" t="s">
        <v>28</v>
      </c>
      <c r="J1177" s="18" t="s">
        <v>28</v>
      </c>
      <c r="K1177" s="18" t="s">
        <v>28</v>
      </c>
      <c r="L1177" s="18" t="s">
        <v>28</v>
      </c>
      <c r="M1177" s="18" t="s">
        <v>28</v>
      </c>
      <c r="N1177" s="17">
        <v>45261</v>
      </c>
      <c r="O1177" s="15" t="s">
        <v>73</v>
      </c>
      <c r="P1177" s="16" t="s">
        <v>4268</v>
      </c>
      <c r="Q1177" s="15" t="s">
        <v>386</v>
      </c>
      <c r="R1177" s="13" t="str">
        <f>HYPERLINK("https://my.pitchbook.com?c=248338-90T","View Company Online")</f>
        <v>View Company Online</v>
      </c>
    </row>
    <row r="1178" spans="1:18" hidden="1" x14ac:dyDescent="0.3">
      <c r="A1178" s="9" t="s">
        <v>4269</v>
      </c>
      <c r="B1178" s="9" t="s">
        <v>4270</v>
      </c>
      <c r="C1178" s="11" t="s">
        <v>28</v>
      </c>
      <c r="D1178" s="9" t="s">
        <v>4271</v>
      </c>
      <c r="E1178" s="11" t="s">
        <v>28</v>
      </c>
      <c r="F1178" s="10" t="s">
        <v>28</v>
      </c>
      <c r="G1178" s="10" t="s">
        <v>28</v>
      </c>
      <c r="H1178" s="10" t="s">
        <v>28</v>
      </c>
      <c r="I1178" s="11" t="s">
        <v>28</v>
      </c>
      <c r="J1178" s="11" t="s">
        <v>28</v>
      </c>
      <c r="K1178" s="11" t="s">
        <v>28</v>
      </c>
      <c r="L1178" s="11" t="s">
        <v>28</v>
      </c>
      <c r="M1178" s="11" t="s">
        <v>28</v>
      </c>
      <c r="N1178" s="8">
        <v>45261</v>
      </c>
      <c r="O1178" s="9" t="s">
        <v>52</v>
      </c>
      <c r="P1178" s="12" t="s">
        <v>4272</v>
      </c>
      <c r="Q1178" s="9" t="s">
        <v>75</v>
      </c>
      <c r="R1178" s="14" t="str">
        <f>HYPERLINK("https://my.pitchbook.com?c=300993-22T","View Company Online")</f>
        <v>View Company Online</v>
      </c>
    </row>
    <row r="1179" spans="1:18" hidden="1" x14ac:dyDescent="0.3">
      <c r="A1179" s="15" t="s">
        <v>4273</v>
      </c>
      <c r="B1179" s="15" t="s">
        <v>4274</v>
      </c>
      <c r="C1179" s="18" t="s">
        <v>28</v>
      </c>
      <c r="D1179" s="15" t="s">
        <v>4275</v>
      </c>
      <c r="E1179" s="18" t="s">
        <v>28</v>
      </c>
      <c r="F1179" s="19" t="s">
        <v>28</v>
      </c>
      <c r="G1179" s="19" t="s">
        <v>28</v>
      </c>
      <c r="H1179" s="19" t="s">
        <v>28</v>
      </c>
      <c r="I1179" s="18" t="s">
        <v>28</v>
      </c>
      <c r="J1179" s="18" t="s">
        <v>28</v>
      </c>
      <c r="K1179" s="18" t="s">
        <v>28</v>
      </c>
      <c r="L1179" s="18" t="s">
        <v>28</v>
      </c>
      <c r="M1179" s="18" t="s">
        <v>28</v>
      </c>
      <c r="N1179" s="17">
        <v>45261</v>
      </c>
      <c r="O1179" s="15" t="s">
        <v>30</v>
      </c>
      <c r="P1179" s="16" t="s">
        <v>4276</v>
      </c>
      <c r="Q1179" s="15" t="s">
        <v>226</v>
      </c>
      <c r="R1179" s="13" t="str">
        <f>HYPERLINK("https://my.pitchbook.com?c=246788-38T","View Company Online")</f>
        <v>View Company Online</v>
      </c>
    </row>
    <row r="1180" spans="1:18" hidden="1" x14ac:dyDescent="0.3">
      <c r="A1180" s="9" t="s">
        <v>4277</v>
      </c>
      <c r="B1180" s="9" t="s">
        <v>4278</v>
      </c>
      <c r="C1180" s="11" t="s">
        <v>28</v>
      </c>
      <c r="D1180" s="9" t="s">
        <v>4279</v>
      </c>
      <c r="E1180" s="11" t="s">
        <v>28</v>
      </c>
      <c r="F1180" s="10" t="s">
        <v>28</v>
      </c>
      <c r="G1180" s="10" t="s">
        <v>28</v>
      </c>
      <c r="H1180" s="10" t="s">
        <v>28</v>
      </c>
      <c r="I1180" s="11" t="s">
        <v>28</v>
      </c>
      <c r="J1180" s="11" t="s">
        <v>28</v>
      </c>
      <c r="K1180" s="11" t="s">
        <v>28</v>
      </c>
      <c r="L1180" s="11" t="s">
        <v>28</v>
      </c>
      <c r="M1180" s="11" t="s">
        <v>28</v>
      </c>
      <c r="N1180" s="8">
        <v>45261</v>
      </c>
      <c r="O1180" s="9" t="s">
        <v>93</v>
      </c>
      <c r="P1180" s="12" t="s">
        <v>4280</v>
      </c>
      <c r="Q1180" s="9" t="s">
        <v>213</v>
      </c>
      <c r="R1180" s="14" t="str">
        <f>HYPERLINK("https://my.pitchbook.com?c=253149-85T","View Company Online")</f>
        <v>View Company Online</v>
      </c>
    </row>
    <row r="1181" spans="1:18" hidden="1" x14ac:dyDescent="0.3">
      <c r="A1181" s="15" t="s">
        <v>4281</v>
      </c>
      <c r="B1181" s="15" t="s">
        <v>4282</v>
      </c>
      <c r="C1181" s="18" t="s">
        <v>28</v>
      </c>
      <c r="D1181" s="15" t="s">
        <v>4283</v>
      </c>
      <c r="E1181" s="18" t="s">
        <v>28</v>
      </c>
      <c r="F1181" s="19" t="s">
        <v>28</v>
      </c>
      <c r="G1181" s="19" t="s">
        <v>28</v>
      </c>
      <c r="H1181" s="19" t="s">
        <v>28</v>
      </c>
      <c r="I1181" s="18" t="s">
        <v>28</v>
      </c>
      <c r="J1181" s="18" t="s">
        <v>28</v>
      </c>
      <c r="K1181" s="18" t="s">
        <v>28</v>
      </c>
      <c r="L1181" s="18" t="s">
        <v>28</v>
      </c>
      <c r="M1181" s="18" t="s">
        <v>28</v>
      </c>
      <c r="N1181" s="17">
        <v>45261</v>
      </c>
      <c r="O1181" s="15" t="s">
        <v>73</v>
      </c>
      <c r="P1181" s="16" t="s">
        <v>4284</v>
      </c>
      <c r="Q1181" s="15" t="s">
        <v>75</v>
      </c>
      <c r="R1181" s="13" t="str">
        <f>HYPERLINK("https://my.pitchbook.com?c=247047-76T","View Company Online")</f>
        <v>View Company Online</v>
      </c>
    </row>
    <row r="1182" spans="1:18" hidden="1" x14ac:dyDescent="0.3">
      <c r="A1182" s="9" t="s">
        <v>4285</v>
      </c>
      <c r="B1182" s="9" t="s">
        <v>1347</v>
      </c>
      <c r="C1182" s="11" t="s">
        <v>28</v>
      </c>
      <c r="D1182" s="9" t="s">
        <v>1348</v>
      </c>
      <c r="E1182" s="11" t="s">
        <v>28</v>
      </c>
      <c r="F1182" s="10" t="s">
        <v>28</v>
      </c>
      <c r="G1182" s="10" t="s">
        <v>28</v>
      </c>
      <c r="H1182" s="10" t="s">
        <v>28</v>
      </c>
      <c r="I1182" s="11" t="s">
        <v>28</v>
      </c>
      <c r="J1182" s="11" t="s">
        <v>28</v>
      </c>
      <c r="K1182" s="11" t="s">
        <v>28</v>
      </c>
      <c r="L1182" s="11" t="s">
        <v>28</v>
      </c>
      <c r="M1182" s="11" t="s">
        <v>28</v>
      </c>
      <c r="N1182" s="8">
        <v>45261</v>
      </c>
      <c r="O1182" s="9" t="s">
        <v>379</v>
      </c>
      <c r="P1182" s="12" t="s">
        <v>4286</v>
      </c>
      <c r="Q1182" s="9" t="s">
        <v>583</v>
      </c>
      <c r="R1182" s="14" t="str">
        <f>HYPERLINK("https://my.pitchbook.com?c=248355-19T","View Company Online")</f>
        <v>View Company Online</v>
      </c>
    </row>
    <row r="1183" spans="1:18" hidden="1" x14ac:dyDescent="0.3">
      <c r="A1183" s="15" t="s">
        <v>4287</v>
      </c>
      <c r="B1183" s="15" t="s">
        <v>4288</v>
      </c>
      <c r="C1183" s="18" t="s">
        <v>28</v>
      </c>
      <c r="D1183" s="15" t="s">
        <v>4289</v>
      </c>
      <c r="E1183" s="18" t="s">
        <v>28</v>
      </c>
      <c r="F1183" s="19" t="s">
        <v>28</v>
      </c>
      <c r="G1183" s="19" t="s">
        <v>28</v>
      </c>
      <c r="H1183" s="19" t="s">
        <v>28</v>
      </c>
      <c r="I1183" s="18" t="s">
        <v>28</v>
      </c>
      <c r="J1183" s="18" t="s">
        <v>28</v>
      </c>
      <c r="K1183" s="18" t="s">
        <v>28</v>
      </c>
      <c r="L1183" s="18" t="s">
        <v>28</v>
      </c>
      <c r="M1183" s="18" t="s">
        <v>28</v>
      </c>
      <c r="N1183" s="17">
        <v>45261</v>
      </c>
      <c r="O1183" s="15" t="s">
        <v>52</v>
      </c>
      <c r="P1183" s="16" t="s">
        <v>1970</v>
      </c>
      <c r="Q1183" s="15" t="s">
        <v>245</v>
      </c>
      <c r="R1183" s="13" t="str">
        <f>HYPERLINK("https://my.pitchbook.com?c=295348-42T","View Company Online")</f>
        <v>View Company Online</v>
      </c>
    </row>
    <row r="1184" spans="1:18" hidden="1" x14ac:dyDescent="0.3">
      <c r="A1184" s="9" t="s">
        <v>4290</v>
      </c>
      <c r="B1184" s="9" t="s">
        <v>4291</v>
      </c>
      <c r="C1184" s="11" t="s">
        <v>28</v>
      </c>
      <c r="D1184" s="9" t="s">
        <v>4292</v>
      </c>
      <c r="E1184" s="11" t="s">
        <v>28</v>
      </c>
      <c r="F1184" s="10" t="s">
        <v>28</v>
      </c>
      <c r="G1184" s="10" t="s">
        <v>28</v>
      </c>
      <c r="H1184" s="10" t="s">
        <v>28</v>
      </c>
      <c r="I1184" s="11" t="s">
        <v>28</v>
      </c>
      <c r="J1184" s="11" t="s">
        <v>28</v>
      </c>
      <c r="K1184" s="11" t="s">
        <v>28</v>
      </c>
      <c r="L1184" s="11" t="s">
        <v>28</v>
      </c>
      <c r="M1184" s="11" t="s">
        <v>28</v>
      </c>
      <c r="N1184" s="8">
        <v>45261</v>
      </c>
      <c r="O1184" s="9" t="s">
        <v>79</v>
      </c>
      <c r="P1184" s="12" t="s">
        <v>4293</v>
      </c>
      <c r="Q1184" s="9" t="s">
        <v>3048</v>
      </c>
      <c r="R1184" s="14" t="str">
        <f>HYPERLINK("https://my.pitchbook.com?c=247852-90T","View Company Online")</f>
        <v>View Company Online</v>
      </c>
    </row>
    <row r="1185" spans="1:18" hidden="1" x14ac:dyDescent="0.3">
      <c r="A1185" s="15" t="s">
        <v>4294</v>
      </c>
      <c r="B1185" s="15" t="s">
        <v>4295</v>
      </c>
      <c r="C1185" s="18" t="s">
        <v>28</v>
      </c>
      <c r="D1185" s="15" t="s">
        <v>4296</v>
      </c>
      <c r="E1185" s="18" t="s">
        <v>28</v>
      </c>
      <c r="F1185" s="19" t="s">
        <v>28</v>
      </c>
      <c r="G1185" s="19" t="s">
        <v>28</v>
      </c>
      <c r="H1185" s="19" t="s">
        <v>28</v>
      </c>
      <c r="I1185" s="18" t="s">
        <v>28</v>
      </c>
      <c r="J1185" s="18" t="s">
        <v>28</v>
      </c>
      <c r="K1185" s="18" t="s">
        <v>28</v>
      </c>
      <c r="L1185" s="18" t="s">
        <v>28</v>
      </c>
      <c r="M1185" s="18" t="s">
        <v>28</v>
      </c>
      <c r="N1185" s="17">
        <v>45261</v>
      </c>
      <c r="O1185" s="15" t="s">
        <v>52</v>
      </c>
      <c r="P1185" s="16" t="s">
        <v>4297</v>
      </c>
      <c r="Q1185" s="15" t="s">
        <v>1035</v>
      </c>
      <c r="R1185" s="13" t="str">
        <f>HYPERLINK("https://my.pitchbook.com?c=284467-24T","View Company Online")</f>
        <v>View Company Online</v>
      </c>
    </row>
    <row r="1186" spans="1:18" hidden="1" x14ac:dyDescent="0.3">
      <c r="A1186" s="9" t="s">
        <v>4298</v>
      </c>
      <c r="B1186" s="9" t="s">
        <v>4299</v>
      </c>
      <c r="C1186" s="11" t="s">
        <v>28</v>
      </c>
      <c r="D1186" s="9" t="s">
        <v>4300</v>
      </c>
      <c r="E1186" s="11" t="s">
        <v>28</v>
      </c>
      <c r="F1186" s="10" t="s">
        <v>28</v>
      </c>
      <c r="G1186" s="10" t="s">
        <v>28</v>
      </c>
      <c r="H1186" s="10" t="s">
        <v>28</v>
      </c>
      <c r="I1186" s="11" t="s">
        <v>28</v>
      </c>
      <c r="J1186" s="11" t="s">
        <v>28</v>
      </c>
      <c r="K1186" s="11" t="s">
        <v>28</v>
      </c>
      <c r="L1186" s="11" t="s">
        <v>28</v>
      </c>
      <c r="M1186" s="11" t="s">
        <v>28</v>
      </c>
      <c r="N1186" s="8">
        <v>45261</v>
      </c>
      <c r="O1186" s="9" t="s">
        <v>73</v>
      </c>
      <c r="P1186" s="12" t="s">
        <v>4301</v>
      </c>
      <c r="Q1186" s="9" t="s">
        <v>419</v>
      </c>
      <c r="R1186" s="14" t="str">
        <f>HYPERLINK("https://my.pitchbook.com?c=285894-37T","View Company Online")</f>
        <v>View Company Online</v>
      </c>
    </row>
    <row r="1187" spans="1:18" hidden="1" x14ac:dyDescent="0.3">
      <c r="A1187" s="15" t="s">
        <v>4302</v>
      </c>
      <c r="B1187" s="15" t="s">
        <v>4303</v>
      </c>
      <c r="C1187" s="18" t="s">
        <v>28</v>
      </c>
      <c r="D1187" s="15" t="s">
        <v>4304</v>
      </c>
      <c r="E1187" s="18" t="s">
        <v>28</v>
      </c>
      <c r="F1187" s="19" t="s">
        <v>28</v>
      </c>
      <c r="G1187" s="19" t="s">
        <v>28</v>
      </c>
      <c r="H1187" s="19" t="s">
        <v>28</v>
      </c>
      <c r="I1187" s="18" t="s">
        <v>28</v>
      </c>
      <c r="J1187" s="18" t="s">
        <v>28</v>
      </c>
      <c r="K1187" s="18" t="s">
        <v>28</v>
      </c>
      <c r="L1187" s="18" t="s">
        <v>28</v>
      </c>
      <c r="M1187" s="18" t="s">
        <v>28</v>
      </c>
      <c r="N1187" s="17">
        <v>45261</v>
      </c>
      <c r="O1187" s="15" t="s">
        <v>79</v>
      </c>
      <c r="P1187" s="16" t="s">
        <v>4305</v>
      </c>
      <c r="Q1187" s="15" t="s">
        <v>95</v>
      </c>
      <c r="R1187" s="13" t="str">
        <f>HYPERLINK("https://my.pitchbook.com?c=276758-38T","View Company Online")</f>
        <v>View Company Online</v>
      </c>
    </row>
    <row r="1188" spans="1:18" hidden="1" x14ac:dyDescent="0.3">
      <c r="A1188" s="9" t="s">
        <v>4306</v>
      </c>
      <c r="B1188" s="9" t="s">
        <v>4307</v>
      </c>
      <c r="C1188" s="11" t="s">
        <v>28</v>
      </c>
      <c r="D1188" s="9" t="s">
        <v>4308</v>
      </c>
      <c r="E1188" s="11" t="s">
        <v>28</v>
      </c>
      <c r="F1188" s="10" t="s">
        <v>28</v>
      </c>
      <c r="G1188" s="10" t="s">
        <v>28</v>
      </c>
      <c r="H1188" s="10" t="s">
        <v>28</v>
      </c>
      <c r="I1188" s="11" t="s">
        <v>28</v>
      </c>
      <c r="J1188" s="11" t="s">
        <v>28</v>
      </c>
      <c r="K1188" s="11" t="s">
        <v>28</v>
      </c>
      <c r="L1188" s="11" t="s">
        <v>28</v>
      </c>
      <c r="M1188" s="11" t="s">
        <v>28</v>
      </c>
      <c r="N1188" s="8">
        <v>45261</v>
      </c>
      <c r="O1188" s="9" t="s">
        <v>73</v>
      </c>
      <c r="P1188" s="12" t="s">
        <v>4309</v>
      </c>
      <c r="Q1188" s="9" t="s">
        <v>1035</v>
      </c>
      <c r="R1188" s="14" t="str">
        <f>HYPERLINK("https://my.pitchbook.com?c=213979-51T","View Company Online")</f>
        <v>View Company Online</v>
      </c>
    </row>
    <row r="1189" spans="1:18" hidden="1" x14ac:dyDescent="0.3">
      <c r="A1189" s="15" t="s">
        <v>4310</v>
      </c>
      <c r="B1189" s="15" t="s">
        <v>3104</v>
      </c>
      <c r="C1189" s="18" t="s">
        <v>28</v>
      </c>
      <c r="D1189" s="15" t="s">
        <v>3105</v>
      </c>
      <c r="E1189" s="18" t="s">
        <v>28</v>
      </c>
      <c r="F1189" s="19" t="s">
        <v>28</v>
      </c>
      <c r="G1189" s="19" t="s">
        <v>28</v>
      </c>
      <c r="H1189" s="19" t="s">
        <v>28</v>
      </c>
      <c r="I1189" s="18" t="s">
        <v>28</v>
      </c>
      <c r="J1189" s="18" t="s">
        <v>28</v>
      </c>
      <c r="K1189" s="18" t="s">
        <v>28</v>
      </c>
      <c r="L1189" s="18" t="s">
        <v>28</v>
      </c>
      <c r="M1189" s="18" t="s">
        <v>28</v>
      </c>
      <c r="N1189" s="17">
        <v>45261</v>
      </c>
      <c r="O1189" s="15" t="s">
        <v>52</v>
      </c>
      <c r="P1189" s="16" t="s">
        <v>1880</v>
      </c>
      <c r="Q1189" s="15" t="s">
        <v>114</v>
      </c>
      <c r="R1189" s="13" t="str">
        <f>HYPERLINK("https://my.pitchbook.com?c=254341-99T","View Company Online")</f>
        <v>View Company Online</v>
      </c>
    </row>
    <row r="1190" spans="1:18" hidden="1" x14ac:dyDescent="0.3">
      <c r="A1190" s="9" t="s">
        <v>4311</v>
      </c>
      <c r="B1190" s="9" t="s">
        <v>4312</v>
      </c>
      <c r="C1190" s="11" t="s">
        <v>28</v>
      </c>
      <c r="D1190" s="9" t="s">
        <v>4313</v>
      </c>
      <c r="E1190" s="11" t="s">
        <v>28</v>
      </c>
      <c r="F1190" s="10" t="s">
        <v>28</v>
      </c>
      <c r="G1190" s="10" t="s">
        <v>28</v>
      </c>
      <c r="H1190" s="10" t="s">
        <v>28</v>
      </c>
      <c r="I1190" s="11" t="s">
        <v>28</v>
      </c>
      <c r="J1190" s="11" t="s">
        <v>28</v>
      </c>
      <c r="K1190" s="11" t="s">
        <v>28</v>
      </c>
      <c r="L1190" s="11" t="s">
        <v>28</v>
      </c>
      <c r="M1190" s="11" t="s">
        <v>28</v>
      </c>
      <c r="N1190" s="8">
        <v>45260</v>
      </c>
      <c r="O1190" s="9" t="s">
        <v>30</v>
      </c>
      <c r="P1190" s="12" t="s">
        <v>4314</v>
      </c>
      <c r="Q1190" s="9" t="s">
        <v>235</v>
      </c>
      <c r="R1190" s="14" t="str">
        <f>HYPERLINK("https://my.pitchbook.com?c=247031-83T","View Company Online")</f>
        <v>View Company Online</v>
      </c>
    </row>
    <row r="1191" spans="1:18" hidden="1" x14ac:dyDescent="0.3">
      <c r="A1191" s="15" t="s">
        <v>4315</v>
      </c>
      <c r="B1191" s="15" t="s">
        <v>4316</v>
      </c>
      <c r="C1191" s="18" t="s">
        <v>28</v>
      </c>
      <c r="D1191" s="15" t="s">
        <v>4317</v>
      </c>
      <c r="E1191" s="18" t="s">
        <v>28</v>
      </c>
      <c r="F1191" s="19" t="s">
        <v>28</v>
      </c>
      <c r="G1191" s="19" t="s">
        <v>28</v>
      </c>
      <c r="H1191" s="19" t="s">
        <v>28</v>
      </c>
      <c r="I1191" s="18" t="s">
        <v>28</v>
      </c>
      <c r="J1191" s="18" t="s">
        <v>28</v>
      </c>
      <c r="K1191" s="18" t="s">
        <v>28</v>
      </c>
      <c r="L1191" s="18" t="s">
        <v>28</v>
      </c>
      <c r="M1191" s="18" t="s">
        <v>28</v>
      </c>
      <c r="N1191" s="17">
        <v>45260</v>
      </c>
      <c r="O1191" s="15" t="s">
        <v>52</v>
      </c>
      <c r="P1191" s="16" t="s">
        <v>1880</v>
      </c>
      <c r="Q1191" s="15" t="s">
        <v>37</v>
      </c>
      <c r="R1191" s="13" t="str">
        <f>HYPERLINK("https://my.pitchbook.com?c=266663-98T","View Company Online")</f>
        <v>View Company Online</v>
      </c>
    </row>
    <row r="1192" spans="1:18" hidden="1" x14ac:dyDescent="0.3">
      <c r="A1192" s="9" t="s">
        <v>4318</v>
      </c>
      <c r="B1192" s="9" t="s">
        <v>4319</v>
      </c>
      <c r="C1192" s="11" t="s">
        <v>28</v>
      </c>
      <c r="D1192" s="9" t="s">
        <v>4320</v>
      </c>
      <c r="E1192" s="11" t="s">
        <v>28</v>
      </c>
      <c r="F1192" s="10" t="s">
        <v>28</v>
      </c>
      <c r="G1192" s="10" t="s">
        <v>28</v>
      </c>
      <c r="H1192" s="10" t="s">
        <v>28</v>
      </c>
      <c r="I1192" s="11" t="s">
        <v>28</v>
      </c>
      <c r="J1192" s="11" t="s">
        <v>28</v>
      </c>
      <c r="K1192" s="11" t="s">
        <v>28</v>
      </c>
      <c r="L1192" s="11" t="s">
        <v>28</v>
      </c>
      <c r="M1192" s="11" t="s">
        <v>28</v>
      </c>
      <c r="N1192" s="8">
        <v>45260</v>
      </c>
      <c r="O1192" s="9" t="s">
        <v>173</v>
      </c>
      <c r="P1192" s="12" t="s">
        <v>28</v>
      </c>
      <c r="Q1192" s="9" t="s">
        <v>174</v>
      </c>
      <c r="R1192" s="14" t="str">
        <f>HYPERLINK("https://my.pitchbook.com?c=247034-26T","View Company Online")</f>
        <v>View Company Online</v>
      </c>
    </row>
    <row r="1193" spans="1:18" hidden="1" x14ac:dyDescent="0.3">
      <c r="A1193" s="15" t="s">
        <v>4321</v>
      </c>
      <c r="B1193" s="15" t="s">
        <v>3099</v>
      </c>
      <c r="C1193" s="18" t="s">
        <v>28</v>
      </c>
      <c r="D1193" s="15" t="s">
        <v>3100</v>
      </c>
      <c r="E1193" s="18" t="s">
        <v>28</v>
      </c>
      <c r="F1193" s="19" t="s">
        <v>28</v>
      </c>
      <c r="G1193" s="19" t="s">
        <v>28</v>
      </c>
      <c r="H1193" s="19" t="s">
        <v>28</v>
      </c>
      <c r="I1193" s="18" t="s">
        <v>28</v>
      </c>
      <c r="J1193" s="18" t="s">
        <v>28</v>
      </c>
      <c r="K1193" s="18" t="s">
        <v>28</v>
      </c>
      <c r="L1193" s="18" t="s">
        <v>28</v>
      </c>
      <c r="M1193" s="18" t="s">
        <v>28</v>
      </c>
      <c r="N1193" s="17">
        <v>45260</v>
      </c>
      <c r="O1193" s="15" t="s">
        <v>52</v>
      </c>
      <c r="P1193" s="16" t="s">
        <v>2498</v>
      </c>
      <c r="Q1193" s="15" t="s">
        <v>75</v>
      </c>
      <c r="R1193" s="13" t="str">
        <f>HYPERLINK("https://my.pitchbook.com?c=297531-55T","View Company Online")</f>
        <v>View Company Online</v>
      </c>
    </row>
    <row r="1194" spans="1:18" hidden="1" x14ac:dyDescent="0.3">
      <c r="A1194" s="9" t="s">
        <v>4322</v>
      </c>
      <c r="B1194" s="9" t="s">
        <v>4323</v>
      </c>
      <c r="C1194" s="11" t="s">
        <v>28</v>
      </c>
      <c r="D1194" s="9" t="s">
        <v>4324</v>
      </c>
      <c r="E1194" s="11" t="s">
        <v>28</v>
      </c>
      <c r="F1194" s="10">
        <v>207.41</v>
      </c>
      <c r="G1194" s="10">
        <v>168</v>
      </c>
      <c r="H1194" s="10">
        <v>207.41</v>
      </c>
      <c r="I1194" s="11" t="s">
        <v>28</v>
      </c>
      <c r="J1194" s="11" t="s">
        <v>28</v>
      </c>
      <c r="K1194" s="11" t="s">
        <v>28</v>
      </c>
      <c r="L1194" s="11" t="s">
        <v>28</v>
      </c>
      <c r="M1194" s="11" t="s">
        <v>28</v>
      </c>
      <c r="N1194" s="8">
        <v>45260</v>
      </c>
      <c r="O1194" s="9" t="s">
        <v>30</v>
      </c>
      <c r="P1194" s="12" t="s">
        <v>4325</v>
      </c>
      <c r="Q1194" s="9" t="s">
        <v>4326</v>
      </c>
      <c r="R1194" s="14" t="str">
        <f>HYPERLINK("https://my.pitchbook.com?c=226080-55T","View Company Online")</f>
        <v>View Company Online</v>
      </c>
    </row>
    <row r="1195" spans="1:18" hidden="1" x14ac:dyDescent="0.3">
      <c r="A1195" s="15" t="s">
        <v>4327</v>
      </c>
      <c r="B1195" s="15" t="s">
        <v>4328</v>
      </c>
      <c r="C1195" s="18" t="s">
        <v>28</v>
      </c>
      <c r="D1195" s="15" t="s">
        <v>4329</v>
      </c>
      <c r="E1195" s="18" t="s">
        <v>28</v>
      </c>
      <c r="F1195" s="19" t="s">
        <v>28</v>
      </c>
      <c r="G1195" s="19" t="s">
        <v>28</v>
      </c>
      <c r="H1195" s="19" t="s">
        <v>28</v>
      </c>
      <c r="I1195" s="18" t="s">
        <v>28</v>
      </c>
      <c r="J1195" s="18" t="s">
        <v>28</v>
      </c>
      <c r="K1195" s="18" t="s">
        <v>28</v>
      </c>
      <c r="L1195" s="18" t="s">
        <v>28</v>
      </c>
      <c r="M1195" s="18" t="s">
        <v>28</v>
      </c>
      <c r="N1195" s="17">
        <v>45260</v>
      </c>
      <c r="O1195" s="15" t="s">
        <v>173</v>
      </c>
      <c r="P1195" s="16" t="s">
        <v>28</v>
      </c>
      <c r="Q1195" s="15" t="s">
        <v>174</v>
      </c>
      <c r="R1195" s="13" t="str">
        <f>HYPERLINK("https://my.pitchbook.com?c=247166-65T","View Company Online")</f>
        <v>View Company Online</v>
      </c>
    </row>
    <row r="1196" spans="1:18" hidden="1" x14ac:dyDescent="0.3">
      <c r="A1196" s="9" t="s">
        <v>4330</v>
      </c>
      <c r="B1196" s="9" t="s">
        <v>4331</v>
      </c>
      <c r="C1196" s="11" t="s">
        <v>28</v>
      </c>
      <c r="D1196" s="9" t="s">
        <v>4332</v>
      </c>
      <c r="E1196" s="11" t="s">
        <v>28</v>
      </c>
      <c r="F1196" s="10" t="s">
        <v>28</v>
      </c>
      <c r="G1196" s="10" t="s">
        <v>28</v>
      </c>
      <c r="H1196" s="10" t="s">
        <v>28</v>
      </c>
      <c r="I1196" s="11" t="s">
        <v>28</v>
      </c>
      <c r="J1196" s="11" t="s">
        <v>28</v>
      </c>
      <c r="K1196" s="11" t="s">
        <v>28</v>
      </c>
      <c r="L1196" s="11" t="s">
        <v>28</v>
      </c>
      <c r="M1196" s="11" t="s">
        <v>28</v>
      </c>
      <c r="N1196" s="8">
        <v>45259</v>
      </c>
      <c r="O1196" s="9" t="s">
        <v>30</v>
      </c>
      <c r="P1196" s="12" t="s">
        <v>4333</v>
      </c>
      <c r="Q1196" s="9" t="s">
        <v>75</v>
      </c>
      <c r="R1196" s="14" t="str">
        <f>HYPERLINK("https://my.pitchbook.com?c=272126-53T","View Company Online")</f>
        <v>View Company Online</v>
      </c>
    </row>
    <row r="1197" spans="1:18" hidden="1" x14ac:dyDescent="0.3">
      <c r="A1197" s="15" t="s">
        <v>4334</v>
      </c>
      <c r="B1197" s="15" t="s">
        <v>1622</v>
      </c>
      <c r="C1197" s="18" t="s">
        <v>28</v>
      </c>
      <c r="D1197" s="15" t="s">
        <v>1623</v>
      </c>
      <c r="E1197" s="18" t="s">
        <v>28</v>
      </c>
      <c r="F1197" s="19" t="s">
        <v>28</v>
      </c>
      <c r="G1197" s="19" t="s">
        <v>28</v>
      </c>
      <c r="H1197" s="19" t="s">
        <v>28</v>
      </c>
      <c r="I1197" s="18" t="s">
        <v>28</v>
      </c>
      <c r="J1197" s="18" t="s">
        <v>28</v>
      </c>
      <c r="K1197" s="18" t="s">
        <v>28</v>
      </c>
      <c r="L1197" s="18" t="s">
        <v>28</v>
      </c>
      <c r="M1197" s="18" t="s">
        <v>28</v>
      </c>
      <c r="N1197" s="17">
        <v>45259</v>
      </c>
      <c r="O1197" s="15" t="s">
        <v>52</v>
      </c>
      <c r="P1197" s="16" t="s">
        <v>1880</v>
      </c>
      <c r="Q1197" s="15" t="s">
        <v>75</v>
      </c>
      <c r="R1197" s="13" t="str">
        <f>HYPERLINK("https://my.pitchbook.com?c=252005-32T","View Company Online")</f>
        <v>View Company Online</v>
      </c>
    </row>
    <row r="1198" spans="1:18" hidden="1" x14ac:dyDescent="0.3">
      <c r="A1198" s="9" t="s">
        <v>4335</v>
      </c>
      <c r="B1198" s="9" t="s">
        <v>4336</v>
      </c>
      <c r="C1198" s="11" t="s">
        <v>28</v>
      </c>
      <c r="D1198" s="9" t="s">
        <v>4337</v>
      </c>
      <c r="E1198" s="11" t="s">
        <v>28</v>
      </c>
      <c r="F1198" s="10" t="s">
        <v>28</v>
      </c>
      <c r="G1198" s="10" t="s">
        <v>28</v>
      </c>
      <c r="H1198" s="10" t="s">
        <v>28</v>
      </c>
      <c r="I1198" s="11" t="s">
        <v>28</v>
      </c>
      <c r="J1198" s="11" t="s">
        <v>28</v>
      </c>
      <c r="K1198" s="11" t="s">
        <v>28</v>
      </c>
      <c r="L1198" s="11" t="s">
        <v>28</v>
      </c>
      <c r="M1198" s="11" t="s">
        <v>28</v>
      </c>
      <c r="N1198" s="8">
        <v>45259</v>
      </c>
      <c r="O1198" s="9" t="s">
        <v>52</v>
      </c>
      <c r="P1198" s="12" t="s">
        <v>4338</v>
      </c>
      <c r="Q1198" s="9" t="s">
        <v>37</v>
      </c>
      <c r="R1198" s="14" t="str">
        <f>HYPERLINK("https://my.pitchbook.com?c=295511-23T","View Company Online")</f>
        <v>View Company Online</v>
      </c>
    </row>
    <row r="1199" spans="1:18" hidden="1" x14ac:dyDescent="0.3">
      <c r="A1199" s="15" t="s">
        <v>4339</v>
      </c>
      <c r="B1199" s="15" t="s">
        <v>4340</v>
      </c>
      <c r="C1199" s="18" t="s">
        <v>28</v>
      </c>
      <c r="D1199" s="15" t="s">
        <v>4341</v>
      </c>
      <c r="E1199" s="18" t="s">
        <v>28</v>
      </c>
      <c r="F1199" s="19" t="s">
        <v>28</v>
      </c>
      <c r="G1199" s="19" t="s">
        <v>28</v>
      </c>
      <c r="H1199" s="19" t="s">
        <v>28</v>
      </c>
      <c r="I1199" s="18" t="s">
        <v>28</v>
      </c>
      <c r="J1199" s="18" t="s">
        <v>28</v>
      </c>
      <c r="K1199" s="18" t="s">
        <v>28</v>
      </c>
      <c r="L1199" s="18" t="s">
        <v>28</v>
      </c>
      <c r="M1199" s="18" t="s">
        <v>28</v>
      </c>
      <c r="N1199" s="17">
        <v>45259</v>
      </c>
      <c r="O1199" s="15" t="s">
        <v>52</v>
      </c>
      <c r="P1199" s="16" t="s">
        <v>2498</v>
      </c>
      <c r="Q1199" s="15" t="s">
        <v>75</v>
      </c>
      <c r="R1199" s="13" t="str">
        <f>HYPERLINK("https://my.pitchbook.com?c=297539-74T","View Company Online")</f>
        <v>View Company Online</v>
      </c>
    </row>
    <row r="1200" spans="1:18" hidden="1" x14ac:dyDescent="0.3">
      <c r="A1200" s="9" t="s">
        <v>4342</v>
      </c>
      <c r="B1200" s="9" t="s">
        <v>4343</v>
      </c>
      <c r="C1200" s="11" t="s">
        <v>28</v>
      </c>
      <c r="D1200" s="9" t="s">
        <v>4344</v>
      </c>
      <c r="E1200" s="11" t="s">
        <v>28</v>
      </c>
      <c r="F1200" s="10" t="s">
        <v>28</v>
      </c>
      <c r="G1200" s="10" t="s">
        <v>28</v>
      </c>
      <c r="H1200" s="10" t="s">
        <v>28</v>
      </c>
      <c r="I1200" s="11" t="s">
        <v>28</v>
      </c>
      <c r="J1200" s="11" t="s">
        <v>28</v>
      </c>
      <c r="K1200" s="11" t="s">
        <v>28</v>
      </c>
      <c r="L1200" s="11" t="s">
        <v>28</v>
      </c>
      <c r="M1200" s="11" t="s">
        <v>28</v>
      </c>
      <c r="N1200" s="8">
        <v>45259</v>
      </c>
      <c r="O1200" s="9" t="s">
        <v>52</v>
      </c>
      <c r="P1200" s="12" t="s">
        <v>2498</v>
      </c>
      <c r="Q1200" s="9" t="s">
        <v>2043</v>
      </c>
      <c r="R1200" s="14" t="str">
        <f>HYPERLINK("https://my.pitchbook.com?c=291216-70T","View Company Online")</f>
        <v>View Company Online</v>
      </c>
    </row>
    <row r="1201" spans="1:18" hidden="1" x14ac:dyDescent="0.3">
      <c r="A1201" s="15" t="s">
        <v>4345</v>
      </c>
      <c r="B1201" s="15" t="s">
        <v>4346</v>
      </c>
      <c r="C1201" s="18" t="s">
        <v>28</v>
      </c>
      <c r="D1201" s="15" t="s">
        <v>4347</v>
      </c>
      <c r="E1201" s="18" t="s">
        <v>28</v>
      </c>
      <c r="F1201" s="19" t="s">
        <v>28</v>
      </c>
      <c r="G1201" s="19">
        <v>0.09</v>
      </c>
      <c r="H1201" s="19">
        <v>2.04</v>
      </c>
      <c r="I1201" s="18" t="s">
        <v>28</v>
      </c>
      <c r="J1201" s="18" t="s">
        <v>28</v>
      </c>
      <c r="K1201" s="18" t="s">
        <v>28</v>
      </c>
      <c r="L1201" s="18" t="s">
        <v>28</v>
      </c>
      <c r="M1201" s="18" t="s">
        <v>28</v>
      </c>
      <c r="N1201" s="17">
        <v>45259</v>
      </c>
      <c r="O1201" s="15" t="s">
        <v>1639</v>
      </c>
      <c r="P1201" s="16" t="s">
        <v>28</v>
      </c>
      <c r="Q1201" s="15" t="s">
        <v>75</v>
      </c>
      <c r="R1201" s="13" t="str">
        <f>HYPERLINK("https://my.pitchbook.com?c=228041-83T","View Company Online")</f>
        <v>View Company Online</v>
      </c>
    </row>
    <row r="1202" spans="1:18" hidden="1" x14ac:dyDescent="0.3">
      <c r="A1202" s="9" t="s">
        <v>4348</v>
      </c>
      <c r="B1202" s="9" t="s">
        <v>4349</v>
      </c>
      <c r="C1202" s="11" t="s">
        <v>28</v>
      </c>
      <c r="D1202" s="9" t="s">
        <v>4350</v>
      </c>
      <c r="E1202" s="11" t="s">
        <v>28</v>
      </c>
      <c r="F1202" s="10" t="s">
        <v>28</v>
      </c>
      <c r="G1202" s="10" t="s">
        <v>28</v>
      </c>
      <c r="H1202" s="10" t="s">
        <v>28</v>
      </c>
      <c r="I1202" s="11" t="s">
        <v>28</v>
      </c>
      <c r="J1202" s="11" t="s">
        <v>28</v>
      </c>
      <c r="K1202" s="11" t="s">
        <v>28</v>
      </c>
      <c r="L1202" s="11" t="s">
        <v>28</v>
      </c>
      <c r="M1202" s="11" t="s">
        <v>28</v>
      </c>
      <c r="N1202" s="8">
        <v>45258</v>
      </c>
      <c r="O1202" s="9" t="s">
        <v>52</v>
      </c>
      <c r="P1202" s="12" t="s">
        <v>3893</v>
      </c>
      <c r="Q1202" s="9" t="s">
        <v>75</v>
      </c>
      <c r="R1202" s="14" t="str">
        <f>HYPERLINK("https://my.pitchbook.com?c=299152-45T","View Company Online")</f>
        <v>View Company Online</v>
      </c>
    </row>
    <row r="1203" spans="1:18" hidden="1" x14ac:dyDescent="0.3">
      <c r="A1203" s="15" t="s">
        <v>4351</v>
      </c>
      <c r="B1203" s="15" t="s">
        <v>4352</v>
      </c>
      <c r="C1203" s="18" t="s">
        <v>28</v>
      </c>
      <c r="D1203" s="15" t="s">
        <v>4353</v>
      </c>
      <c r="E1203" s="18" t="s">
        <v>28</v>
      </c>
      <c r="F1203" s="19" t="s">
        <v>28</v>
      </c>
      <c r="G1203" s="19" t="s">
        <v>28</v>
      </c>
      <c r="H1203" s="19" t="s">
        <v>28</v>
      </c>
      <c r="I1203" s="18" t="s">
        <v>28</v>
      </c>
      <c r="J1203" s="18" t="s">
        <v>28</v>
      </c>
      <c r="K1203" s="18" t="s">
        <v>28</v>
      </c>
      <c r="L1203" s="18" t="s">
        <v>28</v>
      </c>
      <c r="M1203" s="18" t="s">
        <v>28</v>
      </c>
      <c r="N1203" s="17">
        <v>45258</v>
      </c>
      <c r="O1203" s="15" t="s">
        <v>52</v>
      </c>
      <c r="P1203" s="16" t="s">
        <v>3893</v>
      </c>
      <c r="Q1203" s="15" t="s">
        <v>114</v>
      </c>
      <c r="R1203" s="13" t="str">
        <f>HYPERLINK("https://my.pitchbook.com?c=299635-21T","View Company Online")</f>
        <v>View Company Online</v>
      </c>
    </row>
    <row r="1204" spans="1:18" hidden="1" x14ac:dyDescent="0.3">
      <c r="A1204" s="9" t="s">
        <v>4354</v>
      </c>
      <c r="B1204" s="9" t="s">
        <v>4355</v>
      </c>
      <c r="C1204" s="11" t="s">
        <v>28</v>
      </c>
      <c r="D1204" s="9" t="s">
        <v>4356</v>
      </c>
      <c r="E1204" s="11" t="s">
        <v>28</v>
      </c>
      <c r="F1204" s="10" t="s">
        <v>28</v>
      </c>
      <c r="G1204" s="10" t="s">
        <v>28</v>
      </c>
      <c r="H1204" s="10" t="s">
        <v>28</v>
      </c>
      <c r="I1204" s="11" t="s">
        <v>28</v>
      </c>
      <c r="J1204" s="11" t="s">
        <v>28</v>
      </c>
      <c r="K1204" s="11" t="s">
        <v>28</v>
      </c>
      <c r="L1204" s="11" t="s">
        <v>28</v>
      </c>
      <c r="M1204" s="11" t="s">
        <v>28</v>
      </c>
      <c r="N1204" s="8">
        <v>45258</v>
      </c>
      <c r="O1204" s="9" t="s">
        <v>52</v>
      </c>
      <c r="P1204" s="12" t="s">
        <v>3893</v>
      </c>
      <c r="Q1204" s="9" t="s">
        <v>75</v>
      </c>
      <c r="R1204" s="14" t="str">
        <f>HYPERLINK("https://my.pitchbook.com?c=299161-09T","View Company Online")</f>
        <v>View Company Online</v>
      </c>
    </row>
    <row r="1205" spans="1:18" hidden="1" x14ac:dyDescent="0.3">
      <c r="A1205" s="15" t="s">
        <v>4357</v>
      </c>
      <c r="B1205" s="15" t="s">
        <v>4358</v>
      </c>
      <c r="C1205" s="18" t="s">
        <v>28</v>
      </c>
      <c r="D1205" s="15" t="s">
        <v>4359</v>
      </c>
      <c r="E1205" s="18" t="s">
        <v>28</v>
      </c>
      <c r="F1205" s="19" t="s">
        <v>28</v>
      </c>
      <c r="G1205" s="19" t="s">
        <v>28</v>
      </c>
      <c r="H1205" s="19" t="s">
        <v>28</v>
      </c>
      <c r="I1205" s="18" t="s">
        <v>28</v>
      </c>
      <c r="J1205" s="18" t="s">
        <v>28</v>
      </c>
      <c r="K1205" s="18" t="s">
        <v>28</v>
      </c>
      <c r="L1205" s="18" t="s">
        <v>28</v>
      </c>
      <c r="M1205" s="18" t="s">
        <v>28</v>
      </c>
      <c r="N1205" s="17">
        <v>45258</v>
      </c>
      <c r="O1205" s="15" t="s">
        <v>52</v>
      </c>
      <c r="P1205" s="16" t="s">
        <v>3893</v>
      </c>
      <c r="Q1205" s="15" t="s">
        <v>75</v>
      </c>
      <c r="R1205" s="13" t="str">
        <f>HYPERLINK("https://my.pitchbook.com?c=299151-46T","View Company Online")</f>
        <v>View Company Online</v>
      </c>
    </row>
    <row r="1206" spans="1:18" hidden="1" x14ac:dyDescent="0.3">
      <c r="A1206" s="9" t="s">
        <v>4360</v>
      </c>
      <c r="B1206" s="9" t="s">
        <v>4361</v>
      </c>
      <c r="C1206" s="11" t="s">
        <v>28</v>
      </c>
      <c r="D1206" s="9" t="s">
        <v>4362</v>
      </c>
      <c r="E1206" s="11" t="s">
        <v>28</v>
      </c>
      <c r="F1206" s="10" t="s">
        <v>28</v>
      </c>
      <c r="G1206" s="10" t="s">
        <v>28</v>
      </c>
      <c r="H1206" s="10" t="s">
        <v>28</v>
      </c>
      <c r="I1206" s="11" t="s">
        <v>28</v>
      </c>
      <c r="J1206" s="11" t="s">
        <v>28</v>
      </c>
      <c r="K1206" s="11" t="s">
        <v>28</v>
      </c>
      <c r="L1206" s="11" t="s">
        <v>28</v>
      </c>
      <c r="M1206" s="11" t="s">
        <v>28</v>
      </c>
      <c r="N1206" s="8">
        <v>45258</v>
      </c>
      <c r="O1206" s="9" t="s">
        <v>52</v>
      </c>
      <c r="P1206" s="12" t="s">
        <v>28</v>
      </c>
      <c r="Q1206" s="9" t="s">
        <v>75</v>
      </c>
      <c r="R1206" s="14" t="str">
        <f>HYPERLINK("https://my.pitchbook.com?c=299381-32T","View Company Online")</f>
        <v>View Company Online</v>
      </c>
    </row>
    <row r="1207" spans="1:18" hidden="1" x14ac:dyDescent="0.3">
      <c r="A1207" s="15" t="s">
        <v>4363</v>
      </c>
      <c r="B1207" s="15" t="s">
        <v>4364</v>
      </c>
      <c r="C1207" s="18" t="s">
        <v>28</v>
      </c>
      <c r="D1207" s="15" t="s">
        <v>4365</v>
      </c>
      <c r="E1207" s="18" t="s">
        <v>28</v>
      </c>
      <c r="F1207" s="19" t="s">
        <v>28</v>
      </c>
      <c r="G1207" s="19" t="s">
        <v>28</v>
      </c>
      <c r="H1207" s="19" t="s">
        <v>28</v>
      </c>
      <c r="I1207" s="18" t="s">
        <v>28</v>
      </c>
      <c r="J1207" s="18" t="s">
        <v>28</v>
      </c>
      <c r="K1207" s="18" t="s">
        <v>28</v>
      </c>
      <c r="L1207" s="18" t="s">
        <v>28</v>
      </c>
      <c r="M1207" s="18" t="s">
        <v>28</v>
      </c>
      <c r="N1207" s="17">
        <v>45258</v>
      </c>
      <c r="O1207" s="15" t="s">
        <v>52</v>
      </c>
      <c r="P1207" s="16" t="s">
        <v>3893</v>
      </c>
      <c r="Q1207" s="15" t="s">
        <v>235</v>
      </c>
      <c r="R1207" s="13" t="str">
        <f>HYPERLINK("https://my.pitchbook.com?c=299386-45T","View Company Online")</f>
        <v>View Company Online</v>
      </c>
    </row>
    <row r="1208" spans="1:18" hidden="1" x14ac:dyDescent="0.3">
      <c r="A1208" s="9" t="s">
        <v>4366</v>
      </c>
      <c r="B1208" s="9" t="s">
        <v>2626</v>
      </c>
      <c r="C1208" s="11" t="s">
        <v>28</v>
      </c>
      <c r="D1208" s="9" t="s">
        <v>2627</v>
      </c>
      <c r="E1208" s="11" t="s">
        <v>28</v>
      </c>
      <c r="F1208" s="10" t="s">
        <v>28</v>
      </c>
      <c r="G1208" s="10" t="s">
        <v>28</v>
      </c>
      <c r="H1208" s="10" t="s">
        <v>28</v>
      </c>
      <c r="I1208" s="11" t="s">
        <v>28</v>
      </c>
      <c r="J1208" s="11" t="s">
        <v>28</v>
      </c>
      <c r="K1208" s="11" t="s">
        <v>28</v>
      </c>
      <c r="L1208" s="11" t="s">
        <v>28</v>
      </c>
      <c r="M1208" s="11" t="s">
        <v>28</v>
      </c>
      <c r="N1208" s="8">
        <v>45258</v>
      </c>
      <c r="O1208" s="9" t="s">
        <v>52</v>
      </c>
      <c r="P1208" s="12" t="s">
        <v>3893</v>
      </c>
      <c r="Q1208" s="9" t="s">
        <v>75</v>
      </c>
      <c r="R1208" s="14" t="str">
        <f>HYPERLINK("https://my.pitchbook.com?c=299162-35T","View Company Online")</f>
        <v>View Company Online</v>
      </c>
    </row>
    <row r="1209" spans="1:18" hidden="1" x14ac:dyDescent="0.3">
      <c r="A1209" s="15" t="s">
        <v>4367</v>
      </c>
      <c r="B1209" s="15" t="s">
        <v>4368</v>
      </c>
      <c r="C1209" s="18" t="s">
        <v>28</v>
      </c>
      <c r="D1209" s="15" t="s">
        <v>4369</v>
      </c>
      <c r="E1209" s="18" t="s">
        <v>28</v>
      </c>
      <c r="F1209" s="19" t="s">
        <v>28</v>
      </c>
      <c r="G1209" s="19" t="s">
        <v>28</v>
      </c>
      <c r="H1209" s="19" t="s">
        <v>28</v>
      </c>
      <c r="I1209" s="18" t="s">
        <v>28</v>
      </c>
      <c r="J1209" s="18" t="s">
        <v>28</v>
      </c>
      <c r="K1209" s="18" t="s">
        <v>28</v>
      </c>
      <c r="L1209" s="18" t="s">
        <v>28</v>
      </c>
      <c r="M1209" s="18" t="s">
        <v>28</v>
      </c>
      <c r="N1209" s="17">
        <v>45258</v>
      </c>
      <c r="O1209" s="15" t="s">
        <v>52</v>
      </c>
      <c r="P1209" s="16" t="s">
        <v>3893</v>
      </c>
      <c r="Q1209" s="15" t="s">
        <v>75</v>
      </c>
      <c r="R1209" s="13" t="str">
        <f>HYPERLINK("https://my.pitchbook.com?c=299405-98T","View Company Online")</f>
        <v>View Company Online</v>
      </c>
    </row>
    <row r="1210" spans="1:18" hidden="1" x14ac:dyDescent="0.3">
      <c r="A1210" s="9" t="s">
        <v>4370</v>
      </c>
      <c r="B1210" s="9" t="s">
        <v>4371</v>
      </c>
      <c r="C1210" s="11" t="s">
        <v>28</v>
      </c>
      <c r="D1210" s="9" t="s">
        <v>4372</v>
      </c>
      <c r="E1210" s="11" t="s">
        <v>28</v>
      </c>
      <c r="F1210" s="10" t="s">
        <v>28</v>
      </c>
      <c r="G1210" s="10">
        <v>13.22</v>
      </c>
      <c r="H1210" s="10" t="s">
        <v>28</v>
      </c>
      <c r="I1210" s="11" t="s">
        <v>28</v>
      </c>
      <c r="J1210" s="11" t="s">
        <v>28</v>
      </c>
      <c r="K1210" s="11" t="s">
        <v>28</v>
      </c>
      <c r="L1210" s="11" t="s">
        <v>28</v>
      </c>
      <c r="M1210" s="11" t="s">
        <v>28</v>
      </c>
      <c r="N1210" s="8">
        <v>45258</v>
      </c>
      <c r="O1210" s="9" t="s">
        <v>79</v>
      </c>
      <c r="P1210" s="12" t="s">
        <v>4373</v>
      </c>
      <c r="Q1210" s="9" t="s">
        <v>4374</v>
      </c>
      <c r="R1210" s="14" t="str">
        <f>HYPERLINK("https://my.pitchbook.com?c=246471-94T","View Company Online")</f>
        <v>View Company Online</v>
      </c>
    </row>
    <row r="1211" spans="1:18" hidden="1" x14ac:dyDescent="0.3">
      <c r="A1211" s="15" t="s">
        <v>4375</v>
      </c>
      <c r="B1211" s="15" t="s">
        <v>4376</v>
      </c>
      <c r="C1211" s="18" t="s">
        <v>28</v>
      </c>
      <c r="D1211" s="15" t="s">
        <v>4377</v>
      </c>
      <c r="E1211" s="18" t="s">
        <v>28</v>
      </c>
      <c r="F1211" s="19" t="s">
        <v>28</v>
      </c>
      <c r="G1211" s="19" t="s">
        <v>28</v>
      </c>
      <c r="H1211" s="19" t="s">
        <v>28</v>
      </c>
      <c r="I1211" s="18" t="s">
        <v>28</v>
      </c>
      <c r="J1211" s="18" t="s">
        <v>28</v>
      </c>
      <c r="K1211" s="18" t="s">
        <v>28</v>
      </c>
      <c r="L1211" s="18" t="s">
        <v>28</v>
      </c>
      <c r="M1211" s="18" t="s">
        <v>28</v>
      </c>
      <c r="N1211" s="17">
        <v>45258</v>
      </c>
      <c r="O1211" s="15" t="s">
        <v>52</v>
      </c>
      <c r="P1211" s="16" t="s">
        <v>3893</v>
      </c>
      <c r="Q1211" s="15" t="s">
        <v>75</v>
      </c>
      <c r="R1211" s="13" t="str">
        <f>HYPERLINK("https://my.pitchbook.com?c=299150-02T","View Company Online")</f>
        <v>View Company Online</v>
      </c>
    </row>
    <row r="1212" spans="1:18" hidden="1" x14ac:dyDescent="0.3">
      <c r="A1212" s="9" t="s">
        <v>4378</v>
      </c>
      <c r="B1212" s="9" t="s">
        <v>4379</v>
      </c>
      <c r="C1212" s="11" t="s">
        <v>28</v>
      </c>
      <c r="D1212" s="9" t="s">
        <v>4380</v>
      </c>
      <c r="E1212" s="11" t="s">
        <v>28</v>
      </c>
      <c r="F1212" s="10" t="s">
        <v>28</v>
      </c>
      <c r="G1212" s="10" t="s">
        <v>28</v>
      </c>
      <c r="H1212" s="10" t="s">
        <v>28</v>
      </c>
      <c r="I1212" s="11" t="s">
        <v>28</v>
      </c>
      <c r="J1212" s="11" t="s">
        <v>28</v>
      </c>
      <c r="K1212" s="11" t="s">
        <v>28</v>
      </c>
      <c r="L1212" s="11" t="s">
        <v>28</v>
      </c>
      <c r="M1212" s="11" t="s">
        <v>28</v>
      </c>
      <c r="N1212" s="8">
        <v>45258</v>
      </c>
      <c r="O1212" s="9" t="s">
        <v>52</v>
      </c>
      <c r="P1212" s="12" t="s">
        <v>3893</v>
      </c>
      <c r="Q1212" s="9" t="s">
        <v>75</v>
      </c>
      <c r="R1212" s="14" t="str">
        <f>HYPERLINK("https://my.pitchbook.com?c=299386-72T","View Company Online")</f>
        <v>View Company Online</v>
      </c>
    </row>
    <row r="1213" spans="1:18" hidden="1" x14ac:dyDescent="0.3">
      <c r="A1213" s="15" t="s">
        <v>4381</v>
      </c>
      <c r="B1213" s="15" t="s">
        <v>4382</v>
      </c>
      <c r="C1213" s="18" t="s">
        <v>28</v>
      </c>
      <c r="D1213" s="15" t="s">
        <v>4383</v>
      </c>
      <c r="E1213" s="18" t="s">
        <v>28</v>
      </c>
      <c r="F1213" s="19" t="s">
        <v>28</v>
      </c>
      <c r="G1213" s="19" t="s">
        <v>28</v>
      </c>
      <c r="H1213" s="19" t="s">
        <v>28</v>
      </c>
      <c r="I1213" s="18" t="s">
        <v>28</v>
      </c>
      <c r="J1213" s="18" t="s">
        <v>28</v>
      </c>
      <c r="K1213" s="18" t="s">
        <v>28</v>
      </c>
      <c r="L1213" s="18" t="s">
        <v>28</v>
      </c>
      <c r="M1213" s="18" t="s">
        <v>28</v>
      </c>
      <c r="N1213" s="17">
        <v>45258</v>
      </c>
      <c r="O1213" s="15" t="s">
        <v>52</v>
      </c>
      <c r="P1213" s="16" t="s">
        <v>3893</v>
      </c>
      <c r="Q1213" s="15" t="s">
        <v>583</v>
      </c>
      <c r="R1213" s="13" t="str">
        <f>HYPERLINK("https://my.pitchbook.com?c=299390-32T","View Company Online")</f>
        <v>View Company Online</v>
      </c>
    </row>
    <row r="1214" spans="1:18" hidden="1" x14ac:dyDescent="0.3">
      <c r="A1214" s="9" t="s">
        <v>4384</v>
      </c>
      <c r="B1214" s="9" t="s">
        <v>4385</v>
      </c>
      <c r="C1214" s="11" t="s">
        <v>28</v>
      </c>
      <c r="D1214" s="9" t="s">
        <v>4386</v>
      </c>
      <c r="E1214" s="11" t="s">
        <v>28</v>
      </c>
      <c r="F1214" s="10" t="s">
        <v>28</v>
      </c>
      <c r="G1214" s="10" t="s">
        <v>28</v>
      </c>
      <c r="H1214" s="10" t="s">
        <v>28</v>
      </c>
      <c r="I1214" s="11" t="s">
        <v>28</v>
      </c>
      <c r="J1214" s="11" t="s">
        <v>28</v>
      </c>
      <c r="K1214" s="11" t="s">
        <v>28</v>
      </c>
      <c r="L1214" s="11" t="s">
        <v>28</v>
      </c>
      <c r="M1214" s="11" t="s">
        <v>28</v>
      </c>
      <c r="N1214" s="8">
        <v>45258</v>
      </c>
      <c r="O1214" s="9" t="s">
        <v>52</v>
      </c>
      <c r="P1214" s="12" t="s">
        <v>3893</v>
      </c>
      <c r="Q1214" s="9" t="s">
        <v>353</v>
      </c>
      <c r="R1214" s="14" t="str">
        <f>HYPERLINK("https://my.pitchbook.com?c=299154-34T","View Company Online")</f>
        <v>View Company Online</v>
      </c>
    </row>
    <row r="1215" spans="1:18" hidden="1" x14ac:dyDescent="0.3">
      <c r="A1215" s="15" t="s">
        <v>4387</v>
      </c>
      <c r="B1215" s="15" t="s">
        <v>4388</v>
      </c>
      <c r="C1215" s="18" t="s">
        <v>28</v>
      </c>
      <c r="D1215" s="15" t="s">
        <v>4389</v>
      </c>
      <c r="E1215" s="18" t="s">
        <v>28</v>
      </c>
      <c r="F1215" s="19" t="s">
        <v>28</v>
      </c>
      <c r="G1215" s="19" t="s">
        <v>28</v>
      </c>
      <c r="H1215" s="19" t="s">
        <v>28</v>
      </c>
      <c r="I1215" s="18" t="s">
        <v>28</v>
      </c>
      <c r="J1215" s="18" t="s">
        <v>28</v>
      </c>
      <c r="K1215" s="18" t="s">
        <v>28</v>
      </c>
      <c r="L1215" s="18" t="s">
        <v>28</v>
      </c>
      <c r="M1215" s="18" t="s">
        <v>28</v>
      </c>
      <c r="N1215" s="17">
        <v>45258</v>
      </c>
      <c r="O1215" s="15" t="s">
        <v>52</v>
      </c>
      <c r="P1215" s="16" t="s">
        <v>3893</v>
      </c>
      <c r="Q1215" s="15" t="s">
        <v>119</v>
      </c>
      <c r="R1215" s="13" t="str">
        <f>HYPERLINK("https://my.pitchbook.com?c=299154-61T","View Company Online")</f>
        <v>View Company Online</v>
      </c>
    </row>
    <row r="1216" spans="1:18" hidden="1" x14ac:dyDescent="0.3">
      <c r="A1216" s="9" t="s">
        <v>4390</v>
      </c>
      <c r="B1216" s="9" t="s">
        <v>4391</v>
      </c>
      <c r="C1216" s="11" t="s">
        <v>28</v>
      </c>
      <c r="D1216" s="9" t="s">
        <v>4392</v>
      </c>
      <c r="E1216" s="11" t="s">
        <v>28</v>
      </c>
      <c r="F1216" s="10">
        <v>42.67</v>
      </c>
      <c r="G1216" s="10">
        <v>42.67</v>
      </c>
      <c r="H1216" s="10">
        <v>42.67</v>
      </c>
      <c r="I1216" s="11" t="s">
        <v>28</v>
      </c>
      <c r="J1216" s="11" t="s">
        <v>28</v>
      </c>
      <c r="K1216" s="11" t="s">
        <v>28</v>
      </c>
      <c r="L1216" s="11" t="s">
        <v>28</v>
      </c>
      <c r="M1216" s="11" t="s">
        <v>28</v>
      </c>
      <c r="N1216" s="8">
        <v>45257</v>
      </c>
      <c r="O1216" s="9" t="s">
        <v>30</v>
      </c>
      <c r="P1216" s="12" t="s">
        <v>4393</v>
      </c>
      <c r="Q1216" s="9" t="s">
        <v>37</v>
      </c>
      <c r="R1216" s="14" t="str">
        <f>HYPERLINK("https://my.pitchbook.com?c=211838-50T","View Company Online")</f>
        <v>View Company Online</v>
      </c>
    </row>
    <row r="1217" spans="1:18" hidden="1" x14ac:dyDescent="0.3">
      <c r="A1217" s="15" t="s">
        <v>4394</v>
      </c>
      <c r="B1217" s="15" t="s">
        <v>4395</v>
      </c>
      <c r="C1217" s="18" t="s">
        <v>28</v>
      </c>
      <c r="D1217" s="15" t="s">
        <v>4396</v>
      </c>
      <c r="E1217" s="18" t="s">
        <v>28</v>
      </c>
      <c r="F1217" s="19" t="s">
        <v>28</v>
      </c>
      <c r="G1217" s="19" t="s">
        <v>28</v>
      </c>
      <c r="H1217" s="19" t="s">
        <v>28</v>
      </c>
      <c r="I1217" s="18" t="s">
        <v>28</v>
      </c>
      <c r="J1217" s="18" t="s">
        <v>28</v>
      </c>
      <c r="K1217" s="18" t="s">
        <v>28</v>
      </c>
      <c r="L1217" s="18" t="s">
        <v>28</v>
      </c>
      <c r="M1217" s="18" t="s">
        <v>28</v>
      </c>
      <c r="N1217" s="17">
        <v>45257</v>
      </c>
      <c r="O1217" s="15" t="s">
        <v>30</v>
      </c>
      <c r="P1217" s="16" t="s">
        <v>4397</v>
      </c>
      <c r="Q1217" s="15" t="s">
        <v>245</v>
      </c>
      <c r="R1217" s="13" t="str">
        <f>HYPERLINK("https://my.pitchbook.com?c=266103-46T","View Company Online")</f>
        <v>View Company Online</v>
      </c>
    </row>
    <row r="1218" spans="1:18" hidden="1" x14ac:dyDescent="0.3">
      <c r="A1218" s="9" t="s">
        <v>4398</v>
      </c>
      <c r="B1218" s="9" t="s">
        <v>4399</v>
      </c>
      <c r="C1218" s="11" t="s">
        <v>28</v>
      </c>
      <c r="D1218" s="9" t="s">
        <v>4400</v>
      </c>
      <c r="E1218" s="11" t="s">
        <v>28</v>
      </c>
      <c r="F1218" s="10" t="s">
        <v>28</v>
      </c>
      <c r="G1218" s="10" t="s">
        <v>28</v>
      </c>
      <c r="H1218" s="10" t="s">
        <v>28</v>
      </c>
      <c r="I1218" s="11" t="s">
        <v>28</v>
      </c>
      <c r="J1218" s="11" t="s">
        <v>28</v>
      </c>
      <c r="K1218" s="11" t="s">
        <v>28</v>
      </c>
      <c r="L1218" s="11" t="s">
        <v>28</v>
      </c>
      <c r="M1218" s="11" t="s">
        <v>28</v>
      </c>
      <c r="N1218" s="8">
        <v>45254</v>
      </c>
      <c r="O1218" s="9" t="s">
        <v>52</v>
      </c>
      <c r="P1218" s="12" t="s">
        <v>850</v>
      </c>
      <c r="Q1218" s="9" t="s">
        <v>75</v>
      </c>
      <c r="R1218" s="14" t="str">
        <f>HYPERLINK("https://my.pitchbook.com?c=257587-30T","View Company Online")</f>
        <v>View Company Online</v>
      </c>
    </row>
    <row r="1219" spans="1:18" hidden="1" x14ac:dyDescent="0.3">
      <c r="A1219" s="15" t="s">
        <v>4401</v>
      </c>
      <c r="B1219" s="15" t="s">
        <v>4399</v>
      </c>
      <c r="C1219" s="18" t="s">
        <v>28</v>
      </c>
      <c r="D1219" s="15" t="s">
        <v>4400</v>
      </c>
      <c r="E1219" s="18" t="s">
        <v>28</v>
      </c>
      <c r="F1219" s="19" t="s">
        <v>28</v>
      </c>
      <c r="G1219" s="19" t="s">
        <v>28</v>
      </c>
      <c r="H1219" s="19" t="s">
        <v>28</v>
      </c>
      <c r="I1219" s="18" t="s">
        <v>28</v>
      </c>
      <c r="J1219" s="18" t="s">
        <v>28</v>
      </c>
      <c r="K1219" s="18" t="s">
        <v>28</v>
      </c>
      <c r="L1219" s="18" t="s">
        <v>28</v>
      </c>
      <c r="M1219" s="18" t="s">
        <v>28</v>
      </c>
      <c r="N1219" s="17">
        <v>45254</v>
      </c>
      <c r="O1219" s="15" t="s">
        <v>52</v>
      </c>
      <c r="P1219" s="16" t="s">
        <v>4402</v>
      </c>
      <c r="Q1219" s="15" t="s">
        <v>75</v>
      </c>
      <c r="R1219" s="13" t="str">
        <f>HYPERLINK("https://my.pitchbook.com?c=257588-02T","View Company Online")</f>
        <v>View Company Online</v>
      </c>
    </row>
    <row r="1220" spans="1:18" hidden="1" x14ac:dyDescent="0.3">
      <c r="A1220" s="9" t="s">
        <v>4403</v>
      </c>
      <c r="B1220" s="9" t="s">
        <v>4404</v>
      </c>
      <c r="C1220" s="11" t="s">
        <v>28</v>
      </c>
      <c r="D1220" s="9" t="s">
        <v>4405</v>
      </c>
      <c r="E1220" s="11" t="s">
        <v>28</v>
      </c>
      <c r="F1220" s="10" t="s">
        <v>28</v>
      </c>
      <c r="G1220" s="10" t="s">
        <v>28</v>
      </c>
      <c r="H1220" s="10" t="s">
        <v>28</v>
      </c>
      <c r="I1220" s="11" t="s">
        <v>28</v>
      </c>
      <c r="J1220" s="11" t="s">
        <v>28</v>
      </c>
      <c r="K1220" s="11" t="s">
        <v>28</v>
      </c>
      <c r="L1220" s="11" t="s">
        <v>28</v>
      </c>
      <c r="M1220" s="11" t="s">
        <v>28</v>
      </c>
      <c r="N1220" s="8">
        <v>45254</v>
      </c>
      <c r="O1220" s="9" t="s">
        <v>41</v>
      </c>
      <c r="P1220" s="12" t="s">
        <v>4406</v>
      </c>
      <c r="Q1220" s="9" t="s">
        <v>54</v>
      </c>
      <c r="R1220" s="14" t="str">
        <f>HYPERLINK("https://my.pitchbook.com?c=244195-21T","View Company Online")</f>
        <v>View Company Online</v>
      </c>
    </row>
    <row r="1221" spans="1:18" hidden="1" x14ac:dyDescent="0.3">
      <c r="A1221" s="15" t="s">
        <v>4407</v>
      </c>
      <c r="B1221" s="15" t="s">
        <v>4408</v>
      </c>
      <c r="C1221" s="18" t="s">
        <v>28</v>
      </c>
      <c r="D1221" s="15" t="s">
        <v>4409</v>
      </c>
      <c r="E1221" s="18" t="s">
        <v>28</v>
      </c>
      <c r="F1221" s="19" t="s">
        <v>28</v>
      </c>
      <c r="G1221" s="19" t="s">
        <v>28</v>
      </c>
      <c r="H1221" s="19" t="s">
        <v>28</v>
      </c>
      <c r="I1221" s="18" t="s">
        <v>28</v>
      </c>
      <c r="J1221" s="18" t="s">
        <v>28</v>
      </c>
      <c r="K1221" s="18" t="s">
        <v>28</v>
      </c>
      <c r="L1221" s="18" t="s">
        <v>28</v>
      </c>
      <c r="M1221" s="18" t="s">
        <v>28</v>
      </c>
      <c r="N1221" s="17">
        <v>45254</v>
      </c>
      <c r="O1221" s="15" t="s">
        <v>41</v>
      </c>
      <c r="P1221" s="16" t="s">
        <v>4410</v>
      </c>
      <c r="Q1221" s="15" t="s">
        <v>583</v>
      </c>
      <c r="R1221" s="13" t="str">
        <f>HYPERLINK("https://my.pitchbook.com?c=246369-70T","View Company Online")</f>
        <v>View Company Online</v>
      </c>
    </row>
    <row r="1222" spans="1:18" hidden="1" x14ac:dyDescent="0.3">
      <c r="A1222" s="9" t="s">
        <v>4411</v>
      </c>
      <c r="B1222" s="9" t="s">
        <v>4412</v>
      </c>
      <c r="C1222" s="11" t="s">
        <v>28</v>
      </c>
      <c r="D1222" s="9" t="s">
        <v>4413</v>
      </c>
      <c r="E1222" s="11" t="s">
        <v>28</v>
      </c>
      <c r="F1222" s="10" t="s">
        <v>28</v>
      </c>
      <c r="G1222" s="10">
        <v>6.09</v>
      </c>
      <c r="H1222" s="10" t="s">
        <v>28</v>
      </c>
      <c r="I1222" s="11" t="s">
        <v>28</v>
      </c>
      <c r="J1222" s="11" t="s">
        <v>28</v>
      </c>
      <c r="K1222" s="11" t="s">
        <v>28</v>
      </c>
      <c r="L1222" s="11" t="s">
        <v>28</v>
      </c>
      <c r="M1222" s="11" t="s">
        <v>28</v>
      </c>
      <c r="N1222" s="8">
        <v>45254</v>
      </c>
      <c r="O1222" s="9" t="s">
        <v>73</v>
      </c>
      <c r="P1222" s="12" t="s">
        <v>4414</v>
      </c>
      <c r="Q1222" s="9" t="s">
        <v>37</v>
      </c>
      <c r="R1222" s="14" t="str">
        <f>HYPERLINK("https://my.pitchbook.com?c=246292-48T","View Company Online")</f>
        <v>View Company Online</v>
      </c>
    </row>
    <row r="1223" spans="1:18" hidden="1" x14ac:dyDescent="0.3">
      <c r="A1223" s="15" t="s">
        <v>4415</v>
      </c>
      <c r="B1223" s="15" t="s">
        <v>4416</v>
      </c>
      <c r="C1223" s="18" t="s">
        <v>28</v>
      </c>
      <c r="D1223" s="15" t="s">
        <v>4417</v>
      </c>
      <c r="E1223" s="18" t="s">
        <v>28</v>
      </c>
      <c r="F1223" s="19" t="s">
        <v>28</v>
      </c>
      <c r="G1223" s="19" t="s">
        <v>28</v>
      </c>
      <c r="H1223" s="19" t="s">
        <v>28</v>
      </c>
      <c r="I1223" s="18" t="s">
        <v>28</v>
      </c>
      <c r="J1223" s="18" t="s">
        <v>28</v>
      </c>
      <c r="K1223" s="18" t="s">
        <v>28</v>
      </c>
      <c r="L1223" s="18" t="s">
        <v>28</v>
      </c>
      <c r="M1223" s="18" t="s">
        <v>28</v>
      </c>
      <c r="N1223" s="17">
        <v>45254</v>
      </c>
      <c r="O1223" s="15" t="s">
        <v>30</v>
      </c>
      <c r="P1223" s="16" t="s">
        <v>4418</v>
      </c>
      <c r="Q1223" s="15" t="s">
        <v>136</v>
      </c>
      <c r="R1223" s="13" t="str">
        <f>HYPERLINK("https://my.pitchbook.com?c=246296-62T","View Company Online")</f>
        <v>View Company Online</v>
      </c>
    </row>
    <row r="1224" spans="1:18" hidden="1" x14ac:dyDescent="0.3">
      <c r="A1224" s="9" t="s">
        <v>4419</v>
      </c>
      <c r="B1224" s="9" t="s">
        <v>4420</v>
      </c>
      <c r="C1224" s="11" t="s">
        <v>28</v>
      </c>
      <c r="D1224" s="9" t="s">
        <v>4421</v>
      </c>
      <c r="E1224" s="11" t="s">
        <v>28</v>
      </c>
      <c r="F1224" s="10" t="s">
        <v>28</v>
      </c>
      <c r="G1224" s="10">
        <v>0.01</v>
      </c>
      <c r="H1224" s="10">
        <v>0.12</v>
      </c>
      <c r="I1224" s="11" t="s">
        <v>28</v>
      </c>
      <c r="J1224" s="11" t="s">
        <v>28</v>
      </c>
      <c r="K1224" s="11" t="s">
        <v>28</v>
      </c>
      <c r="L1224" s="11" t="s">
        <v>28</v>
      </c>
      <c r="M1224" s="11" t="s">
        <v>28</v>
      </c>
      <c r="N1224" s="8">
        <v>45254</v>
      </c>
      <c r="O1224" s="9" t="s">
        <v>52</v>
      </c>
      <c r="P1224" s="12" t="s">
        <v>4422</v>
      </c>
      <c r="Q1224" s="9" t="s">
        <v>419</v>
      </c>
      <c r="R1224" s="14" t="str">
        <f>HYPERLINK("https://my.pitchbook.com?c=251199-19T","View Company Online")</f>
        <v>View Company Online</v>
      </c>
    </row>
    <row r="1225" spans="1:18" hidden="1" x14ac:dyDescent="0.3">
      <c r="A1225" s="15" t="s">
        <v>4423</v>
      </c>
      <c r="B1225" s="15" t="s">
        <v>4424</v>
      </c>
      <c r="C1225" s="18" t="s">
        <v>28</v>
      </c>
      <c r="D1225" s="15" t="s">
        <v>4425</v>
      </c>
      <c r="E1225" s="18" t="s">
        <v>28</v>
      </c>
      <c r="F1225" s="19" t="s">
        <v>28</v>
      </c>
      <c r="G1225" s="19" t="s">
        <v>28</v>
      </c>
      <c r="H1225" s="19" t="s">
        <v>28</v>
      </c>
      <c r="I1225" s="18" t="s">
        <v>28</v>
      </c>
      <c r="J1225" s="18" t="s">
        <v>28</v>
      </c>
      <c r="K1225" s="18" t="s">
        <v>28</v>
      </c>
      <c r="L1225" s="18" t="s">
        <v>28</v>
      </c>
      <c r="M1225" s="18" t="s">
        <v>28</v>
      </c>
      <c r="N1225" s="17">
        <v>45253</v>
      </c>
      <c r="O1225" s="15" t="s">
        <v>30</v>
      </c>
      <c r="P1225" s="16" t="s">
        <v>4426</v>
      </c>
      <c r="Q1225" s="15" t="s">
        <v>419</v>
      </c>
      <c r="R1225" s="13" t="str">
        <f>HYPERLINK("https://my.pitchbook.com?c=246611-08T","View Company Online")</f>
        <v>View Company Online</v>
      </c>
    </row>
    <row r="1226" spans="1:18" hidden="1" x14ac:dyDescent="0.3">
      <c r="A1226" s="9" t="s">
        <v>4427</v>
      </c>
      <c r="B1226" s="9" t="s">
        <v>4428</v>
      </c>
      <c r="C1226" s="11" t="s">
        <v>28</v>
      </c>
      <c r="D1226" s="9" t="s">
        <v>4429</v>
      </c>
      <c r="E1226" s="11" t="s">
        <v>28</v>
      </c>
      <c r="F1226" s="10" t="s">
        <v>28</v>
      </c>
      <c r="G1226" s="10" t="s">
        <v>28</v>
      </c>
      <c r="H1226" s="10" t="s">
        <v>28</v>
      </c>
      <c r="I1226" s="11" t="s">
        <v>28</v>
      </c>
      <c r="J1226" s="11" t="s">
        <v>28</v>
      </c>
      <c r="K1226" s="11" t="s">
        <v>28</v>
      </c>
      <c r="L1226" s="11" t="s">
        <v>28</v>
      </c>
      <c r="M1226" s="11" t="s">
        <v>28</v>
      </c>
      <c r="N1226" s="8">
        <v>45253</v>
      </c>
      <c r="O1226" s="9" t="s">
        <v>173</v>
      </c>
      <c r="P1226" s="12" t="s">
        <v>28</v>
      </c>
      <c r="Q1226" s="9" t="s">
        <v>174</v>
      </c>
      <c r="R1226" s="14" t="str">
        <f>HYPERLINK("https://my.pitchbook.com?c=246542-05T","View Company Online")</f>
        <v>View Company Online</v>
      </c>
    </row>
    <row r="1227" spans="1:18" hidden="1" x14ac:dyDescent="0.3">
      <c r="A1227" s="15" t="s">
        <v>4430</v>
      </c>
      <c r="B1227" s="15" t="s">
        <v>4431</v>
      </c>
      <c r="C1227" s="18" t="s">
        <v>28</v>
      </c>
      <c r="D1227" s="15" t="s">
        <v>4432</v>
      </c>
      <c r="E1227" s="18" t="s">
        <v>28</v>
      </c>
      <c r="F1227" s="19" t="s">
        <v>28</v>
      </c>
      <c r="G1227" s="19" t="s">
        <v>28</v>
      </c>
      <c r="H1227" s="19" t="s">
        <v>28</v>
      </c>
      <c r="I1227" s="18" t="s">
        <v>28</v>
      </c>
      <c r="J1227" s="18" t="s">
        <v>28</v>
      </c>
      <c r="K1227" s="18" t="s">
        <v>28</v>
      </c>
      <c r="L1227" s="18" t="s">
        <v>28</v>
      </c>
      <c r="M1227" s="18" t="s">
        <v>28</v>
      </c>
      <c r="N1227" s="17">
        <v>45253</v>
      </c>
      <c r="O1227" s="15" t="s">
        <v>30</v>
      </c>
      <c r="P1227" s="16" t="s">
        <v>4433</v>
      </c>
      <c r="Q1227" s="15" t="s">
        <v>240</v>
      </c>
      <c r="R1227" s="13" t="str">
        <f>HYPERLINK("https://my.pitchbook.com?c=264424-33T","View Company Online")</f>
        <v>View Company Online</v>
      </c>
    </row>
    <row r="1228" spans="1:18" x14ac:dyDescent="0.3">
      <c r="A1228" s="9" t="s">
        <v>4434</v>
      </c>
      <c r="B1228" s="9" t="s">
        <v>4435</v>
      </c>
      <c r="C1228" s="11">
        <v>6.04</v>
      </c>
      <c r="D1228" s="9" t="s">
        <v>4436</v>
      </c>
      <c r="E1228" s="11">
        <v>240.4</v>
      </c>
      <c r="F1228" s="10">
        <v>2075.79</v>
      </c>
      <c r="G1228" s="10">
        <v>1620.6</v>
      </c>
      <c r="H1228" s="10">
        <v>2153.08</v>
      </c>
      <c r="I1228" s="11">
        <v>343.79</v>
      </c>
      <c r="J1228" s="11">
        <v>6.26</v>
      </c>
      <c r="K1228" s="11">
        <v>1582.51</v>
      </c>
      <c r="L1228" s="11">
        <v>1.36</v>
      </c>
      <c r="M1228" s="11">
        <v>105.98</v>
      </c>
      <c r="N1228" s="8">
        <v>45252</v>
      </c>
      <c r="O1228" s="9" t="s">
        <v>30</v>
      </c>
      <c r="P1228" s="12" t="s">
        <v>4437</v>
      </c>
      <c r="Q1228" s="9" t="s">
        <v>348</v>
      </c>
      <c r="R1228" s="14" t="str">
        <f>HYPERLINK("https://my.pitchbook.com?c=224255-71T","View Company Online")</f>
        <v>View Company Online</v>
      </c>
    </row>
    <row r="1229" spans="1:18" hidden="1" x14ac:dyDescent="0.3">
      <c r="A1229" s="15" t="s">
        <v>4438</v>
      </c>
      <c r="B1229" s="15" t="s">
        <v>4439</v>
      </c>
      <c r="C1229" s="18" t="s">
        <v>28</v>
      </c>
      <c r="D1229" s="15" t="s">
        <v>4440</v>
      </c>
      <c r="E1229" s="18" t="s">
        <v>28</v>
      </c>
      <c r="F1229" s="19" t="s">
        <v>28</v>
      </c>
      <c r="G1229" s="19">
        <v>1.01</v>
      </c>
      <c r="H1229" s="19" t="s">
        <v>28</v>
      </c>
      <c r="I1229" s="18" t="s">
        <v>28</v>
      </c>
      <c r="J1229" s="18" t="s">
        <v>28</v>
      </c>
      <c r="K1229" s="18" t="s">
        <v>28</v>
      </c>
      <c r="L1229" s="18" t="s">
        <v>28</v>
      </c>
      <c r="M1229" s="18" t="s">
        <v>28</v>
      </c>
      <c r="N1229" s="17">
        <v>45252</v>
      </c>
      <c r="O1229" s="15" t="s">
        <v>79</v>
      </c>
      <c r="P1229" s="16" t="s">
        <v>4441</v>
      </c>
      <c r="Q1229" s="15" t="s">
        <v>419</v>
      </c>
      <c r="R1229" s="13" t="str">
        <f>HYPERLINK("https://my.pitchbook.com?c=246077-47T","View Company Online")</f>
        <v>View Company Online</v>
      </c>
    </row>
    <row r="1230" spans="1:18" hidden="1" x14ac:dyDescent="0.3">
      <c r="A1230" s="9" t="s">
        <v>4442</v>
      </c>
      <c r="B1230" s="9" t="s">
        <v>4443</v>
      </c>
      <c r="C1230" s="11" t="s">
        <v>28</v>
      </c>
      <c r="D1230" s="9" t="s">
        <v>4444</v>
      </c>
      <c r="E1230" s="11" t="s">
        <v>28</v>
      </c>
      <c r="F1230" s="10" t="s">
        <v>28</v>
      </c>
      <c r="G1230" s="10" t="s">
        <v>28</v>
      </c>
      <c r="H1230" s="10" t="s">
        <v>28</v>
      </c>
      <c r="I1230" s="11" t="s">
        <v>28</v>
      </c>
      <c r="J1230" s="11" t="s">
        <v>28</v>
      </c>
      <c r="K1230" s="11" t="s">
        <v>28</v>
      </c>
      <c r="L1230" s="11" t="s">
        <v>28</v>
      </c>
      <c r="M1230" s="11" t="s">
        <v>28</v>
      </c>
      <c r="N1230" s="8">
        <v>45252</v>
      </c>
      <c r="O1230" s="9" t="s">
        <v>73</v>
      </c>
      <c r="P1230" s="12" t="s">
        <v>4445</v>
      </c>
      <c r="Q1230" s="9" t="s">
        <v>114</v>
      </c>
      <c r="R1230" s="14" t="str">
        <f>HYPERLINK("https://my.pitchbook.com?c=256122-19T","View Company Online")</f>
        <v>View Company Online</v>
      </c>
    </row>
    <row r="1231" spans="1:18" hidden="1" x14ac:dyDescent="0.3">
      <c r="A1231" s="15" t="s">
        <v>4446</v>
      </c>
      <c r="B1231" s="15" t="s">
        <v>4447</v>
      </c>
      <c r="C1231" s="18" t="s">
        <v>28</v>
      </c>
      <c r="D1231" s="15" t="s">
        <v>4448</v>
      </c>
      <c r="E1231" s="18" t="s">
        <v>28</v>
      </c>
      <c r="F1231" s="19" t="s">
        <v>28</v>
      </c>
      <c r="G1231" s="19" t="s">
        <v>28</v>
      </c>
      <c r="H1231" s="19" t="s">
        <v>28</v>
      </c>
      <c r="I1231" s="18" t="s">
        <v>28</v>
      </c>
      <c r="J1231" s="18" t="s">
        <v>28</v>
      </c>
      <c r="K1231" s="18" t="s">
        <v>28</v>
      </c>
      <c r="L1231" s="18" t="s">
        <v>28</v>
      </c>
      <c r="M1231" s="18" t="s">
        <v>28</v>
      </c>
      <c r="N1231" s="17">
        <v>45252</v>
      </c>
      <c r="O1231" s="15" t="s">
        <v>52</v>
      </c>
      <c r="P1231" s="16" t="s">
        <v>4449</v>
      </c>
      <c r="Q1231" s="15" t="s">
        <v>75</v>
      </c>
      <c r="R1231" s="13" t="str">
        <f>HYPERLINK("https://my.pitchbook.com?c=250653-43T","View Company Online")</f>
        <v>View Company Online</v>
      </c>
    </row>
    <row r="1232" spans="1:18" hidden="1" x14ac:dyDescent="0.3">
      <c r="A1232" s="9" t="s">
        <v>4450</v>
      </c>
      <c r="B1232" s="9" t="s">
        <v>4451</v>
      </c>
      <c r="C1232" s="11" t="s">
        <v>28</v>
      </c>
      <c r="D1232" s="9" t="s">
        <v>4452</v>
      </c>
      <c r="E1232" s="11" t="s">
        <v>28</v>
      </c>
      <c r="F1232" s="10" t="s">
        <v>28</v>
      </c>
      <c r="G1232" s="10" t="s">
        <v>28</v>
      </c>
      <c r="H1232" s="10" t="s">
        <v>28</v>
      </c>
      <c r="I1232" s="11" t="s">
        <v>28</v>
      </c>
      <c r="J1232" s="11" t="s">
        <v>28</v>
      </c>
      <c r="K1232" s="11" t="s">
        <v>28</v>
      </c>
      <c r="L1232" s="11" t="s">
        <v>28</v>
      </c>
      <c r="M1232" s="11" t="s">
        <v>28</v>
      </c>
      <c r="N1232" s="8">
        <v>45251</v>
      </c>
      <c r="O1232" s="9" t="s">
        <v>52</v>
      </c>
      <c r="P1232" s="12" t="s">
        <v>4453</v>
      </c>
      <c r="Q1232" s="9" t="s">
        <v>855</v>
      </c>
      <c r="R1232" s="14" t="str">
        <f>HYPERLINK("https://my.pitchbook.com?c=254139-31T","View Company Online")</f>
        <v>View Company Online</v>
      </c>
    </row>
    <row r="1233" spans="1:18" hidden="1" x14ac:dyDescent="0.3">
      <c r="A1233" s="15" t="s">
        <v>4454</v>
      </c>
      <c r="B1233" s="15" t="s">
        <v>4455</v>
      </c>
      <c r="C1233" s="18" t="s">
        <v>28</v>
      </c>
      <c r="D1233" s="15" t="s">
        <v>4456</v>
      </c>
      <c r="E1233" s="18" t="s">
        <v>28</v>
      </c>
      <c r="F1233" s="19" t="s">
        <v>28</v>
      </c>
      <c r="G1233" s="19" t="s">
        <v>28</v>
      </c>
      <c r="H1233" s="19" t="s">
        <v>28</v>
      </c>
      <c r="I1233" s="18" t="s">
        <v>28</v>
      </c>
      <c r="J1233" s="18" t="s">
        <v>28</v>
      </c>
      <c r="K1233" s="18" t="s">
        <v>28</v>
      </c>
      <c r="L1233" s="18" t="s">
        <v>28</v>
      </c>
      <c r="M1233" s="18" t="s">
        <v>28</v>
      </c>
      <c r="N1233" s="17">
        <v>45250</v>
      </c>
      <c r="O1233" s="15" t="s">
        <v>30</v>
      </c>
      <c r="P1233" s="16" t="s">
        <v>4457</v>
      </c>
      <c r="Q1233" s="15" t="s">
        <v>235</v>
      </c>
      <c r="R1233" s="13" t="str">
        <f>HYPERLINK("https://my.pitchbook.com?c=245878-30T","View Company Online")</f>
        <v>View Company Online</v>
      </c>
    </row>
    <row r="1234" spans="1:18" hidden="1" x14ac:dyDescent="0.3">
      <c r="A1234" s="9" t="s">
        <v>4458</v>
      </c>
      <c r="B1234" s="9" t="s">
        <v>4459</v>
      </c>
      <c r="C1234" s="11" t="s">
        <v>28</v>
      </c>
      <c r="D1234" s="9" t="s">
        <v>4460</v>
      </c>
      <c r="E1234" s="11" t="s">
        <v>28</v>
      </c>
      <c r="F1234" s="10" t="s">
        <v>28</v>
      </c>
      <c r="G1234" s="10">
        <v>7.0000000000000007E-2</v>
      </c>
      <c r="H1234" s="10" t="s">
        <v>28</v>
      </c>
      <c r="I1234" s="11" t="s">
        <v>28</v>
      </c>
      <c r="J1234" s="11" t="s">
        <v>28</v>
      </c>
      <c r="K1234" s="11" t="s">
        <v>28</v>
      </c>
      <c r="L1234" s="11" t="s">
        <v>28</v>
      </c>
      <c r="M1234" s="11" t="s">
        <v>28</v>
      </c>
      <c r="N1234" s="8">
        <v>45247</v>
      </c>
      <c r="O1234" s="9" t="s">
        <v>73</v>
      </c>
      <c r="P1234" s="12" t="s">
        <v>221</v>
      </c>
      <c r="Q1234" s="9" t="s">
        <v>371</v>
      </c>
      <c r="R1234" s="14" t="str">
        <f>HYPERLINK("https://my.pitchbook.com?c=255815-74T","View Company Online")</f>
        <v>View Company Online</v>
      </c>
    </row>
    <row r="1235" spans="1:18" hidden="1" x14ac:dyDescent="0.3">
      <c r="A1235" s="15" t="s">
        <v>4461</v>
      </c>
      <c r="B1235" s="15" t="s">
        <v>4462</v>
      </c>
      <c r="C1235" s="18" t="s">
        <v>28</v>
      </c>
      <c r="D1235" s="15" t="s">
        <v>4463</v>
      </c>
      <c r="E1235" s="18" t="s">
        <v>28</v>
      </c>
      <c r="F1235" s="19" t="s">
        <v>28</v>
      </c>
      <c r="G1235" s="19" t="s">
        <v>28</v>
      </c>
      <c r="H1235" s="19" t="s">
        <v>28</v>
      </c>
      <c r="I1235" s="18" t="s">
        <v>28</v>
      </c>
      <c r="J1235" s="18" t="s">
        <v>28</v>
      </c>
      <c r="K1235" s="18" t="s">
        <v>28</v>
      </c>
      <c r="L1235" s="18" t="s">
        <v>28</v>
      </c>
      <c r="M1235" s="18" t="s">
        <v>28</v>
      </c>
      <c r="N1235" s="17">
        <v>45247</v>
      </c>
      <c r="O1235" s="15" t="s">
        <v>30</v>
      </c>
      <c r="P1235" s="16" t="s">
        <v>4464</v>
      </c>
      <c r="Q1235" s="15" t="s">
        <v>43</v>
      </c>
      <c r="R1235" s="13" t="str">
        <f>HYPERLINK("https://my.pitchbook.com?c=245716-57T","View Company Online")</f>
        <v>View Company Online</v>
      </c>
    </row>
    <row r="1236" spans="1:18" hidden="1" x14ac:dyDescent="0.3">
      <c r="A1236" s="9" t="s">
        <v>4465</v>
      </c>
      <c r="B1236" s="9" t="s">
        <v>1506</v>
      </c>
      <c r="C1236" s="11" t="s">
        <v>28</v>
      </c>
      <c r="D1236" s="9" t="s">
        <v>1507</v>
      </c>
      <c r="E1236" s="11" t="s">
        <v>28</v>
      </c>
      <c r="F1236" s="10" t="s">
        <v>28</v>
      </c>
      <c r="G1236" s="10" t="s">
        <v>28</v>
      </c>
      <c r="H1236" s="10" t="s">
        <v>28</v>
      </c>
      <c r="I1236" s="11" t="s">
        <v>28</v>
      </c>
      <c r="J1236" s="11" t="s">
        <v>28</v>
      </c>
      <c r="K1236" s="11" t="s">
        <v>28</v>
      </c>
      <c r="L1236" s="11" t="s">
        <v>28</v>
      </c>
      <c r="M1236" s="11" t="s">
        <v>28</v>
      </c>
      <c r="N1236" s="8">
        <v>45247</v>
      </c>
      <c r="O1236" s="9" t="s">
        <v>52</v>
      </c>
      <c r="P1236" s="12" t="s">
        <v>4466</v>
      </c>
      <c r="Q1236" s="9" t="s">
        <v>249</v>
      </c>
      <c r="R1236" s="14" t="str">
        <f>HYPERLINK("https://my.pitchbook.com?c=291925-27T","View Company Online")</f>
        <v>View Company Online</v>
      </c>
    </row>
    <row r="1237" spans="1:18" hidden="1" x14ac:dyDescent="0.3">
      <c r="A1237" s="15" t="s">
        <v>4467</v>
      </c>
      <c r="B1237" s="15" t="s">
        <v>1506</v>
      </c>
      <c r="C1237" s="18" t="s">
        <v>28</v>
      </c>
      <c r="D1237" s="15" t="s">
        <v>1507</v>
      </c>
      <c r="E1237" s="18" t="s">
        <v>28</v>
      </c>
      <c r="F1237" s="19" t="s">
        <v>28</v>
      </c>
      <c r="G1237" s="19" t="s">
        <v>28</v>
      </c>
      <c r="H1237" s="19" t="s">
        <v>28</v>
      </c>
      <c r="I1237" s="18" t="s">
        <v>28</v>
      </c>
      <c r="J1237" s="18" t="s">
        <v>28</v>
      </c>
      <c r="K1237" s="18" t="s">
        <v>28</v>
      </c>
      <c r="L1237" s="18" t="s">
        <v>28</v>
      </c>
      <c r="M1237" s="18" t="s">
        <v>28</v>
      </c>
      <c r="N1237" s="17">
        <v>45247</v>
      </c>
      <c r="O1237" s="15" t="s">
        <v>52</v>
      </c>
      <c r="P1237" s="16" t="s">
        <v>4468</v>
      </c>
      <c r="Q1237" s="15" t="s">
        <v>249</v>
      </c>
      <c r="R1237" s="13" t="str">
        <f>HYPERLINK("https://my.pitchbook.com?c=291927-25T","View Company Online")</f>
        <v>View Company Online</v>
      </c>
    </row>
    <row r="1238" spans="1:18" hidden="1" x14ac:dyDescent="0.3">
      <c r="A1238" s="9" t="s">
        <v>4469</v>
      </c>
      <c r="B1238" s="9" t="s">
        <v>4470</v>
      </c>
      <c r="C1238" s="11" t="s">
        <v>28</v>
      </c>
      <c r="D1238" s="9" t="s">
        <v>4471</v>
      </c>
      <c r="E1238" s="11" t="s">
        <v>28</v>
      </c>
      <c r="F1238" s="10" t="s">
        <v>28</v>
      </c>
      <c r="G1238" s="10">
        <v>32.5</v>
      </c>
      <c r="H1238" s="10" t="s">
        <v>28</v>
      </c>
      <c r="I1238" s="11" t="s">
        <v>28</v>
      </c>
      <c r="J1238" s="11" t="s">
        <v>28</v>
      </c>
      <c r="K1238" s="11" t="s">
        <v>28</v>
      </c>
      <c r="L1238" s="11" t="s">
        <v>28</v>
      </c>
      <c r="M1238" s="11" t="s">
        <v>28</v>
      </c>
      <c r="N1238" s="8">
        <v>45247</v>
      </c>
      <c r="O1238" s="9" t="s">
        <v>79</v>
      </c>
      <c r="P1238" s="12" t="s">
        <v>4472</v>
      </c>
      <c r="Q1238" s="9" t="s">
        <v>75</v>
      </c>
      <c r="R1238" s="14" t="str">
        <f>HYPERLINK("https://my.pitchbook.com?c=245653-03T","View Company Online")</f>
        <v>View Company Online</v>
      </c>
    </row>
    <row r="1239" spans="1:18" hidden="1" x14ac:dyDescent="0.3">
      <c r="A1239" s="15" t="s">
        <v>4473</v>
      </c>
      <c r="B1239" s="15" t="s">
        <v>1782</v>
      </c>
      <c r="C1239" s="18" t="s">
        <v>28</v>
      </c>
      <c r="D1239" s="15" t="s">
        <v>1783</v>
      </c>
      <c r="E1239" s="18" t="s">
        <v>28</v>
      </c>
      <c r="F1239" s="19" t="s">
        <v>28</v>
      </c>
      <c r="G1239" s="19">
        <v>0.3</v>
      </c>
      <c r="H1239" s="19" t="s">
        <v>28</v>
      </c>
      <c r="I1239" s="18" t="s">
        <v>28</v>
      </c>
      <c r="J1239" s="18" t="s">
        <v>28</v>
      </c>
      <c r="K1239" s="18" t="s">
        <v>28</v>
      </c>
      <c r="L1239" s="18" t="s">
        <v>28</v>
      </c>
      <c r="M1239" s="18" t="s">
        <v>28</v>
      </c>
      <c r="N1239" s="17">
        <v>45247</v>
      </c>
      <c r="O1239" s="15" t="s">
        <v>99</v>
      </c>
      <c r="P1239" s="16" t="s">
        <v>4474</v>
      </c>
      <c r="Q1239" s="15" t="s">
        <v>119</v>
      </c>
      <c r="R1239" s="13" t="str">
        <f>HYPERLINK("https://my.pitchbook.com?c=245721-52T","View Company Online")</f>
        <v>View Company Online</v>
      </c>
    </row>
    <row r="1240" spans="1:18" hidden="1" x14ac:dyDescent="0.3">
      <c r="A1240" s="9" t="s">
        <v>4475</v>
      </c>
      <c r="B1240" s="9" t="s">
        <v>4476</v>
      </c>
      <c r="C1240" s="11" t="s">
        <v>28</v>
      </c>
      <c r="D1240" s="9" t="s">
        <v>4477</v>
      </c>
      <c r="E1240" s="11" t="s">
        <v>28</v>
      </c>
      <c r="F1240" s="10" t="s">
        <v>28</v>
      </c>
      <c r="G1240" s="10" t="s">
        <v>28</v>
      </c>
      <c r="H1240" s="10" t="s">
        <v>28</v>
      </c>
      <c r="I1240" s="11" t="s">
        <v>28</v>
      </c>
      <c r="J1240" s="11" t="s">
        <v>28</v>
      </c>
      <c r="K1240" s="11" t="s">
        <v>28</v>
      </c>
      <c r="L1240" s="11" t="s">
        <v>28</v>
      </c>
      <c r="M1240" s="11" t="s">
        <v>28</v>
      </c>
      <c r="N1240" s="8">
        <v>45247</v>
      </c>
      <c r="O1240" s="9" t="s">
        <v>73</v>
      </c>
      <c r="P1240" s="12" t="s">
        <v>4478</v>
      </c>
      <c r="Q1240" s="9" t="s">
        <v>105</v>
      </c>
      <c r="R1240" s="14" t="str">
        <f>HYPERLINK("https://my.pitchbook.com?c=253460-62T","View Company Online")</f>
        <v>View Company Online</v>
      </c>
    </row>
    <row r="1241" spans="1:18" hidden="1" x14ac:dyDescent="0.3">
      <c r="A1241" s="15" t="s">
        <v>4479</v>
      </c>
      <c r="B1241" s="15" t="s">
        <v>4480</v>
      </c>
      <c r="C1241" s="18" t="s">
        <v>28</v>
      </c>
      <c r="D1241" s="15" t="s">
        <v>4481</v>
      </c>
      <c r="E1241" s="18" t="s">
        <v>28</v>
      </c>
      <c r="F1241" s="19" t="s">
        <v>28</v>
      </c>
      <c r="G1241" s="19" t="s">
        <v>28</v>
      </c>
      <c r="H1241" s="19" t="s">
        <v>28</v>
      </c>
      <c r="I1241" s="18" t="s">
        <v>28</v>
      </c>
      <c r="J1241" s="18" t="s">
        <v>28</v>
      </c>
      <c r="K1241" s="18" t="s">
        <v>28</v>
      </c>
      <c r="L1241" s="18" t="s">
        <v>28</v>
      </c>
      <c r="M1241" s="18" t="s">
        <v>28</v>
      </c>
      <c r="N1241" s="17">
        <v>45246</v>
      </c>
      <c r="O1241" s="15" t="s">
        <v>52</v>
      </c>
      <c r="P1241" s="16" t="s">
        <v>2830</v>
      </c>
      <c r="Q1241" s="15" t="s">
        <v>75</v>
      </c>
      <c r="R1241" s="13" t="str">
        <f>HYPERLINK("https://my.pitchbook.com?c=266485-06T","View Company Online")</f>
        <v>View Company Online</v>
      </c>
    </row>
    <row r="1242" spans="1:18" hidden="1" x14ac:dyDescent="0.3">
      <c r="A1242" s="9" t="s">
        <v>4482</v>
      </c>
      <c r="B1242" s="9" t="s">
        <v>4483</v>
      </c>
      <c r="C1242" s="11" t="s">
        <v>28</v>
      </c>
      <c r="D1242" s="9" t="s">
        <v>4484</v>
      </c>
      <c r="E1242" s="11" t="s">
        <v>28</v>
      </c>
      <c r="F1242" s="10" t="s">
        <v>28</v>
      </c>
      <c r="G1242" s="10">
        <v>1</v>
      </c>
      <c r="H1242" s="10" t="s">
        <v>28</v>
      </c>
      <c r="I1242" s="11" t="s">
        <v>28</v>
      </c>
      <c r="J1242" s="11" t="s">
        <v>28</v>
      </c>
      <c r="K1242" s="11" t="s">
        <v>28</v>
      </c>
      <c r="L1242" s="11" t="s">
        <v>28</v>
      </c>
      <c r="M1242" s="11" t="s">
        <v>28</v>
      </c>
      <c r="N1242" s="8">
        <v>45246</v>
      </c>
      <c r="O1242" s="9" t="s">
        <v>99</v>
      </c>
      <c r="P1242" s="12" t="s">
        <v>4485</v>
      </c>
      <c r="Q1242" s="9" t="s">
        <v>75</v>
      </c>
      <c r="R1242" s="14" t="str">
        <f>HYPERLINK("https://my.pitchbook.com?c=244367-11T","View Company Online")</f>
        <v>View Company Online</v>
      </c>
    </row>
    <row r="1243" spans="1:18" hidden="1" x14ac:dyDescent="0.3">
      <c r="A1243" s="15" t="s">
        <v>4486</v>
      </c>
      <c r="B1243" s="15" t="s">
        <v>4487</v>
      </c>
      <c r="C1243" s="18" t="s">
        <v>28</v>
      </c>
      <c r="D1243" s="15" t="s">
        <v>4488</v>
      </c>
      <c r="E1243" s="18" t="s">
        <v>28</v>
      </c>
      <c r="F1243" s="19" t="s">
        <v>28</v>
      </c>
      <c r="G1243" s="19">
        <v>2.0099999999999998</v>
      </c>
      <c r="H1243" s="19" t="s">
        <v>28</v>
      </c>
      <c r="I1243" s="18" t="s">
        <v>28</v>
      </c>
      <c r="J1243" s="18" t="s">
        <v>28</v>
      </c>
      <c r="K1243" s="18" t="s">
        <v>28</v>
      </c>
      <c r="L1243" s="18" t="s">
        <v>28</v>
      </c>
      <c r="M1243" s="18" t="s">
        <v>28</v>
      </c>
      <c r="N1243" s="17">
        <v>45244</v>
      </c>
      <c r="O1243" s="15" t="s">
        <v>79</v>
      </c>
      <c r="P1243" s="16" t="s">
        <v>4489</v>
      </c>
      <c r="Q1243" s="15" t="s">
        <v>75</v>
      </c>
      <c r="R1243" s="13" t="str">
        <f>HYPERLINK("https://my.pitchbook.com?c=245391-58T","View Company Online")</f>
        <v>View Company Online</v>
      </c>
    </row>
    <row r="1244" spans="1:18" hidden="1" x14ac:dyDescent="0.3">
      <c r="A1244" s="9" t="s">
        <v>4490</v>
      </c>
      <c r="B1244" s="9" t="s">
        <v>4491</v>
      </c>
      <c r="C1244" s="11" t="s">
        <v>28</v>
      </c>
      <c r="D1244" s="9" t="s">
        <v>4492</v>
      </c>
      <c r="E1244" s="11" t="s">
        <v>28</v>
      </c>
      <c r="F1244" s="10" t="s">
        <v>28</v>
      </c>
      <c r="G1244" s="10" t="s">
        <v>28</v>
      </c>
      <c r="H1244" s="10" t="s">
        <v>28</v>
      </c>
      <c r="I1244" s="11" t="s">
        <v>28</v>
      </c>
      <c r="J1244" s="11" t="s">
        <v>28</v>
      </c>
      <c r="K1244" s="11" t="s">
        <v>28</v>
      </c>
      <c r="L1244" s="11" t="s">
        <v>28</v>
      </c>
      <c r="M1244" s="11" t="s">
        <v>28</v>
      </c>
      <c r="N1244" s="8">
        <v>45244</v>
      </c>
      <c r="O1244" s="9" t="s">
        <v>52</v>
      </c>
      <c r="P1244" s="12" t="s">
        <v>1970</v>
      </c>
      <c r="Q1244" s="9" t="s">
        <v>75</v>
      </c>
      <c r="R1244" s="14" t="str">
        <f>HYPERLINK("https://my.pitchbook.com?c=295940-53T","View Company Online")</f>
        <v>View Company Online</v>
      </c>
    </row>
    <row r="1245" spans="1:18" hidden="1" x14ac:dyDescent="0.3">
      <c r="A1245" s="15" t="s">
        <v>4493</v>
      </c>
      <c r="B1245" s="15" t="s">
        <v>4494</v>
      </c>
      <c r="C1245" s="18" t="s">
        <v>28</v>
      </c>
      <c r="D1245" s="15" t="s">
        <v>4495</v>
      </c>
      <c r="E1245" s="18" t="s">
        <v>28</v>
      </c>
      <c r="F1245" s="19" t="s">
        <v>28</v>
      </c>
      <c r="G1245" s="19" t="s">
        <v>28</v>
      </c>
      <c r="H1245" s="19" t="s">
        <v>28</v>
      </c>
      <c r="I1245" s="18">
        <v>19.77</v>
      </c>
      <c r="J1245" s="18" t="s">
        <v>28</v>
      </c>
      <c r="K1245" s="18" t="s">
        <v>28</v>
      </c>
      <c r="L1245" s="18" t="s">
        <v>28</v>
      </c>
      <c r="M1245" s="18" t="s">
        <v>28</v>
      </c>
      <c r="N1245" s="17">
        <v>45244</v>
      </c>
      <c r="O1245" s="15" t="s">
        <v>30</v>
      </c>
      <c r="P1245" s="16" t="s">
        <v>4496</v>
      </c>
      <c r="Q1245" s="15" t="s">
        <v>424</v>
      </c>
      <c r="R1245" s="13" t="str">
        <f>HYPERLINK("https://my.pitchbook.com?c=245352-70T","View Company Online")</f>
        <v>View Company Online</v>
      </c>
    </row>
    <row r="1246" spans="1:18" hidden="1" x14ac:dyDescent="0.3">
      <c r="A1246" s="9" t="s">
        <v>4497</v>
      </c>
      <c r="B1246" s="9" t="s">
        <v>4498</v>
      </c>
      <c r="C1246" s="11" t="s">
        <v>28</v>
      </c>
      <c r="D1246" s="9" t="s">
        <v>4499</v>
      </c>
      <c r="E1246" s="11" t="s">
        <v>28</v>
      </c>
      <c r="F1246" s="10" t="s">
        <v>28</v>
      </c>
      <c r="G1246" s="10" t="s">
        <v>28</v>
      </c>
      <c r="H1246" s="10" t="s">
        <v>28</v>
      </c>
      <c r="I1246" s="11" t="s">
        <v>28</v>
      </c>
      <c r="J1246" s="11" t="s">
        <v>28</v>
      </c>
      <c r="K1246" s="11" t="s">
        <v>28</v>
      </c>
      <c r="L1246" s="11" t="s">
        <v>28</v>
      </c>
      <c r="M1246" s="11" t="s">
        <v>28</v>
      </c>
      <c r="N1246" s="8">
        <v>45244</v>
      </c>
      <c r="O1246" s="9" t="s">
        <v>52</v>
      </c>
      <c r="P1246" s="12" t="s">
        <v>4500</v>
      </c>
      <c r="Q1246" s="9" t="s">
        <v>43</v>
      </c>
      <c r="R1246" s="14" t="str">
        <f>HYPERLINK("https://my.pitchbook.com?c=277249-60T","View Company Online")</f>
        <v>View Company Online</v>
      </c>
    </row>
    <row r="1247" spans="1:18" hidden="1" x14ac:dyDescent="0.3">
      <c r="A1247" s="15" t="s">
        <v>4501</v>
      </c>
      <c r="B1247" s="15" t="s">
        <v>4502</v>
      </c>
      <c r="C1247" s="18" t="s">
        <v>28</v>
      </c>
      <c r="D1247" s="15" t="s">
        <v>4503</v>
      </c>
      <c r="E1247" s="18" t="s">
        <v>28</v>
      </c>
      <c r="F1247" s="19">
        <v>400.9</v>
      </c>
      <c r="G1247" s="19">
        <v>400.9</v>
      </c>
      <c r="H1247" s="19">
        <v>400.9</v>
      </c>
      <c r="I1247" s="18" t="s">
        <v>28</v>
      </c>
      <c r="J1247" s="18" t="s">
        <v>28</v>
      </c>
      <c r="K1247" s="18" t="s">
        <v>28</v>
      </c>
      <c r="L1247" s="18" t="s">
        <v>28</v>
      </c>
      <c r="M1247" s="18" t="s">
        <v>28</v>
      </c>
      <c r="N1247" s="17">
        <v>45243</v>
      </c>
      <c r="O1247" s="15" t="s">
        <v>30</v>
      </c>
      <c r="P1247" s="16" t="s">
        <v>28</v>
      </c>
      <c r="Q1247" s="15" t="s">
        <v>2916</v>
      </c>
      <c r="R1247" s="13" t="str">
        <f>HYPERLINK("https://my.pitchbook.com?c=216120-79T","View Company Online")</f>
        <v>View Company Online</v>
      </c>
    </row>
    <row r="1248" spans="1:18" hidden="1" x14ac:dyDescent="0.3">
      <c r="A1248" s="9" t="s">
        <v>4504</v>
      </c>
      <c r="B1248" s="9" t="s">
        <v>4505</v>
      </c>
      <c r="C1248" s="11" t="s">
        <v>28</v>
      </c>
      <c r="D1248" s="9" t="s">
        <v>4506</v>
      </c>
      <c r="E1248" s="11" t="s">
        <v>28</v>
      </c>
      <c r="F1248" s="10" t="s">
        <v>28</v>
      </c>
      <c r="G1248" s="10">
        <v>14.49</v>
      </c>
      <c r="H1248" s="10" t="s">
        <v>28</v>
      </c>
      <c r="I1248" s="11" t="s">
        <v>28</v>
      </c>
      <c r="J1248" s="11" t="s">
        <v>28</v>
      </c>
      <c r="K1248" s="11" t="s">
        <v>28</v>
      </c>
      <c r="L1248" s="11" t="s">
        <v>28</v>
      </c>
      <c r="M1248" s="11" t="s">
        <v>28</v>
      </c>
      <c r="N1248" s="8">
        <v>45243</v>
      </c>
      <c r="O1248" s="9" t="s">
        <v>73</v>
      </c>
      <c r="P1248" s="12" t="s">
        <v>4507</v>
      </c>
      <c r="Q1248" s="9" t="s">
        <v>37</v>
      </c>
      <c r="R1248" s="14" t="str">
        <f>HYPERLINK("https://my.pitchbook.com?c=245278-45T","View Company Online")</f>
        <v>View Company Online</v>
      </c>
    </row>
    <row r="1249" spans="1:18" hidden="1" x14ac:dyDescent="0.3">
      <c r="A1249" s="15" t="s">
        <v>4508</v>
      </c>
      <c r="B1249" s="15" t="s">
        <v>4509</v>
      </c>
      <c r="C1249" s="18" t="s">
        <v>28</v>
      </c>
      <c r="D1249" s="15" t="s">
        <v>4510</v>
      </c>
      <c r="E1249" s="18" t="s">
        <v>28</v>
      </c>
      <c r="F1249" s="19" t="s">
        <v>28</v>
      </c>
      <c r="G1249" s="19">
        <v>59.99</v>
      </c>
      <c r="H1249" s="19" t="s">
        <v>28</v>
      </c>
      <c r="I1249" s="18" t="s">
        <v>28</v>
      </c>
      <c r="J1249" s="18" t="s">
        <v>28</v>
      </c>
      <c r="K1249" s="18" t="s">
        <v>28</v>
      </c>
      <c r="L1249" s="18" t="s">
        <v>28</v>
      </c>
      <c r="M1249" s="18" t="s">
        <v>28</v>
      </c>
      <c r="N1249" s="17">
        <v>45240</v>
      </c>
      <c r="O1249" s="15" t="s">
        <v>173</v>
      </c>
      <c r="P1249" s="16" t="s">
        <v>28</v>
      </c>
      <c r="Q1249" s="15" t="s">
        <v>174</v>
      </c>
      <c r="R1249" s="13" t="str">
        <f>HYPERLINK("https://my.pitchbook.com?c=245454-22T","View Company Online")</f>
        <v>View Company Online</v>
      </c>
    </row>
    <row r="1250" spans="1:18" hidden="1" x14ac:dyDescent="0.3">
      <c r="A1250" s="9" t="s">
        <v>4511</v>
      </c>
      <c r="B1250" s="9" t="s">
        <v>4512</v>
      </c>
      <c r="C1250" s="11" t="s">
        <v>28</v>
      </c>
      <c r="D1250" s="9" t="s">
        <v>4513</v>
      </c>
      <c r="E1250" s="11" t="s">
        <v>28</v>
      </c>
      <c r="F1250" s="10" t="s">
        <v>28</v>
      </c>
      <c r="G1250" s="10">
        <v>0.06</v>
      </c>
      <c r="H1250" s="10" t="s">
        <v>28</v>
      </c>
      <c r="I1250" s="11" t="s">
        <v>28</v>
      </c>
      <c r="J1250" s="11" t="s">
        <v>28</v>
      </c>
      <c r="K1250" s="11" t="s">
        <v>28</v>
      </c>
      <c r="L1250" s="11" t="s">
        <v>28</v>
      </c>
      <c r="M1250" s="11" t="s">
        <v>28</v>
      </c>
      <c r="N1250" s="8">
        <v>45239</v>
      </c>
      <c r="O1250" s="9" t="s">
        <v>52</v>
      </c>
      <c r="P1250" s="12" t="s">
        <v>4514</v>
      </c>
      <c r="Q1250" s="9" t="s">
        <v>245</v>
      </c>
      <c r="R1250" s="14" t="str">
        <f>HYPERLINK("https://my.pitchbook.com?c=288199-90T","View Company Online")</f>
        <v>View Company Online</v>
      </c>
    </row>
    <row r="1251" spans="1:18" hidden="1" x14ac:dyDescent="0.3">
      <c r="A1251" s="15" t="s">
        <v>4515</v>
      </c>
      <c r="B1251" s="15" t="s">
        <v>4516</v>
      </c>
      <c r="C1251" s="18" t="s">
        <v>28</v>
      </c>
      <c r="D1251" s="15" t="s">
        <v>4517</v>
      </c>
      <c r="E1251" s="18" t="s">
        <v>28</v>
      </c>
      <c r="F1251" s="19" t="s">
        <v>28</v>
      </c>
      <c r="G1251" s="19" t="s">
        <v>28</v>
      </c>
      <c r="H1251" s="19" t="s">
        <v>28</v>
      </c>
      <c r="I1251" s="18" t="s">
        <v>28</v>
      </c>
      <c r="J1251" s="18" t="s">
        <v>28</v>
      </c>
      <c r="K1251" s="18" t="s">
        <v>28</v>
      </c>
      <c r="L1251" s="18" t="s">
        <v>28</v>
      </c>
      <c r="M1251" s="18" t="s">
        <v>28</v>
      </c>
      <c r="N1251" s="17">
        <v>45239</v>
      </c>
      <c r="O1251" s="15" t="s">
        <v>173</v>
      </c>
      <c r="P1251" s="16" t="s">
        <v>28</v>
      </c>
      <c r="Q1251" s="15" t="s">
        <v>174</v>
      </c>
      <c r="R1251" s="13" t="str">
        <f>HYPERLINK("https://my.pitchbook.com?c=245511-19T","View Company Online")</f>
        <v>View Company Online</v>
      </c>
    </row>
    <row r="1252" spans="1:18" hidden="1" x14ac:dyDescent="0.3">
      <c r="A1252" s="9" t="s">
        <v>4518</v>
      </c>
      <c r="B1252" s="9" t="s">
        <v>239</v>
      </c>
      <c r="C1252" s="11" t="s">
        <v>28</v>
      </c>
      <c r="D1252" s="9" t="s">
        <v>4519</v>
      </c>
      <c r="E1252" s="11">
        <v>0.87</v>
      </c>
      <c r="F1252" s="10" t="s">
        <v>28</v>
      </c>
      <c r="G1252" s="10" t="s">
        <v>28</v>
      </c>
      <c r="H1252" s="10" t="s">
        <v>28</v>
      </c>
      <c r="I1252" s="11">
        <v>1.33</v>
      </c>
      <c r="J1252" s="11" t="s">
        <v>28</v>
      </c>
      <c r="K1252" s="11">
        <v>12.11</v>
      </c>
      <c r="L1252" s="11" t="s">
        <v>28</v>
      </c>
      <c r="M1252" s="11">
        <v>0.59</v>
      </c>
      <c r="N1252" s="8">
        <v>45239</v>
      </c>
      <c r="O1252" s="9" t="s">
        <v>159</v>
      </c>
      <c r="P1252" s="12" t="s">
        <v>2579</v>
      </c>
      <c r="Q1252" s="9" t="s">
        <v>95</v>
      </c>
      <c r="R1252" s="14" t="str">
        <f>HYPERLINK("https://my.pitchbook.com?c=247486-06T","View Company Online")</f>
        <v>View Company Online</v>
      </c>
    </row>
    <row r="1253" spans="1:18" hidden="1" x14ac:dyDescent="0.3">
      <c r="A1253" s="15" t="s">
        <v>4520</v>
      </c>
      <c r="B1253" s="15" t="s">
        <v>4521</v>
      </c>
      <c r="C1253" s="18" t="s">
        <v>28</v>
      </c>
      <c r="D1253" s="15" t="s">
        <v>4522</v>
      </c>
      <c r="E1253" s="18" t="s">
        <v>28</v>
      </c>
      <c r="F1253" s="19" t="s">
        <v>28</v>
      </c>
      <c r="G1253" s="19">
        <v>0.41</v>
      </c>
      <c r="H1253" s="19" t="s">
        <v>28</v>
      </c>
      <c r="I1253" s="18" t="s">
        <v>28</v>
      </c>
      <c r="J1253" s="18" t="s">
        <v>28</v>
      </c>
      <c r="K1253" s="18" t="s">
        <v>28</v>
      </c>
      <c r="L1253" s="18" t="s">
        <v>28</v>
      </c>
      <c r="M1253" s="18" t="s">
        <v>28</v>
      </c>
      <c r="N1253" s="17">
        <v>45238</v>
      </c>
      <c r="O1253" s="15" t="s">
        <v>79</v>
      </c>
      <c r="P1253" s="16" t="s">
        <v>4523</v>
      </c>
      <c r="Q1253" s="15" t="s">
        <v>75</v>
      </c>
      <c r="R1253" s="13" t="str">
        <f>HYPERLINK("https://my.pitchbook.com?c=219133-54T","View Company Online")</f>
        <v>View Company Online</v>
      </c>
    </row>
    <row r="1254" spans="1:18" hidden="1" x14ac:dyDescent="0.3">
      <c r="A1254" s="9" t="s">
        <v>4524</v>
      </c>
      <c r="B1254" s="9" t="s">
        <v>4525</v>
      </c>
      <c r="C1254" s="11" t="s">
        <v>28</v>
      </c>
      <c r="D1254" s="9" t="s">
        <v>4526</v>
      </c>
      <c r="E1254" s="11" t="s">
        <v>28</v>
      </c>
      <c r="F1254" s="10">
        <v>1.51</v>
      </c>
      <c r="G1254" s="10">
        <v>1.51</v>
      </c>
      <c r="H1254" s="10">
        <v>1.51</v>
      </c>
      <c r="I1254" s="11" t="s">
        <v>28</v>
      </c>
      <c r="J1254" s="11" t="s">
        <v>28</v>
      </c>
      <c r="K1254" s="11" t="s">
        <v>28</v>
      </c>
      <c r="L1254" s="11" t="s">
        <v>28</v>
      </c>
      <c r="M1254" s="11" t="s">
        <v>28</v>
      </c>
      <c r="N1254" s="8">
        <v>45238</v>
      </c>
      <c r="O1254" s="9" t="s">
        <v>30</v>
      </c>
      <c r="P1254" s="12" t="s">
        <v>4527</v>
      </c>
      <c r="Q1254" s="9" t="s">
        <v>470</v>
      </c>
      <c r="R1254" s="14" t="str">
        <f>HYPERLINK("https://my.pitchbook.com?c=241569-46T","View Company Online")</f>
        <v>View Company Online</v>
      </c>
    </row>
    <row r="1255" spans="1:18" hidden="1" x14ac:dyDescent="0.3">
      <c r="A1255" s="15" t="s">
        <v>4528</v>
      </c>
      <c r="B1255" s="15" t="s">
        <v>4480</v>
      </c>
      <c r="C1255" s="18" t="s">
        <v>28</v>
      </c>
      <c r="D1255" s="15" t="s">
        <v>4481</v>
      </c>
      <c r="E1255" s="18" t="s">
        <v>28</v>
      </c>
      <c r="F1255" s="19" t="s">
        <v>28</v>
      </c>
      <c r="G1255" s="19">
        <v>1.44</v>
      </c>
      <c r="H1255" s="19" t="s">
        <v>28</v>
      </c>
      <c r="I1255" s="18" t="s">
        <v>28</v>
      </c>
      <c r="J1255" s="18" t="s">
        <v>28</v>
      </c>
      <c r="K1255" s="18" t="s">
        <v>28</v>
      </c>
      <c r="L1255" s="18" t="s">
        <v>28</v>
      </c>
      <c r="M1255" s="18" t="s">
        <v>28</v>
      </c>
      <c r="N1255" s="17">
        <v>45237</v>
      </c>
      <c r="O1255" s="15" t="s">
        <v>58</v>
      </c>
      <c r="P1255" s="16" t="s">
        <v>4529</v>
      </c>
      <c r="Q1255" s="15" t="s">
        <v>75</v>
      </c>
      <c r="R1255" s="13" t="str">
        <f>HYPERLINK("https://my.pitchbook.com?c=244940-95T","View Company Online")</f>
        <v>View Company Online</v>
      </c>
    </row>
    <row r="1256" spans="1:18" hidden="1" x14ac:dyDescent="0.3">
      <c r="A1256" s="9" t="s">
        <v>4530</v>
      </c>
      <c r="B1256" s="9" t="s">
        <v>1681</v>
      </c>
      <c r="C1256" s="11" t="s">
        <v>28</v>
      </c>
      <c r="D1256" s="9" t="s">
        <v>1682</v>
      </c>
      <c r="E1256" s="11" t="s">
        <v>28</v>
      </c>
      <c r="F1256" s="10" t="s">
        <v>28</v>
      </c>
      <c r="G1256" s="10" t="s">
        <v>28</v>
      </c>
      <c r="H1256" s="10" t="s">
        <v>28</v>
      </c>
      <c r="I1256" s="11" t="s">
        <v>28</v>
      </c>
      <c r="J1256" s="11" t="s">
        <v>28</v>
      </c>
      <c r="K1256" s="11" t="s">
        <v>28</v>
      </c>
      <c r="L1256" s="11" t="s">
        <v>28</v>
      </c>
      <c r="M1256" s="11" t="s">
        <v>28</v>
      </c>
      <c r="N1256" s="8">
        <v>45237</v>
      </c>
      <c r="O1256" s="9" t="s">
        <v>52</v>
      </c>
      <c r="P1256" s="12" t="s">
        <v>1199</v>
      </c>
      <c r="Q1256" s="9" t="s">
        <v>75</v>
      </c>
      <c r="R1256" s="14" t="str">
        <f>HYPERLINK("https://my.pitchbook.com?c=257860-54T","View Company Online")</f>
        <v>View Company Online</v>
      </c>
    </row>
    <row r="1257" spans="1:18" hidden="1" x14ac:dyDescent="0.3">
      <c r="A1257" s="15" t="s">
        <v>4531</v>
      </c>
      <c r="B1257" s="15" t="s">
        <v>4532</v>
      </c>
      <c r="C1257" s="18" t="s">
        <v>28</v>
      </c>
      <c r="D1257" s="15" t="s">
        <v>4533</v>
      </c>
      <c r="E1257" s="18" t="s">
        <v>28</v>
      </c>
      <c r="F1257" s="19" t="s">
        <v>28</v>
      </c>
      <c r="G1257" s="19" t="s">
        <v>28</v>
      </c>
      <c r="H1257" s="19" t="s">
        <v>28</v>
      </c>
      <c r="I1257" s="18" t="s">
        <v>28</v>
      </c>
      <c r="J1257" s="18" t="s">
        <v>28</v>
      </c>
      <c r="K1257" s="18" t="s">
        <v>28</v>
      </c>
      <c r="L1257" s="18" t="s">
        <v>28</v>
      </c>
      <c r="M1257" s="18" t="s">
        <v>28</v>
      </c>
      <c r="N1257" s="17">
        <v>45237</v>
      </c>
      <c r="O1257" s="15" t="s">
        <v>52</v>
      </c>
      <c r="P1257" s="16" t="s">
        <v>1199</v>
      </c>
      <c r="Q1257" s="15" t="s">
        <v>37</v>
      </c>
      <c r="R1257" s="13" t="str">
        <f>HYPERLINK("https://my.pitchbook.com?c=285511-78T","View Company Online")</f>
        <v>View Company Online</v>
      </c>
    </row>
    <row r="1258" spans="1:18" hidden="1" x14ac:dyDescent="0.3">
      <c r="A1258" s="9" t="s">
        <v>4534</v>
      </c>
      <c r="B1258" s="9" t="s">
        <v>4535</v>
      </c>
      <c r="C1258" s="11" t="s">
        <v>28</v>
      </c>
      <c r="D1258" s="9" t="s">
        <v>4536</v>
      </c>
      <c r="E1258" s="11" t="s">
        <v>28</v>
      </c>
      <c r="F1258" s="10" t="s">
        <v>28</v>
      </c>
      <c r="G1258" s="10" t="s">
        <v>28</v>
      </c>
      <c r="H1258" s="10" t="s">
        <v>28</v>
      </c>
      <c r="I1258" s="11" t="s">
        <v>28</v>
      </c>
      <c r="J1258" s="11" t="s">
        <v>28</v>
      </c>
      <c r="K1258" s="11" t="s">
        <v>28</v>
      </c>
      <c r="L1258" s="11" t="s">
        <v>28</v>
      </c>
      <c r="M1258" s="11" t="s">
        <v>28</v>
      </c>
      <c r="N1258" s="8">
        <v>45237</v>
      </c>
      <c r="O1258" s="9" t="s">
        <v>52</v>
      </c>
      <c r="P1258" s="12" t="s">
        <v>1199</v>
      </c>
      <c r="Q1258" s="9" t="s">
        <v>75</v>
      </c>
      <c r="R1258" s="14" t="str">
        <f>HYPERLINK("https://my.pitchbook.com?c=285500-44T","View Company Online")</f>
        <v>View Company Online</v>
      </c>
    </row>
    <row r="1259" spans="1:18" hidden="1" x14ac:dyDescent="0.3">
      <c r="A1259" s="15" t="s">
        <v>4537</v>
      </c>
      <c r="B1259" s="15" t="s">
        <v>4538</v>
      </c>
      <c r="C1259" s="18" t="s">
        <v>28</v>
      </c>
      <c r="D1259" s="15" t="s">
        <v>4539</v>
      </c>
      <c r="E1259" s="18" t="s">
        <v>28</v>
      </c>
      <c r="F1259" s="19" t="s">
        <v>28</v>
      </c>
      <c r="G1259" s="19" t="s">
        <v>28</v>
      </c>
      <c r="H1259" s="19" t="s">
        <v>28</v>
      </c>
      <c r="I1259" s="18" t="s">
        <v>28</v>
      </c>
      <c r="J1259" s="18" t="s">
        <v>28</v>
      </c>
      <c r="K1259" s="18">
        <v>7.57</v>
      </c>
      <c r="L1259" s="18" t="s">
        <v>28</v>
      </c>
      <c r="M1259" s="18" t="s">
        <v>28</v>
      </c>
      <c r="N1259" s="17">
        <v>45237</v>
      </c>
      <c r="O1259" s="15" t="s">
        <v>30</v>
      </c>
      <c r="P1259" s="16" t="s">
        <v>4540</v>
      </c>
      <c r="Q1259" s="15" t="s">
        <v>381</v>
      </c>
      <c r="R1259" s="13" t="str">
        <f>HYPERLINK("https://my.pitchbook.com?c=245047-78T","View Company Online")</f>
        <v>View Company Online</v>
      </c>
    </row>
    <row r="1260" spans="1:18" hidden="1" x14ac:dyDescent="0.3">
      <c r="A1260" s="9" t="s">
        <v>4541</v>
      </c>
      <c r="B1260" s="9" t="s">
        <v>4542</v>
      </c>
      <c r="C1260" s="11" t="s">
        <v>28</v>
      </c>
      <c r="D1260" s="9" t="s">
        <v>4543</v>
      </c>
      <c r="E1260" s="11" t="s">
        <v>28</v>
      </c>
      <c r="F1260" s="10" t="s">
        <v>28</v>
      </c>
      <c r="G1260" s="10">
        <v>14.19</v>
      </c>
      <c r="H1260" s="10" t="s">
        <v>28</v>
      </c>
      <c r="I1260" s="11" t="s">
        <v>28</v>
      </c>
      <c r="J1260" s="11" t="s">
        <v>28</v>
      </c>
      <c r="K1260" s="11" t="s">
        <v>28</v>
      </c>
      <c r="L1260" s="11" t="s">
        <v>28</v>
      </c>
      <c r="M1260" s="11" t="s">
        <v>28</v>
      </c>
      <c r="N1260" s="8">
        <v>45237</v>
      </c>
      <c r="O1260" s="9" t="s">
        <v>93</v>
      </c>
      <c r="P1260" s="12" t="s">
        <v>4544</v>
      </c>
      <c r="Q1260" s="9" t="s">
        <v>37</v>
      </c>
      <c r="R1260" s="14" t="str">
        <f>HYPERLINK("https://my.pitchbook.com?c=245216-89T","View Company Online")</f>
        <v>View Company Online</v>
      </c>
    </row>
    <row r="1261" spans="1:18" hidden="1" x14ac:dyDescent="0.3">
      <c r="A1261" s="15" t="s">
        <v>4545</v>
      </c>
      <c r="B1261" s="15" t="s">
        <v>4546</v>
      </c>
      <c r="C1261" s="18" t="s">
        <v>28</v>
      </c>
      <c r="D1261" s="15" t="s">
        <v>4547</v>
      </c>
      <c r="E1261" s="18" t="s">
        <v>28</v>
      </c>
      <c r="F1261" s="19" t="s">
        <v>28</v>
      </c>
      <c r="G1261" s="19" t="s">
        <v>28</v>
      </c>
      <c r="H1261" s="19" t="s">
        <v>28</v>
      </c>
      <c r="I1261" s="18" t="s">
        <v>28</v>
      </c>
      <c r="J1261" s="18" t="s">
        <v>28</v>
      </c>
      <c r="K1261" s="18" t="s">
        <v>28</v>
      </c>
      <c r="L1261" s="18" t="s">
        <v>28</v>
      </c>
      <c r="M1261" s="18" t="s">
        <v>28</v>
      </c>
      <c r="N1261" s="17">
        <v>45236</v>
      </c>
      <c r="O1261" s="15" t="s">
        <v>52</v>
      </c>
      <c r="P1261" s="16" t="s">
        <v>1453</v>
      </c>
      <c r="Q1261" s="15" t="s">
        <v>75</v>
      </c>
      <c r="R1261" s="13" t="str">
        <f>HYPERLINK("https://my.pitchbook.com?c=284232-25T","View Company Online")</f>
        <v>View Company Online</v>
      </c>
    </row>
    <row r="1262" spans="1:18" hidden="1" x14ac:dyDescent="0.3">
      <c r="A1262" s="9" t="s">
        <v>4548</v>
      </c>
      <c r="B1262" s="9" t="s">
        <v>4549</v>
      </c>
      <c r="C1262" s="11" t="s">
        <v>28</v>
      </c>
      <c r="D1262" s="9" t="s">
        <v>4550</v>
      </c>
      <c r="E1262" s="11" t="s">
        <v>28</v>
      </c>
      <c r="F1262" s="10" t="s">
        <v>28</v>
      </c>
      <c r="G1262" s="10">
        <v>79.5</v>
      </c>
      <c r="H1262" s="10" t="s">
        <v>28</v>
      </c>
      <c r="I1262" s="11" t="s">
        <v>28</v>
      </c>
      <c r="J1262" s="11" t="s">
        <v>28</v>
      </c>
      <c r="K1262" s="11" t="s">
        <v>28</v>
      </c>
      <c r="L1262" s="11" t="s">
        <v>28</v>
      </c>
      <c r="M1262" s="11" t="s">
        <v>28</v>
      </c>
      <c r="N1262" s="8">
        <v>45236</v>
      </c>
      <c r="O1262" s="9" t="s">
        <v>173</v>
      </c>
      <c r="P1262" s="12" t="s">
        <v>28</v>
      </c>
      <c r="Q1262" s="9" t="s">
        <v>174</v>
      </c>
      <c r="R1262" s="14" t="str">
        <f>HYPERLINK("https://my.pitchbook.com?c=245555-20T","View Company Online")</f>
        <v>View Company Online</v>
      </c>
    </row>
    <row r="1263" spans="1:18" hidden="1" x14ac:dyDescent="0.3">
      <c r="A1263" s="15" t="s">
        <v>4551</v>
      </c>
      <c r="B1263" s="15" t="s">
        <v>4552</v>
      </c>
      <c r="C1263" s="18" t="s">
        <v>28</v>
      </c>
      <c r="D1263" s="15" t="s">
        <v>4553</v>
      </c>
      <c r="E1263" s="18" t="s">
        <v>28</v>
      </c>
      <c r="F1263" s="19" t="s">
        <v>28</v>
      </c>
      <c r="G1263" s="19" t="s">
        <v>28</v>
      </c>
      <c r="H1263" s="19" t="s">
        <v>28</v>
      </c>
      <c r="I1263" s="18" t="s">
        <v>28</v>
      </c>
      <c r="J1263" s="18" t="s">
        <v>28</v>
      </c>
      <c r="K1263" s="18" t="s">
        <v>28</v>
      </c>
      <c r="L1263" s="18" t="s">
        <v>28</v>
      </c>
      <c r="M1263" s="18" t="s">
        <v>28</v>
      </c>
      <c r="N1263" s="17">
        <v>45236</v>
      </c>
      <c r="O1263" s="15" t="s">
        <v>41</v>
      </c>
      <c r="P1263" s="16" t="s">
        <v>4554</v>
      </c>
      <c r="Q1263" s="15" t="s">
        <v>3048</v>
      </c>
      <c r="R1263" s="13" t="str">
        <f>HYPERLINK("https://my.pitchbook.com?c=276844-96T","View Company Online")</f>
        <v>View Company Online</v>
      </c>
    </row>
    <row r="1264" spans="1:18" hidden="1" x14ac:dyDescent="0.3">
      <c r="A1264" s="9" t="s">
        <v>4555</v>
      </c>
      <c r="B1264" s="9" t="s">
        <v>4556</v>
      </c>
      <c r="C1264" s="11" t="s">
        <v>28</v>
      </c>
      <c r="D1264" s="9" t="s">
        <v>4557</v>
      </c>
      <c r="E1264" s="11" t="s">
        <v>28</v>
      </c>
      <c r="F1264" s="10" t="s">
        <v>28</v>
      </c>
      <c r="G1264" s="10">
        <v>19.88</v>
      </c>
      <c r="H1264" s="10" t="s">
        <v>28</v>
      </c>
      <c r="I1264" s="11" t="s">
        <v>28</v>
      </c>
      <c r="J1264" s="11" t="s">
        <v>28</v>
      </c>
      <c r="K1264" s="11">
        <v>-0.42</v>
      </c>
      <c r="L1264" s="11" t="s">
        <v>28</v>
      </c>
      <c r="M1264" s="11">
        <v>-0.69</v>
      </c>
      <c r="N1264" s="8">
        <v>45236</v>
      </c>
      <c r="O1264" s="9" t="s">
        <v>173</v>
      </c>
      <c r="P1264" s="12" t="s">
        <v>28</v>
      </c>
      <c r="Q1264" s="9" t="s">
        <v>174</v>
      </c>
      <c r="R1264" s="14" t="str">
        <f>HYPERLINK("https://my.pitchbook.com?c=245555-83T","View Company Online")</f>
        <v>View Company Online</v>
      </c>
    </row>
    <row r="1265" spans="1:18" hidden="1" x14ac:dyDescent="0.3">
      <c r="A1265" s="15" t="s">
        <v>4558</v>
      </c>
      <c r="B1265" s="15" t="s">
        <v>4559</v>
      </c>
      <c r="C1265" s="18" t="s">
        <v>28</v>
      </c>
      <c r="D1265" s="15" t="s">
        <v>4560</v>
      </c>
      <c r="E1265" s="18">
        <v>13.56</v>
      </c>
      <c r="F1265" s="19" t="s">
        <v>28</v>
      </c>
      <c r="G1265" s="19">
        <v>40.15</v>
      </c>
      <c r="H1265" s="19" t="s">
        <v>28</v>
      </c>
      <c r="I1265" s="18">
        <v>13.56</v>
      </c>
      <c r="J1265" s="18" t="s">
        <v>28</v>
      </c>
      <c r="K1265" s="18">
        <v>12.12</v>
      </c>
      <c r="L1265" s="18" t="s">
        <v>28</v>
      </c>
      <c r="M1265" s="18">
        <v>13.56</v>
      </c>
      <c r="N1265" s="17">
        <v>45236</v>
      </c>
      <c r="O1265" s="15" t="s">
        <v>159</v>
      </c>
      <c r="P1265" s="16" t="s">
        <v>28</v>
      </c>
      <c r="Q1265" s="15" t="s">
        <v>240</v>
      </c>
      <c r="R1265" s="13" t="str">
        <f>HYPERLINK("https://my.pitchbook.com?c=250029-91T","View Company Online")</f>
        <v>View Company Online</v>
      </c>
    </row>
    <row r="1266" spans="1:18" hidden="1" x14ac:dyDescent="0.3">
      <c r="A1266" s="9" t="s">
        <v>4561</v>
      </c>
      <c r="B1266" s="9" t="s">
        <v>1134</v>
      </c>
      <c r="C1266" s="11" t="s">
        <v>28</v>
      </c>
      <c r="D1266" s="9" t="s">
        <v>1135</v>
      </c>
      <c r="E1266" s="11" t="s">
        <v>28</v>
      </c>
      <c r="F1266" s="10" t="s">
        <v>28</v>
      </c>
      <c r="G1266" s="10">
        <v>0.24</v>
      </c>
      <c r="H1266" s="10" t="s">
        <v>28</v>
      </c>
      <c r="I1266" s="11" t="s">
        <v>28</v>
      </c>
      <c r="J1266" s="11" t="s">
        <v>28</v>
      </c>
      <c r="K1266" s="11" t="s">
        <v>28</v>
      </c>
      <c r="L1266" s="11" t="s">
        <v>28</v>
      </c>
      <c r="M1266" s="11" t="s">
        <v>28</v>
      </c>
      <c r="N1266" s="8">
        <v>45235</v>
      </c>
      <c r="O1266" s="9" t="s">
        <v>99</v>
      </c>
      <c r="P1266" s="12" t="s">
        <v>4562</v>
      </c>
      <c r="Q1266" s="9" t="s">
        <v>566</v>
      </c>
      <c r="R1266" s="14" t="str">
        <f>HYPERLINK("https://my.pitchbook.com?c=205084-81T","View Company Online")</f>
        <v>View Company Online</v>
      </c>
    </row>
    <row r="1267" spans="1:18" hidden="1" x14ac:dyDescent="0.3">
      <c r="A1267" s="15" t="s">
        <v>4563</v>
      </c>
      <c r="B1267" s="15" t="s">
        <v>4447</v>
      </c>
      <c r="C1267" s="18" t="s">
        <v>28</v>
      </c>
      <c r="D1267" s="15" t="s">
        <v>4448</v>
      </c>
      <c r="E1267" s="18" t="s">
        <v>28</v>
      </c>
      <c r="F1267" s="19" t="s">
        <v>28</v>
      </c>
      <c r="G1267" s="19">
        <v>0.11</v>
      </c>
      <c r="H1267" s="19" t="s">
        <v>28</v>
      </c>
      <c r="I1267" s="18" t="s">
        <v>28</v>
      </c>
      <c r="J1267" s="18" t="s">
        <v>28</v>
      </c>
      <c r="K1267" s="18" t="s">
        <v>28</v>
      </c>
      <c r="L1267" s="18" t="s">
        <v>28</v>
      </c>
      <c r="M1267" s="18" t="s">
        <v>28</v>
      </c>
      <c r="N1267" s="17">
        <v>45235</v>
      </c>
      <c r="O1267" s="15" t="s">
        <v>99</v>
      </c>
      <c r="P1267" s="16" t="s">
        <v>4564</v>
      </c>
      <c r="Q1267" s="15" t="s">
        <v>75</v>
      </c>
      <c r="R1267" s="13" t="str">
        <f>HYPERLINK("https://my.pitchbook.com?c=250628-32T","View Company Online")</f>
        <v>View Company Online</v>
      </c>
    </row>
    <row r="1268" spans="1:18" hidden="1" x14ac:dyDescent="0.3">
      <c r="A1268" s="9" t="s">
        <v>4565</v>
      </c>
      <c r="B1268" s="9" t="s">
        <v>4566</v>
      </c>
      <c r="C1268" s="11" t="s">
        <v>28</v>
      </c>
      <c r="D1268" s="9" t="s">
        <v>4567</v>
      </c>
      <c r="E1268" s="11" t="s">
        <v>28</v>
      </c>
      <c r="F1268" s="10" t="s">
        <v>28</v>
      </c>
      <c r="G1268" s="10">
        <v>346.74</v>
      </c>
      <c r="H1268" s="10" t="s">
        <v>28</v>
      </c>
      <c r="I1268" s="11" t="s">
        <v>28</v>
      </c>
      <c r="J1268" s="11" t="s">
        <v>28</v>
      </c>
      <c r="K1268" s="11" t="s">
        <v>28</v>
      </c>
      <c r="L1268" s="11" t="s">
        <v>28</v>
      </c>
      <c r="M1268" s="11" t="s">
        <v>28</v>
      </c>
      <c r="N1268" s="8">
        <v>45234</v>
      </c>
      <c r="O1268" s="9" t="s">
        <v>79</v>
      </c>
      <c r="P1268" s="12" t="s">
        <v>4568</v>
      </c>
      <c r="Q1268" s="9" t="s">
        <v>249</v>
      </c>
      <c r="R1268" s="14" t="str">
        <f>HYPERLINK("https://my.pitchbook.com?c=258852-52T","View Company Online")</f>
        <v>View Company Online</v>
      </c>
    </row>
    <row r="1269" spans="1:18" hidden="1" x14ac:dyDescent="0.3">
      <c r="A1269" s="15" t="s">
        <v>4569</v>
      </c>
      <c r="B1269" s="15" t="s">
        <v>4570</v>
      </c>
      <c r="C1269" s="18" t="s">
        <v>28</v>
      </c>
      <c r="D1269" s="15" t="s">
        <v>4571</v>
      </c>
      <c r="E1269" s="18" t="s">
        <v>28</v>
      </c>
      <c r="F1269" s="19">
        <v>140.5</v>
      </c>
      <c r="G1269" s="19">
        <v>140.5</v>
      </c>
      <c r="H1269" s="19">
        <v>140.5</v>
      </c>
      <c r="I1269" s="18" t="s">
        <v>28</v>
      </c>
      <c r="J1269" s="18" t="s">
        <v>28</v>
      </c>
      <c r="K1269" s="18" t="s">
        <v>28</v>
      </c>
      <c r="L1269" s="18" t="s">
        <v>28</v>
      </c>
      <c r="M1269" s="18" t="s">
        <v>28</v>
      </c>
      <c r="N1269" s="17">
        <v>45233</v>
      </c>
      <c r="O1269" s="15" t="s">
        <v>30</v>
      </c>
      <c r="P1269" s="16" t="s">
        <v>4572</v>
      </c>
      <c r="Q1269" s="15" t="s">
        <v>136</v>
      </c>
      <c r="R1269" s="13" t="str">
        <f>HYPERLINK("https://my.pitchbook.com?c=210428-20T","View Company Online")</f>
        <v>View Company Online</v>
      </c>
    </row>
    <row r="1270" spans="1:18" hidden="1" x14ac:dyDescent="0.3">
      <c r="A1270" s="9" t="s">
        <v>4573</v>
      </c>
      <c r="B1270" s="9" t="s">
        <v>4574</v>
      </c>
      <c r="C1270" s="11" t="s">
        <v>28</v>
      </c>
      <c r="D1270" s="9" t="s">
        <v>4575</v>
      </c>
      <c r="E1270" s="11" t="s">
        <v>28</v>
      </c>
      <c r="F1270" s="10" t="s">
        <v>28</v>
      </c>
      <c r="G1270" s="10">
        <v>2.77</v>
      </c>
      <c r="H1270" s="10" t="s">
        <v>28</v>
      </c>
      <c r="I1270" s="11" t="s">
        <v>28</v>
      </c>
      <c r="J1270" s="11" t="s">
        <v>28</v>
      </c>
      <c r="K1270" s="11">
        <v>10</v>
      </c>
      <c r="L1270" s="11" t="s">
        <v>28</v>
      </c>
      <c r="M1270" s="11" t="s">
        <v>28</v>
      </c>
      <c r="N1270" s="8">
        <v>45233</v>
      </c>
      <c r="O1270" s="9" t="s">
        <v>99</v>
      </c>
      <c r="P1270" s="12" t="s">
        <v>4576</v>
      </c>
      <c r="Q1270" s="9" t="s">
        <v>566</v>
      </c>
      <c r="R1270" s="14" t="str">
        <f>HYPERLINK("https://my.pitchbook.com?c=244210-78T","View Company Online")</f>
        <v>View Company Online</v>
      </c>
    </row>
    <row r="1271" spans="1:18" hidden="1" x14ac:dyDescent="0.3">
      <c r="A1271" s="15" t="s">
        <v>4577</v>
      </c>
      <c r="B1271" s="15" t="s">
        <v>4578</v>
      </c>
      <c r="C1271" s="18" t="s">
        <v>28</v>
      </c>
      <c r="D1271" s="15" t="s">
        <v>4579</v>
      </c>
      <c r="E1271" s="18" t="s">
        <v>28</v>
      </c>
      <c r="F1271" s="19">
        <v>138.51</v>
      </c>
      <c r="G1271" s="19">
        <v>138.51</v>
      </c>
      <c r="H1271" s="19">
        <v>138.51</v>
      </c>
      <c r="I1271" s="18" t="s">
        <v>28</v>
      </c>
      <c r="J1271" s="18" t="s">
        <v>28</v>
      </c>
      <c r="K1271" s="18" t="s">
        <v>28</v>
      </c>
      <c r="L1271" s="18" t="s">
        <v>28</v>
      </c>
      <c r="M1271" s="18" t="s">
        <v>28</v>
      </c>
      <c r="N1271" s="17">
        <v>45233</v>
      </c>
      <c r="O1271" s="15" t="s">
        <v>41</v>
      </c>
      <c r="P1271" s="16" t="s">
        <v>28</v>
      </c>
      <c r="Q1271" s="15" t="s">
        <v>409</v>
      </c>
      <c r="R1271" s="13" t="str">
        <f>HYPERLINK("https://my.pitchbook.com?c=224172-82T","View Company Online")</f>
        <v>View Company Online</v>
      </c>
    </row>
    <row r="1272" spans="1:18" hidden="1" x14ac:dyDescent="0.3">
      <c r="A1272" s="9" t="s">
        <v>4580</v>
      </c>
      <c r="B1272" s="9" t="s">
        <v>4581</v>
      </c>
      <c r="C1272" s="11" t="s">
        <v>28</v>
      </c>
      <c r="D1272" s="9" t="s">
        <v>4582</v>
      </c>
      <c r="E1272" s="11" t="s">
        <v>28</v>
      </c>
      <c r="F1272" s="10">
        <v>82</v>
      </c>
      <c r="G1272" s="10">
        <v>82</v>
      </c>
      <c r="H1272" s="10">
        <v>82</v>
      </c>
      <c r="I1272" s="11" t="s">
        <v>28</v>
      </c>
      <c r="J1272" s="11" t="s">
        <v>28</v>
      </c>
      <c r="K1272" s="11" t="s">
        <v>28</v>
      </c>
      <c r="L1272" s="11" t="s">
        <v>28</v>
      </c>
      <c r="M1272" s="11" t="s">
        <v>28</v>
      </c>
      <c r="N1272" s="8">
        <v>45233</v>
      </c>
      <c r="O1272" s="9" t="s">
        <v>30</v>
      </c>
      <c r="P1272" s="12" t="s">
        <v>4583</v>
      </c>
      <c r="Q1272" s="9" t="s">
        <v>2043</v>
      </c>
      <c r="R1272" s="14" t="str">
        <f>HYPERLINK("https://my.pitchbook.com?c=232245-91T","View Company Online")</f>
        <v>View Company Online</v>
      </c>
    </row>
    <row r="1273" spans="1:18" hidden="1" x14ac:dyDescent="0.3">
      <c r="A1273" s="15" t="s">
        <v>4584</v>
      </c>
      <c r="B1273" s="15" t="s">
        <v>4585</v>
      </c>
      <c r="C1273" s="18" t="s">
        <v>28</v>
      </c>
      <c r="D1273" s="15" t="s">
        <v>4586</v>
      </c>
      <c r="E1273" s="18" t="s">
        <v>28</v>
      </c>
      <c r="F1273" s="19" t="s">
        <v>28</v>
      </c>
      <c r="G1273" s="19" t="s">
        <v>28</v>
      </c>
      <c r="H1273" s="19" t="s">
        <v>28</v>
      </c>
      <c r="I1273" s="18" t="s">
        <v>28</v>
      </c>
      <c r="J1273" s="18" t="s">
        <v>28</v>
      </c>
      <c r="K1273" s="18" t="s">
        <v>28</v>
      </c>
      <c r="L1273" s="18" t="s">
        <v>28</v>
      </c>
      <c r="M1273" s="18" t="s">
        <v>28</v>
      </c>
      <c r="N1273" s="17">
        <v>45231</v>
      </c>
      <c r="O1273" s="15" t="s">
        <v>93</v>
      </c>
      <c r="P1273" s="16" t="s">
        <v>4587</v>
      </c>
      <c r="Q1273" s="15" t="s">
        <v>1536</v>
      </c>
      <c r="R1273" s="13" t="str">
        <f>HYPERLINK("https://my.pitchbook.com?c=245775-70T","View Company Online")</f>
        <v>View Company Online</v>
      </c>
    </row>
    <row r="1274" spans="1:18" hidden="1" x14ac:dyDescent="0.3">
      <c r="A1274" s="9" t="s">
        <v>4588</v>
      </c>
      <c r="B1274" s="9" t="s">
        <v>4546</v>
      </c>
      <c r="C1274" s="11" t="s">
        <v>28</v>
      </c>
      <c r="D1274" s="9" t="s">
        <v>4547</v>
      </c>
      <c r="E1274" s="11" t="s">
        <v>28</v>
      </c>
      <c r="F1274" s="10" t="s">
        <v>28</v>
      </c>
      <c r="G1274" s="10" t="s">
        <v>28</v>
      </c>
      <c r="H1274" s="10" t="s">
        <v>28</v>
      </c>
      <c r="I1274" s="11" t="s">
        <v>28</v>
      </c>
      <c r="J1274" s="11" t="s">
        <v>28</v>
      </c>
      <c r="K1274" s="11" t="s">
        <v>28</v>
      </c>
      <c r="L1274" s="11" t="s">
        <v>28</v>
      </c>
      <c r="M1274" s="11" t="s">
        <v>28</v>
      </c>
      <c r="N1274" s="8">
        <v>45231</v>
      </c>
      <c r="O1274" s="9" t="s">
        <v>52</v>
      </c>
      <c r="P1274" s="12" t="s">
        <v>4589</v>
      </c>
      <c r="Q1274" s="9" t="s">
        <v>75</v>
      </c>
      <c r="R1274" s="14" t="str">
        <f>HYPERLINK("https://my.pitchbook.com?c=264019-87T","View Company Online")</f>
        <v>View Company Online</v>
      </c>
    </row>
    <row r="1275" spans="1:18" hidden="1" x14ac:dyDescent="0.3">
      <c r="A1275" s="15" t="s">
        <v>4590</v>
      </c>
      <c r="B1275" s="15" t="s">
        <v>4591</v>
      </c>
      <c r="C1275" s="18" t="s">
        <v>28</v>
      </c>
      <c r="D1275" s="15" t="s">
        <v>4592</v>
      </c>
      <c r="E1275" s="18" t="s">
        <v>28</v>
      </c>
      <c r="F1275" s="19">
        <v>45</v>
      </c>
      <c r="G1275" s="19">
        <v>45</v>
      </c>
      <c r="H1275" s="19">
        <v>45</v>
      </c>
      <c r="I1275" s="18" t="s">
        <v>28</v>
      </c>
      <c r="J1275" s="18" t="s">
        <v>28</v>
      </c>
      <c r="K1275" s="18" t="s">
        <v>28</v>
      </c>
      <c r="L1275" s="18" t="s">
        <v>28</v>
      </c>
      <c r="M1275" s="18" t="s">
        <v>28</v>
      </c>
      <c r="N1275" s="17">
        <v>45231</v>
      </c>
      <c r="O1275" s="15" t="s">
        <v>30</v>
      </c>
      <c r="P1275" s="16" t="s">
        <v>151</v>
      </c>
      <c r="Q1275" s="15" t="s">
        <v>414</v>
      </c>
      <c r="R1275" s="13" t="str">
        <f>HYPERLINK("https://my.pitchbook.com?c=241938-01T","View Company Online")</f>
        <v>View Company Online</v>
      </c>
    </row>
    <row r="1276" spans="1:18" hidden="1" x14ac:dyDescent="0.3">
      <c r="A1276" s="9" t="s">
        <v>4593</v>
      </c>
      <c r="B1276" s="9" t="s">
        <v>4594</v>
      </c>
      <c r="C1276" s="11" t="s">
        <v>28</v>
      </c>
      <c r="D1276" s="9" t="s">
        <v>4595</v>
      </c>
      <c r="E1276" s="11" t="s">
        <v>28</v>
      </c>
      <c r="F1276" s="10" t="s">
        <v>28</v>
      </c>
      <c r="G1276" s="10">
        <v>0.39</v>
      </c>
      <c r="H1276" s="10" t="s">
        <v>28</v>
      </c>
      <c r="I1276" s="11" t="s">
        <v>28</v>
      </c>
      <c r="J1276" s="11" t="s">
        <v>28</v>
      </c>
      <c r="K1276" s="11" t="s">
        <v>28</v>
      </c>
      <c r="L1276" s="11" t="s">
        <v>28</v>
      </c>
      <c r="M1276" s="11" t="s">
        <v>28</v>
      </c>
      <c r="N1276" s="8">
        <v>45231</v>
      </c>
      <c r="O1276" s="9" t="s">
        <v>79</v>
      </c>
      <c r="P1276" s="12" t="s">
        <v>28</v>
      </c>
      <c r="Q1276" s="9" t="s">
        <v>566</v>
      </c>
      <c r="R1276" s="14" t="str">
        <f>HYPERLINK("https://my.pitchbook.com?c=275254-30T","View Company Online")</f>
        <v>View Company Online</v>
      </c>
    </row>
    <row r="1277" spans="1:18" hidden="1" x14ac:dyDescent="0.3">
      <c r="A1277" s="15" t="s">
        <v>4596</v>
      </c>
      <c r="B1277" s="15" t="s">
        <v>4597</v>
      </c>
      <c r="C1277" s="18" t="s">
        <v>28</v>
      </c>
      <c r="D1277" s="15" t="s">
        <v>4598</v>
      </c>
      <c r="E1277" s="18" t="s">
        <v>28</v>
      </c>
      <c r="F1277" s="19" t="s">
        <v>28</v>
      </c>
      <c r="G1277" s="19" t="s">
        <v>28</v>
      </c>
      <c r="H1277" s="19" t="s">
        <v>28</v>
      </c>
      <c r="I1277" s="18" t="s">
        <v>28</v>
      </c>
      <c r="J1277" s="18" t="s">
        <v>28</v>
      </c>
      <c r="K1277" s="18" t="s">
        <v>28</v>
      </c>
      <c r="L1277" s="18" t="s">
        <v>28</v>
      </c>
      <c r="M1277" s="18" t="s">
        <v>28</v>
      </c>
      <c r="N1277" s="17">
        <v>45231</v>
      </c>
      <c r="O1277" s="15" t="s">
        <v>379</v>
      </c>
      <c r="P1277" s="16" t="s">
        <v>2572</v>
      </c>
      <c r="Q1277" s="15" t="s">
        <v>119</v>
      </c>
      <c r="R1277" s="13" t="str">
        <f>HYPERLINK("https://my.pitchbook.com?c=245952-91T","View Company Online")</f>
        <v>View Company Online</v>
      </c>
    </row>
    <row r="1278" spans="1:18" hidden="1" x14ac:dyDescent="0.3">
      <c r="A1278" s="9" t="s">
        <v>4599</v>
      </c>
      <c r="B1278" s="9" t="s">
        <v>4600</v>
      </c>
      <c r="C1278" s="11" t="s">
        <v>28</v>
      </c>
      <c r="D1278" s="9" t="s">
        <v>4601</v>
      </c>
      <c r="E1278" s="11" t="s">
        <v>28</v>
      </c>
      <c r="F1278" s="10" t="s">
        <v>28</v>
      </c>
      <c r="G1278" s="10" t="s">
        <v>28</v>
      </c>
      <c r="H1278" s="10" t="s">
        <v>28</v>
      </c>
      <c r="I1278" s="11" t="s">
        <v>28</v>
      </c>
      <c r="J1278" s="11" t="s">
        <v>28</v>
      </c>
      <c r="K1278" s="11" t="s">
        <v>28</v>
      </c>
      <c r="L1278" s="11" t="s">
        <v>28</v>
      </c>
      <c r="M1278" s="11" t="s">
        <v>28</v>
      </c>
      <c r="N1278" s="8">
        <v>45231</v>
      </c>
      <c r="O1278" s="9" t="s">
        <v>30</v>
      </c>
      <c r="P1278" s="12" t="s">
        <v>28</v>
      </c>
      <c r="Q1278" s="9" t="s">
        <v>4602</v>
      </c>
      <c r="R1278" s="14" t="str">
        <f>HYPERLINK("https://my.pitchbook.com?c=263269-36T","View Company Online")</f>
        <v>View Company Online</v>
      </c>
    </row>
    <row r="1279" spans="1:18" hidden="1" x14ac:dyDescent="0.3">
      <c r="A1279" s="15" t="s">
        <v>4603</v>
      </c>
      <c r="B1279" s="15" t="s">
        <v>4604</v>
      </c>
      <c r="C1279" s="18" t="s">
        <v>28</v>
      </c>
      <c r="D1279" s="15" t="s">
        <v>4605</v>
      </c>
      <c r="E1279" s="18" t="s">
        <v>28</v>
      </c>
      <c r="F1279" s="19" t="s">
        <v>28</v>
      </c>
      <c r="G1279" s="19" t="s">
        <v>28</v>
      </c>
      <c r="H1279" s="19" t="s">
        <v>28</v>
      </c>
      <c r="I1279" s="18" t="s">
        <v>28</v>
      </c>
      <c r="J1279" s="18" t="s">
        <v>28</v>
      </c>
      <c r="K1279" s="18" t="s">
        <v>28</v>
      </c>
      <c r="L1279" s="18" t="s">
        <v>28</v>
      </c>
      <c r="M1279" s="18" t="s">
        <v>28</v>
      </c>
      <c r="N1279" s="17">
        <v>45231</v>
      </c>
      <c r="O1279" s="15" t="s">
        <v>41</v>
      </c>
      <c r="P1279" s="16" t="s">
        <v>4606</v>
      </c>
      <c r="Q1279" s="15" t="s">
        <v>37</v>
      </c>
      <c r="R1279" s="13" t="str">
        <f>HYPERLINK("https://my.pitchbook.com?c=252785-89T","View Company Online")</f>
        <v>View Company Online</v>
      </c>
    </row>
    <row r="1280" spans="1:18" hidden="1" x14ac:dyDescent="0.3">
      <c r="A1280" s="9" t="s">
        <v>4607</v>
      </c>
      <c r="B1280" s="9" t="s">
        <v>4608</v>
      </c>
      <c r="C1280" s="11" t="s">
        <v>28</v>
      </c>
      <c r="D1280" s="9" t="s">
        <v>4609</v>
      </c>
      <c r="E1280" s="11" t="s">
        <v>28</v>
      </c>
      <c r="F1280" s="10" t="s">
        <v>28</v>
      </c>
      <c r="G1280" s="10" t="s">
        <v>28</v>
      </c>
      <c r="H1280" s="10" t="s">
        <v>28</v>
      </c>
      <c r="I1280" s="11" t="s">
        <v>28</v>
      </c>
      <c r="J1280" s="11" t="s">
        <v>28</v>
      </c>
      <c r="K1280" s="11" t="s">
        <v>28</v>
      </c>
      <c r="L1280" s="11" t="s">
        <v>28</v>
      </c>
      <c r="M1280" s="11" t="s">
        <v>28</v>
      </c>
      <c r="N1280" s="8">
        <v>45231</v>
      </c>
      <c r="O1280" s="9" t="s">
        <v>79</v>
      </c>
      <c r="P1280" s="12" t="s">
        <v>4610</v>
      </c>
      <c r="Q1280" s="9" t="s">
        <v>136</v>
      </c>
      <c r="R1280" s="14" t="str">
        <f>HYPERLINK("https://my.pitchbook.com?c=190297-90T","View Company Online")</f>
        <v>View Company Online</v>
      </c>
    </row>
    <row r="1281" spans="1:18" hidden="1" x14ac:dyDescent="0.3">
      <c r="A1281" s="15" t="s">
        <v>4611</v>
      </c>
      <c r="B1281" s="15" t="s">
        <v>4612</v>
      </c>
      <c r="C1281" s="18" t="s">
        <v>28</v>
      </c>
      <c r="D1281" s="15" t="s">
        <v>4613</v>
      </c>
      <c r="E1281" s="18" t="s">
        <v>28</v>
      </c>
      <c r="F1281" s="19" t="s">
        <v>28</v>
      </c>
      <c r="G1281" s="19" t="s">
        <v>28</v>
      </c>
      <c r="H1281" s="19" t="s">
        <v>28</v>
      </c>
      <c r="I1281" s="18" t="s">
        <v>28</v>
      </c>
      <c r="J1281" s="18" t="s">
        <v>28</v>
      </c>
      <c r="K1281" s="18" t="s">
        <v>28</v>
      </c>
      <c r="L1281" s="18" t="s">
        <v>28</v>
      </c>
      <c r="M1281" s="18" t="s">
        <v>28</v>
      </c>
      <c r="N1281" s="17">
        <v>45231</v>
      </c>
      <c r="O1281" s="15" t="s">
        <v>30</v>
      </c>
      <c r="P1281" s="16" t="s">
        <v>4614</v>
      </c>
      <c r="Q1281" s="15" t="s">
        <v>1536</v>
      </c>
      <c r="R1281" s="13" t="str">
        <f>HYPERLINK("https://my.pitchbook.com?c=235040-23T","View Company Online")</f>
        <v>View Company Online</v>
      </c>
    </row>
    <row r="1282" spans="1:18" x14ac:dyDescent="0.3">
      <c r="A1282" s="9" t="s">
        <v>4615</v>
      </c>
      <c r="B1282" s="9" t="s">
        <v>4616</v>
      </c>
      <c r="C1282" s="11">
        <v>13.69</v>
      </c>
      <c r="D1282" s="9" t="s">
        <v>4617</v>
      </c>
      <c r="E1282" s="11">
        <v>11.46</v>
      </c>
      <c r="F1282" s="10">
        <v>430.8</v>
      </c>
      <c r="G1282" s="10">
        <v>473.89</v>
      </c>
      <c r="H1282" s="10">
        <v>473.89</v>
      </c>
      <c r="I1282" s="11">
        <v>31.47</v>
      </c>
      <c r="J1282" s="11">
        <v>15.06</v>
      </c>
      <c r="K1282" s="11">
        <v>127.1</v>
      </c>
      <c r="L1282" s="11">
        <v>3.73</v>
      </c>
      <c r="M1282" s="11">
        <v>0.53</v>
      </c>
      <c r="N1282" s="8">
        <v>45231</v>
      </c>
      <c r="O1282" s="9" t="s">
        <v>30</v>
      </c>
      <c r="P1282" s="12" t="s">
        <v>4618</v>
      </c>
      <c r="Q1282" s="9" t="s">
        <v>37</v>
      </c>
      <c r="R1282" s="14" t="str">
        <f>HYPERLINK("https://my.pitchbook.com?c=228867-31T","View Company Online")</f>
        <v>View Company Online</v>
      </c>
    </row>
    <row r="1283" spans="1:18" hidden="1" x14ac:dyDescent="0.3">
      <c r="A1283" s="15" t="s">
        <v>4619</v>
      </c>
      <c r="B1283" s="15" t="s">
        <v>4620</v>
      </c>
      <c r="C1283" s="18" t="s">
        <v>28</v>
      </c>
      <c r="D1283" s="15" t="s">
        <v>4621</v>
      </c>
      <c r="E1283" s="18" t="s">
        <v>28</v>
      </c>
      <c r="F1283" s="19" t="s">
        <v>28</v>
      </c>
      <c r="G1283" s="19" t="s">
        <v>28</v>
      </c>
      <c r="H1283" s="19" t="s">
        <v>28</v>
      </c>
      <c r="I1283" s="18" t="s">
        <v>28</v>
      </c>
      <c r="J1283" s="18" t="s">
        <v>28</v>
      </c>
      <c r="K1283" s="18" t="s">
        <v>28</v>
      </c>
      <c r="L1283" s="18" t="s">
        <v>28</v>
      </c>
      <c r="M1283" s="18" t="s">
        <v>28</v>
      </c>
      <c r="N1283" s="17">
        <v>45230</v>
      </c>
      <c r="O1283" s="15" t="s">
        <v>30</v>
      </c>
      <c r="P1283" s="16" t="s">
        <v>4622</v>
      </c>
      <c r="Q1283" s="15" t="s">
        <v>414</v>
      </c>
      <c r="R1283" s="13" t="str">
        <f>HYPERLINK("https://my.pitchbook.com?c=244703-17T","View Company Online")</f>
        <v>View Company Online</v>
      </c>
    </row>
    <row r="1284" spans="1:18" hidden="1" x14ac:dyDescent="0.3">
      <c r="A1284" s="9" t="s">
        <v>4623</v>
      </c>
      <c r="B1284" s="9" t="s">
        <v>4624</v>
      </c>
      <c r="C1284" s="11" t="s">
        <v>28</v>
      </c>
      <c r="D1284" s="9" t="s">
        <v>4625</v>
      </c>
      <c r="E1284" s="11" t="s">
        <v>28</v>
      </c>
      <c r="F1284" s="10" t="s">
        <v>28</v>
      </c>
      <c r="G1284" s="10">
        <v>7.9</v>
      </c>
      <c r="H1284" s="10" t="s">
        <v>28</v>
      </c>
      <c r="I1284" s="11" t="s">
        <v>28</v>
      </c>
      <c r="J1284" s="11" t="s">
        <v>28</v>
      </c>
      <c r="K1284" s="11">
        <v>5.84</v>
      </c>
      <c r="L1284" s="11" t="s">
        <v>28</v>
      </c>
      <c r="M1284" s="11" t="s">
        <v>28</v>
      </c>
      <c r="N1284" s="8">
        <v>45230</v>
      </c>
      <c r="O1284" s="9" t="s">
        <v>79</v>
      </c>
      <c r="P1284" s="12" t="s">
        <v>4626</v>
      </c>
      <c r="Q1284" s="9" t="s">
        <v>43</v>
      </c>
      <c r="R1284" s="14" t="str">
        <f>HYPERLINK("https://my.pitchbook.com?c=244413-64T","View Company Online")</f>
        <v>View Company Online</v>
      </c>
    </row>
    <row r="1285" spans="1:18" hidden="1" x14ac:dyDescent="0.3">
      <c r="A1285" s="15" t="s">
        <v>4627</v>
      </c>
      <c r="B1285" s="15" t="s">
        <v>4624</v>
      </c>
      <c r="C1285" s="18" t="s">
        <v>28</v>
      </c>
      <c r="D1285" s="15" t="s">
        <v>4625</v>
      </c>
      <c r="E1285" s="18" t="s">
        <v>28</v>
      </c>
      <c r="F1285" s="19" t="s">
        <v>28</v>
      </c>
      <c r="G1285" s="19" t="s">
        <v>28</v>
      </c>
      <c r="H1285" s="19" t="s">
        <v>28</v>
      </c>
      <c r="I1285" s="18" t="s">
        <v>28</v>
      </c>
      <c r="J1285" s="18" t="s">
        <v>28</v>
      </c>
      <c r="K1285" s="18">
        <v>5.84</v>
      </c>
      <c r="L1285" s="18" t="s">
        <v>28</v>
      </c>
      <c r="M1285" s="18" t="s">
        <v>28</v>
      </c>
      <c r="N1285" s="17">
        <v>45230</v>
      </c>
      <c r="O1285" s="15" t="s">
        <v>79</v>
      </c>
      <c r="P1285" s="16" t="s">
        <v>28</v>
      </c>
      <c r="Q1285" s="15" t="s">
        <v>43</v>
      </c>
      <c r="R1285" s="13" t="str">
        <f>HYPERLINK("https://my.pitchbook.com?c=244414-81T","View Company Online")</f>
        <v>View Company Online</v>
      </c>
    </row>
    <row r="1286" spans="1:18" hidden="1" x14ac:dyDescent="0.3">
      <c r="A1286" s="9" t="s">
        <v>4628</v>
      </c>
      <c r="B1286" s="9" t="s">
        <v>45</v>
      </c>
      <c r="C1286" s="11" t="s">
        <v>28</v>
      </c>
      <c r="D1286" s="9" t="s">
        <v>46</v>
      </c>
      <c r="E1286" s="11" t="s">
        <v>28</v>
      </c>
      <c r="F1286" s="10" t="s">
        <v>28</v>
      </c>
      <c r="G1286" s="10">
        <v>0.2</v>
      </c>
      <c r="H1286" s="10">
        <v>0.8</v>
      </c>
      <c r="I1286" s="11" t="s">
        <v>28</v>
      </c>
      <c r="J1286" s="11" t="s">
        <v>28</v>
      </c>
      <c r="K1286" s="11" t="s">
        <v>28</v>
      </c>
      <c r="L1286" s="11" t="s">
        <v>28</v>
      </c>
      <c r="M1286" s="11" t="s">
        <v>28</v>
      </c>
      <c r="N1286" s="8">
        <v>45230</v>
      </c>
      <c r="O1286" s="9" t="s">
        <v>99</v>
      </c>
      <c r="P1286" s="12" t="s">
        <v>4629</v>
      </c>
      <c r="Q1286" s="9" t="s">
        <v>48</v>
      </c>
      <c r="R1286" s="14" t="str">
        <f>HYPERLINK("https://my.pitchbook.com?c=300005-11T","View Company Online")</f>
        <v>View Company Online</v>
      </c>
    </row>
    <row r="1287" spans="1:18" hidden="1" x14ac:dyDescent="0.3">
      <c r="A1287" s="15" t="s">
        <v>4630</v>
      </c>
      <c r="B1287" s="15" t="s">
        <v>4631</v>
      </c>
      <c r="C1287" s="18" t="s">
        <v>28</v>
      </c>
      <c r="D1287" s="15" t="s">
        <v>4632</v>
      </c>
      <c r="E1287" s="18" t="s">
        <v>28</v>
      </c>
      <c r="F1287" s="19">
        <v>179.67</v>
      </c>
      <c r="G1287" s="19">
        <v>91.63</v>
      </c>
      <c r="H1287" s="19">
        <v>179.67</v>
      </c>
      <c r="I1287" s="18" t="s">
        <v>28</v>
      </c>
      <c r="J1287" s="18" t="s">
        <v>28</v>
      </c>
      <c r="K1287" s="18">
        <v>58.47</v>
      </c>
      <c r="L1287" s="18">
        <v>3.07</v>
      </c>
      <c r="M1287" s="18">
        <v>-0.39</v>
      </c>
      <c r="N1287" s="17">
        <v>45230</v>
      </c>
      <c r="O1287" s="15" t="s">
        <v>41</v>
      </c>
      <c r="P1287" s="16" t="s">
        <v>4633</v>
      </c>
      <c r="Q1287" s="15" t="s">
        <v>1068</v>
      </c>
      <c r="R1287" s="13" t="str">
        <f>HYPERLINK("https://my.pitchbook.com?c=235152-01T","View Company Online")</f>
        <v>View Company Online</v>
      </c>
    </row>
    <row r="1288" spans="1:18" hidden="1" x14ac:dyDescent="0.3">
      <c r="A1288" s="9" t="s">
        <v>4634</v>
      </c>
      <c r="B1288" s="9" t="s">
        <v>1751</v>
      </c>
      <c r="C1288" s="11" t="s">
        <v>28</v>
      </c>
      <c r="D1288" s="9" t="s">
        <v>1752</v>
      </c>
      <c r="E1288" s="11" t="s">
        <v>28</v>
      </c>
      <c r="F1288" s="10" t="s">
        <v>28</v>
      </c>
      <c r="G1288" s="10">
        <v>1.68</v>
      </c>
      <c r="H1288" s="10" t="s">
        <v>28</v>
      </c>
      <c r="I1288" s="11" t="s">
        <v>28</v>
      </c>
      <c r="J1288" s="11" t="s">
        <v>28</v>
      </c>
      <c r="K1288" s="11" t="s">
        <v>28</v>
      </c>
      <c r="L1288" s="11" t="s">
        <v>28</v>
      </c>
      <c r="M1288" s="11" t="s">
        <v>28</v>
      </c>
      <c r="N1288" s="8">
        <v>45230</v>
      </c>
      <c r="O1288" s="9" t="s">
        <v>79</v>
      </c>
      <c r="P1288" s="12" t="s">
        <v>4635</v>
      </c>
      <c r="Q1288" s="9" t="s">
        <v>75</v>
      </c>
      <c r="R1288" s="14" t="str">
        <f>HYPERLINK("https://my.pitchbook.com?c=244497-07T","View Company Online")</f>
        <v>View Company Online</v>
      </c>
    </row>
    <row r="1289" spans="1:18" hidden="1" x14ac:dyDescent="0.3">
      <c r="A1289" s="15" t="s">
        <v>4636</v>
      </c>
      <c r="B1289" s="15" t="s">
        <v>4637</v>
      </c>
      <c r="C1289" s="18" t="s">
        <v>28</v>
      </c>
      <c r="D1289" s="15" t="s">
        <v>4638</v>
      </c>
      <c r="E1289" s="18" t="s">
        <v>28</v>
      </c>
      <c r="F1289" s="19" t="s">
        <v>28</v>
      </c>
      <c r="G1289" s="19">
        <v>1.97</v>
      </c>
      <c r="H1289" s="19" t="s">
        <v>28</v>
      </c>
      <c r="I1289" s="18" t="s">
        <v>28</v>
      </c>
      <c r="J1289" s="18" t="s">
        <v>28</v>
      </c>
      <c r="K1289" s="18" t="s">
        <v>28</v>
      </c>
      <c r="L1289" s="18" t="s">
        <v>28</v>
      </c>
      <c r="M1289" s="18" t="s">
        <v>28</v>
      </c>
      <c r="N1289" s="17">
        <v>45230</v>
      </c>
      <c r="O1289" s="15" t="s">
        <v>79</v>
      </c>
      <c r="P1289" s="16" t="s">
        <v>4639</v>
      </c>
      <c r="Q1289" s="15" t="s">
        <v>414</v>
      </c>
      <c r="R1289" s="13" t="str">
        <f>HYPERLINK("https://my.pitchbook.com?c=244586-26T","View Company Online")</f>
        <v>View Company Online</v>
      </c>
    </row>
    <row r="1290" spans="1:18" hidden="1" x14ac:dyDescent="0.3">
      <c r="A1290" s="9" t="s">
        <v>4640</v>
      </c>
      <c r="B1290" s="9" t="s">
        <v>4641</v>
      </c>
      <c r="C1290" s="11" t="s">
        <v>28</v>
      </c>
      <c r="D1290" s="9" t="s">
        <v>4642</v>
      </c>
      <c r="E1290" s="11" t="s">
        <v>28</v>
      </c>
      <c r="F1290" s="10" t="s">
        <v>28</v>
      </c>
      <c r="G1290" s="10" t="s">
        <v>28</v>
      </c>
      <c r="H1290" s="10" t="s">
        <v>28</v>
      </c>
      <c r="I1290" s="11" t="s">
        <v>28</v>
      </c>
      <c r="J1290" s="11" t="s">
        <v>28</v>
      </c>
      <c r="K1290" s="11" t="s">
        <v>28</v>
      </c>
      <c r="L1290" s="11" t="s">
        <v>28</v>
      </c>
      <c r="M1290" s="11" t="s">
        <v>28</v>
      </c>
      <c r="N1290" s="8">
        <v>45230</v>
      </c>
      <c r="O1290" s="9" t="s">
        <v>79</v>
      </c>
      <c r="P1290" s="12" t="s">
        <v>611</v>
      </c>
      <c r="Q1290" s="9" t="s">
        <v>37</v>
      </c>
      <c r="R1290" s="14" t="str">
        <f>HYPERLINK("https://my.pitchbook.com?c=256059-91T","View Company Online")</f>
        <v>View Company Online</v>
      </c>
    </row>
    <row r="1291" spans="1:18" hidden="1" x14ac:dyDescent="0.3">
      <c r="A1291" s="15" t="s">
        <v>4643</v>
      </c>
      <c r="B1291" s="15" t="s">
        <v>4644</v>
      </c>
      <c r="C1291" s="18" t="s">
        <v>28</v>
      </c>
      <c r="D1291" s="15" t="s">
        <v>4645</v>
      </c>
      <c r="E1291" s="18" t="s">
        <v>28</v>
      </c>
      <c r="F1291" s="19" t="s">
        <v>28</v>
      </c>
      <c r="G1291" s="19">
        <v>1.5</v>
      </c>
      <c r="H1291" s="19">
        <v>7.5</v>
      </c>
      <c r="I1291" s="18" t="s">
        <v>28</v>
      </c>
      <c r="J1291" s="18" t="s">
        <v>28</v>
      </c>
      <c r="K1291" s="18" t="s">
        <v>28</v>
      </c>
      <c r="L1291" s="18" t="s">
        <v>28</v>
      </c>
      <c r="M1291" s="18" t="s">
        <v>28</v>
      </c>
      <c r="N1291" s="17">
        <v>45230</v>
      </c>
      <c r="O1291" s="15" t="s">
        <v>73</v>
      </c>
      <c r="P1291" s="16" t="s">
        <v>4646</v>
      </c>
      <c r="Q1291" s="15" t="s">
        <v>880</v>
      </c>
      <c r="R1291" s="13" t="str">
        <f>HYPERLINK("https://my.pitchbook.com?c=242086-24T","View Company Online")</f>
        <v>View Company Online</v>
      </c>
    </row>
    <row r="1292" spans="1:18" hidden="1" x14ac:dyDescent="0.3">
      <c r="A1292" s="9" t="s">
        <v>4647</v>
      </c>
      <c r="B1292" s="9" t="s">
        <v>4648</v>
      </c>
      <c r="C1292" s="11" t="s">
        <v>28</v>
      </c>
      <c r="D1292" s="9" t="s">
        <v>4649</v>
      </c>
      <c r="E1292" s="11" t="s">
        <v>28</v>
      </c>
      <c r="F1292" s="10" t="s">
        <v>28</v>
      </c>
      <c r="G1292" s="10" t="s">
        <v>28</v>
      </c>
      <c r="H1292" s="10" t="s">
        <v>28</v>
      </c>
      <c r="I1292" s="11" t="s">
        <v>28</v>
      </c>
      <c r="J1292" s="11" t="s">
        <v>28</v>
      </c>
      <c r="K1292" s="11" t="s">
        <v>28</v>
      </c>
      <c r="L1292" s="11" t="s">
        <v>28</v>
      </c>
      <c r="M1292" s="11" t="s">
        <v>28</v>
      </c>
      <c r="N1292" s="8">
        <v>45229</v>
      </c>
      <c r="O1292" s="9" t="s">
        <v>30</v>
      </c>
      <c r="P1292" s="12" t="s">
        <v>4650</v>
      </c>
      <c r="Q1292" s="9" t="s">
        <v>114</v>
      </c>
      <c r="R1292" s="14" t="str">
        <f>HYPERLINK("https://my.pitchbook.com?c=244345-51T","View Company Online")</f>
        <v>View Company Online</v>
      </c>
    </row>
    <row r="1293" spans="1:18" hidden="1" x14ac:dyDescent="0.3">
      <c r="A1293" s="15" t="s">
        <v>4651</v>
      </c>
      <c r="B1293" s="15" t="s">
        <v>4652</v>
      </c>
      <c r="C1293" s="18" t="s">
        <v>28</v>
      </c>
      <c r="D1293" s="15" t="s">
        <v>4653</v>
      </c>
      <c r="E1293" s="18" t="s">
        <v>28</v>
      </c>
      <c r="F1293" s="19" t="s">
        <v>28</v>
      </c>
      <c r="G1293" s="19" t="s">
        <v>28</v>
      </c>
      <c r="H1293" s="19" t="s">
        <v>28</v>
      </c>
      <c r="I1293" s="18" t="s">
        <v>28</v>
      </c>
      <c r="J1293" s="18" t="s">
        <v>28</v>
      </c>
      <c r="K1293" s="18" t="s">
        <v>28</v>
      </c>
      <c r="L1293" s="18" t="s">
        <v>28</v>
      </c>
      <c r="M1293" s="18" t="s">
        <v>28</v>
      </c>
      <c r="N1293" s="17">
        <v>45229</v>
      </c>
      <c r="O1293" s="15" t="s">
        <v>173</v>
      </c>
      <c r="P1293" s="16" t="s">
        <v>28</v>
      </c>
      <c r="Q1293" s="15" t="s">
        <v>174</v>
      </c>
      <c r="R1293" s="13" t="str">
        <f>HYPERLINK("https://my.pitchbook.com?c=253771-84T","View Company Online")</f>
        <v>View Company Online</v>
      </c>
    </row>
    <row r="1294" spans="1:18" hidden="1" x14ac:dyDescent="0.3">
      <c r="A1294" s="9" t="s">
        <v>4654</v>
      </c>
      <c r="B1294" s="9" t="s">
        <v>4655</v>
      </c>
      <c r="C1294" s="11" t="s">
        <v>28</v>
      </c>
      <c r="D1294" s="9" t="s">
        <v>4656</v>
      </c>
      <c r="E1294" s="11" t="s">
        <v>28</v>
      </c>
      <c r="F1294" s="10" t="s">
        <v>28</v>
      </c>
      <c r="G1294" s="10">
        <v>86.1</v>
      </c>
      <c r="H1294" s="10" t="s">
        <v>28</v>
      </c>
      <c r="I1294" s="11" t="s">
        <v>28</v>
      </c>
      <c r="J1294" s="11" t="s">
        <v>28</v>
      </c>
      <c r="K1294" s="11" t="s">
        <v>28</v>
      </c>
      <c r="L1294" s="11" t="s">
        <v>28</v>
      </c>
      <c r="M1294" s="11" t="s">
        <v>28</v>
      </c>
      <c r="N1294" s="8">
        <v>45229</v>
      </c>
      <c r="O1294" s="9" t="s">
        <v>79</v>
      </c>
      <c r="P1294" s="12" t="s">
        <v>4657</v>
      </c>
      <c r="Q1294" s="9" t="s">
        <v>386</v>
      </c>
      <c r="R1294" s="14" t="str">
        <f>HYPERLINK("https://my.pitchbook.com?c=244434-97T","View Company Online")</f>
        <v>View Company Online</v>
      </c>
    </row>
    <row r="1295" spans="1:18" hidden="1" x14ac:dyDescent="0.3">
      <c r="A1295" s="15" t="s">
        <v>4658</v>
      </c>
      <c r="B1295" s="15" t="s">
        <v>4659</v>
      </c>
      <c r="C1295" s="18" t="s">
        <v>28</v>
      </c>
      <c r="D1295" s="15" t="s">
        <v>4660</v>
      </c>
      <c r="E1295" s="18" t="s">
        <v>28</v>
      </c>
      <c r="F1295" s="19" t="s">
        <v>28</v>
      </c>
      <c r="G1295" s="19">
        <v>10</v>
      </c>
      <c r="H1295" s="19">
        <v>45</v>
      </c>
      <c r="I1295" s="18" t="s">
        <v>28</v>
      </c>
      <c r="J1295" s="18" t="s">
        <v>28</v>
      </c>
      <c r="K1295" s="18" t="s">
        <v>28</v>
      </c>
      <c r="L1295" s="18" t="s">
        <v>28</v>
      </c>
      <c r="M1295" s="18" t="s">
        <v>28</v>
      </c>
      <c r="N1295" s="17">
        <v>45229</v>
      </c>
      <c r="O1295" s="15" t="s">
        <v>79</v>
      </c>
      <c r="P1295" s="16" t="s">
        <v>4661</v>
      </c>
      <c r="Q1295" s="15" t="s">
        <v>169</v>
      </c>
      <c r="R1295" s="13" t="str">
        <f>HYPERLINK("https://my.pitchbook.com?c=266481-28T","View Company Online")</f>
        <v>View Company Online</v>
      </c>
    </row>
    <row r="1296" spans="1:18" hidden="1" x14ac:dyDescent="0.3">
      <c r="A1296" s="9" t="s">
        <v>4662</v>
      </c>
      <c r="B1296" s="9" t="s">
        <v>1843</v>
      </c>
      <c r="C1296" s="11" t="s">
        <v>28</v>
      </c>
      <c r="D1296" s="9" t="s">
        <v>1844</v>
      </c>
      <c r="E1296" s="11" t="s">
        <v>28</v>
      </c>
      <c r="F1296" s="10" t="s">
        <v>28</v>
      </c>
      <c r="G1296" s="10">
        <v>0.01</v>
      </c>
      <c r="H1296" s="10" t="s">
        <v>28</v>
      </c>
      <c r="I1296" s="11" t="s">
        <v>28</v>
      </c>
      <c r="J1296" s="11" t="s">
        <v>28</v>
      </c>
      <c r="K1296" s="11" t="s">
        <v>28</v>
      </c>
      <c r="L1296" s="11" t="s">
        <v>28</v>
      </c>
      <c r="M1296" s="11" t="s">
        <v>28</v>
      </c>
      <c r="N1296" s="8">
        <v>45226</v>
      </c>
      <c r="O1296" s="9" t="s">
        <v>99</v>
      </c>
      <c r="P1296" s="12" t="s">
        <v>2612</v>
      </c>
      <c r="Q1296" s="9" t="s">
        <v>75</v>
      </c>
      <c r="R1296" s="14" t="str">
        <f>HYPERLINK("https://my.pitchbook.com?c=256331-53T","View Company Online")</f>
        <v>View Company Online</v>
      </c>
    </row>
    <row r="1297" spans="1:18" hidden="1" x14ac:dyDescent="0.3">
      <c r="A1297" s="15" t="s">
        <v>4663</v>
      </c>
      <c r="B1297" s="15" t="s">
        <v>4664</v>
      </c>
      <c r="C1297" s="18" t="s">
        <v>28</v>
      </c>
      <c r="D1297" s="15" t="s">
        <v>4665</v>
      </c>
      <c r="E1297" s="18" t="s">
        <v>28</v>
      </c>
      <c r="F1297" s="19" t="s">
        <v>28</v>
      </c>
      <c r="G1297" s="19" t="s">
        <v>28</v>
      </c>
      <c r="H1297" s="19" t="s">
        <v>28</v>
      </c>
      <c r="I1297" s="18" t="s">
        <v>28</v>
      </c>
      <c r="J1297" s="18" t="s">
        <v>28</v>
      </c>
      <c r="K1297" s="18" t="s">
        <v>28</v>
      </c>
      <c r="L1297" s="18" t="s">
        <v>28</v>
      </c>
      <c r="M1297" s="18" t="s">
        <v>28</v>
      </c>
      <c r="N1297" s="17">
        <v>45226</v>
      </c>
      <c r="O1297" s="15" t="s">
        <v>52</v>
      </c>
      <c r="P1297" s="16" t="s">
        <v>1453</v>
      </c>
      <c r="Q1297" s="15" t="s">
        <v>37</v>
      </c>
      <c r="R1297" s="13" t="str">
        <f>HYPERLINK("https://my.pitchbook.com?c=277452-64T","View Company Online")</f>
        <v>View Company Online</v>
      </c>
    </row>
    <row r="1298" spans="1:18" hidden="1" x14ac:dyDescent="0.3">
      <c r="A1298" s="9" t="s">
        <v>4666</v>
      </c>
      <c r="B1298" s="9" t="s">
        <v>4667</v>
      </c>
      <c r="C1298" s="11" t="s">
        <v>28</v>
      </c>
      <c r="D1298" s="9" t="s">
        <v>4668</v>
      </c>
      <c r="E1298" s="11" t="s">
        <v>28</v>
      </c>
      <c r="F1298" s="10" t="s">
        <v>28</v>
      </c>
      <c r="G1298" s="10" t="s">
        <v>28</v>
      </c>
      <c r="H1298" s="10" t="s">
        <v>28</v>
      </c>
      <c r="I1298" s="11" t="s">
        <v>28</v>
      </c>
      <c r="J1298" s="11" t="s">
        <v>28</v>
      </c>
      <c r="K1298" s="11" t="s">
        <v>28</v>
      </c>
      <c r="L1298" s="11" t="s">
        <v>28</v>
      </c>
      <c r="M1298" s="11" t="s">
        <v>28</v>
      </c>
      <c r="N1298" s="8">
        <v>45226</v>
      </c>
      <c r="O1298" s="9" t="s">
        <v>41</v>
      </c>
      <c r="P1298" s="12" t="s">
        <v>4669</v>
      </c>
      <c r="Q1298" s="9" t="s">
        <v>4670</v>
      </c>
      <c r="R1298" s="14" t="str">
        <f>HYPERLINK("https://my.pitchbook.com?c=244283-32T","View Company Online")</f>
        <v>View Company Online</v>
      </c>
    </row>
    <row r="1299" spans="1:18" hidden="1" x14ac:dyDescent="0.3">
      <c r="A1299" s="15" t="s">
        <v>4671</v>
      </c>
      <c r="B1299" s="15" t="s">
        <v>4672</v>
      </c>
      <c r="C1299" s="18" t="s">
        <v>28</v>
      </c>
      <c r="D1299" s="15" t="s">
        <v>4673</v>
      </c>
      <c r="E1299" s="18" t="s">
        <v>28</v>
      </c>
      <c r="F1299" s="19" t="s">
        <v>28</v>
      </c>
      <c r="G1299" s="19">
        <v>8.8800000000000008</v>
      </c>
      <c r="H1299" s="19" t="s">
        <v>28</v>
      </c>
      <c r="I1299" s="18" t="s">
        <v>28</v>
      </c>
      <c r="J1299" s="18" t="s">
        <v>28</v>
      </c>
      <c r="K1299" s="18">
        <v>0.15</v>
      </c>
      <c r="L1299" s="18" t="s">
        <v>28</v>
      </c>
      <c r="M1299" s="18" t="s">
        <v>28</v>
      </c>
      <c r="N1299" s="17">
        <v>45226</v>
      </c>
      <c r="O1299" s="15" t="s">
        <v>73</v>
      </c>
      <c r="P1299" s="16" t="s">
        <v>1132</v>
      </c>
      <c r="Q1299" s="15" t="s">
        <v>114</v>
      </c>
      <c r="R1299" s="13" t="str">
        <f>HYPERLINK("https://my.pitchbook.com?c=270801-73T","View Company Online")</f>
        <v>View Company Online</v>
      </c>
    </row>
    <row r="1300" spans="1:18" hidden="1" x14ac:dyDescent="0.3">
      <c r="A1300" s="9" t="s">
        <v>4674</v>
      </c>
      <c r="B1300" s="9" t="s">
        <v>4675</v>
      </c>
      <c r="C1300" s="11" t="s">
        <v>28</v>
      </c>
      <c r="D1300" s="9" t="s">
        <v>4676</v>
      </c>
      <c r="E1300" s="11" t="s">
        <v>28</v>
      </c>
      <c r="F1300" s="10" t="s">
        <v>28</v>
      </c>
      <c r="G1300" s="10" t="s">
        <v>28</v>
      </c>
      <c r="H1300" s="10" t="s">
        <v>28</v>
      </c>
      <c r="I1300" s="11" t="s">
        <v>28</v>
      </c>
      <c r="J1300" s="11" t="s">
        <v>28</v>
      </c>
      <c r="K1300" s="11" t="s">
        <v>28</v>
      </c>
      <c r="L1300" s="11" t="s">
        <v>28</v>
      </c>
      <c r="M1300" s="11" t="s">
        <v>28</v>
      </c>
      <c r="N1300" s="8">
        <v>45225</v>
      </c>
      <c r="O1300" s="9" t="s">
        <v>173</v>
      </c>
      <c r="P1300" s="12" t="s">
        <v>28</v>
      </c>
      <c r="Q1300" s="9" t="s">
        <v>174</v>
      </c>
      <c r="R1300" s="14" t="str">
        <f>HYPERLINK("https://my.pitchbook.com?c=244336-24T","View Company Online")</f>
        <v>View Company Online</v>
      </c>
    </row>
    <row r="1301" spans="1:18" hidden="1" x14ac:dyDescent="0.3">
      <c r="A1301" s="15" t="s">
        <v>4677</v>
      </c>
      <c r="B1301" s="15" t="s">
        <v>4678</v>
      </c>
      <c r="C1301" s="18" t="s">
        <v>28</v>
      </c>
      <c r="D1301" s="15" t="s">
        <v>4679</v>
      </c>
      <c r="E1301" s="18" t="s">
        <v>28</v>
      </c>
      <c r="F1301" s="19" t="s">
        <v>28</v>
      </c>
      <c r="G1301" s="19" t="s">
        <v>28</v>
      </c>
      <c r="H1301" s="19" t="s">
        <v>28</v>
      </c>
      <c r="I1301" s="18" t="s">
        <v>28</v>
      </c>
      <c r="J1301" s="18" t="s">
        <v>28</v>
      </c>
      <c r="K1301" s="18" t="s">
        <v>28</v>
      </c>
      <c r="L1301" s="18" t="s">
        <v>28</v>
      </c>
      <c r="M1301" s="18" t="s">
        <v>28</v>
      </c>
      <c r="N1301" s="17">
        <v>45225</v>
      </c>
      <c r="O1301" s="15" t="s">
        <v>173</v>
      </c>
      <c r="P1301" s="16" t="s">
        <v>28</v>
      </c>
      <c r="Q1301" s="15" t="s">
        <v>174</v>
      </c>
      <c r="R1301" s="13" t="str">
        <f>HYPERLINK("https://my.pitchbook.com?c=244334-62T","View Company Online")</f>
        <v>View Company Online</v>
      </c>
    </row>
    <row r="1302" spans="1:18" hidden="1" x14ac:dyDescent="0.3">
      <c r="A1302" s="9" t="s">
        <v>4680</v>
      </c>
      <c r="B1302" s="9" t="s">
        <v>4681</v>
      </c>
      <c r="C1302" s="11" t="s">
        <v>28</v>
      </c>
      <c r="D1302" s="9" t="s">
        <v>4682</v>
      </c>
      <c r="E1302" s="11" t="s">
        <v>28</v>
      </c>
      <c r="F1302" s="10" t="s">
        <v>28</v>
      </c>
      <c r="G1302" s="10" t="s">
        <v>28</v>
      </c>
      <c r="H1302" s="10" t="s">
        <v>28</v>
      </c>
      <c r="I1302" s="11" t="s">
        <v>28</v>
      </c>
      <c r="J1302" s="11" t="s">
        <v>28</v>
      </c>
      <c r="K1302" s="11" t="s">
        <v>28</v>
      </c>
      <c r="L1302" s="11" t="s">
        <v>28</v>
      </c>
      <c r="M1302" s="11" t="s">
        <v>28</v>
      </c>
      <c r="N1302" s="8">
        <v>45225</v>
      </c>
      <c r="O1302" s="9" t="s">
        <v>73</v>
      </c>
      <c r="P1302" s="12" t="s">
        <v>611</v>
      </c>
      <c r="Q1302" s="9" t="s">
        <v>75</v>
      </c>
      <c r="R1302" s="14" t="str">
        <f>HYPERLINK("https://my.pitchbook.com?c=227523-52T","View Company Online")</f>
        <v>View Company Online</v>
      </c>
    </row>
    <row r="1303" spans="1:18" hidden="1" x14ac:dyDescent="0.3">
      <c r="A1303" s="15" t="s">
        <v>4683</v>
      </c>
      <c r="B1303" s="15" t="s">
        <v>4684</v>
      </c>
      <c r="C1303" s="18" t="s">
        <v>28</v>
      </c>
      <c r="D1303" s="15" t="s">
        <v>4685</v>
      </c>
      <c r="E1303" s="18" t="s">
        <v>28</v>
      </c>
      <c r="F1303" s="19" t="s">
        <v>28</v>
      </c>
      <c r="G1303" s="19">
        <v>1.97</v>
      </c>
      <c r="H1303" s="19" t="s">
        <v>28</v>
      </c>
      <c r="I1303" s="18" t="s">
        <v>28</v>
      </c>
      <c r="J1303" s="18" t="s">
        <v>28</v>
      </c>
      <c r="K1303" s="18" t="s">
        <v>28</v>
      </c>
      <c r="L1303" s="18" t="s">
        <v>28</v>
      </c>
      <c r="M1303" s="18" t="s">
        <v>28</v>
      </c>
      <c r="N1303" s="17">
        <v>45225</v>
      </c>
      <c r="O1303" s="15" t="s">
        <v>99</v>
      </c>
      <c r="P1303" s="16" t="s">
        <v>4686</v>
      </c>
      <c r="Q1303" s="15" t="s">
        <v>414</v>
      </c>
      <c r="R1303" s="13" t="str">
        <f>HYPERLINK("https://my.pitchbook.com?c=244228-87T","View Company Online")</f>
        <v>View Company Online</v>
      </c>
    </row>
    <row r="1304" spans="1:18" hidden="1" x14ac:dyDescent="0.3">
      <c r="A1304" s="9" t="s">
        <v>4687</v>
      </c>
      <c r="B1304" s="9" t="s">
        <v>4688</v>
      </c>
      <c r="C1304" s="11" t="s">
        <v>28</v>
      </c>
      <c r="D1304" s="9" t="s">
        <v>4689</v>
      </c>
      <c r="E1304" s="11" t="s">
        <v>28</v>
      </c>
      <c r="F1304" s="10" t="s">
        <v>28</v>
      </c>
      <c r="G1304" s="10" t="s">
        <v>28</v>
      </c>
      <c r="H1304" s="10" t="s">
        <v>28</v>
      </c>
      <c r="I1304" s="11" t="s">
        <v>28</v>
      </c>
      <c r="J1304" s="11" t="s">
        <v>28</v>
      </c>
      <c r="K1304" s="11" t="s">
        <v>28</v>
      </c>
      <c r="L1304" s="11" t="s">
        <v>28</v>
      </c>
      <c r="M1304" s="11" t="s">
        <v>28</v>
      </c>
      <c r="N1304" s="8">
        <v>45224</v>
      </c>
      <c r="O1304" s="9" t="s">
        <v>30</v>
      </c>
      <c r="P1304" s="12" t="s">
        <v>4690</v>
      </c>
      <c r="Q1304" s="9" t="s">
        <v>740</v>
      </c>
      <c r="R1304" s="14" t="str">
        <f>HYPERLINK("https://my.pitchbook.com?c=244081-36T","View Company Online")</f>
        <v>View Company Online</v>
      </c>
    </row>
    <row r="1305" spans="1:18" hidden="1" x14ac:dyDescent="0.3">
      <c r="A1305" s="15" t="s">
        <v>4691</v>
      </c>
      <c r="B1305" s="15" t="s">
        <v>3602</v>
      </c>
      <c r="C1305" s="18" t="s">
        <v>28</v>
      </c>
      <c r="D1305" s="15" t="s">
        <v>3603</v>
      </c>
      <c r="E1305" s="18" t="s">
        <v>28</v>
      </c>
      <c r="F1305" s="19" t="s">
        <v>28</v>
      </c>
      <c r="G1305" s="19">
        <v>0.59</v>
      </c>
      <c r="H1305" s="19" t="s">
        <v>28</v>
      </c>
      <c r="I1305" s="18" t="s">
        <v>28</v>
      </c>
      <c r="J1305" s="18" t="s">
        <v>28</v>
      </c>
      <c r="K1305" s="18" t="s">
        <v>28</v>
      </c>
      <c r="L1305" s="18" t="s">
        <v>28</v>
      </c>
      <c r="M1305" s="18" t="s">
        <v>28</v>
      </c>
      <c r="N1305" s="17">
        <v>45222</v>
      </c>
      <c r="O1305" s="15" t="s">
        <v>99</v>
      </c>
      <c r="P1305" s="16" t="s">
        <v>4692</v>
      </c>
      <c r="Q1305" s="15" t="s">
        <v>37</v>
      </c>
      <c r="R1305" s="13" t="str">
        <f>HYPERLINK("https://my.pitchbook.com?c=244160-11T","View Company Online")</f>
        <v>View Company Online</v>
      </c>
    </row>
    <row r="1306" spans="1:18" hidden="1" x14ac:dyDescent="0.3">
      <c r="A1306" s="9" t="s">
        <v>4693</v>
      </c>
      <c r="B1306" s="9" t="s">
        <v>279</v>
      </c>
      <c r="C1306" s="11" t="s">
        <v>28</v>
      </c>
      <c r="D1306" s="9" t="s">
        <v>2280</v>
      </c>
      <c r="E1306" s="11">
        <v>-120.79</v>
      </c>
      <c r="F1306" s="10" t="s">
        <v>28</v>
      </c>
      <c r="G1306" s="10" t="s">
        <v>28</v>
      </c>
      <c r="H1306" s="10" t="s">
        <v>28</v>
      </c>
      <c r="I1306" s="11">
        <v>500.28</v>
      </c>
      <c r="J1306" s="11" t="s">
        <v>28</v>
      </c>
      <c r="K1306" s="11">
        <v>10630.57</v>
      </c>
      <c r="L1306" s="11" t="s">
        <v>28</v>
      </c>
      <c r="M1306" s="11">
        <v>-737.45</v>
      </c>
      <c r="N1306" s="8">
        <v>45222</v>
      </c>
      <c r="O1306" s="9" t="s">
        <v>159</v>
      </c>
      <c r="P1306" s="12" t="s">
        <v>2281</v>
      </c>
      <c r="Q1306" s="9" t="s">
        <v>136</v>
      </c>
      <c r="R1306" s="14" t="str">
        <f>HYPERLINK("https://my.pitchbook.com?c=272830-33T","View Company Online")</f>
        <v>View Company Online</v>
      </c>
    </row>
    <row r="1307" spans="1:18" hidden="1" x14ac:dyDescent="0.3">
      <c r="A1307" s="15" t="s">
        <v>4694</v>
      </c>
      <c r="B1307" s="15" t="s">
        <v>4695</v>
      </c>
      <c r="C1307" s="18" t="s">
        <v>28</v>
      </c>
      <c r="D1307" s="15" t="s">
        <v>4696</v>
      </c>
      <c r="E1307" s="18" t="s">
        <v>28</v>
      </c>
      <c r="F1307" s="19" t="s">
        <v>28</v>
      </c>
      <c r="G1307" s="19" t="s">
        <v>28</v>
      </c>
      <c r="H1307" s="19" t="s">
        <v>28</v>
      </c>
      <c r="I1307" s="18" t="s">
        <v>28</v>
      </c>
      <c r="J1307" s="18" t="s">
        <v>28</v>
      </c>
      <c r="K1307" s="18" t="s">
        <v>28</v>
      </c>
      <c r="L1307" s="18" t="s">
        <v>28</v>
      </c>
      <c r="M1307" s="18" t="s">
        <v>28</v>
      </c>
      <c r="N1307" s="17">
        <v>45222</v>
      </c>
      <c r="O1307" s="15" t="s">
        <v>30</v>
      </c>
      <c r="P1307" s="16" t="s">
        <v>4697</v>
      </c>
      <c r="Q1307" s="15" t="s">
        <v>114</v>
      </c>
      <c r="R1307" s="13" t="str">
        <f>HYPERLINK("https://my.pitchbook.com?c=243992-62T","View Company Online")</f>
        <v>View Company Online</v>
      </c>
    </row>
    <row r="1308" spans="1:18" hidden="1" x14ac:dyDescent="0.3">
      <c r="A1308" s="9" t="s">
        <v>4698</v>
      </c>
      <c r="B1308" s="9" t="s">
        <v>4699</v>
      </c>
      <c r="C1308" s="11" t="s">
        <v>28</v>
      </c>
      <c r="D1308" s="9" t="s">
        <v>4700</v>
      </c>
      <c r="E1308" s="11" t="s">
        <v>28</v>
      </c>
      <c r="F1308" s="10" t="s">
        <v>28</v>
      </c>
      <c r="G1308" s="10">
        <v>19.8</v>
      </c>
      <c r="H1308" s="10" t="s">
        <v>28</v>
      </c>
      <c r="I1308" s="11" t="s">
        <v>28</v>
      </c>
      <c r="J1308" s="11" t="s">
        <v>28</v>
      </c>
      <c r="K1308" s="11" t="s">
        <v>28</v>
      </c>
      <c r="L1308" s="11" t="s">
        <v>28</v>
      </c>
      <c r="M1308" s="11" t="s">
        <v>28</v>
      </c>
      <c r="N1308" s="8">
        <v>45219</v>
      </c>
      <c r="O1308" s="9" t="s">
        <v>93</v>
      </c>
      <c r="P1308" s="12" t="s">
        <v>4701</v>
      </c>
      <c r="Q1308" s="9" t="s">
        <v>75</v>
      </c>
      <c r="R1308" s="14" t="str">
        <f>HYPERLINK("https://my.pitchbook.com?c=243771-04T","View Company Online")</f>
        <v>View Company Online</v>
      </c>
    </row>
    <row r="1309" spans="1:18" hidden="1" x14ac:dyDescent="0.3">
      <c r="A1309" s="15" t="s">
        <v>4702</v>
      </c>
      <c r="B1309" s="15" t="s">
        <v>4703</v>
      </c>
      <c r="C1309" s="18" t="s">
        <v>28</v>
      </c>
      <c r="D1309" s="15" t="s">
        <v>4704</v>
      </c>
      <c r="E1309" s="18" t="s">
        <v>28</v>
      </c>
      <c r="F1309" s="19" t="s">
        <v>28</v>
      </c>
      <c r="G1309" s="19" t="s">
        <v>28</v>
      </c>
      <c r="H1309" s="19" t="s">
        <v>28</v>
      </c>
      <c r="I1309" s="18" t="s">
        <v>28</v>
      </c>
      <c r="J1309" s="18" t="s">
        <v>28</v>
      </c>
      <c r="K1309" s="18" t="s">
        <v>28</v>
      </c>
      <c r="L1309" s="18" t="s">
        <v>28</v>
      </c>
      <c r="M1309" s="18" t="s">
        <v>28</v>
      </c>
      <c r="N1309" s="17">
        <v>45219</v>
      </c>
      <c r="O1309" s="15" t="s">
        <v>30</v>
      </c>
      <c r="P1309" s="16" t="s">
        <v>4705</v>
      </c>
      <c r="Q1309" s="15" t="s">
        <v>409</v>
      </c>
      <c r="R1309" s="13" t="str">
        <f>HYPERLINK("https://my.pitchbook.com?c=276863-32T","View Company Online")</f>
        <v>View Company Online</v>
      </c>
    </row>
    <row r="1310" spans="1:18" hidden="1" x14ac:dyDescent="0.3">
      <c r="A1310" s="9" t="s">
        <v>4706</v>
      </c>
      <c r="B1310" s="9" t="s">
        <v>4707</v>
      </c>
      <c r="C1310" s="11" t="s">
        <v>28</v>
      </c>
      <c r="D1310" s="9" t="s">
        <v>4708</v>
      </c>
      <c r="E1310" s="11" t="s">
        <v>28</v>
      </c>
      <c r="F1310" s="10">
        <v>12.59</v>
      </c>
      <c r="G1310" s="10">
        <v>12.59</v>
      </c>
      <c r="H1310" s="10">
        <v>12.59</v>
      </c>
      <c r="I1310" s="11" t="s">
        <v>28</v>
      </c>
      <c r="J1310" s="11" t="s">
        <v>28</v>
      </c>
      <c r="K1310" s="11" t="s">
        <v>28</v>
      </c>
      <c r="L1310" s="11" t="s">
        <v>28</v>
      </c>
      <c r="M1310" s="11" t="s">
        <v>28</v>
      </c>
      <c r="N1310" s="8">
        <v>45218</v>
      </c>
      <c r="O1310" s="9" t="s">
        <v>30</v>
      </c>
      <c r="P1310" s="12" t="s">
        <v>4709</v>
      </c>
      <c r="Q1310" s="9" t="s">
        <v>4710</v>
      </c>
      <c r="R1310" s="14" t="str">
        <f>HYPERLINK("https://my.pitchbook.com?c=244080-55T","View Company Online")</f>
        <v>View Company Online</v>
      </c>
    </row>
    <row r="1311" spans="1:18" hidden="1" x14ac:dyDescent="0.3">
      <c r="A1311" s="15" t="s">
        <v>4711</v>
      </c>
      <c r="B1311" s="15" t="s">
        <v>4712</v>
      </c>
      <c r="C1311" s="18" t="s">
        <v>28</v>
      </c>
      <c r="D1311" s="15" t="s">
        <v>4713</v>
      </c>
      <c r="E1311" s="18" t="s">
        <v>28</v>
      </c>
      <c r="F1311" s="19" t="s">
        <v>28</v>
      </c>
      <c r="G1311" s="19">
        <v>30</v>
      </c>
      <c r="H1311" s="19" t="s">
        <v>28</v>
      </c>
      <c r="I1311" s="18" t="s">
        <v>28</v>
      </c>
      <c r="J1311" s="18" t="s">
        <v>28</v>
      </c>
      <c r="K1311" s="18" t="s">
        <v>28</v>
      </c>
      <c r="L1311" s="18" t="s">
        <v>28</v>
      </c>
      <c r="M1311" s="18" t="s">
        <v>28</v>
      </c>
      <c r="N1311" s="17">
        <v>45217</v>
      </c>
      <c r="O1311" s="15" t="s">
        <v>73</v>
      </c>
      <c r="P1311" s="16" t="s">
        <v>28</v>
      </c>
      <c r="Q1311" s="15" t="s">
        <v>404</v>
      </c>
      <c r="R1311" s="13" t="str">
        <f>HYPERLINK("https://my.pitchbook.com?c=243495-64T","View Company Online")</f>
        <v>View Company Online</v>
      </c>
    </row>
    <row r="1312" spans="1:18" hidden="1" x14ac:dyDescent="0.3">
      <c r="A1312" s="9" t="s">
        <v>4714</v>
      </c>
      <c r="B1312" s="9" t="s">
        <v>4715</v>
      </c>
      <c r="C1312" s="11" t="s">
        <v>28</v>
      </c>
      <c r="D1312" s="9" t="s">
        <v>4716</v>
      </c>
      <c r="E1312" s="11" t="s">
        <v>28</v>
      </c>
      <c r="F1312" s="10" t="s">
        <v>28</v>
      </c>
      <c r="G1312" s="10" t="s">
        <v>28</v>
      </c>
      <c r="H1312" s="10" t="s">
        <v>28</v>
      </c>
      <c r="I1312" s="11" t="s">
        <v>28</v>
      </c>
      <c r="J1312" s="11" t="s">
        <v>28</v>
      </c>
      <c r="K1312" s="11" t="s">
        <v>28</v>
      </c>
      <c r="L1312" s="11" t="s">
        <v>28</v>
      </c>
      <c r="M1312" s="11" t="s">
        <v>28</v>
      </c>
      <c r="N1312" s="8">
        <v>45217</v>
      </c>
      <c r="O1312" s="9" t="s">
        <v>30</v>
      </c>
      <c r="P1312" s="12" t="s">
        <v>4717</v>
      </c>
      <c r="Q1312" s="9" t="s">
        <v>470</v>
      </c>
      <c r="R1312" s="14" t="str">
        <f>HYPERLINK("https://my.pitchbook.com?c=244080-19T","View Company Online")</f>
        <v>View Company Online</v>
      </c>
    </row>
    <row r="1313" spans="1:18" hidden="1" x14ac:dyDescent="0.3">
      <c r="A1313" s="15" t="s">
        <v>4718</v>
      </c>
      <c r="B1313" s="15" t="s">
        <v>3196</v>
      </c>
      <c r="C1313" s="18" t="s">
        <v>28</v>
      </c>
      <c r="D1313" s="15" t="s">
        <v>3197</v>
      </c>
      <c r="E1313" s="18" t="s">
        <v>28</v>
      </c>
      <c r="F1313" s="19" t="s">
        <v>28</v>
      </c>
      <c r="G1313" s="19" t="s">
        <v>28</v>
      </c>
      <c r="H1313" s="19" t="s">
        <v>28</v>
      </c>
      <c r="I1313" s="18" t="s">
        <v>28</v>
      </c>
      <c r="J1313" s="18" t="s">
        <v>28</v>
      </c>
      <c r="K1313" s="18">
        <v>70</v>
      </c>
      <c r="L1313" s="18" t="s">
        <v>28</v>
      </c>
      <c r="M1313" s="18" t="s">
        <v>28</v>
      </c>
      <c r="N1313" s="17">
        <v>45217</v>
      </c>
      <c r="O1313" s="15" t="s">
        <v>30</v>
      </c>
      <c r="P1313" s="16" t="s">
        <v>28</v>
      </c>
      <c r="Q1313" s="15" t="s">
        <v>362</v>
      </c>
      <c r="R1313" s="13" t="str">
        <f>HYPERLINK("https://my.pitchbook.com?c=245977-84T","View Company Online")</f>
        <v>View Company Online</v>
      </c>
    </row>
    <row r="1314" spans="1:18" hidden="1" x14ac:dyDescent="0.3">
      <c r="A1314" s="9" t="s">
        <v>4719</v>
      </c>
      <c r="B1314" s="9" t="s">
        <v>4720</v>
      </c>
      <c r="C1314" s="11" t="s">
        <v>28</v>
      </c>
      <c r="D1314" s="9" t="s">
        <v>4721</v>
      </c>
      <c r="E1314" s="11" t="s">
        <v>28</v>
      </c>
      <c r="F1314" s="10" t="s">
        <v>28</v>
      </c>
      <c r="G1314" s="10" t="s">
        <v>28</v>
      </c>
      <c r="H1314" s="10" t="s">
        <v>28</v>
      </c>
      <c r="I1314" s="11" t="s">
        <v>28</v>
      </c>
      <c r="J1314" s="11" t="s">
        <v>28</v>
      </c>
      <c r="K1314" s="11" t="s">
        <v>28</v>
      </c>
      <c r="L1314" s="11" t="s">
        <v>28</v>
      </c>
      <c r="M1314" s="11" t="s">
        <v>28</v>
      </c>
      <c r="N1314" s="8">
        <v>45217</v>
      </c>
      <c r="O1314" s="9" t="s">
        <v>173</v>
      </c>
      <c r="P1314" s="12" t="s">
        <v>28</v>
      </c>
      <c r="Q1314" s="9" t="s">
        <v>174</v>
      </c>
      <c r="R1314" s="14" t="str">
        <f>HYPERLINK("https://my.pitchbook.com?c=226680-40T","View Company Online")</f>
        <v>View Company Online</v>
      </c>
    </row>
    <row r="1315" spans="1:18" hidden="1" x14ac:dyDescent="0.3">
      <c r="A1315" s="15" t="s">
        <v>4722</v>
      </c>
      <c r="B1315" s="15" t="s">
        <v>4723</v>
      </c>
      <c r="C1315" s="18" t="s">
        <v>28</v>
      </c>
      <c r="D1315" s="15" t="s">
        <v>4724</v>
      </c>
      <c r="E1315" s="18" t="s">
        <v>28</v>
      </c>
      <c r="F1315" s="19" t="s">
        <v>28</v>
      </c>
      <c r="G1315" s="19" t="s">
        <v>28</v>
      </c>
      <c r="H1315" s="19" t="s">
        <v>28</v>
      </c>
      <c r="I1315" s="18" t="s">
        <v>28</v>
      </c>
      <c r="J1315" s="18" t="s">
        <v>28</v>
      </c>
      <c r="K1315" s="18" t="s">
        <v>28</v>
      </c>
      <c r="L1315" s="18" t="s">
        <v>28</v>
      </c>
      <c r="M1315" s="18" t="s">
        <v>28</v>
      </c>
      <c r="N1315" s="17">
        <v>45216</v>
      </c>
      <c r="O1315" s="15" t="s">
        <v>30</v>
      </c>
      <c r="P1315" s="16" t="s">
        <v>4725</v>
      </c>
      <c r="Q1315" s="15" t="s">
        <v>3048</v>
      </c>
      <c r="R1315" s="13" t="str">
        <f>HYPERLINK("https://my.pitchbook.com?c=243540-01T","View Company Online")</f>
        <v>View Company Online</v>
      </c>
    </row>
    <row r="1316" spans="1:18" hidden="1" x14ac:dyDescent="0.3">
      <c r="A1316" s="9" t="s">
        <v>4726</v>
      </c>
      <c r="B1316" s="9" t="s">
        <v>4727</v>
      </c>
      <c r="C1316" s="11" t="s">
        <v>28</v>
      </c>
      <c r="D1316" s="9" t="s">
        <v>4728</v>
      </c>
      <c r="E1316" s="11" t="s">
        <v>28</v>
      </c>
      <c r="F1316" s="10" t="s">
        <v>28</v>
      </c>
      <c r="G1316" s="10" t="s">
        <v>28</v>
      </c>
      <c r="H1316" s="10" t="s">
        <v>28</v>
      </c>
      <c r="I1316" s="11" t="s">
        <v>28</v>
      </c>
      <c r="J1316" s="11" t="s">
        <v>28</v>
      </c>
      <c r="K1316" s="11" t="s">
        <v>28</v>
      </c>
      <c r="L1316" s="11" t="s">
        <v>28</v>
      </c>
      <c r="M1316" s="11" t="s">
        <v>28</v>
      </c>
      <c r="N1316" s="8">
        <v>45216</v>
      </c>
      <c r="O1316" s="9" t="s">
        <v>52</v>
      </c>
      <c r="P1316" s="12" t="s">
        <v>4500</v>
      </c>
      <c r="Q1316" s="9" t="s">
        <v>362</v>
      </c>
      <c r="R1316" s="14" t="str">
        <f>HYPERLINK("https://my.pitchbook.com?c=273989-35T","View Company Online")</f>
        <v>View Company Online</v>
      </c>
    </row>
    <row r="1317" spans="1:18" hidden="1" x14ac:dyDescent="0.3">
      <c r="A1317" s="15" t="s">
        <v>4729</v>
      </c>
      <c r="B1317" s="15" t="s">
        <v>4730</v>
      </c>
      <c r="C1317" s="18" t="s">
        <v>28</v>
      </c>
      <c r="D1317" s="15" t="s">
        <v>4731</v>
      </c>
      <c r="E1317" s="18" t="s">
        <v>28</v>
      </c>
      <c r="F1317" s="19" t="s">
        <v>28</v>
      </c>
      <c r="G1317" s="19" t="s">
        <v>28</v>
      </c>
      <c r="H1317" s="19" t="s">
        <v>28</v>
      </c>
      <c r="I1317" s="18" t="s">
        <v>28</v>
      </c>
      <c r="J1317" s="18" t="s">
        <v>28</v>
      </c>
      <c r="K1317" s="18" t="s">
        <v>28</v>
      </c>
      <c r="L1317" s="18" t="s">
        <v>28</v>
      </c>
      <c r="M1317" s="18" t="s">
        <v>28</v>
      </c>
      <c r="N1317" s="17">
        <v>45216</v>
      </c>
      <c r="O1317" s="15" t="s">
        <v>41</v>
      </c>
      <c r="P1317" s="16" t="s">
        <v>4732</v>
      </c>
      <c r="Q1317" s="15" t="s">
        <v>1007</v>
      </c>
      <c r="R1317" s="13" t="str">
        <f>HYPERLINK("https://my.pitchbook.com?c=243784-81T","View Company Online")</f>
        <v>View Company Online</v>
      </c>
    </row>
    <row r="1318" spans="1:18" hidden="1" x14ac:dyDescent="0.3">
      <c r="A1318" s="9" t="s">
        <v>4733</v>
      </c>
      <c r="B1318" s="9" t="s">
        <v>4734</v>
      </c>
      <c r="C1318" s="11" t="s">
        <v>28</v>
      </c>
      <c r="D1318" s="9" t="s">
        <v>4735</v>
      </c>
      <c r="E1318" s="11" t="s">
        <v>28</v>
      </c>
      <c r="F1318" s="10" t="s">
        <v>28</v>
      </c>
      <c r="G1318" s="10">
        <v>0.01</v>
      </c>
      <c r="H1318" s="10" t="s">
        <v>28</v>
      </c>
      <c r="I1318" s="11" t="s">
        <v>28</v>
      </c>
      <c r="J1318" s="11" t="s">
        <v>28</v>
      </c>
      <c r="K1318" s="11" t="s">
        <v>28</v>
      </c>
      <c r="L1318" s="11" t="s">
        <v>28</v>
      </c>
      <c r="M1318" s="11" t="s">
        <v>28</v>
      </c>
      <c r="N1318" s="8">
        <v>45216</v>
      </c>
      <c r="O1318" s="9" t="s">
        <v>52</v>
      </c>
      <c r="P1318" s="12" t="s">
        <v>4736</v>
      </c>
      <c r="Q1318" s="9" t="s">
        <v>263</v>
      </c>
      <c r="R1318" s="14" t="str">
        <f>HYPERLINK("https://my.pitchbook.com?c=276732-28T","View Company Online")</f>
        <v>View Company Online</v>
      </c>
    </row>
    <row r="1319" spans="1:18" hidden="1" x14ac:dyDescent="0.3">
      <c r="A1319" s="15" t="s">
        <v>4737</v>
      </c>
      <c r="B1319" s="15" t="s">
        <v>4738</v>
      </c>
      <c r="C1319" s="18" t="s">
        <v>28</v>
      </c>
      <c r="D1319" s="15" t="s">
        <v>4739</v>
      </c>
      <c r="E1319" s="18" t="s">
        <v>28</v>
      </c>
      <c r="F1319" s="19" t="s">
        <v>28</v>
      </c>
      <c r="G1319" s="19" t="s">
        <v>28</v>
      </c>
      <c r="H1319" s="19" t="s">
        <v>28</v>
      </c>
      <c r="I1319" s="18" t="s">
        <v>28</v>
      </c>
      <c r="J1319" s="18" t="s">
        <v>28</v>
      </c>
      <c r="K1319" s="18" t="s">
        <v>28</v>
      </c>
      <c r="L1319" s="18" t="s">
        <v>28</v>
      </c>
      <c r="M1319" s="18" t="s">
        <v>28</v>
      </c>
      <c r="N1319" s="17">
        <v>45216</v>
      </c>
      <c r="O1319" s="15" t="s">
        <v>30</v>
      </c>
      <c r="P1319" s="16" t="s">
        <v>4740</v>
      </c>
      <c r="Q1319" s="15" t="s">
        <v>37</v>
      </c>
      <c r="R1319" s="13" t="str">
        <f>HYPERLINK("https://my.pitchbook.com?c=243613-90T","View Company Online")</f>
        <v>View Company Online</v>
      </c>
    </row>
    <row r="1320" spans="1:18" hidden="1" x14ac:dyDescent="0.3">
      <c r="A1320" s="9" t="s">
        <v>4741</v>
      </c>
      <c r="B1320" s="9" t="s">
        <v>4742</v>
      </c>
      <c r="C1320" s="11" t="s">
        <v>28</v>
      </c>
      <c r="D1320" s="9" t="s">
        <v>4743</v>
      </c>
      <c r="E1320" s="11" t="s">
        <v>28</v>
      </c>
      <c r="F1320" s="10" t="s">
        <v>28</v>
      </c>
      <c r="G1320" s="10" t="s">
        <v>28</v>
      </c>
      <c r="H1320" s="10" t="s">
        <v>28</v>
      </c>
      <c r="I1320" s="11" t="s">
        <v>28</v>
      </c>
      <c r="J1320" s="11" t="s">
        <v>28</v>
      </c>
      <c r="K1320" s="11" t="s">
        <v>28</v>
      </c>
      <c r="L1320" s="11" t="s">
        <v>28</v>
      </c>
      <c r="M1320" s="11" t="s">
        <v>28</v>
      </c>
      <c r="N1320" s="8">
        <v>45215</v>
      </c>
      <c r="O1320" s="9" t="s">
        <v>73</v>
      </c>
      <c r="P1320" s="12" t="s">
        <v>611</v>
      </c>
      <c r="Q1320" s="9" t="s">
        <v>75</v>
      </c>
      <c r="R1320" s="14" t="str">
        <f>HYPERLINK("https://my.pitchbook.com?c=227530-63T","View Company Online")</f>
        <v>View Company Online</v>
      </c>
    </row>
    <row r="1321" spans="1:18" hidden="1" x14ac:dyDescent="0.3">
      <c r="A1321" s="15" t="s">
        <v>4744</v>
      </c>
      <c r="B1321" s="15" t="s">
        <v>4282</v>
      </c>
      <c r="C1321" s="18" t="s">
        <v>28</v>
      </c>
      <c r="D1321" s="15" t="s">
        <v>4283</v>
      </c>
      <c r="E1321" s="18" t="s">
        <v>28</v>
      </c>
      <c r="F1321" s="19" t="s">
        <v>28</v>
      </c>
      <c r="G1321" s="19">
        <v>0.1</v>
      </c>
      <c r="H1321" s="19">
        <v>1.43</v>
      </c>
      <c r="I1321" s="18" t="s">
        <v>28</v>
      </c>
      <c r="J1321" s="18" t="s">
        <v>28</v>
      </c>
      <c r="K1321" s="18" t="s">
        <v>28</v>
      </c>
      <c r="L1321" s="18" t="s">
        <v>28</v>
      </c>
      <c r="M1321" s="18" t="s">
        <v>28</v>
      </c>
      <c r="N1321" s="17">
        <v>45215</v>
      </c>
      <c r="O1321" s="15" t="s">
        <v>52</v>
      </c>
      <c r="P1321" s="16" t="s">
        <v>4745</v>
      </c>
      <c r="Q1321" s="15" t="s">
        <v>75</v>
      </c>
      <c r="R1321" s="13" t="str">
        <f>HYPERLINK("https://my.pitchbook.com?c=244716-13T","View Company Online")</f>
        <v>View Company Online</v>
      </c>
    </row>
    <row r="1322" spans="1:18" hidden="1" x14ac:dyDescent="0.3">
      <c r="A1322" s="9" t="s">
        <v>4746</v>
      </c>
      <c r="B1322" s="9" t="s">
        <v>4747</v>
      </c>
      <c r="C1322" s="11" t="s">
        <v>28</v>
      </c>
      <c r="D1322" s="9" t="s">
        <v>4748</v>
      </c>
      <c r="E1322" s="11">
        <v>16.41</v>
      </c>
      <c r="F1322" s="10" t="s">
        <v>28</v>
      </c>
      <c r="G1322" s="10">
        <v>45.77</v>
      </c>
      <c r="H1322" s="10" t="s">
        <v>28</v>
      </c>
      <c r="I1322" s="11">
        <v>23.11</v>
      </c>
      <c r="J1322" s="11" t="s">
        <v>28</v>
      </c>
      <c r="K1322" s="11">
        <v>198.98</v>
      </c>
      <c r="L1322" s="11" t="s">
        <v>28</v>
      </c>
      <c r="M1322" s="11">
        <v>-0.05</v>
      </c>
      <c r="N1322" s="8">
        <v>45215</v>
      </c>
      <c r="O1322" s="9" t="s">
        <v>423</v>
      </c>
      <c r="P1322" s="12" t="s">
        <v>28</v>
      </c>
      <c r="Q1322" s="9" t="s">
        <v>959</v>
      </c>
      <c r="R1322" s="14" t="str">
        <f>HYPERLINK("https://my.pitchbook.com?c=244041-49T","View Company Online")</f>
        <v>View Company Online</v>
      </c>
    </row>
    <row r="1323" spans="1:18" hidden="1" x14ac:dyDescent="0.3">
      <c r="A1323" s="15" t="s">
        <v>4749</v>
      </c>
      <c r="B1323" s="15" t="s">
        <v>4750</v>
      </c>
      <c r="C1323" s="18" t="s">
        <v>28</v>
      </c>
      <c r="D1323" s="15" t="s">
        <v>4751</v>
      </c>
      <c r="E1323" s="18" t="s">
        <v>28</v>
      </c>
      <c r="F1323" s="19" t="s">
        <v>28</v>
      </c>
      <c r="G1323" s="19" t="s">
        <v>28</v>
      </c>
      <c r="H1323" s="19" t="s">
        <v>28</v>
      </c>
      <c r="I1323" s="18" t="s">
        <v>28</v>
      </c>
      <c r="J1323" s="18" t="s">
        <v>28</v>
      </c>
      <c r="K1323" s="18" t="s">
        <v>28</v>
      </c>
      <c r="L1323" s="18" t="s">
        <v>28</v>
      </c>
      <c r="M1323" s="18" t="s">
        <v>28</v>
      </c>
      <c r="N1323" s="17">
        <v>45215</v>
      </c>
      <c r="O1323" s="15" t="s">
        <v>30</v>
      </c>
      <c r="P1323" s="16" t="s">
        <v>4752</v>
      </c>
      <c r="Q1323" s="15" t="s">
        <v>4753</v>
      </c>
      <c r="R1323" s="13" t="str">
        <f>HYPERLINK("https://my.pitchbook.com?c=243369-82T","View Company Online")</f>
        <v>View Company Online</v>
      </c>
    </row>
    <row r="1324" spans="1:18" hidden="1" x14ac:dyDescent="0.3">
      <c r="A1324" s="9" t="s">
        <v>4754</v>
      </c>
      <c r="B1324" s="9" t="s">
        <v>4755</v>
      </c>
      <c r="C1324" s="11" t="s">
        <v>28</v>
      </c>
      <c r="D1324" s="9" t="s">
        <v>4756</v>
      </c>
      <c r="E1324" s="11" t="s">
        <v>28</v>
      </c>
      <c r="F1324" s="10" t="s">
        <v>28</v>
      </c>
      <c r="G1324" s="10">
        <v>0.4</v>
      </c>
      <c r="H1324" s="10">
        <v>1.25</v>
      </c>
      <c r="I1324" s="11" t="s">
        <v>28</v>
      </c>
      <c r="J1324" s="11" t="s">
        <v>28</v>
      </c>
      <c r="K1324" s="11" t="s">
        <v>28</v>
      </c>
      <c r="L1324" s="11" t="s">
        <v>28</v>
      </c>
      <c r="M1324" s="11" t="s">
        <v>28</v>
      </c>
      <c r="N1324" s="8">
        <v>45214</v>
      </c>
      <c r="O1324" s="9" t="s">
        <v>379</v>
      </c>
      <c r="P1324" s="12" t="s">
        <v>28</v>
      </c>
      <c r="Q1324" s="9" t="s">
        <v>263</v>
      </c>
      <c r="R1324" s="14" t="str">
        <f>HYPERLINK("https://my.pitchbook.com?c=275128-75T","View Company Online")</f>
        <v>View Company Online</v>
      </c>
    </row>
    <row r="1325" spans="1:18" hidden="1" x14ac:dyDescent="0.3">
      <c r="A1325" s="15" t="s">
        <v>4757</v>
      </c>
      <c r="B1325" s="15" t="s">
        <v>4758</v>
      </c>
      <c r="C1325" s="18" t="s">
        <v>28</v>
      </c>
      <c r="D1325" s="15" t="s">
        <v>4759</v>
      </c>
      <c r="E1325" s="18" t="s">
        <v>28</v>
      </c>
      <c r="F1325" s="19" t="s">
        <v>28</v>
      </c>
      <c r="G1325" s="19" t="s">
        <v>28</v>
      </c>
      <c r="H1325" s="19" t="s">
        <v>28</v>
      </c>
      <c r="I1325" s="18" t="s">
        <v>28</v>
      </c>
      <c r="J1325" s="18" t="s">
        <v>28</v>
      </c>
      <c r="K1325" s="18" t="s">
        <v>28</v>
      </c>
      <c r="L1325" s="18" t="s">
        <v>28</v>
      </c>
      <c r="M1325" s="18" t="s">
        <v>28</v>
      </c>
      <c r="N1325" s="17">
        <v>45212</v>
      </c>
      <c r="O1325" s="15" t="s">
        <v>30</v>
      </c>
      <c r="P1325" s="16" t="s">
        <v>4760</v>
      </c>
      <c r="Q1325" s="15" t="s">
        <v>136</v>
      </c>
      <c r="R1325" s="13" t="str">
        <f>HYPERLINK("https://my.pitchbook.com?c=243270-55T","View Company Online")</f>
        <v>View Company Online</v>
      </c>
    </row>
    <row r="1326" spans="1:18" hidden="1" x14ac:dyDescent="0.3">
      <c r="A1326" s="9" t="s">
        <v>4761</v>
      </c>
      <c r="B1326" s="9" t="s">
        <v>4762</v>
      </c>
      <c r="C1326" s="11" t="s">
        <v>28</v>
      </c>
      <c r="D1326" s="9" t="s">
        <v>4763</v>
      </c>
      <c r="E1326" s="11" t="s">
        <v>28</v>
      </c>
      <c r="F1326" s="10">
        <v>303.25</v>
      </c>
      <c r="G1326" s="10">
        <v>169.82</v>
      </c>
      <c r="H1326" s="10">
        <v>303.25</v>
      </c>
      <c r="I1326" s="11" t="s">
        <v>28</v>
      </c>
      <c r="J1326" s="11" t="s">
        <v>28</v>
      </c>
      <c r="K1326" s="11" t="s">
        <v>28</v>
      </c>
      <c r="L1326" s="11" t="s">
        <v>28</v>
      </c>
      <c r="M1326" s="11" t="s">
        <v>28</v>
      </c>
      <c r="N1326" s="8">
        <v>45211</v>
      </c>
      <c r="O1326" s="9" t="s">
        <v>41</v>
      </c>
      <c r="P1326" s="12" t="s">
        <v>4764</v>
      </c>
      <c r="Q1326" s="9" t="s">
        <v>740</v>
      </c>
      <c r="R1326" s="14" t="str">
        <f>HYPERLINK("https://my.pitchbook.com?c=242433-73T","View Company Online")</f>
        <v>View Company Online</v>
      </c>
    </row>
    <row r="1327" spans="1:18" hidden="1" x14ac:dyDescent="0.3">
      <c r="A1327" s="15" t="s">
        <v>4765</v>
      </c>
      <c r="B1327" s="15" t="s">
        <v>4766</v>
      </c>
      <c r="C1327" s="18" t="s">
        <v>28</v>
      </c>
      <c r="D1327" s="15" t="s">
        <v>4767</v>
      </c>
      <c r="E1327" s="18" t="s">
        <v>28</v>
      </c>
      <c r="F1327" s="19" t="s">
        <v>28</v>
      </c>
      <c r="G1327" s="19" t="s">
        <v>28</v>
      </c>
      <c r="H1327" s="19" t="s">
        <v>28</v>
      </c>
      <c r="I1327" s="18" t="s">
        <v>28</v>
      </c>
      <c r="J1327" s="18" t="s">
        <v>28</v>
      </c>
      <c r="K1327" s="18" t="s">
        <v>28</v>
      </c>
      <c r="L1327" s="18" t="s">
        <v>28</v>
      </c>
      <c r="M1327" s="18" t="s">
        <v>28</v>
      </c>
      <c r="N1327" s="17">
        <v>45210</v>
      </c>
      <c r="O1327" s="15" t="s">
        <v>41</v>
      </c>
      <c r="P1327" s="16" t="s">
        <v>4768</v>
      </c>
      <c r="Q1327" s="15" t="s">
        <v>399</v>
      </c>
      <c r="R1327" s="13" t="str">
        <f>HYPERLINK("https://my.pitchbook.com?c=243054-01T","View Company Online")</f>
        <v>View Company Online</v>
      </c>
    </row>
    <row r="1328" spans="1:18" hidden="1" x14ac:dyDescent="0.3">
      <c r="A1328" s="9" t="s">
        <v>4769</v>
      </c>
      <c r="B1328" s="9" t="s">
        <v>4770</v>
      </c>
      <c r="C1328" s="11" t="s">
        <v>28</v>
      </c>
      <c r="D1328" s="9" t="s">
        <v>4771</v>
      </c>
      <c r="E1328" s="11" t="s">
        <v>28</v>
      </c>
      <c r="F1328" s="10" t="s">
        <v>28</v>
      </c>
      <c r="G1328" s="10">
        <v>2</v>
      </c>
      <c r="H1328" s="10">
        <v>2</v>
      </c>
      <c r="I1328" s="11" t="s">
        <v>28</v>
      </c>
      <c r="J1328" s="11" t="s">
        <v>28</v>
      </c>
      <c r="K1328" s="11" t="s">
        <v>28</v>
      </c>
      <c r="L1328" s="11" t="s">
        <v>28</v>
      </c>
      <c r="M1328" s="11" t="s">
        <v>28</v>
      </c>
      <c r="N1328" s="8">
        <v>45210</v>
      </c>
      <c r="O1328" s="9" t="s">
        <v>58</v>
      </c>
      <c r="P1328" s="12" t="s">
        <v>4772</v>
      </c>
      <c r="Q1328" s="9" t="s">
        <v>4773</v>
      </c>
      <c r="R1328" s="14" t="str">
        <f>HYPERLINK("https://my.pitchbook.com?c=243190-99T","View Company Online")</f>
        <v>View Company Online</v>
      </c>
    </row>
    <row r="1329" spans="1:18" hidden="1" x14ac:dyDescent="0.3">
      <c r="A1329" s="15" t="s">
        <v>4774</v>
      </c>
      <c r="B1329" s="15" t="s">
        <v>4775</v>
      </c>
      <c r="C1329" s="18" t="s">
        <v>28</v>
      </c>
      <c r="D1329" s="15" t="s">
        <v>4776</v>
      </c>
      <c r="E1329" s="18" t="s">
        <v>28</v>
      </c>
      <c r="F1329" s="19" t="s">
        <v>28</v>
      </c>
      <c r="G1329" s="19" t="s">
        <v>28</v>
      </c>
      <c r="H1329" s="19" t="s">
        <v>28</v>
      </c>
      <c r="I1329" s="18" t="s">
        <v>28</v>
      </c>
      <c r="J1329" s="18" t="s">
        <v>28</v>
      </c>
      <c r="K1329" s="18" t="s">
        <v>28</v>
      </c>
      <c r="L1329" s="18" t="s">
        <v>28</v>
      </c>
      <c r="M1329" s="18" t="s">
        <v>28</v>
      </c>
      <c r="N1329" s="17">
        <v>45210</v>
      </c>
      <c r="O1329" s="15" t="s">
        <v>30</v>
      </c>
      <c r="P1329" s="16" t="s">
        <v>4133</v>
      </c>
      <c r="Q1329" s="15" t="s">
        <v>3973</v>
      </c>
      <c r="R1329" s="13" t="str">
        <f>HYPERLINK("https://my.pitchbook.com?c=243657-73T","View Company Online")</f>
        <v>View Company Online</v>
      </c>
    </row>
    <row r="1330" spans="1:18" hidden="1" x14ac:dyDescent="0.3">
      <c r="A1330" s="9" t="s">
        <v>4777</v>
      </c>
      <c r="B1330" s="9" t="s">
        <v>4778</v>
      </c>
      <c r="C1330" s="11" t="s">
        <v>28</v>
      </c>
      <c r="D1330" s="9" t="s">
        <v>4779</v>
      </c>
      <c r="E1330" s="11" t="s">
        <v>28</v>
      </c>
      <c r="F1330" s="10" t="s">
        <v>28</v>
      </c>
      <c r="G1330" s="10">
        <v>0.2</v>
      </c>
      <c r="H1330" s="10" t="s">
        <v>28</v>
      </c>
      <c r="I1330" s="11" t="s">
        <v>28</v>
      </c>
      <c r="J1330" s="11" t="s">
        <v>28</v>
      </c>
      <c r="K1330" s="11" t="s">
        <v>28</v>
      </c>
      <c r="L1330" s="11" t="s">
        <v>28</v>
      </c>
      <c r="M1330" s="11" t="s">
        <v>28</v>
      </c>
      <c r="N1330" s="8">
        <v>45209</v>
      </c>
      <c r="O1330" s="9" t="s">
        <v>73</v>
      </c>
      <c r="P1330" s="12" t="s">
        <v>28</v>
      </c>
      <c r="Q1330" s="9" t="s">
        <v>4710</v>
      </c>
      <c r="R1330" s="14" t="str">
        <f>HYPERLINK("https://my.pitchbook.com?c=242966-26T","View Company Online")</f>
        <v>View Company Online</v>
      </c>
    </row>
    <row r="1331" spans="1:18" hidden="1" x14ac:dyDescent="0.3">
      <c r="A1331" s="15" t="s">
        <v>4780</v>
      </c>
      <c r="B1331" s="15" t="s">
        <v>4781</v>
      </c>
      <c r="C1331" s="18" t="s">
        <v>28</v>
      </c>
      <c r="D1331" s="15" t="s">
        <v>4782</v>
      </c>
      <c r="E1331" s="18" t="s">
        <v>28</v>
      </c>
      <c r="F1331" s="19" t="s">
        <v>28</v>
      </c>
      <c r="G1331" s="19" t="s">
        <v>28</v>
      </c>
      <c r="H1331" s="19" t="s">
        <v>28</v>
      </c>
      <c r="I1331" s="18" t="s">
        <v>28</v>
      </c>
      <c r="J1331" s="18" t="s">
        <v>28</v>
      </c>
      <c r="K1331" s="18" t="s">
        <v>28</v>
      </c>
      <c r="L1331" s="18" t="s">
        <v>28</v>
      </c>
      <c r="M1331" s="18" t="s">
        <v>28</v>
      </c>
      <c r="N1331" s="17">
        <v>45209</v>
      </c>
      <c r="O1331" s="15" t="s">
        <v>30</v>
      </c>
      <c r="P1331" s="16" t="s">
        <v>4783</v>
      </c>
      <c r="Q1331" s="15" t="s">
        <v>1734</v>
      </c>
      <c r="R1331" s="13" t="str">
        <f>HYPERLINK("https://my.pitchbook.com?c=242951-86T","View Company Online")</f>
        <v>View Company Online</v>
      </c>
    </row>
    <row r="1332" spans="1:18" hidden="1" x14ac:dyDescent="0.3">
      <c r="A1332" s="9" t="s">
        <v>4784</v>
      </c>
      <c r="B1332" s="9" t="s">
        <v>4785</v>
      </c>
      <c r="C1332" s="11" t="s">
        <v>28</v>
      </c>
      <c r="D1332" s="9" t="s">
        <v>4786</v>
      </c>
      <c r="E1332" s="11" t="s">
        <v>28</v>
      </c>
      <c r="F1332" s="10">
        <v>541.9</v>
      </c>
      <c r="G1332" s="10">
        <v>358.03</v>
      </c>
      <c r="H1332" s="10">
        <v>541.9</v>
      </c>
      <c r="I1332" s="11" t="s">
        <v>28</v>
      </c>
      <c r="J1332" s="11" t="s">
        <v>28</v>
      </c>
      <c r="K1332" s="11">
        <v>591.15</v>
      </c>
      <c r="L1332" s="11">
        <v>0.92</v>
      </c>
      <c r="M1332" s="11">
        <v>-18.13</v>
      </c>
      <c r="N1332" s="8">
        <v>45209</v>
      </c>
      <c r="O1332" s="9" t="s">
        <v>30</v>
      </c>
      <c r="P1332" s="12" t="s">
        <v>28</v>
      </c>
      <c r="Q1332" s="9" t="s">
        <v>136</v>
      </c>
      <c r="R1332" s="14" t="str">
        <f>HYPERLINK("https://my.pitchbook.com?c=221356-99T","View Company Online")</f>
        <v>View Company Online</v>
      </c>
    </row>
    <row r="1333" spans="1:18" hidden="1" x14ac:dyDescent="0.3">
      <c r="A1333" s="15" t="s">
        <v>4787</v>
      </c>
      <c r="B1333" s="15" t="s">
        <v>4788</v>
      </c>
      <c r="C1333" s="18" t="s">
        <v>28</v>
      </c>
      <c r="D1333" s="15" t="s">
        <v>4789</v>
      </c>
      <c r="E1333" s="18" t="s">
        <v>28</v>
      </c>
      <c r="F1333" s="19" t="s">
        <v>28</v>
      </c>
      <c r="G1333" s="19" t="s">
        <v>28</v>
      </c>
      <c r="H1333" s="19" t="s">
        <v>28</v>
      </c>
      <c r="I1333" s="18" t="s">
        <v>28</v>
      </c>
      <c r="J1333" s="18" t="s">
        <v>28</v>
      </c>
      <c r="K1333" s="18" t="s">
        <v>28</v>
      </c>
      <c r="L1333" s="18" t="s">
        <v>28</v>
      </c>
      <c r="M1333" s="18" t="s">
        <v>28</v>
      </c>
      <c r="N1333" s="17">
        <v>45209</v>
      </c>
      <c r="O1333" s="15" t="s">
        <v>79</v>
      </c>
      <c r="P1333" s="16" t="s">
        <v>611</v>
      </c>
      <c r="Q1333" s="15" t="s">
        <v>75</v>
      </c>
      <c r="R1333" s="13" t="str">
        <f>HYPERLINK("https://my.pitchbook.com?c=256057-57T","View Company Online")</f>
        <v>View Company Online</v>
      </c>
    </row>
    <row r="1334" spans="1:18" hidden="1" x14ac:dyDescent="0.3">
      <c r="A1334" s="9" t="s">
        <v>4790</v>
      </c>
      <c r="B1334" s="9" t="s">
        <v>4791</v>
      </c>
      <c r="C1334" s="11" t="s">
        <v>28</v>
      </c>
      <c r="D1334" s="9" t="s">
        <v>4792</v>
      </c>
      <c r="E1334" s="11" t="s">
        <v>28</v>
      </c>
      <c r="F1334" s="10">
        <v>24</v>
      </c>
      <c r="G1334" s="10">
        <v>24</v>
      </c>
      <c r="H1334" s="10">
        <v>24</v>
      </c>
      <c r="I1334" s="11" t="s">
        <v>28</v>
      </c>
      <c r="J1334" s="11" t="s">
        <v>28</v>
      </c>
      <c r="K1334" s="11" t="s">
        <v>28</v>
      </c>
      <c r="L1334" s="11" t="s">
        <v>28</v>
      </c>
      <c r="M1334" s="11" t="s">
        <v>28</v>
      </c>
      <c r="N1334" s="8">
        <v>45209</v>
      </c>
      <c r="O1334" s="9" t="s">
        <v>30</v>
      </c>
      <c r="P1334" s="12" t="s">
        <v>4793</v>
      </c>
      <c r="Q1334" s="9" t="s">
        <v>37</v>
      </c>
      <c r="R1334" s="14" t="str">
        <f>HYPERLINK("https://my.pitchbook.com?c=243026-74T","View Company Online")</f>
        <v>View Company Online</v>
      </c>
    </row>
    <row r="1335" spans="1:18" hidden="1" x14ac:dyDescent="0.3">
      <c r="A1335" s="15" t="s">
        <v>4794</v>
      </c>
      <c r="B1335" s="15" t="s">
        <v>4795</v>
      </c>
      <c r="C1335" s="18" t="s">
        <v>28</v>
      </c>
      <c r="D1335" s="15" t="s">
        <v>4796</v>
      </c>
      <c r="E1335" s="18" t="s">
        <v>28</v>
      </c>
      <c r="F1335" s="19" t="s">
        <v>28</v>
      </c>
      <c r="G1335" s="19">
        <v>0.28000000000000003</v>
      </c>
      <c r="H1335" s="19" t="s">
        <v>28</v>
      </c>
      <c r="I1335" s="18" t="s">
        <v>28</v>
      </c>
      <c r="J1335" s="18" t="s">
        <v>28</v>
      </c>
      <c r="K1335" s="18" t="s">
        <v>28</v>
      </c>
      <c r="L1335" s="18" t="s">
        <v>28</v>
      </c>
      <c r="M1335" s="18" t="s">
        <v>28</v>
      </c>
      <c r="N1335" s="17">
        <v>45208</v>
      </c>
      <c r="O1335" s="15" t="s">
        <v>99</v>
      </c>
      <c r="P1335" s="16" t="s">
        <v>4797</v>
      </c>
      <c r="Q1335" s="15" t="s">
        <v>316</v>
      </c>
      <c r="R1335" s="13" t="str">
        <f>HYPERLINK("https://my.pitchbook.com?c=242963-65T","View Company Online")</f>
        <v>View Company Online</v>
      </c>
    </row>
    <row r="1336" spans="1:18" hidden="1" x14ac:dyDescent="0.3">
      <c r="A1336" s="9" t="s">
        <v>4798</v>
      </c>
      <c r="B1336" s="9" t="s">
        <v>4799</v>
      </c>
      <c r="C1336" s="11" t="s">
        <v>28</v>
      </c>
      <c r="D1336" s="9" t="s">
        <v>4800</v>
      </c>
      <c r="E1336" s="11" t="s">
        <v>28</v>
      </c>
      <c r="F1336" s="10" t="s">
        <v>28</v>
      </c>
      <c r="G1336" s="10" t="s">
        <v>28</v>
      </c>
      <c r="H1336" s="10" t="s">
        <v>28</v>
      </c>
      <c r="I1336" s="11" t="s">
        <v>28</v>
      </c>
      <c r="J1336" s="11" t="s">
        <v>28</v>
      </c>
      <c r="K1336" s="11" t="s">
        <v>28</v>
      </c>
      <c r="L1336" s="11" t="s">
        <v>28</v>
      </c>
      <c r="M1336" s="11" t="s">
        <v>28</v>
      </c>
      <c r="N1336" s="8">
        <v>45208</v>
      </c>
      <c r="O1336" s="9" t="s">
        <v>30</v>
      </c>
      <c r="P1336" s="12" t="s">
        <v>28</v>
      </c>
      <c r="Q1336" s="9" t="s">
        <v>268</v>
      </c>
      <c r="R1336" s="14" t="str">
        <f>HYPERLINK("https://my.pitchbook.com?c=242855-83T","View Company Online")</f>
        <v>View Company Online</v>
      </c>
    </row>
    <row r="1337" spans="1:18" hidden="1" x14ac:dyDescent="0.3">
      <c r="A1337" s="15" t="s">
        <v>4801</v>
      </c>
      <c r="B1337" s="15" t="s">
        <v>4802</v>
      </c>
      <c r="C1337" s="18" t="s">
        <v>28</v>
      </c>
      <c r="D1337" s="15" t="s">
        <v>4803</v>
      </c>
      <c r="E1337" s="18" t="s">
        <v>28</v>
      </c>
      <c r="F1337" s="19" t="s">
        <v>28</v>
      </c>
      <c r="G1337" s="19">
        <v>0.19</v>
      </c>
      <c r="H1337" s="19" t="s">
        <v>28</v>
      </c>
      <c r="I1337" s="18" t="s">
        <v>28</v>
      </c>
      <c r="J1337" s="18" t="s">
        <v>28</v>
      </c>
      <c r="K1337" s="18" t="s">
        <v>28</v>
      </c>
      <c r="L1337" s="18" t="s">
        <v>28</v>
      </c>
      <c r="M1337" s="18" t="s">
        <v>28</v>
      </c>
      <c r="N1337" s="17">
        <v>45208</v>
      </c>
      <c r="O1337" s="15" t="s">
        <v>47</v>
      </c>
      <c r="P1337" s="16" t="s">
        <v>4804</v>
      </c>
      <c r="Q1337" s="15" t="s">
        <v>285</v>
      </c>
      <c r="R1337" s="13" t="str">
        <f>HYPERLINK("https://my.pitchbook.com?c=255480-40T","View Company Online")</f>
        <v>View Company Online</v>
      </c>
    </row>
    <row r="1338" spans="1:18" hidden="1" x14ac:dyDescent="0.3">
      <c r="A1338" s="9" t="s">
        <v>4805</v>
      </c>
      <c r="B1338" s="9" t="s">
        <v>4806</v>
      </c>
      <c r="C1338" s="11" t="s">
        <v>28</v>
      </c>
      <c r="D1338" s="9" t="s">
        <v>4807</v>
      </c>
      <c r="E1338" s="11" t="s">
        <v>28</v>
      </c>
      <c r="F1338" s="10" t="s">
        <v>28</v>
      </c>
      <c r="G1338" s="10" t="s">
        <v>28</v>
      </c>
      <c r="H1338" s="10" t="s">
        <v>28</v>
      </c>
      <c r="I1338" s="11" t="s">
        <v>28</v>
      </c>
      <c r="J1338" s="11" t="s">
        <v>28</v>
      </c>
      <c r="K1338" s="11" t="s">
        <v>28</v>
      </c>
      <c r="L1338" s="11" t="s">
        <v>28</v>
      </c>
      <c r="M1338" s="11" t="s">
        <v>28</v>
      </c>
      <c r="N1338" s="8">
        <v>45208</v>
      </c>
      <c r="O1338" s="9" t="s">
        <v>30</v>
      </c>
      <c r="P1338" s="12" t="s">
        <v>4808</v>
      </c>
      <c r="Q1338" s="9" t="s">
        <v>37</v>
      </c>
      <c r="R1338" s="14" t="str">
        <f>HYPERLINK("https://my.pitchbook.com?c=243190-90T","View Company Online")</f>
        <v>View Company Online</v>
      </c>
    </row>
    <row r="1339" spans="1:18" hidden="1" x14ac:dyDescent="0.3">
      <c r="A1339" s="15" t="s">
        <v>4809</v>
      </c>
      <c r="B1339" s="15" t="s">
        <v>4810</v>
      </c>
      <c r="C1339" s="18" t="s">
        <v>28</v>
      </c>
      <c r="D1339" s="15" t="s">
        <v>4811</v>
      </c>
      <c r="E1339" s="18" t="s">
        <v>28</v>
      </c>
      <c r="F1339" s="19" t="s">
        <v>28</v>
      </c>
      <c r="G1339" s="19" t="s">
        <v>28</v>
      </c>
      <c r="H1339" s="19" t="s">
        <v>28</v>
      </c>
      <c r="I1339" s="18" t="s">
        <v>28</v>
      </c>
      <c r="J1339" s="18" t="s">
        <v>28</v>
      </c>
      <c r="K1339" s="18" t="s">
        <v>28</v>
      </c>
      <c r="L1339" s="18" t="s">
        <v>28</v>
      </c>
      <c r="M1339" s="18" t="s">
        <v>28</v>
      </c>
      <c r="N1339" s="17">
        <v>45208</v>
      </c>
      <c r="O1339" s="15" t="s">
        <v>41</v>
      </c>
      <c r="P1339" s="16" t="s">
        <v>4812</v>
      </c>
      <c r="Q1339" s="15" t="s">
        <v>183</v>
      </c>
      <c r="R1339" s="13" t="str">
        <f>HYPERLINK("https://my.pitchbook.com?c=242887-96T","View Company Online")</f>
        <v>View Company Online</v>
      </c>
    </row>
    <row r="1340" spans="1:18" hidden="1" x14ac:dyDescent="0.3">
      <c r="A1340" s="9" t="s">
        <v>4813</v>
      </c>
      <c r="B1340" s="9" t="s">
        <v>4814</v>
      </c>
      <c r="C1340" s="11" t="s">
        <v>28</v>
      </c>
      <c r="D1340" s="9" t="s">
        <v>4815</v>
      </c>
      <c r="E1340" s="11" t="s">
        <v>28</v>
      </c>
      <c r="F1340" s="10" t="s">
        <v>28</v>
      </c>
      <c r="G1340" s="10" t="s">
        <v>28</v>
      </c>
      <c r="H1340" s="10" t="s">
        <v>28</v>
      </c>
      <c r="I1340" s="11" t="s">
        <v>28</v>
      </c>
      <c r="J1340" s="11" t="s">
        <v>28</v>
      </c>
      <c r="K1340" s="11">
        <v>1.19</v>
      </c>
      <c r="L1340" s="11" t="s">
        <v>28</v>
      </c>
      <c r="M1340" s="11">
        <v>0.92</v>
      </c>
      <c r="N1340" s="8">
        <v>45207</v>
      </c>
      <c r="O1340" s="9" t="s">
        <v>173</v>
      </c>
      <c r="P1340" s="12" t="s">
        <v>28</v>
      </c>
      <c r="Q1340" s="9" t="s">
        <v>174</v>
      </c>
      <c r="R1340" s="14" t="str">
        <f>HYPERLINK("https://my.pitchbook.com?c=264275-38T","View Company Online")</f>
        <v>View Company Online</v>
      </c>
    </row>
    <row r="1341" spans="1:18" hidden="1" x14ac:dyDescent="0.3">
      <c r="A1341" s="15" t="s">
        <v>4816</v>
      </c>
      <c r="B1341" s="15" t="s">
        <v>4817</v>
      </c>
      <c r="C1341" s="18" t="s">
        <v>28</v>
      </c>
      <c r="D1341" s="15" t="s">
        <v>4818</v>
      </c>
      <c r="E1341" s="18" t="s">
        <v>28</v>
      </c>
      <c r="F1341" s="19" t="s">
        <v>28</v>
      </c>
      <c r="G1341" s="19">
        <v>0.34</v>
      </c>
      <c r="H1341" s="19" t="s">
        <v>28</v>
      </c>
      <c r="I1341" s="18" t="s">
        <v>28</v>
      </c>
      <c r="J1341" s="18" t="s">
        <v>28</v>
      </c>
      <c r="K1341" s="18" t="s">
        <v>28</v>
      </c>
      <c r="L1341" s="18" t="s">
        <v>28</v>
      </c>
      <c r="M1341" s="18" t="s">
        <v>28</v>
      </c>
      <c r="N1341" s="17">
        <v>45206</v>
      </c>
      <c r="O1341" s="15" t="s">
        <v>1639</v>
      </c>
      <c r="P1341" s="16" t="s">
        <v>4819</v>
      </c>
      <c r="Q1341" s="15" t="s">
        <v>43</v>
      </c>
      <c r="R1341" s="13" t="str">
        <f>HYPERLINK("https://my.pitchbook.com?c=242779-24T","View Company Online")</f>
        <v>View Company Online</v>
      </c>
    </row>
    <row r="1342" spans="1:18" hidden="1" x14ac:dyDescent="0.3">
      <c r="A1342" s="9" t="s">
        <v>4820</v>
      </c>
      <c r="B1342" s="9" t="s">
        <v>4821</v>
      </c>
      <c r="C1342" s="11" t="s">
        <v>28</v>
      </c>
      <c r="D1342" s="9" t="s">
        <v>4822</v>
      </c>
      <c r="E1342" s="11" t="s">
        <v>28</v>
      </c>
      <c r="F1342" s="10" t="s">
        <v>28</v>
      </c>
      <c r="G1342" s="10" t="s">
        <v>28</v>
      </c>
      <c r="H1342" s="10" t="s">
        <v>28</v>
      </c>
      <c r="I1342" s="11" t="s">
        <v>28</v>
      </c>
      <c r="J1342" s="11" t="s">
        <v>28</v>
      </c>
      <c r="K1342" s="11" t="s">
        <v>28</v>
      </c>
      <c r="L1342" s="11" t="s">
        <v>28</v>
      </c>
      <c r="M1342" s="11" t="s">
        <v>28</v>
      </c>
      <c r="N1342" s="8">
        <v>45205</v>
      </c>
      <c r="O1342" s="9" t="s">
        <v>30</v>
      </c>
      <c r="P1342" s="12" t="s">
        <v>4823</v>
      </c>
      <c r="Q1342" s="9" t="s">
        <v>1035</v>
      </c>
      <c r="R1342" s="14" t="str">
        <f>HYPERLINK("https://my.pitchbook.com?c=241484-05T","View Company Online")</f>
        <v>View Company Online</v>
      </c>
    </row>
    <row r="1343" spans="1:18" hidden="1" x14ac:dyDescent="0.3">
      <c r="A1343" s="15" t="s">
        <v>4824</v>
      </c>
      <c r="B1343" s="15" t="s">
        <v>4825</v>
      </c>
      <c r="C1343" s="18" t="s">
        <v>28</v>
      </c>
      <c r="D1343" s="15" t="s">
        <v>4826</v>
      </c>
      <c r="E1343" s="18" t="s">
        <v>28</v>
      </c>
      <c r="F1343" s="19" t="s">
        <v>28</v>
      </c>
      <c r="G1343" s="19">
        <v>0.01</v>
      </c>
      <c r="H1343" s="19">
        <v>0.03</v>
      </c>
      <c r="I1343" s="18" t="s">
        <v>28</v>
      </c>
      <c r="J1343" s="18" t="s">
        <v>28</v>
      </c>
      <c r="K1343" s="18" t="s">
        <v>28</v>
      </c>
      <c r="L1343" s="18" t="s">
        <v>28</v>
      </c>
      <c r="M1343" s="18" t="s">
        <v>28</v>
      </c>
      <c r="N1343" s="17">
        <v>45205</v>
      </c>
      <c r="O1343" s="15" t="s">
        <v>58</v>
      </c>
      <c r="P1343" s="16" t="s">
        <v>4827</v>
      </c>
      <c r="Q1343" s="15" t="s">
        <v>183</v>
      </c>
      <c r="R1343" s="13" t="str">
        <f>HYPERLINK("https://my.pitchbook.com?c=300273-67T","View Company Online")</f>
        <v>View Company Online</v>
      </c>
    </row>
    <row r="1344" spans="1:18" hidden="1" x14ac:dyDescent="0.3">
      <c r="A1344" s="9" t="s">
        <v>4828</v>
      </c>
      <c r="B1344" s="9" t="s">
        <v>746</v>
      </c>
      <c r="C1344" s="11" t="s">
        <v>28</v>
      </c>
      <c r="D1344" s="9" t="s">
        <v>747</v>
      </c>
      <c r="E1344" s="11" t="s">
        <v>28</v>
      </c>
      <c r="F1344" s="10" t="s">
        <v>28</v>
      </c>
      <c r="G1344" s="10" t="s">
        <v>28</v>
      </c>
      <c r="H1344" s="10" t="s">
        <v>28</v>
      </c>
      <c r="I1344" s="11" t="s">
        <v>28</v>
      </c>
      <c r="J1344" s="11" t="s">
        <v>28</v>
      </c>
      <c r="K1344" s="11" t="s">
        <v>28</v>
      </c>
      <c r="L1344" s="11" t="s">
        <v>28</v>
      </c>
      <c r="M1344" s="11" t="s">
        <v>28</v>
      </c>
      <c r="N1344" s="8">
        <v>45205</v>
      </c>
      <c r="O1344" s="9" t="s">
        <v>52</v>
      </c>
      <c r="P1344" s="12" t="s">
        <v>1880</v>
      </c>
      <c r="Q1344" s="9" t="s">
        <v>37</v>
      </c>
      <c r="R1344" s="14" t="str">
        <f>HYPERLINK("https://my.pitchbook.com?c=264249-46T","View Company Online")</f>
        <v>View Company Online</v>
      </c>
    </row>
    <row r="1345" spans="1:18" hidden="1" x14ac:dyDescent="0.3">
      <c r="A1345" s="15" t="s">
        <v>4829</v>
      </c>
      <c r="B1345" s="15" t="s">
        <v>4830</v>
      </c>
      <c r="C1345" s="18" t="s">
        <v>28</v>
      </c>
      <c r="D1345" s="15" t="s">
        <v>4831</v>
      </c>
      <c r="E1345" s="18" t="s">
        <v>28</v>
      </c>
      <c r="F1345" s="19" t="s">
        <v>28</v>
      </c>
      <c r="G1345" s="19" t="s">
        <v>28</v>
      </c>
      <c r="H1345" s="19" t="s">
        <v>28</v>
      </c>
      <c r="I1345" s="18" t="s">
        <v>28</v>
      </c>
      <c r="J1345" s="18" t="s">
        <v>28</v>
      </c>
      <c r="K1345" s="18" t="s">
        <v>28</v>
      </c>
      <c r="L1345" s="18" t="s">
        <v>28</v>
      </c>
      <c r="M1345" s="18" t="s">
        <v>28</v>
      </c>
      <c r="N1345" s="17">
        <v>45205</v>
      </c>
      <c r="O1345" s="15" t="s">
        <v>99</v>
      </c>
      <c r="P1345" s="16" t="s">
        <v>4832</v>
      </c>
      <c r="Q1345" s="15" t="s">
        <v>75</v>
      </c>
      <c r="R1345" s="13" t="str">
        <f>HYPERLINK("https://my.pitchbook.com?c=233852-59T","View Company Online")</f>
        <v>View Company Online</v>
      </c>
    </row>
    <row r="1346" spans="1:18" hidden="1" x14ac:dyDescent="0.3">
      <c r="A1346" s="9" t="s">
        <v>4833</v>
      </c>
      <c r="B1346" s="9" t="s">
        <v>4834</v>
      </c>
      <c r="C1346" s="11" t="s">
        <v>28</v>
      </c>
      <c r="D1346" s="9" t="s">
        <v>4835</v>
      </c>
      <c r="E1346" s="11" t="s">
        <v>28</v>
      </c>
      <c r="F1346" s="10" t="s">
        <v>28</v>
      </c>
      <c r="G1346" s="10" t="s">
        <v>28</v>
      </c>
      <c r="H1346" s="10" t="s">
        <v>28</v>
      </c>
      <c r="I1346" s="11" t="s">
        <v>28</v>
      </c>
      <c r="J1346" s="11" t="s">
        <v>28</v>
      </c>
      <c r="K1346" s="11" t="s">
        <v>28</v>
      </c>
      <c r="L1346" s="11" t="s">
        <v>28</v>
      </c>
      <c r="M1346" s="11" t="s">
        <v>28</v>
      </c>
      <c r="N1346" s="8">
        <v>45204</v>
      </c>
      <c r="O1346" s="9" t="s">
        <v>30</v>
      </c>
      <c r="P1346" s="12" t="s">
        <v>4836</v>
      </c>
      <c r="Q1346" s="9" t="s">
        <v>245</v>
      </c>
      <c r="R1346" s="14" t="str">
        <f>HYPERLINK("https://my.pitchbook.com?c=242693-38T","View Company Online")</f>
        <v>View Company Online</v>
      </c>
    </row>
    <row r="1347" spans="1:18" hidden="1" x14ac:dyDescent="0.3">
      <c r="A1347" s="15" t="s">
        <v>4837</v>
      </c>
      <c r="B1347" s="15" t="s">
        <v>4838</v>
      </c>
      <c r="C1347" s="18" t="s">
        <v>28</v>
      </c>
      <c r="D1347" s="15" t="s">
        <v>4839</v>
      </c>
      <c r="E1347" s="18" t="s">
        <v>28</v>
      </c>
      <c r="F1347" s="19" t="s">
        <v>28</v>
      </c>
      <c r="G1347" s="19" t="s">
        <v>28</v>
      </c>
      <c r="H1347" s="19" t="s">
        <v>28</v>
      </c>
      <c r="I1347" s="18" t="s">
        <v>28</v>
      </c>
      <c r="J1347" s="18" t="s">
        <v>28</v>
      </c>
      <c r="K1347" s="18" t="s">
        <v>28</v>
      </c>
      <c r="L1347" s="18" t="s">
        <v>28</v>
      </c>
      <c r="M1347" s="18" t="s">
        <v>28</v>
      </c>
      <c r="N1347" s="17">
        <v>45203</v>
      </c>
      <c r="O1347" s="15" t="s">
        <v>30</v>
      </c>
      <c r="P1347" s="16" t="s">
        <v>4840</v>
      </c>
      <c r="Q1347" s="15" t="s">
        <v>37</v>
      </c>
      <c r="R1347" s="13" t="str">
        <f>HYPERLINK("https://my.pitchbook.com?c=242642-80T","View Company Online")</f>
        <v>View Company Online</v>
      </c>
    </row>
    <row r="1348" spans="1:18" hidden="1" x14ac:dyDescent="0.3">
      <c r="A1348" s="9" t="s">
        <v>4841</v>
      </c>
      <c r="B1348" s="9" t="s">
        <v>4842</v>
      </c>
      <c r="C1348" s="11" t="s">
        <v>28</v>
      </c>
      <c r="D1348" s="9" t="s">
        <v>4843</v>
      </c>
      <c r="E1348" s="11" t="s">
        <v>28</v>
      </c>
      <c r="F1348" s="10" t="s">
        <v>28</v>
      </c>
      <c r="G1348" s="10" t="s">
        <v>28</v>
      </c>
      <c r="H1348" s="10" t="s">
        <v>28</v>
      </c>
      <c r="I1348" s="11" t="s">
        <v>28</v>
      </c>
      <c r="J1348" s="11" t="s">
        <v>28</v>
      </c>
      <c r="K1348" s="11" t="s">
        <v>28</v>
      </c>
      <c r="L1348" s="11" t="s">
        <v>28</v>
      </c>
      <c r="M1348" s="11" t="s">
        <v>28</v>
      </c>
      <c r="N1348" s="8">
        <v>45202</v>
      </c>
      <c r="O1348" s="9" t="s">
        <v>73</v>
      </c>
      <c r="P1348" s="12" t="s">
        <v>4844</v>
      </c>
      <c r="Q1348" s="9" t="s">
        <v>75</v>
      </c>
      <c r="R1348" s="14" t="str">
        <f>HYPERLINK("https://my.pitchbook.com?c=227524-51T","View Company Online")</f>
        <v>View Company Online</v>
      </c>
    </row>
    <row r="1349" spans="1:18" hidden="1" x14ac:dyDescent="0.3">
      <c r="A1349" s="15" t="s">
        <v>4845</v>
      </c>
      <c r="B1349" s="15" t="s">
        <v>4846</v>
      </c>
      <c r="C1349" s="18" t="s">
        <v>28</v>
      </c>
      <c r="D1349" s="15" t="s">
        <v>4847</v>
      </c>
      <c r="E1349" s="18" t="s">
        <v>28</v>
      </c>
      <c r="F1349" s="19" t="s">
        <v>28</v>
      </c>
      <c r="G1349" s="19" t="s">
        <v>28</v>
      </c>
      <c r="H1349" s="19" t="s">
        <v>28</v>
      </c>
      <c r="I1349" s="18" t="s">
        <v>28</v>
      </c>
      <c r="J1349" s="18" t="s">
        <v>28</v>
      </c>
      <c r="K1349" s="18" t="s">
        <v>28</v>
      </c>
      <c r="L1349" s="18" t="s">
        <v>28</v>
      </c>
      <c r="M1349" s="18" t="s">
        <v>28</v>
      </c>
      <c r="N1349" s="17">
        <v>45202</v>
      </c>
      <c r="O1349" s="15" t="s">
        <v>30</v>
      </c>
      <c r="P1349" s="16" t="s">
        <v>4848</v>
      </c>
      <c r="Q1349" s="15" t="s">
        <v>240</v>
      </c>
      <c r="R1349" s="13" t="str">
        <f>HYPERLINK("https://my.pitchbook.com?c=242432-56T","View Company Online")</f>
        <v>View Company Online</v>
      </c>
    </row>
    <row r="1350" spans="1:18" hidden="1" x14ac:dyDescent="0.3">
      <c r="A1350" s="9" t="s">
        <v>4849</v>
      </c>
      <c r="B1350" s="9" t="s">
        <v>4850</v>
      </c>
      <c r="C1350" s="11" t="s">
        <v>28</v>
      </c>
      <c r="D1350" s="9" t="s">
        <v>4851</v>
      </c>
      <c r="E1350" s="11" t="s">
        <v>28</v>
      </c>
      <c r="F1350" s="10" t="s">
        <v>28</v>
      </c>
      <c r="G1350" s="10">
        <v>0.3</v>
      </c>
      <c r="H1350" s="10" t="s">
        <v>28</v>
      </c>
      <c r="I1350" s="11" t="s">
        <v>28</v>
      </c>
      <c r="J1350" s="11" t="s">
        <v>28</v>
      </c>
      <c r="K1350" s="11" t="s">
        <v>28</v>
      </c>
      <c r="L1350" s="11" t="s">
        <v>28</v>
      </c>
      <c r="M1350" s="11" t="s">
        <v>28</v>
      </c>
      <c r="N1350" s="8">
        <v>45202</v>
      </c>
      <c r="O1350" s="9" t="s">
        <v>79</v>
      </c>
      <c r="P1350" s="12" t="s">
        <v>4852</v>
      </c>
      <c r="Q1350" s="9" t="s">
        <v>419</v>
      </c>
      <c r="R1350" s="14" t="str">
        <f>HYPERLINK("https://my.pitchbook.com?c=242093-53T","View Company Online")</f>
        <v>View Company Online</v>
      </c>
    </row>
    <row r="1351" spans="1:18" hidden="1" x14ac:dyDescent="0.3">
      <c r="A1351" s="15" t="s">
        <v>4853</v>
      </c>
      <c r="B1351" s="15" t="s">
        <v>4854</v>
      </c>
      <c r="C1351" s="18" t="s">
        <v>28</v>
      </c>
      <c r="D1351" s="15" t="s">
        <v>4855</v>
      </c>
      <c r="E1351" s="18" t="s">
        <v>28</v>
      </c>
      <c r="F1351" s="19">
        <v>24.4</v>
      </c>
      <c r="G1351" s="19">
        <v>24.4</v>
      </c>
      <c r="H1351" s="19">
        <v>24.4</v>
      </c>
      <c r="I1351" s="18" t="s">
        <v>28</v>
      </c>
      <c r="J1351" s="18" t="s">
        <v>28</v>
      </c>
      <c r="K1351" s="18" t="s">
        <v>28</v>
      </c>
      <c r="L1351" s="18" t="s">
        <v>28</v>
      </c>
      <c r="M1351" s="18" t="s">
        <v>28</v>
      </c>
      <c r="N1351" s="17">
        <v>45201</v>
      </c>
      <c r="O1351" s="15" t="s">
        <v>30</v>
      </c>
      <c r="P1351" s="16" t="s">
        <v>4856</v>
      </c>
      <c r="Q1351" s="15" t="s">
        <v>85</v>
      </c>
      <c r="R1351" s="13" t="str">
        <f>HYPERLINK("https://my.pitchbook.com?c=242450-92T","View Company Online")</f>
        <v>View Company Online</v>
      </c>
    </row>
    <row r="1352" spans="1:18" hidden="1" x14ac:dyDescent="0.3">
      <c r="A1352" s="9" t="s">
        <v>4857</v>
      </c>
      <c r="B1352" s="9" t="s">
        <v>4858</v>
      </c>
      <c r="C1352" s="11" t="s">
        <v>28</v>
      </c>
      <c r="D1352" s="9" t="s">
        <v>4859</v>
      </c>
      <c r="E1352" s="11" t="s">
        <v>28</v>
      </c>
      <c r="F1352" s="10">
        <v>22.2</v>
      </c>
      <c r="G1352" s="10">
        <v>22.2</v>
      </c>
      <c r="H1352" s="10">
        <v>22.2</v>
      </c>
      <c r="I1352" s="11" t="s">
        <v>28</v>
      </c>
      <c r="J1352" s="11" t="s">
        <v>28</v>
      </c>
      <c r="K1352" s="11" t="s">
        <v>28</v>
      </c>
      <c r="L1352" s="11" t="s">
        <v>28</v>
      </c>
      <c r="M1352" s="11" t="s">
        <v>28</v>
      </c>
      <c r="N1352" s="8">
        <v>45201</v>
      </c>
      <c r="O1352" s="9" t="s">
        <v>30</v>
      </c>
      <c r="P1352" s="12" t="s">
        <v>4860</v>
      </c>
      <c r="Q1352" s="9" t="s">
        <v>85</v>
      </c>
      <c r="R1352" s="14" t="str">
        <f>HYPERLINK("https://my.pitchbook.com?c=242781-22T","View Company Online")</f>
        <v>View Company Online</v>
      </c>
    </row>
    <row r="1353" spans="1:18" hidden="1" x14ac:dyDescent="0.3">
      <c r="A1353" s="15" t="s">
        <v>4861</v>
      </c>
      <c r="B1353" s="15" t="s">
        <v>4862</v>
      </c>
      <c r="C1353" s="18" t="s">
        <v>28</v>
      </c>
      <c r="D1353" s="15" t="s">
        <v>4863</v>
      </c>
      <c r="E1353" s="18" t="s">
        <v>28</v>
      </c>
      <c r="F1353" s="19" t="s">
        <v>28</v>
      </c>
      <c r="G1353" s="19" t="s">
        <v>28</v>
      </c>
      <c r="H1353" s="19" t="s">
        <v>28</v>
      </c>
      <c r="I1353" s="18" t="s">
        <v>28</v>
      </c>
      <c r="J1353" s="18" t="s">
        <v>28</v>
      </c>
      <c r="K1353" s="18" t="s">
        <v>28</v>
      </c>
      <c r="L1353" s="18" t="s">
        <v>28</v>
      </c>
      <c r="M1353" s="18" t="s">
        <v>28</v>
      </c>
      <c r="N1353" s="17">
        <v>45201</v>
      </c>
      <c r="O1353" s="15" t="s">
        <v>30</v>
      </c>
      <c r="P1353" s="16" t="s">
        <v>4864</v>
      </c>
      <c r="Q1353" s="15" t="s">
        <v>105</v>
      </c>
      <c r="R1353" s="13" t="str">
        <f>HYPERLINK("https://my.pitchbook.com?c=232556-05T","View Company Online")</f>
        <v>View Company Online</v>
      </c>
    </row>
    <row r="1354" spans="1:18" hidden="1" x14ac:dyDescent="0.3">
      <c r="A1354" s="9" t="s">
        <v>4865</v>
      </c>
      <c r="B1354" s="9" t="s">
        <v>4866</v>
      </c>
      <c r="C1354" s="11" t="s">
        <v>28</v>
      </c>
      <c r="D1354" s="9" t="s">
        <v>4867</v>
      </c>
      <c r="E1354" s="11" t="s">
        <v>28</v>
      </c>
      <c r="F1354" s="10">
        <v>48.25</v>
      </c>
      <c r="G1354" s="10">
        <v>48.25</v>
      </c>
      <c r="H1354" s="10">
        <v>48.25</v>
      </c>
      <c r="I1354" s="11" t="s">
        <v>28</v>
      </c>
      <c r="J1354" s="11" t="s">
        <v>28</v>
      </c>
      <c r="K1354" s="11" t="s">
        <v>28</v>
      </c>
      <c r="L1354" s="11" t="s">
        <v>28</v>
      </c>
      <c r="M1354" s="11" t="s">
        <v>28</v>
      </c>
      <c r="N1354" s="8">
        <v>45201</v>
      </c>
      <c r="O1354" s="9" t="s">
        <v>30</v>
      </c>
      <c r="P1354" s="12" t="s">
        <v>4868</v>
      </c>
      <c r="Q1354" s="9" t="s">
        <v>900</v>
      </c>
      <c r="R1354" s="14" t="str">
        <f>HYPERLINK("https://my.pitchbook.com?c=232942-24T","View Company Online")</f>
        <v>View Company Online</v>
      </c>
    </row>
    <row r="1355" spans="1:18" hidden="1" x14ac:dyDescent="0.3">
      <c r="A1355" s="15" t="s">
        <v>4869</v>
      </c>
      <c r="B1355" s="15" t="s">
        <v>4870</v>
      </c>
      <c r="C1355" s="18" t="s">
        <v>28</v>
      </c>
      <c r="D1355" s="15" t="s">
        <v>4871</v>
      </c>
      <c r="E1355" s="18" t="s">
        <v>28</v>
      </c>
      <c r="F1355" s="19">
        <v>100.98</v>
      </c>
      <c r="G1355" s="19">
        <v>100.98</v>
      </c>
      <c r="H1355" s="19">
        <v>100.98</v>
      </c>
      <c r="I1355" s="18" t="s">
        <v>28</v>
      </c>
      <c r="J1355" s="18" t="s">
        <v>28</v>
      </c>
      <c r="K1355" s="18" t="s">
        <v>28</v>
      </c>
      <c r="L1355" s="18" t="s">
        <v>28</v>
      </c>
      <c r="M1355" s="18" t="s">
        <v>28</v>
      </c>
      <c r="N1355" s="17">
        <v>45201</v>
      </c>
      <c r="O1355" s="15" t="s">
        <v>30</v>
      </c>
      <c r="P1355" s="16" t="s">
        <v>4872</v>
      </c>
      <c r="Q1355" s="15" t="s">
        <v>424</v>
      </c>
      <c r="R1355" s="13" t="str">
        <f>HYPERLINK("https://my.pitchbook.com?c=242350-66T","View Company Online")</f>
        <v>View Company Online</v>
      </c>
    </row>
    <row r="1356" spans="1:18" hidden="1" x14ac:dyDescent="0.3">
      <c r="A1356" s="9" t="s">
        <v>4873</v>
      </c>
      <c r="B1356" s="9" t="s">
        <v>168</v>
      </c>
      <c r="C1356" s="11" t="s">
        <v>28</v>
      </c>
      <c r="D1356" s="9" t="s">
        <v>4874</v>
      </c>
      <c r="E1356" s="11">
        <v>72.34</v>
      </c>
      <c r="F1356" s="10" t="s">
        <v>28</v>
      </c>
      <c r="G1356" s="10">
        <v>100</v>
      </c>
      <c r="H1356" s="10" t="s">
        <v>28</v>
      </c>
      <c r="I1356" s="11">
        <v>76.150000000000006</v>
      </c>
      <c r="J1356" s="11" t="s">
        <v>28</v>
      </c>
      <c r="K1356" s="11">
        <v>119.81</v>
      </c>
      <c r="L1356" s="11" t="s">
        <v>28</v>
      </c>
      <c r="M1356" s="11">
        <v>42.36</v>
      </c>
      <c r="N1356" s="8">
        <v>45201</v>
      </c>
      <c r="O1356" s="9" t="s">
        <v>159</v>
      </c>
      <c r="P1356" s="12" t="s">
        <v>4875</v>
      </c>
      <c r="Q1356" s="9" t="s">
        <v>240</v>
      </c>
      <c r="R1356" s="14" t="str">
        <f>HYPERLINK("https://my.pitchbook.com?c=243233-92T","View Company Online")</f>
        <v>View Company Online</v>
      </c>
    </row>
    <row r="1357" spans="1:18" hidden="1" x14ac:dyDescent="0.3">
      <c r="A1357" s="15" t="s">
        <v>4876</v>
      </c>
      <c r="B1357" s="15" t="s">
        <v>4877</v>
      </c>
      <c r="C1357" s="18" t="s">
        <v>28</v>
      </c>
      <c r="D1357" s="15" t="s">
        <v>4878</v>
      </c>
      <c r="E1357" s="18" t="s">
        <v>28</v>
      </c>
      <c r="F1357" s="19">
        <v>90.2</v>
      </c>
      <c r="G1357" s="19">
        <v>90.2</v>
      </c>
      <c r="H1357" s="19">
        <v>90.2</v>
      </c>
      <c r="I1357" s="18" t="s">
        <v>28</v>
      </c>
      <c r="J1357" s="18" t="s">
        <v>28</v>
      </c>
      <c r="K1357" s="18" t="s">
        <v>28</v>
      </c>
      <c r="L1357" s="18" t="s">
        <v>28</v>
      </c>
      <c r="M1357" s="18" t="s">
        <v>28</v>
      </c>
      <c r="N1357" s="17">
        <v>45200</v>
      </c>
      <c r="O1357" s="15" t="s">
        <v>30</v>
      </c>
      <c r="P1357" s="16" t="s">
        <v>691</v>
      </c>
      <c r="Q1357" s="15" t="s">
        <v>692</v>
      </c>
      <c r="R1357" s="13" t="str">
        <f>HYPERLINK("https://my.pitchbook.com?c=244059-40T","View Company Online")</f>
        <v>View Company Online</v>
      </c>
    </row>
    <row r="1358" spans="1:18" hidden="1" x14ac:dyDescent="0.3">
      <c r="A1358" s="9" t="s">
        <v>4879</v>
      </c>
      <c r="B1358" s="9" t="s">
        <v>4880</v>
      </c>
      <c r="C1358" s="11" t="s">
        <v>28</v>
      </c>
      <c r="D1358" s="9" t="s">
        <v>4881</v>
      </c>
      <c r="E1358" s="11" t="s">
        <v>28</v>
      </c>
      <c r="F1358" s="10" t="s">
        <v>28</v>
      </c>
      <c r="G1358" s="10" t="s">
        <v>28</v>
      </c>
      <c r="H1358" s="10" t="s">
        <v>28</v>
      </c>
      <c r="I1358" s="11" t="s">
        <v>28</v>
      </c>
      <c r="J1358" s="11" t="s">
        <v>28</v>
      </c>
      <c r="K1358" s="11" t="s">
        <v>28</v>
      </c>
      <c r="L1358" s="11" t="s">
        <v>28</v>
      </c>
      <c r="M1358" s="11" t="s">
        <v>28</v>
      </c>
      <c r="N1358" s="8">
        <v>45200</v>
      </c>
      <c r="O1358" s="9" t="s">
        <v>30</v>
      </c>
      <c r="P1358" s="12" t="s">
        <v>4882</v>
      </c>
      <c r="Q1358" s="9" t="s">
        <v>240</v>
      </c>
      <c r="R1358" s="14" t="str">
        <f>HYPERLINK("https://my.pitchbook.com?c=277262-47T","View Company Online")</f>
        <v>View Company Online</v>
      </c>
    </row>
    <row r="1359" spans="1:18" hidden="1" x14ac:dyDescent="0.3">
      <c r="A1359" s="15" t="s">
        <v>4883</v>
      </c>
      <c r="B1359" s="15" t="s">
        <v>4884</v>
      </c>
      <c r="C1359" s="18" t="s">
        <v>28</v>
      </c>
      <c r="D1359" s="15" t="s">
        <v>4885</v>
      </c>
      <c r="E1359" s="18" t="s">
        <v>28</v>
      </c>
      <c r="F1359" s="19" t="s">
        <v>28</v>
      </c>
      <c r="G1359" s="19" t="s">
        <v>28</v>
      </c>
      <c r="H1359" s="19" t="s">
        <v>28</v>
      </c>
      <c r="I1359" s="18" t="s">
        <v>28</v>
      </c>
      <c r="J1359" s="18" t="s">
        <v>28</v>
      </c>
      <c r="K1359" s="18" t="s">
        <v>28</v>
      </c>
      <c r="L1359" s="18" t="s">
        <v>28</v>
      </c>
      <c r="M1359" s="18" t="s">
        <v>28</v>
      </c>
      <c r="N1359" s="17">
        <v>45200</v>
      </c>
      <c r="O1359" s="15" t="s">
        <v>30</v>
      </c>
      <c r="P1359" s="16" t="s">
        <v>28</v>
      </c>
      <c r="Q1359" s="15" t="s">
        <v>855</v>
      </c>
      <c r="R1359" s="13" t="str">
        <f>HYPERLINK("https://my.pitchbook.com?c=278262-37T","View Company Online")</f>
        <v>View Company Online</v>
      </c>
    </row>
    <row r="1360" spans="1:18" hidden="1" x14ac:dyDescent="0.3">
      <c r="A1360" s="9" t="s">
        <v>4886</v>
      </c>
      <c r="B1360" s="9" t="s">
        <v>4887</v>
      </c>
      <c r="C1360" s="11" t="s">
        <v>28</v>
      </c>
      <c r="D1360" s="9" t="s">
        <v>4888</v>
      </c>
      <c r="E1360" s="11" t="s">
        <v>28</v>
      </c>
      <c r="F1360" s="10" t="s">
        <v>28</v>
      </c>
      <c r="G1360" s="10" t="s">
        <v>28</v>
      </c>
      <c r="H1360" s="10" t="s">
        <v>28</v>
      </c>
      <c r="I1360" s="11" t="s">
        <v>28</v>
      </c>
      <c r="J1360" s="11" t="s">
        <v>28</v>
      </c>
      <c r="K1360" s="11" t="s">
        <v>28</v>
      </c>
      <c r="L1360" s="11" t="s">
        <v>28</v>
      </c>
      <c r="M1360" s="11" t="s">
        <v>28</v>
      </c>
      <c r="N1360" s="8">
        <v>45200</v>
      </c>
      <c r="O1360" s="9" t="s">
        <v>73</v>
      </c>
      <c r="P1360" s="12" t="s">
        <v>2009</v>
      </c>
      <c r="Q1360" s="9" t="s">
        <v>1144</v>
      </c>
      <c r="R1360" s="14" t="str">
        <f>HYPERLINK("https://my.pitchbook.com?c=244010-62T","View Company Online")</f>
        <v>View Company Online</v>
      </c>
    </row>
    <row r="1361" spans="1:18" hidden="1" x14ac:dyDescent="0.3">
      <c r="A1361" s="15" t="s">
        <v>4889</v>
      </c>
      <c r="B1361" s="15" t="s">
        <v>4890</v>
      </c>
      <c r="C1361" s="18" t="s">
        <v>28</v>
      </c>
      <c r="D1361" s="15" t="s">
        <v>4891</v>
      </c>
      <c r="E1361" s="18" t="s">
        <v>28</v>
      </c>
      <c r="F1361" s="19" t="s">
        <v>28</v>
      </c>
      <c r="G1361" s="19" t="s">
        <v>28</v>
      </c>
      <c r="H1361" s="19" t="s">
        <v>28</v>
      </c>
      <c r="I1361" s="18" t="s">
        <v>28</v>
      </c>
      <c r="J1361" s="18" t="s">
        <v>28</v>
      </c>
      <c r="K1361" s="18" t="s">
        <v>28</v>
      </c>
      <c r="L1361" s="18" t="s">
        <v>28</v>
      </c>
      <c r="M1361" s="18" t="s">
        <v>28</v>
      </c>
      <c r="N1361" s="17">
        <v>45200</v>
      </c>
      <c r="O1361" s="15" t="s">
        <v>79</v>
      </c>
      <c r="P1361" s="16" t="s">
        <v>4892</v>
      </c>
      <c r="Q1361" s="15" t="s">
        <v>75</v>
      </c>
      <c r="R1361" s="13" t="str">
        <f>HYPERLINK("https://my.pitchbook.com?c=250357-42T","View Company Online")</f>
        <v>View Company Online</v>
      </c>
    </row>
    <row r="1362" spans="1:18" hidden="1" x14ac:dyDescent="0.3">
      <c r="A1362" s="9" t="s">
        <v>4893</v>
      </c>
      <c r="B1362" s="9" t="s">
        <v>4894</v>
      </c>
      <c r="C1362" s="11" t="s">
        <v>28</v>
      </c>
      <c r="D1362" s="9" t="s">
        <v>4895</v>
      </c>
      <c r="E1362" s="11" t="s">
        <v>28</v>
      </c>
      <c r="F1362" s="10" t="s">
        <v>28</v>
      </c>
      <c r="G1362" s="10" t="s">
        <v>28</v>
      </c>
      <c r="H1362" s="10" t="s">
        <v>28</v>
      </c>
      <c r="I1362" s="11" t="s">
        <v>28</v>
      </c>
      <c r="J1362" s="11" t="s">
        <v>28</v>
      </c>
      <c r="K1362" s="11" t="s">
        <v>28</v>
      </c>
      <c r="L1362" s="11" t="s">
        <v>28</v>
      </c>
      <c r="M1362" s="11" t="s">
        <v>28</v>
      </c>
      <c r="N1362" s="8">
        <v>45200</v>
      </c>
      <c r="O1362" s="9" t="s">
        <v>30</v>
      </c>
      <c r="P1362" s="12" t="s">
        <v>4896</v>
      </c>
      <c r="Q1362" s="9" t="s">
        <v>136</v>
      </c>
      <c r="R1362" s="14" t="str">
        <f>HYPERLINK("https://my.pitchbook.com?c=254215-00T","View Company Online")</f>
        <v>View Company Online</v>
      </c>
    </row>
    <row r="1363" spans="1:18" hidden="1" x14ac:dyDescent="0.3">
      <c r="A1363" s="15" t="s">
        <v>4897</v>
      </c>
      <c r="B1363" s="15" t="s">
        <v>4898</v>
      </c>
      <c r="C1363" s="18" t="s">
        <v>28</v>
      </c>
      <c r="D1363" s="15" t="s">
        <v>4899</v>
      </c>
      <c r="E1363" s="18" t="s">
        <v>28</v>
      </c>
      <c r="F1363" s="19">
        <v>18.91</v>
      </c>
      <c r="G1363" s="19">
        <v>10.97</v>
      </c>
      <c r="H1363" s="19">
        <v>18.91</v>
      </c>
      <c r="I1363" s="18" t="s">
        <v>28</v>
      </c>
      <c r="J1363" s="18" t="s">
        <v>28</v>
      </c>
      <c r="K1363" s="18" t="s">
        <v>28</v>
      </c>
      <c r="L1363" s="18" t="s">
        <v>28</v>
      </c>
      <c r="M1363" s="18" t="s">
        <v>28</v>
      </c>
      <c r="N1363" s="17">
        <v>45200</v>
      </c>
      <c r="O1363" s="15" t="s">
        <v>30</v>
      </c>
      <c r="P1363" s="16" t="s">
        <v>4900</v>
      </c>
      <c r="Q1363" s="15" t="s">
        <v>4901</v>
      </c>
      <c r="R1363" s="13" t="str">
        <f>HYPERLINK("https://my.pitchbook.com?c=246006-55T","View Company Online")</f>
        <v>View Company Online</v>
      </c>
    </row>
    <row r="1364" spans="1:18" hidden="1" x14ac:dyDescent="0.3">
      <c r="A1364" s="9" t="s">
        <v>4902</v>
      </c>
      <c r="B1364" s="9" t="s">
        <v>4903</v>
      </c>
      <c r="C1364" s="11" t="s">
        <v>28</v>
      </c>
      <c r="D1364" s="9" t="s">
        <v>4904</v>
      </c>
      <c r="E1364" s="11" t="s">
        <v>28</v>
      </c>
      <c r="F1364" s="10" t="s">
        <v>28</v>
      </c>
      <c r="G1364" s="10" t="s">
        <v>28</v>
      </c>
      <c r="H1364" s="10" t="s">
        <v>28</v>
      </c>
      <c r="I1364" s="11" t="s">
        <v>28</v>
      </c>
      <c r="J1364" s="11" t="s">
        <v>28</v>
      </c>
      <c r="K1364" s="11" t="s">
        <v>28</v>
      </c>
      <c r="L1364" s="11" t="s">
        <v>28</v>
      </c>
      <c r="M1364" s="11" t="s">
        <v>28</v>
      </c>
      <c r="N1364" s="8">
        <v>45200</v>
      </c>
      <c r="O1364" s="9" t="s">
        <v>93</v>
      </c>
      <c r="P1364" s="12" t="s">
        <v>4905</v>
      </c>
      <c r="Q1364" s="9" t="s">
        <v>75</v>
      </c>
      <c r="R1364" s="14" t="str">
        <f>HYPERLINK("https://my.pitchbook.com?c=243947-08T","View Company Online")</f>
        <v>View Company Online</v>
      </c>
    </row>
    <row r="1365" spans="1:18" hidden="1" x14ac:dyDescent="0.3">
      <c r="A1365" s="15" t="s">
        <v>4906</v>
      </c>
      <c r="B1365" s="15" t="s">
        <v>2411</v>
      </c>
      <c r="C1365" s="18" t="s">
        <v>28</v>
      </c>
      <c r="D1365" s="15" t="s">
        <v>2412</v>
      </c>
      <c r="E1365" s="18" t="s">
        <v>28</v>
      </c>
      <c r="F1365" s="19" t="s">
        <v>28</v>
      </c>
      <c r="G1365" s="19">
        <v>0.98</v>
      </c>
      <c r="H1365" s="19" t="s">
        <v>28</v>
      </c>
      <c r="I1365" s="18" t="s">
        <v>28</v>
      </c>
      <c r="J1365" s="18" t="s">
        <v>28</v>
      </c>
      <c r="K1365" s="18" t="s">
        <v>28</v>
      </c>
      <c r="L1365" s="18" t="s">
        <v>28</v>
      </c>
      <c r="M1365" s="18" t="s">
        <v>28</v>
      </c>
      <c r="N1365" s="17">
        <v>45200</v>
      </c>
      <c r="O1365" s="15" t="s">
        <v>99</v>
      </c>
      <c r="P1365" s="16" t="s">
        <v>4907</v>
      </c>
      <c r="Q1365" s="15" t="s">
        <v>249</v>
      </c>
      <c r="R1365" s="13" t="str">
        <f>HYPERLINK("https://my.pitchbook.com?c=283546-63T","View Company Online")</f>
        <v>View Company Online</v>
      </c>
    </row>
    <row r="1366" spans="1:18" hidden="1" x14ac:dyDescent="0.3">
      <c r="A1366" s="9" t="s">
        <v>4908</v>
      </c>
      <c r="B1366" s="9" t="s">
        <v>4909</v>
      </c>
      <c r="C1366" s="11" t="s">
        <v>28</v>
      </c>
      <c r="D1366" s="9" t="s">
        <v>4910</v>
      </c>
      <c r="E1366" s="11" t="s">
        <v>28</v>
      </c>
      <c r="F1366" s="10" t="s">
        <v>28</v>
      </c>
      <c r="G1366" s="10" t="s">
        <v>28</v>
      </c>
      <c r="H1366" s="10" t="s">
        <v>28</v>
      </c>
      <c r="I1366" s="11" t="s">
        <v>28</v>
      </c>
      <c r="J1366" s="11" t="s">
        <v>28</v>
      </c>
      <c r="K1366" s="11" t="s">
        <v>28</v>
      </c>
      <c r="L1366" s="11" t="s">
        <v>28</v>
      </c>
      <c r="M1366" s="11" t="s">
        <v>28</v>
      </c>
      <c r="N1366" s="8">
        <v>45200</v>
      </c>
      <c r="O1366" s="9" t="s">
        <v>73</v>
      </c>
      <c r="P1366" s="12" t="s">
        <v>4911</v>
      </c>
      <c r="Q1366" s="9" t="s">
        <v>75</v>
      </c>
      <c r="R1366" s="14" t="str">
        <f>HYPERLINK("https://my.pitchbook.com?c=242601-04T","View Company Online")</f>
        <v>View Company Online</v>
      </c>
    </row>
    <row r="1367" spans="1:18" hidden="1" x14ac:dyDescent="0.3">
      <c r="A1367" s="15" t="s">
        <v>4912</v>
      </c>
      <c r="B1367" s="15" t="s">
        <v>4913</v>
      </c>
      <c r="C1367" s="18" t="s">
        <v>28</v>
      </c>
      <c r="D1367" s="15" t="s">
        <v>4914</v>
      </c>
      <c r="E1367" s="18" t="s">
        <v>28</v>
      </c>
      <c r="F1367" s="19" t="s">
        <v>28</v>
      </c>
      <c r="G1367" s="19">
        <v>1</v>
      </c>
      <c r="H1367" s="19" t="s">
        <v>28</v>
      </c>
      <c r="I1367" s="18" t="s">
        <v>28</v>
      </c>
      <c r="J1367" s="18" t="s">
        <v>28</v>
      </c>
      <c r="K1367" s="18" t="s">
        <v>28</v>
      </c>
      <c r="L1367" s="18" t="s">
        <v>28</v>
      </c>
      <c r="M1367" s="18" t="s">
        <v>28</v>
      </c>
      <c r="N1367" s="17">
        <v>45200</v>
      </c>
      <c r="O1367" s="15" t="s">
        <v>99</v>
      </c>
      <c r="P1367" s="16" t="s">
        <v>4915</v>
      </c>
      <c r="Q1367" s="15" t="s">
        <v>114</v>
      </c>
      <c r="R1367" s="13" t="str">
        <f>HYPERLINK("https://my.pitchbook.com?c=242726-95T","View Company Online")</f>
        <v>View Company Online</v>
      </c>
    </row>
    <row r="1368" spans="1:18" hidden="1" x14ac:dyDescent="0.3">
      <c r="A1368" s="9" t="s">
        <v>4916</v>
      </c>
      <c r="B1368" s="9" t="s">
        <v>4917</v>
      </c>
      <c r="C1368" s="11" t="s">
        <v>28</v>
      </c>
      <c r="D1368" s="9" t="s">
        <v>4918</v>
      </c>
      <c r="E1368" s="11" t="s">
        <v>28</v>
      </c>
      <c r="F1368" s="10" t="s">
        <v>28</v>
      </c>
      <c r="G1368" s="10" t="s">
        <v>28</v>
      </c>
      <c r="H1368" s="10" t="s">
        <v>28</v>
      </c>
      <c r="I1368" s="11" t="s">
        <v>28</v>
      </c>
      <c r="J1368" s="11" t="s">
        <v>28</v>
      </c>
      <c r="K1368" s="11" t="s">
        <v>28</v>
      </c>
      <c r="L1368" s="11" t="s">
        <v>28</v>
      </c>
      <c r="M1368" s="11" t="s">
        <v>28</v>
      </c>
      <c r="N1368" s="8">
        <v>45200</v>
      </c>
      <c r="O1368" s="9" t="s">
        <v>73</v>
      </c>
      <c r="P1368" s="12" t="s">
        <v>123</v>
      </c>
      <c r="Q1368" s="9" t="s">
        <v>75</v>
      </c>
      <c r="R1368" s="14" t="str">
        <f>HYPERLINK("https://my.pitchbook.com?c=243031-60T","View Company Online")</f>
        <v>View Company Online</v>
      </c>
    </row>
    <row r="1369" spans="1:18" hidden="1" x14ac:dyDescent="0.3">
      <c r="A1369" s="15" t="s">
        <v>4919</v>
      </c>
      <c r="B1369" s="15" t="s">
        <v>4920</v>
      </c>
      <c r="C1369" s="18" t="s">
        <v>28</v>
      </c>
      <c r="D1369" s="15" t="s">
        <v>4921</v>
      </c>
      <c r="E1369" s="18" t="s">
        <v>28</v>
      </c>
      <c r="F1369" s="19" t="s">
        <v>28</v>
      </c>
      <c r="G1369" s="19" t="s">
        <v>28</v>
      </c>
      <c r="H1369" s="19" t="s">
        <v>28</v>
      </c>
      <c r="I1369" s="18" t="s">
        <v>28</v>
      </c>
      <c r="J1369" s="18" t="s">
        <v>28</v>
      </c>
      <c r="K1369" s="18" t="s">
        <v>28</v>
      </c>
      <c r="L1369" s="18" t="s">
        <v>28</v>
      </c>
      <c r="M1369" s="18" t="s">
        <v>28</v>
      </c>
      <c r="N1369" s="17">
        <v>45200</v>
      </c>
      <c r="O1369" s="15" t="s">
        <v>79</v>
      </c>
      <c r="P1369" s="16" t="s">
        <v>4922</v>
      </c>
      <c r="Q1369" s="15" t="s">
        <v>75</v>
      </c>
      <c r="R1369" s="13" t="str">
        <f>HYPERLINK("https://my.pitchbook.com?c=244069-93T","View Company Online")</f>
        <v>View Company Online</v>
      </c>
    </row>
    <row r="1370" spans="1:18" hidden="1" x14ac:dyDescent="0.3">
      <c r="A1370" s="9" t="s">
        <v>4923</v>
      </c>
      <c r="B1370" s="9" t="s">
        <v>4924</v>
      </c>
      <c r="C1370" s="11" t="s">
        <v>28</v>
      </c>
      <c r="D1370" s="9" t="s">
        <v>4925</v>
      </c>
      <c r="E1370" s="11" t="s">
        <v>28</v>
      </c>
      <c r="F1370" s="10" t="s">
        <v>28</v>
      </c>
      <c r="G1370" s="10" t="s">
        <v>28</v>
      </c>
      <c r="H1370" s="10" t="s">
        <v>28</v>
      </c>
      <c r="I1370" s="11" t="s">
        <v>28</v>
      </c>
      <c r="J1370" s="11" t="s">
        <v>28</v>
      </c>
      <c r="K1370" s="11" t="s">
        <v>28</v>
      </c>
      <c r="L1370" s="11" t="s">
        <v>28</v>
      </c>
      <c r="M1370" s="11" t="s">
        <v>28</v>
      </c>
      <c r="N1370" s="8">
        <v>45198</v>
      </c>
      <c r="O1370" s="9" t="s">
        <v>52</v>
      </c>
      <c r="P1370" s="12" t="s">
        <v>1880</v>
      </c>
      <c r="Q1370" s="9" t="s">
        <v>37</v>
      </c>
      <c r="R1370" s="14" t="str">
        <f>HYPERLINK("https://my.pitchbook.com?c=251933-68T","View Company Online")</f>
        <v>View Company Online</v>
      </c>
    </row>
    <row r="1371" spans="1:18" hidden="1" x14ac:dyDescent="0.3">
      <c r="A1371" s="15" t="s">
        <v>4926</v>
      </c>
      <c r="B1371" s="15" t="s">
        <v>4927</v>
      </c>
      <c r="C1371" s="18" t="s">
        <v>28</v>
      </c>
      <c r="D1371" s="15" t="s">
        <v>4928</v>
      </c>
      <c r="E1371" s="18" t="s">
        <v>28</v>
      </c>
      <c r="F1371" s="19" t="s">
        <v>28</v>
      </c>
      <c r="G1371" s="19" t="s">
        <v>28</v>
      </c>
      <c r="H1371" s="19" t="s">
        <v>28</v>
      </c>
      <c r="I1371" s="18" t="s">
        <v>28</v>
      </c>
      <c r="J1371" s="18" t="s">
        <v>28</v>
      </c>
      <c r="K1371" s="18" t="s">
        <v>28</v>
      </c>
      <c r="L1371" s="18" t="s">
        <v>28</v>
      </c>
      <c r="M1371" s="18" t="s">
        <v>28</v>
      </c>
      <c r="N1371" s="17">
        <v>45198</v>
      </c>
      <c r="O1371" s="15" t="s">
        <v>30</v>
      </c>
      <c r="P1371" s="16" t="s">
        <v>4929</v>
      </c>
      <c r="Q1371" s="15" t="s">
        <v>136</v>
      </c>
      <c r="R1371" s="13" t="str">
        <f>HYPERLINK("https://my.pitchbook.com?c=232306-66T","View Company Online")</f>
        <v>View Company Online</v>
      </c>
    </row>
    <row r="1372" spans="1:18" hidden="1" x14ac:dyDescent="0.3">
      <c r="A1372" s="9" t="s">
        <v>4930</v>
      </c>
      <c r="B1372" s="9" t="s">
        <v>4931</v>
      </c>
      <c r="C1372" s="11" t="s">
        <v>28</v>
      </c>
      <c r="D1372" s="9" t="s">
        <v>4932</v>
      </c>
      <c r="E1372" s="11" t="s">
        <v>28</v>
      </c>
      <c r="F1372" s="10" t="s">
        <v>28</v>
      </c>
      <c r="G1372" s="10" t="s">
        <v>28</v>
      </c>
      <c r="H1372" s="10" t="s">
        <v>28</v>
      </c>
      <c r="I1372" s="11" t="s">
        <v>28</v>
      </c>
      <c r="J1372" s="11" t="s">
        <v>28</v>
      </c>
      <c r="K1372" s="11" t="s">
        <v>28</v>
      </c>
      <c r="L1372" s="11" t="s">
        <v>28</v>
      </c>
      <c r="M1372" s="11" t="s">
        <v>28</v>
      </c>
      <c r="N1372" s="8">
        <v>45198</v>
      </c>
      <c r="O1372" s="9" t="s">
        <v>52</v>
      </c>
      <c r="P1372" s="12" t="s">
        <v>4933</v>
      </c>
      <c r="Q1372" s="9" t="s">
        <v>75</v>
      </c>
      <c r="R1372" s="14" t="str">
        <f>HYPERLINK("https://my.pitchbook.com?c=270919-63T","View Company Online")</f>
        <v>View Company Online</v>
      </c>
    </row>
    <row r="1373" spans="1:18" hidden="1" x14ac:dyDescent="0.3">
      <c r="A1373" s="15" t="s">
        <v>4934</v>
      </c>
      <c r="B1373" s="15" t="s">
        <v>157</v>
      </c>
      <c r="C1373" s="18" t="s">
        <v>28</v>
      </c>
      <c r="D1373" s="15" t="s">
        <v>158</v>
      </c>
      <c r="E1373" s="18">
        <v>-45.12</v>
      </c>
      <c r="F1373" s="19" t="s">
        <v>28</v>
      </c>
      <c r="G1373" s="19" t="s">
        <v>28</v>
      </c>
      <c r="H1373" s="19" t="s">
        <v>28</v>
      </c>
      <c r="I1373" s="18">
        <v>-41.38</v>
      </c>
      <c r="J1373" s="18" t="s">
        <v>28</v>
      </c>
      <c r="K1373" s="18">
        <v>33.81</v>
      </c>
      <c r="L1373" s="18" t="s">
        <v>28</v>
      </c>
      <c r="M1373" s="18">
        <v>-50.96</v>
      </c>
      <c r="N1373" s="17">
        <v>45198</v>
      </c>
      <c r="O1373" s="15" t="s">
        <v>974</v>
      </c>
      <c r="P1373" s="16" t="s">
        <v>4935</v>
      </c>
      <c r="Q1373" s="15" t="s">
        <v>160</v>
      </c>
      <c r="R1373" s="13" t="str">
        <f>HYPERLINK("https://my.pitchbook.com?c=212630-41T","View Company Online")</f>
        <v>View Company Online</v>
      </c>
    </row>
    <row r="1374" spans="1:18" hidden="1" x14ac:dyDescent="0.3">
      <c r="A1374" s="9" t="s">
        <v>4936</v>
      </c>
      <c r="B1374" s="9" t="s">
        <v>4937</v>
      </c>
      <c r="C1374" s="11" t="s">
        <v>28</v>
      </c>
      <c r="D1374" s="9" t="s">
        <v>4938</v>
      </c>
      <c r="E1374" s="11" t="s">
        <v>28</v>
      </c>
      <c r="F1374" s="10" t="s">
        <v>28</v>
      </c>
      <c r="G1374" s="10" t="s">
        <v>28</v>
      </c>
      <c r="H1374" s="10" t="s">
        <v>28</v>
      </c>
      <c r="I1374" s="11" t="s">
        <v>28</v>
      </c>
      <c r="J1374" s="11" t="s">
        <v>28</v>
      </c>
      <c r="K1374" s="11" t="s">
        <v>28</v>
      </c>
      <c r="L1374" s="11" t="s">
        <v>28</v>
      </c>
      <c r="M1374" s="11" t="s">
        <v>28</v>
      </c>
      <c r="N1374" s="8">
        <v>45197</v>
      </c>
      <c r="O1374" s="9" t="s">
        <v>30</v>
      </c>
      <c r="P1374" s="12" t="s">
        <v>954</v>
      </c>
      <c r="Q1374" s="9" t="s">
        <v>37</v>
      </c>
      <c r="R1374" s="14" t="str">
        <f>HYPERLINK("https://my.pitchbook.com?c=242186-05T","View Company Online")</f>
        <v>View Company Online</v>
      </c>
    </row>
    <row r="1375" spans="1:18" hidden="1" x14ac:dyDescent="0.3">
      <c r="A1375" s="15" t="s">
        <v>4939</v>
      </c>
      <c r="B1375" s="15" t="s">
        <v>4940</v>
      </c>
      <c r="C1375" s="18" t="s">
        <v>28</v>
      </c>
      <c r="D1375" s="15" t="s">
        <v>4941</v>
      </c>
      <c r="E1375" s="18" t="s">
        <v>28</v>
      </c>
      <c r="F1375" s="19" t="s">
        <v>28</v>
      </c>
      <c r="G1375" s="19" t="s">
        <v>28</v>
      </c>
      <c r="H1375" s="19" t="s">
        <v>28</v>
      </c>
      <c r="I1375" s="18" t="s">
        <v>28</v>
      </c>
      <c r="J1375" s="18" t="s">
        <v>28</v>
      </c>
      <c r="K1375" s="18" t="s">
        <v>28</v>
      </c>
      <c r="L1375" s="18" t="s">
        <v>28</v>
      </c>
      <c r="M1375" s="18" t="s">
        <v>28</v>
      </c>
      <c r="N1375" s="17">
        <v>45197</v>
      </c>
      <c r="O1375" s="15" t="s">
        <v>30</v>
      </c>
      <c r="P1375" s="16" t="s">
        <v>4942</v>
      </c>
      <c r="Q1375" s="15" t="s">
        <v>75</v>
      </c>
      <c r="R1375" s="13" t="str">
        <f>HYPERLINK("https://my.pitchbook.com?c=248851-81T","View Company Online")</f>
        <v>View Company Online</v>
      </c>
    </row>
    <row r="1376" spans="1:18" hidden="1" x14ac:dyDescent="0.3">
      <c r="A1376" s="9" t="s">
        <v>4943</v>
      </c>
      <c r="B1376" s="9" t="s">
        <v>1418</v>
      </c>
      <c r="C1376" s="11" t="s">
        <v>28</v>
      </c>
      <c r="D1376" s="9" t="s">
        <v>1419</v>
      </c>
      <c r="E1376" s="11" t="s">
        <v>28</v>
      </c>
      <c r="F1376" s="10" t="s">
        <v>28</v>
      </c>
      <c r="G1376" s="10">
        <v>2.63</v>
      </c>
      <c r="H1376" s="10" t="s">
        <v>28</v>
      </c>
      <c r="I1376" s="11" t="s">
        <v>28</v>
      </c>
      <c r="J1376" s="11" t="s">
        <v>28</v>
      </c>
      <c r="K1376" s="11" t="s">
        <v>28</v>
      </c>
      <c r="L1376" s="11" t="s">
        <v>28</v>
      </c>
      <c r="M1376" s="11" t="s">
        <v>28</v>
      </c>
      <c r="N1376" s="8">
        <v>45197</v>
      </c>
      <c r="O1376" s="9" t="s">
        <v>73</v>
      </c>
      <c r="P1376" s="12" t="s">
        <v>4944</v>
      </c>
      <c r="Q1376" s="9" t="s">
        <v>37</v>
      </c>
      <c r="R1376" s="14" t="str">
        <f>HYPERLINK("https://my.pitchbook.com?c=242216-65T","View Company Online")</f>
        <v>View Company Online</v>
      </c>
    </row>
    <row r="1377" spans="1:18" hidden="1" x14ac:dyDescent="0.3">
      <c r="A1377" s="15" t="s">
        <v>4945</v>
      </c>
      <c r="B1377" s="15" t="s">
        <v>3407</v>
      </c>
      <c r="C1377" s="18" t="s">
        <v>28</v>
      </c>
      <c r="D1377" s="15" t="s">
        <v>3408</v>
      </c>
      <c r="E1377" s="18" t="s">
        <v>28</v>
      </c>
      <c r="F1377" s="19" t="s">
        <v>28</v>
      </c>
      <c r="G1377" s="19">
        <v>1.2</v>
      </c>
      <c r="H1377" s="19" t="s">
        <v>28</v>
      </c>
      <c r="I1377" s="18" t="s">
        <v>28</v>
      </c>
      <c r="J1377" s="18" t="s">
        <v>28</v>
      </c>
      <c r="K1377" s="18" t="s">
        <v>28</v>
      </c>
      <c r="L1377" s="18" t="s">
        <v>28</v>
      </c>
      <c r="M1377" s="18" t="s">
        <v>28</v>
      </c>
      <c r="N1377" s="17">
        <v>45197</v>
      </c>
      <c r="O1377" s="15" t="s">
        <v>99</v>
      </c>
      <c r="P1377" s="16" t="s">
        <v>4946</v>
      </c>
      <c r="Q1377" s="15" t="s">
        <v>75</v>
      </c>
      <c r="R1377" s="13" t="str">
        <f>HYPERLINK("https://my.pitchbook.com?c=242178-22T","View Company Online")</f>
        <v>View Company Online</v>
      </c>
    </row>
    <row r="1378" spans="1:18" hidden="1" x14ac:dyDescent="0.3">
      <c r="A1378" s="9" t="s">
        <v>4947</v>
      </c>
      <c r="B1378" s="9" t="s">
        <v>4948</v>
      </c>
      <c r="C1378" s="11" t="s">
        <v>28</v>
      </c>
      <c r="D1378" s="9" t="s">
        <v>4949</v>
      </c>
      <c r="E1378" s="11" t="s">
        <v>28</v>
      </c>
      <c r="F1378" s="10" t="s">
        <v>28</v>
      </c>
      <c r="G1378" s="10" t="s">
        <v>28</v>
      </c>
      <c r="H1378" s="10" t="s">
        <v>28</v>
      </c>
      <c r="I1378" s="11" t="s">
        <v>28</v>
      </c>
      <c r="J1378" s="11" t="s">
        <v>28</v>
      </c>
      <c r="K1378" s="11">
        <v>0.44</v>
      </c>
      <c r="L1378" s="11" t="s">
        <v>28</v>
      </c>
      <c r="M1378" s="11">
        <v>0.22</v>
      </c>
      <c r="N1378" s="8">
        <v>45197</v>
      </c>
      <c r="O1378" s="9" t="s">
        <v>173</v>
      </c>
      <c r="P1378" s="12" t="s">
        <v>28</v>
      </c>
      <c r="Q1378" s="9" t="s">
        <v>174</v>
      </c>
      <c r="R1378" s="14" t="str">
        <f>HYPERLINK("https://my.pitchbook.com?c=242537-86T","View Company Online")</f>
        <v>View Company Online</v>
      </c>
    </row>
    <row r="1379" spans="1:18" hidden="1" x14ac:dyDescent="0.3">
      <c r="A1379" s="15" t="s">
        <v>4950</v>
      </c>
      <c r="B1379" s="15" t="s">
        <v>4951</v>
      </c>
      <c r="C1379" s="18" t="s">
        <v>28</v>
      </c>
      <c r="D1379" s="15" t="s">
        <v>4952</v>
      </c>
      <c r="E1379" s="18" t="s">
        <v>28</v>
      </c>
      <c r="F1379" s="19" t="s">
        <v>28</v>
      </c>
      <c r="G1379" s="19" t="s">
        <v>28</v>
      </c>
      <c r="H1379" s="19" t="s">
        <v>28</v>
      </c>
      <c r="I1379" s="18" t="s">
        <v>28</v>
      </c>
      <c r="J1379" s="18" t="s">
        <v>28</v>
      </c>
      <c r="K1379" s="18" t="s">
        <v>28</v>
      </c>
      <c r="L1379" s="18" t="s">
        <v>28</v>
      </c>
      <c r="M1379" s="18" t="s">
        <v>28</v>
      </c>
      <c r="N1379" s="17">
        <v>45196</v>
      </c>
      <c r="O1379" s="15" t="s">
        <v>30</v>
      </c>
      <c r="P1379" s="16" t="s">
        <v>4953</v>
      </c>
      <c r="Q1379" s="15" t="s">
        <v>2043</v>
      </c>
      <c r="R1379" s="13" t="str">
        <f>HYPERLINK("https://my.pitchbook.com?c=287886-97T","View Company Online")</f>
        <v>View Company Online</v>
      </c>
    </row>
    <row r="1380" spans="1:18" hidden="1" x14ac:dyDescent="0.3">
      <c r="A1380" s="9" t="s">
        <v>4954</v>
      </c>
      <c r="B1380" s="9" t="s">
        <v>4955</v>
      </c>
      <c r="C1380" s="11" t="s">
        <v>28</v>
      </c>
      <c r="D1380" s="9" t="s">
        <v>4956</v>
      </c>
      <c r="E1380" s="11" t="s">
        <v>28</v>
      </c>
      <c r="F1380" s="10" t="s">
        <v>28</v>
      </c>
      <c r="G1380" s="10">
        <v>0.32</v>
      </c>
      <c r="H1380" s="10" t="s">
        <v>28</v>
      </c>
      <c r="I1380" s="11" t="s">
        <v>28</v>
      </c>
      <c r="J1380" s="11" t="s">
        <v>28</v>
      </c>
      <c r="K1380" s="11" t="s">
        <v>28</v>
      </c>
      <c r="L1380" s="11" t="s">
        <v>28</v>
      </c>
      <c r="M1380" s="11" t="s">
        <v>28</v>
      </c>
      <c r="N1380" s="8">
        <v>45195</v>
      </c>
      <c r="O1380" s="9" t="s">
        <v>73</v>
      </c>
      <c r="P1380" s="12" t="s">
        <v>28</v>
      </c>
      <c r="Q1380" s="9" t="s">
        <v>386</v>
      </c>
      <c r="R1380" s="14" t="str">
        <f>HYPERLINK("https://my.pitchbook.com?c=241979-86T","View Company Online")</f>
        <v>View Company Online</v>
      </c>
    </row>
    <row r="1381" spans="1:18" hidden="1" x14ac:dyDescent="0.3">
      <c r="A1381" s="15" t="s">
        <v>4957</v>
      </c>
      <c r="B1381" s="15" t="s">
        <v>279</v>
      </c>
      <c r="C1381" s="18" t="s">
        <v>28</v>
      </c>
      <c r="D1381" s="15" t="s">
        <v>2280</v>
      </c>
      <c r="E1381" s="18">
        <v>-103.44</v>
      </c>
      <c r="F1381" s="19" t="s">
        <v>28</v>
      </c>
      <c r="G1381" s="19" t="s">
        <v>28</v>
      </c>
      <c r="H1381" s="19" t="s">
        <v>28</v>
      </c>
      <c r="I1381" s="18">
        <v>500.57</v>
      </c>
      <c r="J1381" s="18" t="s">
        <v>28</v>
      </c>
      <c r="K1381" s="18">
        <v>10492.74</v>
      </c>
      <c r="L1381" s="18" t="s">
        <v>28</v>
      </c>
      <c r="M1381" s="18">
        <v>-673.35</v>
      </c>
      <c r="N1381" s="17">
        <v>45194</v>
      </c>
      <c r="O1381" s="15" t="s">
        <v>159</v>
      </c>
      <c r="P1381" s="16" t="s">
        <v>2281</v>
      </c>
      <c r="Q1381" s="15" t="s">
        <v>136</v>
      </c>
      <c r="R1381" s="13" t="str">
        <f>HYPERLINK("https://my.pitchbook.com?c=272830-06T","View Company Online")</f>
        <v>View Company Online</v>
      </c>
    </row>
    <row r="1382" spans="1:18" hidden="1" x14ac:dyDescent="0.3">
      <c r="A1382" s="9" t="s">
        <v>4958</v>
      </c>
      <c r="B1382" s="9" t="s">
        <v>4959</v>
      </c>
      <c r="C1382" s="11" t="s">
        <v>28</v>
      </c>
      <c r="D1382" s="9" t="s">
        <v>4960</v>
      </c>
      <c r="E1382" s="11" t="s">
        <v>28</v>
      </c>
      <c r="F1382" s="10" t="s">
        <v>28</v>
      </c>
      <c r="G1382" s="10" t="s">
        <v>28</v>
      </c>
      <c r="H1382" s="10" t="s">
        <v>28</v>
      </c>
      <c r="I1382" s="11" t="s">
        <v>28</v>
      </c>
      <c r="J1382" s="11" t="s">
        <v>28</v>
      </c>
      <c r="K1382" s="11" t="s">
        <v>28</v>
      </c>
      <c r="L1382" s="11" t="s">
        <v>28</v>
      </c>
      <c r="M1382" s="11" t="s">
        <v>28</v>
      </c>
      <c r="N1382" s="8">
        <v>45194</v>
      </c>
      <c r="O1382" s="9" t="s">
        <v>30</v>
      </c>
      <c r="P1382" s="12" t="s">
        <v>4961</v>
      </c>
      <c r="Q1382" s="9" t="s">
        <v>240</v>
      </c>
      <c r="R1382" s="14" t="str">
        <f>HYPERLINK("https://my.pitchbook.com?c=242451-73T","View Company Online")</f>
        <v>View Company Online</v>
      </c>
    </row>
    <row r="1383" spans="1:18" hidden="1" x14ac:dyDescent="0.3">
      <c r="A1383" s="15" t="s">
        <v>4962</v>
      </c>
      <c r="B1383" s="15" t="s">
        <v>4963</v>
      </c>
      <c r="C1383" s="18" t="s">
        <v>28</v>
      </c>
      <c r="D1383" s="15" t="s">
        <v>4964</v>
      </c>
      <c r="E1383" s="18" t="s">
        <v>28</v>
      </c>
      <c r="F1383" s="19" t="s">
        <v>28</v>
      </c>
      <c r="G1383" s="19">
        <v>0.75</v>
      </c>
      <c r="H1383" s="19" t="s">
        <v>28</v>
      </c>
      <c r="I1383" s="18" t="s">
        <v>28</v>
      </c>
      <c r="J1383" s="18" t="s">
        <v>28</v>
      </c>
      <c r="K1383" s="18" t="s">
        <v>28</v>
      </c>
      <c r="L1383" s="18" t="s">
        <v>28</v>
      </c>
      <c r="M1383" s="18" t="s">
        <v>28</v>
      </c>
      <c r="N1383" s="17">
        <v>45190</v>
      </c>
      <c r="O1383" s="15" t="s">
        <v>73</v>
      </c>
      <c r="P1383" s="16" t="s">
        <v>4965</v>
      </c>
      <c r="Q1383" s="15" t="s">
        <v>75</v>
      </c>
      <c r="R1383" s="13" t="str">
        <f>HYPERLINK("https://my.pitchbook.com?c=241764-22T","View Company Online")</f>
        <v>View Company Online</v>
      </c>
    </row>
    <row r="1384" spans="1:18" hidden="1" x14ac:dyDescent="0.3">
      <c r="A1384" s="9" t="s">
        <v>4966</v>
      </c>
      <c r="B1384" s="9" t="s">
        <v>4967</v>
      </c>
      <c r="C1384" s="11" t="s">
        <v>28</v>
      </c>
      <c r="D1384" s="9" t="s">
        <v>4968</v>
      </c>
      <c r="E1384" s="11" t="s">
        <v>28</v>
      </c>
      <c r="F1384" s="10" t="s">
        <v>28</v>
      </c>
      <c r="G1384" s="10" t="s">
        <v>28</v>
      </c>
      <c r="H1384" s="10" t="s">
        <v>28</v>
      </c>
      <c r="I1384" s="11" t="s">
        <v>28</v>
      </c>
      <c r="J1384" s="11" t="s">
        <v>28</v>
      </c>
      <c r="K1384" s="11" t="s">
        <v>28</v>
      </c>
      <c r="L1384" s="11" t="s">
        <v>28</v>
      </c>
      <c r="M1384" s="11" t="s">
        <v>28</v>
      </c>
      <c r="N1384" s="8">
        <v>45190</v>
      </c>
      <c r="O1384" s="9" t="s">
        <v>79</v>
      </c>
      <c r="P1384" s="12" t="s">
        <v>28</v>
      </c>
      <c r="Q1384" s="9" t="s">
        <v>75</v>
      </c>
      <c r="R1384" s="14" t="str">
        <f>HYPERLINK("https://my.pitchbook.com?c=241668-28T","View Company Online")</f>
        <v>View Company Online</v>
      </c>
    </row>
    <row r="1385" spans="1:18" hidden="1" x14ac:dyDescent="0.3">
      <c r="A1385" s="15" t="s">
        <v>4969</v>
      </c>
      <c r="B1385" s="15" t="s">
        <v>4970</v>
      </c>
      <c r="C1385" s="18" t="s">
        <v>28</v>
      </c>
      <c r="D1385" s="15" t="s">
        <v>4971</v>
      </c>
      <c r="E1385" s="18" t="s">
        <v>28</v>
      </c>
      <c r="F1385" s="19" t="s">
        <v>28</v>
      </c>
      <c r="G1385" s="19" t="s">
        <v>28</v>
      </c>
      <c r="H1385" s="19" t="s">
        <v>28</v>
      </c>
      <c r="I1385" s="18" t="s">
        <v>28</v>
      </c>
      <c r="J1385" s="18" t="s">
        <v>28</v>
      </c>
      <c r="K1385" s="18" t="s">
        <v>28</v>
      </c>
      <c r="L1385" s="18" t="s">
        <v>28</v>
      </c>
      <c r="M1385" s="18" t="s">
        <v>28</v>
      </c>
      <c r="N1385" s="17">
        <v>45189</v>
      </c>
      <c r="O1385" s="15" t="s">
        <v>30</v>
      </c>
      <c r="P1385" s="16" t="s">
        <v>28</v>
      </c>
      <c r="Q1385" s="15" t="s">
        <v>43</v>
      </c>
      <c r="R1385" s="13" t="str">
        <f>HYPERLINK("https://my.pitchbook.com?c=242905-96T","View Company Online")</f>
        <v>View Company Online</v>
      </c>
    </row>
    <row r="1386" spans="1:18" hidden="1" x14ac:dyDescent="0.3">
      <c r="A1386" s="9" t="s">
        <v>4972</v>
      </c>
      <c r="B1386" s="9" t="s">
        <v>4973</v>
      </c>
      <c r="C1386" s="11" t="s">
        <v>28</v>
      </c>
      <c r="D1386" s="9" t="s">
        <v>4974</v>
      </c>
      <c r="E1386" s="11" t="s">
        <v>28</v>
      </c>
      <c r="F1386" s="10" t="s">
        <v>28</v>
      </c>
      <c r="G1386" s="10" t="s">
        <v>28</v>
      </c>
      <c r="H1386" s="10" t="s">
        <v>28</v>
      </c>
      <c r="I1386" s="11" t="s">
        <v>28</v>
      </c>
      <c r="J1386" s="11" t="s">
        <v>28</v>
      </c>
      <c r="K1386" s="11" t="s">
        <v>28</v>
      </c>
      <c r="L1386" s="11" t="s">
        <v>28</v>
      </c>
      <c r="M1386" s="11" t="s">
        <v>28</v>
      </c>
      <c r="N1386" s="8">
        <v>45189</v>
      </c>
      <c r="O1386" s="9" t="s">
        <v>73</v>
      </c>
      <c r="P1386" s="12" t="s">
        <v>2667</v>
      </c>
      <c r="Q1386" s="9" t="s">
        <v>75</v>
      </c>
      <c r="R1386" s="14" t="str">
        <f>HYPERLINK("https://my.pitchbook.com?c=227531-62T","View Company Online")</f>
        <v>View Company Online</v>
      </c>
    </row>
    <row r="1387" spans="1:18" hidden="1" x14ac:dyDescent="0.3">
      <c r="A1387" s="15" t="s">
        <v>4975</v>
      </c>
      <c r="B1387" s="15" t="s">
        <v>4976</v>
      </c>
      <c r="C1387" s="18" t="s">
        <v>28</v>
      </c>
      <c r="D1387" s="15" t="s">
        <v>4977</v>
      </c>
      <c r="E1387" s="18" t="s">
        <v>28</v>
      </c>
      <c r="F1387" s="19" t="s">
        <v>28</v>
      </c>
      <c r="G1387" s="19" t="s">
        <v>28</v>
      </c>
      <c r="H1387" s="19" t="s">
        <v>28</v>
      </c>
      <c r="I1387" s="18" t="s">
        <v>28</v>
      </c>
      <c r="J1387" s="18" t="s">
        <v>28</v>
      </c>
      <c r="K1387" s="18" t="s">
        <v>28</v>
      </c>
      <c r="L1387" s="18" t="s">
        <v>28</v>
      </c>
      <c r="M1387" s="18" t="s">
        <v>28</v>
      </c>
      <c r="N1387" s="17">
        <v>45189</v>
      </c>
      <c r="O1387" s="15" t="s">
        <v>79</v>
      </c>
      <c r="P1387" s="16" t="s">
        <v>611</v>
      </c>
      <c r="Q1387" s="15" t="s">
        <v>75</v>
      </c>
      <c r="R1387" s="13" t="str">
        <f>HYPERLINK("https://my.pitchbook.com?c=227533-60T","View Company Online")</f>
        <v>View Company Online</v>
      </c>
    </row>
    <row r="1388" spans="1:18" hidden="1" x14ac:dyDescent="0.3">
      <c r="A1388" s="9" t="s">
        <v>4978</v>
      </c>
      <c r="B1388" s="9" t="s">
        <v>4967</v>
      </c>
      <c r="C1388" s="11" t="s">
        <v>28</v>
      </c>
      <c r="D1388" s="9" t="s">
        <v>4968</v>
      </c>
      <c r="E1388" s="11" t="s">
        <v>28</v>
      </c>
      <c r="F1388" s="10" t="s">
        <v>28</v>
      </c>
      <c r="G1388" s="10">
        <v>1.66</v>
      </c>
      <c r="H1388" s="10" t="s">
        <v>28</v>
      </c>
      <c r="I1388" s="11" t="s">
        <v>28</v>
      </c>
      <c r="J1388" s="11" t="s">
        <v>28</v>
      </c>
      <c r="K1388" s="11" t="s">
        <v>28</v>
      </c>
      <c r="L1388" s="11" t="s">
        <v>28</v>
      </c>
      <c r="M1388" s="11" t="s">
        <v>28</v>
      </c>
      <c r="N1388" s="8">
        <v>45189</v>
      </c>
      <c r="O1388" s="9" t="s">
        <v>79</v>
      </c>
      <c r="P1388" s="12" t="s">
        <v>4979</v>
      </c>
      <c r="Q1388" s="9" t="s">
        <v>75</v>
      </c>
      <c r="R1388" s="14" t="str">
        <f>HYPERLINK("https://my.pitchbook.com?c=241659-37T","View Company Online")</f>
        <v>View Company Online</v>
      </c>
    </row>
    <row r="1389" spans="1:18" hidden="1" x14ac:dyDescent="0.3">
      <c r="A1389" s="15" t="s">
        <v>4980</v>
      </c>
      <c r="B1389" s="15" t="s">
        <v>4981</v>
      </c>
      <c r="C1389" s="18" t="s">
        <v>28</v>
      </c>
      <c r="D1389" s="15" t="s">
        <v>4982</v>
      </c>
      <c r="E1389" s="18" t="s">
        <v>28</v>
      </c>
      <c r="F1389" s="19" t="s">
        <v>28</v>
      </c>
      <c r="G1389" s="19">
        <v>49</v>
      </c>
      <c r="H1389" s="19" t="s">
        <v>28</v>
      </c>
      <c r="I1389" s="18" t="s">
        <v>28</v>
      </c>
      <c r="J1389" s="18" t="s">
        <v>28</v>
      </c>
      <c r="K1389" s="18">
        <v>3</v>
      </c>
      <c r="L1389" s="18" t="s">
        <v>28</v>
      </c>
      <c r="M1389" s="18" t="s">
        <v>28</v>
      </c>
      <c r="N1389" s="17">
        <v>45189</v>
      </c>
      <c r="O1389" s="15" t="s">
        <v>79</v>
      </c>
      <c r="P1389" s="16" t="s">
        <v>4983</v>
      </c>
      <c r="Q1389" s="15" t="s">
        <v>1336</v>
      </c>
      <c r="R1389" s="13" t="str">
        <f>HYPERLINK("https://my.pitchbook.com?c=241685-29T","View Company Online")</f>
        <v>View Company Online</v>
      </c>
    </row>
    <row r="1390" spans="1:18" hidden="1" x14ac:dyDescent="0.3">
      <c r="A1390" s="9" t="s">
        <v>4984</v>
      </c>
      <c r="B1390" s="9" t="s">
        <v>4985</v>
      </c>
      <c r="C1390" s="11" t="s">
        <v>28</v>
      </c>
      <c r="D1390" s="9" t="s">
        <v>4986</v>
      </c>
      <c r="E1390" s="11" t="s">
        <v>28</v>
      </c>
      <c r="F1390" s="10" t="s">
        <v>28</v>
      </c>
      <c r="G1390" s="10" t="s">
        <v>28</v>
      </c>
      <c r="H1390" s="10" t="s">
        <v>28</v>
      </c>
      <c r="I1390" s="11" t="s">
        <v>28</v>
      </c>
      <c r="J1390" s="11" t="s">
        <v>28</v>
      </c>
      <c r="K1390" s="11" t="s">
        <v>28</v>
      </c>
      <c r="L1390" s="11" t="s">
        <v>28</v>
      </c>
      <c r="M1390" s="11" t="s">
        <v>28</v>
      </c>
      <c r="N1390" s="8">
        <v>45189</v>
      </c>
      <c r="O1390" s="9" t="s">
        <v>30</v>
      </c>
      <c r="P1390" s="12" t="s">
        <v>459</v>
      </c>
      <c r="Q1390" s="9" t="s">
        <v>449</v>
      </c>
      <c r="R1390" s="14" t="str">
        <f>HYPERLINK("https://my.pitchbook.com?c=242450-38T","View Company Online")</f>
        <v>View Company Online</v>
      </c>
    </row>
    <row r="1391" spans="1:18" hidden="1" x14ac:dyDescent="0.3">
      <c r="A1391" s="15" t="s">
        <v>4987</v>
      </c>
      <c r="B1391" s="15" t="s">
        <v>4988</v>
      </c>
      <c r="C1391" s="18" t="s">
        <v>28</v>
      </c>
      <c r="D1391" s="15" t="s">
        <v>4989</v>
      </c>
      <c r="E1391" s="18">
        <v>-35.229999999999997</v>
      </c>
      <c r="F1391" s="19" t="s">
        <v>28</v>
      </c>
      <c r="G1391" s="19">
        <v>121.46</v>
      </c>
      <c r="H1391" s="19" t="s">
        <v>28</v>
      </c>
      <c r="I1391" s="18">
        <v>183.89</v>
      </c>
      <c r="J1391" s="18" t="s">
        <v>28</v>
      </c>
      <c r="K1391" s="18">
        <v>5941.7</v>
      </c>
      <c r="L1391" s="18" t="s">
        <v>28</v>
      </c>
      <c r="M1391" s="18">
        <v>-223.57</v>
      </c>
      <c r="N1391" s="17">
        <v>45188</v>
      </c>
      <c r="O1391" s="15" t="s">
        <v>423</v>
      </c>
      <c r="P1391" s="16" t="s">
        <v>28</v>
      </c>
      <c r="Q1391" s="15" t="s">
        <v>409</v>
      </c>
      <c r="R1391" s="13" t="str">
        <f>HYPERLINK("https://my.pitchbook.com?c=241843-51T","View Company Online")</f>
        <v>View Company Online</v>
      </c>
    </row>
    <row r="1392" spans="1:18" hidden="1" x14ac:dyDescent="0.3">
      <c r="A1392" s="9" t="s">
        <v>4990</v>
      </c>
      <c r="B1392" s="9" t="s">
        <v>4991</v>
      </c>
      <c r="C1392" s="11" t="s">
        <v>28</v>
      </c>
      <c r="D1392" s="9" t="s">
        <v>4992</v>
      </c>
      <c r="E1392" s="11" t="s">
        <v>28</v>
      </c>
      <c r="F1392" s="10" t="s">
        <v>28</v>
      </c>
      <c r="G1392" s="10" t="s">
        <v>28</v>
      </c>
      <c r="H1392" s="10" t="s">
        <v>28</v>
      </c>
      <c r="I1392" s="11" t="s">
        <v>28</v>
      </c>
      <c r="J1392" s="11" t="s">
        <v>28</v>
      </c>
      <c r="K1392" s="11" t="s">
        <v>28</v>
      </c>
      <c r="L1392" s="11" t="s">
        <v>28</v>
      </c>
      <c r="M1392" s="11" t="s">
        <v>28</v>
      </c>
      <c r="N1392" s="8">
        <v>45188</v>
      </c>
      <c r="O1392" s="9" t="s">
        <v>73</v>
      </c>
      <c r="P1392" s="12" t="s">
        <v>611</v>
      </c>
      <c r="Q1392" s="9" t="s">
        <v>583</v>
      </c>
      <c r="R1392" s="14" t="str">
        <f>HYPERLINK("https://my.pitchbook.com?c=256047-13T","View Company Online")</f>
        <v>View Company Online</v>
      </c>
    </row>
    <row r="1393" spans="1:18" hidden="1" x14ac:dyDescent="0.3">
      <c r="A1393" s="15" t="s">
        <v>4993</v>
      </c>
      <c r="B1393" s="15" t="s">
        <v>4994</v>
      </c>
      <c r="C1393" s="18" t="s">
        <v>28</v>
      </c>
      <c r="D1393" s="15" t="s">
        <v>4995</v>
      </c>
      <c r="E1393" s="18" t="s">
        <v>28</v>
      </c>
      <c r="F1393" s="19" t="s">
        <v>28</v>
      </c>
      <c r="G1393" s="19" t="s">
        <v>28</v>
      </c>
      <c r="H1393" s="19" t="s">
        <v>28</v>
      </c>
      <c r="I1393" s="18" t="s">
        <v>28</v>
      </c>
      <c r="J1393" s="18" t="s">
        <v>28</v>
      </c>
      <c r="K1393" s="18" t="s">
        <v>28</v>
      </c>
      <c r="L1393" s="18" t="s">
        <v>28</v>
      </c>
      <c r="M1393" s="18" t="s">
        <v>28</v>
      </c>
      <c r="N1393" s="17">
        <v>45188</v>
      </c>
      <c r="O1393" s="15" t="s">
        <v>52</v>
      </c>
      <c r="P1393" s="16" t="s">
        <v>1258</v>
      </c>
      <c r="Q1393" s="15" t="s">
        <v>386</v>
      </c>
      <c r="R1393" s="13" t="str">
        <f>HYPERLINK("https://my.pitchbook.com?c=264794-05T","View Company Online")</f>
        <v>View Company Online</v>
      </c>
    </row>
    <row r="1394" spans="1:18" hidden="1" x14ac:dyDescent="0.3">
      <c r="A1394" s="9" t="s">
        <v>4996</v>
      </c>
      <c r="B1394" s="9" t="s">
        <v>4997</v>
      </c>
      <c r="C1394" s="11" t="s">
        <v>28</v>
      </c>
      <c r="D1394" s="9" t="s">
        <v>4998</v>
      </c>
      <c r="E1394" s="11" t="s">
        <v>28</v>
      </c>
      <c r="F1394" s="10" t="s">
        <v>28</v>
      </c>
      <c r="G1394" s="10">
        <v>2.2999999999999998</v>
      </c>
      <c r="H1394" s="10" t="s">
        <v>28</v>
      </c>
      <c r="I1394" s="11" t="s">
        <v>28</v>
      </c>
      <c r="J1394" s="11" t="s">
        <v>28</v>
      </c>
      <c r="K1394" s="11" t="s">
        <v>28</v>
      </c>
      <c r="L1394" s="11" t="s">
        <v>28</v>
      </c>
      <c r="M1394" s="11" t="s">
        <v>28</v>
      </c>
      <c r="N1394" s="8">
        <v>45188</v>
      </c>
      <c r="O1394" s="9" t="s">
        <v>99</v>
      </c>
      <c r="P1394" s="12" t="s">
        <v>4999</v>
      </c>
      <c r="Q1394" s="9" t="s">
        <v>75</v>
      </c>
      <c r="R1394" s="14" t="str">
        <f>HYPERLINK("https://my.pitchbook.com?c=241674-13T","View Company Online")</f>
        <v>View Company Online</v>
      </c>
    </row>
    <row r="1395" spans="1:18" hidden="1" x14ac:dyDescent="0.3">
      <c r="A1395" s="15" t="s">
        <v>5000</v>
      </c>
      <c r="B1395" s="15" t="s">
        <v>3471</v>
      </c>
      <c r="C1395" s="18" t="s">
        <v>28</v>
      </c>
      <c r="D1395" s="15" t="s">
        <v>3472</v>
      </c>
      <c r="E1395" s="18" t="s">
        <v>28</v>
      </c>
      <c r="F1395" s="19" t="s">
        <v>28</v>
      </c>
      <c r="G1395" s="19">
        <v>0.64</v>
      </c>
      <c r="H1395" s="19" t="s">
        <v>28</v>
      </c>
      <c r="I1395" s="18" t="s">
        <v>28</v>
      </c>
      <c r="J1395" s="18" t="s">
        <v>28</v>
      </c>
      <c r="K1395" s="18" t="s">
        <v>28</v>
      </c>
      <c r="L1395" s="18" t="s">
        <v>28</v>
      </c>
      <c r="M1395" s="18" t="s">
        <v>28</v>
      </c>
      <c r="N1395" s="17">
        <v>45187</v>
      </c>
      <c r="O1395" s="15" t="s">
        <v>79</v>
      </c>
      <c r="P1395" s="16" t="s">
        <v>5001</v>
      </c>
      <c r="Q1395" s="15" t="s">
        <v>37</v>
      </c>
      <c r="R1395" s="13" t="str">
        <f>HYPERLINK("https://my.pitchbook.com?c=215643-97T","View Company Online")</f>
        <v>View Company Online</v>
      </c>
    </row>
    <row r="1396" spans="1:18" hidden="1" x14ac:dyDescent="0.3">
      <c r="A1396" s="9" t="s">
        <v>5002</v>
      </c>
      <c r="B1396" s="9" t="s">
        <v>5003</v>
      </c>
      <c r="C1396" s="11" t="s">
        <v>28</v>
      </c>
      <c r="D1396" s="9" t="s">
        <v>5004</v>
      </c>
      <c r="E1396" s="11" t="s">
        <v>28</v>
      </c>
      <c r="F1396" s="10" t="s">
        <v>28</v>
      </c>
      <c r="G1396" s="10" t="s">
        <v>28</v>
      </c>
      <c r="H1396" s="10" t="s">
        <v>28</v>
      </c>
      <c r="I1396" s="11" t="s">
        <v>28</v>
      </c>
      <c r="J1396" s="11" t="s">
        <v>28</v>
      </c>
      <c r="K1396" s="11" t="s">
        <v>28</v>
      </c>
      <c r="L1396" s="11" t="s">
        <v>28</v>
      </c>
      <c r="M1396" s="11" t="s">
        <v>28</v>
      </c>
      <c r="N1396" s="8">
        <v>45187</v>
      </c>
      <c r="O1396" s="9" t="s">
        <v>41</v>
      </c>
      <c r="P1396" s="12" t="s">
        <v>5005</v>
      </c>
      <c r="Q1396" s="9" t="s">
        <v>2181</v>
      </c>
      <c r="R1396" s="14" t="str">
        <f>HYPERLINK("https://my.pitchbook.com?c=243198-37T","View Company Online")</f>
        <v>View Company Online</v>
      </c>
    </row>
    <row r="1397" spans="1:18" hidden="1" x14ac:dyDescent="0.3">
      <c r="A1397" s="15" t="s">
        <v>5006</v>
      </c>
      <c r="B1397" s="15" t="s">
        <v>5007</v>
      </c>
      <c r="C1397" s="18" t="s">
        <v>28</v>
      </c>
      <c r="D1397" s="15" t="s">
        <v>5008</v>
      </c>
      <c r="E1397" s="18" t="s">
        <v>28</v>
      </c>
      <c r="F1397" s="19" t="s">
        <v>28</v>
      </c>
      <c r="G1397" s="19" t="s">
        <v>28</v>
      </c>
      <c r="H1397" s="19" t="s">
        <v>28</v>
      </c>
      <c r="I1397" s="18" t="s">
        <v>28</v>
      </c>
      <c r="J1397" s="18" t="s">
        <v>28</v>
      </c>
      <c r="K1397" s="18" t="s">
        <v>28</v>
      </c>
      <c r="L1397" s="18" t="s">
        <v>28</v>
      </c>
      <c r="M1397" s="18" t="s">
        <v>28</v>
      </c>
      <c r="N1397" s="17">
        <v>45187</v>
      </c>
      <c r="O1397" s="15" t="s">
        <v>30</v>
      </c>
      <c r="P1397" s="16" t="s">
        <v>5009</v>
      </c>
      <c r="Q1397" s="15" t="s">
        <v>114</v>
      </c>
      <c r="R1397" s="13" t="str">
        <f>HYPERLINK("https://my.pitchbook.com?c=242452-45T","View Company Online")</f>
        <v>View Company Online</v>
      </c>
    </row>
    <row r="1398" spans="1:18" hidden="1" x14ac:dyDescent="0.3">
      <c r="A1398" s="9" t="s">
        <v>5010</v>
      </c>
      <c r="B1398" s="9" t="s">
        <v>5011</v>
      </c>
      <c r="C1398" s="11" t="s">
        <v>28</v>
      </c>
      <c r="D1398" s="9" t="s">
        <v>5012</v>
      </c>
      <c r="E1398" s="11" t="s">
        <v>28</v>
      </c>
      <c r="F1398" s="10" t="s">
        <v>28</v>
      </c>
      <c r="G1398" s="10">
        <v>0.61</v>
      </c>
      <c r="H1398" s="10" t="s">
        <v>28</v>
      </c>
      <c r="I1398" s="11" t="s">
        <v>28</v>
      </c>
      <c r="J1398" s="11" t="s">
        <v>28</v>
      </c>
      <c r="K1398" s="11" t="s">
        <v>28</v>
      </c>
      <c r="L1398" s="11" t="s">
        <v>28</v>
      </c>
      <c r="M1398" s="11" t="s">
        <v>28</v>
      </c>
      <c r="N1398" s="8">
        <v>45184</v>
      </c>
      <c r="O1398" s="9" t="s">
        <v>52</v>
      </c>
      <c r="P1398" s="12" t="s">
        <v>5013</v>
      </c>
      <c r="Q1398" s="9" t="s">
        <v>583</v>
      </c>
      <c r="R1398" s="14" t="str">
        <f>HYPERLINK("https://my.pitchbook.com?c=267438-61T","View Company Online")</f>
        <v>View Company Online</v>
      </c>
    </row>
    <row r="1399" spans="1:18" hidden="1" x14ac:dyDescent="0.3">
      <c r="A1399" s="15" t="s">
        <v>5014</v>
      </c>
      <c r="B1399" s="15" t="s">
        <v>5015</v>
      </c>
      <c r="C1399" s="18" t="s">
        <v>28</v>
      </c>
      <c r="D1399" s="15" t="s">
        <v>5016</v>
      </c>
      <c r="E1399" s="18" t="s">
        <v>28</v>
      </c>
      <c r="F1399" s="19" t="s">
        <v>28</v>
      </c>
      <c r="G1399" s="19" t="s">
        <v>28</v>
      </c>
      <c r="H1399" s="19" t="s">
        <v>28</v>
      </c>
      <c r="I1399" s="18" t="s">
        <v>28</v>
      </c>
      <c r="J1399" s="18" t="s">
        <v>28</v>
      </c>
      <c r="K1399" s="18" t="s">
        <v>28</v>
      </c>
      <c r="L1399" s="18" t="s">
        <v>28</v>
      </c>
      <c r="M1399" s="18" t="s">
        <v>28</v>
      </c>
      <c r="N1399" s="17">
        <v>45184</v>
      </c>
      <c r="O1399" s="15" t="s">
        <v>30</v>
      </c>
      <c r="P1399" s="16" t="s">
        <v>5017</v>
      </c>
      <c r="Q1399" s="15" t="s">
        <v>245</v>
      </c>
      <c r="R1399" s="13" t="str">
        <f>HYPERLINK("https://my.pitchbook.com?c=241627-60T","View Company Online")</f>
        <v>View Company Online</v>
      </c>
    </row>
    <row r="1400" spans="1:18" hidden="1" x14ac:dyDescent="0.3">
      <c r="A1400" s="9" t="s">
        <v>5018</v>
      </c>
      <c r="B1400" s="9" t="s">
        <v>2642</v>
      </c>
      <c r="C1400" s="11" t="s">
        <v>28</v>
      </c>
      <c r="D1400" s="9" t="s">
        <v>2643</v>
      </c>
      <c r="E1400" s="11" t="s">
        <v>28</v>
      </c>
      <c r="F1400" s="10" t="s">
        <v>28</v>
      </c>
      <c r="G1400" s="10">
        <v>5.3</v>
      </c>
      <c r="H1400" s="10">
        <v>20</v>
      </c>
      <c r="I1400" s="11" t="s">
        <v>28</v>
      </c>
      <c r="J1400" s="11" t="s">
        <v>28</v>
      </c>
      <c r="K1400" s="11" t="s">
        <v>28</v>
      </c>
      <c r="L1400" s="11" t="s">
        <v>28</v>
      </c>
      <c r="M1400" s="11" t="s">
        <v>28</v>
      </c>
      <c r="N1400" s="8">
        <v>45182</v>
      </c>
      <c r="O1400" s="9" t="s">
        <v>99</v>
      </c>
      <c r="P1400" s="12" t="s">
        <v>5019</v>
      </c>
      <c r="Q1400" s="9" t="s">
        <v>37</v>
      </c>
      <c r="R1400" s="14" t="str">
        <f>HYPERLINK("https://my.pitchbook.com?c=241153-93T","View Company Online")</f>
        <v>View Company Online</v>
      </c>
    </row>
    <row r="1401" spans="1:18" hidden="1" x14ac:dyDescent="0.3">
      <c r="A1401" s="15" t="s">
        <v>5020</v>
      </c>
      <c r="B1401" s="15" t="s">
        <v>5021</v>
      </c>
      <c r="C1401" s="18" t="s">
        <v>28</v>
      </c>
      <c r="D1401" s="15" t="s">
        <v>5022</v>
      </c>
      <c r="E1401" s="18" t="s">
        <v>28</v>
      </c>
      <c r="F1401" s="19" t="s">
        <v>28</v>
      </c>
      <c r="G1401" s="19">
        <v>70.8</v>
      </c>
      <c r="H1401" s="19">
        <v>228.22</v>
      </c>
      <c r="I1401" s="18" t="s">
        <v>28</v>
      </c>
      <c r="J1401" s="18" t="s">
        <v>28</v>
      </c>
      <c r="K1401" s="18" t="s">
        <v>28</v>
      </c>
      <c r="L1401" s="18" t="s">
        <v>28</v>
      </c>
      <c r="M1401" s="18" t="s">
        <v>28</v>
      </c>
      <c r="N1401" s="17">
        <v>45182</v>
      </c>
      <c r="O1401" s="15" t="s">
        <v>93</v>
      </c>
      <c r="P1401" s="16" t="s">
        <v>5023</v>
      </c>
      <c r="Q1401" s="15" t="s">
        <v>54</v>
      </c>
      <c r="R1401" s="13" t="str">
        <f>HYPERLINK("https://my.pitchbook.com?c=241370-56T","View Company Online")</f>
        <v>View Company Online</v>
      </c>
    </row>
    <row r="1402" spans="1:18" hidden="1" x14ac:dyDescent="0.3">
      <c r="A1402" s="9" t="s">
        <v>5024</v>
      </c>
      <c r="B1402" s="9" t="s">
        <v>5025</v>
      </c>
      <c r="C1402" s="11" t="s">
        <v>28</v>
      </c>
      <c r="D1402" s="9" t="s">
        <v>5026</v>
      </c>
      <c r="E1402" s="11" t="s">
        <v>28</v>
      </c>
      <c r="F1402" s="10" t="s">
        <v>28</v>
      </c>
      <c r="G1402" s="10">
        <v>0.12</v>
      </c>
      <c r="H1402" s="10">
        <v>0.33</v>
      </c>
      <c r="I1402" s="11" t="s">
        <v>28</v>
      </c>
      <c r="J1402" s="11" t="s">
        <v>28</v>
      </c>
      <c r="K1402" s="11" t="s">
        <v>28</v>
      </c>
      <c r="L1402" s="11" t="s">
        <v>28</v>
      </c>
      <c r="M1402" s="11" t="s">
        <v>28</v>
      </c>
      <c r="N1402" s="8">
        <v>45182</v>
      </c>
      <c r="O1402" s="9" t="s">
        <v>52</v>
      </c>
      <c r="P1402" s="12" t="s">
        <v>4216</v>
      </c>
      <c r="Q1402" s="9" t="s">
        <v>75</v>
      </c>
      <c r="R1402" s="14" t="str">
        <f>HYPERLINK("https://my.pitchbook.com?c=241308-55T","View Company Online")</f>
        <v>View Company Online</v>
      </c>
    </row>
    <row r="1403" spans="1:18" hidden="1" x14ac:dyDescent="0.3">
      <c r="A1403" s="15" t="s">
        <v>5027</v>
      </c>
      <c r="B1403" s="15" t="s">
        <v>5028</v>
      </c>
      <c r="C1403" s="18" t="s">
        <v>28</v>
      </c>
      <c r="D1403" s="15" t="s">
        <v>5029</v>
      </c>
      <c r="E1403" s="18" t="s">
        <v>28</v>
      </c>
      <c r="F1403" s="19" t="s">
        <v>28</v>
      </c>
      <c r="G1403" s="19" t="s">
        <v>28</v>
      </c>
      <c r="H1403" s="19" t="s">
        <v>28</v>
      </c>
      <c r="I1403" s="18" t="s">
        <v>28</v>
      </c>
      <c r="J1403" s="18" t="s">
        <v>28</v>
      </c>
      <c r="K1403" s="18" t="s">
        <v>28</v>
      </c>
      <c r="L1403" s="18" t="s">
        <v>28</v>
      </c>
      <c r="M1403" s="18" t="s">
        <v>28</v>
      </c>
      <c r="N1403" s="17">
        <v>45181</v>
      </c>
      <c r="O1403" s="15" t="s">
        <v>79</v>
      </c>
      <c r="P1403" s="16" t="s">
        <v>611</v>
      </c>
      <c r="Q1403" s="15" t="s">
        <v>2916</v>
      </c>
      <c r="R1403" s="13" t="str">
        <f>HYPERLINK("https://my.pitchbook.com?c=256481-38T","View Company Online")</f>
        <v>View Company Online</v>
      </c>
    </row>
    <row r="1404" spans="1:18" hidden="1" x14ac:dyDescent="0.3">
      <c r="A1404" s="9" t="s">
        <v>5030</v>
      </c>
      <c r="B1404" s="9" t="s">
        <v>5031</v>
      </c>
      <c r="C1404" s="11" t="s">
        <v>28</v>
      </c>
      <c r="D1404" s="9" t="s">
        <v>5032</v>
      </c>
      <c r="E1404" s="11" t="s">
        <v>28</v>
      </c>
      <c r="F1404" s="10" t="s">
        <v>28</v>
      </c>
      <c r="G1404" s="10">
        <v>50</v>
      </c>
      <c r="H1404" s="10" t="s">
        <v>28</v>
      </c>
      <c r="I1404" s="11" t="s">
        <v>28</v>
      </c>
      <c r="J1404" s="11" t="s">
        <v>28</v>
      </c>
      <c r="K1404" s="11" t="s">
        <v>28</v>
      </c>
      <c r="L1404" s="11" t="s">
        <v>28</v>
      </c>
      <c r="M1404" s="11" t="s">
        <v>28</v>
      </c>
      <c r="N1404" s="8">
        <v>45180</v>
      </c>
      <c r="O1404" s="9" t="s">
        <v>79</v>
      </c>
      <c r="P1404" s="12" t="s">
        <v>5033</v>
      </c>
      <c r="Q1404" s="9" t="s">
        <v>85</v>
      </c>
      <c r="R1404" s="14" t="str">
        <f>HYPERLINK("https://my.pitchbook.com?c=241357-78T","View Company Online")</f>
        <v>View Company Online</v>
      </c>
    </row>
    <row r="1405" spans="1:18" hidden="1" x14ac:dyDescent="0.3">
      <c r="A1405" s="15" t="s">
        <v>5034</v>
      </c>
      <c r="B1405" s="15" t="s">
        <v>3369</v>
      </c>
      <c r="C1405" s="18" t="s">
        <v>28</v>
      </c>
      <c r="D1405" s="15" t="s">
        <v>3370</v>
      </c>
      <c r="E1405" s="18">
        <v>15.27</v>
      </c>
      <c r="F1405" s="19" t="s">
        <v>28</v>
      </c>
      <c r="G1405" s="19" t="s">
        <v>28</v>
      </c>
      <c r="H1405" s="19" t="s">
        <v>28</v>
      </c>
      <c r="I1405" s="18">
        <v>97.34</v>
      </c>
      <c r="J1405" s="18" t="s">
        <v>28</v>
      </c>
      <c r="K1405" s="18">
        <v>731.69</v>
      </c>
      <c r="L1405" s="18" t="s">
        <v>28</v>
      </c>
      <c r="M1405" s="18">
        <v>-21.57</v>
      </c>
      <c r="N1405" s="17">
        <v>45180</v>
      </c>
      <c r="O1405" s="15" t="s">
        <v>159</v>
      </c>
      <c r="P1405" s="16" t="s">
        <v>5035</v>
      </c>
      <c r="Q1405" s="15" t="s">
        <v>169</v>
      </c>
      <c r="R1405" s="13" t="str">
        <f>HYPERLINK("https://my.pitchbook.com?c=258775-12T","View Company Online")</f>
        <v>View Company Online</v>
      </c>
    </row>
    <row r="1406" spans="1:18" hidden="1" x14ac:dyDescent="0.3">
      <c r="A1406" s="9" t="s">
        <v>5036</v>
      </c>
      <c r="B1406" s="9" t="s">
        <v>5037</v>
      </c>
      <c r="C1406" s="11" t="s">
        <v>28</v>
      </c>
      <c r="D1406" s="9" t="s">
        <v>5038</v>
      </c>
      <c r="E1406" s="11" t="s">
        <v>28</v>
      </c>
      <c r="F1406" s="10" t="s">
        <v>28</v>
      </c>
      <c r="G1406" s="10" t="s">
        <v>28</v>
      </c>
      <c r="H1406" s="10" t="s">
        <v>28</v>
      </c>
      <c r="I1406" s="11" t="s">
        <v>28</v>
      </c>
      <c r="J1406" s="11" t="s">
        <v>28</v>
      </c>
      <c r="K1406" s="11" t="s">
        <v>28</v>
      </c>
      <c r="L1406" s="11" t="s">
        <v>28</v>
      </c>
      <c r="M1406" s="11" t="s">
        <v>28</v>
      </c>
      <c r="N1406" s="8">
        <v>45178</v>
      </c>
      <c r="O1406" s="9" t="s">
        <v>52</v>
      </c>
      <c r="P1406" s="12" t="s">
        <v>28</v>
      </c>
      <c r="Q1406" s="9" t="s">
        <v>75</v>
      </c>
      <c r="R1406" s="14" t="str">
        <f>HYPERLINK("https://my.pitchbook.com?c=301239-19T","View Company Online")</f>
        <v>View Company Online</v>
      </c>
    </row>
    <row r="1407" spans="1:18" hidden="1" x14ac:dyDescent="0.3">
      <c r="A1407" s="15" t="s">
        <v>5039</v>
      </c>
      <c r="B1407" s="15" t="s">
        <v>5040</v>
      </c>
      <c r="C1407" s="18" t="s">
        <v>28</v>
      </c>
      <c r="D1407" s="15" t="s">
        <v>5041</v>
      </c>
      <c r="E1407" s="18" t="s">
        <v>28</v>
      </c>
      <c r="F1407" s="19" t="s">
        <v>28</v>
      </c>
      <c r="G1407" s="19" t="s">
        <v>28</v>
      </c>
      <c r="H1407" s="19" t="s">
        <v>28</v>
      </c>
      <c r="I1407" s="18" t="s">
        <v>28</v>
      </c>
      <c r="J1407" s="18" t="s">
        <v>28</v>
      </c>
      <c r="K1407" s="18" t="s">
        <v>28</v>
      </c>
      <c r="L1407" s="18" t="s">
        <v>28</v>
      </c>
      <c r="M1407" s="18" t="s">
        <v>28</v>
      </c>
      <c r="N1407" s="17">
        <v>45177</v>
      </c>
      <c r="O1407" s="15" t="s">
        <v>30</v>
      </c>
      <c r="P1407" s="16" t="s">
        <v>5042</v>
      </c>
      <c r="Q1407" s="15" t="s">
        <v>75</v>
      </c>
      <c r="R1407" s="13" t="str">
        <f>HYPERLINK("https://my.pitchbook.com?c=249477-67T","View Company Online")</f>
        <v>View Company Online</v>
      </c>
    </row>
    <row r="1408" spans="1:18" hidden="1" x14ac:dyDescent="0.3">
      <c r="A1408" s="9" t="s">
        <v>5043</v>
      </c>
      <c r="B1408" s="9" t="s">
        <v>5044</v>
      </c>
      <c r="C1408" s="11" t="s">
        <v>28</v>
      </c>
      <c r="D1408" s="9" t="s">
        <v>5045</v>
      </c>
      <c r="E1408" s="11" t="s">
        <v>28</v>
      </c>
      <c r="F1408" s="10" t="s">
        <v>28</v>
      </c>
      <c r="G1408" s="10">
        <v>1.46</v>
      </c>
      <c r="H1408" s="10" t="s">
        <v>28</v>
      </c>
      <c r="I1408" s="11" t="s">
        <v>28</v>
      </c>
      <c r="J1408" s="11" t="s">
        <v>28</v>
      </c>
      <c r="K1408" s="11" t="s">
        <v>28</v>
      </c>
      <c r="L1408" s="11" t="s">
        <v>28</v>
      </c>
      <c r="M1408" s="11" t="s">
        <v>28</v>
      </c>
      <c r="N1408" s="8">
        <v>45176</v>
      </c>
      <c r="O1408" s="9" t="s">
        <v>79</v>
      </c>
      <c r="P1408" s="12" t="s">
        <v>5046</v>
      </c>
      <c r="Q1408" s="9" t="s">
        <v>75</v>
      </c>
      <c r="R1408" s="14" t="str">
        <f>HYPERLINK("https://my.pitchbook.com?c=239427-10T","View Company Online")</f>
        <v>View Company Online</v>
      </c>
    </row>
    <row r="1409" spans="1:18" hidden="1" x14ac:dyDescent="0.3">
      <c r="A1409" s="15" t="s">
        <v>5047</v>
      </c>
      <c r="B1409" s="15" t="s">
        <v>2194</v>
      </c>
      <c r="C1409" s="18" t="s">
        <v>28</v>
      </c>
      <c r="D1409" s="15" t="s">
        <v>2195</v>
      </c>
      <c r="E1409" s="18" t="s">
        <v>28</v>
      </c>
      <c r="F1409" s="19" t="s">
        <v>28</v>
      </c>
      <c r="G1409" s="19" t="s">
        <v>28</v>
      </c>
      <c r="H1409" s="19" t="s">
        <v>28</v>
      </c>
      <c r="I1409" s="18" t="s">
        <v>28</v>
      </c>
      <c r="J1409" s="18" t="s">
        <v>28</v>
      </c>
      <c r="K1409" s="18" t="s">
        <v>28</v>
      </c>
      <c r="L1409" s="18" t="s">
        <v>28</v>
      </c>
      <c r="M1409" s="18" t="s">
        <v>28</v>
      </c>
      <c r="N1409" s="17">
        <v>45175</v>
      </c>
      <c r="O1409" s="15" t="s">
        <v>79</v>
      </c>
      <c r="P1409" s="16" t="s">
        <v>611</v>
      </c>
      <c r="Q1409" s="15" t="s">
        <v>75</v>
      </c>
      <c r="R1409" s="13" t="str">
        <f>HYPERLINK("https://my.pitchbook.com?c=210912-67T","View Company Online")</f>
        <v>View Company Online</v>
      </c>
    </row>
    <row r="1410" spans="1:18" hidden="1" x14ac:dyDescent="0.3">
      <c r="A1410" s="9" t="s">
        <v>5048</v>
      </c>
      <c r="B1410" s="9" t="s">
        <v>5049</v>
      </c>
      <c r="C1410" s="11" t="s">
        <v>28</v>
      </c>
      <c r="D1410" s="9" t="s">
        <v>5050</v>
      </c>
      <c r="E1410" s="11" t="s">
        <v>28</v>
      </c>
      <c r="F1410" s="10" t="s">
        <v>28</v>
      </c>
      <c r="G1410" s="10" t="s">
        <v>28</v>
      </c>
      <c r="H1410" s="10" t="s">
        <v>28</v>
      </c>
      <c r="I1410" s="11" t="s">
        <v>28</v>
      </c>
      <c r="J1410" s="11" t="s">
        <v>28</v>
      </c>
      <c r="K1410" s="11" t="s">
        <v>28</v>
      </c>
      <c r="L1410" s="11" t="s">
        <v>28</v>
      </c>
      <c r="M1410" s="11" t="s">
        <v>28</v>
      </c>
      <c r="N1410" s="8">
        <v>45175</v>
      </c>
      <c r="O1410" s="9" t="s">
        <v>173</v>
      </c>
      <c r="P1410" s="12" t="s">
        <v>28</v>
      </c>
      <c r="Q1410" s="9" t="s">
        <v>174</v>
      </c>
      <c r="R1410" s="14" t="str">
        <f>HYPERLINK("https://my.pitchbook.com?c=270407-71T","View Company Online")</f>
        <v>View Company Online</v>
      </c>
    </row>
    <row r="1411" spans="1:18" hidden="1" x14ac:dyDescent="0.3">
      <c r="A1411" s="15" t="s">
        <v>5051</v>
      </c>
      <c r="B1411" s="15" t="s">
        <v>5052</v>
      </c>
      <c r="C1411" s="18" t="s">
        <v>28</v>
      </c>
      <c r="D1411" s="15" t="s">
        <v>5053</v>
      </c>
      <c r="E1411" s="18" t="s">
        <v>28</v>
      </c>
      <c r="F1411" s="19" t="s">
        <v>28</v>
      </c>
      <c r="G1411" s="19">
        <v>1.26</v>
      </c>
      <c r="H1411" s="19" t="s">
        <v>28</v>
      </c>
      <c r="I1411" s="18" t="s">
        <v>28</v>
      </c>
      <c r="J1411" s="18" t="s">
        <v>28</v>
      </c>
      <c r="K1411" s="18" t="s">
        <v>28</v>
      </c>
      <c r="L1411" s="18" t="s">
        <v>28</v>
      </c>
      <c r="M1411" s="18" t="s">
        <v>28</v>
      </c>
      <c r="N1411" s="17">
        <v>45174</v>
      </c>
      <c r="O1411" s="15" t="s">
        <v>99</v>
      </c>
      <c r="P1411" s="16" t="s">
        <v>5054</v>
      </c>
      <c r="Q1411" s="15" t="s">
        <v>1793</v>
      </c>
      <c r="R1411" s="13" t="str">
        <f>HYPERLINK("https://my.pitchbook.com?c=241705-90T","View Company Online")</f>
        <v>View Company Online</v>
      </c>
    </row>
    <row r="1412" spans="1:18" hidden="1" x14ac:dyDescent="0.3">
      <c r="A1412" s="9" t="s">
        <v>5055</v>
      </c>
      <c r="B1412" s="9" t="s">
        <v>5056</v>
      </c>
      <c r="C1412" s="11" t="s">
        <v>28</v>
      </c>
      <c r="D1412" s="9" t="s">
        <v>5057</v>
      </c>
      <c r="E1412" s="11" t="s">
        <v>28</v>
      </c>
      <c r="F1412" s="10" t="s">
        <v>28</v>
      </c>
      <c r="G1412" s="10" t="s">
        <v>28</v>
      </c>
      <c r="H1412" s="10" t="s">
        <v>28</v>
      </c>
      <c r="I1412" s="11" t="s">
        <v>28</v>
      </c>
      <c r="J1412" s="11" t="s">
        <v>28</v>
      </c>
      <c r="K1412" s="11" t="s">
        <v>28</v>
      </c>
      <c r="L1412" s="11" t="s">
        <v>28</v>
      </c>
      <c r="M1412" s="11" t="s">
        <v>28</v>
      </c>
      <c r="N1412" s="8">
        <v>45174</v>
      </c>
      <c r="O1412" s="9" t="s">
        <v>30</v>
      </c>
      <c r="P1412" s="12" t="s">
        <v>5058</v>
      </c>
      <c r="Q1412" s="9" t="s">
        <v>855</v>
      </c>
      <c r="R1412" s="14" t="str">
        <f>HYPERLINK("https://my.pitchbook.com?c=295867-18T","View Company Online")</f>
        <v>View Company Online</v>
      </c>
    </row>
    <row r="1413" spans="1:18" hidden="1" x14ac:dyDescent="0.3">
      <c r="A1413" s="15" t="s">
        <v>5059</v>
      </c>
      <c r="B1413" s="15" t="s">
        <v>5060</v>
      </c>
      <c r="C1413" s="18" t="s">
        <v>28</v>
      </c>
      <c r="D1413" s="15" t="s">
        <v>5061</v>
      </c>
      <c r="E1413" s="18" t="s">
        <v>28</v>
      </c>
      <c r="F1413" s="19" t="s">
        <v>28</v>
      </c>
      <c r="G1413" s="19" t="s">
        <v>28</v>
      </c>
      <c r="H1413" s="19" t="s">
        <v>28</v>
      </c>
      <c r="I1413" s="18" t="s">
        <v>28</v>
      </c>
      <c r="J1413" s="18" t="s">
        <v>28</v>
      </c>
      <c r="K1413" s="18" t="s">
        <v>28</v>
      </c>
      <c r="L1413" s="18" t="s">
        <v>28</v>
      </c>
      <c r="M1413" s="18" t="s">
        <v>28</v>
      </c>
      <c r="N1413" s="17">
        <v>45174</v>
      </c>
      <c r="O1413" s="15" t="s">
        <v>52</v>
      </c>
      <c r="P1413" s="16" t="s">
        <v>1970</v>
      </c>
      <c r="Q1413" s="15" t="s">
        <v>616</v>
      </c>
      <c r="R1413" s="13" t="str">
        <f>HYPERLINK("https://my.pitchbook.com?c=295327-45T","View Company Online")</f>
        <v>View Company Online</v>
      </c>
    </row>
    <row r="1414" spans="1:18" hidden="1" x14ac:dyDescent="0.3">
      <c r="A1414" s="9" t="s">
        <v>5062</v>
      </c>
      <c r="B1414" s="9" t="s">
        <v>5063</v>
      </c>
      <c r="C1414" s="11" t="s">
        <v>28</v>
      </c>
      <c r="D1414" s="9" t="s">
        <v>5064</v>
      </c>
      <c r="E1414" s="11" t="s">
        <v>28</v>
      </c>
      <c r="F1414" s="10" t="s">
        <v>28</v>
      </c>
      <c r="G1414" s="10" t="s">
        <v>28</v>
      </c>
      <c r="H1414" s="10" t="s">
        <v>28</v>
      </c>
      <c r="I1414" s="11" t="s">
        <v>28</v>
      </c>
      <c r="J1414" s="11" t="s">
        <v>28</v>
      </c>
      <c r="K1414" s="11" t="s">
        <v>28</v>
      </c>
      <c r="L1414" s="11" t="s">
        <v>28</v>
      </c>
      <c r="M1414" s="11" t="s">
        <v>28</v>
      </c>
      <c r="N1414" s="8">
        <v>45173</v>
      </c>
      <c r="O1414" s="9" t="s">
        <v>79</v>
      </c>
      <c r="P1414" s="12" t="s">
        <v>5065</v>
      </c>
      <c r="Q1414" s="9" t="s">
        <v>75</v>
      </c>
      <c r="R1414" s="14" t="str">
        <f>HYPERLINK("https://my.pitchbook.com?c=215804-17T","View Company Online")</f>
        <v>View Company Online</v>
      </c>
    </row>
    <row r="1415" spans="1:18" hidden="1" x14ac:dyDescent="0.3">
      <c r="A1415" s="15" t="s">
        <v>5066</v>
      </c>
      <c r="B1415" s="15" t="s">
        <v>5067</v>
      </c>
      <c r="C1415" s="18" t="s">
        <v>28</v>
      </c>
      <c r="D1415" s="15" t="s">
        <v>5068</v>
      </c>
      <c r="E1415" s="18" t="s">
        <v>28</v>
      </c>
      <c r="F1415" s="19" t="s">
        <v>28</v>
      </c>
      <c r="G1415" s="19">
        <v>0.3</v>
      </c>
      <c r="H1415" s="19" t="s">
        <v>28</v>
      </c>
      <c r="I1415" s="18" t="s">
        <v>28</v>
      </c>
      <c r="J1415" s="18" t="s">
        <v>28</v>
      </c>
      <c r="K1415" s="18" t="s">
        <v>28</v>
      </c>
      <c r="L1415" s="18" t="s">
        <v>28</v>
      </c>
      <c r="M1415" s="18" t="s">
        <v>28</v>
      </c>
      <c r="N1415" s="17">
        <v>45173</v>
      </c>
      <c r="O1415" s="15" t="s">
        <v>73</v>
      </c>
      <c r="P1415" s="16" t="s">
        <v>5069</v>
      </c>
      <c r="Q1415" s="15" t="s">
        <v>43</v>
      </c>
      <c r="R1415" s="13" t="str">
        <f>HYPERLINK("https://my.pitchbook.com?c=235211-77T","View Company Online")</f>
        <v>View Company Online</v>
      </c>
    </row>
    <row r="1416" spans="1:18" hidden="1" x14ac:dyDescent="0.3">
      <c r="A1416" s="9" t="s">
        <v>5070</v>
      </c>
      <c r="B1416" s="9" t="s">
        <v>5071</v>
      </c>
      <c r="C1416" s="11" t="s">
        <v>28</v>
      </c>
      <c r="D1416" s="9" t="s">
        <v>5072</v>
      </c>
      <c r="E1416" s="11" t="s">
        <v>28</v>
      </c>
      <c r="F1416" s="10">
        <v>9.74</v>
      </c>
      <c r="G1416" s="10">
        <v>9.74</v>
      </c>
      <c r="H1416" s="10">
        <v>9.74</v>
      </c>
      <c r="I1416" s="11" t="s">
        <v>28</v>
      </c>
      <c r="J1416" s="11" t="s">
        <v>28</v>
      </c>
      <c r="K1416" s="11" t="s">
        <v>28</v>
      </c>
      <c r="L1416" s="11" t="s">
        <v>28</v>
      </c>
      <c r="M1416" s="11" t="s">
        <v>28</v>
      </c>
      <c r="N1416" s="8">
        <v>45173</v>
      </c>
      <c r="O1416" s="9" t="s">
        <v>30</v>
      </c>
      <c r="P1416" s="12" t="s">
        <v>5073</v>
      </c>
      <c r="Q1416" s="9" t="s">
        <v>285</v>
      </c>
      <c r="R1416" s="14" t="str">
        <f>HYPERLINK("https://my.pitchbook.com?c=235179-82T","View Company Online")</f>
        <v>View Company Online</v>
      </c>
    </row>
    <row r="1417" spans="1:18" x14ac:dyDescent="0.3">
      <c r="A1417" s="15" t="s">
        <v>5074</v>
      </c>
      <c r="B1417" s="15" t="s">
        <v>5075</v>
      </c>
      <c r="C1417" s="18" t="s">
        <v>28</v>
      </c>
      <c r="D1417" s="15" t="s">
        <v>5076</v>
      </c>
      <c r="E1417" s="18">
        <v>8.93</v>
      </c>
      <c r="F1417" s="19" t="s">
        <v>28</v>
      </c>
      <c r="G1417" s="19">
        <v>4.5199999999999996</v>
      </c>
      <c r="H1417" s="19">
        <v>4.5199999999999996</v>
      </c>
      <c r="I1417" s="18">
        <v>8.93</v>
      </c>
      <c r="J1417" s="18">
        <v>0.51</v>
      </c>
      <c r="K1417" s="18">
        <v>10.25</v>
      </c>
      <c r="L1417" s="18">
        <v>0.44</v>
      </c>
      <c r="M1417" s="18">
        <v>9.4499999999999993</v>
      </c>
      <c r="N1417" s="17">
        <v>45170</v>
      </c>
      <c r="O1417" s="15" t="s">
        <v>30</v>
      </c>
      <c r="P1417" s="16" t="s">
        <v>4433</v>
      </c>
      <c r="Q1417" s="15" t="s">
        <v>240</v>
      </c>
      <c r="R1417" s="13" t="str">
        <f>HYPERLINK("https://my.pitchbook.com?c=244785-34T","View Company Online")</f>
        <v>View Company Online</v>
      </c>
    </row>
    <row r="1418" spans="1:18" hidden="1" x14ac:dyDescent="0.3">
      <c r="A1418" s="9" t="s">
        <v>5077</v>
      </c>
      <c r="B1418" s="9" t="s">
        <v>5078</v>
      </c>
      <c r="C1418" s="11" t="s">
        <v>28</v>
      </c>
      <c r="D1418" s="9" t="s">
        <v>5079</v>
      </c>
      <c r="E1418" s="11" t="s">
        <v>28</v>
      </c>
      <c r="F1418" s="10" t="s">
        <v>28</v>
      </c>
      <c r="G1418" s="10" t="s">
        <v>28</v>
      </c>
      <c r="H1418" s="10" t="s">
        <v>28</v>
      </c>
      <c r="I1418" s="11" t="s">
        <v>28</v>
      </c>
      <c r="J1418" s="11" t="s">
        <v>28</v>
      </c>
      <c r="K1418" s="11" t="s">
        <v>28</v>
      </c>
      <c r="L1418" s="11" t="s">
        <v>28</v>
      </c>
      <c r="M1418" s="11" t="s">
        <v>28</v>
      </c>
      <c r="N1418" s="8">
        <v>45170</v>
      </c>
      <c r="O1418" s="9" t="s">
        <v>30</v>
      </c>
      <c r="P1418" s="12" t="s">
        <v>28</v>
      </c>
      <c r="Q1418" s="9" t="s">
        <v>2620</v>
      </c>
      <c r="R1418" s="14" t="str">
        <f>HYPERLINK("https://my.pitchbook.com?c=258478-57T","View Company Online")</f>
        <v>View Company Online</v>
      </c>
    </row>
    <row r="1419" spans="1:18" hidden="1" x14ac:dyDescent="0.3">
      <c r="A1419" s="15" t="s">
        <v>5080</v>
      </c>
      <c r="B1419" s="15" t="s">
        <v>1268</v>
      </c>
      <c r="C1419" s="18" t="s">
        <v>28</v>
      </c>
      <c r="D1419" s="15" t="s">
        <v>1269</v>
      </c>
      <c r="E1419" s="18" t="s">
        <v>28</v>
      </c>
      <c r="F1419" s="19" t="s">
        <v>28</v>
      </c>
      <c r="G1419" s="19" t="s">
        <v>28</v>
      </c>
      <c r="H1419" s="19" t="s">
        <v>28</v>
      </c>
      <c r="I1419" s="18" t="s">
        <v>28</v>
      </c>
      <c r="J1419" s="18" t="s">
        <v>28</v>
      </c>
      <c r="K1419" s="18" t="s">
        <v>28</v>
      </c>
      <c r="L1419" s="18" t="s">
        <v>28</v>
      </c>
      <c r="M1419" s="18" t="s">
        <v>28</v>
      </c>
      <c r="N1419" s="17">
        <v>45170</v>
      </c>
      <c r="O1419" s="15" t="s">
        <v>99</v>
      </c>
      <c r="P1419" s="16" t="s">
        <v>5081</v>
      </c>
      <c r="Q1419" s="15" t="s">
        <v>75</v>
      </c>
      <c r="R1419" s="13" t="str">
        <f>HYPERLINK("https://my.pitchbook.com?c=248707-54T","View Company Online")</f>
        <v>View Company Online</v>
      </c>
    </row>
    <row r="1420" spans="1:18" hidden="1" x14ac:dyDescent="0.3">
      <c r="A1420" s="9" t="s">
        <v>5082</v>
      </c>
      <c r="B1420" s="9" t="s">
        <v>5083</v>
      </c>
      <c r="C1420" s="11" t="s">
        <v>28</v>
      </c>
      <c r="D1420" s="9" t="s">
        <v>5084</v>
      </c>
      <c r="E1420" s="11" t="s">
        <v>28</v>
      </c>
      <c r="F1420" s="10" t="s">
        <v>28</v>
      </c>
      <c r="G1420" s="10" t="s">
        <v>28</v>
      </c>
      <c r="H1420" s="10" t="s">
        <v>28</v>
      </c>
      <c r="I1420" s="11" t="s">
        <v>28</v>
      </c>
      <c r="J1420" s="11" t="s">
        <v>28</v>
      </c>
      <c r="K1420" s="11" t="s">
        <v>28</v>
      </c>
      <c r="L1420" s="11" t="s">
        <v>28</v>
      </c>
      <c r="M1420" s="11" t="s">
        <v>28</v>
      </c>
      <c r="N1420" s="8">
        <v>45170</v>
      </c>
      <c r="O1420" s="9" t="s">
        <v>30</v>
      </c>
      <c r="P1420" s="12" t="s">
        <v>5085</v>
      </c>
      <c r="Q1420" s="9" t="s">
        <v>692</v>
      </c>
      <c r="R1420" s="14" t="str">
        <f>HYPERLINK("https://my.pitchbook.com?c=241846-39T","View Company Online")</f>
        <v>View Company Online</v>
      </c>
    </row>
    <row r="1421" spans="1:18" hidden="1" x14ac:dyDescent="0.3">
      <c r="A1421" s="15" t="s">
        <v>5086</v>
      </c>
      <c r="B1421" s="15" t="s">
        <v>5087</v>
      </c>
      <c r="C1421" s="18" t="s">
        <v>28</v>
      </c>
      <c r="D1421" s="15" t="s">
        <v>5088</v>
      </c>
      <c r="E1421" s="18" t="s">
        <v>28</v>
      </c>
      <c r="F1421" s="19" t="s">
        <v>28</v>
      </c>
      <c r="G1421" s="19" t="s">
        <v>28</v>
      </c>
      <c r="H1421" s="19" t="s">
        <v>28</v>
      </c>
      <c r="I1421" s="18" t="s">
        <v>28</v>
      </c>
      <c r="J1421" s="18" t="s">
        <v>28</v>
      </c>
      <c r="K1421" s="18" t="s">
        <v>28</v>
      </c>
      <c r="L1421" s="18" t="s">
        <v>28</v>
      </c>
      <c r="M1421" s="18" t="s">
        <v>28</v>
      </c>
      <c r="N1421" s="17">
        <v>45170</v>
      </c>
      <c r="O1421" s="15" t="s">
        <v>30</v>
      </c>
      <c r="P1421" s="16" t="s">
        <v>28</v>
      </c>
      <c r="Q1421" s="15" t="s">
        <v>2043</v>
      </c>
      <c r="R1421" s="13" t="str">
        <f>HYPERLINK("https://my.pitchbook.com?c=259205-86T","View Company Online")</f>
        <v>View Company Online</v>
      </c>
    </row>
    <row r="1422" spans="1:18" hidden="1" x14ac:dyDescent="0.3">
      <c r="A1422" s="9" t="s">
        <v>5089</v>
      </c>
      <c r="B1422" s="9" t="s">
        <v>5090</v>
      </c>
      <c r="C1422" s="11" t="s">
        <v>28</v>
      </c>
      <c r="D1422" s="9" t="s">
        <v>5091</v>
      </c>
      <c r="E1422" s="11" t="s">
        <v>28</v>
      </c>
      <c r="F1422" s="10" t="s">
        <v>28</v>
      </c>
      <c r="G1422" s="10" t="s">
        <v>28</v>
      </c>
      <c r="H1422" s="10" t="s">
        <v>28</v>
      </c>
      <c r="I1422" s="11" t="s">
        <v>28</v>
      </c>
      <c r="J1422" s="11" t="s">
        <v>28</v>
      </c>
      <c r="K1422" s="11" t="s">
        <v>28</v>
      </c>
      <c r="L1422" s="11" t="s">
        <v>28</v>
      </c>
      <c r="M1422" s="11" t="s">
        <v>28</v>
      </c>
      <c r="N1422" s="8">
        <v>45170</v>
      </c>
      <c r="O1422" s="9" t="s">
        <v>52</v>
      </c>
      <c r="P1422" s="12" t="s">
        <v>1880</v>
      </c>
      <c r="Q1422" s="9" t="s">
        <v>5092</v>
      </c>
      <c r="R1422" s="14" t="str">
        <f>HYPERLINK("https://my.pitchbook.com?c=241188-94T","View Company Online")</f>
        <v>View Company Online</v>
      </c>
    </row>
    <row r="1423" spans="1:18" hidden="1" x14ac:dyDescent="0.3">
      <c r="A1423" s="15" t="s">
        <v>5093</v>
      </c>
      <c r="B1423" s="15" t="s">
        <v>5094</v>
      </c>
      <c r="C1423" s="18" t="s">
        <v>28</v>
      </c>
      <c r="D1423" s="15" t="s">
        <v>5095</v>
      </c>
      <c r="E1423" s="18" t="s">
        <v>28</v>
      </c>
      <c r="F1423" s="19" t="s">
        <v>28</v>
      </c>
      <c r="G1423" s="19" t="s">
        <v>28</v>
      </c>
      <c r="H1423" s="19" t="s">
        <v>28</v>
      </c>
      <c r="I1423" s="18" t="s">
        <v>28</v>
      </c>
      <c r="J1423" s="18" t="s">
        <v>28</v>
      </c>
      <c r="K1423" s="18" t="s">
        <v>28</v>
      </c>
      <c r="L1423" s="18" t="s">
        <v>28</v>
      </c>
      <c r="M1423" s="18" t="s">
        <v>28</v>
      </c>
      <c r="N1423" s="17">
        <v>45170</v>
      </c>
      <c r="O1423" s="15" t="s">
        <v>52</v>
      </c>
      <c r="P1423" s="16" t="s">
        <v>1880</v>
      </c>
      <c r="Q1423" s="15" t="s">
        <v>75</v>
      </c>
      <c r="R1423" s="13" t="str">
        <f>HYPERLINK("https://my.pitchbook.com?c=261381-61T","View Company Online")</f>
        <v>View Company Online</v>
      </c>
    </row>
    <row r="1424" spans="1:18" hidden="1" x14ac:dyDescent="0.3">
      <c r="A1424" s="9" t="s">
        <v>5096</v>
      </c>
      <c r="B1424" s="9" t="s">
        <v>5097</v>
      </c>
      <c r="C1424" s="11" t="s">
        <v>28</v>
      </c>
      <c r="D1424" s="9" t="s">
        <v>5098</v>
      </c>
      <c r="E1424" s="11" t="s">
        <v>28</v>
      </c>
      <c r="F1424" s="10" t="s">
        <v>28</v>
      </c>
      <c r="G1424" s="10" t="s">
        <v>28</v>
      </c>
      <c r="H1424" s="10" t="s">
        <v>28</v>
      </c>
      <c r="I1424" s="11" t="s">
        <v>28</v>
      </c>
      <c r="J1424" s="11" t="s">
        <v>28</v>
      </c>
      <c r="K1424" s="11" t="s">
        <v>28</v>
      </c>
      <c r="L1424" s="11" t="s">
        <v>28</v>
      </c>
      <c r="M1424" s="11" t="s">
        <v>28</v>
      </c>
      <c r="N1424" s="8">
        <v>45170</v>
      </c>
      <c r="O1424" s="9" t="s">
        <v>41</v>
      </c>
      <c r="P1424" s="12" t="s">
        <v>4872</v>
      </c>
      <c r="Q1424" s="9" t="s">
        <v>37</v>
      </c>
      <c r="R1424" s="14" t="str">
        <f>HYPERLINK("https://my.pitchbook.com?c=234349-84T","View Company Online")</f>
        <v>View Company Online</v>
      </c>
    </row>
    <row r="1425" spans="1:18" hidden="1" x14ac:dyDescent="0.3">
      <c r="A1425" s="15" t="s">
        <v>5099</v>
      </c>
      <c r="B1425" s="15" t="s">
        <v>5100</v>
      </c>
      <c r="C1425" s="18" t="s">
        <v>28</v>
      </c>
      <c r="D1425" s="15" t="s">
        <v>5101</v>
      </c>
      <c r="E1425" s="18" t="s">
        <v>28</v>
      </c>
      <c r="F1425" s="19" t="s">
        <v>28</v>
      </c>
      <c r="G1425" s="19">
        <v>0.01</v>
      </c>
      <c r="H1425" s="19" t="s">
        <v>28</v>
      </c>
      <c r="I1425" s="18" t="s">
        <v>28</v>
      </c>
      <c r="J1425" s="18" t="s">
        <v>28</v>
      </c>
      <c r="K1425" s="18" t="s">
        <v>28</v>
      </c>
      <c r="L1425" s="18" t="s">
        <v>28</v>
      </c>
      <c r="M1425" s="18" t="s">
        <v>28</v>
      </c>
      <c r="N1425" s="17">
        <v>45170</v>
      </c>
      <c r="O1425" s="15" t="s">
        <v>1639</v>
      </c>
      <c r="P1425" s="16" t="s">
        <v>28</v>
      </c>
      <c r="Q1425" s="15" t="s">
        <v>522</v>
      </c>
      <c r="R1425" s="13" t="str">
        <f>HYPERLINK("https://my.pitchbook.com?c=235107-73T","View Company Online")</f>
        <v>View Company Online</v>
      </c>
    </row>
    <row r="1426" spans="1:18" hidden="1" x14ac:dyDescent="0.3">
      <c r="A1426" s="9" t="s">
        <v>5102</v>
      </c>
      <c r="B1426" s="9" t="s">
        <v>5103</v>
      </c>
      <c r="C1426" s="11" t="s">
        <v>28</v>
      </c>
      <c r="D1426" s="9" t="s">
        <v>5104</v>
      </c>
      <c r="E1426" s="11" t="s">
        <v>28</v>
      </c>
      <c r="F1426" s="10">
        <v>8.94</v>
      </c>
      <c r="G1426" s="10">
        <v>5.37</v>
      </c>
      <c r="H1426" s="10">
        <v>8.94</v>
      </c>
      <c r="I1426" s="11" t="s">
        <v>28</v>
      </c>
      <c r="J1426" s="11" t="s">
        <v>28</v>
      </c>
      <c r="K1426" s="11" t="s">
        <v>28</v>
      </c>
      <c r="L1426" s="11" t="s">
        <v>28</v>
      </c>
      <c r="M1426" s="11" t="s">
        <v>28</v>
      </c>
      <c r="N1426" s="8">
        <v>45170</v>
      </c>
      <c r="O1426" s="9" t="s">
        <v>30</v>
      </c>
      <c r="P1426" s="12" t="s">
        <v>5105</v>
      </c>
      <c r="Q1426" s="9" t="s">
        <v>5106</v>
      </c>
      <c r="R1426" s="14" t="str">
        <f>HYPERLINK("https://my.pitchbook.com?c=233689-51T","View Company Online")</f>
        <v>View Company Online</v>
      </c>
    </row>
    <row r="1427" spans="1:18" hidden="1" x14ac:dyDescent="0.3">
      <c r="A1427" s="15" t="s">
        <v>5107</v>
      </c>
      <c r="B1427" s="15" t="s">
        <v>5108</v>
      </c>
      <c r="C1427" s="18" t="s">
        <v>28</v>
      </c>
      <c r="D1427" s="15" t="s">
        <v>5109</v>
      </c>
      <c r="E1427" s="18" t="s">
        <v>28</v>
      </c>
      <c r="F1427" s="19" t="s">
        <v>28</v>
      </c>
      <c r="G1427" s="19" t="s">
        <v>28</v>
      </c>
      <c r="H1427" s="19" t="s">
        <v>28</v>
      </c>
      <c r="I1427" s="18" t="s">
        <v>28</v>
      </c>
      <c r="J1427" s="18" t="s">
        <v>28</v>
      </c>
      <c r="K1427" s="18" t="s">
        <v>28</v>
      </c>
      <c r="L1427" s="18" t="s">
        <v>28</v>
      </c>
      <c r="M1427" s="18" t="s">
        <v>28</v>
      </c>
      <c r="N1427" s="17">
        <v>45170</v>
      </c>
      <c r="O1427" s="15" t="s">
        <v>30</v>
      </c>
      <c r="P1427" s="16" t="s">
        <v>28</v>
      </c>
      <c r="Q1427" s="15" t="s">
        <v>5110</v>
      </c>
      <c r="R1427" s="13" t="str">
        <f>HYPERLINK("https://my.pitchbook.com?c=257368-51T","View Company Online")</f>
        <v>View Company Online</v>
      </c>
    </row>
    <row r="1428" spans="1:18" hidden="1" x14ac:dyDescent="0.3">
      <c r="A1428" s="9" t="s">
        <v>5111</v>
      </c>
      <c r="B1428" s="9" t="s">
        <v>5112</v>
      </c>
      <c r="C1428" s="11" t="s">
        <v>28</v>
      </c>
      <c r="D1428" s="9" t="s">
        <v>5113</v>
      </c>
      <c r="E1428" s="11" t="s">
        <v>28</v>
      </c>
      <c r="F1428" s="10">
        <v>1.4</v>
      </c>
      <c r="G1428" s="10">
        <v>1.4</v>
      </c>
      <c r="H1428" s="10">
        <v>1.4</v>
      </c>
      <c r="I1428" s="11" t="s">
        <v>28</v>
      </c>
      <c r="J1428" s="11" t="s">
        <v>28</v>
      </c>
      <c r="K1428" s="11">
        <v>3.7</v>
      </c>
      <c r="L1428" s="11">
        <v>0.38</v>
      </c>
      <c r="M1428" s="11" t="s">
        <v>28</v>
      </c>
      <c r="N1428" s="8">
        <v>45169</v>
      </c>
      <c r="O1428" s="9" t="s">
        <v>30</v>
      </c>
      <c r="P1428" s="12" t="s">
        <v>5114</v>
      </c>
      <c r="Q1428" s="9" t="s">
        <v>658</v>
      </c>
      <c r="R1428" s="14" t="str">
        <f>HYPERLINK("https://my.pitchbook.com?c=225480-61T","View Company Online")</f>
        <v>View Company Online</v>
      </c>
    </row>
    <row r="1429" spans="1:18" hidden="1" x14ac:dyDescent="0.3">
      <c r="A1429" s="15" t="s">
        <v>5115</v>
      </c>
      <c r="B1429" s="15" t="s">
        <v>5116</v>
      </c>
      <c r="C1429" s="18" t="s">
        <v>28</v>
      </c>
      <c r="D1429" s="15" t="s">
        <v>5117</v>
      </c>
      <c r="E1429" s="18" t="s">
        <v>28</v>
      </c>
      <c r="F1429" s="19" t="s">
        <v>28</v>
      </c>
      <c r="G1429" s="19">
        <v>0.61</v>
      </c>
      <c r="H1429" s="19" t="s">
        <v>28</v>
      </c>
      <c r="I1429" s="18" t="s">
        <v>28</v>
      </c>
      <c r="J1429" s="18" t="s">
        <v>28</v>
      </c>
      <c r="K1429" s="18">
        <v>0.49</v>
      </c>
      <c r="L1429" s="18" t="s">
        <v>28</v>
      </c>
      <c r="M1429" s="18" t="s">
        <v>28</v>
      </c>
      <c r="N1429" s="17">
        <v>45169</v>
      </c>
      <c r="O1429" s="15" t="s">
        <v>79</v>
      </c>
      <c r="P1429" s="16" t="s">
        <v>5118</v>
      </c>
      <c r="Q1429" s="15" t="s">
        <v>75</v>
      </c>
      <c r="R1429" s="13" t="str">
        <f>HYPERLINK("https://my.pitchbook.com?c=235057-06T","View Company Online")</f>
        <v>View Company Online</v>
      </c>
    </row>
    <row r="1430" spans="1:18" hidden="1" x14ac:dyDescent="0.3">
      <c r="A1430" s="9" t="s">
        <v>5119</v>
      </c>
      <c r="B1430" s="9" t="s">
        <v>5120</v>
      </c>
      <c r="C1430" s="11" t="s">
        <v>28</v>
      </c>
      <c r="D1430" s="9" t="s">
        <v>5121</v>
      </c>
      <c r="E1430" s="11" t="s">
        <v>28</v>
      </c>
      <c r="F1430" s="10" t="s">
        <v>28</v>
      </c>
      <c r="G1430" s="10" t="s">
        <v>28</v>
      </c>
      <c r="H1430" s="10" t="s">
        <v>28</v>
      </c>
      <c r="I1430" s="11" t="s">
        <v>28</v>
      </c>
      <c r="J1430" s="11" t="s">
        <v>28</v>
      </c>
      <c r="K1430" s="11" t="s">
        <v>28</v>
      </c>
      <c r="L1430" s="11" t="s">
        <v>28</v>
      </c>
      <c r="M1430" s="11" t="s">
        <v>28</v>
      </c>
      <c r="N1430" s="8">
        <v>45169</v>
      </c>
      <c r="O1430" s="9" t="s">
        <v>30</v>
      </c>
      <c r="P1430" s="12" t="s">
        <v>5122</v>
      </c>
      <c r="Q1430" s="9" t="s">
        <v>245</v>
      </c>
      <c r="R1430" s="14" t="str">
        <f>HYPERLINK("https://my.pitchbook.com?c=250716-25T","View Company Online")</f>
        <v>View Company Online</v>
      </c>
    </row>
    <row r="1431" spans="1:18" hidden="1" x14ac:dyDescent="0.3">
      <c r="A1431" s="15" t="s">
        <v>5123</v>
      </c>
      <c r="B1431" s="15" t="s">
        <v>1915</v>
      </c>
      <c r="C1431" s="18" t="s">
        <v>28</v>
      </c>
      <c r="D1431" s="15" t="s">
        <v>1916</v>
      </c>
      <c r="E1431" s="18" t="s">
        <v>28</v>
      </c>
      <c r="F1431" s="19" t="s">
        <v>28</v>
      </c>
      <c r="G1431" s="19">
        <v>0.41</v>
      </c>
      <c r="H1431" s="19" t="s">
        <v>28</v>
      </c>
      <c r="I1431" s="18" t="s">
        <v>28</v>
      </c>
      <c r="J1431" s="18" t="s">
        <v>28</v>
      </c>
      <c r="K1431" s="18" t="s">
        <v>28</v>
      </c>
      <c r="L1431" s="18" t="s">
        <v>28</v>
      </c>
      <c r="M1431" s="18" t="s">
        <v>28</v>
      </c>
      <c r="N1431" s="17">
        <v>45168</v>
      </c>
      <c r="O1431" s="15" t="s">
        <v>73</v>
      </c>
      <c r="P1431" s="16" t="s">
        <v>28</v>
      </c>
      <c r="Q1431" s="15" t="s">
        <v>75</v>
      </c>
      <c r="R1431" s="13" t="str">
        <f>HYPERLINK("https://my.pitchbook.com?c=244536-31T","View Company Online")</f>
        <v>View Company Online</v>
      </c>
    </row>
    <row r="1432" spans="1:18" hidden="1" x14ac:dyDescent="0.3">
      <c r="A1432" s="9" t="s">
        <v>5124</v>
      </c>
      <c r="B1432" s="9" t="s">
        <v>5125</v>
      </c>
      <c r="C1432" s="11" t="s">
        <v>28</v>
      </c>
      <c r="D1432" s="9" t="s">
        <v>5126</v>
      </c>
      <c r="E1432" s="11" t="s">
        <v>28</v>
      </c>
      <c r="F1432" s="10" t="s">
        <v>28</v>
      </c>
      <c r="G1432" s="10">
        <v>9.3000000000000007</v>
      </c>
      <c r="H1432" s="10" t="s">
        <v>28</v>
      </c>
      <c r="I1432" s="11" t="s">
        <v>28</v>
      </c>
      <c r="J1432" s="11" t="s">
        <v>28</v>
      </c>
      <c r="K1432" s="11" t="s">
        <v>28</v>
      </c>
      <c r="L1432" s="11" t="s">
        <v>28</v>
      </c>
      <c r="M1432" s="11" t="s">
        <v>28</v>
      </c>
      <c r="N1432" s="8">
        <v>45168</v>
      </c>
      <c r="O1432" s="9" t="s">
        <v>73</v>
      </c>
      <c r="P1432" s="12" t="s">
        <v>5127</v>
      </c>
      <c r="Q1432" s="9" t="s">
        <v>740</v>
      </c>
      <c r="R1432" s="14" t="str">
        <f>HYPERLINK("https://my.pitchbook.com?c=234914-86T","View Company Online")</f>
        <v>View Company Online</v>
      </c>
    </row>
    <row r="1433" spans="1:18" hidden="1" x14ac:dyDescent="0.3">
      <c r="A1433" s="15" t="s">
        <v>5128</v>
      </c>
      <c r="B1433" s="15" t="s">
        <v>5129</v>
      </c>
      <c r="C1433" s="18" t="s">
        <v>28</v>
      </c>
      <c r="D1433" s="15" t="s">
        <v>5130</v>
      </c>
      <c r="E1433" s="18">
        <v>-45.41</v>
      </c>
      <c r="F1433" s="19" t="s">
        <v>28</v>
      </c>
      <c r="G1433" s="19">
        <v>67.2</v>
      </c>
      <c r="H1433" s="19" t="s">
        <v>28</v>
      </c>
      <c r="I1433" s="18">
        <v>-10.36</v>
      </c>
      <c r="J1433" s="18" t="s">
        <v>28</v>
      </c>
      <c r="K1433" s="18">
        <v>778.55</v>
      </c>
      <c r="L1433" s="18" t="s">
        <v>28</v>
      </c>
      <c r="M1433" s="18">
        <v>-44.15</v>
      </c>
      <c r="N1433" s="17">
        <v>45167</v>
      </c>
      <c r="O1433" s="15" t="s">
        <v>159</v>
      </c>
      <c r="P1433" s="16" t="s">
        <v>5131</v>
      </c>
      <c r="Q1433" s="15" t="s">
        <v>5132</v>
      </c>
      <c r="R1433" s="13" t="str">
        <f>HYPERLINK("https://my.pitchbook.com?c=224427-61T","View Company Online")</f>
        <v>View Company Online</v>
      </c>
    </row>
    <row r="1434" spans="1:18" hidden="1" x14ac:dyDescent="0.3">
      <c r="A1434" s="9" t="s">
        <v>5133</v>
      </c>
      <c r="B1434" s="9" t="s">
        <v>5134</v>
      </c>
      <c r="C1434" s="11" t="s">
        <v>28</v>
      </c>
      <c r="D1434" s="9" t="s">
        <v>5135</v>
      </c>
      <c r="E1434" s="11" t="s">
        <v>28</v>
      </c>
      <c r="F1434" s="10" t="s">
        <v>28</v>
      </c>
      <c r="G1434" s="10" t="s">
        <v>28</v>
      </c>
      <c r="H1434" s="10" t="s">
        <v>28</v>
      </c>
      <c r="I1434" s="11" t="s">
        <v>28</v>
      </c>
      <c r="J1434" s="11" t="s">
        <v>28</v>
      </c>
      <c r="K1434" s="11" t="s">
        <v>28</v>
      </c>
      <c r="L1434" s="11" t="s">
        <v>28</v>
      </c>
      <c r="M1434" s="11">
        <v>-134.25</v>
      </c>
      <c r="N1434" s="8">
        <v>45167</v>
      </c>
      <c r="O1434" s="9" t="s">
        <v>93</v>
      </c>
      <c r="P1434" s="12" t="s">
        <v>5136</v>
      </c>
      <c r="Q1434" s="9" t="s">
        <v>1213</v>
      </c>
      <c r="R1434" s="14" t="str">
        <f>HYPERLINK("https://my.pitchbook.com?c=235003-96T","View Company Online")</f>
        <v>View Company Online</v>
      </c>
    </row>
    <row r="1435" spans="1:18" hidden="1" x14ac:dyDescent="0.3">
      <c r="A1435" s="15" t="s">
        <v>5137</v>
      </c>
      <c r="B1435" s="15" t="s">
        <v>5138</v>
      </c>
      <c r="C1435" s="18" t="s">
        <v>28</v>
      </c>
      <c r="D1435" s="15" t="s">
        <v>5139</v>
      </c>
      <c r="E1435" s="18" t="s">
        <v>28</v>
      </c>
      <c r="F1435" s="19" t="s">
        <v>28</v>
      </c>
      <c r="G1435" s="19">
        <v>2.04</v>
      </c>
      <c r="H1435" s="19">
        <v>11.02</v>
      </c>
      <c r="I1435" s="18">
        <v>4.5</v>
      </c>
      <c r="J1435" s="18">
        <v>2.4500000000000002</v>
      </c>
      <c r="K1435" s="18">
        <v>5</v>
      </c>
      <c r="L1435" s="18">
        <v>2.2000000000000002</v>
      </c>
      <c r="M1435" s="18">
        <v>2.2999999999999998</v>
      </c>
      <c r="N1435" s="17">
        <v>45167</v>
      </c>
      <c r="O1435" s="15" t="s">
        <v>58</v>
      </c>
      <c r="P1435" s="16" t="s">
        <v>5140</v>
      </c>
      <c r="Q1435" s="15" t="s">
        <v>235</v>
      </c>
      <c r="R1435" s="13" t="str">
        <f>HYPERLINK("https://my.pitchbook.com?c=234903-97T","View Company Online")</f>
        <v>View Company Online</v>
      </c>
    </row>
    <row r="1436" spans="1:18" hidden="1" x14ac:dyDescent="0.3">
      <c r="A1436" s="9" t="s">
        <v>5141</v>
      </c>
      <c r="B1436" s="9" t="s">
        <v>5142</v>
      </c>
      <c r="C1436" s="11" t="s">
        <v>28</v>
      </c>
      <c r="D1436" s="9" t="s">
        <v>5143</v>
      </c>
      <c r="E1436" s="11" t="s">
        <v>28</v>
      </c>
      <c r="F1436" s="10" t="s">
        <v>28</v>
      </c>
      <c r="G1436" s="10" t="s">
        <v>28</v>
      </c>
      <c r="H1436" s="10" t="s">
        <v>28</v>
      </c>
      <c r="I1436" s="11" t="s">
        <v>28</v>
      </c>
      <c r="J1436" s="11" t="s">
        <v>28</v>
      </c>
      <c r="K1436" s="11" t="s">
        <v>28</v>
      </c>
      <c r="L1436" s="11" t="s">
        <v>28</v>
      </c>
      <c r="M1436" s="11" t="s">
        <v>28</v>
      </c>
      <c r="N1436" s="8">
        <v>45167</v>
      </c>
      <c r="O1436" s="9" t="s">
        <v>52</v>
      </c>
      <c r="P1436" s="12" t="s">
        <v>5144</v>
      </c>
      <c r="Q1436" s="9" t="s">
        <v>583</v>
      </c>
      <c r="R1436" s="14" t="str">
        <f>HYPERLINK("https://my.pitchbook.com?c=260469-64T","View Company Online")</f>
        <v>View Company Online</v>
      </c>
    </row>
    <row r="1437" spans="1:18" hidden="1" x14ac:dyDescent="0.3">
      <c r="A1437" s="15" t="s">
        <v>5145</v>
      </c>
      <c r="B1437" s="15" t="s">
        <v>5146</v>
      </c>
      <c r="C1437" s="18" t="s">
        <v>28</v>
      </c>
      <c r="D1437" s="15" t="s">
        <v>5147</v>
      </c>
      <c r="E1437" s="18" t="s">
        <v>28</v>
      </c>
      <c r="F1437" s="19" t="s">
        <v>28</v>
      </c>
      <c r="G1437" s="19">
        <v>123.03</v>
      </c>
      <c r="H1437" s="19" t="s">
        <v>28</v>
      </c>
      <c r="I1437" s="18" t="s">
        <v>28</v>
      </c>
      <c r="J1437" s="18" t="s">
        <v>28</v>
      </c>
      <c r="K1437" s="18" t="s">
        <v>28</v>
      </c>
      <c r="L1437" s="18" t="s">
        <v>28</v>
      </c>
      <c r="M1437" s="18" t="s">
        <v>28</v>
      </c>
      <c r="N1437" s="17">
        <v>45167</v>
      </c>
      <c r="O1437" s="15" t="s">
        <v>173</v>
      </c>
      <c r="P1437" s="16" t="s">
        <v>28</v>
      </c>
      <c r="Q1437" s="15" t="s">
        <v>399</v>
      </c>
      <c r="R1437" s="13" t="str">
        <f>HYPERLINK("https://my.pitchbook.com?c=234917-74T","View Company Online")</f>
        <v>View Company Online</v>
      </c>
    </row>
    <row r="1438" spans="1:18" hidden="1" x14ac:dyDescent="0.3">
      <c r="A1438" s="9" t="s">
        <v>5148</v>
      </c>
      <c r="B1438" s="9" t="s">
        <v>1148</v>
      </c>
      <c r="C1438" s="11" t="s">
        <v>28</v>
      </c>
      <c r="D1438" s="9" t="s">
        <v>5149</v>
      </c>
      <c r="E1438" s="11">
        <v>-12.62</v>
      </c>
      <c r="F1438" s="10" t="s">
        <v>28</v>
      </c>
      <c r="G1438" s="10">
        <v>43.9</v>
      </c>
      <c r="H1438" s="10" t="s">
        <v>28</v>
      </c>
      <c r="I1438" s="11">
        <v>-5.09</v>
      </c>
      <c r="J1438" s="11" t="s">
        <v>28</v>
      </c>
      <c r="K1438" s="11">
        <v>103.4</v>
      </c>
      <c r="L1438" s="11" t="s">
        <v>28</v>
      </c>
      <c r="M1438" s="11">
        <v>-8.9600000000000009</v>
      </c>
      <c r="N1438" s="8">
        <v>45166</v>
      </c>
      <c r="O1438" s="9" t="s">
        <v>159</v>
      </c>
      <c r="P1438" s="12" t="s">
        <v>28</v>
      </c>
      <c r="Q1438" s="9" t="s">
        <v>299</v>
      </c>
      <c r="R1438" s="14" t="str">
        <f>HYPERLINK("https://my.pitchbook.com?c=234815-05T","View Company Online")</f>
        <v>View Company Online</v>
      </c>
    </row>
    <row r="1439" spans="1:18" hidden="1" x14ac:dyDescent="0.3">
      <c r="A1439" s="15" t="s">
        <v>5150</v>
      </c>
      <c r="B1439" s="15" t="s">
        <v>5151</v>
      </c>
      <c r="C1439" s="18" t="s">
        <v>28</v>
      </c>
      <c r="D1439" s="15" t="s">
        <v>5152</v>
      </c>
      <c r="E1439" s="18" t="s">
        <v>28</v>
      </c>
      <c r="F1439" s="19" t="s">
        <v>28</v>
      </c>
      <c r="G1439" s="19">
        <v>4.08</v>
      </c>
      <c r="H1439" s="19" t="s">
        <v>28</v>
      </c>
      <c r="I1439" s="18" t="s">
        <v>28</v>
      </c>
      <c r="J1439" s="18" t="s">
        <v>28</v>
      </c>
      <c r="K1439" s="18" t="s">
        <v>28</v>
      </c>
      <c r="L1439" s="18" t="s">
        <v>28</v>
      </c>
      <c r="M1439" s="18" t="s">
        <v>28</v>
      </c>
      <c r="N1439" s="17">
        <v>45166</v>
      </c>
      <c r="O1439" s="15" t="s">
        <v>79</v>
      </c>
      <c r="P1439" s="16" t="s">
        <v>5153</v>
      </c>
      <c r="Q1439" s="15" t="s">
        <v>136</v>
      </c>
      <c r="R1439" s="13" t="str">
        <f>HYPERLINK("https://my.pitchbook.com?c=234773-11T","View Company Online")</f>
        <v>View Company Online</v>
      </c>
    </row>
    <row r="1440" spans="1:18" hidden="1" x14ac:dyDescent="0.3">
      <c r="A1440" s="9" t="s">
        <v>5154</v>
      </c>
      <c r="B1440" s="9" t="s">
        <v>1463</v>
      </c>
      <c r="C1440" s="11" t="s">
        <v>28</v>
      </c>
      <c r="D1440" s="9" t="s">
        <v>1464</v>
      </c>
      <c r="E1440" s="11" t="s">
        <v>28</v>
      </c>
      <c r="F1440" s="10" t="s">
        <v>28</v>
      </c>
      <c r="G1440" s="10" t="s">
        <v>28</v>
      </c>
      <c r="H1440" s="10" t="s">
        <v>28</v>
      </c>
      <c r="I1440" s="11" t="s">
        <v>28</v>
      </c>
      <c r="J1440" s="11" t="s">
        <v>28</v>
      </c>
      <c r="K1440" s="11" t="s">
        <v>28</v>
      </c>
      <c r="L1440" s="11" t="s">
        <v>28</v>
      </c>
      <c r="M1440" s="11" t="s">
        <v>28</v>
      </c>
      <c r="N1440" s="8">
        <v>45166</v>
      </c>
      <c r="O1440" s="9" t="s">
        <v>52</v>
      </c>
      <c r="P1440" s="12" t="s">
        <v>1880</v>
      </c>
      <c r="Q1440" s="9" t="s">
        <v>75</v>
      </c>
      <c r="R1440" s="14" t="str">
        <f>HYPERLINK("https://my.pitchbook.com?c=251991-10T","View Company Online")</f>
        <v>View Company Online</v>
      </c>
    </row>
    <row r="1441" spans="1:18" hidden="1" x14ac:dyDescent="0.3">
      <c r="A1441" s="15" t="s">
        <v>5155</v>
      </c>
      <c r="B1441" s="15" t="s">
        <v>5156</v>
      </c>
      <c r="C1441" s="18" t="s">
        <v>28</v>
      </c>
      <c r="D1441" s="15" t="s">
        <v>5157</v>
      </c>
      <c r="E1441" s="18" t="s">
        <v>28</v>
      </c>
      <c r="F1441" s="19" t="s">
        <v>28</v>
      </c>
      <c r="G1441" s="19">
        <v>0.9</v>
      </c>
      <c r="H1441" s="19" t="s">
        <v>28</v>
      </c>
      <c r="I1441" s="18" t="s">
        <v>28</v>
      </c>
      <c r="J1441" s="18" t="s">
        <v>28</v>
      </c>
      <c r="K1441" s="18" t="s">
        <v>28</v>
      </c>
      <c r="L1441" s="18" t="s">
        <v>28</v>
      </c>
      <c r="M1441" s="18" t="s">
        <v>28</v>
      </c>
      <c r="N1441" s="17">
        <v>45166</v>
      </c>
      <c r="O1441" s="15" t="s">
        <v>73</v>
      </c>
      <c r="P1441" s="16" t="s">
        <v>876</v>
      </c>
      <c r="Q1441" s="15" t="s">
        <v>75</v>
      </c>
      <c r="R1441" s="13" t="str">
        <f>HYPERLINK("https://my.pitchbook.com?c=287916-67T","View Company Online")</f>
        <v>View Company Online</v>
      </c>
    </row>
    <row r="1442" spans="1:18" hidden="1" x14ac:dyDescent="0.3">
      <c r="A1442" s="9" t="s">
        <v>5158</v>
      </c>
      <c r="B1442" s="9" t="s">
        <v>2336</v>
      </c>
      <c r="C1442" s="11" t="s">
        <v>28</v>
      </c>
      <c r="D1442" s="9" t="s">
        <v>2337</v>
      </c>
      <c r="E1442" s="11" t="s">
        <v>28</v>
      </c>
      <c r="F1442" s="10" t="s">
        <v>28</v>
      </c>
      <c r="G1442" s="10">
        <v>0.3</v>
      </c>
      <c r="H1442" s="10" t="s">
        <v>28</v>
      </c>
      <c r="I1442" s="11" t="s">
        <v>28</v>
      </c>
      <c r="J1442" s="11" t="s">
        <v>28</v>
      </c>
      <c r="K1442" s="11" t="s">
        <v>28</v>
      </c>
      <c r="L1442" s="11" t="s">
        <v>28</v>
      </c>
      <c r="M1442" s="11" t="s">
        <v>28</v>
      </c>
      <c r="N1442" s="8">
        <v>45163</v>
      </c>
      <c r="O1442" s="9" t="s">
        <v>79</v>
      </c>
      <c r="P1442" s="12" t="s">
        <v>5159</v>
      </c>
      <c r="Q1442" s="9" t="s">
        <v>75</v>
      </c>
      <c r="R1442" s="14" t="str">
        <f>HYPERLINK("https://my.pitchbook.com?c=234847-63T","View Company Online")</f>
        <v>View Company Online</v>
      </c>
    </row>
    <row r="1443" spans="1:18" hidden="1" x14ac:dyDescent="0.3">
      <c r="A1443" s="15" t="s">
        <v>5160</v>
      </c>
      <c r="B1443" s="15" t="s">
        <v>5161</v>
      </c>
      <c r="C1443" s="18" t="s">
        <v>28</v>
      </c>
      <c r="D1443" s="15" t="s">
        <v>5162</v>
      </c>
      <c r="E1443" s="18" t="s">
        <v>28</v>
      </c>
      <c r="F1443" s="19" t="s">
        <v>28</v>
      </c>
      <c r="G1443" s="19">
        <v>3</v>
      </c>
      <c r="H1443" s="19" t="s">
        <v>28</v>
      </c>
      <c r="I1443" s="18" t="s">
        <v>28</v>
      </c>
      <c r="J1443" s="18" t="s">
        <v>28</v>
      </c>
      <c r="K1443" s="18" t="s">
        <v>28</v>
      </c>
      <c r="L1443" s="18" t="s">
        <v>28</v>
      </c>
      <c r="M1443" s="18" t="s">
        <v>28</v>
      </c>
      <c r="N1443" s="17">
        <v>45162</v>
      </c>
      <c r="O1443" s="15" t="s">
        <v>99</v>
      </c>
      <c r="P1443" s="16" t="s">
        <v>5163</v>
      </c>
      <c r="Q1443" s="15" t="s">
        <v>37</v>
      </c>
      <c r="R1443" s="13" t="str">
        <f>HYPERLINK("https://my.pitchbook.com?c=234421-93T","View Company Online")</f>
        <v>View Company Online</v>
      </c>
    </row>
    <row r="1444" spans="1:18" hidden="1" x14ac:dyDescent="0.3">
      <c r="A1444" s="9" t="s">
        <v>5164</v>
      </c>
      <c r="B1444" s="9" t="s">
        <v>322</v>
      </c>
      <c r="C1444" s="11" t="s">
        <v>28</v>
      </c>
      <c r="D1444" s="9" t="s">
        <v>323</v>
      </c>
      <c r="E1444" s="11" t="s">
        <v>28</v>
      </c>
      <c r="F1444" s="10" t="s">
        <v>28</v>
      </c>
      <c r="G1444" s="10" t="s">
        <v>28</v>
      </c>
      <c r="H1444" s="10" t="s">
        <v>28</v>
      </c>
      <c r="I1444" s="11" t="s">
        <v>28</v>
      </c>
      <c r="J1444" s="11" t="s">
        <v>28</v>
      </c>
      <c r="K1444" s="11" t="s">
        <v>28</v>
      </c>
      <c r="L1444" s="11" t="s">
        <v>28</v>
      </c>
      <c r="M1444" s="11" t="s">
        <v>28</v>
      </c>
      <c r="N1444" s="8">
        <v>45162</v>
      </c>
      <c r="O1444" s="9" t="s">
        <v>52</v>
      </c>
      <c r="P1444" s="12" t="s">
        <v>5165</v>
      </c>
      <c r="Q1444" s="9" t="s">
        <v>75</v>
      </c>
      <c r="R1444" s="14" t="str">
        <f>HYPERLINK("https://my.pitchbook.com?c=287927-74T","View Company Online")</f>
        <v>View Company Online</v>
      </c>
    </row>
    <row r="1445" spans="1:18" hidden="1" x14ac:dyDescent="0.3">
      <c r="A1445" s="15" t="s">
        <v>5166</v>
      </c>
      <c r="B1445" s="15" t="s">
        <v>5167</v>
      </c>
      <c r="C1445" s="18" t="s">
        <v>28</v>
      </c>
      <c r="D1445" s="15" t="s">
        <v>5168</v>
      </c>
      <c r="E1445" s="18" t="s">
        <v>28</v>
      </c>
      <c r="F1445" s="19" t="s">
        <v>28</v>
      </c>
      <c r="G1445" s="19">
        <v>0.33</v>
      </c>
      <c r="H1445" s="19" t="s">
        <v>28</v>
      </c>
      <c r="I1445" s="18" t="s">
        <v>28</v>
      </c>
      <c r="J1445" s="18" t="s">
        <v>28</v>
      </c>
      <c r="K1445" s="18" t="s">
        <v>28</v>
      </c>
      <c r="L1445" s="18" t="s">
        <v>28</v>
      </c>
      <c r="M1445" s="18" t="s">
        <v>28</v>
      </c>
      <c r="N1445" s="17">
        <v>45162</v>
      </c>
      <c r="O1445" s="15" t="s">
        <v>79</v>
      </c>
      <c r="P1445" s="16" t="s">
        <v>5169</v>
      </c>
      <c r="Q1445" s="15" t="s">
        <v>4710</v>
      </c>
      <c r="R1445" s="13" t="str">
        <f>HYPERLINK("https://my.pitchbook.com?c=215329-78T","View Company Online")</f>
        <v>View Company Online</v>
      </c>
    </row>
    <row r="1446" spans="1:18" hidden="1" x14ac:dyDescent="0.3">
      <c r="A1446" s="9" t="s">
        <v>5170</v>
      </c>
      <c r="B1446" s="9" t="s">
        <v>5171</v>
      </c>
      <c r="C1446" s="11" t="s">
        <v>28</v>
      </c>
      <c r="D1446" s="9" t="s">
        <v>5172</v>
      </c>
      <c r="E1446" s="11" t="s">
        <v>28</v>
      </c>
      <c r="F1446" s="10" t="s">
        <v>28</v>
      </c>
      <c r="G1446" s="10" t="s">
        <v>28</v>
      </c>
      <c r="H1446" s="10" t="s">
        <v>28</v>
      </c>
      <c r="I1446" s="11" t="s">
        <v>28</v>
      </c>
      <c r="J1446" s="11" t="s">
        <v>28</v>
      </c>
      <c r="K1446" s="11" t="s">
        <v>28</v>
      </c>
      <c r="L1446" s="11" t="s">
        <v>28</v>
      </c>
      <c r="M1446" s="11" t="s">
        <v>28</v>
      </c>
      <c r="N1446" s="8">
        <v>45162</v>
      </c>
      <c r="O1446" s="9" t="s">
        <v>30</v>
      </c>
      <c r="P1446" s="12" t="s">
        <v>5173</v>
      </c>
      <c r="Q1446" s="9" t="s">
        <v>37</v>
      </c>
      <c r="R1446" s="14" t="str">
        <f>HYPERLINK("https://my.pitchbook.com?c=234464-23T","View Company Online")</f>
        <v>View Company Online</v>
      </c>
    </row>
    <row r="1447" spans="1:18" hidden="1" x14ac:dyDescent="0.3">
      <c r="A1447" s="15" t="s">
        <v>5174</v>
      </c>
      <c r="B1447" s="15" t="s">
        <v>5175</v>
      </c>
      <c r="C1447" s="18" t="s">
        <v>28</v>
      </c>
      <c r="D1447" s="15" t="s">
        <v>5176</v>
      </c>
      <c r="E1447" s="18" t="s">
        <v>28</v>
      </c>
      <c r="F1447" s="19" t="s">
        <v>28</v>
      </c>
      <c r="G1447" s="19" t="s">
        <v>28</v>
      </c>
      <c r="H1447" s="19" t="s">
        <v>28</v>
      </c>
      <c r="I1447" s="18" t="s">
        <v>28</v>
      </c>
      <c r="J1447" s="18" t="s">
        <v>28</v>
      </c>
      <c r="K1447" s="18" t="s">
        <v>28</v>
      </c>
      <c r="L1447" s="18" t="s">
        <v>28</v>
      </c>
      <c r="M1447" s="18" t="s">
        <v>28</v>
      </c>
      <c r="N1447" s="17">
        <v>45162</v>
      </c>
      <c r="O1447" s="15" t="s">
        <v>379</v>
      </c>
      <c r="P1447" s="16" t="s">
        <v>28</v>
      </c>
      <c r="Q1447" s="15" t="s">
        <v>855</v>
      </c>
      <c r="R1447" s="13" t="str">
        <f>HYPERLINK("https://my.pitchbook.com?c=234470-62T","View Company Online")</f>
        <v>View Company Online</v>
      </c>
    </row>
    <row r="1448" spans="1:18" hidden="1" x14ac:dyDescent="0.3">
      <c r="A1448" s="9" t="s">
        <v>5177</v>
      </c>
      <c r="B1448" s="9" t="s">
        <v>5178</v>
      </c>
      <c r="C1448" s="11" t="s">
        <v>28</v>
      </c>
      <c r="D1448" s="9" t="s">
        <v>5179</v>
      </c>
      <c r="E1448" s="11" t="s">
        <v>28</v>
      </c>
      <c r="F1448" s="10" t="s">
        <v>28</v>
      </c>
      <c r="G1448" s="10" t="s">
        <v>28</v>
      </c>
      <c r="H1448" s="10" t="s">
        <v>28</v>
      </c>
      <c r="I1448" s="11" t="s">
        <v>28</v>
      </c>
      <c r="J1448" s="11" t="s">
        <v>28</v>
      </c>
      <c r="K1448" s="11" t="s">
        <v>28</v>
      </c>
      <c r="L1448" s="11" t="s">
        <v>28</v>
      </c>
      <c r="M1448" s="11" t="s">
        <v>28</v>
      </c>
      <c r="N1448" s="8">
        <v>45162</v>
      </c>
      <c r="O1448" s="9" t="s">
        <v>173</v>
      </c>
      <c r="P1448" s="12" t="s">
        <v>28</v>
      </c>
      <c r="Q1448" s="9" t="s">
        <v>174</v>
      </c>
      <c r="R1448" s="14" t="str">
        <f>HYPERLINK("https://my.pitchbook.com?c=234510-04T","View Company Online")</f>
        <v>View Company Online</v>
      </c>
    </row>
    <row r="1449" spans="1:18" hidden="1" x14ac:dyDescent="0.3">
      <c r="A1449" s="15" t="s">
        <v>5180</v>
      </c>
      <c r="B1449" s="15" t="s">
        <v>5181</v>
      </c>
      <c r="C1449" s="18" t="s">
        <v>28</v>
      </c>
      <c r="D1449" s="15" t="s">
        <v>5182</v>
      </c>
      <c r="E1449" s="18" t="s">
        <v>28</v>
      </c>
      <c r="F1449" s="19" t="s">
        <v>28</v>
      </c>
      <c r="G1449" s="19">
        <v>2.46</v>
      </c>
      <c r="H1449" s="19" t="s">
        <v>28</v>
      </c>
      <c r="I1449" s="18" t="s">
        <v>28</v>
      </c>
      <c r="J1449" s="18" t="s">
        <v>28</v>
      </c>
      <c r="K1449" s="18" t="s">
        <v>28</v>
      </c>
      <c r="L1449" s="18" t="s">
        <v>28</v>
      </c>
      <c r="M1449" s="18" t="s">
        <v>28</v>
      </c>
      <c r="N1449" s="17">
        <v>45162</v>
      </c>
      <c r="O1449" s="15" t="s">
        <v>99</v>
      </c>
      <c r="P1449" s="16" t="s">
        <v>5183</v>
      </c>
      <c r="Q1449" s="15" t="s">
        <v>740</v>
      </c>
      <c r="R1449" s="13" t="str">
        <f>HYPERLINK("https://my.pitchbook.com?c=220454-38T","View Company Online")</f>
        <v>View Company Online</v>
      </c>
    </row>
    <row r="1450" spans="1:18" hidden="1" x14ac:dyDescent="0.3">
      <c r="A1450" s="9" t="s">
        <v>5184</v>
      </c>
      <c r="B1450" s="9" t="s">
        <v>5185</v>
      </c>
      <c r="C1450" s="11" t="s">
        <v>28</v>
      </c>
      <c r="D1450" s="9" t="s">
        <v>5186</v>
      </c>
      <c r="E1450" s="11" t="s">
        <v>28</v>
      </c>
      <c r="F1450" s="10" t="s">
        <v>28</v>
      </c>
      <c r="G1450" s="10" t="s">
        <v>28</v>
      </c>
      <c r="H1450" s="10" t="s">
        <v>28</v>
      </c>
      <c r="I1450" s="11" t="s">
        <v>28</v>
      </c>
      <c r="J1450" s="11" t="s">
        <v>28</v>
      </c>
      <c r="K1450" s="11" t="s">
        <v>28</v>
      </c>
      <c r="L1450" s="11" t="s">
        <v>28</v>
      </c>
      <c r="M1450" s="11" t="s">
        <v>28</v>
      </c>
      <c r="N1450" s="8">
        <v>45161</v>
      </c>
      <c r="O1450" s="9" t="s">
        <v>79</v>
      </c>
      <c r="P1450" s="12" t="s">
        <v>5187</v>
      </c>
      <c r="Q1450" s="9" t="s">
        <v>263</v>
      </c>
      <c r="R1450" s="14" t="str">
        <f>HYPERLINK("https://my.pitchbook.com?c=245979-28T","View Company Online")</f>
        <v>View Company Online</v>
      </c>
    </row>
    <row r="1451" spans="1:18" hidden="1" x14ac:dyDescent="0.3">
      <c r="A1451" s="15" t="s">
        <v>5188</v>
      </c>
      <c r="B1451" s="15" t="s">
        <v>5189</v>
      </c>
      <c r="C1451" s="18" t="s">
        <v>28</v>
      </c>
      <c r="D1451" s="15" t="s">
        <v>5190</v>
      </c>
      <c r="E1451" s="18" t="s">
        <v>28</v>
      </c>
      <c r="F1451" s="19">
        <v>9.23</v>
      </c>
      <c r="G1451" s="19">
        <v>9.23</v>
      </c>
      <c r="H1451" s="19">
        <v>9.23</v>
      </c>
      <c r="I1451" s="18" t="s">
        <v>28</v>
      </c>
      <c r="J1451" s="18" t="s">
        <v>28</v>
      </c>
      <c r="K1451" s="18" t="s">
        <v>28</v>
      </c>
      <c r="L1451" s="18" t="s">
        <v>28</v>
      </c>
      <c r="M1451" s="18" t="s">
        <v>28</v>
      </c>
      <c r="N1451" s="17">
        <v>45161</v>
      </c>
      <c r="O1451" s="15" t="s">
        <v>30</v>
      </c>
      <c r="P1451" s="16" t="s">
        <v>5191</v>
      </c>
      <c r="Q1451" s="15" t="s">
        <v>169</v>
      </c>
      <c r="R1451" s="13" t="str">
        <f>HYPERLINK("https://my.pitchbook.com?c=234568-36T","View Company Online")</f>
        <v>View Company Online</v>
      </c>
    </row>
    <row r="1452" spans="1:18" hidden="1" x14ac:dyDescent="0.3">
      <c r="A1452" s="9" t="s">
        <v>5192</v>
      </c>
      <c r="B1452" s="9" t="s">
        <v>5193</v>
      </c>
      <c r="C1452" s="11" t="s">
        <v>28</v>
      </c>
      <c r="D1452" s="9" t="s">
        <v>5194</v>
      </c>
      <c r="E1452" s="11" t="s">
        <v>28</v>
      </c>
      <c r="F1452" s="10">
        <v>42.26</v>
      </c>
      <c r="G1452" s="10">
        <v>42.26</v>
      </c>
      <c r="H1452" s="10">
        <v>42.26</v>
      </c>
      <c r="I1452" s="11" t="s">
        <v>28</v>
      </c>
      <c r="J1452" s="11" t="s">
        <v>28</v>
      </c>
      <c r="K1452" s="11" t="s">
        <v>28</v>
      </c>
      <c r="L1452" s="11" t="s">
        <v>28</v>
      </c>
      <c r="M1452" s="11" t="s">
        <v>28</v>
      </c>
      <c r="N1452" s="8">
        <v>45161</v>
      </c>
      <c r="O1452" s="9" t="s">
        <v>30</v>
      </c>
      <c r="P1452" s="12" t="s">
        <v>5195</v>
      </c>
      <c r="Q1452" s="9" t="s">
        <v>290</v>
      </c>
      <c r="R1452" s="14" t="str">
        <f>HYPERLINK("https://my.pitchbook.com?c=234970-93T","View Company Online")</f>
        <v>View Company Online</v>
      </c>
    </row>
    <row r="1453" spans="1:18" hidden="1" x14ac:dyDescent="0.3">
      <c r="A1453" s="15" t="s">
        <v>5196</v>
      </c>
      <c r="B1453" s="15" t="s">
        <v>2201</v>
      </c>
      <c r="C1453" s="18" t="s">
        <v>28</v>
      </c>
      <c r="D1453" s="15" t="s">
        <v>2202</v>
      </c>
      <c r="E1453" s="18" t="s">
        <v>28</v>
      </c>
      <c r="F1453" s="19" t="s">
        <v>28</v>
      </c>
      <c r="G1453" s="19">
        <v>7.8</v>
      </c>
      <c r="H1453" s="19" t="s">
        <v>28</v>
      </c>
      <c r="I1453" s="18" t="s">
        <v>28</v>
      </c>
      <c r="J1453" s="18" t="s">
        <v>28</v>
      </c>
      <c r="K1453" s="18" t="s">
        <v>28</v>
      </c>
      <c r="L1453" s="18" t="s">
        <v>28</v>
      </c>
      <c r="M1453" s="18" t="s">
        <v>28</v>
      </c>
      <c r="N1453" s="17">
        <v>45160</v>
      </c>
      <c r="O1453" s="15" t="s">
        <v>79</v>
      </c>
      <c r="P1453" s="16" t="s">
        <v>5197</v>
      </c>
      <c r="Q1453" s="15" t="s">
        <v>75</v>
      </c>
      <c r="R1453" s="13" t="str">
        <f>HYPERLINK("https://my.pitchbook.com?c=215508-79T","View Company Online")</f>
        <v>View Company Online</v>
      </c>
    </row>
    <row r="1454" spans="1:18" hidden="1" x14ac:dyDescent="0.3">
      <c r="A1454" s="9" t="s">
        <v>5198</v>
      </c>
      <c r="B1454" s="9" t="s">
        <v>5199</v>
      </c>
      <c r="C1454" s="11" t="s">
        <v>28</v>
      </c>
      <c r="D1454" s="9" t="s">
        <v>5200</v>
      </c>
      <c r="E1454" s="11" t="s">
        <v>28</v>
      </c>
      <c r="F1454" s="10" t="s">
        <v>28</v>
      </c>
      <c r="G1454" s="10" t="s">
        <v>28</v>
      </c>
      <c r="H1454" s="10" t="s">
        <v>28</v>
      </c>
      <c r="I1454" s="11" t="s">
        <v>28</v>
      </c>
      <c r="J1454" s="11" t="s">
        <v>28</v>
      </c>
      <c r="K1454" s="11" t="s">
        <v>28</v>
      </c>
      <c r="L1454" s="11" t="s">
        <v>28</v>
      </c>
      <c r="M1454" s="11" t="s">
        <v>28</v>
      </c>
      <c r="N1454" s="8">
        <v>45160</v>
      </c>
      <c r="O1454" s="9" t="s">
        <v>41</v>
      </c>
      <c r="P1454" s="12" t="s">
        <v>5201</v>
      </c>
      <c r="Q1454" s="9" t="s">
        <v>1336</v>
      </c>
      <c r="R1454" s="14" t="str">
        <f>HYPERLINK("https://my.pitchbook.com?c=234405-82T","View Company Online")</f>
        <v>View Company Online</v>
      </c>
    </row>
    <row r="1455" spans="1:18" hidden="1" x14ac:dyDescent="0.3">
      <c r="A1455" s="15" t="s">
        <v>5202</v>
      </c>
      <c r="B1455" s="15" t="s">
        <v>5203</v>
      </c>
      <c r="C1455" s="18" t="s">
        <v>28</v>
      </c>
      <c r="D1455" s="15" t="s">
        <v>5204</v>
      </c>
      <c r="E1455" s="18" t="s">
        <v>28</v>
      </c>
      <c r="F1455" s="19" t="s">
        <v>28</v>
      </c>
      <c r="G1455" s="19" t="s">
        <v>28</v>
      </c>
      <c r="H1455" s="19" t="s">
        <v>28</v>
      </c>
      <c r="I1455" s="18" t="s">
        <v>28</v>
      </c>
      <c r="J1455" s="18" t="s">
        <v>28</v>
      </c>
      <c r="K1455" s="18" t="s">
        <v>28</v>
      </c>
      <c r="L1455" s="18" t="s">
        <v>28</v>
      </c>
      <c r="M1455" s="18" t="s">
        <v>28</v>
      </c>
      <c r="N1455" s="17">
        <v>45160</v>
      </c>
      <c r="O1455" s="15" t="s">
        <v>52</v>
      </c>
      <c r="P1455" s="16" t="s">
        <v>5205</v>
      </c>
      <c r="Q1455" s="15" t="s">
        <v>95</v>
      </c>
      <c r="R1455" s="13" t="str">
        <f>HYPERLINK("https://my.pitchbook.com?c=295817-77T","View Company Online")</f>
        <v>View Company Online</v>
      </c>
    </row>
    <row r="1456" spans="1:18" hidden="1" x14ac:dyDescent="0.3">
      <c r="A1456" s="9" t="s">
        <v>5206</v>
      </c>
      <c r="B1456" s="9" t="s">
        <v>5207</v>
      </c>
      <c r="C1456" s="11" t="s">
        <v>28</v>
      </c>
      <c r="D1456" s="9" t="s">
        <v>5208</v>
      </c>
      <c r="E1456" s="11" t="s">
        <v>28</v>
      </c>
      <c r="F1456" s="10" t="s">
        <v>28</v>
      </c>
      <c r="G1456" s="10">
        <v>0.51</v>
      </c>
      <c r="H1456" s="10" t="s">
        <v>28</v>
      </c>
      <c r="I1456" s="11" t="s">
        <v>28</v>
      </c>
      <c r="J1456" s="11" t="s">
        <v>28</v>
      </c>
      <c r="K1456" s="11" t="s">
        <v>28</v>
      </c>
      <c r="L1456" s="11" t="s">
        <v>28</v>
      </c>
      <c r="M1456" s="11" t="s">
        <v>28</v>
      </c>
      <c r="N1456" s="8">
        <v>45160</v>
      </c>
      <c r="O1456" s="9" t="s">
        <v>99</v>
      </c>
      <c r="P1456" s="12" t="s">
        <v>5209</v>
      </c>
      <c r="Q1456" s="9" t="s">
        <v>3973</v>
      </c>
      <c r="R1456" s="14" t="str">
        <f>HYPERLINK("https://my.pitchbook.com?c=234259-48T","View Company Online")</f>
        <v>View Company Online</v>
      </c>
    </row>
    <row r="1457" spans="1:18" hidden="1" x14ac:dyDescent="0.3">
      <c r="A1457" s="15" t="s">
        <v>5210</v>
      </c>
      <c r="B1457" s="15" t="s">
        <v>5211</v>
      </c>
      <c r="C1457" s="18" t="s">
        <v>28</v>
      </c>
      <c r="D1457" s="15" t="s">
        <v>5212</v>
      </c>
      <c r="E1457" s="18" t="s">
        <v>28</v>
      </c>
      <c r="F1457" s="19" t="s">
        <v>28</v>
      </c>
      <c r="G1457" s="19" t="s">
        <v>28</v>
      </c>
      <c r="H1457" s="19" t="s">
        <v>28</v>
      </c>
      <c r="I1457" s="18" t="s">
        <v>28</v>
      </c>
      <c r="J1457" s="18" t="s">
        <v>28</v>
      </c>
      <c r="K1457" s="18">
        <v>16.2</v>
      </c>
      <c r="L1457" s="18" t="s">
        <v>28</v>
      </c>
      <c r="M1457" s="18" t="s">
        <v>28</v>
      </c>
      <c r="N1457" s="17">
        <v>45160</v>
      </c>
      <c r="O1457" s="15" t="s">
        <v>30</v>
      </c>
      <c r="P1457" s="16" t="s">
        <v>2694</v>
      </c>
      <c r="Q1457" s="15" t="s">
        <v>75</v>
      </c>
      <c r="R1457" s="13" t="str">
        <f>HYPERLINK("https://my.pitchbook.com?c=234278-92T","View Company Online")</f>
        <v>View Company Online</v>
      </c>
    </row>
    <row r="1458" spans="1:18" hidden="1" x14ac:dyDescent="0.3">
      <c r="A1458" s="9" t="s">
        <v>5213</v>
      </c>
      <c r="B1458" s="9" t="s">
        <v>5214</v>
      </c>
      <c r="C1458" s="11" t="s">
        <v>28</v>
      </c>
      <c r="D1458" s="9" t="s">
        <v>5215</v>
      </c>
      <c r="E1458" s="11" t="s">
        <v>28</v>
      </c>
      <c r="F1458" s="10" t="s">
        <v>28</v>
      </c>
      <c r="G1458" s="10">
        <v>207.6</v>
      </c>
      <c r="H1458" s="10" t="s">
        <v>28</v>
      </c>
      <c r="I1458" s="11" t="s">
        <v>28</v>
      </c>
      <c r="J1458" s="11" t="s">
        <v>28</v>
      </c>
      <c r="K1458" s="11">
        <v>5.89</v>
      </c>
      <c r="L1458" s="11" t="s">
        <v>28</v>
      </c>
      <c r="M1458" s="11">
        <v>5.27</v>
      </c>
      <c r="N1458" s="8">
        <v>45160</v>
      </c>
      <c r="O1458" s="9" t="s">
        <v>173</v>
      </c>
      <c r="P1458" s="12" t="s">
        <v>28</v>
      </c>
      <c r="Q1458" s="9" t="s">
        <v>240</v>
      </c>
      <c r="R1458" s="14" t="str">
        <f>HYPERLINK("https://my.pitchbook.com?c=234347-86T","View Company Online")</f>
        <v>View Company Online</v>
      </c>
    </row>
    <row r="1459" spans="1:18" hidden="1" x14ac:dyDescent="0.3">
      <c r="A1459" s="15" t="s">
        <v>5216</v>
      </c>
      <c r="B1459" s="15" t="s">
        <v>750</v>
      </c>
      <c r="C1459" s="18" t="s">
        <v>28</v>
      </c>
      <c r="D1459" s="15" t="s">
        <v>751</v>
      </c>
      <c r="E1459" s="18" t="s">
        <v>28</v>
      </c>
      <c r="F1459" s="19" t="s">
        <v>28</v>
      </c>
      <c r="G1459" s="19">
        <v>0.31</v>
      </c>
      <c r="H1459" s="19" t="s">
        <v>28</v>
      </c>
      <c r="I1459" s="18" t="s">
        <v>28</v>
      </c>
      <c r="J1459" s="18" t="s">
        <v>28</v>
      </c>
      <c r="K1459" s="18" t="s">
        <v>28</v>
      </c>
      <c r="L1459" s="18" t="s">
        <v>28</v>
      </c>
      <c r="M1459" s="18" t="s">
        <v>28</v>
      </c>
      <c r="N1459" s="17">
        <v>45159</v>
      </c>
      <c r="O1459" s="15" t="s">
        <v>58</v>
      </c>
      <c r="P1459" s="16" t="s">
        <v>752</v>
      </c>
      <c r="Q1459" s="15" t="s">
        <v>753</v>
      </c>
      <c r="R1459" s="13" t="str">
        <f>HYPERLINK("https://my.pitchbook.com?c=234358-03T","View Company Online")</f>
        <v>View Company Online</v>
      </c>
    </row>
    <row r="1460" spans="1:18" hidden="1" x14ac:dyDescent="0.3">
      <c r="A1460" s="9" t="s">
        <v>5217</v>
      </c>
      <c r="B1460" s="9" t="s">
        <v>5218</v>
      </c>
      <c r="C1460" s="11" t="s">
        <v>28</v>
      </c>
      <c r="D1460" s="9" t="s">
        <v>5219</v>
      </c>
      <c r="E1460" s="11" t="s">
        <v>28</v>
      </c>
      <c r="F1460" s="10" t="s">
        <v>28</v>
      </c>
      <c r="G1460" s="10" t="s">
        <v>28</v>
      </c>
      <c r="H1460" s="10" t="s">
        <v>28</v>
      </c>
      <c r="I1460" s="11" t="s">
        <v>28</v>
      </c>
      <c r="J1460" s="11" t="s">
        <v>28</v>
      </c>
      <c r="K1460" s="11">
        <v>20.010000000000002</v>
      </c>
      <c r="L1460" s="11" t="s">
        <v>28</v>
      </c>
      <c r="M1460" s="11" t="s">
        <v>28</v>
      </c>
      <c r="N1460" s="8">
        <v>45156</v>
      </c>
      <c r="O1460" s="9" t="s">
        <v>52</v>
      </c>
      <c r="P1460" s="12" t="s">
        <v>3375</v>
      </c>
      <c r="Q1460" s="9" t="s">
        <v>75</v>
      </c>
      <c r="R1460" s="14" t="str">
        <f>HYPERLINK("https://my.pitchbook.com?c=255246-13T","View Company Online")</f>
        <v>View Company Online</v>
      </c>
    </row>
    <row r="1461" spans="1:18" hidden="1" x14ac:dyDescent="0.3">
      <c r="A1461" s="15" t="s">
        <v>5220</v>
      </c>
      <c r="B1461" s="15" t="s">
        <v>5221</v>
      </c>
      <c r="C1461" s="18" t="s">
        <v>28</v>
      </c>
      <c r="D1461" s="15" t="s">
        <v>5222</v>
      </c>
      <c r="E1461" s="18" t="s">
        <v>28</v>
      </c>
      <c r="F1461" s="19" t="s">
        <v>28</v>
      </c>
      <c r="G1461" s="19" t="s">
        <v>28</v>
      </c>
      <c r="H1461" s="19" t="s">
        <v>28</v>
      </c>
      <c r="I1461" s="18" t="s">
        <v>28</v>
      </c>
      <c r="J1461" s="18" t="s">
        <v>28</v>
      </c>
      <c r="K1461" s="18" t="s">
        <v>28</v>
      </c>
      <c r="L1461" s="18" t="s">
        <v>28</v>
      </c>
      <c r="M1461" s="18" t="s">
        <v>28</v>
      </c>
      <c r="N1461" s="17">
        <v>45156</v>
      </c>
      <c r="O1461" s="15" t="s">
        <v>79</v>
      </c>
      <c r="P1461" s="16" t="s">
        <v>104</v>
      </c>
      <c r="Q1461" s="15" t="s">
        <v>43</v>
      </c>
      <c r="R1461" s="13" t="str">
        <f>HYPERLINK("https://my.pitchbook.com?c=242565-04T","View Company Online")</f>
        <v>View Company Online</v>
      </c>
    </row>
    <row r="1462" spans="1:18" hidden="1" x14ac:dyDescent="0.3">
      <c r="A1462" s="9" t="s">
        <v>5223</v>
      </c>
      <c r="B1462" s="9" t="s">
        <v>5224</v>
      </c>
      <c r="C1462" s="11" t="s">
        <v>28</v>
      </c>
      <c r="D1462" s="9" t="s">
        <v>5225</v>
      </c>
      <c r="E1462" s="11" t="s">
        <v>28</v>
      </c>
      <c r="F1462" s="10" t="s">
        <v>28</v>
      </c>
      <c r="G1462" s="10" t="s">
        <v>28</v>
      </c>
      <c r="H1462" s="10" t="s">
        <v>28</v>
      </c>
      <c r="I1462" s="11" t="s">
        <v>28</v>
      </c>
      <c r="J1462" s="11" t="s">
        <v>28</v>
      </c>
      <c r="K1462" s="11">
        <v>7.65</v>
      </c>
      <c r="L1462" s="11" t="s">
        <v>28</v>
      </c>
      <c r="M1462" s="11" t="s">
        <v>28</v>
      </c>
      <c r="N1462" s="8">
        <v>45156</v>
      </c>
      <c r="O1462" s="9" t="s">
        <v>30</v>
      </c>
      <c r="P1462" s="12" t="s">
        <v>5226</v>
      </c>
      <c r="Q1462" s="9" t="s">
        <v>245</v>
      </c>
      <c r="R1462" s="14" t="str">
        <f>HYPERLINK("https://my.pitchbook.com?c=234132-40T","View Company Online")</f>
        <v>View Company Online</v>
      </c>
    </row>
    <row r="1463" spans="1:18" hidden="1" x14ac:dyDescent="0.3">
      <c r="A1463" s="15" t="s">
        <v>5227</v>
      </c>
      <c r="B1463" s="15" t="s">
        <v>4316</v>
      </c>
      <c r="C1463" s="18" t="s">
        <v>28</v>
      </c>
      <c r="D1463" s="15" t="s">
        <v>4317</v>
      </c>
      <c r="E1463" s="18" t="s">
        <v>28</v>
      </c>
      <c r="F1463" s="19" t="s">
        <v>28</v>
      </c>
      <c r="G1463" s="19">
        <v>10</v>
      </c>
      <c r="H1463" s="19" t="s">
        <v>28</v>
      </c>
      <c r="I1463" s="18" t="s">
        <v>28</v>
      </c>
      <c r="J1463" s="18" t="s">
        <v>28</v>
      </c>
      <c r="K1463" s="18" t="s">
        <v>28</v>
      </c>
      <c r="L1463" s="18" t="s">
        <v>28</v>
      </c>
      <c r="M1463" s="18" t="s">
        <v>28</v>
      </c>
      <c r="N1463" s="17">
        <v>45155</v>
      </c>
      <c r="O1463" s="15" t="s">
        <v>73</v>
      </c>
      <c r="P1463" s="16" t="s">
        <v>5228</v>
      </c>
      <c r="Q1463" s="15" t="s">
        <v>37</v>
      </c>
      <c r="R1463" s="13" t="str">
        <f>HYPERLINK("https://my.pitchbook.com?c=234447-76T","View Company Online")</f>
        <v>View Company Online</v>
      </c>
    </row>
    <row r="1464" spans="1:18" hidden="1" x14ac:dyDescent="0.3">
      <c r="A1464" s="9" t="s">
        <v>5229</v>
      </c>
      <c r="B1464" s="9" t="s">
        <v>5230</v>
      </c>
      <c r="C1464" s="11" t="s">
        <v>28</v>
      </c>
      <c r="D1464" s="9" t="s">
        <v>5231</v>
      </c>
      <c r="E1464" s="11" t="s">
        <v>28</v>
      </c>
      <c r="F1464" s="10" t="s">
        <v>28</v>
      </c>
      <c r="G1464" s="10" t="s">
        <v>28</v>
      </c>
      <c r="H1464" s="10" t="s">
        <v>28</v>
      </c>
      <c r="I1464" s="11" t="s">
        <v>28</v>
      </c>
      <c r="J1464" s="11" t="s">
        <v>28</v>
      </c>
      <c r="K1464" s="11" t="s">
        <v>28</v>
      </c>
      <c r="L1464" s="11" t="s">
        <v>28</v>
      </c>
      <c r="M1464" s="11" t="s">
        <v>28</v>
      </c>
      <c r="N1464" s="8">
        <v>45153</v>
      </c>
      <c r="O1464" s="9" t="s">
        <v>41</v>
      </c>
      <c r="P1464" s="12" t="s">
        <v>2810</v>
      </c>
      <c r="Q1464" s="9" t="s">
        <v>75</v>
      </c>
      <c r="R1464" s="14" t="str">
        <f>HYPERLINK("https://my.pitchbook.com?c=233813-71T","View Company Online")</f>
        <v>View Company Online</v>
      </c>
    </row>
    <row r="1465" spans="1:18" hidden="1" x14ac:dyDescent="0.3">
      <c r="A1465" s="15" t="s">
        <v>5232</v>
      </c>
      <c r="B1465" s="15" t="s">
        <v>5233</v>
      </c>
      <c r="C1465" s="18" t="s">
        <v>28</v>
      </c>
      <c r="D1465" s="15" t="s">
        <v>5234</v>
      </c>
      <c r="E1465" s="18" t="s">
        <v>28</v>
      </c>
      <c r="F1465" s="19" t="s">
        <v>28</v>
      </c>
      <c r="G1465" s="19" t="s">
        <v>28</v>
      </c>
      <c r="H1465" s="19" t="s">
        <v>28</v>
      </c>
      <c r="I1465" s="18" t="s">
        <v>28</v>
      </c>
      <c r="J1465" s="18" t="s">
        <v>28</v>
      </c>
      <c r="K1465" s="18">
        <v>0.1</v>
      </c>
      <c r="L1465" s="18" t="s">
        <v>28</v>
      </c>
      <c r="M1465" s="18" t="s">
        <v>28</v>
      </c>
      <c r="N1465" s="17">
        <v>45153</v>
      </c>
      <c r="O1465" s="15" t="s">
        <v>73</v>
      </c>
      <c r="P1465" s="16" t="s">
        <v>2536</v>
      </c>
      <c r="Q1465" s="15" t="s">
        <v>285</v>
      </c>
      <c r="R1465" s="13" t="str">
        <f>HYPERLINK("https://my.pitchbook.com?c=242322-04T","View Company Online")</f>
        <v>View Company Online</v>
      </c>
    </row>
    <row r="1466" spans="1:18" hidden="1" x14ac:dyDescent="0.3">
      <c r="A1466" s="9" t="s">
        <v>5235</v>
      </c>
      <c r="B1466" s="9" t="s">
        <v>5236</v>
      </c>
      <c r="C1466" s="11" t="s">
        <v>28</v>
      </c>
      <c r="D1466" s="9" t="s">
        <v>5237</v>
      </c>
      <c r="E1466" s="11" t="s">
        <v>28</v>
      </c>
      <c r="F1466" s="10" t="s">
        <v>28</v>
      </c>
      <c r="G1466" s="10" t="s">
        <v>28</v>
      </c>
      <c r="H1466" s="10" t="s">
        <v>28</v>
      </c>
      <c r="I1466" s="11" t="s">
        <v>28</v>
      </c>
      <c r="J1466" s="11" t="s">
        <v>28</v>
      </c>
      <c r="K1466" s="11" t="s">
        <v>28</v>
      </c>
      <c r="L1466" s="11" t="s">
        <v>28</v>
      </c>
      <c r="M1466" s="11" t="s">
        <v>28</v>
      </c>
      <c r="N1466" s="8">
        <v>45152</v>
      </c>
      <c r="O1466" s="9" t="s">
        <v>30</v>
      </c>
      <c r="P1466" s="12" t="s">
        <v>5238</v>
      </c>
      <c r="Q1466" s="9" t="s">
        <v>692</v>
      </c>
      <c r="R1466" s="14" t="str">
        <f>HYPERLINK("https://my.pitchbook.com?c=233772-31T","View Company Online")</f>
        <v>View Company Online</v>
      </c>
    </row>
    <row r="1467" spans="1:18" hidden="1" x14ac:dyDescent="0.3">
      <c r="A1467" s="15" t="s">
        <v>5239</v>
      </c>
      <c r="B1467" s="15" t="s">
        <v>3854</v>
      </c>
      <c r="C1467" s="18" t="s">
        <v>28</v>
      </c>
      <c r="D1467" s="15" t="s">
        <v>3855</v>
      </c>
      <c r="E1467" s="18" t="s">
        <v>28</v>
      </c>
      <c r="F1467" s="19" t="s">
        <v>28</v>
      </c>
      <c r="G1467" s="19">
        <v>1.31</v>
      </c>
      <c r="H1467" s="19" t="s">
        <v>28</v>
      </c>
      <c r="I1467" s="18" t="s">
        <v>28</v>
      </c>
      <c r="J1467" s="18" t="s">
        <v>28</v>
      </c>
      <c r="K1467" s="18">
        <v>6</v>
      </c>
      <c r="L1467" s="18" t="s">
        <v>28</v>
      </c>
      <c r="M1467" s="18" t="s">
        <v>28</v>
      </c>
      <c r="N1467" s="17">
        <v>45152</v>
      </c>
      <c r="O1467" s="15" t="s">
        <v>99</v>
      </c>
      <c r="P1467" s="16" t="s">
        <v>5240</v>
      </c>
      <c r="Q1467" s="15" t="s">
        <v>263</v>
      </c>
      <c r="R1467" s="13" t="str">
        <f>HYPERLINK("https://my.pitchbook.com?c=233760-79T","View Company Online")</f>
        <v>View Company Online</v>
      </c>
    </row>
    <row r="1468" spans="1:18" hidden="1" x14ac:dyDescent="0.3">
      <c r="A1468" s="9" t="s">
        <v>5241</v>
      </c>
      <c r="B1468" s="9" t="s">
        <v>2252</v>
      </c>
      <c r="C1468" s="11" t="s">
        <v>28</v>
      </c>
      <c r="D1468" s="9" t="s">
        <v>2253</v>
      </c>
      <c r="E1468" s="11" t="s">
        <v>28</v>
      </c>
      <c r="F1468" s="10" t="s">
        <v>28</v>
      </c>
      <c r="G1468" s="10">
        <v>10.8</v>
      </c>
      <c r="H1468" s="10">
        <v>12</v>
      </c>
      <c r="I1468" s="11" t="s">
        <v>28</v>
      </c>
      <c r="J1468" s="11" t="s">
        <v>28</v>
      </c>
      <c r="K1468" s="11" t="s">
        <v>28</v>
      </c>
      <c r="L1468" s="11" t="s">
        <v>28</v>
      </c>
      <c r="M1468" s="11" t="s">
        <v>28</v>
      </c>
      <c r="N1468" s="8">
        <v>45152</v>
      </c>
      <c r="O1468" s="9" t="s">
        <v>99</v>
      </c>
      <c r="P1468" s="12" t="s">
        <v>5242</v>
      </c>
      <c r="Q1468" s="9" t="s">
        <v>2255</v>
      </c>
      <c r="R1468" s="14" t="str">
        <f>HYPERLINK("https://my.pitchbook.com?c=227656-45T","View Company Online")</f>
        <v>View Company Online</v>
      </c>
    </row>
    <row r="1469" spans="1:18" hidden="1" x14ac:dyDescent="0.3">
      <c r="A1469" s="15" t="s">
        <v>5243</v>
      </c>
      <c r="B1469" s="15" t="s">
        <v>5244</v>
      </c>
      <c r="C1469" s="18" t="s">
        <v>28</v>
      </c>
      <c r="D1469" s="15" t="s">
        <v>5245</v>
      </c>
      <c r="E1469" s="18" t="s">
        <v>28</v>
      </c>
      <c r="F1469" s="19" t="s">
        <v>28</v>
      </c>
      <c r="G1469" s="19" t="s">
        <v>28</v>
      </c>
      <c r="H1469" s="19" t="s">
        <v>28</v>
      </c>
      <c r="I1469" s="18" t="s">
        <v>28</v>
      </c>
      <c r="J1469" s="18" t="s">
        <v>28</v>
      </c>
      <c r="K1469" s="18">
        <v>0.57999999999999996</v>
      </c>
      <c r="L1469" s="18" t="s">
        <v>28</v>
      </c>
      <c r="M1469" s="18">
        <v>0.3</v>
      </c>
      <c r="N1469" s="17">
        <v>45150</v>
      </c>
      <c r="O1469" s="15" t="s">
        <v>173</v>
      </c>
      <c r="P1469" s="16" t="s">
        <v>28</v>
      </c>
      <c r="Q1469" s="15" t="s">
        <v>240</v>
      </c>
      <c r="R1469" s="13" t="str">
        <f>HYPERLINK("https://my.pitchbook.com?c=247821-40T","View Company Online")</f>
        <v>View Company Online</v>
      </c>
    </row>
    <row r="1470" spans="1:18" hidden="1" x14ac:dyDescent="0.3">
      <c r="A1470" s="9" t="s">
        <v>5246</v>
      </c>
      <c r="B1470" s="9" t="s">
        <v>5247</v>
      </c>
      <c r="C1470" s="11" t="s">
        <v>28</v>
      </c>
      <c r="D1470" s="9" t="s">
        <v>5248</v>
      </c>
      <c r="E1470" s="11" t="s">
        <v>28</v>
      </c>
      <c r="F1470" s="10" t="s">
        <v>28</v>
      </c>
      <c r="G1470" s="10">
        <v>1.04</v>
      </c>
      <c r="H1470" s="10">
        <v>5.2</v>
      </c>
      <c r="I1470" s="11" t="s">
        <v>28</v>
      </c>
      <c r="J1470" s="11" t="s">
        <v>28</v>
      </c>
      <c r="K1470" s="11">
        <v>0.68</v>
      </c>
      <c r="L1470" s="11">
        <v>7.6</v>
      </c>
      <c r="M1470" s="11" t="s">
        <v>28</v>
      </c>
      <c r="N1470" s="8">
        <v>45149</v>
      </c>
      <c r="O1470" s="9" t="s">
        <v>58</v>
      </c>
      <c r="P1470" s="12" t="s">
        <v>5249</v>
      </c>
      <c r="Q1470" s="9" t="s">
        <v>75</v>
      </c>
      <c r="R1470" s="14" t="str">
        <f>HYPERLINK("https://my.pitchbook.com?c=233623-18T","View Company Online")</f>
        <v>View Company Online</v>
      </c>
    </row>
    <row r="1471" spans="1:18" hidden="1" x14ac:dyDescent="0.3">
      <c r="A1471" s="15" t="s">
        <v>5250</v>
      </c>
      <c r="B1471" s="15" t="s">
        <v>5251</v>
      </c>
      <c r="C1471" s="18" t="s">
        <v>28</v>
      </c>
      <c r="D1471" s="15" t="s">
        <v>5252</v>
      </c>
      <c r="E1471" s="18">
        <v>51.95</v>
      </c>
      <c r="F1471" s="19" t="s">
        <v>28</v>
      </c>
      <c r="G1471" s="19">
        <v>51.97</v>
      </c>
      <c r="H1471" s="19" t="s">
        <v>28</v>
      </c>
      <c r="I1471" s="18">
        <v>55.04</v>
      </c>
      <c r="J1471" s="18" t="s">
        <v>28</v>
      </c>
      <c r="K1471" s="18">
        <v>331.47</v>
      </c>
      <c r="L1471" s="18" t="s">
        <v>28</v>
      </c>
      <c r="M1471" s="18">
        <v>39.11</v>
      </c>
      <c r="N1471" s="17">
        <v>45149</v>
      </c>
      <c r="O1471" s="15" t="s">
        <v>423</v>
      </c>
      <c r="P1471" s="16" t="s">
        <v>28</v>
      </c>
      <c r="Q1471" s="15" t="s">
        <v>299</v>
      </c>
      <c r="R1471" s="13" t="str">
        <f>HYPERLINK("https://my.pitchbook.com?c=248856-31T","View Company Online")</f>
        <v>View Company Online</v>
      </c>
    </row>
    <row r="1472" spans="1:18" hidden="1" x14ac:dyDescent="0.3">
      <c r="A1472" s="9" t="s">
        <v>5253</v>
      </c>
      <c r="B1472" s="9" t="s">
        <v>5254</v>
      </c>
      <c r="C1472" s="11" t="s">
        <v>28</v>
      </c>
      <c r="D1472" s="9" t="s">
        <v>5255</v>
      </c>
      <c r="E1472" s="11" t="s">
        <v>28</v>
      </c>
      <c r="F1472" s="10" t="s">
        <v>28</v>
      </c>
      <c r="G1472" s="10">
        <v>0.32</v>
      </c>
      <c r="H1472" s="10">
        <v>2.08</v>
      </c>
      <c r="I1472" s="11" t="s">
        <v>28</v>
      </c>
      <c r="J1472" s="11" t="s">
        <v>28</v>
      </c>
      <c r="K1472" s="11">
        <v>0.05</v>
      </c>
      <c r="L1472" s="11">
        <v>41.07</v>
      </c>
      <c r="M1472" s="11" t="s">
        <v>28</v>
      </c>
      <c r="N1472" s="8">
        <v>45149</v>
      </c>
      <c r="O1472" s="9" t="s">
        <v>99</v>
      </c>
      <c r="P1472" s="12" t="s">
        <v>5256</v>
      </c>
      <c r="Q1472" s="9" t="s">
        <v>263</v>
      </c>
      <c r="R1472" s="14" t="str">
        <f>HYPERLINK("https://my.pitchbook.com?c=187762-69T","View Company Online")</f>
        <v>View Company Online</v>
      </c>
    </row>
    <row r="1473" spans="1:18" hidden="1" x14ac:dyDescent="0.3">
      <c r="A1473" s="15" t="s">
        <v>5257</v>
      </c>
      <c r="B1473" s="15" t="s">
        <v>5258</v>
      </c>
      <c r="C1473" s="18" t="s">
        <v>28</v>
      </c>
      <c r="D1473" s="15" t="s">
        <v>5259</v>
      </c>
      <c r="E1473" s="18" t="s">
        <v>28</v>
      </c>
      <c r="F1473" s="19" t="s">
        <v>28</v>
      </c>
      <c r="G1473" s="19" t="s">
        <v>28</v>
      </c>
      <c r="H1473" s="19" t="s">
        <v>28</v>
      </c>
      <c r="I1473" s="18" t="s">
        <v>28</v>
      </c>
      <c r="J1473" s="18" t="s">
        <v>28</v>
      </c>
      <c r="K1473" s="18" t="s">
        <v>28</v>
      </c>
      <c r="L1473" s="18" t="s">
        <v>28</v>
      </c>
      <c r="M1473" s="18" t="s">
        <v>28</v>
      </c>
      <c r="N1473" s="17">
        <v>45148</v>
      </c>
      <c r="O1473" s="15" t="s">
        <v>41</v>
      </c>
      <c r="P1473" s="16" t="s">
        <v>5260</v>
      </c>
      <c r="Q1473" s="15" t="s">
        <v>880</v>
      </c>
      <c r="R1473" s="13" t="str">
        <f>HYPERLINK("https://my.pitchbook.com?c=233569-18T","View Company Online")</f>
        <v>View Company Online</v>
      </c>
    </row>
    <row r="1474" spans="1:18" hidden="1" x14ac:dyDescent="0.3">
      <c r="A1474" s="9" t="s">
        <v>5261</v>
      </c>
      <c r="B1474" s="9" t="s">
        <v>4788</v>
      </c>
      <c r="C1474" s="11" t="s">
        <v>28</v>
      </c>
      <c r="D1474" s="9" t="s">
        <v>4789</v>
      </c>
      <c r="E1474" s="11" t="s">
        <v>28</v>
      </c>
      <c r="F1474" s="10" t="s">
        <v>28</v>
      </c>
      <c r="G1474" s="10" t="s">
        <v>28</v>
      </c>
      <c r="H1474" s="10" t="s">
        <v>28</v>
      </c>
      <c r="I1474" s="11" t="s">
        <v>28</v>
      </c>
      <c r="J1474" s="11" t="s">
        <v>28</v>
      </c>
      <c r="K1474" s="11" t="s">
        <v>28</v>
      </c>
      <c r="L1474" s="11" t="s">
        <v>28</v>
      </c>
      <c r="M1474" s="11" t="s">
        <v>28</v>
      </c>
      <c r="N1474" s="8">
        <v>45148</v>
      </c>
      <c r="O1474" s="9" t="s">
        <v>52</v>
      </c>
      <c r="P1474" s="12" t="s">
        <v>1880</v>
      </c>
      <c r="Q1474" s="9" t="s">
        <v>75</v>
      </c>
      <c r="R1474" s="14" t="str">
        <f>HYPERLINK("https://my.pitchbook.com?c=241185-61T","View Company Online")</f>
        <v>View Company Online</v>
      </c>
    </row>
    <row r="1475" spans="1:18" hidden="1" x14ac:dyDescent="0.3">
      <c r="A1475" s="15" t="s">
        <v>5262</v>
      </c>
      <c r="B1475" s="15" t="s">
        <v>5263</v>
      </c>
      <c r="C1475" s="18" t="s">
        <v>28</v>
      </c>
      <c r="D1475" s="15" t="s">
        <v>5264</v>
      </c>
      <c r="E1475" s="18" t="s">
        <v>28</v>
      </c>
      <c r="F1475" s="19" t="s">
        <v>28</v>
      </c>
      <c r="G1475" s="19" t="s">
        <v>28</v>
      </c>
      <c r="H1475" s="19" t="s">
        <v>28</v>
      </c>
      <c r="I1475" s="18" t="s">
        <v>28</v>
      </c>
      <c r="J1475" s="18" t="s">
        <v>28</v>
      </c>
      <c r="K1475" s="18" t="s">
        <v>28</v>
      </c>
      <c r="L1475" s="18" t="s">
        <v>28</v>
      </c>
      <c r="M1475" s="18" t="s">
        <v>28</v>
      </c>
      <c r="N1475" s="17">
        <v>45148</v>
      </c>
      <c r="O1475" s="15" t="s">
        <v>30</v>
      </c>
      <c r="P1475" s="16" t="s">
        <v>4086</v>
      </c>
      <c r="Q1475" s="15" t="s">
        <v>740</v>
      </c>
      <c r="R1475" s="13" t="str">
        <f>HYPERLINK("https://my.pitchbook.com?c=228644-56T","View Company Online")</f>
        <v>View Company Online</v>
      </c>
    </row>
    <row r="1476" spans="1:18" hidden="1" x14ac:dyDescent="0.3">
      <c r="A1476" s="9" t="s">
        <v>5265</v>
      </c>
      <c r="B1476" s="9" t="s">
        <v>5266</v>
      </c>
      <c r="C1476" s="11" t="s">
        <v>28</v>
      </c>
      <c r="D1476" s="9" t="s">
        <v>5267</v>
      </c>
      <c r="E1476" s="11" t="s">
        <v>28</v>
      </c>
      <c r="F1476" s="10" t="s">
        <v>28</v>
      </c>
      <c r="G1476" s="10" t="s">
        <v>28</v>
      </c>
      <c r="H1476" s="10" t="s">
        <v>28</v>
      </c>
      <c r="I1476" s="11" t="s">
        <v>28</v>
      </c>
      <c r="J1476" s="11" t="s">
        <v>28</v>
      </c>
      <c r="K1476" s="11">
        <v>14.65</v>
      </c>
      <c r="L1476" s="11" t="s">
        <v>28</v>
      </c>
      <c r="M1476" s="11" t="s">
        <v>28</v>
      </c>
      <c r="N1476" s="8">
        <v>45148</v>
      </c>
      <c r="O1476" s="9" t="s">
        <v>52</v>
      </c>
      <c r="P1476" s="12" t="s">
        <v>1880</v>
      </c>
      <c r="Q1476" s="9" t="s">
        <v>245</v>
      </c>
      <c r="R1476" s="14" t="str">
        <f>HYPERLINK("https://my.pitchbook.com?c=241194-07T","View Company Online")</f>
        <v>View Company Online</v>
      </c>
    </row>
    <row r="1477" spans="1:18" hidden="1" x14ac:dyDescent="0.3">
      <c r="A1477" s="15" t="s">
        <v>5268</v>
      </c>
      <c r="B1477" s="15" t="s">
        <v>5269</v>
      </c>
      <c r="C1477" s="18" t="s">
        <v>28</v>
      </c>
      <c r="D1477" s="15" t="s">
        <v>5270</v>
      </c>
      <c r="E1477" s="18" t="s">
        <v>28</v>
      </c>
      <c r="F1477" s="19" t="s">
        <v>28</v>
      </c>
      <c r="G1477" s="19" t="s">
        <v>28</v>
      </c>
      <c r="H1477" s="19" t="s">
        <v>28</v>
      </c>
      <c r="I1477" s="18" t="s">
        <v>28</v>
      </c>
      <c r="J1477" s="18" t="s">
        <v>28</v>
      </c>
      <c r="K1477" s="18" t="s">
        <v>28</v>
      </c>
      <c r="L1477" s="18" t="s">
        <v>28</v>
      </c>
      <c r="M1477" s="18" t="s">
        <v>28</v>
      </c>
      <c r="N1477" s="17">
        <v>45148</v>
      </c>
      <c r="O1477" s="15" t="s">
        <v>30</v>
      </c>
      <c r="P1477" s="16" t="s">
        <v>2199</v>
      </c>
      <c r="Q1477" s="15" t="s">
        <v>75</v>
      </c>
      <c r="R1477" s="13" t="str">
        <f>HYPERLINK("https://my.pitchbook.com?c=233686-72T","View Company Online")</f>
        <v>View Company Online</v>
      </c>
    </row>
    <row r="1478" spans="1:18" hidden="1" x14ac:dyDescent="0.3">
      <c r="A1478" s="9" t="s">
        <v>5271</v>
      </c>
      <c r="B1478" s="9" t="s">
        <v>5272</v>
      </c>
      <c r="C1478" s="11" t="s">
        <v>28</v>
      </c>
      <c r="D1478" s="9" t="s">
        <v>5273</v>
      </c>
      <c r="E1478" s="11" t="s">
        <v>28</v>
      </c>
      <c r="F1478" s="10" t="s">
        <v>28</v>
      </c>
      <c r="G1478" s="10" t="s">
        <v>28</v>
      </c>
      <c r="H1478" s="10" t="s">
        <v>28</v>
      </c>
      <c r="I1478" s="11" t="s">
        <v>28</v>
      </c>
      <c r="J1478" s="11" t="s">
        <v>28</v>
      </c>
      <c r="K1478" s="11" t="s">
        <v>28</v>
      </c>
      <c r="L1478" s="11" t="s">
        <v>28</v>
      </c>
      <c r="M1478" s="11" t="s">
        <v>28</v>
      </c>
      <c r="N1478" s="8">
        <v>45148</v>
      </c>
      <c r="O1478" s="9" t="s">
        <v>52</v>
      </c>
      <c r="P1478" s="12" t="s">
        <v>2498</v>
      </c>
      <c r="Q1478" s="9" t="s">
        <v>404</v>
      </c>
      <c r="R1478" s="14" t="str">
        <f>HYPERLINK("https://my.pitchbook.com?c=241186-42T","View Company Online")</f>
        <v>View Company Online</v>
      </c>
    </row>
    <row r="1479" spans="1:18" hidden="1" x14ac:dyDescent="0.3">
      <c r="A1479" s="15" t="s">
        <v>5274</v>
      </c>
      <c r="B1479" s="15" t="s">
        <v>5275</v>
      </c>
      <c r="C1479" s="18" t="s">
        <v>28</v>
      </c>
      <c r="D1479" s="15" t="s">
        <v>5276</v>
      </c>
      <c r="E1479" s="18" t="s">
        <v>28</v>
      </c>
      <c r="F1479" s="19" t="s">
        <v>28</v>
      </c>
      <c r="G1479" s="19" t="s">
        <v>28</v>
      </c>
      <c r="H1479" s="19" t="s">
        <v>28</v>
      </c>
      <c r="I1479" s="18" t="s">
        <v>28</v>
      </c>
      <c r="J1479" s="18" t="s">
        <v>28</v>
      </c>
      <c r="K1479" s="18" t="s">
        <v>28</v>
      </c>
      <c r="L1479" s="18" t="s">
        <v>28</v>
      </c>
      <c r="M1479" s="18" t="s">
        <v>28</v>
      </c>
      <c r="N1479" s="17">
        <v>45147</v>
      </c>
      <c r="O1479" s="15" t="s">
        <v>30</v>
      </c>
      <c r="P1479" s="16" t="s">
        <v>769</v>
      </c>
      <c r="Q1479" s="15" t="s">
        <v>188</v>
      </c>
      <c r="R1479" s="13" t="str">
        <f>HYPERLINK("https://my.pitchbook.com?c=233889-04T","View Company Online")</f>
        <v>View Company Online</v>
      </c>
    </row>
    <row r="1480" spans="1:18" hidden="1" x14ac:dyDescent="0.3">
      <c r="A1480" s="9" t="s">
        <v>5277</v>
      </c>
      <c r="B1480" s="9" t="s">
        <v>5278</v>
      </c>
      <c r="C1480" s="11" t="s">
        <v>28</v>
      </c>
      <c r="D1480" s="9" t="s">
        <v>5279</v>
      </c>
      <c r="E1480" s="11">
        <v>2.14</v>
      </c>
      <c r="F1480" s="10" t="s">
        <v>28</v>
      </c>
      <c r="G1480" s="10" t="s">
        <v>28</v>
      </c>
      <c r="H1480" s="10" t="s">
        <v>28</v>
      </c>
      <c r="I1480" s="11">
        <v>2.14</v>
      </c>
      <c r="J1480" s="11" t="s">
        <v>28</v>
      </c>
      <c r="K1480" s="11">
        <v>1.43</v>
      </c>
      <c r="L1480" s="11" t="s">
        <v>28</v>
      </c>
      <c r="M1480" s="11">
        <v>2.14</v>
      </c>
      <c r="N1480" s="8">
        <v>45147</v>
      </c>
      <c r="O1480" s="9" t="s">
        <v>173</v>
      </c>
      <c r="P1480" s="12" t="s">
        <v>28</v>
      </c>
      <c r="Q1480" s="9" t="s">
        <v>174</v>
      </c>
      <c r="R1480" s="14" t="str">
        <f>HYPERLINK("https://my.pitchbook.com?c=233718-85T","View Company Online")</f>
        <v>View Company Online</v>
      </c>
    </row>
    <row r="1481" spans="1:18" hidden="1" x14ac:dyDescent="0.3">
      <c r="A1481" s="15" t="s">
        <v>5280</v>
      </c>
      <c r="B1481" s="15" t="s">
        <v>5281</v>
      </c>
      <c r="C1481" s="18" t="s">
        <v>28</v>
      </c>
      <c r="D1481" s="15" t="s">
        <v>5282</v>
      </c>
      <c r="E1481" s="18" t="s">
        <v>28</v>
      </c>
      <c r="F1481" s="19" t="s">
        <v>28</v>
      </c>
      <c r="G1481" s="19" t="s">
        <v>28</v>
      </c>
      <c r="H1481" s="19" t="s">
        <v>28</v>
      </c>
      <c r="I1481" s="18" t="s">
        <v>28</v>
      </c>
      <c r="J1481" s="18" t="s">
        <v>28</v>
      </c>
      <c r="K1481" s="18" t="s">
        <v>28</v>
      </c>
      <c r="L1481" s="18" t="s">
        <v>28</v>
      </c>
      <c r="M1481" s="18" t="s">
        <v>28</v>
      </c>
      <c r="N1481" s="17">
        <v>45147</v>
      </c>
      <c r="O1481" s="15" t="s">
        <v>52</v>
      </c>
      <c r="P1481" s="16" t="s">
        <v>1880</v>
      </c>
      <c r="Q1481" s="15" t="s">
        <v>1336</v>
      </c>
      <c r="R1481" s="13" t="str">
        <f>HYPERLINK("https://my.pitchbook.com?c=241185-43T","View Company Online")</f>
        <v>View Company Online</v>
      </c>
    </row>
    <row r="1482" spans="1:18" hidden="1" x14ac:dyDescent="0.3">
      <c r="A1482" s="9" t="s">
        <v>5283</v>
      </c>
      <c r="B1482" s="9" t="s">
        <v>5284</v>
      </c>
      <c r="C1482" s="11" t="s">
        <v>28</v>
      </c>
      <c r="D1482" s="9" t="s">
        <v>5285</v>
      </c>
      <c r="E1482" s="11" t="s">
        <v>28</v>
      </c>
      <c r="F1482" s="10" t="s">
        <v>28</v>
      </c>
      <c r="G1482" s="10">
        <v>0.26</v>
      </c>
      <c r="H1482" s="10">
        <v>1.04</v>
      </c>
      <c r="I1482" s="11" t="s">
        <v>28</v>
      </c>
      <c r="J1482" s="11" t="s">
        <v>28</v>
      </c>
      <c r="K1482" s="11" t="s">
        <v>28</v>
      </c>
      <c r="L1482" s="11" t="s">
        <v>28</v>
      </c>
      <c r="M1482" s="11" t="s">
        <v>28</v>
      </c>
      <c r="N1482" s="8">
        <v>45147</v>
      </c>
      <c r="O1482" s="9" t="s">
        <v>58</v>
      </c>
      <c r="P1482" s="12" t="s">
        <v>5286</v>
      </c>
      <c r="Q1482" s="9" t="s">
        <v>1853</v>
      </c>
      <c r="R1482" s="14" t="str">
        <f>HYPERLINK("https://my.pitchbook.com?c=233685-28T","View Company Online")</f>
        <v>View Company Online</v>
      </c>
    </row>
    <row r="1483" spans="1:18" hidden="1" x14ac:dyDescent="0.3">
      <c r="A1483" s="15" t="s">
        <v>5287</v>
      </c>
      <c r="B1483" s="15" t="s">
        <v>4126</v>
      </c>
      <c r="C1483" s="18" t="s">
        <v>28</v>
      </c>
      <c r="D1483" s="15" t="s">
        <v>4127</v>
      </c>
      <c r="E1483" s="18" t="s">
        <v>28</v>
      </c>
      <c r="F1483" s="19" t="s">
        <v>28</v>
      </c>
      <c r="G1483" s="19" t="s">
        <v>28</v>
      </c>
      <c r="H1483" s="19" t="s">
        <v>28</v>
      </c>
      <c r="I1483" s="18" t="s">
        <v>28</v>
      </c>
      <c r="J1483" s="18" t="s">
        <v>28</v>
      </c>
      <c r="K1483" s="18" t="s">
        <v>28</v>
      </c>
      <c r="L1483" s="18" t="s">
        <v>28</v>
      </c>
      <c r="M1483" s="18" t="s">
        <v>28</v>
      </c>
      <c r="N1483" s="17">
        <v>45146</v>
      </c>
      <c r="O1483" s="15" t="s">
        <v>52</v>
      </c>
      <c r="P1483" s="16" t="s">
        <v>1880</v>
      </c>
      <c r="Q1483" s="15" t="s">
        <v>75</v>
      </c>
      <c r="R1483" s="13" t="str">
        <f>HYPERLINK("https://my.pitchbook.com?c=241186-69T","View Company Online")</f>
        <v>View Company Online</v>
      </c>
    </row>
    <row r="1484" spans="1:18" hidden="1" x14ac:dyDescent="0.3">
      <c r="A1484" s="9" t="s">
        <v>5288</v>
      </c>
      <c r="B1484" s="9" t="s">
        <v>5289</v>
      </c>
      <c r="C1484" s="11" t="s">
        <v>28</v>
      </c>
      <c r="D1484" s="9" t="s">
        <v>5290</v>
      </c>
      <c r="E1484" s="11" t="s">
        <v>28</v>
      </c>
      <c r="F1484" s="10" t="s">
        <v>28</v>
      </c>
      <c r="G1484" s="10" t="s">
        <v>28</v>
      </c>
      <c r="H1484" s="10" t="s">
        <v>28</v>
      </c>
      <c r="I1484" s="11" t="s">
        <v>28</v>
      </c>
      <c r="J1484" s="11" t="s">
        <v>28</v>
      </c>
      <c r="K1484" s="11" t="s">
        <v>28</v>
      </c>
      <c r="L1484" s="11" t="s">
        <v>28</v>
      </c>
      <c r="M1484" s="11" t="s">
        <v>28</v>
      </c>
      <c r="N1484" s="8">
        <v>45146</v>
      </c>
      <c r="O1484" s="9" t="s">
        <v>52</v>
      </c>
      <c r="P1484" s="12" t="s">
        <v>1880</v>
      </c>
      <c r="Q1484" s="9" t="s">
        <v>37</v>
      </c>
      <c r="R1484" s="14" t="str">
        <f>HYPERLINK("https://my.pitchbook.com?c=241186-15T","View Company Online")</f>
        <v>View Company Online</v>
      </c>
    </row>
    <row r="1485" spans="1:18" hidden="1" x14ac:dyDescent="0.3">
      <c r="A1485" s="15" t="s">
        <v>5291</v>
      </c>
      <c r="B1485" s="15" t="s">
        <v>5292</v>
      </c>
      <c r="C1485" s="18" t="s">
        <v>28</v>
      </c>
      <c r="D1485" s="15" t="s">
        <v>5293</v>
      </c>
      <c r="E1485" s="18" t="s">
        <v>28</v>
      </c>
      <c r="F1485" s="19" t="s">
        <v>28</v>
      </c>
      <c r="G1485" s="19">
        <v>1.56</v>
      </c>
      <c r="H1485" s="19" t="s">
        <v>28</v>
      </c>
      <c r="I1485" s="18" t="s">
        <v>28</v>
      </c>
      <c r="J1485" s="18" t="s">
        <v>28</v>
      </c>
      <c r="K1485" s="18" t="s">
        <v>28</v>
      </c>
      <c r="L1485" s="18" t="s">
        <v>28</v>
      </c>
      <c r="M1485" s="18" t="s">
        <v>28</v>
      </c>
      <c r="N1485" s="17">
        <v>45142</v>
      </c>
      <c r="O1485" s="15" t="s">
        <v>1639</v>
      </c>
      <c r="P1485" s="16" t="s">
        <v>28</v>
      </c>
      <c r="Q1485" s="15" t="s">
        <v>114</v>
      </c>
      <c r="R1485" s="13" t="str">
        <f>HYPERLINK("https://my.pitchbook.com?c=233201-80T","View Company Online")</f>
        <v>View Company Online</v>
      </c>
    </row>
    <row r="1486" spans="1:18" hidden="1" x14ac:dyDescent="0.3">
      <c r="A1486" s="9" t="s">
        <v>5294</v>
      </c>
      <c r="B1486" s="9" t="s">
        <v>5295</v>
      </c>
      <c r="C1486" s="11" t="s">
        <v>28</v>
      </c>
      <c r="D1486" s="9" t="s">
        <v>5296</v>
      </c>
      <c r="E1486" s="11" t="s">
        <v>28</v>
      </c>
      <c r="F1486" s="10">
        <v>1.62</v>
      </c>
      <c r="G1486" s="10">
        <v>1.35</v>
      </c>
      <c r="H1486" s="10">
        <v>1.62</v>
      </c>
      <c r="I1486" s="11" t="s">
        <v>28</v>
      </c>
      <c r="J1486" s="11" t="s">
        <v>28</v>
      </c>
      <c r="K1486" s="11" t="s">
        <v>28</v>
      </c>
      <c r="L1486" s="11" t="s">
        <v>28</v>
      </c>
      <c r="M1486" s="11" t="s">
        <v>28</v>
      </c>
      <c r="N1486" s="8">
        <v>45141</v>
      </c>
      <c r="O1486" s="9" t="s">
        <v>30</v>
      </c>
      <c r="P1486" s="12" t="s">
        <v>3516</v>
      </c>
      <c r="Q1486" s="9" t="s">
        <v>1007</v>
      </c>
      <c r="R1486" s="14" t="str">
        <f>HYPERLINK("https://my.pitchbook.com?c=233672-41T","View Company Online")</f>
        <v>View Company Online</v>
      </c>
    </row>
    <row r="1487" spans="1:18" hidden="1" x14ac:dyDescent="0.3">
      <c r="A1487" s="15" t="s">
        <v>5297</v>
      </c>
      <c r="B1487" s="15" t="s">
        <v>5298</v>
      </c>
      <c r="C1487" s="18" t="s">
        <v>28</v>
      </c>
      <c r="D1487" s="15" t="s">
        <v>5299</v>
      </c>
      <c r="E1487" s="18" t="s">
        <v>28</v>
      </c>
      <c r="F1487" s="19">
        <v>52.06</v>
      </c>
      <c r="G1487" s="19">
        <v>52.06</v>
      </c>
      <c r="H1487" s="19">
        <v>52.06</v>
      </c>
      <c r="I1487" s="18" t="s">
        <v>28</v>
      </c>
      <c r="J1487" s="18" t="s">
        <v>28</v>
      </c>
      <c r="K1487" s="18" t="s">
        <v>28</v>
      </c>
      <c r="L1487" s="18" t="s">
        <v>28</v>
      </c>
      <c r="M1487" s="18" t="s">
        <v>28</v>
      </c>
      <c r="N1487" s="17">
        <v>45141</v>
      </c>
      <c r="O1487" s="15" t="s">
        <v>30</v>
      </c>
      <c r="P1487" s="16" t="s">
        <v>151</v>
      </c>
      <c r="Q1487" s="15" t="s">
        <v>880</v>
      </c>
      <c r="R1487" s="13" t="str">
        <f>HYPERLINK("https://my.pitchbook.com?c=234798-76T","View Company Online")</f>
        <v>View Company Online</v>
      </c>
    </row>
    <row r="1488" spans="1:18" hidden="1" x14ac:dyDescent="0.3">
      <c r="A1488" s="9" t="s">
        <v>5300</v>
      </c>
      <c r="B1488" s="9" t="s">
        <v>5301</v>
      </c>
      <c r="C1488" s="11" t="s">
        <v>28</v>
      </c>
      <c r="D1488" s="9" t="s">
        <v>5302</v>
      </c>
      <c r="E1488" s="11" t="s">
        <v>28</v>
      </c>
      <c r="F1488" s="10" t="s">
        <v>28</v>
      </c>
      <c r="G1488" s="10" t="s">
        <v>28</v>
      </c>
      <c r="H1488" s="10" t="s">
        <v>28</v>
      </c>
      <c r="I1488" s="11" t="s">
        <v>28</v>
      </c>
      <c r="J1488" s="11" t="s">
        <v>28</v>
      </c>
      <c r="K1488" s="11" t="s">
        <v>28</v>
      </c>
      <c r="L1488" s="11" t="s">
        <v>28</v>
      </c>
      <c r="M1488" s="11" t="s">
        <v>28</v>
      </c>
      <c r="N1488" s="8">
        <v>45141</v>
      </c>
      <c r="O1488" s="9" t="s">
        <v>30</v>
      </c>
      <c r="P1488" s="12" t="s">
        <v>5303</v>
      </c>
      <c r="Q1488" s="9" t="s">
        <v>880</v>
      </c>
      <c r="R1488" s="14" t="str">
        <f>HYPERLINK("https://my.pitchbook.com?c=233093-26T","View Company Online")</f>
        <v>View Company Online</v>
      </c>
    </row>
    <row r="1489" spans="1:18" hidden="1" x14ac:dyDescent="0.3">
      <c r="A1489" s="15" t="s">
        <v>5304</v>
      </c>
      <c r="B1489" s="15" t="s">
        <v>3570</v>
      </c>
      <c r="C1489" s="18" t="s">
        <v>28</v>
      </c>
      <c r="D1489" s="15" t="s">
        <v>3571</v>
      </c>
      <c r="E1489" s="18" t="s">
        <v>28</v>
      </c>
      <c r="F1489" s="19" t="s">
        <v>28</v>
      </c>
      <c r="G1489" s="19" t="s">
        <v>28</v>
      </c>
      <c r="H1489" s="19" t="s">
        <v>28</v>
      </c>
      <c r="I1489" s="18" t="s">
        <v>28</v>
      </c>
      <c r="J1489" s="18" t="s">
        <v>28</v>
      </c>
      <c r="K1489" s="18" t="s">
        <v>28</v>
      </c>
      <c r="L1489" s="18" t="s">
        <v>28</v>
      </c>
      <c r="M1489" s="18" t="s">
        <v>28</v>
      </c>
      <c r="N1489" s="17">
        <v>45141</v>
      </c>
      <c r="O1489" s="15" t="s">
        <v>52</v>
      </c>
      <c r="P1489" s="16" t="s">
        <v>4297</v>
      </c>
      <c r="Q1489" s="15" t="s">
        <v>75</v>
      </c>
      <c r="R1489" s="13" t="str">
        <f>HYPERLINK("https://my.pitchbook.com?c=262722-34T","View Company Online")</f>
        <v>View Company Online</v>
      </c>
    </row>
    <row r="1490" spans="1:18" hidden="1" x14ac:dyDescent="0.3">
      <c r="A1490" s="9" t="s">
        <v>5305</v>
      </c>
      <c r="B1490" s="9" t="s">
        <v>5306</v>
      </c>
      <c r="C1490" s="11" t="s">
        <v>28</v>
      </c>
      <c r="D1490" s="9" t="s">
        <v>5307</v>
      </c>
      <c r="E1490" s="11" t="s">
        <v>28</v>
      </c>
      <c r="F1490" s="10" t="s">
        <v>28</v>
      </c>
      <c r="G1490" s="10" t="s">
        <v>28</v>
      </c>
      <c r="H1490" s="10" t="s">
        <v>28</v>
      </c>
      <c r="I1490" s="11" t="s">
        <v>28</v>
      </c>
      <c r="J1490" s="11" t="s">
        <v>28</v>
      </c>
      <c r="K1490" s="11" t="s">
        <v>28</v>
      </c>
      <c r="L1490" s="11" t="s">
        <v>28</v>
      </c>
      <c r="M1490" s="11" t="s">
        <v>28</v>
      </c>
      <c r="N1490" s="8">
        <v>45140</v>
      </c>
      <c r="O1490" s="9" t="s">
        <v>73</v>
      </c>
      <c r="P1490" s="12" t="s">
        <v>611</v>
      </c>
      <c r="Q1490" s="9" t="s">
        <v>75</v>
      </c>
      <c r="R1490" s="14" t="str">
        <f>HYPERLINK("https://my.pitchbook.com?c=245978-56T","View Company Online")</f>
        <v>View Company Online</v>
      </c>
    </row>
    <row r="1491" spans="1:18" hidden="1" x14ac:dyDescent="0.3">
      <c r="A1491" s="15" t="s">
        <v>5308</v>
      </c>
      <c r="B1491" s="15" t="s">
        <v>5309</v>
      </c>
      <c r="C1491" s="18" t="s">
        <v>28</v>
      </c>
      <c r="D1491" s="15" t="s">
        <v>5310</v>
      </c>
      <c r="E1491" s="18" t="s">
        <v>28</v>
      </c>
      <c r="F1491" s="19" t="s">
        <v>28</v>
      </c>
      <c r="G1491" s="19">
        <v>0.73</v>
      </c>
      <c r="H1491" s="19" t="s">
        <v>28</v>
      </c>
      <c r="I1491" s="18" t="s">
        <v>28</v>
      </c>
      <c r="J1491" s="18" t="s">
        <v>28</v>
      </c>
      <c r="K1491" s="18" t="s">
        <v>28</v>
      </c>
      <c r="L1491" s="18" t="s">
        <v>28</v>
      </c>
      <c r="M1491" s="18" t="s">
        <v>28</v>
      </c>
      <c r="N1491" s="17">
        <v>45140</v>
      </c>
      <c r="O1491" s="15" t="s">
        <v>99</v>
      </c>
      <c r="P1491" s="16" t="s">
        <v>28</v>
      </c>
      <c r="Q1491" s="15" t="s">
        <v>37</v>
      </c>
      <c r="R1491" s="13" t="str">
        <f>HYPERLINK("https://my.pitchbook.com?c=233016-49T","View Company Online")</f>
        <v>View Company Online</v>
      </c>
    </row>
    <row r="1492" spans="1:18" hidden="1" x14ac:dyDescent="0.3">
      <c r="A1492" s="9" t="s">
        <v>5311</v>
      </c>
      <c r="B1492" s="9" t="s">
        <v>5312</v>
      </c>
      <c r="C1492" s="11" t="s">
        <v>28</v>
      </c>
      <c r="D1492" s="9" t="s">
        <v>5313</v>
      </c>
      <c r="E1492" s="11" t="s">
        <v>28</v>
      </c>
      <c r="F1492" s="10" t="s">
        <v>28</v>
      </c>
      <c r="G1492" s="10">
        <v>100</v>
      </c>
      <c r="H1492" s="10" t="s">
        <v>28</v>
      </c>
      <c r="I1492" s="11" t="s">
        <v>28</v>
      </c>
      <c r="J1492" s="11" t="s">
        <v>28</v>
      </c>
      <c r="K1492" s="11" t="s">
        <v>28</v>
      </c>
      <c r="L1492" s="11" t="s">
        <v>28</v>
      </c>
      <c r="M1492" s="11" t="s">
        <v>28</v>
      </c>
      <c r="N1492" s="8">
        <v>45140</v>
      </c>
      <c r="O1492" s="9" t="s">
        <v>79</v>
      </c>
      <c r="P1492" s="12" t="s">
        <v>5314</v>
      </c>
      <c r="Q1492" s="9" t="s">
        <v>119</v>
      </c>
      <c r="R1492" s="14" t="str">
        <f>HYPERLINK("https://my.pitchbook.com?c=227230-84T","View Company Online")</f>
        <v>View Company Online</v>
      </c>
    </row>
    <row r="1493" spans="1:18" hidden="1" x14ac:dyDescent="0.3">
      <c r="A1493" s="15" t="s">
        <v>5315</v>
      </c>
      <c r="B1493" s="15" t="s">
        <v>5316</v>
      </c>
      <c r="C1493" s="18" t="s">
        <v>28</v>
      </c>
      <c r="D1493" s="15" t="s">
        <v>5317</v>
      </c>
      <c r="E1493" s="18" t="s">
        <v>28</v>
      </c>
      <c r="F1493" s="19" t="s">
        <v>28</v>
      </c>
      <c r="G1493" s="19" t="s">
        <v>28</v>
      </c>
      <c r="H1493" s="19" t="s">
        <v>28</v>
      </c>
      <c r="I1493" s="18" t="s">
        <v>28</v>
      </c>
      <c r="J1493" s="18" t="s">
        <v>28</v>
      </c>
      <c r="K1493" s="18" t="s">
        <v>28</v>
      </c>
      <c r="L1493" s="18" t="s">
        <v>28</v>
      </c>
      <c r="M1493" s="18" t="s">
        <v>28</v>
      </c>
      <c r="N1493" s="17">
        <v>45139</v>
      </c>
      <c r="O1493" s="15" t="s">
        <v>52</v>
      </c>
      <c r="P1493" s="16" t="s">
        <v>3572</v>
      </c>
      <c r="Q1493" s="15" t="s">
        <v>75</v>
      </c>
      <c r="R1493" s="13" t="str">
        <f>HYPERLINK("https://my.pitchbook.com?c=234419-86T","View Company Online")</f>
        <v>View Company Online</v>
      </c>
    </row>
    <row r="1494" spans="1:18" hidden="1" x14ac:dyDescent="0.3">
      <c r="A1494" s="9" t="s">
        <v>5318</v>
      </c>
      <c r="B1494" s="9" t="s">
        <v>5319</v>
      </c>
      <c r="C1494" s="11" t="s">
        <v>28</v>
      </c>
      <c r="D1494" s="9" t="s">
        <v>5320</v>
      </c>
      <c r="E1494" s="11" t="s">
        <v>28</v>
      </c>
      <c r="F1494" s="10" t="s">
        <v>28</v>
      </c>
      <c r="G1494" s="10" t="s">
        <v>28</v>
      </c>
      <c r="H1494" s="10" t="s">
        <v>28</v>
      </c>
      <c r="I1494" s="11" t="s">
        <v>28</v>
      </c>
      <c r="J1494" s="11" t="s">
        <v>28</v>
      </c>
      <c r="K1494" s="11" t="s">
        <v>28</v>
      </c>
      <c r="L1494" s="11" t="s">
        <v>28</v>
      </c>
      <c r="M1494" s="11" t="s">
        <v>28</v>
      </c>
      <c r="N1494" s="8">
        <v>45139</v>
      </c>
      <c r="O1494" s="9" t="s">
        <v>30</v>
      </c>
      <c r="P1494" s="12" t="s">
        <v>28</v>
      </c>
      <c r="Q1494" s="9" t="s">
        <v>381</v>
      </c>
      <c r="R1494" s="14" t="str">
        <f>HYPERLINK("https://my.pitchbook.com?c=256413-79T","View Company Online")</f>
        <v>View Company Online</v>
      </c>
    </row>
    <row r="1495" spans="1:18" hidden="1" x14ac:dyDescent="0.3">
      <c r="A1495" s="15" t="s">
        <v>5321</v>
      </c>
      <c r="B1495" s="15" t="s">
        <v>5322</v>
      </c>
      <c r="C1495" s="18" t="s">
        <v>28</v>
      </c>
      <c r="D1495" s="15" t="s">
        <v>5323</v>
      </c>
      <c r="E1495" s="18" t="s">
        <v>28</v>
      </c>
      <c r="F1495" s="19" t="s">
        <v>28</v>
      </c>
      <c r="G1495" s="19" t="s">
        <v>28</v>
      </c>
      <c r="H1495" s="19" t="s">
        <v>28</v>
      </c>
      <c r="I1495" s="18" t="s">
        <v>28</v>
      </c>
      <c r="J1495" s="18" t="s">
        <v>28</v>
      </c>
      <c r="K1495" s="18" t="s">
        <v>28</v>
      </c>
      <c r="L1495" s="18" t="s">
        <v>28</v>
      </c>
      <c r="M1495" s="18" t="s">
        <v>28</v>
      </c>
      <c r="N1495" s="17">
        <v>45139</v>
      </c>
      <c r="O1495" s="15" t="s">
        <v>379</v>
      </c>
      <c r="P1495" s="16" t="s">
        <v>5324</v>
      </c>
      <c r="Q1495" s="15" t="s">
        <v>616</v>
      </c>
      <c r="R1495" s="13" t="str">
        <f>HYPERLINK("https://my.pitchbook.com?c=233442-28T","View Company Online")</f>
        <v>View Company Online</v>
      </c>
    </row>
    <row r="1496" spans="1:18" hidden="1" x14ac:dyDescent="0.3">
      <c r="A1496" s="9" t="s">
        <v>5325</v>
      </c>
      <c r="B1496" s="9" t="s">
        <v>5326</v>
      </c>
      <c r="C1496" s="11" t="s">
        <v>28</v>
      </c>
      <c r="D1496" s="9" t="s">
        <v>5327</v>
      </c>
      <c r="E1496" s="11" t="s">
        <v>28</v>
      </c>
      <c r="F1496" s="10" t="s">
        <v>28</v>
      </c>
      <c r="G1496" s="10" t="s">
        <v>28</v>
      </c>
      <c r="H1496" s="10" t="s">
        <v>28</v>
      </c>
      <c r="I1496" s="11" t="s">
        <v>28</v>
      </c>
      <c r="J1496" s="11" t="s">
        <v>28</v>
      </c>
      <c r="K1496" s="11" t="s">
        <v>28</v>
      </c>
      <c r="L1496" s="11" t="s">
        <v>28</v>
      </c>
      <c r="M1496" s="11" t="s">
        <v>28</v>
      </c>
      <c r="N1496" s="8">
        <v>45139</v>
      </c>
      <c r="O1496" s="9" t="s">
        <v>30</v>
      </c>
      <c r="P1496" s="12" t="s">
        <v>28</v>
      </c>
      <c r="Q1496" s="9" t="s">
        <v>1580</v>
      </c>
      <c r="R1496" s="14" t="str">
        <f>HYPERLINK("https://my.pitchbook.com?c=232895-89T","View Company Online")</f>
        <v>View Company Online</v>
      </c>
    </row>
    <row r="1497" spans="1:18" hidden="1" x14ac:dyDescent="0.3">
      <c r="A1497" s="15" t="s">
        <v>5328</v>
      </c>
      <c r="B1497" s="15" t="s">
        <v>5329</v>
      </c>
      <c r="C1497" s="18" t="s">
        <v>28</v>
      </c>
      <c r="D1497" s="15" t="s">
        <v>5330</v>
      </c>
      <c r="E1497" s="18" t="s">
        <v>28</v>
      </c>
      <c r="F1497" s="19" t="s">
        <v>28</v>
      </c>
      <c r="G1497" s="19" t="s">
        <v>28</v>
      </c>
      <c r="H1497" s="19" t="s">
        <v>28</v>
      </c>
      <c r="I1497" s="18" t="s">
        <v>28</v>
      </c>
      <c r="J1497" s="18" t="s">
        <v>28</v>
      </c>
      <c r="K1497" s="18" t="s">
        <v>28</v>
      </c>
      <c r="L1497" s="18" t="s">
        <v>28</v>
      </c>
      <c r="M1497" s="18" t="s">
        <v>28</v>
      </c>
      <c r="N1497" s="17">
        <v>45139</v>
      </c>
      <c r="O1497" s="15" t="s">
        <v>30</v>
      </c>
      <c r="P1497" s="16" t="s">
        <v>5331</v>
      </c>
      <c r="Q1497" s="15" t="s">
        <v>136</v>
      </c>
      <c r="R1497" s="13" t="str">
        <f>HYPERLINK("https://my.pitchbook.com?c=220693-15T","View Company Online")</f>
        <v>View Company Online</v>
      </c>
    </row>
    <row r="1498" spans="1:18" hidden="1" x14ac:dyDescent="0.3">
      <c r="A1498" s="9" t="s">
        <v>5332</v>
      </c>
      <c r="B1498" s="9" t="s">
        <v>488</v>
      </c>
      <c r="C1498" s="11" t="s">
        <v>28</v>
      </c>
      <c r="D1498" s="9" t="s">
        <v>489</v>
      </c>
      <c r="E1498" s="11" t="s">
        <v>28</v>
      </c>
      <c r="F1498" s="10" t="s">
        <v>28</v>
      </c>
      <c r="G1498" s="10" t="s">
        <v>28</v>
      </c>
      <c r="H1498" s="10" t="s">
        <v>28</v>
      </c>
      <c r="I1498" s="11" t="s">
        <v>28</v>
      </c>
      <c r="J1498" s="11" t="s">
        <v>28</v>
      </c>
      <c r="K1498" s="11" t="s">
        <v>28</v>
      </c>
      <c r="L1498" s="11" t="s">
        <v>28</v>
      </c>
      <c r="M1498" s="11" t="s">
        <v>28</v>
      </c>
      <c r="N1498" s="8">
        <v>45139</v>
      </c>
      <c r="O1498" s="9" t="s">
        <v>73</v>
      </c>
      <c r="P1498" s="12" t="s">
        <v>123</v>
      </c>
      <c r="Q1498" s="9" t="s">
        <v>386</v>
      </c>
      <c r="R1498" s="14" t="str">
        <f>HYPERLINK("https://my.pitchbook.com?c=233663-59T","View Company Online")</f>
        <v>View Company Online</v>
      </c>
    </row>
    <row r="1499" spans="1:18" hidden="1" x14ac:dyDescent="0.3">
      <c r="A1499" s="15" t="s">
        <v>5333</v>
      </c>
      <c r="B1499" s="15" t="s">
        <v>5334</v>
      </c>
      <c r="C1499" s="18" t="s">
        <v>28</v>
      </c>
      <c r="D1499" s="15" t="s">
        <v>5335</v>
      </c>
      <c r="E1499" s="18" t="s">
        <v>28</v>
      </c>
      <c r="F1499" s="19" t="s">
        <v>28</v>
      </c>
      <c r="G1499" s="19" t="s">
        <v>28</v>
      </c>
      <c r="H1499" s="19" t="s">
        <v>28</v>
      </c>
      <c r="I1499" s="18" t="s">
        <v>28</v>
      </c>
      <c r="J1499" s="18" t="s">
        <v>28</v>
      </c>
      <c r="K1499" s="18" t="s">
        <v>28</v>
      </c>
      <c r="L1499" s="18" t="s">
        <v>28</v>
      </c>
      <c r="M1499" s="18" t="s">
        <v>28</v>
      </c>
      <c r="N1499" s="17">
        <v>45139</v>
      </c>
      <c r="O1499" s="15" t="s">
        <v>73</v>
      </c>
      <c r="P1499" s="16" t="s">
        <v>5336</v>
      </c>
      <c r="Q1499" s="15" t="s">
        <v>1007</v>
      </c>
      <c r="R1499" s="13" t="str">
        <f>HYPERLINK("https://my.pitchbook.com?c=233752-51T","View Company Online")</f>
        <v>View Company Online</v>
      </c>
    </row>
    <row r="1500" spans="1:18" hidden="1" x14ac:dyDescent="0.3">
      <c r="A1500" s="9" t="s">
        <v>5337</v>
      </c>
      <c r="B1500" s="9" t="s">
        <v>5338</v>
      </c>
      <c r="C1500" s="11" t="s">
        <v>28</v>
      </c>
      <c r="D1500" s="9" t="s">
        <v>5339</v>
      </c>
      <c r="E1500" s="11" t="s">
        <v>28</v>
      </c>
      <c r="F1500" s="10" t="s">
        <v>28</v>
      </c>
      <c r="G1500" s="10" t="s">
        <v>28</v>
      </c>
      <c r="H1500" s="10" t="s">
        <v>28</v>
      </c>
      <c r="I1500" s="11" t="s">
        <v>28</v>
      </c>
      <c r="J1500" s="11" t="s">
        <v>28</v>
      </c>
      <c r="K1500" s="11" t="s">
        <v>28</v>
      </c>
      <c r="L1500" s="11" t="s">
        <v>28</v>
      </c>
      <c r="M1500" s="11" t="s">
        <v>28</v>
      </c>
      <c r="N1500" s="8">
        <v>45139</v>
      </c>
      <c r="O1500" s="9" t="s">
        <v>52</v>
      </c>
      <c r="P1500" s="12" t="s">
        <v>3572</v>
      </c>
      <c r="Q1500" s="9" t="s">
        <v>4710</v>
      </c>
      <c r="R1500" s="14" t="str">
        <f>HYPERLINK("https://my.pitchbook.com?c=234152-83T","View Company Online")</f>
        <v>View Company Online</v>
      </c>
    </row>
    <row r="1501" spans="1:18" hidden="1" x14ac:dyDescent="0.3">
      <c r="A1501" s="15" t="s">
        <v>5340</v>
      </c>
      <c r="B1501" s="15" t="s">
        <v>5341</v>
      </c>
      <c r="C1501" s="18" t="s">
        <v>28</v>
      </c>
      <c r="D1501" s="15" t="s">
        <v>5342</v>
      </c>
      <c r="E1501" s="18" t="s">
        <v>28</v>
      </c>
      <c r="F1501" s="19" t="s">
        <v>28</v>
      </c>
      <c r="G1501" s="19" t="s">
        <v>28</v>
      </c>
      <c r="H1501" s="19" t="s">
        <v>28</v>
      </c>
      <c r="I1501" s="18" t="s">
        <v>28</v>
      </c>
      <c r="J1501" s="18" t="s">
        <v>28</v>
      </c>
      <c r="K1501" s="18" t="s">
        <v>28</v>
      </c>
      <c r="L1501" s="18" t="s">
        <v>28</v>
      </c>
      <c r="M1501" s="18" t="s">
        <v>28</v>
      </c>
      <c r="N1501" s="17">
        <v>45139</v>
      </c>
      <c r="O1501" s="15" t="s">
        <v>73</v>
      </c>
      <c r="P1501" s="16" t="s">
        <v>5343</v>
      </c>
      <c r="Q1501" s="15" t="s">
        <v>75</v>
      </c>
      <c r="R1501" s="13" t="str">
        <f>HYPERLINK("https://my.pitchbook.com?c=227522-89T","View Company Online")</f>
        <v>View Company Online</v>
      </c>
    </row>
    <row r="1502" spans="1:18" hidden="1" x14ac:dyDescent="0.3">
      <c r="A1502" s="9" t="s">
        <v>5344</v>
      </c>
      <c r="B1502" s="9" t="s">
        <v>5345</v>
      </c>
      <c r="C1502" s="11" t="s">
        <v>28</v>
      </c>
      <c r="D1502" s="9" t="s">
        <v>5346</v>
      </c>
      <c r="E1502" s="11" t="s">
        <v>28</v>
      </c>
      <c r="F1502" s="10" t="s">
        <v>28</v>
      </c>
      <c r="G1502" s="10" t="s">
        <v>28</v>
      </c>
      <c r="H1502" s="10" t="s">
        <v>28</v>
      </c>
      <c r="I1502" s="11" t="s">
        <v>28</v>
      </c>
      <c r="J1502" s="11" t="s">
        <v>28</v>
      </c>
      <c r="K1502" s="11" t="s">
        <v>28</v>
      </c>
      <c r="L1502" s="11" t="s">
        <v>28</v>
      </c>
      <c r="M1502" s="11" t="s">
        <v>28</v>
      </c>
      <c r="N1502" s="8">
        <v>45139</v>
      </c>
      <c r="O1502" s="9" t="s">
        <v>30</v>
      </c>
      <c r="P1502" s="12" t="s">
        <v>28</v>
      </c>
      <c r="Q1502" s="9" t="s">
        <v>5347</v>
      </c>
      <c r="R1502" s="14" t="str">
        <f>HYPERLINK("https://my.pitchbook.com?c=253845-91T","View Company Online")</f>
        <v>View Company Online</v>
      </c>
    </row>
    <row r="1503" spans="1:18" hidden="1" x14ac:dyDescent="0.3">
      <c r="A1503" s="15" t="s">
        <v>5348</v>
      </c>
      <c r="B1503" s="15" t="s">
        <v>5349</v>
      </c>
      <c r="C1503" s="18" t="s">
        <v>28</v>
      </c>
      <c r="D1503" s="15" t="s">
        <v>5350</v>
      </c>
      <c r="E1503" s="18" t="s">
        <v>28</v>
      </c>
      <c r="F1503" s="19">
        <v>8.43</v>
      </c>
      <c r="G1503" s="19">
        <v>2.5299999999999998</v>
      </c>
      <c r="H1503" s="19">
        <v>8.43</v>
      </c>
      <c r="I1503" s="18" t="s">
        <v>28</v>
      </c>
      <c r="J1503" s="18" t="s">
        <v>28</v>
      </c>
      <c r="K1503" s="18" t="s">
        <v>28</v>
      </c>
      <c r="L1503" s="18" t="s">
        <v>28</v>
      </c>
      <c r="M1503" s="18" t="s">
        <v>28</v>
      </c>
      <c r="N1503" s="17">
        <v>45139</v>
      </c>
      <c r="O1503" s="15" t="s">
        <v>30</v>
      </c>
      <c r="P1503" s="16" t="s">
        <v>2344</v>
      </c>
      <c r="Q1503" s="15" t="s">
        <v>692</v>
      </c>
      <c r="R1503" s="13" t="str">
        <f>HYPERLINK("https://my.pitchbook.com?c=241647-22T","View Company Online")</f>
        <v>View Company Online</v>
      </c>
    </row>
    <row r="1504" spans="1:18" hidden="1" x14ac:dyDescent="0.3">
      <c r="A1504" s="9" t="s">
        <v>5351</v>
      </c>
      <c r="B1504" s="9" t="s">
        <v>5352</v>
      </c>
      <c r="C1504" s="11" t="s">
        <v>28</v>
      </c>
      <c r="D1504" s="9" t="s">
        <v>5353</v>
      </c>
      <c r="E1504" s="11" t="s">
        <v>28</v>
      </c>
      <c r="F1504" s="10" t="s">
        <v>28</v>
      </c>
      <c r="G1504" s="10" t="s">
        <v>28</v>
      </c>
      <c r="H1504" s="10" t="s">
        <v>28</v>
      </c>
      <c r="I1504" s="11" t="s">
        <v>28</v>
      </c>
      <c r="J1504" s="11" t="s">
        <v>28</v>
      </c>
      <c r="K1504" s="11" t="s">
        <v>28</v>
      </c>
      <c r="L1504" s="11" t="s">
        <v>28</v>
      </c>
      <c r="M1504" s="11" t="s">
        <v>28</v>
      </c>
      <c r="N1504" s="8">
        <v>45139</v>
      </c>
      <c r="O1504" s="9" t="s">
        <v>30</v>
      </c>
      <c r="P1504" s="12" t="s">
        <v>5354</v>
      </c>
      <c r="Q1504" s="9" t="s">
        <v>75</v>
      </c>
      <c r="R1504" s="14" t="str">
        <f>HYPERLINK("https://my.pitchbook.com?c=223718-68T","View Company Online")</f>
        <v>View Company Online</v>
      </c>
    </row>
    <row r="1505" spans="1:18" hidden="1" x14ac:dyDescent="0.3">
      <c r="A1505" s="15" t="s">
        <v>5355</v>
      </c>
      <c r="B1505" s="15" t="s">
        <v>5356</v>
      </c>
      <c r="C1505" s="18" t="s">
        <v>28</v>
      </c>
      <c r="D1505" s="15" t="s">
        <v>5357</v>
      </c>
      <c r="E1505" s="18" t="s">
        <v>28</v>
      </c>
      <c r="F1505" s="19" t="s">
        <v>28</v>
      </c>
      <c r="G1505" s="19" t="s">
        <v>28</v>
      </c>
      <c r="H1505" s="19" t="s">
        <v>28</v>
      </c>
      <c r="I1505" s="18" t="s">
        <v>28</v>
      </c>
      <c r="J1505" s="18" t="s">
        <v>28</v>
      </c>
      <c r="K1505" s="18" t="s">
        <v>28</v>
      </c>
      <c r="L1505" s="18" t="s">
        <v>28</v>
      </c>
      <c r="M1505" s="18" t="s">
        <v>28</v>
      </c>
      <c r="N1505" s="17">
        <v>45139</v>
      </c>
      <c r="O1505" s="15" t="s">
        <v>73</v>
      </c>
      <c r="P1505" s="16" t="s">
        <v>123</v>
      </c>
      <c r="Q1505" s="15" t="s">
        <v>75</v>
      </c>
      <c r="R1505" s="13" t="str">
        <f>HYPERLINK("https://my.pitchbook.com?c=233721-82T","View Company Online")</f>
        <v>View Company Online</v>
      </c>
    </row>
    <row r="1506" spans="1:18" hidden="1" x14ac:dyDescent="0.3">
      <c r="A1506" s="9" t="s">
        <v>5358</v>
      </c>
      <c r="B1506" s="9" t="s">
        <v>5359</v>
      </c>
      <c r="C1506" s="11" t="s">
        <v>28</v>
      </c>
      <c r="D1506" s="9" t="s">
        <v>5360</v>
      </c>
      <c r="E1506" s="11" t="s">
        <v>28</v>
      </c>
      <c r="F1506" s="10" t="s">
        <v>28</v>
      </c>
      <c r="G1506" s="10" t="s">
        <v>28</v>
      </c>
      <c r="H1506" s="10" t="s">
        <v>28</v>
      </c>
      <c r="I1506" s="11" t="s">
        <v>28</v>
      </c>
      <c r="J1506" s="11" t="s">
        <v>28</v>
      </c>
      <c r="K1506" s="11" t="s">
        <v>28</v>
      </c>
      <c r="L1506" s="11" t="s">
        <v>28</v>
      </c>
      <c r="M1506" s="11" t="s">
        <v>28</v>
      </c>
      <c r="N1506" s="8">
        <v>45139</v>
      </c>
      <c r="O1506" s="9" t="s">
        <v>73</v>
      </c>
      <c r="P1506" s="12" t="s">
        <v>123</v>
      </c>
      <c r="Q1506" s="9" t="s">
        <v>409</v>
      </c>
      <c r="R1506" s="14" t="str">
        <f>HYPERLINK("https://my.pitchbook.com?c=233719-84T","View Company Online")</f>
        <v>View Company Online</v>
      </c>
    </row>
    <row r="1507" spans="1:18" hidden="1" x14ac:dyDescent="0.3">
      <c r="A1507" s="15" t="s">
        <v>5361</v>
      </c>
      <c r="B1507" s="15" t="s">
        <v>5362</v>
      </c>
      <c r="C1507" s="18" t="s">
        <v>28</v>
      </c>
      <c r="D1507" s="15" t="s">
        <v>5363</v>
      </c>
      <c r="E1507" s="18" t="s">
        <v>28</v>
      </c>
      <c r="F1507" s="19" t="s">
        <v>28</v>
      </c>
      <c r="G1507" s="19" t="s">
        <v>28</v>
      </c>
      <c r="H1507" s="19" t="s">
        <v>28</v>
      </c>
      <c r="I1507" s="18">
        <v>61.9</v>
      </c>
      <c r="J1507" s="18" t="s">
        <v>28</v>
      </c>
      <c r="K1507" s="18">
        <v>108.64</v>
      </c>
      <c r="L1507" s="18" t="s">
        <v>28</v>
      </c>
      <c r="M1507" s="18" t="s">
        <v>28</v>
      </c>
      <c r="N1507" s="17">
        <v>45139</v>
      </c>
      <c r="O1507" s="15" t="s">
        <v>93</v>
      </c>
      <c r="P1507" s="16" t="s">
        <v>5364</v>
      </c>
      <c r="Q1507" s="15" t="s">
        <v>245</v>
      </c>
      <c r="R1507" s="13" t="str">
        <f>HYPERLINK("https://my.pitchbook.com?c=234395-20T","View Company Online")</f>
        <v>View Company Online</v>
      </c>
    </row>
    <row r="1508" spans="1:18" hidden="1" x14ac:dyDescent="0.3">
      <c r="A1508" s="9" t="s">
        <v>5365</v>
      </c>
      <c r="B1508" s="9" t="s">
        <v>3369</v>
      </c>
      <c r="C1508" s="11" t="s">
        <v>28</v>
      </c>
      <c r="D1508" s="9" t="s">
        <v>3370</v>
      </c>
      <c r="E1508" s="11">
        <v>15.27</v>
      </c>
      <c r="F1508" s="10" t="s">
        <v>28</v>
      </c>
      <c r="G1508" s="10" t="s">
        <v>28</v>
      </c>
      <c r="H1508" s="10" t="s">
        <v>28</v>
      </c>
      <c r="I1508" s="11">
        <v>97.34</v>
      </c>
      <c r="J1508" s="11" t="s">
        <v>28</v>
      </c>
      <c r="K1508" s="11">
        <v>731.69</v>
      </c>
      <c r="L1508" s="11" t="s">
        <v>28</v>
      </c>
      <c r="M1508" s="11">
        <v>-21.57</v>
      </c>
      <c r="N1508" s="8">
        <v>45139</v>
      </c>
      <c r="O1508" s="9" t="s">
        <v>159</v>
      </c>
      <c r="P1508" s="12" t="s">
        <v>5366</v>
      </c>
      <c r="Q1508" s="9" t="s">
        <v>169</v>
      </c>
      <c r="R1508" s="14" t="str">
        <f>HYPERLINK("https://my.pitchbook.com?c=200861-83T","View Company Online")</f>
        <v>View Company Online</v>
      </c>
    </row>
    <row r="1509" spans="1:18" hidden="1" x14ac:dyDescent="0.3">
      <c r="A1509" s="15" t="s">
        <v>5367</v>
      </c>
      <c r="B1509" s="15" t="s">
        <v>5368</v>
      </c>
      <c r="C1509" s="18" t="s">
        <v>28</v>
      </c>
      <c r="D1509" s="15" t="s">
        <v>5369</v>
      </c>
      <c r="E1509" s="18" t="s">
        <v>28</v>
      </c>
      <c r="F1509" s="19">
        <v>93.67</v>
      </c>
      <c r="G1509" s="19">
        <v>93.67</v>
      </c>
      <c r="H1509" s="19">
        <v>93.67</v>
      </c>
      <c r="I1509" s="18" t="s">
        <v>28</v>
      </c>
      <c r="J1509" s="18" t="s">
        <v>28</v>
      </c>
      <c r="K1509" s="18" t="s">
        <v>28</v>
      </c>
      <c r="L1509" s="18" t="s">
        <v>28</v>
      </c>
      <c r="M1509" s="18" t="s">
        <v>28</v>
      </c>
      <c r="N1509" s="17">
        <v>45138</v>
      </c>
      <c r="O1509" s="15" t="s">
        <v>41</v>
      </c>
      <c r="P1509" s="16" t="s">
        <v>5370</v>
      </c>
      <c r="Q1509" s="15" t="s">
        <v>183</v>
      </c>
      <c r="R1509" s="13" t="str">
        <f>HYPERLINK("https://my.pitchbook.com?c=204263-02T","View Company Online")</f>
        <v>View Company Online</v>
      </c>
    </row>
    <row r="1510" spans="1:18" hidden="1" x14ac:dyDescent="0.3">
      <c r="A1510" s="9" t="s">
        <v>5371</v>
      </c>
      <c r="B1510" s="9" t="s">
        <v>5372</v>
      </c>
      <c r="C1510" s="11" t="s">
        <v>28</v>
      </c>
      <c r="D1510" s="9" t="s">
        <v>5373</v>
      </c>
      <c r="E1510" s="11" t="s">
        <v>28</v>
      </c>
      <c r="F1510" s="10">
        <v>12.41</v>
      </c>
      <c r="G1510" s="10">
        <v>12.41</v>
      </c>
      <c r="H1510" s="10">
        <v>12.41</v>
      </c>
      <c r="I1510" s="11" t="s">
        <v>28</v>
      </c>
      <c r="J1510" s="11" t="s">
        <v>28</v>
      </c>
      <c r="K1510" s="11" t="s">
        <v>28</v>
      </c>
      <c r="L1510" s="11" t="s">
        <v>28</v>
      </c>
      <c r="M1510" s="11" t="s">
        <v>28</v>
      </c>
      <c r="N1510" s="8">
        <v>45138</v>
      </c>
      <c r="O1510" s="9" t="s">
        <v>30</v>
      </c>
      <c r="P1510" s="12" t="s">
        <v>5374</v>
      </c>
      <c r="Q1510" s="9" t="s">
        <v>85</v>
      </c>
      <c r="R1510" s="14" t="str">
        <f>HYPERLINK("https://my.pitchbook.com?c=232836-58T","View Company Online")</f>
        <v>View Company Online</v>
      </c>
    </row>
    <row r="1511" spans="1:18" hidden="1" x14ac:dyDescent="0.3">
      <c r="A1511" s="15" t="s">
        <v>5375</v>
      </c>
      <c r="B1511" s="15" t="s">
        <v>5376</v>
      </c>
      <c r="C1511" s="18" t="s">
        <v>28</v>
      </c>
      <c r="D1511" s="15" t="s">
        <v>5377</v>
      </c>
      <c r="E1511" s="18" t="s">
        <v>28</v>
      </c>
      <c r="F1511" s="19" t="s">
        <v>28</v>
      </c>
      <c r="G1511" s="19" t="s">
        <v>28</v>
      </c>
      <c r="H1511" s="19" t="s">
        <v>28</v>
      </c>
      <c r="I1511" s="18" t="s">
        <v>28</v>
      </c>
      <c r="J1511" s="18" t="s">
        <v>28</v>
      </c>
      <c r="K1511" s="18" t="s">
        <v>28</v>
      </c>
      <c r="L1511" s="18" t="s">
        <v>28</v>
      </c>
      <c r="M1511" s="18" t="s">
        <v>28</v>
      </c>
      <c r="N1511" s="17">
        <v>45138</v>
      </c>
      <c r="O1511" s="15" t="s">
        <v>58</v>
      </c>
      <c r="P1511" s="16" t="s">
        <v>5378</v>
      </c>
      <c r="Q1511" s="15" t="s">
        <v>240</v>
      </c>
      <c r="R1511" s="13" t="str">
        <f>HYPERLINK("https://my.pitchbook.com?c=232748-11T","View Company Online")</f>
        <v>View Company Online</v>
      </c>
    </row>
    <row r="1512" spans="1:18" hidden="1" x14ac:dyDescent="0.3">
      <c r="A1512" s="9" t="s">
        <v>5379</v>
      </c>
      <c r="B1512" s="9" t="s">
        <v>5380</v>
      </c>
      <c r="C1512" s="11" t="s">
        <v>28</v>
      </c>
      <c r="D1512" s="9" t="s">
        <v>5381</v>
      </c>
      <c r="E1512" s="11" t="s">
        <v>28</v>
      </c>
      <c r="F1512" s="10" t="s">
        <v>28</v>
      </c>
      <c r="G1512" s="10" t="s">
        <v>28</v>
      </c>
      <c r="H1512" s="10" t="s">
        <v>28</v>
      </c>
      <c r="I1512" s="11" t="s">
        <v>28</v>
      </c>
      <c r="J1512" s="11" t="s">
        <v>28</v>
      </c>
      <c r="K1512" s="11" t="s">
        <v>28</v>
      </c>
      <c r="L1512" s="11" t="s">
        <v>28</v>
      </c>
      <c r="M1512" s="11" t="s">
        <v>28</v>
      </c>
      <c r="N1512" s="8">
        <v>45138</v>
      </c>
      <c r="O1512" s="9" t="s">
        <v>41</v>
      </c>
      <c r="P1512" s="12" t="s">
        <v>5382</v>
      </c>
      <c r="Q1512" s="9" t="s">
        <v>1035</v>
      </c>
      <c r="R1512" s="14" t="str">
        <f>HYPERLINK("https://my.pitchbook.com?c=227974-78T","View Company Online")</f>
        <v>View Company Online</v>
      </c>
    </row>
    <row r="1513" spans="1:18" hidden="1" x14ac:dyDescent="0.3">
      <c r="A1513" s="15" t="s">
        <v>5383</v>
      </c>
      <c r="B1513" s="15" t="s">
        <v>5384</v>
      </c>
      <c r="C1513" s="18" t="s">
        <v>28</v>
      </c>
      <c r="D1513" s="15" t="s">
        <v>5385</v>
      </c>
      <c r="E1513" s="18" t="s">
        <v>28</v>
      </c>
      <c r="F1513" s="19" t="s">
        <v>28</v>
      </c>
      <c r="G1513" s="19" t="s">
        <v>28</v>
      </c>
      <c r="H1513" s="19" t="s">
        <v>28</v>
      </c>
      <c r="I1513" s="18" t="s">
        <v>28</v>
      </c>
      <c r="J1513" s="18" t="s">
        <v>28</v>
      </c>
      <c r="K1513" s="18">
        <v>310.11</v>
      </c>
      <c r="L1513" s="18" t="s">
        <v>28</v>
      </c>
      <c r="M1513" s="18">
        <v>21.61</v>
      </c>
      <c r="N1513" s="17">
        <v>45135</v>
      </c>
      <c r="O1513" s="15" t="s">
        <v>79</v>
      </c>
      <c r="P1513" s="16" t="s">
        <v>5386</v>
      </c>
      <c r="Q1513" s="15" t="s">
        <v>37</v>
      </c>
      <c r="R1513" s="13" t="str">
        <f>HYPERLINK("https://my.pitchbook.com?c=250230-34T","View Company Online")</f>
        <v>View Company Online</v>
      </c>
    </row>
    <row r="1514" spans="1:18" hidden="1" x14ac:dyDescent="0.3">
      <c r="A1514" s="9" t="s">
        <v>5387</v>
      </c>
      <c r="B1514" s="9" t="s">
        <v>5388</v>
      </c>
      <c r="C1514" s="11" t="s">
        <v>28</v>
      </c>
      <c r="D1514" s="9" t="s">
        <v>5389</v>
      </c>
      <c r="E1514" s="11" t="s">
        <v>28</v>
      </c>
      <c r="F1514" s="10" t="s">
        <v>28</v>
      </c>
      <c r="G1514" s="10" t="s">
        <v>28</v>
      </c>
      <c r="H1514" s="10" t="s">
        <v>28</v>
      </c>
      <c r="I1514" s="11" t="s">
        <v>28</v>
      </c>
      <c r="J1514" s="11" t="s">
        <v>28</v>
      </c>
      <c r="K1514" s="11" t="s">
        <v>28</v>
      </c>
      <c r="L1514" s="11" t="s">
        <v>28</v>
      </c>
      <c r="M1514" s="11" t="s">
        <v>28</v>
      </c>
      <c r="N1514" s="8">
        <v>45135</v>
      </c>
      <c r="O1514" s="9" t="s">
        <v>30</v>
      </c>
      <c r="P1514" s="12" t="s">
        <v>5390</v>
      </c>
      <c r="Q1514" s="9" t="s">
        <v>774</v>
      </c>
      <c r="R1514" s="14" t="str">
        <f>HYPERLINK("https://my.pitchbook.com?c=232936-39T","View Company Online")</f>
        <v>View Company Online</v>
      </c>
    </row>
    <row r="1515" spans="1:18" hidden="1" x14ac:dyDescent="0.3">
      <c r="A1515" s="15" t="s">
        <v>5391</v>
      </c>
      <c r="B1515" s="15" t="s">
        <v>5392</v>
      </c>
      <c r="C1515" s="18" t="s">
        <v>28</v>
      </c>
      <c r="D1515" s="15" t="s">
        <v>5393</v>
      </c>
      <c r="E1515" s="18">
        <v>575.28</v>
      </c>
      <c r="F1515" s="19" t="s">
        <v>28</v>
      </c>
      <c r="G1515" s="19" t="s">
        <v>28</v>
      </c>
      <c r="H1515" s="19" t="s">
        <v>28</v>
      </c>
      <c r="I1515" s="18">
        <v>813.36</v>
      </c>
      <c r="J1515" s="18" t="s">
        <v>28</v>
      </c>
      <c r="K1515" s="18">
        <v>11781.58</v>
      </c>
      <c r="L1515" s="18" t="s">
        <v>28</v>
      </c>
      <c r="M1515" s="18">
        <v>177.11</v>
      </c>
      <c r="N1515" s="17">
        <v>45135</v>
      </c>
      <c r="O1515" s="15" t="s">
        <v>159</v>
      </c>
      <c r="P1515" s="16" t="s">
        <v>5394</v>
      </c>
      <c r="Q1515" s="15" t="s">
        <v>109</v>
      </c>
      <c r="R1515" s="13" t="str">
        <f>HYPERLINK("https://my.pitchbook.com?c=233009-38T","View Company Online")</f>
        <v>View Company Online</v>
      </c>
    </row>
    <row r="1516" spans="1:18" hidden="1" x14ac:dyDescent="0.3">
      <c r="A1516" s="9" t="s">
        <v>5395</v>
      </c>
      <c r="B1516" s="9" t="s">
        <v>5396</v>
      </c>
      <c r="C1516" s="11" t="s">
        <v>28</v>
      </c>
      <c r="D1516" s="9" t="s">
        <v>5397</v>
      </c>
      <c r="E1516" s="11" t="s">
        <v>28</v>
      </c>
      <c r="F1516" s="10" t="s">
        <v>28</v>
      </c>
      <c r="G1516" s="10" t="s">
        <v>28</v>
      </c>
      <c r="H1516" s="10" t="s">
        <v>28</v>
      </c>
      <c r="I1516" s="11" t="s">
        <v>28</v>
      </c>
      <c r="J1516" s="11" t="s">
        <v>28</v>
      </c>
      <c r="K1516" s="11" t="s">
        <v>28</v>
      </c>
      <c r="L1516" s="11" t="s">
        <v>28</v>
      </c>
      <c r="M1516" s="11" t="s">
        <v>28</v>
      </c>
      <c r="N1516" s="8">
        <v>45135</v>
      </c>
      <c r="O1516" s="9" t="s">
        <v>30</v>
      </c>
      <c r="P1516" s="12" t="s">
        <v>5398</v>
      </c>
      <c r="Q1516" s="9" t="s">
        <v>245</v>
      </c>
      <c r="R1516" s="14" t="str">
        <f>HYPERLINK("https://my.pitchbook.com?c=232834-96T","View Company Online")</f>
        <v>View Company Online</v>
      </c>
    </row>
    <row r="1517" spans="1:18" hidden="1" x14ac:dyDescent="0.3">
      <c r="A1517" s="15" t="s">
        <v>5399</v>
      </c>
      <c r="B1517" s="15" t="s">
        <v>5400</v>
      </c>
      <c r="C1517" s="18" t="s">
        <v>28</v>
      </c>
      <c r="D1517" s="15" t="s">
        <v>5401</v>
      </c>
      <c r="E1517" s="18" t="s">
        <v>28</v>
      </c>
      <c r="F1517" s="19" t="s">
        <v>28</v>
      </c>
      <c r="G1517" s="19" t="s">
        <v>28</v>
      </c>
      <c r="H1517" s="19" t="s">
        <v>28</v>
      </c>
      <c r="I1517" s="18" t="s">
        <v>28</v>
      </c>
      <c r="J1517" s="18" t="s">
        <v>28</v>
      </c>
      <c r="K1517" s="18" t="s">
        <v>28</v>
      </c>
      <c r="L1517" s="18" t="s">
        <v>28</v>
      </c>
      <c r="M1517" s="18" t="s">
        <v>28</v>
      </c>
      <c r="N1517" s="17">
        <v>45134</v>
      </c>
      <c r="O1517" s="15" t="s">
        <v>30</v>
      </c>
      <c r="P1517" s="16" t="s">
        <v>4827</v>
      </c>
      <c r="Q1517" s="15" t="s">
        <v>75</v>
      </c>
      <c r="R1517" s="13" t="str">
        <f>HYPERLINK("https://my.pitchbook.com?c=158578-39T","View Company Online")</f>
        <v>View Company Online</v>
      </c>
    </row>
    <row r="1518" spans="1:18" hidden="1" x14ac:dyDescent="0.3">
      <c r="A1518" s="9" t="s">
        <v>5402</v>
      </c>
      <c r="B1518" s="9" t="s">
        <v>5403</v>
      </c>
      <c r="C1518" s="11" t="s">
        <v>28</v>
      </c>
      <c r="D1518" s="9" t="s">
        <v>5404</v>
      </c>
      <c r="E1518" s="11" t="s">
        <v>28</v>
      </c>
      <c r="F1518" s="10" t="s">
        <v>28</v>
      </c>
      <c r="G1518" s="10" t="s">
        <v>28</v>
      </c>
      <c r="H1518" s="10" t="s">
        <v>28</v>
      </c>
      <c r="I1518" s="11" t="s">
        <v>28</v>
      </c>
      <c r="J1518" s="11" t="s">
        <v>28</v>
      </c>
      <c r="K1518" s="11" t="s">
        <v>28</v>
      </c>
      <c r="L1518" s="11" t="s">
        <v>28</v>
      </c>
      <c r="M1518" s="11" t="s">
        <v>28</v>
      </c>
      <c r="N1518" s="8">
        <v>45133</v>
      </c>
      <c r="O1518" s="9" t="s">
        <v>173</v>
      </c>
      <c r="P1518" s="12" t="s">
        <v>28</v>
      </c>
      <c r="Q1518" s="9" t="s">
        <v>240</v>
      </c>
      <c r="R1518" s="14" t="str">
        <f>HYPERLINK("https://my.pitchbook.com?c=252912-88T","View Company Online")</f>
        <v>View Company Online</v>
      </c>
    </row>
    <row r="1519" spans="1:18" hidden="1" x14ac:dyDescent="0.3">
      <c r="A1519" s="15" t="s">
        <v>5405</v>
      </c>
      <c r="B1519" s="15" t="s">
        <v>5406</v>
      </c>
      <c r="C1519" s="18" t="s">
        <v>28</v>
      </c>
      <c r="D1519" s="15" t="s">
        <v>5407</v>
      </c>
      <c r="E1519" s="18" t="s">
        <v>28</v>
      </c>
      <c r="F1519" s="19" t="s">
        <v>28</v>
      </c>
      <c r="G1519" s="19" t="s">
        <v>28</v>
      </c>
      <c r="H1519" s="19" t="s">
        <v>28</v>
      </c>
      <c r="I1519" s="18" t="s">
        <v>28</v>
      </c>
      <c r="J1519" s="18" t="s">
        <v>28</v>
      </c>
      <c r="K1519" s="18" t="s">
        <v>28</v>
      </c>
      <c r="L1519" s="18" t="s">
        <v>28</v>
      </c>
      <c r="M1519" s="18" t="s">
        <v>28</v>
      </c>
      <c r="N1519" s="17">
        <v>45133</v>
      </c>
      <c r="O1519" s="15" t="s">
        <v>173</v>
      </c>
      <c r="P1519" s="16" t="s">
        <v>28</v>
      </c>
      <c r="Q1519" s="15" t="s">
        <v>174</v>
      </c>
      <c r="R1519" s="13" t="str">
        <f>HYPERLINK("https://my.pitchbook.com?c=232671-43T","View Company Online")</f>
        <v>View Company Online</v>
      </c>
    </row>
    <row r="1520" spans="1:18" hidden="1" x14ac:dyDescent="0.3">
      <c r="A1520" s="9" t="s">
        <v>5408</v>
      </c>
      <c r="B1520" s="9" t="s">
        <v>4483</v>
      </c>
      <c r="C1520" s="11" t="s">
        <v>28</v>
      </c>
      <c r="D1520" s="9" t="s">
        <v>4484</v>
      </c>
      <c r="E1520" s="11" t="s">
        <v>28</v>
      </c>
      <c r="F1520" s="10" t="s">
        <v>28</v>
      </c>
      <c r="G1520" s="10">
        <v>0.75</v>
      </c>
      <c r="H1520" s="10" t="s">
        <v>28</v>
      </c>
      <c r="I1520" s="11" t="s">
        <v>28</v>
      </c>
      <c r="J1520" s="11" t="s">
        <v>28</v>
      </c>
      <c r="K1520" s="11" t="s">
        <v>28</v>
      </c>
      <c r="L1520" s="11" t="s">
        <v>28</v>
      </c>
      <c r="M1520" s="11" t="s">
        <v>28</v>
      </c>
      <c r="N1520" s="8">
        <v>45133</v>
      </c>
      <c r="O1520" s="9" t="s">
        <v>379</v>
      </c>
      <c r="P1520" s="12" t="s">
        <v>5409</v>
      </c>
      <c r="Q1520" s="9" t="s">
        <v>75</v>
      </c>
      <c r="R1520" s="14" t="str">
        <f>HYPERLINK("https://my.pitchbook.com?c=227172-25T","View Company Online")</f>
        <v>View Company Online</v>
      </c>
    </row>
    <row r="1521" spans="1:18" hidden="1" x14ac:dyDescent="0.3">
      <c r="A1521" s="15" t="s">
        <v>5410</v>
      </c>
      <c r="B1521" s="15" t="s">
        <v>2949</v>
      </c>
      <c r="C1521" s="18" t="s">
        <v>28</v>
      </c>
      <c r="D1521" s="15" t="s">
        <v>2950</v>
      </c>
      <c r="E1521" s="18">
        <v>-18.079999999999998</v>
      </c>
      <c r="F1521" s="19" t="s">
        <v>28</v>
      </c>
      <c r="G1521" s="19">
        <v>10</v>
      </c>
      <c r="H1521" s="19" t="s">
        <v>28</v>
      </c>
      <c r="I1521" s="18">
        <v>-18.079999999999998</v>
      </c>
      <c r="J1521" s="18" t="s">
        <v>28</v>
      </c>
      <c r="K1521" s="18">
        <v>0.01</v>
      </c>
      <c r="L1521" s="18" t="s">
        <v>28</v>
      </c>
      <c r="M1521" s="18">
        <v>-16.62</v>
      </c>
      <c r="N1521" s="17">
        <v>45131</v>
      </c>
      <c r="O1521" s="15" t="s">
        <v>159</v>
      </c>
      <c r="P1521" s="16" t="s">
        <v>28</v>
      </c>
      <c r="Q1521" s="15" t="s">
        <v>2620</v>
      </c>
      <c r="R1521" s="13" t="str">
        <f>HYPERLINK("https://my.pitchbook.com?c=233682-04T","View Company Online")</f>
        <v>View Company Online</v>
      </c>
    </row>
    <row r="1522" spans="1:18" hidden="1" x14ac:dyDescent="0.3">
      <c r="A1522" s="9" t="s">
        <v>5411</v>
      </c>
      <c r="B1522" s="9" t="s">
        <v>5116</v>
      </c>
      <c r="C1522" s="11" t="s">
        <v>28</v>
      </c>
      <c r="D1522" s="9" t="s">
        <v>5117</v>
      </c>
      <c r="E1522" s="11" t="s">
        <v>28</v>
      </c>
      <c r="F1522" s="10" t="s">
        <v>28</v>
      </c>
      <c r="G1522" s="10">
        <v>0.42</v>
      </c>
      <c r="H1522" s="10" t="s">
        <v>28</v>
      </c>
      <c r="I1522" s="11" t="s">
        <v>28</v>
      </c>
      <c r="J1522" s="11" t="s">
        <v>28</v>
      </c>
      <c r="K1522" s="11">
        <v>0.49</v>
      </c>
      <c r="L1522" s="11" t="s">
        <v>28</v>
      </c>
      <c r="M1522" s="11" t="s">
        <v>28</v>
      </c>
      <c r="N1522" s="8">
        <v>45131</v>
      </c>
      <c r="O1522" s="9" t="s">
        <v>99</v>
      </c>
      <c r="P1522" s="12" t="s">
        <v>5412</v>
      </c>
      <c r="Q1522" s="9" t="s">
        <v>75</v>
      </c>
      <c r="R1522" s="14" t="str">
        <f>HYPERLINK("https://my.pitchbook.com?c=235056-07T","View Company Online")</f>
        <v>View Company Online</v>
      </c>
    </row>
    <row r="1523" spans="1:18" hidden="1" x14ac:dyDescent="0.3">
      <c r="A1523" s="15" t="s">
        <v>5413</v>
      </c>
      <c r="B1523" s="15" t="s">
        <v>5414</v>
      </c>
      <c r="C1523" s="18" t="s">
        <v>28</v>
      </c>
      <c r="D1523" s="15" t="s">
        <v>5415</v>
      </c>
      <c r="E1523" s="18" t="s">
        <v>28</v>
      </c>
      <c r="F1523" s="19" t="s">
        <v>28</v>
      </c>
      <c r="G1523" s="19" t="s">
        <v>28</v>
      </c>
      <c r="H1523" s="19" t="s">
        <v>28</v>
      </c>
      <c r="I1523" s="18" t="s">
        <v>28</v>
      </c>
      <c r="J1523" s="18" t="s">
        <v>28</v>
      </c>
      <c r="K1523" s="18" t="s">
        <v>28</v>
      </c>
      <c r="L1523" s="18" t="s">
        <v>28</v>
      </c>
      <c r="M1523" s="18" t="s">
        <v>28</v>
      </c>
      <c r="N1523" s="17">
        <v>45131</v>
      </c>
      <c r="O1523" s="15" t="s">
        <v>41</v>
      </c>
      <c r="P1523" s="16" t="s">
        <v>5416</v>
      </c>
      <c r="Q1523" s="15" t="s">
        <v>43</v>
      </c>
      <c r="R1523" s="13" t="str">
        <f>HYPERLINK("https://my.pitchbook.com?c=232291-54T","View Company Online")</f>
        <v>View Company Online</v>
      </c>
    </row>
    <row r="1524" spans="1:18" hidden="1" x14ac:dyDescent="0.3">
      <c r="A1524" s="9" t="s">
        <v>5417</v>
      </c>
      <c r="B1524" s="9" t="s">
        <v>5418</v>
      </c>
      <c r="C1524" s="11" t="s">
        <v>28</v>
      </c>
      <c r="D1524" s="9" t="s">
        <v>5419</v>
      </c>
      <c r="E1524" s="11" t="s">
        <v>28</v>
      </c>
      <c r="F1524" s="10" t="s">
        <v>28</v>
      </c>
      <c r="G1524" s="10" t="s">
        <v>28</v>
      </c>
      <c r="H1524" s="10" t="s">
        <v>28</v>
      </c>
      <c r="I1524" s="11" t="s">
        <v>28</v>
      </c>
      <c r="J1524" s="11" t="s">
        <v>28</v>
      </c>
      <c r="K1524" s="11">
        <v>50</v>
      </c>
      <c r="L1524" s="11" t="s">
        <v>28</v>
      </c>
      <c r="M1524" s="11" t="s">
        <v>28</v>
      </c>
      <c r="N1524" s="8">
        <v>45131</v>
      </c>
      <c r="O1524" s="9" t="s">
        <v>41</v>
      </c>
      <c r="P1524" s="12" t="s">
        <v>28</v>
      </c>
      <c r="Q1524" s="9" t="s">
        <v>188</v>
      </c>
      <c r="R1524" s="14" t="str">
        <f>HYPERLINK("https://my.pitchbook.com?c=233708-95T","View Company Online")</f>
        <v>View Company Online</v>
      </c>
    </row>
    <row r="1525" spans="1:18" hidden="1" x14ac:dyDescent="0.3">
      <c r="A1525" s="15" t="s">
        <v>5420</v>
      </c>
      <c r="B1525" s="15" t="s">
        <v>5421</v>
      </c>
      <c r="C1525" s="18" t="s">
        <v>28</v>
      </c>
      <c r="D1525" s="15" t="s">
        <v>5422</v>
      </c>
      <c r="E1525" s="18" t="s">
        <v>28</v>
      </c>
      <c r="F1525" s="19" t="s">
        <v>28</v>
      </c>
      <c r="G1525" s="19" t="s">
        <v>28</v>
      </c>
      <c r="H1525" s="19" t="s">
        <v>28</v>
      </c>
      <c r="I1525" s="18" t="s">
        <v>28</v>
      </c>
      <c r="J1525" s="18" t="s">
        <v>28</v>
      </c>
      <c r="K1525" s="18" t="s">
        <v>28</v>
      </c>
      <c r="L1525" s="18" t="s">
        <v>28</v>
      </c>
      <c r="M1525" s="18" t="s">
        <v>28</v>
      </c>
      <c r="N1525" s="17">
        <v>45128</v>
      </c>
      <c r="O1525" s="15" t="s">
        <v>30</v>
      </c>
      <c r="P1525" s="16" t="s">
        <v>5423</v>
      </c>
      <c r="Q1525" s="15" t="s">
        <v>85</v>
      </c>
      <c r="R1525" s="13" t="str">
        <f>HYPERLINK("https://my.pitchbook.com?c=240914-17T","View Company Online")</f>
        <v>View Company Online</v>
      </c>
    </row>
    <row r="1526" spans="1:18" hidden="1" x14ac:dyDescent="0.3">
      <c r="A1526" s="9" t="s">
        <v>5424</v>
      </c>
      <c r="B1526" s="9" t="s">
        <v>5425</v>
      </c>
      <c r="C1526" s="11" t="s">
        <v>28</v>
      </c>
      <c r="D1526" s="9" t="s">
        <v>5426</v>
      </c>
      <c r="E1526" s="11" t="s">
        <v>28</v>
      </c>
      <c r="F1526" s="10" t="s">
        <v>28</v>
      </c>
      <c r="G1526" s="10">
        <v>0.42</v>
      </c>
      <c r="H1526" s="10" t="s">
        <v>28</v>
      </c>
      <c r="I1526" s="11" t="s">
        <v>28</v>
      </c>
      <c r="J1526" s="11" t="s">
        <v>28</v>
      </c>
      <c r="K1526" s="11" t="s">
        <v>28</v>
      </c>
      <c r="L1526" s="11" t="s">
        <v>28</v>
      </c>
      <c r="M1526" s="11" t="s">
        <v>28</v>
      </c>
      <c r="N1526" s="8">
        <v>45128</v>
      </c>
      <c r="O1526" s="9" t="s">
        <v>99</v>
      </c>
      <c r="P1526" s="12" t="s">
        <v>5427</v>
      </c>
      <c r="Q1526" s="9" t="s">
        <v>75</v>
      </c>
      <c r="R1526" s="14" t="str">
        <f>HYPERLINK("https://my.pitchbook.com?c=287915-14T","View Company Online")</f>
        <v>View Company Online</v>
      </c>
    </row>
    <row r="1527" spans="1:18" hidden="1" x14ac:dyDescent="0.3">
      <c r="A1527" s="15" t="s">
        <v>5428</v>
      </c>
      <c r="B1527" s="15" t="s">
        <v>5097</v>
      </c>
      <c r="C1527" s="18" t="s">
        <v>28</v>
      </c>
      <c r="D1527" s="15" t="s">
        <v>5098</v>
      </c>
      <c r="E1527" s="18" t="s">
        <v>28</v>
      </c>
      <c r="F1527" s="19" t="s">
        <v>28</v>
      </c>
      <c r="G1527" s="19">
        <v>0.3</v>
      </c>
      <c r="H1527" s="19" t="s">
        <v>28</v>
      </c>
      <c r="I1527" s="18" t="s">
        <v>28</v>
      </c>
      <c r="J1527" s="18" t="s">
        <v>28</v>
      </c>
      <c r="K1527" s="18" t="s">
        <v>28</v>
      </c>
      <c r="L1527" s="18" t="s">
        <v>28</v>
      </c>
      <c r="M1527" s="18" t="s">
        <v>28</v>
      </c>
      <c r="N1527" s="17">
        <v>45128</v>
      </c>
      <c r="O1527" s="15" t="s">
        <v>79</v>
      </c>
      <c r="P1527" s="16" t="s">
        <v>5429</v>
      </c>
      <c r="Q1527" s="15" t="s">
        <v>37</v>
      </c>
      <c r="R1527" s="13" t="str">
        <f>HYPERLINK("https://my.pitchbook.com?c=232239-16T","View Company Online")</f>
        <v>View Company Online</v>
      </c>
    </row>
    <row r="1528" spans="1:18" hidden="1" x14ac:dyDescent="0.3">
      <c r="A1528" s="9" t="s">
        <v>5430</v>
      </c>
      <c r="B1528" s="9" t="s">
        <v>5431</v>
      </c>
      <c r="C1528" s="11" t="s">
        <v>28</v>
      </c>
      <c r="D1528" s="9" t="s">
        <v>5432</v>
      </c>
      <c r="E1528" s="11" t="s">
        <v>28</v>
      </c>
      <c r="F1528" s="10" t="s">
        <v>28</v>
      </c>
      <c r="G1528" s="10" t="s">
        <v>28</v>
      </c>
      <c r="H1528" s="10" t="s">
        <v>28</v>
      </c>
      <c r="I1528" s="11" t="s">
        <v>28</v>
      </c>
      <c r="J1528" s="11" t="s">
        <v>28</v>
      </c>
      <c r="K1528" s="11" t="s">
        <v>28</v>
      </c>
      <c r="L1528" s="11" t="s">
        <v>28</v>
      </c>
      <c r="M1528" s="11" t="s">
        <v>28</v>
      </c>
      <c r="N1528" s="8">
        <v>45128</v>
      </c>
      <c r="O1528" s="9" t="s">
        <v>30</v>
      </c>
      <c r="P1528" s="12" t="s">
        <v>5433</v>
      </c>
      <c r="Q1528" s="9" t="s">
        <v>75</v>
      </c>
      <c r="R1528" s="14" t="str">
        <f>HYPERLINK("https://my.pitchbook.com?c=232465-78T","View Company Online")</f>
        <v>View Company Online</v>
      </c>
    </row>
    <row r="1529" spans="1:18" hidden="1" x14ac:dyDescent="0.3">
      <c r="A1529" s="15" t="s">
        <v>5434</v>
      </c>
      <c r="B1529" s="15" t="s">
        <v>5435</v>
      </c>
      <c r="C1529" s="18" t="s">
        <v>28</v>
      </c>
      <c r="D1529" s="15" t="s">
        <v>5436</v>
      </c>
      <c r="E1529" s="18" t="s">
        <v>28</v>
      </c>
      <c r="F1529" s="19" t="s">
        <v>28</v>
      </c>
      <c r="G1529" s="19">
        <v>19.809999999999999</v>
      </c>
      <c r="H1529" s="19">
        <v>19.809999999999999</v>
      </c>
      <c r="I1529" s="18" t="s">
        <v>28</v>
      </c>
      <c r="J1529" s="18" t="s">
        <v>28</v>
      </c>
      <c r="K1529" s="18" t="s">
        <v>28</v>
      </c>
      <c r="L1529" s="18" t="s">
        <v>28</v>
      </c>
      <c r="M1529" s="18" t="s">
        <v>28</v>
      </c>
      <c r="N1529" s="17">
        <v>45128</v>
      </c>
      <c r="O1529" s="15" t="s">
        <v>30</v>
      </c>
      <c r="P1529" s="16" t="s">
        <v>5437</v>
      </c>
      <c r="Q1529" s="15" t="s">
        <v>188</v>
      </c>
      <c r="R1529" s="13" t="str">
        <f>HYPERLINK("https://my.pitchbook.com?c=232749-28T","View Company Online")</f>
        <v>View Company Online</v>
      </c>
    </row>
    <row r="1530" spans="1:18" hidden="1" x14ac:dyDescent="0.3">
      <c r="A1530" s="9" t="s">
        <v>5438</v>
      </c>
      <c r="B1530" s="9" t="s">
        <v>5439</v>
      </c>
      <c r="C1530" s="11" t="s">
        <v>28</v>
      </c>
      <c r="D1530" s="9" t="s">
        <v>5440</v>
      </c>
      <c r="E1530" s="11" t="s">
        <v>28</v>
      </c>
      <c r="F1530" s="10">
        <v>2.0699999999999998</v>
      </c>
      <c r="G1530" s="10">
        <v>2.0699999999999998</v>
      </c>
      <c r="H1530" s="10">
        <v>2.0699999999999998</v>
      </c>
      <c r="I1530" s="11" t="s">
        <v>28</v>
      </c>
      <c r="J1530" s="11" t="s">
        <v>28</v>
      </c>
      <c r="K1530" s="11" t="s">
        <v>28</v>
      </c>
      <c r="L1530" s="11" t="s">
        <v>28</v>
      </c>
      <c r="M1530" s="11" t="s">
        <v>28</v>
      </c>
      <c r="N1530" s="8">
        <v>45128</v>
      </c>
      <c r="O1530" s="9" t="s">
        <v>30</v>
      </c>
      <c r="P1530" s="12" t="s">
        <v>1960</v>
      </c>
      <c r="Q1530" s="9" t="s">
        <v>114</v>
      </c>
      <c r="R1530" s="14" t="str">
        <f>HYPERLINK("https://my.pitchbook.com?c=232236-64T","View Company Online")</f>
        <v>View Company Online</v>
      </c>
    </row>
    <row r="1531" spans="1:18" hidden="1" x14ac:dyDescent="0.3">
      <c r="A1531" s="15" t="s">
        <v>5441</v>
      </c>
      <c r="B1531" s="15" t="s">
        <v>5442</v>
      </c>
      <c r="C1531" s="18" t="s">
        <v>28</v>
      </c>
      <c r="D1531" s="15" t="s">
        <v>5443</v>
      </c>
      <c r="E1531" s="18" t="s">
        <v>28</v>
      </c>
      <c r="F1531" s="19" t="s">
        <v>28</v>
      </c>
      <c r="G1531" s="19" t="s">
        <v>28</v>
      </c>
      <c r="H1531" s="19" t="s">
        <v>28</v>
      </c>
      <c r="I1531" s="18" t="s">
        <v>28</v>
      </c>
      <c r="J1531" s="18" t="s">
        <v>28</v>
      </c>
      <c r="K1531" s="18" t="s">
        <v>28</v>
      </c>
      <c r="L1531" s="18" t="s">
        <v>28</v>
      </c>
      <c r="M1531" s="18" t="s">
        <v>28</v>
      </c>
      <c r="N1531" s="17">
        <v>45127</v>
      </c>
      <c r="O1531" s="15" t="s">
        <v>30</v>
      </c>
      <c r="P1531" s="16" t="s">
        <v>5444</v>
      </c>
      <c r="Q1531" s="15" t="s">
        <v>95</v>
      </c>
      <c r="R1531" s="13" t="str">
        <f>HYPERLINK("https://my.pitchbook.com?c=234505-54T","View Company Online")</f>
        <v>View Company Online</v>
      </c>
    </row>
    <row r="1532" spans="1:18" hidden="1" x14ac:dyDescent="0.3">
      <c r="A1532" s="9" t="s">
        <v>5445</v>
      </c>
      <c r="B1532" s="9" t="s">
        <v>5446</v>
      </c>
      <c r="C1532" s="11" t="s">
        <v>28</v>
      </c>
      <c r="D1532" s="9" t="s">
        <v>5447</v>
      </c>
      <c r="E1532" s="11" t="s">
        <v>28</v>
      </c>
      <c r="F1532" s="10" t="s">
        <v>28</v>
      </c>
      <c r="G1532" s="10" t="s">
        <v>28</v>
      </c>
      <c r="H1532" s="10" t="s">
        <v>28</v>
      </c>
      <c r="I1532" s="11" t="s">
        <v>28</v>
      </c>
      <c r="J1532" s="11" t="s">
        <v>28</v>
      </c>
      <c r="K1532" s="11" t="s">
        <v>28</v>
      </c>
      <c r="L1532" s="11" t="s">
        <v>28</v>
      </c>
      <c r="M1532" s="11" t="s">
        <v>28</v>
      </c>
      <c r="N1532" s="8">
        <v>45127</v>
      </c>
      <c r="O1532" s="9" t="s">
        <v>73</v>
      </c>
      <c r="P1532" s="12" t="s">
        <v>28</v>
      </c>
      <c r="Q1532" s="9" t="s">
        <v>362</v>
      </c>
      <c r="R1532" s="14" t="str">
        <f>HYPERLINK("https://my.pitchbook.com?c=228848-59T","View Company Online")</f>
        <v>View Company Online</v>
      </c>
    </row>
    <row r="1533" spans="1:18" hidden="1" x14ac:dyDescent="0.3">
      <c r="A1533" s="15" t="s">
        <v>5448</v>
      </c>
      <c r="B1533" s="15" t="s">
        <v>5449</v>
      </c>
      <c r="C1533" s="18" t="s">
        <v>28</v>
      </c>
      <c r="D1533" s="15" t="s">
        <v>5450</v>
      </c>
      <c r="E1533" s="18" t="s">
        <v>28</v>
      </c>
      <c r="F1533" s="19" t="s">
        <v>28</v>
      </c>
      <c r="G1533" s="19">
        <v>1.3</v>
      </c>
      <c r="H1533" s="19" t="s">
        <v>28</v>
      </c>
      <c r="I1533" s="18" t="s">
        <v>28</v>
      </c>
      <c r="J1533" s="18" t="s">
        <v>28</v>
      </c>
      <c r="K1533" s="18" t="s">
        <v>28</v>
      </c>
      <c r="L1533" s="18" t="s">
        <v>28</v>
      </c>
      <c r="M1533" s="18" t="s">
        <v>28</v>
      </c>
      <c r="N1533" s="17">
        <v>45127</v>
      </c>
      <c r="O1533" s="15" t="s">
        <v>99</v>
      </c>
      <c r="P1533" s="16" t="s">
        <v>28</v>
      </c>
      <c r="Q1533" s="15" t="s">
        <v>37</v>
      </c>
      <c r="R1533" s="13" t="str">
        <f>HYPERLINK("https://my.pitchbook.com?c=228756-07T","View Company Online")</f>
        <v>View Company Online</v>
      </c>
    </row>
    <row r="1534" spans="1:18" hidden="1" x14ac:dyDescent="0.3">
      <c r="A1534" s="9" t="s">
        <v>5451</v>
      </c>
      <c r="B1534" s="9" t="s">
        <v>5452</v>
      </c>
      <c r="C1534" s="11" t="s">
        <v>28</v>
      </c>
      <c r="D1534" s="9" t="s">
        <v>5453</v>
      </c>
      <c r="E1534" s="11" t="s">
        <v>28</v>
      </c>
      <c r="F1534" s="10" t="s">
        <v>28</v>
      </c>
      <c r="G1534" s="10">
        <v>2.4900000000000002</v>
      </c>
      <c r="H1534" s="10" t="s">
        <v>28</v>
      </c>
      <c r="I1534" s="11" t="s">
        <v>28</v>
      </c>
      <c r="J1534" s="11" t="s">
        <v>28</v>
      </c>
      <c r="K1534" s="11" t="s">
        <v>28</v>
      </c>
      <c r="L1534" s="11" t="s">
        <v>28</v>
      </c>
      <c r="M1534" s="11" t="s">
        <v>28</v>
      </c>
      <c r="N1534" s="8">
        <v>45127</v>
      </c>
      <c r="O1534" s="9" t="s">
        <v>79</v>
      </c>
      <c r="P1534" s="12" t="s">
        <v>5454</v>
      </c>
      <c r="Q1534" s="9" t="s">
        <v>75</v>
      </c>
      <c r="R1534" s="14" t="str">
        <f>HYPERLINK("https://my.pitchbook.com?c=228799-72T","View Company Online")</f>
        <v>View Company Online</v>
      </c>
    </row>
    <row r="1535" spans="1:18" hidden="1" x14ac:dyDescent="0.3">
      <c r="A1535" s="15" t="s">
        <v>5455</v>
      </c>
      <c r="B1535" s="15" t="s">
        <v>645</v>
      </c>
      <c r="C1535" s="18" t="s">
        <v>28</v>
      </c>
      <c r="D1535" s="15" t="s">
        <v>646</v>
      </c>
      <c r="E1535" s="18" t="s">
        <v>28</v>
      </c>
      <c r="F1535" s="19" t="s">
        <v>28</v>
      </c>
      <c r="G1535" s="19">
        <v>7.5</v>
      </c>
      <c r="H1535" s="19" t="s">
        <v>28</v>
      </c>
      <c r="I1535" s="18" t="s">
        <v>28</v>
      </c>
      <c r="J1535" s="18" t="s">
        <v>28</v>
      </c>
      <c r="K1535" s="18" t="s">
        <v>28</v>
      </c>
      <c r="L1535" s="18" t="s">
        <v>28</v>
      </c>
      <c r="M1535" s="18" t="s">
        <v>28</v>
      </c>
      <c r="N1535" s="17">
        <v>45126</v>
      </c>
      <c r="O1535" s="15" t="s">
        <v>79</v>
      </c>
      <c r="P1535" s="16" t="s">
        <v>2032</v>
      </c>
      <c r="Q1535" s="15" t="s">
        <v>75</v>
      </c>
      <c r="R1535" s="13" t="str">
        <f>HYPERLINK("https://my.pitchbook.com?c=202947-67T","View Company Online")</f>
        <v>View Company Online</v>
      </c>
    </row>
    <row r="1536" spans="1:18" hidden="1" x14ac:dyDescent="0.3">
      <c r="A1536" s="9" t="s">
        <v>5456</v>
      </c>
      <c r="B1536" s="9" t="s">
        <v>2112</v>
      </c>
      <c r="C1536" s="11" t="s">
        <v>28</v>
      </c>
      <c r="D1536" s="9" t="s">
        <v>2113</v>
      </c>
      <c r="E1536" s="11" t="s">
        <v>28</v>
      </c>
      <c r="F1536" s="10" t="s">
        <v>28</v>
      </c>
      <c r="G1536" s="10">
        <v>0.21</v>
      </c>
      <c r="H1536" s="10" t="s">
        <v>28</v>
      </c>
      <c r="I1536" s="11" t="s">
        <v>28</v>
      </c>
      <c r="J1536" s="11" t="s">
        <v>28</v>
      </c>
      <c r="K1536" s="11" t="s">
        <v>28</v>
      </c>
      <c r="L1536" s="11" t="s">
        <v>28</v>
      </c>
      <c r="M1536" s="11" t="s">
        <v>28</v>
      </c>
      <c r="N1536" s="8">
        <v>45126</v>
      </c>
      <c r="O1536" s="9" t="s">
        <v>52</v>
      </c>
      <c r="P1536" s="12" t="s">
        <v>5457</v>
      </c>
      <c r="Q1536" s="9" t="s">
        <v>105</v>
      </c>
      <c r="R1536" s="14" t="str">
        <f>HYPERLINK("https://my.pitchbook.com?c=232194-61T","View Company Online")</f>
        <v>View Company Online</v>
      </c>
    </row>
    <row r="1537" spans="1:18" hidden="1" x14ac:dyDescent="0.3">
      <c r="A1537" s="15" t="s">
        <v>5458</v>
      </c>
      <c r="B1537" s="15" t="s">
        <v>5459</v>
      </c>
      <c r="C1537" s="18" t="s">
        <v>28</v>
      </c>
      <c r="D1537" s="15" t="s">
        <v>5460</v>
      </c>
      <c r="E1537" s="18" t="s">
        <v>28</v>
      </c>
      <c r="F1537" s="19" t="s">
        <v>28</v>
      </c>
      <c r="G1537" s="19">
        <v>0.83</v>
      </c>
      <c r="H1537" s="19" t="s">
        <v>28</v>
      </c>
      <c r="I1537" s="18" t="s">
        <v>28</v>
      </c>
      <c r="J1537" s="18" t="s">
        <v>28</v>
      </c>
      <c r="K1537" s="18" t="s">
        <v>28</v>
      </c>
      <c r="L1537" s="18" t="s">
        <v>28</v>
      </c>
      <c r="M1537" s="18" t="s">
        <v>28</v>
      </c>
      <c r="N1537" s="17">
        <v>45126</v>
      </c>
      <c r="O1537" s="15" t="s">
        <v>99</v>
      </c>
      <c r="P1537" s="16" t="s">
        <v>5461</v>
      </c>
      <c r="Q1537" s="15" t="s">
        <v>740</v>
      </c>
      <c r="R1537" s="13" t="str">
        <f>HYPERLINK("https://my.pitchbook.com?c=218518-66T","View Company Online")</f>
        <v>View Company Online</v>
      </c>
    </row>
    <row r="1538" spans="1:18" hidden="1" x14ac:dyDescent="0.3">
      <c r="A1538" s="9" t="s">
        <v>5462</v>
      </c>
      <c r="B1538" s="9" t="s">
        <v>5463</v>
      </c>
      <c r="C1538" s="11" t="s">
        <v>28</v>
      </c>
      <c r="D1538" s="9" t="s">
        <v>5464</v>
      </c>
      <c r="E1538" s="11" t="s">
        <v>28</v>
      </c>
      <c r="F1538" s="10" t="s">
        <v>28</v>
      </c>
      <c r="G1538" s="10" t="s">
        <v>28</v>
      </c>
      <c r="H1538" s="10" t="s">
        <v>28</v>
      </c>
      <c r="I1538" s="11" t="s">
        <v>28</v>
      </c>
      <c r="J1538" s="11" t="s">
        <v>28</v>
      </c>
      <c r="K1538" s="11" t="s">
        <v>28</v>
      </c>
      <c r="L1538" s="11" t="s">
        <v>28</v>
      </c>
      <c r="M1538" s="11" t="s">
        <v>28</v>
      </c>
      <c r="N1538" s="8">
        <v>45126</v>
      </c>
      <c r="O1538" s="9" t="s">
        <v>52</v>
      </c>
      <c r="P1538" s="12" t="s">
        <v>1880</v>
      </c>
      <c r="Q1538" s="9" t="s">
        <v>75</v>
      </c>
      <c r="R1538" s="14" t="str">
        <f>HYPERLINK("https://my.pitchbook.com?c=251904-16T","View Company Online")</f>
        <v>View Company Online</v>
      </c>
    </row>
    <row r="1539" spans="1:18" hidden="1" x14ac:dyDescent="0.3">
      <c r="A1539" s="15" t="s">
        <v>5465</v>
      </c>
      <c r="B1539" s="15" t="s">
        <v>5466</v>
      </c>
      <c r="C1539" s="18" t="s">
        <v>28</v>
      </c>
      <c r="D1539" s="15" t="s">
        <v>5467</v>
      </c>
      <c r="E1539" s="18" t="s">
        <v>28</v>
      </c>
      <c r="F1539" s="19" t="s">
        <v>28</v>
      </c>
      <c r="G1539" s="19" t="s">
        <v>28</v>
      </c>
      <c r="H1539" s="19" t="s">
        <v>28</v>
      </c>
      <c r="I1539" s="18" t="s">
        <v>28</v>
      </c>
      <c r="J1539" s="18" t="s">
        <v>28</v>
      </c>
      <c r="K1539" s="18" t="s">
        <v>28</v>
      </c>
      <c r="L1539" s="18" t="s">
        <v>28</v>
      </c>
      <c r="M1539" s="18" t="s">
        <v>28</v>
      </c>
      <c r="N1539" s="17">
        <v>45125</v>
      </c>
      <c r="O1539" s="15" t="s">
        <v>52</v>
      </c>
      <c r="P1539" s="16" t="s">
        <v>1880</v>
      </c>
      <c r="Q1539" s="15" t="s">
        <v>75</v>
      </c>
      <c r="R1539" s="13" t="str">
        <f>HYPERLINK("https://my.pitchbook.com?c=251862-85T","View Company Online")</f>
        <v>View Company Online</v>
      </c>
    </row>
    <row r="1540" spans="1:18" hidden="1" x14ac:dyDescent="0.3">
      <c r="A1540" s="9" t="s">
        <v>5468</v>
      </c>
      <c r="B1540" s="9" t="s">
        <v>1123</v>
      </c>
      <c r="C1540" s="11" t="s">
        <v>28</v>
      </c>
      <c r="D1540" s="9" t="s">
        <v>1124</v>
      </c>
      <c r="E1540" s="11" t="s">
        <v>28</v>
      </c>
      <c r="F1540" s="10" t="s">
        <v>28</v>
      </c>
      <c r="G1540" s="10">
        <v>6.22</v>
      </c>
      <c r="H1540" s="10" t="s">
        <v>28</v>
      </c>
      <c r="I1540" s="11" t="s">
        <v>28</v>
      </c>
      <c r="J1540" s="11" t="s">
        <v>28</v>
      </c>
      <c r="K1540" s="11" t="s">
        <v>28</v>
      </c>
      <c r="L1540" s="11" t="s">
        <v>28</v>
      </c>
      <c r="M1540" s="11" t="s">
        <v>28</v>
      </c>
      <c r="N1540" s="8">
        <v>45125</v>
      </c>
      <c r="O1540" s="9" t="s">
        <v>79</v>
      </c>
      <c r="P1540" s="12" t="s">
        <v>5469</v>
      </c>
      <c r="Q1540" s="9" t="s">
        <v>75</v>
      </c>
      <c r="R1540" s="14" t="str">
        <f>HYPERLINK("https://my.pitchbook.com?c=213531-85T","View Company Online")</f>
        <v>View Company Online</v>
      </c>
    </row>
    <row r="1541" spans="1:18" hidden="1" x14ac:dyDescent="0.3">
      <c r="A1541" s="15" t="s">
        <v>5470</v>
      </c>
      <c r="B1541" s="15" t="s">
        <v>5471</v>
      </c>
      <c r="C1541" s="18" t="s">
        <v>28</v>
      </c>
      <c r="D1541" s="15" t="s">
        <v>5472</v>
      </c>
      <c r="E1541" s="18" t="s">
        <v>28</v>
      </c>
      <c r="F1541" s="19" t="s">
        <v>28</v>
      </c>
      <c r="G1541" s="19">
        <v>0.5</v>
      </c>
      <c r="H1541" s="19" t="s">
        <v>28</v>
      </c>
      <c r="I1541" s="18" t="s">
        <v>28</v>
      </c>
      <c r="J1541" s="18" t="s">
        <v>28</v>
      </c>
      <c r="K1541" s="18" t="s">
        <v>28</v>
      </c>
      <c r="L1541" s="18" t="s">
        <v>28</v>
      </c>
      <c r="M1541" s="18" t="s">
        <v>28</v>
      </c>
      <c r="N1541" s="17">
        <v>45125</v>
      </c>
      <c r="O1541" s="15" t="s">
        <v>52</v>
      </c>
      <c r="P1541" s="16" t="s">
        <v>3944</v>
      </c>
      <c r="Q1541" s="15" t="s">
        <v>75</v>
      </c>
      <c r="R1541" s="13" t="str">
        <f>HYPERLINK("https://my.pitchbook.com?c=249042-52T","View Company Online")</f>
        <v>View Company Online</v>
      </c>
    </row>
    <row r="1542" spans="1:18" hidden="1" x14ac:dyDescent="0.3">
      <c r="A1542" s="9" t="s">
        <v>5473</v>
      </c>
      <c r="B1542" s="9" t="s">
        <v>5474</v>
      </c>
      <c r="C1542" s="11" t="s">
        <v>28</v>
      </c>
      <c r="D1542" s="9" t="s">
        <v>5475</v>
      </c>
      <c r="E1542" s="11" t="s">
        <v>28</v>
      </c>
      <c r="F1542" s="10" t="s">
        <v>28</v>
      </c>
      <c r="G1542" s="10" t="s">
        <v>28</v>
      </c>
      <c r="H1542" s="10" t="s">
        <v>28</v>
      </c>
      <c r="I1542" s="11" t="s">
        <v>28</v>
      </c>
      <c r="J1542" s="11" t="s">
        <v>28</v>
      </c>
      <c r="K1542" s="11" t="s">
        <v>28</v>
      </c>
      <c r="L1542" s="11" t="s">
        <v>28</v>
      </c>
      <c r="M1542" s="11" t="s">
        <v>28</v>
      </c>
      <c r="N1542" s="8">
        <v>45125</v>
      </c>
      <c r="O1542" s="9" t="s">
        <v>52</v>
      </c>
      <c r="P1542" s="12" t="s">
        <v>5476</v>
      </c>
      <c r="Q1542" s="9" t="s">
        <v>75</v>
      </c>
      <c r="R1542" s="14" t="str">
        <f>HYPERLINK("https://my.pitchbook.com?c=301225-96T","View Company Online")</f>
        <v>View Company Online</v>
      </c>
    </row>
    <row r="1543" spans="1:18" hidden="1" x14ac:dyDescent="0.3">
      <c r="A1543" s="15" t="s">
        <v>5477</v>
      </c>
      <c r="B1543" s="15" t="s">
        <v>3533</v>
      </c>
      <c r="C1543" s="18" t="s">
        <v>28</v>
      </c>
      <c r="D1543" s="15" t="s">
        <v>3534</v>
      </c>
      <c r="E1543" s="18" t="s">
        <v>28</v>
      </c>
      <c r="F1543" s="19" t="s">
        <v>28</v>
      </c>
      <c r="G1543" s="19" t="s">
        <v>28</v>
      </c>
      <c r="H1543" s="19" t="s">
        <v>28</v>
      </c>
      <c r="I1543" s="18" t="s">
        <v>28</v>
      </c>
      <c r="J1543" s="18" t="s">
        <v>28</v>
      </c>
      <c r="K1543" s="18" t="s">
        <v>28</v>
      </c>
      <c r="L1543" s="18" t="s">
        <v>28</v>
      </c>
      <c r="M1543" s="18" t="s">
        <v>28</v>
      </c>
      <c r="N1543" s="17">
        <v>45125</v>
      </c>
      <c r="O1543" s="15" t="s">
        <v>52</v>
      </c>
      <c r="P1543" s="16" t="s">
        <v>2498</v>
      </c>
      <c r="Q1543" s="15" t="s">
        <v>75</v>
      </c>
      <c r="R1543" s="13" t="str">
        <f>HYPERLINK("https://my.pitchbook.com?c=251860-15T","View Company Online")</f>
        <v>View Company Online</v>
      </c>
    </row>
    <row r="1544" spans="1:18" hidden="1" x14ac:dyDescent="0.3">
      <c r="A1544" s="9" t="s">
        <v>5478</v>
      </c>
      <c r="B1544" s="9" t="s">
        <v>5479</v>
      </c>
      <c r="C1544" s="11" t="s">
        <v>28</v>
      </c>
      <c r="D1544" s="9" t="s">
        <v>5480</v>
      </c>
      <c r="E1544" s="11" t="s">
        <v>28</v>
      </c>
      <c r="F1544" s="10" t="s">
        <v>28</v>
      </c>
      <c r="G1544" s="10">
        <v>49</v>
      </c>
      <c r="H1544" s="10" t="s">
        <v>28</v>
      </c>
      <c r="I1544" s="11" t="s">
        <v>28</v>
      </c>
      <c r="J1544" s="11" t="s">
        <v>28</v>
      </c>
      <c r="K1544" s="11" t="s">
        <v>28</v>
      </c>
      <c r="L1544" s="11" t="s">
        <v>28</v>
      </c>
      <c r="M1544" s="11" t="s">
        <v>28</v>
      </c>
      <c r="N1544" s="8">
        <v>45125</v>
      </c>
      <c r="O1544" s="9" t="s">
        <v>73</v>
      </c>
      <c r="P1544" s="12" t="s">
        <v>5481</v>
      </c>
      <c r="Q1544" s="9" t="s">
        <v>1088</v>
      </c>
      <c r="R1544" s="14" t="str">
        <f>HYPERLINK("https://my.pitchbook.com?c=228593-44T","View Company Online")</f>
        <v>View Company Online</v>
      </c>
    </row>
    <row r="1545" spans="1:18" hidden="1" x14ac:dyDescent="0.3">
      <c r="A1545" s="15" t="s">
        <v>5482</v>
      </c>
      <c r="B1545" s="15" t="s">
        <v>5483</v>
      </c>
      <c r="C1545" s="18" t="s">
        <v>28</v>
      </c>
      <c r="D1545" s="15" t="s">
        <v>5484</v>
      </c>
      <c r="E1545" s="18">
        <v>57.11</v>
      </c>
      <c r="F1545" s="19" t="s">
        <v>28</v>
      </c>
      <c r="G1545" s="19">
        <v>207.57</v>
      </c>
      <c r="H1545" s="19" t="s">
        <v>28</v>
      </c>
      <c r="I1545" s="18">
        <v>89.07</v>
      </c>
      <c r="J1545" s="18" t="s">
        <v>28</v>
      </c>
      <c r="K1545" s="18">
        <v>1332.52</v>
      </c>
      <c r="L1545" s="18" t="s">
        <v>28</v>
      </c>
      <c r="M1545" s="18">
        <v>-19.149999999999999</v>
      </c>
      <c r="N1545" s="17">
        <v>45125</v>
      </c>
      <c r="O1545" s="15" t="s">
        <v>423</v>
      </c>
      <c r="P1545" s="16" t="s">
        <v>28</v>
      </c>
      <c r="Q1545" s="15" t="s">
        <v>119</v>
      </c>
      <c r="R1545" s="13" t="str">
        <f>HYPERLINK("https://my.pitchbook.com?c=228835-09T","View Company Online")</f>
        <v>View Company Online</v>
      </c>
    </row>
    <row r="1546" spans="1:18" hidden="1" x14ac:dyDescent="0.3">
      <c r="A1546" s="9" t="s">
        <v>5485</v>
      </c>
      <c r="B1546" s="9" t="s">
        <v>5486</v>
      </c>
      <c r="C1546" s="11" t="s">
        <v>28</v>
      </c>
      <c r="D1546" s="9" t="s">
        <v>5487</v>
      </c>
      <c r="E1546" s="11" t="s">
        <v>28</v>
      </c>
      <c r="F1546" s="10">
        <v>7.38</v>
      </c>
      <c r="G1546" s="10">
        <v>6.64</v>
      </c>
      <c r="H1546" s="10">
        <v>7.38</v>
      </c>
      <c r="I1546" s="11" t="s">
        <v>28</v>
      </c>
      <c r="J1546" s="11" t="s">
        <v>28</v>
      </c>
      <c r="K1546" s="11" t="s">
        <v>28</v>
      </c>
      <c r="L1546" s="11" t="s">
        <v>28</v>
      </c>
      <c r="M1546" s="11" t="s">
        <v>28</v>
      </c>
      <c r="N1546" s="8">
        <v>45125</v>
      </c>
      <c r="O1546" s="9" t="s">
        <v>30</v>
      </c>
      <c r="P1546" s="12" t="s">
        <v>5488</v>
      </c>
      <c r="Q1546" s="9" t="s">
        <v>75</v>
      </c>
      <c r="R1546" s="14" t="str">
        <f>HYPERLINK("https://my.pitchbook.com?c=234517-42T","View Company Online")</f>
        <v>View Company Online</v>
      </c>
    </row>
    <row r="1547" spans="1:18" hidden="1" x14ac:dyDescent="0.3">
      <c r="A1547" s="15" t="s">
        <v>5489</v>
      </c>
      <c r="B1547" s="15" t="s">
        <v>5490</v>
      </c>
      <c r="C1547" s="18" t="s">
        <v>28</v>
      </c>
      <c r="D1547" s="15" t="s">
        <v>5491</v>
      </c>
      <c r="E1547" s="18" t="s">
        <v>28</v>
      </c>
      <c r="F1547" s="19" t="s">
        <v>28</v>
      </c>
      <c r="G1547" s="19" t="s">
        <v>28</v>
      </c>
      <c r="H1547" s="19" t="s">
        <v>28</v>
      </c>
      <c r="I1547" s="18" t="s">
        <v>28</v>
      </c>
      <c r="J1547" s="18" t="s">
        <v>28</v>
      </c>
      <c r="K1547" s="18" t="s">
        <v>28</v>
      </c>
      <c r="L1547" s="18" t="s">
        <v>28</v>
      </c>
      <c r="M1547" s="18" t="s">
        <v>28</v>
      </c>
      <c r="N1547" s="17">
        <v>45125</v>
      </c>
      <c r="O1547" s="15" t="s">
        <v>52</v>
      </c>
      <c r="P1547" s="16" t="s">
        <v>1880</v>
      </c>
      <c r="Q1547" s="15" t="s">
        <v>54</v>
      </c>
      <c r="R1547" s="13" t="str">
        <f>HYPERLINK("https://my.pitchbook.com?c=251886-88T","View Company Online")</f>
        <v>View Company Online</v>
      </c>
    </row>
    <row r="1548" spans="1:18" hidden="1" x14ac:dyDescent="0.3">
      <c r="A1548" s="9" t="s">
        <v>5492</v>
      </c>
      <c r="B1548" s="9" t="s">
        <v>5493</v>
      </c>
      <c r="C1548" s="11" t="s">
        <v>28</v>
      </c>
      <c r="D1548" s="9" t="s">
        <v>5494</v>
      </c>
      <c r="E1548" s="11" t="s">
        <v>28</v>
      </c>
      <c r="F1548" s="10" t="s">
        <v>28</v>
      </c>
      <c r="G1548" s="10" t="s">
        <v>28</v>
      </c>
      <c r="H1548" s="10" t="s">
        <v>28</v>
      </c>
      <c r="I1548" s="11" t="s">
        <v>28</v>
      </c>
      <c r="J1548" s="11" t="s">
        <v>28</v>
      </c>
      <c r="K1548" s="11" t="s">
        <v>28</v>
      </c>
      <c r="L1548" s="11" t="s">
        <v>28</v>
      </c>
      <c r="M1548" s="11" t="s">
        <v>28</v>
      </c>
      <c r="N1548" s="8">
        <v>45125</v>
      </c>
      <c r="O1548" s="9" t="s">
        <v>30</v>
      </c>
      <c r="P1548" s="12" t="s">
        <v>5495</v>
      </c>
      <c r="Q1548" s="9" t="s">
        <v>1035</v>
      </c>
      <c r="R1548" s="14" t="str">
        <f>HYPERLINK("https://my.pitchbook.com?c=228573-37T","View Company Online")</f>
        <v>View Company Online</v>
      </c>
    </row>
    <row r="1549" spans="1:18" hidden="1" x14ac:dyDescent="0.3">
      <c r="A1549" s="15" t="s">
        <v>5496</v>
      </c>
      <c r="B1549" s="15" t="s">
        <v>5497</v>
      </c>
      <c r="C1549" s="18" t="s">
        <v>28</v>
      </c>
      <c r="D1549" s="15" t="s">
        <v>5498</v>
      </c>
      <c r="E1549" s="18" t="s">
        <v>28</v>
      </c>
      <c r="F1549" s="19" t="s">
        <v>28</v>
      </c>
      <c r="G1549" s="19" t="s">
        <v>28</v>
      </c>
      <c r="H1549" s="19" t="s">
        <v>28</v>
      </c>
      <c r="I1549" s="18" t="s">
        <v>28</v>
      </c>
      <c r="J1549" s="18" t="s">
        <v>28</v>
      </c>
      <c r="K1549" s="18" t="s">
        <v>28</v>
      </c>
      <c r="L1549" s="18" t="s">
        <v>28</v>
      </c>
      <c r="M1549" s="18" t="s">
        <v>28</v>
      </c>
      <c r="N1549" s="17">
        <v>45124</v>
      </c>
      <c r="O1549" s="15" t="s">
        <v>30</v>
      </c>
      <c r="P1549" s="16" t="s">
        <v>5499</v>
      </c>
      <c r="Q1549" s="15" t="s">
        <v>75</v>
      </c>
      <c r="R1549" s="13" t="str">
        <f>HYPERLINK("https://my.pitchbook.com?c=228483-91T","View Company Online")</f>
        <v>View Company Online</v>
      </c>
    </row>
    <row r="1550" spans="1:18" hidden="1" x14ac:dyDescent="0.3">
      <c r="A1550" s="9" t="s">
        <v>5500</v>
      </c>
      <c r="B1550" s="9" t="s">
        <v>5501</v>
      </c>
      <c r="C1550" s="11" t="s">
        <v>28</v>
      </c>
      <c r="D1550" s="9" t="s">
        <v>5502</v>
      </c>
      <c r="E1550" s="11" t="s">
        <v>28</v>
      </c>
      <c r="F1550" s="10" t="s">
        <v>28</v>
      </c>
      <c r="G1550" s="10" t="s">
        <v>28</v>
      </c>
      <c r="H1550" s="10" t="s">
        <v>28</v>
      </c>
      <c r="I1550" s="11" t="s">
        <v>28</v>
      </c>
      <c r="J1550" s="11" t="s">
        <v>28</v>
      </c>
      <c r="K1550" s="11" t="s">
        <v>28</v>
      </c>
      <c r="L1550" s="11" t="s">
        <v>28</v>
      </c>
      <c r="M1550" s="11" t="s">
        <v>28</v>
      </c>
      <c r="N1550" s="8">
        <v>45124</v>
      </c>
      <c r="O1550" s="9" t="s">
        <v>99</v>
      </c>
      <c r="P1550" s="12" t="s">
        <v>5503</v>
      </c>
      <c r="Q1550" s="9" t="s">
        <v>419</v>
      </c>
      <c r="R1550" s="14" t="str">
        <f>HYPERLINK("https://my.pitchbook.com?c=226684-81T","View Company Online")</f>
        <v>View Company Online</v>
      </c>
    </row>
    <row r="1551" spans="1:18" hidden="1" x14ac:dyDescent="0.3">
      <c r="A1551" s="15" t="s">
        <v>5504</v>
      </c>
      <c r="B1551" s="15" t="s">
        <v>5505</v>
      </c>
      <c r="C1551" s="18" t="s">
        <v>28</v>
      </c>
      <c r="D1551" s="15" t="s">
        <v>5506</v>
      </c>
      <c r="E1551" s="18" t="s">
        <v>28</v>
      </c>
      <c r="F1551" s="19" t="s">
        <v>28</v>
      </c>
      <c r="G1551" s="19" t="s">
        <v>28</v>
      </c>
      <c r="H1551" s="19" t="s">
        <v>28</v>
      </c>
      <c r="I1551" s="18" t="s">
        <v>28</v>
      </c>
      <c r="J1551" s="18" t="s">
        <v>28</v>
      </c>
      <c r="K1551" s="18" t="s">
        <v>28</v>
      </c>
      <c r="L1551" s="18" t="s">
        <v>28</v>
      </c>
      <c r="M1551" s="18" t="s">
        <v>28</v>
      </c>
      <c r="N1551" s="17">
        <v>45124</v>
      </c>
      <c r="O1551" s="15" t="s">
        <v>41</v>
      </c>
      <c r="P1551" s="16" t="s">
        <v>5507</v>
      </c>
      <c r="Q1551" s="15" t="s">
        <v>188</v>
      </c>
      <c r="R1551" s="13" t="str">
        <f>HYPERLINK("https://my.pitchbook.com?c=228520-27T","View Company Online")</f>
        <v>View Company Online</v>
      </c>
    </row>
    <row r="1552" spans="1:18" hidden="1" x14ac:dyDescent="0.3">
      <c r="A1552" s="9" t="s">
        <v>5508</v>
      </c>
      <c r="B1552" s="9" t="s">
        <v>5509</v>
      </c>
      <c r="C1552" s="11" t="s">
        <v>28</v>
      </c>
      <c r="D1552" s="9" t="s">
        <v>5510</v>
      </c>
      <c r="E1552" s="11" t="s">
        <v>28</v>
      </c>
      <c r="F1552" s="10" t="s">
        <v>28</v>
      </c>
      <c r="G1552" s="10">
        <v>3.11</v>
      </c>
      <c r="H1552" s="10" t="s">
        <v>28</v>
      </c>
      <c r="I1552" s="11" t="s">
        <v>28</v>
      </c>
      <c r="J1552" s="11" t="s">
        <v>28</v>
      </c>
      <c r="K1552" s="11" t="s">
        <v>28</v>
      </c>
      <c r="L1552" s="11" t="s">
        <v>28</v>
      </c>
      <c r="M1552" s="11" t="s">
        <v>28</v>
      </c>
      <c r="N1552" s="8">
        <v>45124</v>
      </c>
      <c r="O1552" s="9" t="s">
        <v>79</v>
      </c>
      <c r="P1552" s="12" t="s">
        <v>28</v>
      </c>
      <c r="Q1552" s="9" t="s">
        <v>75</v>
      </c>
      <c r="R1552" s="14" t="str">
        <f>HYPERLINK("https://my.pitchbook.com?c=228649-78T","View Company Online")</f>
        <v>View Company Online</v>
      </c>
    </row>
    <row r="1553" spans="1:18" hidden="1" x14ac:dyDescent="0.3">
      <c r="A1553" s="15" t="s">
        <v>5511</v>
      </c>
      <c r="B1553" s="15" t="s">
        <v>5512</v>
      </c>
      <c r="C1553" s="18" t="s">
        <v>28</v>
      </c>
      <c r="D1553" s="15" t="s">
        <v>5513</v>
      </c>
      <c r="E1553" s="18" t="s">
        <v>28</v>
      </c>
      <c r="F1553" s="19" t="s">
        <v>28</v>
      </c>
      <c r="G1553" s="19">
        <v>0.83</v>
      </c>
      <c r="H1553" s="19" t="s">
        <v>28</v>
      </c>
      <c r="I1553" s="18" t="s">
        <v>28</v>
      </c>
      <c r="J1553" s="18" t="s">
        <v>28</v>
      </c>
      <c r="K1553" s="18" t="s">
        <v>28</v>
      </c>
      <c r="L1553" s="18" t="s">
        <v>28</v>
      </c>
      <c r="M1553" s="18" t="s">
        <v>28</v>
      </c>
      <c r="N1553" s="17">
        <v>45124</v>
      </c>
      <c r="O1553" s="15" t="s">
        <v>73</v>
      </c>
      <c r="P1553" s="16" t="s">
        <v>5514</v>
      </c>
      <c r="Q1553" s="15" t="s">
        <v>75</v>
      </c>
      <c r="R1553" s="13" t="str">
        <f>HYPERLINK("https://my.pitchbook.com?c=207880-57T","View Company Online")</f>
        <v>View Company Online</v>
      </c>
    </row>
    <row r="1554" spans="1:18" hidden="1" x14ac:dyDescent="0.3">
      <c r="A1554" s="9" t="s">
        <v>5515</v>
      </c>
      <c r="B1554" s="9" t="s">
        <v>5516</v>
      </c>
      <c r="C1554" s="11" t="s">
        <v>28</v>
      </c>
      <c r="D1554" s="9" t="s">
        <v>5517</v>
      </c>
      <c r="E1554" s="11" t="s">
        <v>28</v>
      </c>
      <c r="F1554" s="10" t="s">
        <v>28</v>
      </c>
      <c r="G1554" s="10" t="s">
        <v>28</v>
      </c>
      <c r="H1554" s="10" t="s">
        <v>28</v>
      </c>
      <c r="I1554" s="11" t="s">
        <v>28</v>
      </c>
      <c r="J1554" s="11" t="s">
        <v>28</v>
      </c>
      <c r="K1554" s="11" t="s">
        <v>28</v>
      </c>
      <c r="L1554" s="11" t="s">
        <v>28</v>
      </c>
      <c r="M1554" s="11" t="s">
        <v>28</v>
      </c>
      <c r="N1554" s="8">
        <v>45122</v>
      </c>
      <c r="O1554" s="9" t="s">
        <v>30</v>
      </c>
      <c r="P1554" s="12" t="s">
        <v>5518</v>
      </c>
      <c r="Q1554" s="9" t="s">
        <v>566</v>
      </c>
      <c r="R1554" s="14" t="str">
        <f>HYPERLINK("https://my.pitchbook.com?c=228448-81T","View Company Online")</f>
        <v>View Company Online</v>
      </c>
    </row>
    <row r="1555" spans="1:18" hidden="1" x14ac:dyDescent="0.3">
      <c r="A1555" s="15" t="s">
        <v>5519</v>
      </c>
      <c r="B1555" s="15" t="s">
        <v>5520</v>
      </c>
      <c r="C1555" s="18" t="s">
        <v>28</v>
      </c>
      <c r="D1555" s="15" t="s">
        <v>5521</v>
      </c>
      <c r="E1555" s="18" t="s">
        <v>28</v>
      </c>
      <c r="F1555" s="19" t="s">
        <v>28</v>
      </c>
      <c r="G1555" s="19">
        <v>14.5</v>
      </c>
      <c r="H1555" s="19" t="s">
        <v>28</v>
      </c>
      <c r="I1555" s="18" t="s">
        <v>28</v>
      </c>
      <c r="J1555" s="18" t="s">
        <v>28</v>
      </c>
      <c r="K1555" s="18" t="s">
        <v>28</v>
      </c>
      <c r="L1555" s="18" t="s">
        <v>28</v>
      </c>
      <c r="M1555" s="18" t="s">
        <v>28</v>
      </c>
      <c r="N1555" s="17">
        <v>45121</v>
      </c>
      <c r="O1555" s="15" t="s">
        <v>73</v>
      </c>
      <c r="P1555" s="16" t="s">
        <v>5522</v>
      </c>
      <c r="Q1555" s="15" t="s">
        <v>114</v>
      </c>
      <c r="R1555" s="13" t="str">
        <f>HYPERLINK("https://my.pitchbook.com?c=228315-43T","View Company Online")</f>
        <v>View Company Online</v>
      </c>
    </row>
    <row r="1556" spans="1:18" hidden="1" x14ac:dyDescent="0.3">
      <c r="A1556" s="9" t="s">
        <v>5523</v>
      </c>
      <c r="B1556" s="9" t="s">
        <v>5524</v>
      </c>
      <c r="C1556" s="11" t="s">
        <v>28</v>
      </c>
      <c r="D1556" s="9" t="s">
        <v>5525</v>
      </c>
      <c r="E1556" s="11" t="s">
        <v>28</v>
      </c>
      <c r="F1556" s="10" t="s">
        <v>28</v>
      </c>
      <c r="G1556" s="10">
        <v>0.1</v>
      </c>
      <c r="H1556" s="10" t="s">
        <v>28</v>
      </c>
      <c r="I1556" s="11" t="s">
        <v>28</v>
      </c>
      <c r="J1556" s="11" t="s">
        <v>28</v>
      </c>
      <c r="K1556" s="11" t="s">
        <v>28</v>
      </c>
      <c r="L1556" s="11" t="s">
        <v>28</v>
      </c>
      <c r="M1556" s="11" t="s">
        <v>28</v>
      </c>
      <c r="N1556" s="8">
        <v>45121</v>
      </c>
      <c r="O1556" s="9" t="s">
        <v>99</v>
      </c>
      <c r="P1556" s="12" t="s">
        <v>5526</v>
      </c>
      <c r="Q1556" s="9" t="s">
        <v>566</v>
      </c>
      <c r="R1556" s="14" t="str">
        <f>HYPERLINK("https://my.pitchbook.com?c=228426-85T","View Company Online")</f>
        <v>View Company Online</v>
      </c>
    </row>
    <row r="1557" spans="1:18" hidden="1" x14ac:dyDescent="0.3">
      <c r="A1557" s="15" t="s">
        <v>5527</v>
      </c>
      <c r="B1557" s="15" t="s">
        <v>5524</v>
      </c>
      <c r="C1557" s="18" t="s">
        <v>28</v>
      </c>
      <c r="D1557" s="15" t="s">
        <v>5525</v>
      </c>
      <c r="E1557" s="18" t="s">
        <v>28</v>
      </c>
      <c r="F1557" s="19" t="s">
        <v>28</v>
      </c>
      <c r="G1557" s="19">
        <v>0.38</v>
      </c>
      <c r="H1557" s="19" t="s">
        <v>28</v>
      </c>
      <c r="I1557" s="18" t="s">
        <v>28</v>
      </c>
      <c r="J1557" s="18" t="s">
        <v>28</v>
      </c>
      <c r="K1557" s="18" t="s">
        <v>28</v>
      </c>
      <c r="L1557" s="18" t="s">
        <v>28</v>
      </c>
      <c r="M1557" s="18" t="s">
        <v>28</v>
      </c>
      <c r="N1557" s="17">
        <v>45121</v>
      </c>
      <c r="O1557" s="15" t="s">
        <v>1639</v>
      </c>
      <c r="P1557" s="16" t="s">
        <v>28</v>
      </c>
      <c r="Q1557" s="15" t="s">
        <v>566</v>
      </c>
      <c r="R1557" s="13" t="str">
        <f>HYPERLINK("https://my.pitchbook.com?c=228426-94T","View Company Online")</f>
        <v>View Company Online</v>
      </c>
    </row>
    <row r="1558" spans="1:18" hidden="1" x14ac:dyDescent="0.3">
      <c r="A1558" s="9" t="s">
        <v>5528</v>
      </c>
      <c r="B1558" s="9" t="s">
        <v>5529</v>
      </c>
      <c r="C1558" s="11" t="s">
        <v>28</v>
      </c>
      <c r="D1558" s="9" t="s">
        <v>5530</v>
      </c>
      <c r="E1558" s="11" t="s">
        <v>28</v>
      </c>
      <c r="F1558" s="10" t="s">
        <v>28</v>
      </c>
      <c r="G1558" s="10" t="s">
        <v>28</v>
      </c>
      <c r="H1558" s="10" t="s">
        <v>28</v>
      </c>
      <c r="I1558" s="11" t="s">
        <v>28</v>
      </c>
      <c r="J1558" s="11" t="s">
        <v>28</v>
      </c>
      <c r="K1558" s="11" t="s">
        <v>28</v>
      </c>
      <c r="L1558" s="11" t="s">
        <v>28</v>
      </c>
      <c r="M1558" s="11" t="s">
        <v>28</v>
      </c>
      <c r="N1558" s="8">
        <v>45121</v>
      </c>
      <c r="O1558" s="9" t="s">
        <v>79</v>
      </c>
      <c r="P1558" s="12" t="s">
        <v>5531</v>
      </c>
      <c r="Q1558" s="9" t="s">
        <v>37</v>
      </c>
      <c r="R1558" s="14" t="str">
        <f>HYPERLINK("https://my.pitchbook.com?c=243517-69T","View Company Online")</f>
        <v>View Company Online</v>
      </c>
    </row>
    <row r="1559" spans="1:18" hidden="1" x14ac:dyDescent="0.3">
      <c r="A1559" s="15" t="s">
        <v>5532</v>
      </c>
      <c r="B1559" s="15" t="s">
        <v>5533</v>
      </c>
      <c r="C1559" s="18" t="s">
        <v>28</v>
      </c>
      <c r="D1559" s="15" t="s">
        <v>5534</v>
      </c>
      <c r="E1559" s="18" t="s">
        <v>28</v>
      </c>
      <c r="F1559" s="19" t="s">
        <v>28</v>
      </c>
      <c r="G1559" s="19">
        <v>3.7</v>
      </c>
      <c r="H1559" s="19">
        <v>85.51</v>
      </c>
      <c r="I1559" s="18" t="s">
        <v>28</v>
      </c>
      <c r="J1559" s="18" t="s">
        <v>28</v>
      </c>
      <c r="K1559" s="18">
        <v>83.23</v>
      </c>
      <c r="L1559" s="18">
        <v>1.03</v>
      </c>
      <c r="M1559" s="18" t="s">
        <v>28</v>
      </c>
      <c r="N1559" s="17">
        <v>45121</v>
      </c>
      <c r="O1559" s="15" t="s">
        <v>79</v>
      </c>
      <c r="P1559" s="16" t="s">
        <v>5535</v>
      </c>
      <c r="Q1559" s="15" t="s">
        <v>409</v>
      </c>
      <c r="R1559" s="13" t="str">
        <f>HYPERLINK("https://my.pitchbook.com?c=242312-05T","View Company Online")</f>
        <v>View Company Online</v>
      </c>
    </row>
    <row r="1560" spans="1:18" hidden="1" x14ac:dyDescent="0.3">
      <c r="A1560" s="9" t="s">
        <v>5536</v>
      </c>
      <c r="B1560" s="9" t="s">
        <v>279</v>
      </c>
      <c r="C1560" s="11" t="s">
        <v>28</v>
      </c>
      <c r="D1560" s="9" t="s">
        <v>2280</v>
      </c>
      <c r="E1560" s="11">
        <v>-103.44</v>
      </c>
      <c r="F1560" s="10" t="s">
        <v>28</v>
      </c>
      <c r="G1560" s="10">
        <v>1118.8900000000001</v>
      </c>
      <c r="H1560" s="10" t="s">
        <v>28</v>
      </c>
      <c r="I1560" s="11">
        <v>500.57</v>
      </c>
      <c r="J1560" s="11" t="s">
        <v>28</v>
      </c>
      <c r="K1560" s="11">
        <v>10492.74</v>
      </c>
      <c r="L1560" s="11" t="s">
        <v>28</v>
      </c>
      <c r="M1560" s="11">
        <v>-673.35</v>
      </c>
      <c r="N1560" s="8">
        <v>45120</v>
      </c>
      <c r="O1560" s="9" t="s">
        <v>159</v>
      </c>
      <c r="P1560" s="12" t="s">
        <v>5537</v>
      </c>
      <c r="Q1560" s="9" t="s">
        <v>136</v>
      </c>
      <c r="R1560" s="14" t="str">
        <f>HYPERLINK("https://my.pitchbook.com?c=225311-41T","View Company Online")</f>
        <v>View Company Online</v>
      </c>
    </row>
    <row r="1561" spans="1:18" hidden="1" x14ac:dyDescent="0.3">
      <c r="A1561" s="15" t="s">
        <v>5538</v>
      </c>
      <c r="B1561" s="15" t="s">
        <v>5539</v>
      </c>
      <c r="C1561" s="18" t="s">
        <v>28</v>
      </c>
      <c r="D1561" s="15" t="s">
        <v>5540</v>
      </c>
      <c r="E1561" s="18" t="s">
        <v>28</v>
      </c>
      <c r="F1561" s="19" t="s">
        <v>28</v>
      </c>
      <c r="G1561" s="19">
        <v>5.88</v>
      </c>
      <c r="H1561" s="19">
        <v>5.88</v>
      </c>
      <c r="I1561" s="18" t="s">
        <v>28</v>
      </c>
      <c r="J1561" s="18" t="s">
        <v>28</v>
      </c>
      <c r="K1561" s="18" t="s">
        <v>28</v>
      </c>
      <c r="L1561" s="18" t="s">
        <v>28</v>
      </c>
      <c r="M1561" s="18" t="s">
        <v>28</v>
      </c>
      <c r="N1561" s="17">
        <v>45119</v>
      </c>
      <c r="O1561" s="15" t="s">
        <v>30</v>
      </c>
      <c r="P1561" s="16" t="s">
        <v>4004</v>
      </c>
      <c r="Q1561" s="15" t="s">
        <v>188</v>
      </c>
      <c r="R1561" s="13" t="str">
        <f>HYPERLINK("https://my.pitchbook.com?c=256682-71T","View Company Online")</f>
        <v>View Company Online</v>
      </c>
    </row>
    <row r="1562" spans="1:18" hidden="1" x14ac:dyDescent="0.3">
      <c r="A1562" s="9" t="s">
        <v>5541</v>
      </c>
      <c r="B1562" s="9" t="s">
        <v>5542</v>
      </c>
      <c r="C1562" s="11" t="s">
        <v>28</v>
      </c>
      <c r="D1562" s="9" t="s">
        <v>5543</v>
      </c>
      <c r="E1562" s="11" t="s">
        <v>28</v>
      </c>
      <c r="F1562" s="10" t="s">
        <v>28</v>
      </c>
      <c r="G1562" s="10" t="s">
        <v>28</v>
      </c>
      <c r="H1562" s="10" t="s">
        <v>28</v>
      </c>
      <c r="I1562" s="11" t="s">
        <v>28</v>
      </c>
      <c r="J1562" s="11" t="s">
        <v>28</v>
      </c>
      <c r="K1562" s="11" t="s">
        <v>28</v>
      </c>
      <c r="L1562" s="11" t="s">
        <v>28</v>
      </c>
      <c r="M1562" s="11" t="s">
        <v>28</v>
      </c>
      <c r="N1562" s="8">
        <v>45119</v>
      </c>
      <c r="O1562" s="9" t="s">
        <v>73</v>
      </c>
      <c r="P1562" s="12" t="s">
        <v>611</v>
      </c>
      <c r="Q1562" s="9" t="s">
        <v>75</v>
      </c>
      <c r="R1562" s="14" t="str">
        <f>HYPERLINK("https://my.pitchbook.com?c=227514-79T","View Company Online")</f>
        <v>View Company Online</v>
      </c>
    </row>
    <row r="1563" spans="1:18" hidden="1" x14ac:dyDescent="0.3">
      <c r="A1563" s="15" t="s">
        <v>5544</v>
      </c>
      <c r="B1563" s="15" t="s">
        <v>5545</v>
      </c>
      <c r="C1563" s="18" t="s">
        <v>28</v>
      </c>
      <c r="D1563" s="15" t="s">
        <v>5546</v>
      </c>
      <c r="E1563" s="18" t="s">
        <v>28</v>
      </c>
      <c r="F1563" s="19" t="s">
        <v>28</v>
      </c>
      <c r="G1563" s="19" t="s">
        <v>28</v>
      </c>
      <c r="H1563" s="19" t="s">
        <v>28</v>
      </c>
      <c r="I1563" s="18" t="s">
        <v>28</v>
      </c>
      <c r="J1563" s="18" t="s">
        <v>28</v>
      </c>
      <c r="K1563" s="18" t="s">
        <v>28</v>
      </c>
      <c r="L1563" s="18" t="s">
        <v>28</v>
      </c>
      <c r="M1563" s="18" t="s">
        <v>28</v>
      </c>
      <c r="N1563" s="17">
        <v>45119</v>
      </c>
      <c r="O1563" s="15" t="s">
        <v>30</v>
      </c>
      <c r="P1563" s="16" t="s">
        <v>5547</v>
      </c>
      <c r="Q1563" s="15" t="s">
        <v>245</v>
      </c>
      <c r="R1563" s="13" t="str">
        <f>HYPERLINK("https://my.pitchbook.com?c=228136-51T","View Company Online")</f>
        <v>View Company Online</v>
      </c>
    </row>
    <row r="1564" spans="1:18" hidden="1" x14ac:dyDescent="0.3">
      <c r="A1564" s="9" t="s">
        <v>5548</v>
      </c>
      <c r="B1564" s="9" t="s">
        <v>5549</v>
      </c>
      <c r="C1564" s="11" t="s">
        <v>28</v>
      </c>
      <c r="D1564" s="9" t="s">
        <v>5550</v>
      </c>
      <c r="E1564" s="11" t="s">
        <v>28</v>
      </c>
      <c r="F1564" s="10" t="s">
        <v>28</v>
      </c>
      <c r="G1564" s="10">
        <v>20.71</v>
      </c>
      <c r="H1564" s="10" t="s">
        <v>28</v>
      </c>
      <c r="I1564" s="11" t="s">
        <v>28</v>
      </c>
      <c r="J1564" s="11" t="s">
        <v>28</v>
      </c>
      <c r="K1564" s="11" t="s">
        <v>28</v>
      </c>
      <c r="L1564" s="11" t="s">
        <v>28</v>
      </c>
      <c r="M1564" s="11" t="s">
        <v>28</v>
      </c>
      <c r="N1564" s="8">
        <v>45119</v>
      </c>
      <c r="O1564" s="9" t="s">
        <v>79</v>
      </c>
      <c r="P1564" s="12" t="s">
        <v>5551</v>
      </c>
      <c r="Q1564" s="9" t="s">
        <v>404</v>
      </c>
      <c r="R1564" s="14" t="str">
        <f>HYPERLINK("https://my.pitchbook.com?c=228101-95T","View Company Online")</f>
        <v>View Company Online</v>
      </c>
    </row>
    <row r="1565" spans="1:18" hidden="1" x14ac:dyDescent="0.3">
      <c r="A1565" s="15" t="s">
        <v>5552</v>
      </c>
      <c r="B1565" s="15" t="s">
        <v>5553</v>
      </c>
      <c r="C1565" s="18" t="s">
        <v>28</v>
      </c>
      <c r="D1565" s="15" t="s">
        <v>5554</v>
      </c>
      <c r="E1565" s="18">
        <v>92.81</v>
      </c>
      <c r="F1565" s="19" t="s">
        <v>28</v>
      </c>
      <c r="G1565" s="19">
        <v>91.56</v>
      </c>
      <c r="H1565" s="19" t="s">
        <v>28</v>
      </c>
      <c r="I1565" s="18">
        <v>162.13</v>
      </c>
      <c r="J1565" s="18" t="s">
        <v>28</v>
      </c>
      <c r="K1565" s="18">
        <v>382.19</v>
      </c>
      <c r="L1565" s="18" t="s">
        <v>28</v>
      </c>
      <c r="M1565" s="18">
        <v>14.42</v>
      </c>
      <c r="N1565" s="17">
        <v>45119</v>
      </c>
      <c r="O1565" s="15" t="s">
        <v>423</v>
      </c>
      <c r="P1565" s="16" t="s">
        <v>28</v>
      </c>
      <c r="Q1565" s="15" t="s">
        <v>5347</v>
      </c>
      <c r="R1565" s="13" t="str">
        <f>HYPERLINK("https://my.pitchbook.com?c=228697-39T","View Company Online")</f>
        <v>View Company Online</v>
      </c>
    </row>
    <row r="1566" spans="1:18" hidden="1" x14ac:dyDescent="0.3">
      <c r="A1566" s="9" t="s">
        <v>5555</v>
      </c>
      <c r="B1566" s="9" t="s">
        <v>5556</v>
      </c>
      <c r="C1566" s="11" t="s">
        <v>28</v>
      </c>
      <c r="D1566" s="9" t="s">
        <v>5557</v>
      </c>
      <c r="E1566" s="11" t="s">
        <v>28</v>
      </c>
      <c r="F1566" s="10" t="s">
        <v>28</v>
      </c>
      <c r="G1566" s="10" t="s">
        <v>28</v>
      </c>
      <c r="H1566" s="10" t="s">
        <v>28</v>
      </c>
      <c r="I1566" s="11" t="s">
        <v>28</v>
      </c>
      <c r="J1566" s="11" t="s">
        <v>28</v>
      </c>
      <c r="K1566" s="11">
        <v>0.06</v>
      </c>
      <c r="L1566" s="11" t="s">
        <v>28</v>
      </c>
      <c r="M1566" s="11">
        <v>-0.09</v>
      </c>
      <c r="N1566" s="8">
        <v>45119</v>
      </c>
      <c r="O1566" s="9" t="s">
        <v>173</v>
      </c>
      <c r="P1566" s="12" t="s">
        <v>28</v>
      </c>
      <c r="Q1566" s="9" t="s">
        <v>174</v>
      </c>
      <c r="R1566" s="14" t="str">
        <f>HYPERLINK("https://my.pitchbook.com?c=267863-14T","View Company Online")</f>
        <v>View Company Online</v>
      </c>
    </row>
    <row r="1567" spans="1:18" hidden="1" x14ac:dyDescent="0.3">
      <c r="A1567" s="15" t="s">
        <v>5558</v>
      </c>
      <c r="B1567" s="15" t="s">
        <v>5559</v>
      </c>
      <c r="C1567" s="18" t="s">
        <v>28</v>
      </c>
      <c r="D1567" s="15" t="s">
        <v>5560</v>
      </c>
      <c r="E1567" s="18" t="s">
        <v>28</v>
      </c>
      <c r="F1567" s="19" t="s">
        <v>28</v>
      </c>
      <c r="G1567" s="19" t="s">
        <v>28</v>
      </c>
      <c r="H1567" s="19" t="s">
        <v>28</v>
      </c>
      <c r="I1567" s="18" t="s">
        <v>28</v>
      </c>
      <c r="J1567" s="18" t="s">
        <v>28</v>
      </c>
      <c r="K1567" s="18" t="s">
        <v>28</v>
      </c>
      <c r="L1567" s="18" t="s">
        <v>28</v>
      </c>
      <c r="M1567" s="18" t="s">
        <v>28</v>
      </c>
      <c r="N1567" s="17">
        <v>45118</v>
      </c>
      <c r="O1567" s="15" t="s">
        <v>41</v>
      </c>
      <c r="P1567" s="16" t="s">
        <v>5561</v>
      </c>
      <c r="Q1567" s="15" t="s">
        <v>692</v>
      </c>
      <c r="R1567" s="13" t="str">
        <f>HYPERLINK("https://my.pitchbook.com?c=228115-27T","View Company Online")</f>
        <v>View Company Online</v>
      </c>
    </row>
    <row r="1568" spans="1:18" hidden="1" x14ac:dyDescent="0.3">
      <c r="A1568" s="9" t="s">
        <v>5562</v>
      </c>
      <c r="B1568" s="9" t="s">
        <v>5563</v>
      </c>
      <c r="C1568" s="11" t="s">
        <v>28</v>
      </c>
      <c r="D1568" s="9" t="s">
        <v>5564</v>
      </c>
      <c r="E1568" s="11" t="s">
        <v>28</v>
      </c>
      <c r="F1568" s="10" t="s">
        <v>28</v>
      </c>
      <c r="G1568" s="10" t="s">
        <v>28</v>
      </c>
      <c r="H1568" s="10" t="s">
        <v>28</v>
      </c>
      <c r="I1568" s="11" t="s">
        <v>28</v>
      </c>
      <c r="J1568" s="11" t="s">
        <v>28</v>
      </c>
      <c r="K1568" s="11" t="s">
        <v>28</v>
      </c>
      <c r="L1568" s="11" t="s">
        <v>28</v>
      </c>
      <c r="M1568" s="11" t="s">
        <v>28</v>
      </c>
      <c r="N1568" s="8">
        <v>45117</v>
      </c>
      <c r="O1568" s="9" t="s">
        <v>41</v>
      </c>
      <c r="P1568" s="12" t="s">
        <v>5565</v>
      </c>
      <c r="Q1568" s="9" t="s">
        <v>522</v>
      </c>
      <c r="R1568" s="14" t="str">
        <f>HYPERLINK("https://my.pitchbook.com?c=228024-28T","View Company Online")</f>
        <v>View Company Online</v>
      </c>
    </row>
    <row r="1569" spans="1:18" hidden="1" x14ac:dyDescent="0.3">
      <c r="A1569" s="15" t="s">
        <v>5566</v>
      </c>
      <c r="B1569" s="15" t="s">
        <v>3045</v>
      </c>
      <c r="C1569" s="18" t="s">
        <v>28</v>
      </c>
      <c r="D1569" s="15" t="s">
        <v>3046</v>
      </c>
      <c r="E1569" s="18" t="s">
        <v>28</v>
      </c>
      <c r="F1569" s="19" t="s">
        <v>28</v>
      </c>
      <c r="G1569" s="19">
        <v>1.5</v>
      </c>
      <c r="H1569" s="19" t="s">
        <v>28</v>
      </c>
      <c r="I1569" s="18" t="s">
        <v>28</v>
      </c>
      <c r="J1569" s="18" t="s">
        <v>28</v>
      </c>
      <c r="K1569" s="18" t="s">
        <v>28</v>
      </c>
      <c r="L1569" s="18" t="s">
        <v>28</v>
      </c>
      <c r="M1569" s="18" t="s">
        <v>28</v>
      </c>
      <c r="N1569" s="17">
        <v>45117</v>
      </c>
      <c r="O1569" s="15" t="s">
        <v>79</v>
      </c>
      <c r="P1569" s="16" t="s">
        <v>5567</v>
      </c>
      <c r="Q1569" s="15" t="s">
        <v>3048</v>
      </c>
      <c r="R1569" s="13" t="str">
        <f>HYPERLINK("https://my.pitchbook.com?c=244019-26T","View Company Online")</f>
        <v>View Company Online</v>
      </c>
    </row>
    <row r="1570" spans="1:18" hidden="1" x14ac:dyDescent="0.3">
      <c r="A1570" s="9" t="s">
        <v>5568</v>
      </c>
      <c r="B1570" s="9" t="s">
        <v>5569</v>
      </c>
      <c r="C1570" s="11" t="s">
        <v>28</v>
      </c>
      <c r="D1570" s="9" t="s">
        <v>5570</v>
      </c>
      <c r="E1570" s="11" t="s">
        <v>28</v>
      </c>
      <c r="F1570" s="10" t="s">
        <v>28</v>
      </c>
      <c r="G1570" s="10" t="s">
        <v>28</v>
      </c>
      <c r="H1570" s="10" t="s">
        <v>28</v>
      </c>
      <c r="I1570" s="11" t="s">
        <v>28</v>
      </c>
      <c r="J1570" s="11" t="s">
        <v>28</v>
      </c>
      <c r="K1570" s="11" t="s">
        <v>28</v>
      </c>
      <c r="L1570" s="11" t="s">
        <v>28</v>
      </c>
      <c r="M1570" s="11" t="s">
        <v>28</v>
      </c>
      <c r="N1570" s="8">
        <v>45117</v>
      </c>
      <c r="O1570" s="9" t="s">
        <v>30</v>
      </c>
      <c r="P1570" s="12" t="s">
        <v>5571</v>
      </c>
      <c r="Q1570" s="9" t="s">
        <v>1051</v>
      </c>
      <c r="R1570" s="14" t="str">
        <f>HYPERLINK("https://my.pitchbook.com?c=228231-46T","View Company Online")</f>
        <v>View Company Online</v>
      </c>
    </row>
    <row r="1571" spans="1:18" hidden="1" x14ac:dyDescent="0.3">
      <c r="A1571" s="15" t="s">
        <v>5572</v>
      </c>
      <c r="B1571" s="15" t="s">
        <v>5573</v>
      </c>
      <c r="C1571" s="18" t="s">
        <v>28</v>
      </c>
      <c r="D1571" s="15" t="s">
        <v>5574</v>
      </c>
      <c r="E1571" s="18" t="s">
        <v>28</v>
      </c>
      <c r="F1571" s="19" t="s">
        <v>28</v>
      </c>
      <c r="G1571" s="19" t="s">
        <v>28</v>
      </c>
      <c r="H1571" s="19" t="s">
        <v>28</v>
      </c>
      <c r="I1571" s="18" t="s">
        <v>28</v>
      </c>
      <c r="J1571" s="18" t="s">
        <v>28</v>
      </c>
      <c r="K1571" s="18">
        <v>0.97</v>
      </c>
      <c r="L1571" s="18" t="s">
        <v>28</v>
      </c>
      <c r="M1571" s="18" t="s">
        <v>28</v>
      </c>
      <c r="N1571" s="17">
        <v>45117</v>
      </c>
      <c r="O1571" s="15" t="s">
        <v>52</v>
      </c>
      <c r="P1571" s="16" t="s">
        <v>5575</v>
      </c>
      <c r="Q1571" s="15" t="s">
        <v>404</v>
      </c>
      <c r="R1571" s="13" t="str">
        <f>HYPERLINK("https://my.pitchbook.com?c=284531-86T","View Company Online")</f>
        <v>View Company Online</v>
      </c>
    </row>
    <row r="1572" spans="1:18" hidden="1" x14ac:dyDescent="0.3">
      <c r="A1572" s="9" t="s">
        <v>5576</v>
      </c>
      <c r="B1572" s="9" t="s">
        <v>5577</v>
      </c>
      <c r="C1572" s="11" t="s">
        <v>28</v>
      </c>
      <c r="D1572" s="9" t="s">
        <v>5578</v>
      </c>
      <c r="E1572" s="11" t="s">
        <v>28</v>
      </c>
      <c r="F1572" s="10" t="s">
        <v>28</v>
      </c>
      <c r="G1572" s="10">
        <v>0.27</v>
      </c>
      <c r="H1572" s="10" t="s">
        <v>28</v>
      </c>
      <c r="I1572" s="11" t="s">
        <v>28</v>
      </c>
      <c r="J1572" s="11" t="s">
        <v>28</v>
      </c>
      <c r="K1572" s="11" t="s">
        <v>28</v>
      </c>
      <c r="L1572" s="11" t="s">
        <v>28</v>
      </c>
      <c r="M1572" s="11" t="s">
        <v>28</v>
      </c>
      <c r="N1572" s="8">
        <v>45115</v>
      </c>
      <c r="O1572" s="9" t="s">
        <v>47</v>
      </c>
      <c r="P1572" s="12" t="s">
        <v>5579</v>
      </c>
      <c r="Q1572" s="9" t="s">
        <v>832</v>
      </c>
      <c r="R1572" s="14" t="str">
        <f>HYPERLINK("https://my.pitchbook.com?c=234359-20T","View Company Online")</f>
        <v>View Company Online</v>
      </c>
    </row>
    <row r="1573" spans="1:18" hidden="1" x14ac:dyDescent="0.3">
      <c r="A1573" s="15" t="s">
        <v>5580</v>
      </c>
      <c r="B1573" s="15" t="s">
        <v>1731</v>
      </c>
      <c r="C1573" s="18" t="s">
        <v>28</v>
      </c>
      <c r="D1573" s="15" t="s">
        <v>1732</v>
      </c>
      <c r="E1573" s="18" t="s">
        <v>28</v>
      </c>
      <c r="F1573" s="19" t="s">
        <v>28</v>
      </c>
      <c r="G1573" s="19" t="s">
        <v>28</v>
      </c>
      <c r="H1573" s="19" t="s">
        <v>28</v>
      </c>
      <c r="I1573" s="18" t="s">
        <v>28</v>
      </c>
      <c r="J1573" s="18" t="s">
        <v>28</v>
      </c>
      <c r="K1573" s="18" t="s">
        <v>28</v>
      </c>
      <c r="L1573" s="18" t="s">
        <v>28</v>
      </c>
      <c r="M1573" s="18" t="s">
        <v>28</v>
      </c>
      <c r="N1573" s="17">
        <v>45114</v>
      </c>
      <c r="O1573" s="15" t="s">
        <v>73</v>
      </c>
      <c r="P1573" s="16" t="s">
        <v>5581</v>
      </c>
      <c r="Q1573" s="15" t="s">
        <v>1734</v>
      </c>
      <c r="R1573" s="13" t="str">
        <f>HYPERLINK("https://my.pitchbook.com?c=228028-60T","View Company Online")</f>
        <v>View Company Online</v>
      </c>
    </row>
    <row r="1574" spans="1:18" hidden="1" x14ac:dyDescent="0.3">
      <c r="A1574" s="9" t="s">
        <v>5582</v>
      </c>
      <c r="B1574" s="9" t="s">
        <v>3403</v>
      </c>
      <c r="C1574" s="11" t="s">
        <v>28</v>
      </c>
      <c r="D1574" s="9" t="s">
        <v>3404</v>
      </c>
      <c r="E1574" s="11" t="s">
        <v>28</v>
      </c>
      <c r="F1574" s="10" t="s">
        <v>28</v>
      </c>
      <c r="G1574" s="10">
        <v>9.31</v>
      </c>
      <c r="H1574" s="10" t="s">
        <v>28</v>
      </c>
      <c r="I1574" s="11" t="s">
        <v>28</v>
      </c>
      <c r="J1574" s="11" t="s">
        <v>28</v>
      </c>
      <c r="K1574" s="11" t="s">
        <v>28</v>
      </c>
      <c r="L1574" s="11" t="s">
        <v>28</v>
      </c>
      <c r="M1574" s="11" t="s">
        <v>28</v>
      </c>
      <c r="N1574" s="8">
        <v>45114</v>
      </c>
      <c r="O1574" s="9" t="s">
        <v>79</v>
      </c>
      <c r="P1574" s="12" t="s">
        <v>5583</v>
      </c>
      <c r="Q1574" s="9" t="s">
        <v>37</v>
      </c>
      <c r="R1574" s="14" t="str">
        <f>HYPERLINK("https://my.pitchbook.com?c=195984-73T","View Company Online")</f>
        <v>View Company Online</v>
      </c>
    </row>
    <row r="1575" spans="1:18" hidden="1" x14ac:dyDescent="0.3">
      <c r="A1575" s="15" t="s">
        <v>5584</v>
      </c>
      <c r="B1575" s="15" t="s">
        <v>5585</v>
      </c>
      <c r="C1575" s="18" t="s">
        <v>28</v>
      </c>
      <c r="D1575" s="15" t="s">
        <v>5586</v>
      </c>
      <c r="E1575" s="18" t="s">
        <v>28</v>
      </c>
      <c r="F1575" s="19">
        <v>1000</v>
      </c>
      <c r="G1575" s="19">
        <v>1000</v>
      </c>
      <c r="H1575" s="19">
        <v>1000</v>
      </c>
      <c r="I1575" s="18" t="s">
        <v>28</v>
      </c>
      <c r="J1575" s="18" t="s">
        <v>28</v>
      </c>
      <c r="K1575" s="18" t="s">
        <v>28</v>
      </c>
      <c r="L1575" s="18" t="s">
        <v>28</v>
      </c>
      <c r="M1575" s="18" t="s">
        <v>28</v>
      </c>
      <c r="N1575" s="17">
        <v>45114</v>
      </c>
      <c r="O1575" s="15" t="s">
        <v>30</v>
      </c>
      <c r="P1575" s="16" t="s">
        <v>5587</v>
      </c>
      <c r="Q1575" s="15" t="s">
        <v>37</v>
      </c>
      <c r="R1575" s="13" t="str">
        <f>HYPERLINK("https://my.pitchbook.com?c=219142-27T","View Company Online")</f>
        <v>View Company Online</v>
      </c>
    </row>
    <row r="1576" spans="1:18" hidden="1" x14ac:dyDescent="0.3">
      <c r="A1576" s="9" t="s">
        <v>5588</v>
      </c>
      <c r="B1576" s="9" t="s">
        <v>5589</v>
      </c>
      <c r="C1576" s="11" t="s">
        <v>28</v>
      </c>
      <c r="D1576" s="9" t="s">
        <v>5590</v>
      </c>
      <c r="E1576" s="11" t="s">
        <v>28</v>
      </c>
      <c r="F1576" s="10" t="s">
        <v>28</v>
      </c>
      <c r="G1576" s="10" t="s">
        <v>28</v>
      </c>
      <c r="H1576" s="10" t="s">
        <v>28</v>
      </c>
      <c r="I1576" s="11" t="s">
        <v>28</v>
      </c>
      <c r="J1576" s="11" t="s">
        <v>28</v>
      </c>
      <c r="K1576" s="11" t="s">
        <v>28</v>
      </c>
      <c r="L1576" s="11" t="s">
        <v>28</v>
      </c>
      <c r="M1576" s="11" t="s">
        <v>28</v>
      </c>
      <c r="N1576" s="8">
        <v>45114</v>
      </c>
      <c r="O1576" s="9" t="s">
        <v>30</v>
      </c>
      <c r="P1576" s="12" t="s">
        <v>5591</v>
      </c>
      <c r="Q1576" s="9" t="s">
        <v>1068</v>
      </c>
      <c r="R1576" s="14" t="str">
        <f>HYPERLINK("https://my.pitchbook.com?c=227830-15T","View Company Online")</f>
        <v>View Company Online</v>
      </c>
    </row>
    <row r="1577" spans="1:18" hidden="1" x14ac:dyDescent="0.3">
      <c r="A1577" s="15" t="s">
        <v>5592</v>
      </c>
      <c r="B1577" s="15" t="s">
        <v>5593</v>
      </c>
      <c r="C1577" s="18" t="s">
        <v>28</v>
      </c>
      <c r="D1577" s="15" t="s">
        <v>5594</v>
      </c>
      <c r="E1577" s="18" t="s">
        <v>28</v>
      </c>
      <c r="F1577" s="19" t="s">
        <v>28</v>
      </c>
      <c r="G1577" s="19">
        <v>12</v>
      </c>
      <c r="H1577" s="19" t="s">
        <v>28</v>
      </c>
      <c r="I1577" s="18" t="s">
        <v>28</v>
      </c>
      <c r="J1577" s="18" t="s">
        <v>28</v>
      </c>
      <c r="K1577" s="18" t="s">
        <v>28</v>
      </c>
      <c r="L1577" s="18" t="s">
        <v>28</v>
      </c>
      <c r="M1577" s="18" t="s">
        <v>28</v>
      </c>
      <c r="N1577" s="17">
        <v>45114</v>
      </c>
      <c r="O1577" s="15" t="s">
        <v>93</v>
      </c>
      <c r="P1577" s="16" t="s">
        <v>5595</v>
      </c>
      <c r="Q1577" s="15" t="s">
        <v>245</v>
      </c>
      <c r="R1577" s="13" t="str">
        <f>HYPERLINK("https://my.pitchbook.com?c=256487-68T","View Company Online")</f>
        <v>View Company Online</v>
      </c>
    </row>
    <row r="1578" spans="1:18" hidden="1" x14ac:dyDescent="0.3">
      <c r="A1578" s="9" t="s">
        <v>5596</v>
      </c>
      <c r="B1578" s="9" t="s">
        <v>5597</v>
      </c>
      <c r="C1578" s="11" t="s">
        <v>28</v>
      </c>
      <c r="D1578" s="9" t="s">
        <v>5598</v>
      </c>
      <c r="E1578" s="11" t="s">
        <v>28</v>
      </c>
      <c r="F1578" s="10" t="s">
        <v>28</v>
      </c>
      <c r="G1578" s="10" t="s">
        <v>28</v>
      </c>
      <c r="H1578" s="10" t="s">
        <v>28</v>
      </c>
      <c r="I1578" s="11" t="s">
        <v>28</v>
      </c>
      <c r="J1578" s="11" t="s">
        <v>28</v>
      </c>
      <c r="K1578" s="11" t="s">
        <v>28</v>
      </c>
      <c r="L1578" s="11" t="s">
        <v>28</v>
      </c>
      <c r="M1578" s="11">
        <v>0.06</v>
      </c>
      <c r="N1578" s="8">
        <v>45113</v>
      </c>
      <c r="O1578" s="9" t="s">
        <v>173</v>
      </c>
      <c r="P1578" s="12" t="s">
        <v>28</v>
      </c>
      <c r="Q1578" s="9" t="s">
        <v>240</v>
      </c>
      <c r="R1578" s="14" t="str">
        <f>HYPERLINK("https://my.pitchbook.com?c=227903-32T","View Company Online")</f>
        <v>View Company Online</v>
      </c>
    </row>
    <row r="1579" spans="1:18" hidden="1" x14ac:dyDescent="0.3">
      <c r="A1579" s="15" t="s">
        <v>5599</v>
      </c>
      <c r="B1579" s="15" t="s">
        <v>5600</v>
      </c>
      <c r="C1579" s="18" t="s">
        <v>28</v>
      </c>
      <c r="D1579" s="15" t="s">
        <v>5601</v>
      </c>
      <c r="E1579" s="18" t="s">
        <v>28</v>
      </c>
      <c r="F1579" s="19" t="s">
        <v>28</v>
      </c>
      <c r="G1579" s="19" t="s">
        <v>28</v>
      </c>
      <c r="H1579" s="19" t="s">
        <v>28</v>
      </c>
      <c r="I1579" s="18" t="s">
        <v>28</v>
      </c>
      <c r="J1579" s="18" t="s">
        <v>28</v>
      </c>
      <c r="K1579" s="18" t="s">
        <v>28</v>
      </c>
      <c r="L1579" s="18" t="s">
        <v>28</v>
      </c>
      <c r="M1579" s="18" t="s">
        <v>28</v>
      </c>
      <c r="N1579" s="17">
        <v>45113</v>
      </c>
      <c r="O1579" s="15" t="s">
        <v>79</v>
      </c>
      <c r="P1579" s="16" t="s">
        <v>611</v>
      </c>
      <c r="Q1579" s="15" t="s">
        <v>75</v>
      </c>
      <c r="R1579" s="13" t="str">
        <f>HYPERLINK("https://my.pitchbook.com?c=256021-21T","View Company Online")</f>
        <v>View Company Online</v>
      </c>
    </row>
    <row r="1580" spans="1:18" hidden="1" x14ac:dyDescent="0.3">
      <c r="A1580" s="9" t="s">
        <v>5602</v>
      </c>
      <c r="B1580" s="9" t="s">
        <v>5603</v>
      </c>
      <c r="C1580" s="11" t="s">
        <v>28</v>
      </c>
      <c r="D1580" s="9" t="s">
        <v>5604</v>
      </c>
      <c r="E1580" s="11" t="s">
        <v>28</v>
      </c>
      <c r="F1580" s="10" t="s">
        <v>28</v>
      </c>
      <c r="G1580" s="10" t="s">
        <v>28</v>
      </c>
      <c r="H1580" s="10" t="s">
        <v>28</v>
      </c>
      <c r="I1580" s="11" t="s">
        <v>28</v>
      </c>
      <c r="J1580" s="11" t="s">
        <v>28</v>
      </c>
      <c r="K1580" s="11" t="s">
        <v>28</v>
      </c>
      <c r="L1580" s="11" t="s">
        <v>28</v>
      </c>
      <c r="M1580" s="11" t="s">
        <v>28</v>
      </c>
      <c r="N1580" s="8">
        <v>45113</v>
      </c>
      <c r="O1580" s="9" t="s">
        <v>30</v>
      </c>
      <c r="P1580" s="12" t="s">
        <v>5605</v>
      </c>
      <c r="Q1580" s="9" t="s">
        <v>109</v>
      </c>
      <c r="R1580" s="14" t="str">
        <f>HYPERLINK("https://my.pitchbook.com?c=227789-92T","View Company Online")</f>
        <v>View Company Online</v>
      </c>
    </row>
    <row r="1581" spans="1:18" hidden="1" x14ac:dyDescent="0.3">
      <c r="A1581" s="15" t="s">
        <v>5606</v>
      </c>
      <c r="B1581" s="15" t="s">
        <v>2778</v>
      </c>
      <c r="C1581" s="18" t="s">
        <v>28</v>
      </c>
      <c r="D1581" s="15" t="s">
        <v>2779</v>
      </c>
      <c r="E1581" s="18" t="s">
        <v>28</v>
      </c>
      <c r="F1581" s="19" t="s">
        <v>28</v>
      </c>
      <c r="G1581" s="19">
        <v>16.399999999999999</v>
      </c>
      <c r="H1581" s="19" t="s">
        <v>28</v>
      </c>
      <c r="I1581" s="18" t="s">
        <v>28</v>
      </c>
      <c r="J1581" s="18" t="s">
        <v>28</v>
      </c>
      <c r="K1581" s="18" t="s">
        <v>28</v>
      </c>
      <c r="L1581" s="18" t="s">
        <v>28</v>
      </c>
      <c r="M1581" s="18" t="s">
        <v>28</v>
      </c>
      <c r="N1581" s="17">
        <v>45113</v>
      </c>
      <c r="O1581" s="15" t="s">
        <v>79</v>
      </c>
      <c r="P1581" s="16" t="s">
        <v>5607</v>
      </c>
      <c r="Q1581" s="15" t="s">
        <v>85</v>
      </c>
      <c r="R1581" s="13" t="str">
        <f>HYPERLINK("https://my.pitchbook.com?c=227727-19T","View Company Online")</f>
        <v>View Company Online</v>
      </c>
    </row>
    <row r="1582" spans="1:18" hidden="1" x14ac:dyDescent="0.3">
      <c r="A1582" s="9" t="s">
        <v>5608</v>
      </c>
      <c r="B1582" s="9" t="s">
        <v>5609</v>
      </c>
      <c r="C1582" s="11" t="s">
        <v>28</v>
      </c>
      <c r="D1582" s="9" t="s">
        <v>5610</v>
      </c>
      <c r="E1582" s="11" t="s">
        <v>28</v>
      </c>
      <c r="F1582" s="10" t="s">
        <v>28</v>
      </c>
      <c r="G1582" s="10" t="s">
        <v>28</v>
      </c>
      <c r="H1582" s="10" t="s">
        <v>28</v>
      </c>
      <c r="I1582" s="11" t="s">
        <v>28</v>
      </c>
      <c r="J1582" s="11" t="s">
        <v>28</v>
      </c>
      <c r="K1582" s="11" t="s">
        <v>28</v>
      </c>
      <c r="L1582" s="11" t="s">
        <v>28</v>
      </c>
      <c r="M1582" s="11" t="s">
        <v>28</v>
      </c>
      <c r="N1582" s="8">
        <v>45113</v>
      </c>
      <c r="O1582" s="9" t="s">
        <v>30</v>
      </c>
      <c r="P1582" s="12" t="s">
        <v>769</v>
      </c>
      <c r="Q1582" s="9" t="s">
        <v>188</v>
      </c>
      <c r="R1582" s="14" t="str">
        <f>HYPERLINK("https://my.pitchbook.com?c=228271-33T","View Company Online")</f>
        <v>View Company Online</v>
      </c>
    </row>
    <row r="1583" spans="1:18" hidden="1" x14ac:dyDescent="0.3">
      <c r="A1583" s="15" t="s">
        <v>5611</v>
      </c>
      <c r="B1583" s="15" t="s">
        <v>5612</v>
      </c>
      <c r="C1583" s="18" t="s">
        <v>28</v>
      </c>
      <c r="D1583" s="15" t="s">
        <v>5613</v>
      </c>
      <c r="E1583" s="18" t="s">
        <v>28</v>
      </c>
      <c r="F1583" s="19" t="s">
        <v>28</v>
      </c>
      <c r="G1583" s="19" t="s">
        <v>28</v>
      </c>
      <c r="H1583" s="19" t="s">
        <v>28</v>
      </c>
      <c r="I1583" s="18" t="s">
        <v>28</v>
      </c>
      <c r="J1583" s="18" t="s">
        <v>28</v>
      </c>
      <c r="K1583" s="18" t="s">
        <v>28</v>
      </c>
      <c r="L1583" s="18" t="s">
        <v>28</v>
      </c>
      <c r="M1583" s="18" t="s">
        <v>28</v>
      </c>
      <c r="N1583" s="17">
        <v>45113</v>
      </c>
      <c r="O1583" s="15" t="s">
        <v>79</v>
      </c>
      <c r="P1583" s="16" t="s">
        <v>611</v>
      </c>
      <c r="Q1583" s="15" t="s">
        <v>37</v>
      </c>
      <c r="R1583" s="13" t="str">
        <f>HYPERLINK("https://my.pitchbook.com?c=227516-59T","View Company Online")</f>
        <v>View Company Online</v>
      </c>
    </row>
    <row r="1584" spans="1:18" hidden="1" x14ac:dyDescent="0.3">
      <c r="A1584" s="9" t="s">
        <v>5614</v>
      </c>
      <c r="B1584" s="9" t="s">
        <v>5615</v>
      </c>
      <c r="C1584" s="11" t="s">
        <v>28</v>
      </c>
      <c r="D1584" s="9" t="s">
        <v>5616</v>
      </c>
      <c r="E1584" s="11" t="s">
        <v>28</v>
      </c>
      <c r="F1584" s="10" t="s">
        <v>28</v>
      </c>
      <c r="G1584" s="10" t="s">
        <v>28</v>
      </c>
      <c r="H1584" s="10" t="s">
        <v>28</v>
      </c>
      <c r="I1584" s="11" t="s">
        <v>28</v>
      </c>
      <c r="J1584" s="11" t="s">
        <v>28</v>
      </c>
      <c r="K1584" s="11" t="s">
        <v>28</v>
      </c>
      <c r="L1584" s="11" t="s">
        <v>28</v>
      </c>
      <c r="M1584" s="11" t="s">
        <v>28</v>
      </c>
      <c r="N1584" s="8">
        <v>45112</v>
      </c>
      <c r="O1584" s="9" t="s">
        <v>30</v>
      </c>
      <c r="P1584" s="12" t="s">
        <v>5617</v>
      </c>
      <c r="Q1584" s="9" t="s">
        <v>880</v>
      </c>
      <c r="R1584" s="14" t="str">
        <f>HYPERLINK("https://my.pitchbook.com?c=227615-23T","View Company Online")</f>
        <v>View Company Online</v>
      </c>
    </row>
    <row r="1585" spans="1:18" hidden="1" x14ac:dyDescent="0.3">
      <c r="A1585" s="15" t="s">
        <v>5618</v>
      </c>
      <c r="B1585" s="15" t="s">
        <v>1197</v>
      </c>
      <c r="C1585" s="18" t="s">
        <v>28</v>
      </c>
      <c r="D1585" s="15" t="s">
        <v>1198</v>
      </c>
      <c r="E1585" s="18" t="s">
        <v>28</v>
      </c>
      <c r="F1585" s="19" t="s">
        <v>28</v>
      </c>
      <c r="G1585" s="19">
        <v>20</v>
      </c>
      <c r="H1585" s="19" t="s">
        <v>28</v>
      </c>
      <c r="I1585" s="18" t="s">
        <v>28</v>
      </c>
      <c r="J1585" s="18" t="s">
        <v>28</v>
      </c>
      <c r="K1585" s="18" t="s">
        <v>28</v>
      </c>
      <c r="L1585" s="18" t="s">
        <v>28</v>
      </c>
      <c r="M1585" s="18" t="s">
        <v>28</v>
      </c>
      <c r="N1585" s="17">
        <v>45112</v>
      </c>
      <c r="O1585" s="15" t="s">
        <v>99</v>
      </c>
      <c r="P1585" s="16" t="s">
        <v>28</v>
      </c>
      <c r="Q1585" s="15" t="s">
        <v>37</v>
      </c>
      <c r="R1585" s="13" t="str">
        <f>HYPERLINK("https://my.pitchbook.com?c=285715-18T","View Company Online")</f>
        <v>View Company Online</v>
      </c>
    </row>
    <row r="1586" spans="1:18" hidden="1" x14ac:dyDescent="0.3">
      <c r="A1586" s="9" t="s">
        <v>5619</v>
      </c>
      <c r="B1586" s="9" t="s">
        <v>1681</v>
      </c>
      <c r="C1586" s="11" t="s">
        <v>28</v>
      </c>
      <c r="D1586" s="9" t="s">
        <v>1682</v>
      </c>
      <c r="E1586" s="11" t="s">
        <v>28</v>
      </c>
      <c r="F1586" s="10" t="s">
        <v>28</v>
      </c>
      <c r="G1586" s="10">
        <v>1.5</v>
      </c>
      <c r="H1586" s="10" t="s">
        <v>28</v>
      </c>
      <c r="I1586" s="11" t="s">
        <v>28</v>
      </c>
      <c r="J1586" s="11" t="s">
        <v>28</v>
      </c>
      <c r="K1586" s="11" t="s">
        <v>28</v>
      </c>
      <c r="L1586" s="11" t="s">
        <v>28</v>
      </c>
      <c r="M1586" s="11" t="s">
        <v>28</v>
      </c>
      <c r="N1586" s="8">
        <v>45112</v>
      </c>
      <c r="O1586" s="9" t="s">
        <v>79</v>
      </c>
      <c r="P1586" s="12" t="s">
        <v>5620</v>
      </c>
      <c r="Q1586" s="9" t="s">
        <v>75</v>
      </c>
      <c r="R1586" s="14" t="str">
        <f>HYPERLINK("https://my.pitchbook.com?c=257859-82T","View Company Online")</f>
        <v>View Company Online</v>
      </c>
    </row>
    <row r="1587" spans="1:18" hidden="1" x14ac:dyDescent="0.3">
      <c r="A1587" s="15" t="s">
        <v>5621</v>
      </c>
      <c r="B1587" s="15" t="s">
        <v>2444</v>
      </c>
      <c r="C1587" s="18" t="s">
        <v>28</v>
      </c>
      <c r="D1587" s="15" t="s">
        <v>2445</v>
      </c>
      <c r="E1587" s="18" t="s">
        <v>28</v>
      </c>
      <c r="F1587" s="19" t="s">
        <v>28</v>
      </c>
      <c r="G1587" s="19">
        <v>1.65</v>
      </c>
      <c r="H1587" s="19" t="s">
        <v>28</v>
      </c>
      <c r="I1587" s="18" t="s">
        <v>28</v>
      </c>
      <c r="J1587" s="18" t="s">
        <v>28</v>
      </c>
      <c r="K1587" s="18" t="s">
        <v>28</v>
      </c>
      <c r="L1587" s="18" t="s">
        <v>28</v>
      </c>
      <c r="M1587" s="18" t="s">
        <v>28</v>
      </c>
      <c r="N1587" s="17">
        <v>45112</v>
      </c>
      <c r="O1587" s="15" t="s">
        <v>73</v>
      </c>
      <c r="P1587" s="16" t="s">
        <v>28</v>
      </c>
      <c r="Q1587" s="15" t="s">
        <v>37</v>
      </c>
      <c r="R1587" s="13" t="str">
        <f>HYPERLINK("https://my.pitchbook.com?c=227598-31T","View Company Online")</f>
        <v>View Company Online</v>
      </c>
    </row>
    <row r="1588" spans="1:18" hidden="1" x14ac:dyDescent="0.3">
      <c r="A1588" s="9" t="s">
        <v>5622</v>
      </c>
      <c r="B1588" s="9" t="s">
        <v>555</v>
      </c>
      <c r="C1588" s="11" t="s">
        <v>28</v>
      </c>
      <c r="D1588" s="9" t="s">
        <v>556</v>
      </c>
      <c r="E1588" s="11" t="s">
        <v>28</v>
      </c>
      <c r="F1588" s="10" t="s">
        <v>28</v>
      </c>
      <c r="G1588" s="10">
        <v>1.65</v>
      </c>
      <c r="H1588" s="10" t="s">
        <v>28</v>
      </c>
      <c r="I1588" s="11" t="s">
        <v>28</v>
      </c>
      <c r="J1588" s="11" t="s">
        <v>28</v>
      </c>
      <c r="K1588" s="11" t="s">
        <v>28</v>
      </c>
      <c r="L1588" s="11" t="s">
        <v>28</v>
      </c>
      <c r="M1588" s="11" t="s">
        <v>28</v>
      </c>
      <c r="N1588" s="8">
        <v>45112</v>
      </c>
      <c r="O1588" s="9" t="s">
        <v>99</v>
      </c>
      <c r="P1588" s="12" t="s">
        <v>5623</v>
      </c>
      <c r="Q1588" s="9" t="s">
        <v>75</v>
      </c>
      <c r="R1588" s="14" t="str">
        <f>HYPERLINK("https://my.pitchbook.com?c=227611-90T","View Company Online")</f>
        <v>View Company Online</v>
      </c>
    </row>
    <row r="1589" spans="1:18" hidden="1" x14ac:dyDescent="0.3">
      <c r="A1589" s="15" t="s">
        <v>5624</v>
      </c>
      <c r="B1589" s="15" t="s">
        <v>5625</v>
      </c>
      <c r="C1589" s="18" t="s">
        <v>28</v>
      </c>
      <c r="D1589" s="15" t="s">
        <v>5626</v>
      </c>
      <c r="E1589" s="18" t="s">
        <v>28</v>
      </c>
      <c r="F1589" s="19">
        <v>2.15</v>
      </c>
      <c r="G1589" s="19">
        <v>2.15</v>
      </c>
      <c r="H1589" s="19">
        <v>2.15</v>
      </c>
      <c r="I1589" s="18" t="s">
        <v>28</v>
      </c>
      <c r="J1589" s="18" t="s">
        <v>28</v>
      </c>
      <c r="K1589" s="18" t="s">
        <v>28</v>
      </c>
      <c r="L1589" s="18" t="s">
        <v>28</v>
      </c>
      <c r="M1589" s="18" t="s">
        <v>28</v>
      </c>
      <c r="N1589" s="17">
        <v>45111</v>
      </c>
      <c r="O1589" s="15" t="s">
        <v>30</v>
      </c>
      <c r="P1589" s="16" t="s">
        <v>5627</v>
      </c>
      <c r="Q1589" s="15" t="s">
        <v>5628</v>
      </c>
      <c r="R1589" s="13" t="str">
        <f>HYPERLINK("https://my.pitchbook.com?c=227599-66T","View Company Online")</f>
        <v>View Company Online</v>
      </c>
    </row>
    <row r="1590" spans="1:18" hidden="1" x14ac:dyDescent="0.3">
      <c r="A1590" s="9" t="s">
        <v>5629</v>
      </c>
      <c r="B1590" s="9" t="s">
        <v>5630</v>
      </c>
      <c r="C1590" s="11" t="s">
        <v>28</v>
      </c>
      <c r="D1590" s="9" t="s">
        <v>5631</v>
      </c>
      <c r="E1590" s="11" t="s">
        <v>28</v>
      </c>
      <c r="F1590" s="10">
        <v>22.81</v>
      </c>
      <c r="G1590" s="10">
        <v>22.81</v>
      </c>
      <c r="H1590" s="10">
        <v>22.81</v>
      </c>
      <c r="I1590" s="11" t="s">
        <v>28</v>
      </c>
      <c r="J1590" s="11" t="s">
        <v>28</v>
      </c>
      <c r="K1590" s="11" t="s">
        <v>28</v>
      </c>
      <c r="L1590" s="11" t="s">
        <v>28</v>
      </c>
      <c r="M1590" s="11" t="s">
        <v>28</v>
      </c>
      <c r="N1590" s="8">
        <v>45111</v>
      </c>
      <c r="O1590" s="9" t="s">
        <v>30</v>
      </c>
      <c r="P1590" s="12" t="s">
        <v>5632</v>
      </c>
      <c r="Q1590" s="9" t="s">
        <v>5633</v>
      </c>
      <c r="R1590" s="14" t="str">
        <f>HYPERLINK("https://my.pitchbook.com?c=227470-24T","View Company Online")</f>
        <v>View Company Online</v>
      </c>
    </row>
    <row r="1591" spans="1:18" hidden="1" x14ac:dyDescent="0.3">
      <c r="A1591" s="15" t="s">
        <v>5634</v>
      </c>
      <c r="B1591" s="15" t="s">
        <v>5635</v>
      </c>
      <c r="C1591" s="18" t="s">
        <v>28</v>
      </c>
      <c r="D1591" s="15" t="s">
        <v>5636</v>
      </c>
      <c r="E1591" s="18" t="s">
        <v>28</v>
      </c>
      <c r="F1591" s="19" t="s">
        <v>28</v>
      </c>
      <c r="G1591" s="19" t="s">
        <v>28</v>
      </c>
      <c r="H1591" s="19" t="s">
        <v>28</v>
      </c>
      <c r="I1591" s="18" t="s">
        <v>28</v>
      </c>
      <c r="J1591" s="18" t="s">
        <v>28</v>
      </c>
      <c r="K1591" s="18" t="s">
        <v>28</v>
      </c>
      <c r="L1591" s="18" t="s">
        <v>28</v>
      </c>
      <c r="M1591" s="18" t="s">
        <v>28</v>
      </c>
      <c r="N1591" s="17">
        <v>45111</v>
      </c>
      <c r="O1591" s="15" t="s">
        <v>173</v>
      </c>
      <c r="P1591" s="16" t="s">
        <v>28</v>
      </c>
      <c r="Q1591" s="15" t="s">
        <v>240</v>
      </c>
      <c r="R1591" s="13" t="str">
        <f>HYPERLINK("https://my.pitchbook.com?c=227794-42T","View Company Online")</f>
        <v>View Company Online</v>
      </c>
    </row>
    <row r="1592" spans="1:18" hidden="1" x14ac:dyDescent="0.3">
      <c r="A1592" s="9" t="s">
        <v>5637</v>
      </c>
      <c r="B1592" s="9" t="s">
        <v>5638</v>
      </c>
      <c r="C1592" s="11" t="s">
        <v>28</v>
      </c>
      <c r="D1592" s="9" t="s">
        <v>5639</v>
      </c>
      <c r="E1592" s="11" t="s">
        <v>28</v>
      </c>
      <c r="F1592" s="10" t="s">
        <v>28</v>
      </c>
      <c r="G1592" s="10" t="s">
        <v>28</v>
      </c>
      <c r="H1592" s="10" t="s">
        <v>28</v>
      </c>
      <c r="I1592" s="11" t="s">
        <v>28</v>
      </c>
      <c r="J1592" s="11" t="s">
        <v>28</v>
      </c>
      <c r="K1592" s="11" t="s">
        <v>28</v>
      </c>
      <c r="L1592" s="11" t="s">
        <v>28</v>
      </c>
      <c r="M1592" s="11" t="s">
        <v>28</v>
      </c>
      <c r="N1592" s="8">
        <v>45110</v>
      </c>
      <c r="O1592" s="9" t="s">
        <v>30</v>
      </c>
      <c r="P1592" s="12" t="s">
        <v>343</v>
      </c>
      <c r="Q1592" s="9" t="s">
        <v>114</v>
      </c>
      <c r="R1592" s="14" t="str">
        <f>HYPERLINK("https://my.pitchbook.com?c=251570-35T","View Company Online")</f>
        <v>View Company Online</v>
      </c>
    </row>
    <row r="1593" spans="1:18" x14ac:dyDescent="0.3">
      <c r="A1593" s="15" t="s">
        <v>5640</v>
      </c>
      <c r="B1593" s="15" t="s">
        <v>5641</v>
      </c>
      <c r="C1593" s="18">
        <v>2452.5</v>
      </c>
      <c r="D1593" s="15" t="s">
        <v>5642</v>
      </c>
      <c r="E1593" s="18" t="s">
        <v>28</v>
      </c>
      <c r="F1593" s="19">
        <v>29.73</v>
      </c>
      <c r="G1593" s="19">
        <v>29.73</v>
      </c>
      <c r="H1593" s="19">
        <v>29.73</v>
      </c>
      <c r="I1593" s="18">
        <v>0.01</v>
      </c>
      <c r="J1593" s="18">
        <v>2452.5</v>
      </c>
      <c r="K1593" s="18">
        <v>0.16</v>
      </c>
      <c r="L1593" s="18">
        <v>182.24</v>
      </c>
      <c r="M1593" s="18">
        <v>0.01</v>
      </c>
      <c r="N1593" s="17">
        <v>45110</v>
      </c>
      <c r="O1593" s="15" t="s">
        <v>30</v>
      </c>
      <c r="P1593" s="16" t="s">
        <v>3516</v>
      </c>
      <c r="Q1593" s="15" t="s">
        <v>1144</v>
      </c>
      <c r="R1593" s="13" t="str">
        <f>HYPERLINK("https://my.pitchbook.com?c=219624-58T","View Company Online")</f>
        <v>View Company Online</v>
      </c>
    </row>
    <row r="1594" spans="1:18" hidden="1" x14ac:dyDescent="0.3">
      <c r="A1594" s="9" t="s">
        <v>5643</v>
      </c>
      <c r="B1594" s="9" t="s">
        <v>5644</v>
      </c>
      <c r="C1594" s="11" t="s">
        <v>28</v>
      </c>
      <c r="D1594" s="9" t="s">
        <v>5645</v>
      </c>
      <c r="E1594" s="11" t="s">
        <v>28</v>
      </c>
      <c r="F1594" s="10">
        <v>7.23</v>
      </c>
      <c r="G1594" s="10">
        <v>7.23</v>
      </c>
      <c r="H1594" s="10">
        <v>7.23</v>
      </c>
      <c r="I1594" s="11" t="s">
        <v>28</v>
      </c>
      <c r="J1594" s="11" t="s">
        <v>28</v>
      </c>
      <c r="K1594" s="11" t="s">
        <v>28</v>
      </c>
      <c r="L1594" s="11" t="s">
        <v>28</v>
      </c>
      <c r="M1594" s="11" t="s">
        <v>28</v>
      </c>
      <c r="N1594" s="8">
        <v>45110</v>
      </c>
      <c r="O1594" s="9" t="s">
        <v>30</v>
      </c>
      <c r="P1594" s="12" t="s">
        <v>5646</v>
      </c>
      <c r="Q1594" s="9" t="s">
        <v>290</v>
      </c>
      <c r="R1594" s="14" t="str">
        <f>HYPERLINK("https://my.pitchbook.com?c=227462-05T","View Company Online")</f>
        <v>View Company Online</v>
      </c>
    </row>
    <row r="1595" spans="1:18" hidden="1" x14ac:dyDescent="0.3">
      <c r="A1595" s="15" t="s">
        <v>5647</v>
      </c>
      <c r="B1595" s="15" t="s">
        <v>5648</v>
      </c>
      <c r="C1595" s="18" t="s">
        <v>28</v>
      </c>
      <c r="D1595" s="15" t="s">
        <v>5649</v>
      </c>
      <c r="E1595" s="18" t="s">
        <v>28</v>
      </c>
      <c r="F1595" s="19">
        <v>16.27</v>
      </c>
      <c r="G1595" s="19">
        <v>16.27</v>
      </c>
      <c r="H1595" s="19">
        <v>16.27</v>
      </c>
      <c r="I1595" s="18" t="s">
        <v>28</v>
      </c>
      <c r="J1595" s="18" t="s">
        <v>28</v>
      </c>
      <c r="K1595" s="18">
        <v>11.09</v>
      </c>
      <c r="L1595" s="18">
        <v>1.47</v>
      </c>
      <c r="M1595" s="18" t="s">
        <v>28</v>
      </c>
      <c r="N1595" s="17">
        <v>45110</v>
      </c>
      <c r="O1595" s="15" t="s">
        <v>30</v>
      </c>
      <c r="P1595" s="16" t="s">
        <v>4262</v>
      </c>
      <c r="Q1595" s="15" t="s">
        <v>880</v>
      </c>
      <c r="R1595" s="13" t="str">
        <f>HYPERLINK("https://my.pitchbook.com?c=227492-74T","View Company Online")</f>
        <v>View Company Online</v>
      </c>
    </row>
    <row r="1596" spans="1:18" hidden="1" x14ac:dyDescent="0.3">
      <c r="A1596" s="9" t="s">
        <v>5650</v>
      </c>
      <c r="B1596" s="9" t="s">
        <v>5651</v>
      </c>
      <c r="C1596" s="11" t="s">
        <v>28</v>
      </c>
      <c r="D1596" s="9" t="s">
        <v>5652</v>
      </c>
      <c r="E1596" s="11" t="s">
        <v>28</v>
      </c>
      <c r="F1596" s="10" t="s">
        <v>28</v>
      </c>
      <c r="G1596" s="10">
        <v>15.44</v>
      </c>
      <c r="H1596" s="10" t="s">
        <v>28</v>
      </c>
      <c r="I1596" s="11" t="s">
        <v>28</v>
      </c>
      <c r="J1596" s="11" t="s">
        <v>28</v>
      </c>
      <c r="K1596" s="11" t="s">
        <v>28</v>
      </c>
      <c r="L1596" s="11" t="s">
        <v>28</v>
      </c>
      <c r="M1596" s="11" t="s">
        <v>28</v>
      </c>
      <c r="N1596" s="8">
        <v>45108</v>
      </c>
      <c r="O1596" s="9" t="s">
        <v>93</v>
      </c>
      <c r="P1596" s="12" t="s">
        <v>5653</v>
      </c>
      <c r="Q1596" s="9" t="s">
        <v>226</v>
      </c>
      <c r="R1596" s="14" t="str">
        <f>HYPERLINK("https://my.pitchbook.com?c=294422-32T","View Company Online")</f>
        <v>View Company Online</v>
      </c>
    </row>
    <row r="1597" spans="1:18" hidden="1" x14ac:dyDescent="0.3">
      <c r="A1597" s="15" t="s">
        <v>5654</v>
      </c>
      <c r="B1597" s="15" t="s">
        <v>5655</v>
      </c>
      <c r="C1597" s="18" t="s">
        <v>28</v>
      </c>
      <c r="D1597" s="15" t="s">
        <v>5656</v>
      </c>
      <c r="E1597" s="18" t="s">
        <v>28</v>
      </c>
      <c r="F1597" s="19" t="s">
        <v>28</v>
      </c>
      <c r="G1597" s="19" t="s">
        <v>28</v>
      </c>
      <c r="H1597" s="19" t="s">
        <v>28</v>
      </c>
      <c r="I1597" s="18" t="s">
        <v>28</v>
      </c>
      <c r="J1597" s="18" t="s">
        <v>28</v>
      </c>
      <c r="K1597" s="18" t="s">
        <v>28</v>
      </c>
      <c r="L1597" s="18" t="s">
        <v>28</v>
      </c>
      <c r="M1597" s="18" t="s">
        <v>28</v>
      </c>
      <c r="N1597" s="17">
        <v>45108</v>
      </c>
      <c r="O1597" s="15" t="s">
        <v>73</v>
      </c>
      <c r="P1597" s="16" t="s">
        <v>5657</v>
      </c>
      <c r="Q1597" s="15" t="s">
        <v>740</v>
      </c>
      <c r="R1597" s="13" t="str">
        <f>HYPERLINK("https://my.pitchbook.com?c=227349-55T","View Company Online")</f>
        <v>View Company Online</v>
      </c>
    </row>
    <row r="1598" spans="1:18" hidden="1" x14ac:dyDescent="0.3">
      <c r="A1598" s="9" t="s">
        <v>5658</v>
      </c>
      <c r="B1598" s="9" t="s">
        <v>5659</v>
      </c>
      <c r="C1598" s="11" t="s">
        <v>28</v>
      </c>
      <c r="D1598" s="9" t="s">
        <v>5660</v>
      </c>
      <c r="E1598" s="11" t="s">
        <v>28</v>
      </c>
      <c r="F1598" s="10" t="s">
        <v>28</v>
      </c>
      <c r="G1598" s="10">
        <v>0.15</v>
      </c>
      <c r="H1598" s="10" t="s">
        <v>28</v>
      </c>
      <c r="I1598" s="11" t="s">
        <v>28</v>
      </c>
      <c r="J1598" s="11" t="s">
        <v>28</v>
      </c>
      <c r="K1598" s="11" t="s">
        <v>28</v>
      </c>
      <c r="L1598" s="11" t="s">
        <v>28</v>
      </c>
      <c r="M1598" s="11" t="s">
        <v>28</v>
      </c>
      <c r="N1598" s="8">
        <v>45108</v>
      </c>
      <c r="O1598" s="9" t="s">
        <v>99</v>
      </c>
      <c r="P1598" s="12" t="s">
        <v>1964</v>
      </c>
      <c r="Q1598" s="9" t="s">
        <v>75</v>
      </c>
      <c r="R1598" s="14" t="str">
        <f>HYPERLINK("https://my.pitchbook.com?c=243614-35T","View Company Online")</f>
        <v>View Company Online</v>
      </c>
    </row>
    <row r="1599" spans="1:18" hidden="1" x14ac:dyDescent="0.3">
      <c r="A1599" s="15" t="s">
        <v>5661</v>
      </c>
      <c r="B1599" s="15" t="s">
        <v>5662</v>
      </c>
      <c r="C1599" s="18" t="s">
        <v>28</v>
      </c>
      <c r="D1599" s="15" t="s">
        <v>5663</v>
      </c>
      <c r="E1599" s="18" t="s">
        <v>28</v>
      </c>
      <c r="F1599" s="19" t="s">
        <v>28</v>
      </c>
      <c r="G1599" s="19" t="s">
        <v>28</v>
      </c>
      <c r="H1599" s="19" t="s">
        <v>28</v>
      </c>
      <c r="I1599" s="18" t="s">
        <v>28</v>
      </c>
      <c r="J1599" s="18" t="s">
        <v>28</v>
      </c>
      <c r="K1599" s="18">
        <v>290.27</v>
      </c>
      <c r="L1599" s="18" t="s">
        <v>28</v>
      </c>
      <c r="M1599" s="18" t="s">
        <v>28</v>
      </c>
      <c r="N1599" s="17">
        <v>45108</v>
      </c>
      <c r="O1599" s="15" t="s">
        <v>30</v>
      </c>
      <c r="P1599" s="16" t="s">
        <v>5664</v>
      </c>
      <c r="Q1599" s="15" t="s">
        <v>753</v>
      </c>
      <c r="R1599" s="13" t="str">
        <f>HYPERLINK("https://my.pitchbook.com?c=225483-67T","View Company Online")</f>
        <v>View Company Online</v>
      </c>
    </row>
    <row r="1600" spans="1:18" hidden="1" x14ac:dyDescent="0.3">
      <c r="A1600" s="9" t="s">
        <v>5665</v>
      </c>
      <c r="B1600" s="9" t="s">
        <v>5666</v>
      </c>
      <c r="C1600" s="11" t="s">
        <v>28</v>
      </c>
      <c r="D1600" s="9" t="s">
        <v>5667</v>
      </c>
      <c r="E1600" s="11" t="s">
        <v>28</v>
      </c>
      <c r="F1600" s="10" t="s">
        <v>28</v>
      </c>
      <c r="G1600" s="10">
        <v>0.15</v>
      </c>
      <c r="H1600" s="10" t="s">
        <v>28</v>
      </c>
      <c r="I1600" s="11" t="s">
        <v>28</v>
      </c>
      <c r="J1600" s="11" t="s">
        <v>28</v>
      </c>
      <c r="K1600" s="11" t="s">
        <v>28</v>
      </c>
      <c r="L1600" s="11" t="s">
        <v>28</v>
      </c>
      <c r="M1600" s="11" t="s">
        <v>28</v>
      </c>
      <c r="N1600" s="8">
        <v>45108</v>
      </c>
      <c r="O1600" s="9" t="s">
        <v>99</v>
      </c>
      <c r="P1600" s="12" t="s">
        <v>1964</v>
      </c>
      <c r="Q1600" s="9" t="s">
        <v>37</v>
      </c>
      <c r="R1600" s="14" t="str">
        <f>HYPERLINK("https://my.pitchbook.com?c=243627-31T","View Company Online")</f>
        <v>View Company Online</v>
      </c>
    </row>
    <row r="1601" spans="1:18" hidden="1" x14ac:dyDescent="0.3">
      <c r="A1601" s="15" t="s">
        <v>5668</v>
      </c>
      <c r="B1601" s="15" t="s">
        <v>2112</v>
      </c>
      <c r="C1601" s="18" t="s">
        <v>28</v>
      </c>
      <c r="D1601" s="15" t="s">
        <v>2113</v>
      </c>
      <c r="E1601" s="18" t="s">
        <v>28</v>
      </c>
      <c r="F1601" s="19" t="s">
        <v>28</v>
      </c>
      <c r="G1601" s="19">
        <v>0.15</v>
      </c>
      <c r="H1601" s="19" t="s">
        <v>28</v>
      </c>
      <c r="I1601" s="18" t="s">
        <v>28</v>
      </c>
      <c r="J1601" s="18" t="s">
        <v>28</v>
      </c>
      <c r="K1601" s="18" t="s">
        <v>28</v>
      </c>
      <c r="L1601" s="18" t="s">
        <v>28</v>
      </c>
      <c r="M1601" s="18" t="s">
        <v>28</v>
      </c>
      <c r="N1601" s="17">
        <v>45108</v>
      </c>
      <c r="O1601" s="15" t="s">
        <v>99</v>
      </c>
      <c r="P1601" s="16" t="s">
        <v>1964</v>
      </c>
      <c r="Q1601" s="15" t="s">
        <v>105</v>
      </c>
      <c r="R1601" s="13" t="str">
        <f>HYPERLINK("https://my.pitchbook.com?c=232357-78T","View Company Online")</f>
        <v>View Company Online</v>
      </c>
    </row>
    <row r="1602" spans="1:18" hidden="1" x14ac:dyDescent="0.3">
      <c r="A1602" s="9" t="s">
        <v>5669</v>
      </c>
      <c r="B1602" s="9" t="s">
        <v>5670</v>
      </c>
      <c r="C1602" s="11" t="s">
        <v>28</v>
      </c>
      <c r="D1602" s="9" t="s">
        <v>5671</v>
      </c>
      <c r="E1602" s="11" t="s">
        <v>28</v>
      </c>
      <c r="F1602" s="10" t="s">
        <v>28</v>
      </c>
      <c r="G1602" s="10" t="s">
        <v>28</v>
      </c>
      <c r="H1602" s="10" t="s">
        <v>28</v>
      </c>
      <c r="I1602" s="11" t="s">
        <v>28</v>
      </c>
      <c r="J1602" s="11" t="s">
        <v>28</v>
      </c>
      <c r="K1602" s="11" t="s">
        <v>28</v>
      </c>
      <c r="L1602" s="11" t="s">
        <v>28</v>
      </c>
      <c r="M1602" s="11" t="s">
        <v>28</v>
      </c>
      <c r="N1602" s="8">
        <v>45108</v>
      </c>
      <c r="O1602" s="9" t="s">
        <v>73</v>
      </c>
      <c r="P1602" s="12" t="s">
        <v>4022</v>
      </c>
      <c r="Q1602" s="9" t="s">
        <v>75</v>
      </c>
      <c r="R1602" s="14" t="str">
        <f>HYPERLINK("https://my.pitchbook.com?c=228051-73T","View Company Online")</f>
        <v>View Company Online</v>
      </c>
    </row>
    <row r="1603" spans="1:18" hidden="1" x14ac:dyDescent="0.3">
      <c r="A1603" s="15" t="s">
        <v>5672</v>
      </c>
      <c r="B1603" s="15" t="s">
        <v>5673</v>
      </c>
      <c r="C1603" s="18" t="s">
        <v>28</v>
      </c>
      <c r="D1603" s="15" t="s">
        <v>5674</v>
      </c>
      <c r="E1603" s="18" t="s">
        <v>28</v>
      </c>
      <c r="F1603" s="19" t="s">
        <v>28</v>
      </c>
      <c r="G1603" s="19" t="s">
        <v>28</v>
      </c>
      <c r="H1603" s="19" t="s">
        <v>28</v>
      </c>
      <c r="I1603" s="18" t="s">
        <v>28</v>
      </c>
      <c r="J1603" s="18" t="s">
        <v>28</v>
      </c>
      <c r="K1603" s="18" t="s">
        <v>28</v>
      </c>
      <c r="L1603" s="18" t="s">
        <v>28</v>
      </c>
      <c r="M1603" s="18" t="s">
        <v>28</v>
      </c>
      <c r="N1603" s="17">
        <v>45108</v>
      </c>
      <c r="O1603" s="15" t="s">
        <v>73</v>
      </c>
      <c r="P1603" s="16" t="s">
        <v>5675</v>
      </c>
      <c r="Q1603" s="15" t="s">
        <v>399</v>
      </c>
      <c r="R1603" s="13" t="str">
        <f>HYPERLINK("https://my.pitchbook.com?c=227753-65T","View Company Online")</f>
        <v>View Company Online</v>
      </c>
    </row>
    <row r="1604" spans="1:18" hidden="1" x14ac:dyDescent="0.3">
      <c r="A1604" s="9" t="s">
        <v>5676</v>
      </c>
      <c r="B1604" s="9" t="s">
        <v>5677</v>
      </c>
      <c r="C1604" s="11" t="s">
        <v>28</v>
      </c>
      <c r="D1604" s="9" t="s">
        <v>5678</v>
      </c>
      <c r="E1604" s="11" t="s">
        <v>28</v>
      </c>
      <c r="F1604" s="10" t="s">
        <v>28</v>
      </c>
      <c r="G1604" s="10" t="s">
        <v>28</v>
      </c>
      <c r="H1604" s="10" t="s">
        <v>28</v>
      </c>
      <c r="I1604" s="11" t="s">
        <v>28</v>
      </c>
      <c r="J1604" s="11" t="s">
        <v>28</v>
      </c>
      <c r="K1604" s="11" t="s">
        <v>28</v>
      </c>
      <c r="L1604" s="11" t="s">
        <v>28</v>
      </c>
      <c r="M1604" s="11" t="s">
        <v>28</v>
      </c>
      <c r="N1604" s="8">
        <v>45108</v>
      </c>
      <c r="O1604" s="9" t="s">
        <v>73</v>
      </c>
      <c r="P1604" s="12" t="s">
        <v>5679</v>
      </c>
      <c r="Q1604" s="9" t="s">
        <v>75</v>
      </c>
      <c r="R1604" s="14" t="str">
        <f>HYPERLINK("https://my.pitchbook.com?c=227449-54T","View Company Online")</f>
        <v>View Company Online</v>
      </c>
    </row>
    <row r="1605" spans="1:18" hidden="1" x14ac:dyDescent="0.3">
      <c r="A1605" s="15" t="s">
        <v>5680</v>
      </c>
      <c r="B1605" s="15" t="s">
        <v>5681</v>
      </c>
      <c r="C1605" s="18" t="s">
        <v>28</v>
      </c>
      <c r="D1605" s="15" t="s">
        <v>5682</v>
      </c>
      <c r="E1605" s="18" t="s">
        <v>28</v>
      </c>
      <c r="F1605" s="19">
        <v>2.02</v>
      </c>
      <c r="G1605" s="19">
        <v>1.03</v>
      </c>
      <c r="H1605" s="19">
        <v>2.02</v>
      </c>
      <c r="I1605" s="18" t="s">
        <v>28</v>
      </c>
      <c r="J1605" s="18" t="s">
        <v>28</v>
      </c>
      <c r="K1605" s="18" t="s">
        <v>28</v>
      </c>
      <c r="L1605" s="18" t="s">
        <v>28</v>
      </c>
      <c r="M1605" s="18" t="s">
        <v>28</v>
      </c>
      <c r="N1605" s="17">
        <v>45107</v>
      </c>
      <c r="O1605" s="15" t="s">
        <v>30</v>
      </c>
      <c r="P1605" s="16" t="s">
        <v>4015</v>
      </c>
      <c r="Q1605" s="15" t="s">
        <v>37</v>
      </c>
      <c r="R1605" s="13" t="str">
        <f>HYPERLINK("https://my.pitchbook.com?c=224903-71T","View Company Online")</f>
        <v>View Company Online</v>
      </c>
    </row>
    <row r="1606" spans="1:18" hidden="1" x14ac:dyDescent="0.3">
      <c r="A1606" s="9" t="s">
        <v>5683</v>
      </c>
      <c r="B1606" s="9" t="s">
        <v>5684</v>
      </c>
      <c r="C1606" s="11" t="s">
        <v>28</v>
      </c>
      <c r="D1606" s="9" t="s">
        <v>5685</v>
      </c>
      <c r="E1606" s="11">
        <v>24.74</v>
      </c>
      <c r="F1606" s="10" t="s">
        <v>28</v>
      </c>
      <c r="G1606" s="10">
        <v>63.97</v>
      </c>
      <c r="H1606" s="10" t="s">
        <v>28</v>
      </c>
      <c r="I1606" s="11">
        <v>24.74</v>
      </c>
      <c r="J1606" s="11" t="s">
        <v>28</v>
      </c>
      <c r="K1606" s="11">
        <v>50.46</v>
      </c>
      <c r="L1606" s="11" t="s">
        <v>28</v>
      </c>
      <c r="M1606" s="11">
        <v>20.58</v>
      </c>
      <c r="N1606" s="8">
        <v>45107</v>
      </c>
      <c r="O1606" s="9" t="s">
        <v>423</v>
      </c>
      <c r="P1606" s="12" t="s">
        <v>28</v>
      </c>
      <c r="Q1606" s="9" t="s">
        <v>1361</v>
      </c>
      <c r="R1606" s="14" t="str">
        <f>HYPERLINK("https://my.pitchbook.com?c=233257-60T","View Company Online")</f>
        <v>View Company Online</v>
      </c>
    </row>
    <row r="1607" spans="1:18" hidden="1" x14ac:dyDescent="0.3">
      <c r="A1607" s="15" t="s">
        <v>5686</v>
      </c>
      <c r="B1607" s="15" t="s">
        <v>507</v>
      </c>
      <c r="C1607" s="18" t="s">
        <v>28</v>
      </c>
      <c r="D1607" s="15" t="s">
        <v>508</v>
      </c>
      <c r="E1607" s="18" t="s">
        <v>28</v>
      </c>
      <c r="F1607" s="19" t="s">
        <v>28</v>
      </c>
      <c r="G1607" s="19">
        <v>2.2000000000000002</v>
      </c>
      <c r="H1607" s="19">
        <v>17.600000000000001</v>
      </c>
      <c r="I1607" s="18">
        <v>-0.1</v>
      </c>
      <c r="J1607" s="18">
        <v>-176</v>
      </c>
      <c r="K1607" s="18">
        <v>0.9</v>
      </c>
      <c r="L1607" s="18">
        <v>19.559999999999999</v>
      </c>
      <c r="M1607" s="18" t="s">
        <v>28</v>
      </c>
      <c r="N1607" s="17">
        <v>45107</v>
      </c>
      <c r="O1607" s="15" t="s">
        <v>73</v>
      </c>
      <c r="P1607" s="16" t="s">
        <v>5687</v>
      </c>
      <c r="Q1607" s="15" t="s">
        <v>75</v>
      </c>
      <c r="R1607" s="13" t="str">
        <f>HYPERLINK("https://my.pitchbook.com?c=258422-50T","View Company Online")</f>
        <v>View Company Online</v>
      </c>
    </row>
    <row r="1608" spans="1:18" hidden="1" x14ac:dyDescent="0.3">
      <c r="A1608" s="9" t="s">
        <v>5688</v>
      </c>
      <c r="B1608" s="9" t="s">
        <v>5689</v>
      </c>
      <c r="C1608" s="11" t="s">
        <v>28</v>
      </c>
      <c r="D1608" s="9" t="s">
        <v>5690</v>
      </c>
      <c r="E1608" s="11" t="s">
        <v>28</v>
      </c>
      <c r="F1608" s="10" t="s">
        <v>28</v>
      </c>
      <c r="G1608" s="10" t="s">
        <v>28</v>
      </c>
      <c r="H1608" s="10" t="s">
        <v>28</v>
      </c>
      <c r="I1608" s="11" t="s">
        <v>28</v>
      </c>
      <c r="J1608" s="11" t="s">
        <v>28</v>
      </c>
      <c r="K1608" s="11">
        <v>2.4</v>
      </c>
      <c r="L1608" s="11" t="s">
        <v>28</v>
      </c>
      <c r="M1608" s="11" t="s">
        <v>28</v>
      </c>
      <c r="N1608" s="8">
        <v>45107</v>
      </c>
      <c r="O1608" s="9" t="s">
        <v>30</v>
      </c>
      <c r="P1608" s="12" t="s">
        <v>2334</v>
      </c>
      <c r="Q1608" s="9" t="s">
        <v>692</v>
      </c>
      <c r="R1608" s="14" t="str">
        <f>HYPERLINK("https://my.pitchbook.com?c=227565-10T","View Company Online")</f>
        <v>View Company Online</v>
      </c>
    </row>
    <row r="1609" spans="1:18" hidden="1" x14ac:dyDescent="0.3">
      <c r="A1609" s="15" t="s">
        <v>5691</v>
      </c>
      <c r="B1609" s="15" t="s">
        <v>5692</v>
      </c>
      <c r="C1609" s="18" t="s">
        <v>28</v>
      </c>
      <c r="D1609" s="15" t="s">
        <v>5693</v>
      </c>
      <c r="E1609" s="18" t="s">
        <v>28</v>
      </c>
      <c r="F1609" s="19" t="s">
        <v>28</v>
      </c>
      <c r="G1609" s="19" t="s">
        <v>28</v>
      </c>
      <c r="H1609" s="19" t="s">
        <v>28</v>
      </c>
      <c r="I1609" s="18" t="s">
        <v>28</v>
      </c>
      <c r="J1609" s="18" t="s">
        <v>28</v>
      </c>
      <c r="K1609" s="18" t="s">
        <v>28</v>
      </c>
      <c r="L1609" s="18" t="s">
        <v>28</v>
      </c>
      <c r="M1609" s="18" t="s">
        <v>28</v>
      </c>
      <c r="N1609" s="17">
        <v>45107</v>
      </c>
      <c r="O1609" s="15" t="s">
        <v>52</v>
      </c>
      <c r="P1609" s="16" t="s">
        <v>611</v>
      </c>
      <c r="Q1609" s="15" t="s">
        <v>75</v>
      </c>
      <c r="R1609" s="13" t="str">
        <f>HYPERLINK("https://my.pitchbook.com?c=241661-89T","View Company Online")</f>
        <v>View Company Online</v>
      </c>
    </row>
    <row r="1610" spans="1:18" hidden="1" x14ac:dyDescent="0.3">
      <c r="A1610" s="9" t="s">
        <v>5694</v>
      </c>
      <c r="B1610" s="9" t="s">
        <v>5695</v>
      </c>
      <c r="C1610" s="11" t="s">
        <v>28</v>
      </c>
      <c r="D1610" s="9" t="s">
        <v>5696</v>
      </c>
      <c r="E1610" s="11" t="s">
        <v>28</v>
      </c>
      <c r="F1610" s="10" t="s">
        <v>28</v>
      </c>
      <c r="G1610" s="10" t="s">
        <v>28</v>
      </c>
      <c r="H1610" s="10" t="s">
        <v>28</v>
      </c>
      <c r="I1610" s="11" t="s">
        <v>28</v>
      </c>
      <c r="J1610" s="11" t="s">
        <v>28</v>
      </c>
      <c r="K1610" s="11" t="s">
        <v>28</v>
      </c>
      <c r="L1610" s="11" t="s">
        <v>28</v>
      </c>
      <c r="M1610" s="11" t="s">
        <v>28</v>
      </c>
      <c r="N1610" s="8">
        <v>45107</v>
      </c>
      <c r="O1610" s="9" t="s">
        <v>58</v>
      </c>
      <c r="P1610" s="12" t="s">
        <v>5697</v>
      </c>
      <c r="Q1610" s="9" t="s">
        <v>240</v>
      </c>
      <c r="R1610" s="14" t="str">
        <f>HYPERLINK("https://my.pitchbook.com?c=227280-07T","View Company Online")</f>
        <v>View Company Online</v>
      </c>
    </row>
    <row r="1611" spans="1:18" hidden="1" x14ac:dyDescent="0.3">
      <c r="A1611" s="15" t="s">
        <v>5698</v>
      </c>
      <c r="B1611" s="15" t="s">
        <v>5699</v>
      </c>
      <c r="C1611" s="18" t="s">
        <v>28</v>
      </c>
      <c r="D1611" s="15" t="s">
        <v>5700</v>
      </c>
      <c r="E1611" s="18" t="s">
        <v>28</v>
      </c>
      <c r="F1611" s="19" t="s">
        <v>28</v>
      </c>
      <c r="G1611" s="19" t="s">
        <v>28</v>
      </c>
      <c r="H1611" s="19" t="s">
        <v>28</v>
      </c>
      <c r="I1611" s="18" t="s">
        <v>28</v>
      </c>
      <c r="J1611" s="18" t="s">
        <v>28</v>
      </c>
      <c r="K1611" s="18" t="s">
        <v>28</v>
      </c>
      <c r="L1611" s="18" t="s">
        <v>28</v>
      </c>
      <c r="M1611" s="18" t="s">
        <v>28</v>
      </c>
      <c r="N1611" s="17">
        <v>45107</v>
      </c>
      <c r="O1611" s="15" t="s">
        <v>99</v>
      </c>
      <c r="P1611" s="16" t="s">
        <v>5701</v>
      </c>
      <c r="Q1611" s="15" t="s">
        <v>75</v>
      </c>
      <c r="R1611" s="13" t="str">
        <f>HYPERLINK("https://my.pitchbook.com?c=245784-79T","View Company Online")</f>
        <v>View Company Online</v>
      </c>
    </row>
    <row r="1612" spans="1:18" hidden="1" x14ac:dyDescent="0.3">
      <c r="A1612" s="9" t="s">
        <v>5702</v>
      </c>
      <c r="B1612" s="9" t="s">
        <v>5703</v>
      </c>
      <c r="C1612" s="11" t="s">
        <v>28</v>
      </c>
      <c r="D1612" s="9" t="s">
        <v>5704</v>
      </c>
      <c r="E1612" s="11" t="s">
        <v>28</v>
      </c>
      <c r="F1612" s="10" t="s">
        <v>28</v>
      </c>
      <c r="G1612" s="10" t="s">
        <v>28</v>
      </c>
      <c r="H1612" s="10" t="s">
        <v>28</v>
      </c>
      <c r="I1612" s="11" t="s">
        <v>28</v>
      </c>
      <c r="J1612" s="11" t="s">
        <v>28</v>
      </c>
      <c r="K1612" s="11">
        <v>48.38</v>
      </c>
      <c r="L1612" s="11" t="s">
        <v>28</v>
      </c>
      <c r="M1612" s="11">
        <v>48.38</v>
      </c>
      <c r="N1612" s="8">
        <v>45106</v>
      </c>
      <c r="O1612" s="9" t="s">
        <v>30</v>
      </c>
      <c r="P1612" s="12" t="s">
        <v>3117</v>
      </c>
      <c r="Q1612" s="9" t="s">
        <v>753</v>
      </c>
      <c r="R1612" s="14" t="str">
        <f>HYPERLINK("https://my.pitchbook.com?c=227130-13T","View Company Online")</f>
        <v>View Company Online</v>
      </c>
    </row>
    <row r="1613" spans="1:18" hidden="1" x14ac:dyDescent="0.3">
      <c r="A1613" s="15" t="s">
        <v>5705</v>
      </c>
      <c r="B1613" s="15" t="s">
        <v>5706</v>
      </c>
      <c r="C1613" s="18" t="s">
        <v>28</v>
      </c>
      <c r="D1613" s="15" t="s">
        <v>5707</v>
      </c>
      <c r="E1613" s="18" t="s">
        <v>28</v>
      </c>
      <c r="F1613" s="19" t="s">
        <v>28</v>
      </c>
      <c r="G1613" s="19" t="s">
        <v>28</v>
      </c>
      <c r="H1613" s="19" t="s">
        <v>28</v>
      </c>
      <c r="I1613" s="18" t="s">
        <v>28</v>
      </c>
      <c r="J1613" s="18" t="s">
        <v>28</v>
      </c>
      <c r="K1613" s="18">
        <v>1.1599999999999999</v>
      </c>
      <c r="L1613" s="18" t="s">
        <v>28</v>
      </c>
      <c r="M1613" s="18" t="s">
        <v>28</v>
      </c>
      <c r="N1613" s="17">
        <v>45106</v>
      </c>
      <c r="O1613" s="15" t="s">
        <v>30</v>
      </c>
      <c r="P1613" s="16" t="s">
        <v>457</v>
      </c>
      <c r="Q1613" s="15" t="s">
        <v>75</v>
      </c>
      <c r="R1613" s="13" t="str">
        <f>HYPERLINK("https://my.pitchbook.com?c=227335-96T","View Company Online")</f>
        <v>View Company Online</v>
      </c>
    </row>
    <row r="1614" spans="1:18" hidden="1" x14ac:dyDescent="0.3">
      <c r="A1614" s="9" t="s">
        <v>5708</v>
      </c>
      <c r="B1614" s="9" t="s">
        <v>5709</v>
      </c>
      <c r="C1614" s="11" t="s">
        <v>28</v>
      </c>
      <c r="D1614" s="9" t="s">
        <v>5710</v>
      </c>
      <c r="E1614" s="11" t="s">
        <v>28</v>
      </c>
      <c r="F1614" s="10" t="s">
        <v>28</v>
      </c>
      <c r="G1614" s="10" t="s">
        <v>28</v>
      </c>
      <c r="H1614" s="10" t="s">
        <v>28</v>
      </c>
      <c r="I1614" s="11" t="s">
        <v>28</v>
      </c>
      <c r="J1614" s="11" t="s">
        <v>28</v>
      </c>
      <c r="K1614" s="11" t="s">
        <v>28</v>
      </c>
      <c r="L1614" s="11" t="s">
        <v>28</v>
      </c>
      <c r="M1614" s="11" t="s">
        <v>28</v>
      </c>
      <c r="N1614" s="8">
        <v>45106</v>
      </c>
      <c r="O1614" s="9" t="s">
        <v>52</v>
      </c>
      <c r="P1614" s="12" t="s">
        <v>403</v>
      </c>
      <c r="Q1614" s="9" t="s">
        <v>414</v>
      </c>
      <c r="R1614" s="14" t="str">
        <f>HYPERLINK("https://my.pitchbook.com?c=265197-25T","View Company Online")</f>
        <v>View Company Online</v>
      </c>
    </row>
    <row r="1615" spans="1:18" hidden="1" x14ac:dyDescent="0.3">
      <c r="A1615" s="15" t="s">
        <v>5711</v>
      </c>
      <c r="B1615" s="15" t="s">
        <v>5712</v>
      </c>
      <c r="C1615" s="18" t="s">
        <v>28</v>
      </c>
      <c r="D1615" s="15" t="s">
        <v>5713</v>
      </c>
      <c r="E1615" s="18" t="s">
        <v>28</v>
      </c>
      <c r="F1615" s="19" t="s">
        <v>28</v>
      </c>
      <c r="G1615" s="19" t="s">
        <v>28</v>
      </c>
      <c r="H1615" s="19" t="s">
        <v>28</v>
      </c>
      <c r="I1615" s="18" t="s">
        <v>28</v>
      </c>
      <c r="J1615" s="18" t="s">
        <v>28</v>
      </c>
      <c r="K1615" s="18">
        <v>20.65</v>
      </c>
      <c r="L1615" s="18" t="s">
        <v>28</v>
      </c>
      <c r="M1615" s="18" t="s">
        <v>28</v>
      </c>
      <c r="N1615" s="17">
        <v>45105</v>
      </c>
      <c r="O1615" s="15" t="s">
        <v>30</v>
      </c>
      <c r="P1615" s="16" t="s">
        <v>3543</v>
      </c>
      <c r="Q1615" s="15" t="s">
        <v>692</v>
      </c>
      <c r="R1615" s="13" t="str">
        <f>HYPERLINK("https://my.pitchbook.com?c=257451-40T","View Company Online")</f>
        <v>View Company Online</v>
      </c>
    </row>
    <row r="1616" spans="1:18" hidden="1" x14ac:dyDescent="0.3">
      <c r="A1616" s="9" t="s">
        <v>5714</v>
      </c>
      <c r="B1616" s="9" t="s">
        <v>5715</v>
      </c>
      <c r="C1616" s="11" t="s">
        <v>28</v>
      </c>
      <c r="D1616" s="9" t="s">
        <v>5716</v>
      </c>
      <c r="E1616" s="11" t="s">
        <v>28</v>
      </c>
      <c r="F1616" s="10" t="s">
        <v>28</v>
      </c>
      <c r="G1616" s="10" t="s">
        <v>28</v>
      </c>
      <c r="H1616" s="10" t="s">
        <v>28</v>
      </c>
      <c r="I1616" s="11" t="s">
        <v>28</v>
      </c>
      <c r="J1616" s="11" t="s">
        <v>28</v>
      </c>
      <c r="K1616" s="11" t="s">
        <v>28</v>
      </c>
      <c r="L1616" s="11" t="s">
        <v>28</v>
      </c>
      <c r="M1616" s="11" t="s">
        <v>28</v>
      </c>
      <c r="N1616" s="8">
        <v>45105</v>
      </c>
      <c r="O1616" s="9" t="s">
        <v>73</v>
      </c>
      <c r="P1616" s="12" t="s">
        <v>5717</v>
      </c>
      <c r="Q1616" s="9" t="s">
        <v>75</v>
      </c>
      <c r="R1616" s="14" t="str">
        <f>HYPERLINK("https://my.pitchbook.com?c=227055-25T","View Company Online")</f>
        <v>View Company Online</v>
      </c>
    </row>
    <row r="1617" spans="1:18" hidden="1" x14ac:dyDescent="0.3">
      <c r="A1617" s="15" t="s">
        <v>5718</v>
      </c>
      <c r="B1617" s="15" t="s">
        <v>5719</v>
      </c>
      <c r="C1617" s="18" t="s">
        <v>28</v>
      </c>
      <c r="D1617" s="15" t="s">
        <v>5720</v>
      </c>
      <c r="E1617" s="18" t="s">
        <v>28</v>
      </c>
      <c r="F1617" s="19" t="s">
        <v>28</v>
      </c>
      <c r="G1617" s="19" t="s">
        <v>28</v>
      </c>
      <c r="H1617" s="19" t="s">
        <v>28</v>
      </c>
      <c r="I1617" s="18" t="s">
        <v>28</v>
      </c>
      <c r="J1617" s="18" t="s">
        <v>28</v>
      </c>
      <c r="K1617" s="18" t="s">
        <v>28</v>
      </c>
      <c r="L1617" s="18" t="s">
        <v>28</v>
      </c>
      <c r="M1617" s="18" t="s">
        <v>28</v>
      </c>
      <c r="N1617" s="17">
        <v>45104</v>
      </c>
      <c r="O1617" s="15" t="s">
        <v>52</v>
      </c>
      <c r="P1617" s="16" t="s">
        <v>2039</v>
      </c>
      <c r="Q1617" s="15" t="s">
        <v>37</v>
      </c>
      <c r="R1617" s="13" t="str">
        <f>HYPERLINK("https://my.pitchbook.com?c=287775-28T","View Company Online")</f>
        <v>View Company Online</v>
      </c>
    </row>
    <row r="1618" spans="1:18" hidden="1" x14ac:dyDescent="0.3">
      <c r="A1618" s="9" t="s">
        <v>5721</v>
      </c>
      <c r="B1618" s="9" t="s">
        <v>5722</v>
      </c>
      <c r="C1618" s="11" t="s">
        <v>28</v>
      </c>
      <c r="D1618" s="9" t="s">
        <v>5723</v>
      </c>
      <c r="E1618" s="11">
        <v>-7.47</v>
      </c>
      <c r="F1618" s="10" t="s">
        <v>28</v>
      </c>
      <c r="G1618" s="10">
        <v>112.69</v>
      </c>
      <c r="H1618" s="10" t="s">
        <v>28</v>
      </c>
      <c r="I1618" s="11">
        <v>32.5</v>
      </c>
      <c r="J1618" s="11" t="s">
        <v>28</v>
      </c>
      <c r="K1618" s="11">
        <v>237.43</v>
      </c>
      <c r="L1618" s="11" t="s">
        <v>28</v>
      </c>
      <c r="M1618" s="11">
        <v>-76.53</v>
      </c>
      <c r="N1618" s="8">
        <v>45104</v>
      </c>
      <c r="O1618" s="9" t="s">
        <v>423</v>
      </c>
      <c r="P1618" s="12" t="s">
        <v>28</v>
      </c>
      <c r="Q1618" s="9" t="s">
        <v>566</v>
      </c>
      <c r="R1618" s="14" t="str">
        <f>HYPERLINK("https://my.pitchbook.com?c=228255-22T","View Company Online")</f>
        <v>View Company Online</v>
      </c>
    </row>
    <row r="1619" spans="1:18" hidden="1" x14ac:dyDescent="0.3">
      <c r="A1619" s="15" t="s">
        <v>5724</v>
      </c>
      <c r="B1619" s="15" t="s">
        <v>5725</v>
      </c>
      <c r="C1619" s="18" t="s">
        <v>28</v>
      </c>
      <c r="D1619" s="15" t="s">
        <v>5726</v>
      </c>
      <c r="E1619" s="18" t="s">
        <v>28</v>
      </c>
      <c r="F1619" s="19" t="s">
        <v>28</v>
      </c>
      <c r="G1619" s="19" t="s">
        <v>28</v>
      </c>
      <c r="H1619" s="19" t="s">
        <v>28</v>
      </c>
      <c r="I1619" s="18" t="s">
        <v>28</v>
      </c>
      <c r="J1619" s="18" t="s">
        <v>28</v>
      </c>
      <c r="K1619" s="18" t="s">
        <v>28</v>
      </c>
      <c r="L1619" s="18" t="s">
        <v>28</v>
      </c>
      <c r="M1619" s="18" t="s">
        <v>28</v>
      </c>
      <c r="N1619" s="17">
        <v>45104</v>
      </c>
      <c r="O1619" s="15" t="s">
        <v>30</v>
      </c>
      <c r="P1619" s="16" t="s">
        <v>5727</v>
      </c>
      <c r="Q1619" s="15" t="s">
        <v>290</v>
      </c>
      <c r="R1619" s="13" t="str">
        <f>HYPERLINK("https://my.pitchbook.com?c=227450-44T","View Company Online")</f>
        <v>View Company Online</v>
      </c>
    </row>
    <row r="1620" spans="1:18" hidden="1" x14ac:dyDescent="0.3">
      <c r="A1620" s="9" t="s">
        <v>5728</v>
      </c>
      <c r="B1620" s="9" t="s">
        <v>5729</v>
      </c>
      <c r="C1620" s="11" t="s">
        <v>28</v>
      </c>
      <c r="D1620" s="9" t="s">
        <v>5730</v>
      </c>
      <c r="E1620" s="11" t="s">
        <v>28</v>
      </c>
      <c r="F1620" s="10" t="s">
        <v>28</v>
      </c>
      <c r="G1620" s="10" t="s">
        <v>28</v>
      </c>
      <c r="H1620" s="10" t="s">
        <v>28</v>
      </c>
      <c r="I1620" s="11" t="s">
        <v>28</v>
      </c>
      <c r="J1620" s="11" t="s">
        <v>28</v>
      </c>
      <c r="K1620" s="11" t="s">
        <v>28</v>
      </c>
      <c r="L1620" s="11" t="s">
        <v>28</v>
      </c>
      <c r="M1620" s="11" t="s">
        <v>28</v>
      </c>
      <c r="N1620" s="8">
        <v>45103</v>
      </c>
      <c r="O1620" s="9" t="s">
        <v>30</v>
      </c>
      <c r="P1620" s="12" t="s">
        <v>5731</v>
      </c>
      <c r="Q1620" s="9" t="s">
        <v>245</v>
      </c>
      <c r="R1620" s="14" t="str">
        <f>HYPERLINK("https://my.pitchbook.com?c=227019-52T","View Company Online")</f>
        <v>View Company Online</v>
      </c>
    </row>
    <row r="1621" spans="1:18" hidden="1" x14ac:dyDescent="0.3">
      <c r="A1621" s="15" t="s">
        <v>5732</v>
      </c>
      <c r="B1621" s="15" t="s">
        <v>3076</v>
      </c>
      <c r="C1621" s="18" t="s">
        <v>28</v>
      </c>
      <c r="D1621" s="15" t="s">
        <v>3077</v>
      </c>
      <c r="E1621" s="18">
        <v>-64.2</v>
      </c>
      <c r="F1621" s="19" t="s">
        <v>28</v>
      </c>
      <c r="G1621" s="19" t="s">
        <v>28</v>
      </c>
      <c r="H1621" s="19" t="s">
        <v>28</v>
      </c>
      <c r="I1621" s="18">
        <v>217.41</v>
      </c>
      <c r="J1621" s="18" t="s">
        <v>28</v>
      </c>
      <c r="K1621" s="18">
        <v>3407.19</v>
      </c>
      <c r="L1621" s="18" t="s">
        <v>28</v>
      </c>
      <c r="M1621" s="18">
        <v>-352.78</v>
      </c>
      <c r="N1621" s="17">
        <v>45103</v>
      </c>
      <c r="O1621" s="15" t="s">
        <v>30</v>
      </c>
      <c r="P1621" s="16" t="s">
        <v>28</v>
      </c>
      <c r="Q1621" s="15" t="s">
        <v>109</v>
      </c>
      <c r="R1621" s="13" t="str">
        <f>HYPERLINK("https://my.pitchbook.com?c=227288-17T","View Company Online")</f>
        <v>View Company Online</v>
      </c>
    </row>
    <row r="1622" spans="1:18" hidden="1" x14ac:dyDescent="0.3">
      <c r="A1622" s="9" t="s">
        <v>5733</v>
      </c>
      <c r="B1622" s="9" t="s">
        <v>5734</v>
      </c>
      <c r="C1622" s="11" t="s">
        <v>28</v>
      </c>
      <c r="D1622" s="9" t="s">
        <v>5735</v>
      </c>
      <c r="E1622" s="11" t="s">
        <v>28</v>
      </c>
      <c r="F1622" s="10" t="s">
        <v>28</v>
      </c>
      <c r="G1622" s="10" t="s">
        <v>28</v>
      </c>
      <c r="H1622" s="10" t="s">
        <v>28</v>
      </c>
      <c r="I1622" s="11" t="s">
        <v>28</v>
      </c>
      <c r="J1622" s="11" t="s">
        <v>28</v>
      </c>
      <c r="K1622" s="11" t="s">
        <v>28</v>
      </c>
      <c r="L1622" s="11" t="s">
        <v>28</v>
      </c>
      <c r="M1622" s="11" t="s">
        <v>28</v>
      </c>
      <c r="N1622" s="8">
        <v>45103</v>
      </c>
      <c r="O1622" s="9" t="s">
        <v>30</v>
      </c>
      <c r="P1622" s="12" t="s">
        <v>1992</v>
      </c>
      <c r="Q1622" s="9" t="s">
        <v>75</v>
      </c>
      <c r="R1622" s="14" t="str">
        <f>HYPERLINK("https://my.pitchbook.com?c=227015-02T","View Company Online")</f>
        <v>View Company Online</v>
      </c>
    </row>
    <row r="1623" spans="1:18" hidden="1" x14ac:dyDescent="0.3">
      <c r="A1623" s="15" t="s">
        <v>5736</v>
      </c>
      <c r="B1623" s="15" t="s">
        <v>5737</v>
      </c>
      <c r="C1623" s="18" t="s">
        <v>28</v>
      </c>
      <c r="D1623" s="15" t="s">
        <v>5738</v>
      </c>
      <c r="E1623" s="18" t="s">
        <v>28</v>
      </c>
      <c r="F1623" s="19" t="s">
        <v>28</v>
      </c>
      <c r="G1623" s="19">
        <v>2.87</v>
      </c>
      <c r="H1623" s="19" t="s">
        <v>28</v>
      </c>
      <c r="I1623" s="18" t="s">
        <v>28</v>
      </c>
      <c r="J1623" s="18" t="s">
        <v>28</v>
      </c>
      <c r="K1623" s="18" t="s">
        <v>28</v>
      </c>
      <c r="L1623" s="18" t="s">
        <v>28</v>
      </c>
      <c r="M1623" s="18" t="s">
        <v>28</v>
      </c>
      <c r="N1623" s="17">
        <v>45103</v>
      </c>
      <c r="O1623" s="15" t="s">
        <v>73</v>
      </c>
      <c r="P1623" s="16" t="s">
        <v>5739</v>
      </c>
      <c r="Q1623" s="15" t="s">
        <v>583</v>
      </c>
      <c r="R1623" s="13" t="str">
        <f>HYPERLINK("https://my.pitchbook.com?c=226862-11T","View Company Online")</f>
        <v>View Company Online</v>
      </c>
    </row>
    <row r="1624" spans="1:18" hidden="1" x14ac:dyDescent="0.3">
      <c r="A1624" s="9" t="s">
        <v>5740</v>
      </c>
      <c r="B1624" s="9" t="s">
        <v>5741</v>
      </c>
      <c r="C1624" s="11" t="s">
        <v>28</v>
      </c>
      <c r="D1624" s="9" t="s">
        <v>5742</v>
      </c>
      <c r="E1624" s="11" t="s">
        <v>28</v>
      </c>
      <c r="F1624" s="10">
        <v>3.7</v>
      </c>
      <c r="G1624" s="10">
        <v>3.7</v>
      </c>
      <c r="H1624" s="10">
        <v>3.7</v>
      </c>
      <c r="I1624" s="11" t="s">
        <v>28</v>
      </c>
      <c r="J1624" s="11" t="s">
        <v>28</v>
      </c>
      <c r="K1624" s="11" t="s">
        <v>28</v>
      </c>
      <c r="L1624" s="11" t="s">
        <v>28</v>
      </c>
      <c r="M1624" s="11" t="s">
        <v>28</v>
      </c>
      <c r="N1624" s="8">
        <v>45103</v>
      </c>
      <c r="O1624" s="9" t="s">
        <v>30</v>
      </c>
      <c r="P1624" s="12" t="s">
        <v>5743</v>
      </c>
      <c r="Q1624" s="9" t="s">
        <v>348</v>
      </c>
      <c r="R1624" s="14" t="str">
        <f>HYPERLINK("https://my.pitchbook.com?c=244182-43T","View Company Online")</f>
        <v>View Company Online</v>
      </c>
    </row>
    <row r="1625" spans="1:18" hidden="1" x14ac:dyDescent="0.3">
      <c r="A1625" s="15" t="s">
        <v>5744</v>
      </c>
      <c r="B1625" s="15" t="s">
        <v>5745</v>
      </c>
      <c r="C1625" s="18" t="s">
        <v>28</v>
      </c>
      <c r="D1625" s="15" t="s">
        <v>5746</v>
      </c>
      <c r="E1625" s="18" t="s">
        <v>28</v>
      </c>
      <c r="F1625" s="19" t="s">
        <v>28</v>
      </c>
      <c r="G1625" s="19">
        <v>4.29</v>
      </c>
      <c r="H1625" s="19" t="s">
        <v>28</v>
      </c>
      <c r="I1625" s="18" t="s">
        <v>28</v>
      </c>
      <c r="J1625" s="18" t="s">
        <v>28</v>
      </c>
      <c r="K1625" s="18" t="s">
        <v>28</v>
      </c>
      <c r="L1625" s="18" t="s">
        <v>28</v>
      </c>
      <c r="M1625" s="18" t="s">
        <v>28</v>
      </c>
      <c r="N1625" s="17">
        <v>45103</v>
      </c>
      <c r="O1625" s="15" t="s">
        <v>99</v>
      </c>
      <c r="P1625" s="16" t="s">
        <v>5747</v>
      </c>
      <c r="Q1625" s="15" t="s">
        <v>119</v>
      </c>
      <c r="R1625" s="13" t="str">
        <f>HYPERLINK("https://my.pitchbook.com?c=226920-61T","View Company Online")</f>
        <v>View Company Online</v>
      </c>
    </row>
    <row r="1626" spans="1:18" hidden="1" x14ac:dyDescent="0.3">
      <c r="A1626" s="9" t="s">
        <v>5748</v>
      </c>
      <c r="B1626" s="9" t="s">
        <v>1992</v>
      </c>
      <c r="C1626" s="11" t="s">
        <v>28</v>
      </c>
      <c r="D1626" s="9" t="s">
        <v>1993</v>
      </c>
      <c r="E1626" s="11" t="s">
        <v>28</v>
      </c>
      <c r="F1626" s="10" t="s">
        <v>28</v>
      </c>
      <c r="G1626" s="10" t="s">
        <v>28</v>
      </c>
      <c r="H1626" s="10" t="s">
        <v>28</v>
      </c>
      <c r="I1626" s="11" t="s">
        <v>28</v>
      </c>
      <c r="J1626" s="11" t="s">
        <v>28</v>
      </c>
      <c r="K1626" s="11" t="s">
        <v>28</v>
      </c>
      <c r="L1626" s="11" t="s">
        <v>28</v>
      </c>
      <c r="M1626" s="11" t="s">
        <v>28</v>
      </c>
      <c r="N1626" s="8">
        <v>45103</v>
      </c>
      <c r="O1626" s="9" t="s">
        <v>30</v>
      </c>
      <c r="P1626" s="12" t="s">
        <v>5749</v>
      </c>
      <c r="Q1626" s="9" t="s">
        <v>75</v>
      </c>
      <c r="R1626" s="14" t="str">
        <f>HYPERLINK("https://my.pitchbook.com?c=227066-41T","View Company Online")</f>
        <v>View Company Online</v>
      </c>
    </row>
    <row r="1627" spans="1:18" hidden="1" x14ac:dyDescent="0.3">
      <c r="A1627" s="15" t="s">
        <v>5750</v>
      </c>
      <c r="B1627" s="15" t="s">
        <v>5751</v>
      </c>
      <c r="C1627" s="18" t="s">
        <v>28</v>
      </c>
      <c r="D1627" s="15" t="s">
        <v>5752</v>
      </c>
      <c r="E1627" s="18" t="s">
        <v>28</v>
      </c>
      <c r="F1627" s="19" t="s">
        <v>28</v>
      </c>
      <c r="G1627" s="19" t="s">
        <v>28</v>
      </c>
      <c r="H1627" s="19" t="s">
        <v>28</v>
      </c>
      <c r="I1627" s="18" t="s">
        <v>28</v>
      </c>
      <c r="J1627" s="18" t="s">
        <v>28</v>
      </c>
      <c r="K1627" s="18" t="s">
        <v>28</v>
      </c>
      <c r="L1627" s="18" t="s">
        <v>28</v>
      </c>
      <c r="M1627" s="18" t="s">
        <v>28</v>
      </c>
      <c r="N1627" s="17">
        <v>45101</v>
      </c>
      <c r="O1627" s="15" t="s">
        <v>58</v>
      </c>
      <c r="P1627" s="16" t="s">
        <v>5753</v>
      </c>
      <c r="Q1627" s="15" t="s">
        <v>128</v>
      </c>
      <c r="R1627" s="13" t="str">
        <f>HYPERLINK("https://my.pitchbook.com?c=250318-18T","View Company Online")</f>
        <v>View Company Online</v>
      </c>
    </row>
    <row r="1628" spans="1:18" hidden="1" x14ac:dyDescent="0.3">
      <c r="A1628" s="9" t="s">
        <v>5754</v>
      </c>
      <c r="B1628" s="9" t="s">
        <v>5755</v>
      </c>
      <c r="C1628" s="11" t="s">
        <v>28</v>
      </c>
      <c r="D1628" s="9" t="s">
        <v>5756</v>
      </c>
      <c r="E1628" s="11">
        <v>1.56</v>
      </c>
      <c r="F1628" s="10" t="s">
        <v>28</v>
      </c>
      <c r="G1628" s="10" t="s">
        <v>28</v>
      </c>
      <c r="H1628" s="10" t="s">
        <v>28</v>
      </c>
      <c r="I1628" s="11">
        <v>1.56</v>
      </c>
      <c r="J1628" s="11" t="s">
        <v>28</v>
      </c>
      <c r="K1628" s="11">
        <v>1.74</v>
      </c>
      <c r="L1628" s="11" t="s">
        <v>28</v>
      </c>
      <c r="M1628" s="11">
        <v>1.56</v>
      </c>
      <c r="N1628" s="8">
        <v>45100</v>
      </c>
      <c r="O1628" s="9" t="s">
        <v>173</v>
      </c>
      <c r="P1628" s="12" t="s">
        <v>28</v>
      </c>
      <c r="Q1628" s="9" t="s">
        <v>240</v>
      </c>
      <c r="R1628" s="14" t="str">
        <f>HYPERLINK("https://my.pitchbook.com?c=226992-97T","View Company Online")</f>
        <v>View Company Online</v>
      </c>
    </row>
    <row r="1629" spans="1:18" hidden="1" x14ac:dyDescent="0.3">
      <c r="A1629" s="15" t="s">
        <v>5757</v>
      </c>
      <c r="B1629" s="15" t="s">
        <v>5758</v>
      </c>
      <c r="C1629" s="18" t="s">
        <v>28</v>
      </c>
      <c r="D1629" s="15" t="s">
        <v>5759</v>
      </c>
      <c r="E1629" s="18" t="s">
        <v>28</v>
      </c>
      <c r="F1629" s="19" t="s">
        <v>28</v>
      </c>
      <c r="G1629" s="19" t="s">
        <v>28</v>
      </c>
      <c r="H1629" s="19" t="s">
        <v>28</v>
      </c>
      <c r="I1629" s="18" t="s">
        <v>28</v>
      </c>
      <c r="J1629" s="18" t="s">
        <v>28</v>
      </c>
      <c r="K1629" s="18" t="s">
        <v>28</v>
      </c>
      <c r="L1629" s="18" t="s">
        <v>28</v>
      </c>
      <c r="M1629" s="18" t="s">
        <v>28</v>
      </c>
      <c r="N1629" s="17">
        <v>45100</v>
      </c>
      <c r="O1629" s="15" t="s">
        <v>41</v>
      </c>
      <c r="P1629" s="16" t="s">
        <v>4554</v>
      </c>
      <c r="Q1629" s="15" t="s">
        <v>5760</v>
      </c>
      <c r="R1629" s="13" t="str">
        <f>HYPERLINK("https://my.pitchbook.com?c=227077-48T","View Company Online")</f>
        <v>View Company Online</v>
      </c>
    </row>
    <row r="1630" spans="1:18" hidden="1" x14ac:dyDescent="0.3">
      <c r="A1630" s="9" t="s">
        <v>5761</v>
      </c>
      <c r="B1630" s="9" t="s">
        <v>5762</v>
      </c>
      <c r="C1630" s="11" t="s">
        <v>28</v>
      </c>
      <c r="D1630" s="9" t="s">
        <v>5763</v>
      </c>
      <c r="E1630" s="11" t="s">
        <v>28</v>
      </c>
      <c r="F1630" s="10" t="s">
        <v>28</v>
      </c>
      <c r="G1630" s="10">
        <v>22.39</v>
      </c>
      <c r="H1630" s="10" t="s">
        <v>28</v>
      </c>
      <c r="I1630" s="11" t="s">
        <v>28</v>
      </c>
      <c r="J1630" s="11" t="s">
        <v>28</v>
      </c>
      <c r="K1630" s="11" t="s">
        <v>28</v>
      </c>
      <c r="L1630" s="11" t="s">
        <v>28</v>
      </c>
      <c r="M1630" s="11" t="s">
        <v>28</v>
      </c>
      <c r="N1630" s="8">
        <v>45100</v>
      </c>
      <c r="O1630" s="9" t="s">
        <v>73</v>
      </c>
      <c r="P1630" s="12" t="s">
        <v>5764</v>
      </c>
      <c r="Q1630" s="9" t="s">
        <v>696</v>
      </c>
      <c r="R1630" s="14" t="str">
        <f>HYPERLINK("https://my.pitchbook.com?c=227149-30T","View Company Online")</f>
        <v>View Company Online</v>
      </c>
    </row>
    <row r="1631" spans="1:18" hidden="1" x14ac:dyDescent="0.3">
      <c r="A1631" s="15" t="s">
        <v>5765</v>
      </c>
      <c r="B1631" s="15" t="s">
        <v>5766</v>
      </c>
      <c r="C1631" s="18" t="s">
        <v>28</v>
      </c>
      <c r="D1631" s="15" t="s">
        <v>5767</v>
      </c>
      <c r="E1631" s="18" t="s">
        <v>28</v>
      </c>
      <c r="F1631" s="19" t="s">
        <v>28</v>
      </c>
      <c r="G1631" s="19">
        <v>1</v>
      </c>
      <c r="H1631" s="19" t="s">
        <v>28</v>
      </c>
      <c r="I1631" s="18" t="s">
        <v>28</v>
      </c>
      <c r="J1631" s="18" t="s">
        <v>28</v>
      </c>
      <c r="K1631" s="18" t="s">
        <v>28</v>
      </c>
      <c r="L1631" s="18" t="s">
        <v>28</v>
      </c>
      <c r="M1631" s="18" t="s">
        <v>28</v>
      </c>
      <c r="N1631" s="17">
        <v>45100</v>
      </c>
      <c r="O1631" s="15" t="s">
        <v>99</v>
      </c>
      <c r="P1631" s="16" t="s">
        <v>5768</v>
      </c>
      <c r="Q1631" s="15" t="s">
        <v>75</v>
      </c>
      <c r="R1631" s="13" t="str">
        <f>HYPERLINK("https://my.pitchbook.com?c=214698-52T","View Company Online")</f>
        <v>View Company Online</v>
      </c>
    </row>
    <row r="1632" spans="1:18" hidden="1" x14ac:dyDescent="0.3">
      <c r="A1632" s="9" t="s">
        <v>5769</v>
      </c>
      <c r="B1632" s="9" t="s">
        <v>5770</v>
      </c>
      <c r="C1632" s="11" t="s">
        <v>28</v>
      </c>
      <c r="D1632" s="9" t="s">
        <v>5771</v>
      </c>
      <c r="E1632" s="11" t="s">
        <v>28</v>
      </c>
      <c r="F1632" s="10" t="s">
        <v>28</v>
      </c>
      <c r="G1632" s="10" t="s">
        <v>28</v>
      </c>
      <c r="H1632" s="10" t="s">
        <v>28</v>
      </c>
      <c r="I1632" s="11" t="s">
        <v>28</v>
      </c>
      <c r="J1632" s="11" t="s">
        <v>28</v>
      </c>
      <c r="K1632" s="11" t="s">
        <v>28</v>
      </c>
      <c r="L1632" s="11" t="s">
        <v>28</v>
      </c>
      <c r="M1632" s="11" t="s">
        <v>28</v>
      </c>
      <c r="N1632" s="8">
        <v>45099</v>
      </c>
      <c r="O1632" s="9" t="s">
        <v>30</v>
      </c>
      <c r="P1632" s="12" t="s">
        <v>5772</v>
      </c>
      <c r="Q1632" s="9" t="s">
        <v>1336</v>
      </c>
      <c r="R1632" s="14" t="str">
        <f>HYPERLINK("https://my.pitchbook.com?c=242232-85T","View Company Online")</f>
        <v>View Company Online</v>
      </c>
    </row>
    <row r="1633" spans="1:18" hidden="1" x14ac:dyDescent="0.3">
      <c r="A1633" s="15" t="s">
        <v>5773</v>
      </c>
      <c r="B1633" s="15" t="s">
        <v>5774</v>
      </c>
      <c r="C1633" s="18" t="s">
        <v>28</v>
      </c>
      <c r="D1633" s="15" t="s">
        <v>5775</v>
      </c>
      <c r="E1633" s="18" t="s">
        <v>28</v>
      </c>
      <c r="F1633" s="19" t="s">
        <v>28</v>
      </c>
      <c r="G1633" s="19" t="s">
        <v>28</v>
      </c>
      <c r="H1633" s="19" t="s">
        <v>28</v>
      </c>
      <c r="I1633" s="18" t="s">
        <v>28</v>
      </c>
      <c r="J1633" s="18" t="s">
        <v>28</v>
      </c>
      <c r="K1633" s="18" t="s">
        <v>28</v>
      </c>
      <c r="L1633" s="18" t="s">
        <v>28</v>
      </c>
      <c r="M1633" s="18" t="s">
        <v>28</v>
      </c>
      <c r="N1633" s="17">
        <v>45099</v>
      </c>
      <c r="O1633" s="15" t="s">
        <v>173</v>
      </c>
      <c r="P1633" s="16" t="s">
        <v>28</v>
      </c>
      <c r="Q1633" s="15" t="s">
        <v>240</v>
      </c>
      <c r="R1633" s="13" t="str">
        <f>HYPERLINK("https://my.pitchbook.com?c=226795-96T","View Company Online")</f>
        <v>View Company Online</v>
      </c>
    </row>
    <row r="1634" spans="1:18" hidden="1" x14ac:dyDescent="0.3">
      <c r="A1634" s="9" t="s">
        <v>5776</v>
      </c>
      <c r="B1634" s="9" t="s">
        <v>5777</v>
      </c>
      <c r="C1634" s="11" t="s">
        <v>28</v>
      </c>
      <c r="D1634" s="9" t="s">
        <v>5778</v>
      </c>
      <c r="E1634" s="11" t="s">
        <v>28</v>
      </c>
      <c r="F1634" s="10" t="s">
        <v>28</v>
      </c>
      <c r="G1634" s="10" t="s">
        <v>28</v>
      </c>
      <c r="H1634" s="10" t="s">
        <v>28</v>
      </c>
      <c r="I1634" s="11" t="s">
        <v>28</v>
      </c>
      <c r="J1634" s="11" t="s">
        <v>28</v>
      </c>
      <c r="K1634" s="11" t="s">
        <v>28</v>
      </c>
      <c r="L1634" s="11" t="s">
        <v>28</v>
      </c>
      <c r="M1634" s="11" t="s">
        <v>28</v>
      </c>
      <c r="N1634" s="8">
        <v>45099</v>
      </c>
      <c r="O1634" s="9" t="s">
        <v>58</v>
      </c>
      <c r="P1634" s="12" t="s">
        <v>5779</v>
      </c>
      <c r="Q1634" s="9" t="s">
        <v>409</v>
      </c>
      <c r="R1634" s="14" t="str">
        <f>HYPERLINK("https://my.pitchbook.com?c=226562-68T","View Company Online")</f>
        <v>View Company Online</v>
      </c>
    </row>
    <row r="1635" spans="1:18" hidden="1" x14ac:dyDescent="0.3">
      <c r="A1635" s="15" t="s">
        <v>5780</v>
      </c>
      <c r="B1635" s="15" t="s">
        <v>5573</v>
      </c>
      <c r="C1635" s="18" t="s">
        <v>28</v>
      </c>
      <c r="D1635" s="15" t="s">
        <v>5574</v>
      </c>
      <c r="E1635" s="18" t="s">
        <v>28</v>
      </c>
      <c r="F1635" s="19" t="s">
        <v>28</v>
      </c>
      <c r="G1635" s="19">
        <v>1.02</v>
      </c>
      <c r="H1635" s="19" t="s">
        <v>28</v>
      </c>
      <c r="I1635" s="18" t="s">
        <v>28</v>
      </c>
      <c r="J1635" s="18" t="s">
        <v>28</v>
      </c>
      <c r="K1635" s="18">
        <v>0.39</v>
      </c>
      <c r="L1635" s="18" t="s">
        <v>28</v>
      </c>
      <c r="M1635" s="18" t="s">
        <v>28</v>
      </c>
      <c r="N1635" s="17">
        <v>45099</v>
      </c>
      <c r="O1635" s="15" t="s">
        <v>79</v>
      </c>
      <c r="P1635" s="16" t="s">
        <v>5781</v>
      </c>
      <c r="Q1635" s="15" t="s">
        <v>404</v>
      </c>
      <c r="R1635" s="13" t="str">
        <f>HYPERLINK("https://my.pitchbook.com?c=226565-83T","View Company Online")</f>
        <v>View Company Online</v>
      </c>
    </row>
    <row r="1636" spans="1:18" hidden="1" x14ac:dyDescent="0.3">
      <c r="A1636" s="9" t="s">
        <v>5782</v>
      </c>
      <c r="B1636" s="9" t="s">
        <v>5783</v>
      </c>
      <c r="C1636" s="11" t="s">
        <v>28</v>
      </c>
      <c r="D1636" s="9" t="s">
        <v>5784</v>
      </c>
      <c r="E1636" s="11" t="s">
        <v>28</v>
      </c>
      <c r="F1636" s="10" t="s">
        <v>28</v>
      </c>
      <c r="G1636" s="10">
        <v>0.05</v>
      </c>
      <c r="H1636" s="10" t="s">
        <v>28</v>
      </c>
      <c r="I1636" s="11" t="s">
        <v>28</v>
      </c>
      <c r="J1636" s="11" t="s">
        <v>28</v>
      </c>
      <c r="K1636" s="11" t="s">
        <v>28</v>
      </c>
      <c r="L1636" s="11" t="s">
        <v>28</v>
      </c>
      <c r="M1636" s="11" t="s">
        <v>28</v>
      </c>
      <c r="N1636" s="8">
        <v>45099</v>
      </c>
      <c r="O1636" s="9" t="s">
        <v>99</v>
      </c>
      <c r="P1636" s="12" t="s">
        <v>5785</v>
      </c>
      <c r="Q1636" s="9" t="s">
        <v>43</v>
      </c>
      <c r="R1636" s="14" t="str">
        <f>HYPERLINK("https://my.pitchbook.com?c=226681-66T","View Company Online")</f>
        <v>View Company Online</v>
      </c>
    </row>
    <row r="1637" spans="1:18" hidden="1" x14ac:dyDescent="0.3">
      <c r="A1637" s="15" t="s">
        <v>5786</v>
      </c>
      <c r="B1637" s="15" t="s">
        <v>5787</v>
      </c>
      <c r="C1637" s="18" t="s">
        <v>28</v>
      </c>
      <c r="D1637" s="15" t="s">
        <v>5788</v>
      </c>
      <c r="E1637" s="18" t="s">
        <v>28</v>
      </c>
      <c r="F1637" s="19" t="s">
        <v>28</v>
      </c>
      <c r="G1637" s="19" t="s">
        <v>28</v>
      </c>
      <c r="H1637" s="19" t="s">
        <v>28</v>
      </c>
      <c r="I1637" s="18" t="s">
        <v>28</v>
      </c>
      <c r="J1637" s="18" t="s">
        <v>28</v>
      </c>
      <c r="K1637" s="18" t="s">
        <v>28</v>
      </c>
      <c r="L1637" s="18" t="s">
        <v>28</v>
      </c>
      <c r="M1637" s="18" t="s">
        <v>28</v>
      </c>
      <c r="N1637" s="17">
        <v>45098</v>
      </c>
      <c r="O1637" s="15" t="s">
        <v>30</v>
      </c>
      <c r="P1637" s="16" t="s">
        <v>5789</v>
      </c>
      <c r="Q1637" s="15" t="s">
        <v>226</v>
      </c>
      <c r="R1637" s="13" t="str">
        <f>HYPERLINK("https://my.pitchbook.com?c=248486-14T","View Company Online")</f>
        <v>View Company Online</v>
      </c>
    </row>
    <row r="1638" spans="1:18" hidden="1" x14ac:dyDescent="0.3">
      <c r="A1638" s="9" t="s">
        <v>5790</v>
      </c>
      <c r="B1638" s="9" t="s">
        <v>4535</v>
      </c>
      <c r="C1638" s="11" t="s">
        <v>28</v>
      </c>
      <c r="D1638" s="9" t="s">
        <v>4536</v>
      </c>
      <c r="E1638" s="11" t="s">
        <v>28</v>
      </c>
      <c r="F1638" s="10" t="s">
        <v>28</v>
      </c>
      <c r="G1638" s="10">
        <v>0.1</v>
      </c>
      <c r="H1638" s="10">
        <v>6.77</v>
      </c>
      <c r="I1638" s="11" t="s">
        <v>28</v>
      </c>
      <c r="J1638" s="11" t="s">
        <v>28</v>
      </c>
      <c r="K1638" s="11" t="s">
        <v>28</v>
      </c>
      <c r="L1638" s="11" t="s">
        <v>28</v>
      </c>
      <c r="M1638" s="11" t="s">
        <v>28</v>
      </c>
      <c r="N1638" s="8">
        <v>45098</v>
      </c>
      <c r="O1638" s="9" t="s">
        <v>52</v>
      </c>
      <c r="P1638" s="12" t="s">
        <v>5791</v>
      </c>
      <c r="Q1638" s="9" t="s">
        <v>75</v>
      </c>
      <c r="R1638" s="14" t="str">
        <f>HYPERLINK("https://my.pitchbook.com?c=228787-66T","View Company Online")</f>
        <v>View Company Online</v>
      </c>
    </row>
    <row r="1639" spans="1:18" hidden="1" x14ac:dyDescent="0.3">
      <c r="A1639" s="15" t="s">
        <v>5792</v>
      </c>
      <c r="B1639" s="15" t="s">
        <v>5289</v>
      </c>
      <c r="C1639" s="18" t="s">
        <v>28</v>
      </c>
      <c r="D1639" s="15" t="s">
        <v>5290</v>
      </c>
      <c r="E1639" s="18" t="s">
        <v>28</v>
      </c>
      <c r="F1639" s="19" t="s">
        <v>28</v>
      </c>
      <c r="G1639" s="19" t="s">
        <v>28</v>
      </c>
      <c r="H1639" s="19" t="s">
        <v>28</v>
      </c>
      <c r="I1639" s="18" t="s">
        <v>28</v>
      </c>
      <c r="J1639" s="18" t="s">
        <v>28</v>
      </c>
      <c r="K1639" s="18" t="s">
        <v>28</v>
      </c>
      <c r="L1639" s="18" t="s">
        <v>28</v>
      </c>
      <c r="M1639" s="18" t="s">
        <v>28</v>
      </c>
      <c r="N1639" s="17">
        <v>45098</v>
      </c>
      <c r="O1639" s="15" t="s">
        <v>52</v>
      </c>
      <c r="P1639" s="16" t="s">
        <v>28</v>
      </c>
      <c r="Q1639" s="15" t="s">
        <v>37</v>
      </c>
      <c r="R1639" s="13" t="str">
        <f>HYPERLINK("https://my.pitchbook.com?c=265344-94T","View Company Online")</f>
        <v>View Company Online</v>
      </c>
    </row>
    <row r="1640" spans="1:18" hidden="1" x14ac:dyDescent="0.3">
      <c r="A1640" s="9" t="s">
        <v>5793</v>
      </c>
      <c r="B1640" s="9" t="s">
        <v>5794</v>
      </c>
      <c r="C1640" s="11" t="s">
        <v>28</v>
      </c>
      <c r="D1640" s="9" t="s">
        <v>5795</v>
      </c>
      <c r="E1640" s="11" t="s">
        <v>28</v>
      </c>
      <c r="F1640" s="10" t="s">
        <v>28</v>
      </c>
      <c r="G1640" s="10" t="s">
        <v>28</v>
      </c>
      <c r="H1640" s="10" t="s">
        <v>28</v>
      </c>
      <c r="I1640" s="11" t="s">
        <v>28</v>
      </c>
      <c r="J1640" s="11" t="s">
        <v>28</v>
      </c>
      <c r="K1640" s="11" t="s">
        <v>28</v>
      </c>
      <c r="L1640" s="11" t="s">
        <v>28</v>
      </c>
      <c r="M1640" s="11" t="s">
        <v>28</v>
      </c>
      <c r="N1640" s="8">
        <v>45098</v>
      </c>
      <c r="O1640" s="9" t="s">
        <v>93</v>
      </c>
      <c r="P1640" s="12" t="s">
        <v>2839</v>
      </c>
      <c r="Q1640" s="9" t="s">
        <v>3973</v>
      </c>
      <c r="R1640" s="14" t="str">
        <f>HYPERLINK("https://my.pitchbook.com?c=232225-39T","View Company Online")</f>
        <v>View Company Online</v>
      </c>
    </row>
    <row r="1641" spans="1:18" hidden="1" x14ac:dyDescent="0.3">
      <c r="A1641" s="15" t="s">
        <v>5796</v>
      </c>
      <c r="B1641" s="15" t="s">
        <v>985</v>
      </c>
      <c r="C1641" s="18" t="s">
        <v>28</v>
      </c>
      <c r="D1641" s="15" t="s">
        <v>986</v>
      </c>
      <c r="E1641" s="18" t="s">
        <v>28</v>
      </c>
      <c r="F1641" s="19" t="s">
        <v>28</v>
      </c>
      <c r="G1641" s="19">
        <v>16.75</v>
      </c>
      <c r="H1641" s="19" t="s">
        <v>28</v>
      </c>
      <c r="I1641" s="18">
        <v>-4.8600000000000003</v>
      </c>
      <c r="J1641" s="18" t="s">
        <v>28</v>
      </c>
      <c r="K1641" s="18">
        <v>23.47</v>
      </c>
      <c r="L1641" s="18" t="s">
        <v>28</v>
      </c>
      <c r="M1641" s="18" t="s">
        <v>28</v>
      </c>
      <c r="N1641" s="17">
        <v>45097</v>
      </c>
      <c r="O1641" s="15" t="s">
        <v>79</v>
      </c>
      <c r="P1641" s="16" t="s">
        <v>5797</v>
      </c>
      <c r="Q1641" s="15" t="s">
        <v>37</v>
      </c>
      <c r="R1641" s="13" t="str">
        <f>HYPERLINK("https://my.pitchbook.com?c=158115-52T","View Company Online")</f>
        <v>View Company Online</v>
      </c>
    </row>
    <row r="1642" spans="1:18" hidden="1" x14ac:dyDescent="0.3">
      <c r="A1642" s="9" t="s">
        <v>5798</v>
      </c>
      <c r="B1642" s="9" t="s">
        <v>5799</v>
      </c>
      <c r="C1642" s="11" t="s">
        <v>28</v>
      </c>
      <c r="D1642" s="9" t="s">
        <v>5800</v>
      </c>
      <c r="E1642" s="11" t="s">
        <v>28</v>
      </c>
      <c r="F1642" s="10" t="s">
        <v>28</v>
      </c>
      <c r="G1642" s="10" t="s">
        <v>28</v>
      </c>
      <c r="H1642" s="10" t="s">
        <v>28</v>
      </c>
      <c r="I1642" s="11" t="s">
        <v>28</v>
      </c>
      <c r="J1642" s="11" t="s">
        <v>28</v>
      </c>
      <c r="K1642" s="11" t="s">
        <v>28</v>
      </c>
      <c r="L1642" s="11" t="s">
        <v>28</v>
      </c>
      <c r="M1642" s="11" t="s">
        <v>28</v>
      </c>
      <c r="N1642" s="8">
        <v>45097</v>
      </c>
      <c r="O1642" s="9" t="s">
        <v>173</v>
      </c>
      <c r="P1642" s="12" t="s">
        <v>28</v>
      </c>
      <c r="Q1642" s="9" t="s">
        <v>240</v>
      </c>
      <c r="R1642" s="14" t="str">
        <f>HYPERLINK("https://my.pitchbook.com?c=226586-71T","View Company Online")</f>
        <v>View Company Online</v>
      </c>
    </row>
    <row r="1643" spans="1:18" hidden="1" x14ac:dyDescent="0.3">
      <c r="A1643" s="15" t="s">
        <v>5801</v>
      </c>
      <c r="B1643" s="15" t="s">
        <v>5802</v>
      </c>
      <c r="C1643" s="18" t="s">
        <v>28</v>
      </c>
      <c r="D1643" s="15" t="s">
        <v>5803</v>
      </c>
      <c r="E1643" s="18" t="s">
        <v>28</v>
      </c>
      <c r="F1643" s="19" t="s">
        <v>28</v>
      </c>
      <c r="G1643" s="19" t="s">
        <v>28</v>
      </c>
      <c r="H1643" s="19" t="s">
        <v>28</v>
      </c>
      <c r="I1643" s="18" t="s">
        <v>28</v>
      </c>
      <c r="J1643" s="18" t="s">
        <v>28</v>
      </c>
      <c r="K1643" s="18" t="s">
        <v>28</v>
      </c>
      <c r="L1643" s="18" t="s">
        <v>28</v>
      </c>
      <c r="M1643" s="18" t="s">
        <v>28</v>
      </c>
      <c r="N1643" s="17">
        <v>45096</v>
      </c>
      <c r="O1643" s="15" t="s">
        <v>93</v>
      </c>
      <c r="P1643" s="16" t="s">
        <v>5804</v>
      </c>
      <c r="Q1643" s="15" t="s">
        <v>353</v>
      </c>
      <c r="R1643" s="13" t="str">
        <f>HYPERLINK("https://my.pitchbook.com?c=226590-76T","View Company Online")</f>
        <v>View Company Online</v>
      </c>
    </row>
    <row r="1644" spans="1:18" hidden="1" x14ac:dyDescent="0.3">
      <c r="A1644" s="9" t="s">
        <v>5805</v>
      </c>
      <c r="B1644" s="9" t="s">
        <v>3141</v>
      </c>
      <c r="C1644" s="11" t="s">
        <v>28</v>
      </c>
      <c r="D1644" s="9" t="s">
        <v>3142</v>
      </c>
      <c r="E1644" s="11" t="s">
        <v>28</v>
      </c>
      <c r="F1644" s="10" t="s">
        <v>28</v>
      </c>
      <c r="G1644" s="10">
        <v>1.01</v>
      </c>
      <c r="H1644" s="10" t="s">
        <v>28</v>
      </c>
      <c r="I1644" s="11" t="s">
        <v>28</v>
      </c>
      <c r="J1644" s="11" t="s">
        <v>28</v>
      </c>
      <c r="K1644" s="11" t="s">
        <v>28</v>
      </c>
      <c r="L1644" s="11" t="s">
        <v>28</v>
      </c>
      <c r="M1644" s="11" t="s">
        <v>28</v>
      </c>
      <c r="N1644" s="8">
        <v>45096</v>
      </c>
      <c r="O1644" s="9" t="s">
        <v>79</v>
      </c>
      <c r="P1644" s="12" t="s">
        <v>5806</v>
      </c>
      <c r="Q1644" s="9" t="s">
        <v>75</v>
      </c>
      <c r="R1644" s="14" t="str">
        <f>HYPERLINK("https://my.pitchbook.com?c=194528-44T","View Company Online")</f>
        <v>View Company Online</v>
      </c>
    </row>
    <row r="1645" spans="1:18" hidden="1" x14ac:dyDescent="0.3">
      <c r="A1645" s="15" t="s">
        <v>5807</v>
      </c>
      <c r="B1645" s="15" t="s">
        <v>5808</v>
      </c>
      <c r="C1645" s="18" t="s">
        <v>28</v>
      </c>
      <c r="D1645" s="15" t="s">
        <v>5809</v>
      </c>
      <c r="E1645" s="18" t="s">
        <v>28</v>
      </c>
      <c r="F1645" s="19" t="s">
        <v>28</v>
      </c>
      <c r="G1645" s="19">
        <v>0.2</v>
      </c>
      <c r="H1645" s="19" t="s">
        <v>28</v>
      </c>
      <c r="I1645" s="18" t="s">
        <v>28</v>
      </c>
      <c r="J1645" s="18" t="s">
        <v>28</v>
      </c>
      <c r="K1645" s="18" t="s">
        <v>28</v>
      </c>
      <c r="L1645" s="18" t="s">
        <v>28</v>
      </c>
      <c r="M1645" s="18" t="s">
        <v>28</v>
      </c>
      <c r="N1645" s="17">
        <v>45096</v>
      </c>
      <c r="O1645" s="15" t="s">
        <v>73</v>
      </c>
      <c r="P1645" s="16" t="s">
        <v>4022</v>
      </c>
      <c r="Q1645" s="15" t="s">
        <v>75</v>
      </c>
      <c r="R1645" s="13" t="str">
        <f>HYPERLINK("https://my.pitchbook.com?c=220043-98T","View Company Online")</f>
        <v>View Company Online</v>
      </c>
    </row>
    <row r="1646" spans="1:18" hidden="1" x14ac:dyDescent="0.3">
      <c r="A1646" s="9" t="s">
        <v>5810</v>
      </c>
      <c r="B1646" s="9" t="s">
        <v>5811</v>
      </c>
      <c r="C1646" s="11" t="s">
        <v>28</v>
      </c>
      <c r="D1646" s="9" t="s">
        <v>5812</v>
      </c>
      <c r="E1646" s="11" t="s">
        <v>28</v>
      </c>
      <c r="F1646" s="10" t="s">
        <v>28</v>
      </c>
      <c r="G1646" s="10" t="s">
        <v>28</v>
      </c>
      <c r="H1646" s="10" t="s">
        <v>28</v>
      </c>
      <c r="I1646" s="11" t="s">
        <v>28</v>
      </c>
      <c r="J1646" s="11" t="s">
        <v>28</v>
      </c>
      <c r="K1646" s="11" t="s">
        <v>28</v>
      </c>
      <c r="L1646" s="11" t="s">
        <v>28</v>
      </c>
      <c r="M1646" s="11" t="s">
        <v>28</v>
      </c>
      <c r="N1646" s="8">
        <v>45093</v>
      </c>
      <c r="O1646" s="9" t="s">
        <v>30</v>
      </c>
      <c r="P1646" s="12" t="s">
        <v>5813</v>
      </c>
      <c r="Q1646" s="9" t="s">
        <v>1068</v>
      </c>
      <c r="R1646" s="14" t="str">
        <f>HYPERLINK("https://my.pitchbook.com?c=226406-35T","View Company Online")</f>
        <v>View Company Online</v>
      </c>
    </row>
    <row r="1647" spans="1:18" hidden="1" x14ac:dyDescent="0.3">
      <c r="A1647" s="15" t="s">
        <v>5814</v>
      </c>
      <c r="B1647" s="15" t="s">
        <v>5815</v>
      </c>
      <c r="C1647" s="18" t="s">
        <v>28</v>
      </c>
      <c r="D1647" s="15" t="s">
        <v>5816</v>
      </c>
      <c r="E1647" s="18" t="s">
        <v>28</v>
      </c>
      <c r="F1647" s="19" t="s">
        <v>28</v>
      </c>
      <c r="G1647" s="19" t="s">
        <v>28</v>
      </c>
      <c r="H1647" s="19" t="s">
        <v>28</v>
      </c>
      <c r="I1647" s="18" t="s">
        <v>28</v>
      </c>
      <c r="J1647" s="18" t="s">
        <v>28</v>
      </c>
      <c r="K1647" s="18" t="s">
        <v>28</v>
      </c>
      <c r="L1647" s="18" t="s">
        <v>28</v>
      </c>
      <c r="M1647" s="18" t="s">
        <v>28</v>
      </c>
      <c r="N1647" s="17">
        <v>45093</v>
      </c>
      <c r="O1647" s="15" t="s">
        <v>30</v>
      </c>
      <c r="P1647" s="16" t="s">
        <v>5817</v>
      </c>
      <c r="Q1647" s="15" t="s">
        <v>85</v>
      </c>
      <c r="R1647" s="13" t="str">
        <f>HYPERLINK("https://my.pitchbook.com?c=226393-30T","View Company Online")</f>
        <v>View Company Online</v>
      </c>
    </row>
    <row r="1648" spans="1:18" hidden="1" x14ac:dyDescent="0.3">
      <c r="A1648" s="9" t="s">
        <v>5818</v>
      </c>
      <c r="B1648" s="9" t="s">
        <v>5819</v>
      </c>
      <c r="C1648" s="11" t="s">
        <v>28</v>
      </c>
      <c r="D1648" s="9" t="s">
        <v>5820</v>
      </c>
      <c r="E1648" s="11" t="s">
        <v>28</v>
      </c>
      <c r="F1648" s="10">
        <v>0.02</v>
      </c>
      <c r="G1648" s="10">
        <v>0.02</v>
      </c>
      <c r="H1648" s="10">
        <v>0.02</v>
      </c>
      <c r="I1648" s="11" t="s">
        <v>28</v>
      </c>
      <c r="J1648" s="11" t="s">
        <v>28</v>
      </c>
      <c r="K1648" s="11" t="s">
        <v>28</v>
      </c>
      <c r="L1648" s="11" t="s">
        <v>28</v>
      </c>
      <c r="M1648" s="11" t="s">
        <v>28</v>
      </c>
      <c r="N1648" s="8">
        <v>45093</v>
      </c>
      <c r="O1648" s="9" t="s">
        <v>30</v>
      </c>
      <c r="P1648" s="12" t="s">
        <v>5821</v>
      </c>
      <c r="Q1648" s="9" t="s">
        <v>268</v>
      </c>
      <c r="R1648" s="14" t="str">
        <f>HYPERLINK("https://my.pitchbook.com?c=244975-33T","View Company Online")</f>
        <v>View Company Online</v>
      </c>
    </row>
    <row r="1649" spans="1:18" hidden="1" x14ac:dyDescent="0.3">
      <c r="A1649" s="15" t="s">
        <v>5822</v>
      </c>
      <c r="B1649" s="15" t="s">
        <v>5823</v>
      </c>
      <c r="C1649" s="18" t="s">
        <v>28</v>
      </c>
      <c r="D1649" s="15" t="s">
        <v>5824</v>
      </c>
      <c r="E1649" s="18">
        <v>-3.95</v>
      </c>
      <c r="F1649" s="19" t="s">
        <v>28</v>
      </c>
      <c r="G1649" s="19">
        <v>3.91</v>
      </c>
      <c r="H1649" s="19" t="s">
        <v>28</v>
      </c>
      <c r="I1649" s="18">
        <v>-3.94</v>
      </c>
      <c r="J1649" s="18" t="s">
        <v>28</v>
      </c>
      <c r="K1649" s="18">
        <v>0</v>
      </c>
      <c r="L1649" s="18" t="s">
        <v>28</v>
      </c>
      <c r="M1649" s="18">
        <v>-3.64</v>
      </c>
      <c r="N1649" s="17">
        <v>45092</v>
      </c>
      <c r="O1649" s="15" t="s">
        <v>159</v>
      </c>
      <c r="P1649" s="16" t="s">
        <v>28</v>
      </c>
      <c r="Q1649" s="15" t="s">
        <v>2620</v>
      </c>
      <c r="R1649" s="13" t="str">
        <f>HYPERLINK("https://my.pitchbook.com?c=226525-06T","View Company Online")</f>
        <v>View Company Online</v>
      </c>
    </row>
    <row r="1650" spans="1:18" hidden="1" x14ac:dyDescent="0.3">
      <c r="A1650" s="9" t="s">
        <v>5825</v>
      </c>
      <c r="B1650" s="9" t="s">
        <v>5826</v>
      </c>
      <c r="C1650" s="11" t="s">
        <v>28</v>
      </c>
      <c r="D1650" s="9" t="s">
        <v>5827</v>
      </c>
      <c r="E1650" s="11" t="s">
        <v>28</v>
      </c>
      <c r="F1650" s="10" t="s">
        <v>28</v>
      </c>
      <c r="G1650" s="10">
        <v>0.2</v>
      </c>
      <c r="H1650" s="10" t="s">
        <v>28</v>
      </c>
      <c r="I1650" s="11" t="s">
        <v>28</v>
      </c>
      <c r="J1650" s="11" t="s">
        <v>28</v>
      </c>
      <c r="K1650" s="11" t="s">
        <v>28</v>
      </c>
      <c r="L1650" s="11" t="s">
        <v>28</v>
      </c>
      <c r="M1650" s="11" t="s">
        <v>28</v>
      </c>
      <c r="N1650" s="8">
        <v>45092</v>
      </c>
      <c r="O1650" s="9" t="s">
        <v>79</v>
      </c>
      <c r="P1650" s="12" t="s">
        <v>28</v>
      </c>
      <c r="Q1650" s="9" t="s">
        <v>583</v>
      </c>
      <c r="R1650" s="14" t="str">
        <f>HYPERLINK("https://my.pitchbook.com?c=226156-33T","View Company Online")</f>
        <v>View Company Online</v>
      </c>
    </row>
    <row r="1651" spans="1:18" hidden="1" x14ac:dyDescent="0.3">
      <c r="A1651" s="15" t="s">
        <v>5828</v>
      </c>
      <c r="B1651" s="15" t="s">
        <v>5829</v>
      </c>
      <c r="C1651" s="18" t="s">
        <v>28</v>
      </c>
      <c r="D1651" s="15" t="s">
        <v>5830</v>
      </c>
      <c r="E1651" s="18" t="s">
        <v>28</v>
      </c>
      <c r="F1651" s="19" t="s">
        <v>28</v>
      </c>
      <c r="G1651" s="19" t="s">
        <v>28</v>
      </c>
      <c r="H1651" s="19" t="s">
        <v>28</v>
      </c>
      <c r="I1651" s="18" t="s">
        <v>28</v>
      </c>
      <c r="J1651" s="18" t="s">
        <v>28</v>
      </c>
      <c r="K1651" s="18" t="s">
        <v>28</v>
      </c>
      <c r="L1651" s="18" t="s">
        <v>28</v>
      </c>
      <c r="M1651" s="18" t="s">
        <v>28</v>
      </c>
      <c r="N1651" s="17">
        <v>45091</v>
      </c>
      <c r="O1651" s="15" t="s">
        <v>41</v>
      </c>
      <c r="P1651" s="16" t="s">
        <v>5831</v>
      </c>
      <c r="Q1651" s="15" t="s">
        <v>362</v>
      </c>
      <c r="R1651" s="13" t="str">
        <f>HYPERLINK("https://my.pitchbook.com?c=226029-79T","View Company Online")</f>
        <v>View Company Online</v>
      </c>
    </row>
    <row r="1652" spans="1:18" hidden="1" x14ac:dyDescent="0.3">
      <c r="A1652" s="9" t="s">
        <v>5832</v>
      </c>
      <c r="B1652" s="9" t="s">
        <v>5833</v>
      </c>
      <c r="C1652" s="11" t="s">
        <v>28</v>
      </c>
      <c r="D1652" s="9" t="s">
        <v>5834</v>
      </c>
      <c r="E1652" s="11" t="s">
        <v>28</v>
      </c>
      <c r="F1652" s="10" t="s">
        <v>28</v>
      </c>
      <c r="G1652" s="10">
        <v>0.27</v>
      </c>
      <c r="H1652" s="10" t="s">
        <v>28</v>
      </c>
      <c r="I1652" s="11" t="s">
        <v>28</v>
      </c>
      <c r="J1652" s="11" t="s">
        <v>28</v>
      </c>
      <c r="K1652" s="11" t="s">
        <v>28</v>
      </c>
      <c r="L1652" s="11" t="s">
        <v>28</v>
      </c>
      <c r="M1652" s="11" t="s">
        <v>28</v>
      </c>
      <c r="N1652" s="8">
        <v>45091</v>
      </c>
      <c r="O1652" s="9" t="s">
        <v>99</v>
      </c>
      <c r="P1652" s="12" t="s">
        <v>5835</v>
      </c>
      <c r="Q1652" s="9" t="s">
        <v>75</v>
      </c>
      <c r="R1652" s="14" t="str">
        <f>HYPERLINK("https://my.pitchbook.com?c=224613-01T","View Company Online")</f>
        <v>View Company Online</v>
      </c>
    </row>
    <row r="1653" spans="1:18" hidden="1" x14ac:dyDescent="0.3">
      <c r="A1653" s="15" t="s">
        <v>5836</v>
      </c>
      <c r="B1653" s="15" t="s">
        <v>5837</v>
      </c>
      <c r="C1653" s="18" t="s">
        <v>28</v>
      </c>
      <c r="D1653" s="15" t="s">
        <v>5838</v>
      </c>
      <c r="E1653" s="18" t="s">
        <v>28</v>
      </c>
      <c r="F1653" s="19">
        <v>10.28</v>
      </c>
      <c r="G1653" s="19">
        <v>10.28</v>
      </c>
      <c r="H1653" s="19">
        <v>10.28</v>
      </c>
      <c r="I1653" s="18" t="s">
        <v>28</v>
      </c>
      <c r="J1653" s="18" t="s">
        <v>28</v>
      </c>
      <c r="K1653" s="18" t="s">
        <v>28</v>
      </c>
      <c r="L1653" s="18" t="s">
        <v>28</v>
      </c>
      <c r="M1653" s="18" t="s">
        <v>28</v>
      </c>
      <c r="N1653" s="17">
        <v>45091</v>
      </c>
      <c r="O1653" s="15" t="s">
        <v>30</v>
      </c>
      <c r="P1653" s="16" t="s">
        <v>5839</v>
      </c>
      <c r="Q1653" s="15" t="s">
        <v>75</v>
      </c>
      <c r="R1653" s="13" t="str">
        <f>HYPERLINK("https://my.pitchbook.com?c=225366-31T","View Company Online")</f>
        <v>View Company Online</v>
      </c>
    </row>
    <row r="1654" spans="1:18" hidden="1" x14ac:dyDescent="0.3">
      <c r="A1654" s="9" t="s">
        <v>5840</v>
      </c>
      <c r="B1654" s="9" t="s">
        <v>2248</v>
      </c>
      <c r="C1654" s="11" t="s">
        <v>28</v>
      </c>
      <c r="D1654" s="9" t="s">
        <v>2249</v>
      </c>
      <c r="E1654" s="11" t="s">
        <v>28</v>
      </c>
      <c r="F1654" s="10" t="s">
        <v>28</v>
      </c>
      <c r="G1654" s="10">
        <v>13</v>
      </c>
      <c r="H1654" s="10" t="s">
        <v>28</v>
      </c>
      <c r="I1654" s="11" t="s">
        <v>28</v>
      </c>
      <c r="J1654" s="11" t="s">
        <v>28</v>
      </c>
      <c r="K1654" s="11" t="s">
        <v>28</v>
      </c>
      <c r="L1654" s="11" t="s">
        <v>28</v>
      </c>
      <c r="M1654" s="11" t="s">
        <v>28</v>
      </c>
      <c r="N1654" s="8">
        <v>45091</v>
      </c>
      <c r="O1654" s="9" t="s">
        <v>99</v>
      </c>
      <c r="P1654" s="12" t="s">
        <v>5841</v>
      </c>
      <c r="Q1654" s="9" t="s">
        <v>37</v>
      </c>
      <c r="R1654" s="14" t="str">
        <f>HYPERLINK("https://my.pitchbook.com?c=196974-46T","View Company Online")</f>
        <v>View Company Online</v>
      </c>
    </row>
    <row r="1655" spans="1:18" hidden="1" x14ac:dyDescent="0.3">
      <c r="A1655" s="15" t="s">
        <v>5842</v>
      </c>
      <c r="B1655" s="15" t="s">
        <v>5479</v>
      </c>
      <c r="C1655" s="18" t="s">
        <v>28</v>
      </c>
      <c r="D1655" s="15" t="s">
        <v>5480</v>
      </c>
      <c r="E1655" s="18" t="s">
        <v>28</v>
      </c>
      <c r="F1655" s="19" t="s">
        <v>28</v>
      </c>
      <c r="G1655" s="19">
        <v>2.88</v>
      </c>
      <c r="H1655" s="19" t="s">
        <v>28</v>
      </c>
      <c r="I1655" s="18" t="s">
        <v>28</v>
      </c>
      <c r="J1655" s="18" t="s">
        <v>28</v>
      </c>
      <c r="K1655" s="18" t="s">
        <v>28</v>
      </c>
      <c r="L1655" s="18" t="s">
        <v>28</v>
      </c>
      <c r="M1655" s="18" t="s">
        <v>28</v>
      </c>
      <c r="N1655" s="17">
        <v>45091</v>
      </c>
      <c r="O1655" s="15" t="s">
        <v>73</v>
      </c>
      <c r="P1655" s="16" t="s">
        <v>28</v>
      </c>
      <c r="Q1655" s="15" t="s">
        <v>1088</v>
      </c>
      <c r="R1655" s="13" t="str">
        <f>HYPERLINK("https://my.pitchbook.com?c=226225-00T","View Company Online")</f>
        <v>View Company Online</v>
      </c>
    </row>
    <row r="1656" spans="1:18" hidden="1" x14ac:dyDescent="0.3">
      <c r="A1656" s="9" t="s">
        <v>5843</v>
      </c>
      <c r="B1656" s="9" t="s">
        <v>5844</v>
      </c>
      <c r="C1656" s="11" t="s">
        <v>28</v>
      </c>
      <c r="D1656" s="9" t="s">
        <v>5845</v>
      </c>
      <c r="E1656" s="11" t="s">
        <v>28</v>
      </c>
      <c r="F1656" s="10" t="s">
        <v>28</v>
      </c>
      <c r="G1656" s="10" t="s">
        <v>28</v>
      </c>
      <c r="H1656" s="10" t="s">
        <v>28</v>
      </c>
      <c r="I1656" s="11" t="s">
        <v>28</v>
      </c>
      <c r="J1656" s="11" t="s">
        <v>28</v>
      </c>
      <c r="K1656" s="11" t="s">
        <v>28</v>
      </c>
      <c r="L1656" s="11" t="s">
        <v>28</v>
      </c>
      <c r="M1656" s="11" t="s">
        <v>28</v>
      </c>
      <c r="N1656" s="8">
        <v>45091</v>
      </c>
      <c r="O1656" s="9" t="s">
        <v>173</v>
      </c>
      <c r="P1656" s="12" t="s">
        <v>28</v>
      </c>
      <c r="Q1656" s="9" t="s">
        <v>174</v>
      </c>
      <c r="R1656" s="14" t="str">
        <f>HYPERLINK("https://my.pitchbook.com?c=266751-55T","View Company Online")</f>
        <v>View Company Online</v>
      </c>
    </row>
    <row r="1657" spans="1:18" hidden="1" x14ac:dyDescent="0.3">
      <c r="A1657" s="15" t="s">
        <v>5846</v>
      </c>
      <c r="B1657" s="15" t="s">
        <v>5847</v>
      </c>
      <c r="C1657" s="18" t="s">
        <v>28</v>
      </c>
      <c r="D1657" s="15" t="s">
        <v>5848</v>
      </c>
      <c r="E1657" s="18" t="s">
        <v>28</v>
      </c>
      <c r="F1657" s="19" t="s">
        <v>28</v>
      </c>
      <c r="G1657" s="19" t="s">
        <v>28</v>
      </c>
      <c r="H1657" s="19" t="s">
        <v>28</v>
      </c>
      <c r="I1657" s="18" t="s">
        <v>28</v>
      </c>
      <c r="J1657" s="18" t="s">
        <v>28</v>
      </c>
      <c r="K1657" s="18" t="s">
        <v>28</v>
      </c>
      <c r="L1657" s="18" t="s">
        <v>28</v>
      </c>
      <c r="M1657" s="18" t="s">
        <v>28</v>
      </c>
      <c r="N1657" s="17">
        <v>45090</v>
      </c>
      <c r="O1657" s="15" t="s">
        <v>58</v>
      </c>
      <c r="P1657" s="16" t="s">
        <v>5849</v>
      </c>
      <c r="Q1657" s="15" t="s">
        <v>1527</v>
      </c>
      <c r="R1657" s="13" t="str">
        <f>HYPERLINK("https://my.pitchbook.com?c=226395-10T","View Company Online")</f>
        <v>View Company Online</v>
      </c>
    </row>
    <row r="1658" spans="1:18" hidden="1" x14ac:dyDescent="0.3">
      <c r="A1658" s="9" t="s">
        <v>5850</v>
      </c>
      <c r="B1658" s="9" t="s">
        <v>5851</v>
      </c>
      <c r="C1658" s="11" t="s">
        <v>28</v>
      </c>
      <c r="D1658" s="9" t="s">
        <v>5852</v>
      </c>
      <c r="E1658" s="11" t="s">
        <v>28</v>
      </c>
      <c r="F1658" s="10" t="s">
        <v>28</v>
      </c>
      <c r="G1658" s="10">
        <v>3.47</v>
      </c>
      <c r="H1658" s="10" t="s">
        <v>28</v>
      </c>
      <c r="I1658" s="11" t="s">
        <v>28</v>
      </c>
      <c r="J1658" s="11" t="s">
        <v>28</v>
      </c>
      <c r="K1658" s="11" t="s">
        <v>28</v>
      </c>
      <c r="L1658" s="11" t="s">
        <v>28</v>
      </c>
      <c r="M1658" s="11" t="s">
        <v>28</v>
      </c>
      <c r="N1658" s="8">
        <v>45090</v>
      </c>
      <c r="O1658" s="9" t="s">
        <v>79</v>
      </c>
      <c r="P1658" s="12" t="s">
        <v>5853</v>
      </c>
      <c r="Q1658" s="9" t="s">
        <v>75</v>
      </c>
      <c r="R1658" s="14" t="str">
        <f>HYPERLINK("https://my.pitchbook.com?c=226000-09T","View Company Online")</f>
        <v>View Company Online</v>
      </c>
    </row>
    <row r="1659" spans="1:18" hidden="1" x14ac:dyDescent="0.3">
      <c r="A1659" s="15" t="s">
        <v>5854</v>
      </c>
      <c r="B1659" s="15" t="s">
        <v>5855</v>
      </c>
      <c r="C1659" s="18" t="s">
        <v>28</v>
      </c>
      <c r="D1659" s="15" t="s">
        <v>5856</v>
      </c>
      <c r="E1659" s="18" t="s">
        <v>28</v>
      </c>
      <c r="F1659" s="19" t="s">
        <v>28</v>
      </c>
      <c r="G1659" s="19">
        <v>1.51</v>
      </c>
      <c r="H1659" s="19" t="s">
        <v>28</v>
      </c>
      <c r="I1659" s="18" t="s">
        <v>28</v>
      </c>
      <c r="J1659" s="18" t="s">
        <v>28</v>
      </c>
      <c r="K1659" s="18" t="s">
        <v>28</v>
      </c>
      <c r="L1659" s="18" t="s">
        <v>28</v>
      </c>
      <c r="M1659" s="18" t="s">
        <v>28</v>
      </c>
      <c r="N1659" s="17">
        <v>45090</v>
      </c>
      <c r="O1659" s="15" t="s">
        <v>379</v>
      </c>
      <c r="P1659" s="16" t="s">
        <v>28</v>
      </c>
      <c r="Q1659" s="15" t="s">
        <v>414</v>
      </c>
      <c r="R1659" s="13" t="str">
        <f>HYPERLINK("https://my.pitchbook.com?c=225954-46T","View Company Online")</f>
        <v>View Company Online</v>
      </c>
    </row>
    <row r="1660" spans="1:18" hidden="1" x14ac:dyDescent="0.3">
      <c r="A1660" s="9" t="s">
        <v>5857</v>
      </c>
      <c r="B1660" s="9" t="s">
        <v>5858</v>
      </c>
      <c r="C1660" s="11" t="s">
        <v>28</v>
      </c>
      <c r="D1660" s="9" t="s">
        <v>5859</v>
      </c>
      <c r="E1660" s="11" t="s">
        <v>28</v>
      </c>
      <c r="F1660" s="10" t="s">
        <v>28</v>
      </c>
      <c r="G1660" s="10" t="s">
        <v>28</v>
      </c>
      <c r="H1660" s="10" t="s">
        <v>28</v>
      </c>
      <c r="I1660" s="11" t="s">
        <v>28</v>
      </c>
      <c r="J1660" s="11" t="s">
        <v>28</v>
      </c>
      <c r="K1660" s="11" t="s">
        <v>28</v>
      </c>
      <c r="L1660" s="11" t="s">
        <v>28</v>
      </c>
      <c r="M1660" s="11" t="s">
        <v>28</v>
      </c>
      <c r="N1660" s="8">
        <v>45089</v>
      </c>
      <c r="O1660" s="9" t="s">
        <v>41</v>
      </c>
      <c r="P1660" s="12" t="s">
        <v>5860</v>
      </c>
      <c r="Q1660" s="9" t="s">
        <v>136</v>
      </c>
      <c r="R1660" s="14" t="str">
        <f>HYPERLINK("https://my.pitchbook.com?c=225907-39T","View Company Online")</f>
        <v>View Company Online</v>
      </c>
    </row>
    <row r="1661" spans="1:18" hidden="1" x14ac:dyDescent="0.3">
      <c r="A1661" s="15" t="s">
        <v>5861</v>
      </c>
      <c r="B1661" s="15" t="s">
        <v>5862</v>
      </c>
      <c r="C1661" s="18" t="s">
        <v>28</v>
      </c>
      <c r="D1661" s="15" t="s">
        <v>5863</v>
      </c>
      <c r="E1661" s="18" t="s">
        <v>28</v>
      </c>
      <c r="F1661" s="19" t="s">
        <v>28</v>
      </c>
      <c r="G1661" s="19" t="s">
        <v>28</v>
      </c>
      <c r="H1661" s="19" t="s">
        <v>28</v>
      </c>
      <c r="I1661" s="18" t="s">
        <v>28</v>
      </c>
      <c r="J1661" s="18" t="s">
        <v>28</v>
      </c>
      <c r="K1661" s="18" t="s">
        <v>28</v>
      </c>
      <c r="L1661" s="18" t="s">
        <v>28</v>
      </c>
      <c r="M1661" s="18" t="s">
        <v>28</v>
      </c>
      <c r="N1661" s="17">
        <v>45089</v>
      </c>
      <c r="O1661" s="15" t="s">
        <v>73</v>
      </c>
      <c r="P1661" s="16" t="s">
        <v>611</v>
      </c>
      <c r="Q1661" s="15" t="s">
        <v>37</v>
      </c>
      <c r="R1661" s="13" t="str">
        <f>HYPERLINK("https://my.pitchbook.com?c=227531-08T","View Company Online")</f>
        <v>View Company Online</v>
      </c>
    </row>
    <row r="1662" spans="1:18" x14ac:dyDescent="0.3">
      <c r="A1662" s="9" t="s">
        <v>5864</v>
      </c>
      <c r="B1662" s="9" t="s">
        <v>5865</v>
      </c>
      <c r="C1662" s="11">
        <v>4.76</v>
      </c>
      <c r="D1662" s="9" t="s">
        <v>5866</v>
      </c>
      <c r="E1662" s="11" t="s">
        <v>28</v>
      </c>
      <c r="F1662" s="10">
        <v>1000</v>
      </c>
      <c r="G1662" s="10">
        <v>1000</v>
      </c>
      <c r="H1662" s="10">
        <v>1000</v>
      </c>
      <c r="I1662" s="11">
        <v>210</v>
      </c>
      <c r="J1662" s="11">
        <v>4.76</v>
      </c>
      <c r="K1662" s="11">
        <v>406</v>
      </c>
      <c r="L1662" s="11">
        <v>2.46</v>
      </c>
      <c r="M1662" s="11" t="s">
        <v>28</v>
      </c>
      <c r="N1662" s="8">
        <v>45088</v>
      </c>
      <c r="O1662" s="9" t="s">
        <v>30</v>
      </c>
      <c r="P1662" s="12" t="s">
        <v>28</v>
      </c>
      <c r="Q1662" s="9" t="s">
        <v>470</v>
      </c>
      <c r="R1662" s="14" t="str">
        <f>HYPERLINK("https://my.pitchbook.com?c=225790-21T","View Company Online")</f>
        <v>View Company Online</v>
      </c>
    </row>
    <row r="1663" spans="1:18" hidden="1" x14ac:dyDescent="0.3">
      <c r="A1663" s="15" t="s">
        <v>5867</v>
      </c>
      <c r="B1663" s="15" t="s">
        <v>5868</v>
      </c>
      <c r="C1663" s="18" t="s">
        <v>28</v>
      </c>
      <c r="D1663" s="15" t="s">
        <v>5869</v>
      </c>
      <c r="E1663" s="18" t="s">
        <v>28</v>
      </c>
      <c r="F1663" s="19" t="s">
        <v>28</v>
      </c>
      <c r="G1663" s="19" t="s">
        <v>28</v>
      </c>
      <c r="H1663" s="19" t="s">
        <v>28</v>
      </c>
      <c r="I1663" s="18" t="s">
        <v>28</v>
      </c>
      <c r="J1663" s="18" t="s">
        <v>28</v>
      </c>
      <c r="K1663" s="18" t="s">
        <v>28</v>
      </c>
      <c r="L1663" s="18" t="s">
        <v>28</v>
      </c>
      <c r="M1663" s="18" t="s">
        <v>28</v>
      </c>
      <c r="N1663" s="17">
        <v>45088</v>
      </c>
      <c r="O1663" s="15" t="s">
        <v>30</v>
      </c>
      <c r="P1663" s="16" t="s">
        <v>28</v>
      </c>
      <c r="Q1663" s="15" t="s">
        <v>5870</v>
      </c>
      <c r="R1663" s="13" t="str">
        <f>HYPERLINK("https://my.pitchbook.com?c=225786-88T","View Company Online")</f>
        <v>View Company Online</v>
      </c>
    </row>
    <row r="1664" spans="1:18" hidden="1" x14ac:dyDescent="0.3">
      <c r="A1664" s="9" t="s">
        <v>5871</v>
      </c>
      <c r="B1664" s="9" t="s">
        <v>5823</v>
      </c>
      <c r="C1664" s="11" t="s">
        <v>28</v>
      </c>
      <c r="D1664" s="9" t="s">
        <v>5824</v>
      </c>
      <c r="E1664" s="11">
        <v>-3.95</v>
      </c>
      <c r="F1664" s="10" t="s">
        <v>28</v>
      </c>
      <c r="G1664" s="10">
        <v>14.79</v>
      </c>
      <c r="H1664" s="10" t="s">
        <v>28</v>
      </c>
      <c r="I1664" s="11">
        <v>-3.94</v>
      </c>
      <c r="J1664" s="11" t="s">
        <v>28</v>
      </c>
      <c r="K1664" s="11">
        <v>0</v>
      </c>
      <c r="L1664" s="11" t="s">
        <v>28</v>
      </c>
      <c r="M1664" s="11">
        <v>-3.64</v>
      </c>
      <c r="N1664" s="8">
        <v>45085</v>
      </c>
      <c r="O1664" s="9" t="s">
        <v>159</v>
      </c>
      <c r="P1664" s="12" t="s">
        <v>28</v>
      </c>
      <c r="Q1664" s="9" t="s">
        <v>2620</v>
      </c>
      <c r="R1664" s="14" t="str">
        <f>HYPERLINK("https://my.pitchbook.com?c=225096-22T","View Company Online")</f>
        <v>View Company Online</v>
      </c>
    </row>
    <row r="1665" spans="1:18" hidden="1" x14ac:dyDescent="0.3">
      <c r="A1665" s="15" t="s">
        <v>5872</v>
      </c>
      <c r="B1665" s="15" t="s">
        <v>886</v>
      </c>
      <c r="C1665" s="18" t="s">
        <v>28</v>
      </c>
      <c r="D1665" s="15" t="s">
        <v>887</v>
      </c>
      <c r="E1665" s="18" t="s">
        <v>28</v>
      </c>
      <c r="F1665" s="19" t="s">
        <v>28</v>
      </c>
      <c r="G1665" s="19">
        <v>0.8</v>
      </c>
      <c r="H1665" s="19" t="s">
        <v>28</v>
      </c>
      <c r="I1665" s="18" t="s">
        <v>28</v>
      </c>
      <c r="J1665" s="18" t="s">
        <v>28</v>
      </c>
      <c r="K1665" s="18" t="s">
        <v>28</v>
      </c>
      <c r="L1665" s="18" t="s">
        <v>28</v>
      </c>
      <c r="M1665" s="18" t="s">
        <v>28</v>
      </c>
      <c r="N1665" s="17">
        <v>45084</v>
      </c>
      <c r="O1665" s="15" t="s">
        <v>99</v>
      </c>
      <c r="P1665" s="16" t="s">
        <v>5873</v>
      </c>
      <c r="Q1665" s="15" t="s">
        <v>95</v>
      </c>
      <c r="R1665" s="13" t="str">
        <f>HYPERLINK("https://my.pitchbook.com?c=227178-64T","View Company Online")</f>
        <v>View Company Online</v>
      </c>
    </row>
    <row r="1666" spans="1:18" hidden="1" x14ac:dyDescent="0.3">
      <c r="A1666" s="9" t="s">
        <v>5874</v>
      </c>
      <c r="B1666" s="9" t="s">
        <v>426</v>
      </c>
      <c r="C1666" s="11" t="s">
        <v>28</v>
      </c>
      <c r="D1666" s="9" t="s">
        <v>427</v>
      </c>
      <c r="E1666" s="11" t="s">
        <v>28</v>
      </c>
      <c r="F1666" s="10" t="s">
        <v>28</v>
      </c>
      <c r="G1666" s="10">
        <v>1.61</v>
      </c>
      <c r="H1666" s="10" t="s">
        <v>28</v>
      </c>
      <c r="I1666" s="11" t="s">
        <v>28</v>
      </c>
      <c r="J1666" s="11" t="s">
        <v>28</v>
      </c>
      <c r="K1666" s="11" t="s">
        <v>28</v>
      </c>
      <c r="L1666" s="11" t="s">
        <v>28</v>
      </c>
      <c r="M1666" s="11" t="s">
        <v>28</v>
      </c>
      <c r="N1666" s="8">
        <v>45084</v>
      </c>
      <c r="O1666" s="9" t="s">
        <v>99</v>
      </c>
      <c r="P1666" s="12" t="s">
        <v>5875</v>
      </c>
      <c r="Q1666" s="9" t="s">
        <v>37</v>
      </c>
      <c r="R1666" s="14" t="str">
        <f>HYPERLINK("https://my.pitchbook.com?c=232477-39T","View Company Online")</f>
        <v>View Company Online</v>
      </c>
    </row>
    <row r="1667" spans="1:18" hidden="1" x14ac:dyDescent="0.3">
      <c r="A1667" s="15" t="s">
        <v>5876</v>
      </c>
      <c r="B1667" s="15" t="s">
        <v>5877</v>
      </c>
      <c r="C1667" s="18" t="s">
        <v>28</v>
      </c>
      <c r="D1667" s="15" t="s">
        <v>5878</v>
      </c>
      <c r="E1667" s="18">
        <v>1030.6400000000001</v>
      </c>
      <c r="F1667" s="19" t="s">
        <v>28</v>
      </c>
      <c r="G1667" s="19">
        <v>904.3</v>
      </c>
      <c r="H1667" s="19" t="s">
        <v>28</v>
      </c>
      <c r="I1667" s="18">
        <v>1585.31</v>
      </c>
      <c r="J1667" s="18" t="s">
        <v>28</v>
      </c>
      <c r="K1667" s="18">
        <v>4246.8999999999996</v>
      </c>
      <c r="L1667" s="18" t="s">
        <v>28</v>
      </c>
      <c r="M1667" s="18">
        <v>358.5</v>
      </c>
      <c r="N1667" s="17">
        <v>45084</v>
      </c>
      <c r="O1667" s="15" t="s">
        <v>423</v>
      </c>
      <c r="P1667" s="16" t="s">
        <v>28</v>
      </c>
      <c r="Q1667" s="15" t="s">
        <v>95</v>
      </c>
      <c r="R1667" s="13" t="str">
        <f>HYPERLINK("https://my.pitchbook.com?c=228887-29T","View Company Online")</f>
        <v>View Company Online</v>
      </c>
    </row>
    <row r="1668" spans="1:18" hidden="1" x14ac:dyDescent="0.3">
      <c r="A1668" s="9" t="s">
        <v>5879</v>
      </c>
      <c r="B1668" s="9" t="s">
        <v>5880</v>
      </c>
      <c r="C1668" s="11" t="s">
        <v>28</v>
      </c>
      <c r="D1668" s="9" t="s">
        <v>5881</v>
      </c>
      <c r="E1668" s="11" t="s">
        <v>28</v>
      </c>
      <c r="F1668" s="10" t="s">
        <v>28</v>
      </c>
      <c r="G1668" s="10">
        <v>2.0099999999999998</v>
      </c>
      <c r="H1668" s="10" t="s">
        <v>28</v>
      </c>
      <c r="I1668" s="11" t="s">
        <v>28</v>
      </c>
      <c r="J1668" s="11" t="s">
        <v>28</v>
      </c>
      <c r="K1668" s="11" t="s">
        <v>28</v>
      </c>
      <c r="L1668" s="11" t="s">
        <v>28</v>
      </c>
      <c r="M1668" s="11" t="s">
        <v>28</v>
      </c>
      <c r="N1668" s="8">
        <v>45084</v>
      </c>
      <c r="O1668" s="9" t="s">
        <v>93</v>
      </c>
      <c r="P1668" s="12" t="s">
        <v>5882</v>
      </c>
      <c r="Q1668" s="9" t="s">
        <v>583</v>
      </c>
      <c r="R1668" s="14" t="str">
        <f>HYPERLINK("https://my.pitchbook.com?c=227985-94T","View Company Online")</f>
        <v>View Company Online</v>
      </c>
    </row>
    <row r="1669" spans="1:18" hidden="1" x14ac:dyDescent="0.3">
      <c r="A1669" s="15" t="s">
        <v>5883</v>
      </c>
      <c r="B1669" s="15" t="s">
        <v>5884</v>
      </c>
      <c r="C1669" s="18" t="s">
        <v>28</v>
      </c>
      <c r="D1669" s="15" t="s">
        <v>5885</v>
      </c>
      <c r="E1669" s="18" t="s">
        <v>28</v>
      </c>
      <c r="F1669" s="19" t="s">
        <v>28</v>
      </c>
      <c r="G1669" s="19" t="s">
        <v>28</v>
      </c>
      <c r="H1669" s="19" t="s">
        <v>28</v>
      </c>
      <c r="I1669" s="18" t="s">
        <v>28</v>
      </c>
      <c r="J1669" s="18" t="s">
        <v>28</v>
      </c>
      <c r="K1669" s="18" t="s">
        <v>28</v>
      </c>
      <c r="L1669" s="18" t="s">
        <v>28</v>
      </c>
      <c r="M1669" s="18" t="s">
        <v>28</v>
      </c>
      <c r="N1669" s="17">
        <v>45083</v>
      </c>
      <c r="O1669" s="15" t="s">
        <v>52</v>
      </c>
      <c r="P1669" s="16" t="s">
        <v>5886</v>
      </c>
      <c r="Q1669" s="15" t="s">
        <v>75</v>
      </c>
      <c r="R1669" s="13" t="str">
        <f>HYPERLINK("https://my.pitchbook.com?c=265216-51T","View Company Online")</f>
        <v>View Company Online</v>
      </c>
    </row>
    <row r="1670" spans="1:18" hidden="1" x14ac:dyDescent="0.3">
      <c r="A1670" s="9" t="s">
        <v>5887</v>
      </c>
      <c r="B1670" s="9" t="s">
        <v>5888</v>
      </c>
      <c r="C1670" s="11" t="s">
        <v>28</v>
      </c>
      <c r="D1670" s="9" t="s">
        <v>5889</v>
      </c>
      <c r="E1670" s="11" t="s">
        <v>28</v>
      </c>
      <c r="F1670" s="10" t="s">
        <v>28</v>
      </c>
      <c r="G1670" s="10">
        <v>30.14</v>
      </c>
      <c r="H1670" s="10" t="s">
        <v>28</v>
      </c>
      <c r="I1670" s="11" t="s">
        <v>28</v>
      </c>
      <c r="J1670" s="11" t="s">
        <v>28</v>
      </c>
      <c r="K1670" s="11" t="s">
        <v>28</v>
      </c>
      <c r="L1670" s="11" t="s">
        <v>28</v>
      </c>
      <c r="M1670" s="11" t="s">
        <v>28</v>
      </c>
      <c r="N1670" s="8">
        <v>45083</v>
      </c>
      <c r="O1670" s="9" t="s">
        <v>93</v>
      </c>
      <c r="P1670" s="12" t="s">
        <v>5890</v>
      </c>
      <c r="Q1670" s="9" t="s">
        <v>37</v>
      </c>
      <c r="R1670" s="14" t="str">
        <f>HYPERLINK("https://my.pitchbook.com?c=225417-70T","View Company Online")</f>
        <v>View Company Online</v>
      </c>
    </row>
    <row r="1671" spans="1:18" hidden="1" x14ac:dyDescent="0.3">
      <c r="A1671" s="15" t="s">
        <v>5891</v>
      </c>
      <c r="B1671" s="15" t="s">
        <v>5892</v>
      </c>
      <c r="C1671" s="18" t="s">
        <v>28</v>
      </c>
      <c r="D1671" s="15" t="s">
        <v>5893</v>
      </c>
      <c r="E1671" s="18" t="s">
        <v>28</v>
      </c>
      <c r="F1671" s="19" t="s">
        <v>28</v>
      </c>
      <c r="G1671" s="19" t="s">
        <v>28</v>
      </c>
      <c r="H1671" s="19" t="s">
        <v>28</v>
      </c>
      <c r="I1671" s="18" t="s">
        <v>28</v>
      </c>
      <c r="J1671" s="18" t="s">
        <v>28</v>
      </c>
      <c r="K1671" s="18">
        <v>-0.39</v>
      </c>
      <c r="L1671" s="18" t="s">
        <v>28</v>
      </c>
      <c r="M1671" s="18">
        <v>-1</v>
      </c>
      <c r="N1671" s="17">
        <v>45082</v>
      </c>
      <c r="O1671" s="15" t="s">
        <v>173</v>
      </c>
      <c r="P1671" s="16" t="s">
        <v>28</v>
      </c>
      <c r="Q1671" s="15" t="s">
        <v>174</v>
      </c>
      <c r="R1671" s="13" t="str">
        <f>HYPERLINK("https://my.pitchbook.com?c=226187-74T","View Company Online")</f>
        <v>View Company Online</v>
      </c>
    </row>
    <row r="1672" spans="1:18" hidden="1" x14ac:dyDescent="0.3">
      <c r="A1672" s="9" t="s">
        <v>5894</v>
      </c>
      <c r="B1672" s="9" t="s">
        <v>5895</v>
      </c>
      <c r="C1672" s="11" t="s">
        <v>28</v>
      </c>
      <c r="D1672" s="9" t="s">
        <v>5896</v>
      </c>
      <c r="E1672" s="11" t="s">
        <v>28</v>
      </c>
      <c r="F1672" s="10" t="s">
        <v>28</v>
      </c>
      <c r="G1672" s="10" t="s">
        <v>28</v>
      </c>
      <c r="H1672" s="10" t="s">
        <v>28</v>
      </c>
      <c r="I1672" s="11" t="s">
        <v>28</v>
      </c>
      <c r="J1672" s="11" t="s">
        <v>28</v>
      </c>
      <c r="K1672" s="11" t="s">
        <v>28</v>
      </c>
      <c r="L1672" s="11" t="s">
        <v>28</v>
      </c>
      <c r="M1672" s="11" t="s">
        <v>28</v>
      </c>
      <c r="N1672" s="8">
        <v>45081</v>
      </c>
      <c r="O1672" s="9" t="s">
        <v>30</v>
      </c>
      <c r="P1672" s="12" t="s">
        <v>5664</v>
      </c>
      <c r="Q1672" s="9" t="s">
        <v>753</v>
      </c>
      <c r="R1672" s="14" t="str">
        <f>HYPERLINK("https://my.pitchbook.com?c=225481-60T","View Company Online")</f>
        <v>View Company Online</v>
      </c>
    </row>
    <row r="1673" spans="1:18" hidden="1" x14ac:dyDescent="0.3">
      <c r="A1673" s="15" t="s">
        <v>5897</v>
      </c>
      <c r="B1673" s="15" t="s">
        <v>5898</v>
      </c>
      <c r="C1673" s="18" t="s">
        <v>28</v>
      </c>
      <c r="D1673" s="15" t="s">
        <v>5899</v>
      </c>
      <c r="E1673" s="18" t="s">
        <v>28</v>
      </c>
      <c r="F1673" s="19" t="s">
        <v>28</v>
      </c>
      <c r="G1673" s="19" t="s">
        <v>28</v>
      </c>
      <c r="H1673" s="19" t="s">
        <v>28</v>
      </c>
      <c r="I1673" s="18" t="s">
        <v>28</v>
      </c>
      <c r="J1673" s="18" t="s">
        <v>28</v>
      </c>
      <c r="K1673" s="18" t="s">
        <v>28</v>
      </c>
      <c r="L1673" s="18" t="s">
        <v>28</v>
      </c>
      <c r="M1673" s="18" t="s">
        <v>28</v>
      </c>
      <c r="N1673" s="17">
        <v>45079</v>
      </c>
      <c r="O1673" s="15" t="s">
        <v>73</v>
      </c>
      <c r="P1673" s="16" t="s">
        <v>611</v>
      </c>
      <c r="Q1673" s="15" t="s">
        <v>607</v>
      </c>
      <c r="R1673" s="13" t="str">
        <f>HYPERLINK("https://my.pitchbook.com?c=215848-27T","View Company Online")</f>
        <v>View Company Online</v>
      </c>
    </row>
    <row r="1674" spans="1:18" hidden="1" x14ac:dyDescent="0.3">
      <c r="A1674" s="9" t="s">
        <v>5900</v>
      </c>
      <c r="B1674" s="9" t="s">
        <v>5719</v>
      </c>
      <c r="C1674" s="11" t="s">
        <v>28</v>
      </c>
      <c r="D1674" s="9" t="s">
        <v>5720</v>
      </c>
      <c r="E1674" s="11" t="s">
        <v>28</v>
      </c>
      <c r="F1674" s="10" t="s">
        <v>28</v>
      </c>
      <c r="G1674" s="10" t="s">
        <v>28</v>
      </c>
      <c r="H1674" s="10" t="s">
        <v>28</v>
      </c>
      <c r="I1674" s="11" t="s">
        <v>28</v>
      </c>
      <c r="J1674" s="11" t="s">
        <v>28</v>
      </c>
      <c r="K1674" s="11" t="s">
        <v>28</v>
      </c>
      <c r="L1674" s="11" t="s">
        <v>28</v>
      </c>
      <c r="M1674" s="11" t="s">
        <v>28</v>
      </c>
      <c r="N1674" s="8">
        <v>45078</v>
      </c>
      <c r="O1674" s="9" t="s">
        <v>52</v>
      </c>
      <c r="P1674" s="12" t="s">
        <v>5901</v>
      </c>
      <c r="Q1674" s="9" t="s">
        <v>37</v>
      </c>
      <c r="R1674" s="14" t="str">
        <f>HYPERLINK("https://my.pitchbook.com?c=251278-03T","View Company Online")</f>
        <v>View Company Online</v>
      </c>
    </row>
    <row r="1675" spans="1:18" hidden="1" x14ac:dyDescent="0.3">
      <c r="A1675" s="15" t="s">
        <v>5902</v>
      </c>
      <c r="B1675" s="15" t="s">
        <v>5749</v>
      </c>
      <c r="C1675" s="18" t="s">
        <v>28</v>
      </c>
      <c r="D1675" s="15" t="s">
        <v>5903</v>
      </c>
      <c r="E1675" s="18" t="s">
        <v>28</v>
      </c>
      <c r="F1675" s="19" t="s">
        <v>28</v>
      </c>
      <c r="G1675" s="19">
        <v>4.3099999999999996</v>
      </c>
      <c r="H1675" s="19" t="s">
        <v>28</v>
      </c>
      <c r="I1675" s="18" t="s">
        <v>28</v>
      </c>
      <c r="J1675" s="18" t="s">
        <v>28</v>
      </c>
      <c r="K1675" s="18" t="s">
        <v>28</v>
      </c>
      <c r="L1675" s="18" t="s">
        <v>28</v>
      </c>
      <c r="M1675" s="18" t="s">
        <v>28</v>
      </c>
      <c r="N1675" s="17">
        <v>45078</v>
      </c>
      <c r="O1675" s="15" t="s">
        <v>73</v>
      </c>
      <c r="P1675" s="16" t="s">
        <v>5904</v>
      </c>
      <c r="Q1675" s="15" t="s">
        <v>399</v>
      </c>
      <c r="R1675" s="13" t="str">
        <f>HYPERLINK("https://my.pitchbook.com?c=225108-55T","View Company Online")</f>
        <v>View Company Online</v>
      </c>
    </row>
    <row r="1676" spans="1:18" hidden="1" x14ac:dyDescent="0.3">
      <c r="A1676" s="9" t="s">
        <v>5905</v>
      </c>
      <c r="B1676" s="9" t="s">
        <v>2495</v>
      </c>
      <c r="C1676" s="11" t="s">
        <v>28</v>
      </c>
      <c r="D1676" s="9" t="s">
        <v>2496</v>
      </c>
      <c r="E1676" s="11" t="s">
        <v>28</v>
      </c>
      <c r="F1676" s="10" t="s">
        <v>28</v>
      </c>
      <c r="G1676" s="10" t="s">
        <v>28</v>
      </c>
      <c r="H1676" s="10" t="s">
        <v>28</v>
      </c>
      <c r="I1676" s="11" t="s">
        <v>28</v>
      </c>
      <c r="J1676" s="11" t="s">
        <v>28</v>
      </c>
      <c r="K1676" s="11" t="s">
        <v>28</v>
      </c>
      <c r="L1676" s="11" t="s">
        <v>28</v>
      </c>
      <c r="M1676" s="11" t="s">
        <v>28</v>
      </c>
      <c r="N1676" s="8">
        <v>45078</v>
      </c>
      <c r="O1676" s="9" t="s">
        <v>30</v>
      </c>
      <c r="P1676" s="12" t="s">
        <v>5653</v>
      </c>
      <c r="Q1676" s="9" t="s">
        <v>240</v>
      </c>
      <c r="R1676" s="14" t="str">
        <f>HYPERLINK("https://my.pitchbook.com?c=249188-95T","View Company Online")</f>
        <v>View Company Online</v>
      </c>
    </row>
    <row r="1677" spans="1:18" hidden="1" x14ac:dyDescent="0.3">
      <c r="A1677" s="15" t="s">
        <v>5906</v>
      </c>
      <c r="B1677" s="15" t="s">
        <v>5907</v>
      </c>
      <c r="C1677" s="18" t="s">
        <v>28</v>
      </c>
      <c r="D1677" s="15" t="s">
        <v>5908</v>
      </c>
      <c r="E1677" s="18" t="s">
        <v>28</v>
      </c>
      <c r="F1677" s="19" t="s">
        <v>28</v>
      </c>
      <c r="G1677" s="19" t="s">
        <v>28</v>
      </c>
      <c r="H1677" s="19" t="s">
        <v>28</v>
      </c>
      <c r="I1677" s="18" t="s">
        <v>28</v>
      </c>
      <c r="J1677" s="18" t="s">
        <v>28</v>
      </c>
      <c r="K1677" s="18">
        <v>7.45</v>
      </c>
      <c r="L1677" s="18" t="s">
        <v>28</v>
      </c>
      <c r="M1677" s="18" t="s">
        <v>28</v>
      </c>
      <c r="N1677" s="17">
        <v>45078</v>
      </c>
      <c r="O1677" s="15" t="s">
        <v>379</v>
      </c>
      <c r="P1677" s="16" t="s">
        <v>4286</v>
      </c>
      <c r="Q1677" s="15" t="s">
        <v>566</v>
      </c>
      <c r="R1677" s="13" t="str">
        <f>HYPERLINK("https://my.pitchbook.com?c=227062-18T","View Company Online")</f>
        <v>View Company Online</v>
      </c>
    </row>
    <row r="1678" spans="1:18" hidden="1" x14ac:dyDescent="0.3">
      <c r="A1678" s="9" t="s">
        <v>5909</v>
      </c>
      <c r="B1678" s="9" t="s">
        <v>3509</v>
      </c>
      <c r="C1678" s="11" t="s">
        <v>28</v>
      </c>
      <c r="D1678" s="9" t="s">
        <v>3510</v>
      </c>
      <c r="E1678" s="11" t="s">
        <v>28</v>
      </c>
      <c r="F1678" s="10" t="s">
        <v>28</v>
      </c>
      <c r="G1678" s="10">
        <v>0.01</v>
      </c>
      <c r="H1678" s="10" t="s">
        <v>28</v>
      </c>
      <c r="I1678" s="11" t="s">
        <v>28</v>
      </c>
      <c r="J1678" s="11" t="s">
        <v>28</v>
      </c>
      <c r="K1678" s="11" t="s">
        <v>28</v>
      </c>
      <c r="L1678" s="11" t="s">
        <v>28</v>
      </c>
      <c r="M1678" s="11" t="s">
        <v>28</v>
      </c>
      <c r="N1678" s="8">
        <v>45078</v>
      </c>
      <c r="O1678" s="9" t="s">
        <v>52</v>
      </c>
      <c r="P1678" s="12" t="s">
        <v>151</v>
      </c>
      <c r="Q1678" s="9" t="s">
        <v>1336</v>
      </c>
      <c r="R1678" s="14" t="str">
        <f>HYPERLINK("https://my.pitchbook.com?c=201250-99T","View Company Online")</f>
        <v>View Company Online</v>
      </c>
    </row>
    <row r="1679" spans="1:18" hidden="1" x14ac:dyDescent="0.3">
      <c r="A1679" s="15" t="s">
        <v>5910</v>
      </c>
      <c r="B1679" s="15" t="s">
        <v>5911</v>
      </c>
      <c r="C1679" s="18" t="s">
        <v>28</v>
      </c>
      <c r="D1679" s="15" t="s">
        <v>5912</v>
      </c>
      <c r="E1679" s="18" t="s">
        <v>28</v>
      </c>
      <c r="F1679" s="19" t="s">
        <v>28</v>
      </c>
      <c r="G1679" s="19">
        <v>3.61</v>
      </c>
      <c r="H1679" s="19" t="s">
        <v>28</v>
      </c>
      <c r="I1679" s="18" t="s">
        <v>28</v>
      </c>
      <c r="J1679" s="18" t="s">
        <v>28</v>
      </c>
      <c r="K1679" s="18" t="s">
        <v>28</v>
      </c>
      <c r="L1679" s="18" t="s">
        <v>28</v>
      </c>
      <c r="M1679" s="18" t="s">
        <v>28</v>
      </c>
      <c r="N1679" s="17">
        <v>45078</v>
      </c>
      <c r="O1679" s="15" t="s">
        <v>99</v>
      </c>
      <c r="P1679" s="16" t="s">
        <v>5913</v>
      </c>
      <c r="Q1679" s="15" t="s">
        <v>75</v>
      </c>
      <c r="R1679" s="13" t="str">
        <f>HYPERLINK("https://my.pitchbook.com?c=225069-31T","View Company Online")</f>
        <v>View Company Online</v>
      </c>
    </row>
    <row r="1680" spans="1:18" hidden="1" x14ac:dyDescent="0.3">
      <c r="A1680" s="9" t="s">
        <v>5914</v>
      </c>
      <c r="B1680" s="9" t="s">
        <v>5915</v>
      </c>
      <c r="C1680" s="11" t="s">
        <v>28</v>
      </c>
      <c r="D1680" s="9" t="s">
        <v>5916</v>
      </c>
      <c r="E1680" s="11" t="s">
        <v>28</v>
      </c>
      <c r="F1680" s="10" t="s">
        <v>28</v>
      </c>
      <c r="G1680" s="10" t="s">
        <v>28</v>
      </c>
      <c r="H1680" s="10" t="s">
        <v>28</v>
      </c>
      <c r="I1680" s="11" t="s">
        <v>28</v>
      </c>
      <c r="J1680" s="11" t="s">
        <v>28</v>
      </c>
      <c r="K1680" s="11" t="s">
        <v>28</v>
      </c>
      <c r="L1680" s="11" t="s">
        <v>28</v>
      </c>
      <c r="M1680" s="11" t="s">
        <v>28</v>
      </c>
      <c r="N1680" s="8">
        <v>45078</v>
      </c>
      <c r="O1680" s="9" t="s">
        <v>73</v>
      </c>
      <c r="P1680" s="12" t="s">
        <v>5917</v>
      </c>
      <c r="Q1680" s="9" t="s">
        <v>75</v>
      </c>
      <c r="R1680" s="14" t="str">
        <f>HYPERLINK("https://my.pitchbook.com?c=226075-24T","View Company Online")</f>
        <v>View Company Online</v>
      </c>
    </row>
    <row r="1681" spans="1:18" hidden="1" x14ac:dyDescent="0.3">
      <c r="A1681" s="15" t="s">
        <v>5918</v>
      </c>
      <c r="B1681" s="15" t="s">
        <v>5919</v>
      </c>
      <c r="C1681" s="18" t="s">
        <v>28</v>
      </c>
      <c r="D1681" s="15" t="s">
        <v>5920</v>
      </c>
      <c r="E1681" s="18" t="s">
        <v>28</v>
      </c>
      <c r="F1681" s="19" t="s">
        <v>28</v>
      </c>
      <c r="G1681" s="19" t="s">
        <v>28</v>
      </c>
      <c r="H1681" s="19" t="s">
        <v>28</v>
      </c>
      <c r="I1681" s="18" t="s">
        <v>28</v>
      </c>
      <c r="J1681" s="18" t="s">
        <v>28</v>
      </c>
      <c r="K1681" s="18" t="s">
        <v>28</v>
      </c>
      <c r="L1681" s="18" t="s">
        <v>28</v>
      </c>
      <c r="M1681" s="18" t="s">
        <v>28</v>
      </c>
      <c r="N1681" s="17">
        <v>45078</v>
      </c>
      <c r="O1681" s="15" t="s">
        <v>30</v>
      </c>
      <c r="P1681" s="16" t="s">
        <v>691</v>
      </c>
      <c r="Q1681" s="15" t="s">
        <v>290</v>
      </c>
      <c r="R1681" s="13" t="str">
        <f>HYPERLINK("https://my.pitchbook.com?c=233683-93T","View Company Online")</f>
        <v>View Company Online</v>
      </c>
    </row>
    <row r="1682" spans="1:18" hidden="1" x14ac:dyDescent="0.3">
      <c r="A1682" s="9" t="s">
        <v>5921</v>
      </c>
      <c r="B1682" s="9" t="s">
        <v>5922</v>
      </c>
      <c r="C1682" s="11" t="s">
        <v>28</v>
      </c>
      <c r="D1682" s="9" t="s">
        <v>5923</v>
      </c>
      <c r="E1682" s="11">
        <v>68.5</v>
      </c>
      <c r="F1682" s="10" t="s">
        <v>28</v>
      </c>
      <c r="G1682" s="10" t="s">
        <v>28</v>
      </c>
      <c r="H1682" s="10" t="s">
        <v>28</v>
      </c>
      <c r="I1682" s="11">
        <v>87.73</v>
      </c>
      <c r="J1682" s="11" t="s">
        <v>28</v>
      </c>
      <c r="K1682" s="11">
        <v>502.59</v>
      </c>
      <c r="L1682" s="11" t="s">
        <v>28</v>
      </c>
      <c r="M1682" s="11">
        <v>48.29</v>
      </c>
      <c r="N1682" s="8">
        <v>45078</v>
      </c>
      <c r="O1682" s="9" t="s">
        <v>159</v>
      </c>
      <c r="P1682" s="12" t="s">
        <v>343</v>
      </c>
      <c r="Q1682" s="9" t="s">
        <v>2916</v>
      </c>
      <c r="R1682" s="14" t="str">
        <f>HYPERLINK("https://my.pitchbook.com?c=233374-96T","View Company Online")</f>
        <v>View Company Online</v>
      </c>
    </row>
    <row r="1683" spans="1:18" hidden="1" x14ac:dyDescent="0.3">
      <c r="A1683" s="15" t="s">
        <v>5924</v>
      </c>
      <c r="B1683" s="15" t="s">
        <v>5925</v>
      </c>
      <c r="C1683" s="18" t="s">
        <v>28</v>
      </c>
      <c r="D1683" s="15" t="s">
        <v>5926</v>
      </c>
      <c r="E1683" s="18" t="s">
        <v>28</v>
      </c>
      <c r="F1683" s="19" t="s">
        <v>28</v>
      </c>
      <c r="G1683" s="19" t="s">
        <v>28</v>
      </c>
      <c r="H1683" s="19" t="s">
        <v>28</v>
      </c>
      <c r="I1683" s="18" t="s">
        <v>28</v>
      </c>
      <c r="J1683" s="18" t="s">
        <v>28</v>
      </c>
      <c r="K1683" s="18" t="s">
        <v>28</v>
      </c>
      <c r="L1683" s="18" t="s">
        <v>28</v>
      </c>
      <c r="M1683" s="18" t="s">
        <v>28</v>
      </c>
      <c r="N1683" s="17">
        <v>45078</v>
      </c>
      <c r="O1683" s="15" t="s">
        <v>30</v>
      </c>
      <c r="P1683" s="16" t="s">
        <v>691</v>
      </c>
      <c r="Q1683" s="15" t="s">
        <v>290</v>
      </c>
      <c r="R1683" s="13" t="str">
        <f>HYPERLINK("https://my.pitchbook.com?c=233684-29T","View Company Online")</f>
        <v>View Company Online</v>
      </c>
    </row>
    <row r="1684" spans="1:18" hidden="1" x14ac:dyDescent="0.3">
      <c r="A1684" s="9" t="s">
        <v>5927</v>
      </c>
      <c r="B1684" s="9" t="s">
        <v>5928</v>
      </c>
      <c r="C1684" s="11" t="s">
        <v>28</v>
      </c>
      <c r="D1684" s="9" t="s">
        <v>5929</v>
      </c>
      <c r="E1684" s="11" t="s">
        <v>28</v>
      </c>
      <c r="F1684" s="10" t="s">
        <v>28</v>
      </c>
      <c r="G1684" s="10" t="s">
        <v>28</v>
      </c>
      <c r="H1684" s="10" t="s">
        <v>28</v>
      </c>
      <c r="I1684" s="11" t="s">
        <v>28</v>
      </c>
      <c r="J1684" s="11" t="s">
        <v>28</v>
      </c>
      <c r="K1684" s="11" t="s">
        <v>28</v>
      </c>
      <c r="L1684" s="11" t="s">
        <v>28</v>
      </c>
      <c r="M1684" s="11" t="s">
        <v>28</v>
      </c>
      <c r="N1684" s="8">
        <v>45078</v>
      </c>
      <c r="O1684" s="9" t="s">
        <v>30</v>
      </c>
      <c r="P1684" s="12" t="s">
        <v>2005</v>
      </c>
      <c r="Q1684" s="9" t="s">
        <v>245</v>
      </c>
      <c r="R1684" s="14" t="str">
        <f>HYPERLINK("https://my.pitchbook.com?c=233095-33T","View Company Online")</f>
        <v>View Company Online</v>
      </c>
    </row>
    <row r="1685" spans="1:18" hidden="1" x14ac:dyDescent="0.3">
      <c r="A1685" s="15" t="s">
        <v>5930</v>
      </c>
      <c r="B1685" s="15" t="s">
        <v>5931</v>
      </c>
      <c r="C1685" s="18" t="s">
        <v>28</v>
      </c>
      <c r="D1685" s="15" t="s">
        <v>5932</v>
      </c>
      <c r="E1685" s="18" t="s">
        <v>28</v>
      </c>
      <c r="F1685" s="19">
        <v>8.5299999999999994</v>
      </c>
      <c r="G1685" s="19">
        <v>5.42</v>
      </c>
      <c r="H1685" s="19" t="s">
        <v>28</v>
      </c>
      <c r="I1685" s="18" t="s">
        <v>28</v>
      </c>
      <c r="J1685" s="18" t="s">
        <v>28</v>
      </c>
      <c r="K1685" s="18" t="s">
        <v>28</v>
      </c>
      <c r="L1685" s="18" t="s">
        <v>28</v>
      </c>
      <c r="M1685" s="18" t="s">
        <v>28</v>
      </c>
      <c r="N1685" s="17">
        <v>45078</v>
      </c>
      <c r="O1685" s="15" t="s">
        <v>41</v>
      </c>
      <c r="P1685" s="16" t="s">
        <v>1616</v>
      </c>
      <c r="Q1685" s="15" t="s">
        <v>75</v>
      </c>
      <c r="R1685" s="13" t="str">
        <f>HYPERLINK("https://my.pitchbook.com?c=225187-48T","View Company Online")</f>
        <v>View Company Online</v>
      </c>
    </row>
    <row r="1686" spans="1:18" hidden="1" x14ac:dyDescent="0.3">
      <c r="A1686" s="9" t="s">
        <v>5933</v>
      </c>
      <c r="B1686" s="9" t="s">
        <v>5934</v>
      </c>
      <c r="C1686" s="11" t="s">
        <v>28</v>
      </c>
      <c r="D1686" s="9" t="s">
        <v>5935</v>
      </c>
      <c r="E1686" s="11" t="s">
        <v>28</v>
      </c>
      <c r="F1686" s="10">
        <v>0.21</v>
      </c>
      <c r="G1686" s="10">
        <v>0.21</v>
      </c>
      <c r="H1686" s="10">
        <v>0.21</v>
      </c>
      <c r="I1686" s="11" t="s">
        <v>28</v>
      </c>
      <c r="J1686" s="11" t="s">
        <v>28</v>
      </c>
      <c r="K1686" s="11" t="s">
        <v>28</v>
      </c>
      <c r="L1686" s="11" t="s">
        <v>28</v>
      </c>
      <c r="M1686" s="11" t="s">
        <v>28</v>
      </c>
      <c r="N1686" s="8">
        <v>45078</v>
      </c>
      <c r="O1686" s="9" t="s">
        <v>30</v>
      </c>
      <c r="P1686" s="12" t="s">
        <v>5936</v>
      </c>
      <c r="Q1686" s="9" t="s">
        <v>5937</v>
      </c>
      <c r="R1686" s="14" t="str">
        <f>HYPERLINK("https://my.pitchbook.com?c=242451-10T","View Company Online")</f>
        <v>View Company Online</v>
      </c>
    </row>
    <row r="1687" spans="1:18" hidden="1" x14ac:dyDescent="0.3">
      <c r="A1687" s="15" t="s">
        <v>5938</v>
      </c>
      <c r="B1687" s="15" t="s">
        <v>5939</v>
      </c>
      <c r="C1687" s="18" t="s">
        <v>28</v>
      </c>
      <c r="D1687" s="15" t="s">
        <v>5940</v>
      </c>
      <c r="E1687" s="18" t="s">
        <v>28</v>
      </c>
      <c r="F1687" s="19" t="s">
        <v>28</v>
      </c>
      <c r="G1687" s="19" t="s">
        <v>28</v>
      </c>
      <c r="H1687" s="19" t="s">
        <v>28</v>
      </c>
      <c r="I1687" s="18" t="s">
        <v>28</v>
      </c>
      <c r="J1687" s="18" t="s">
        <v>28</v>
      </c>
      <c r="K1687" s="18" t="s">
        <v>28</v>
      </c>
      <c r="L1687" s="18" t="s">
        <v>28</v>
      </c>
      <c r="M1687" s="18" t="s">
        <v>28</v>
      </c>
      <c r="N1687" s="17">
        <v>45078</v>
      </c>
      <c r="O1687" s="15" t="s">
        <v>73</v>
      </c>
      <c r="P1687" s="16" t="s">
        <v>5941</v>
      </c>
      <c r="Q1687" s="15" t="s">
        <v>1035</v>
      </c>
      <c r="R1687" s="13" t="str">
        <f>HYPERLINK("https://my.pitchbook.com?c=225603-37T","View Company Online")</f>
        <v>View Company Online</v>
      </c>
    </row>
    <row r="1688" spans="1:18" hidden="1" x14ac:dyDescent="0.3">
      <c r="A1688" s="9" t="s">
        <v>5942</v>
      </c>
      <c r="B1688" s="9" t="s">
        <v>5943</v>
      </c>
      <c r="C1688" s="11" t="s">
        <v>28</v>
      </c>
      <c r="D1688" s="9" t="s">
        <v>5944</v>
      </c>
      <c r="E1688" s="11" t="s">
        <v>28</v>
      </c>
      <c r="F1688" s="10" t="s">
        <v>28</v>
      </c>
      <c r="G1688" s="10">
        <v>0.05</v>
      </c>
      <c r="H1688" s="10">
        <v>1.0900000000000001</v>
      </c>
      <c r="I1688" s="11" t="s">
        <v>28</v>
      </c>
      <c r="J1688" s="11" t="s">
        <v>28</v>
      </c>
      <c r="K1688" s="11" t="s">
        <v>28</v>
      </c>
      <c r="L1688" s="11" t="s">
        <v>28</v>
      </c>
      <c r="M1688" s="11" t="s">
        <v>28</v>
      </c>
      <c r="N1688" s="8">
        <v>45078</v>
      </c>
      <c r="O1688" s="9" t="s">
        <v>52</v>
      </c>
      <c r="P1688" s="12" t="s">
        <v>5945</v>
      </c>
      <c r="Q1688" s="9" t="s">
        <v>75</v>
      </c>
      <c r="R1688" s="14" t="str">
        <f>HYPERLINK("https://my.pitchbook.com?c=225398-80T","View Company Online")</f>
        <v>View Company Online</v>
      </c>
    </row>
    <row r="1689" spans="1:18" hidden="1" x14ac:dyDescent="0.3">
      <c r="A1689" s="15" t="s">
        <v>5946</v>
      </c>
      <c r="B1689" s="15" t="s">
        <v>5947</v>
      </c>
      <c r="C1689" s="18" t="s">
        <v>28</v>
      </c>
      <c r="D1689" s="15" t="s">
        <v>5948</v>
      </c>
      <c r="E1689" s="18" t="s">
        <v>28</v>
      </c>
      <c r="F1689" s="19" t="s">
        <v>28</v>
      </c>
      <c r="G1689" s="19" t="s">
        <v>28</v>
      </c>
      <c r="H1689" s="19" t="s">
        <v>28</v>
      </c>
      <c r="I1689" s="18" t="s">
        <v>28</v>
      </c>
      <c r="J1689" s="18" t="s">
        <v>28</v>
      </c>
      <c r="K1689" s="18" t="s">
        <v>28</v>
      </c>
      <c r="L1689" s="18" t="s">
        <v>28</v>
      </c>
      <c r="M1689" s="18" t="s">
        <v>28</v>
      </c>
      <c r="N1689" s="17">
        <v>45078</v>
      </c>
      <c r="O1689" s="15" t="s">
        <v>79</v>
      </c>
      <c r="P1689" s="16" t="s">
        <v>5949</v>
      </c>
      <c r="Q1689" s="15" t="s">
        <v>136</v>
      </c>
      <c r="R1689" s="13" t="str">
        <f>HYPERLINK("https://my.pitchbook.com?c=225216-55T","View Company Online")</f>
        <v>View Company Online</v>
      </c>
    </row>
    <row r="1690" spans="1:18" hidden="1" x14ac:dyDescent="0.3">
      <c r="A1690" s="9" t="s">
        <v>5950</v>
      </c>
      <c r="B1690" s="9" t="s">
        <v>5951</v>
      </c>
      <c r="C1690" s="11" t="s">
        <v>28</v>
      </c>
      <c r="D1690" s="9" t="s">
        <v>5952</v>
      </c>
      <c r="E1690" s="11" t="s">
        <v>28</v>
      </c>
      <c r="F1690" s="10" t="s">
        <v>28</v>
      </c>
      <c r="G1690" s="10">
        <v>0.2</v>
      </c>
      <c r="H1690" s="10" t="s">
        <v>28</v>
      </c>
      <c r="I1690" s="11" t="s">
        <v>28</v>
      </c>
      <c r="J1690" s="11" t="s">
        <v>28</v>
      </c>
      <c r="K1690" s="11" t="s">
        <v>28</v>
      </c>
      <c r="L1690" s="11" t="s">
        <v>28</v>
      </c>
      <c r="M1690" s="11" t="s">
        <v>28</v>
      </c>
      <c r="N1690" s="8">
        <v>45077</v>
      </c>
      <c r="O1690" s="9" t="s">
        <v>99</v>
      </c>
      <c r="P1690" s="12" t="s">
        <v>5953</v>
      </c>
      <c r="Q1690" s="9" t="s">
        <v>75</v>
      </c>
      <c r="R1690" s="14" t="str">
        <f>HYPERLINK("https://my.pitchbook.com?c=211053-34T","View Company Online")</f>
        <v>View Company Online</v>
      </c>
    </row>
    <row r="1691" spans="1:18" hidden="1" x14ac:dyDescent="0.3">
      <c r="A1691" s="15" t="s">
        <v>5954</v>
      </c>
      <c r="B1691" s="15" t="s">
        <v>5955</v>
      </c>
      <c r="C1691" s="18" t="s">
        <v>28</v>
      </c>
      <c r="D1691" s="15" t="s">
        <v>5956</v>
      </c>
      <c r="E1691" s="18" t="s">
        <v>28</v>
      </c>
      <c r="F1691" s="19" t="s">
        <v>28</v>
      </c>
      <c r="G1691" s="19" t="s">
        <v>28</v>
      </c>
      <c r="H1691" s="19" t="s">
        <v>28</v>
      </c>
      <c r="I1691" s="18" t="s">
        <v>28</v>
      </c>
      <c r="J1691" s="18" t="s">
        <v>28</v>
      </c>
      <c r="K1691" s="18" t="s">
        <v>28</v>
      </c>
      <c r="L1691" s="18" t="s">
        <v>28</v>
      </c>
      <c r="M1691" s="18" t="s">
        <v>28</v>
      </c>
      <c r="N1691" s="17">
        <v>45076</v>
      </c>
      <c r="O1691" s="15" t="s">
        <v>30</v>
      </c>
      <c r="P1691" s="16" t="s">
        <v>5957</v>
      </c>
      <c r="Q1691" s="15" t="s">
        <v>245</v>
      </c>
      <c r="R1691" s="13" t="str">
        <f>HYPERLINK("https://my.pitchbook.com?c=224947-63T","View Company Online")</f>
        <v>View Company Online</v>
      </c>
    </row>
    <row r="1692" spans="1:18" hidden="1" x14ac:dyDescent="0.3">
      <c r="A1692" s="9" t="s">
        <v>5958</v>
      </c>
      <c r="B1692" s="9" t="s">
        <v>5959</v>
      </c>
      <c r="C1692" s="11" t="s">
        <v>28</v>
      </c>
      <c r="D1692" s="9" t="s">
        <v>5960</v>
      </c>
      <c r="E1692" s="11" t="s">
        <v>28</v>
      </c>
      <c r="F1692" s="10" t="s">
        <v>28</v>
      </c>
      <c r="G1692" s="10" t="s">
        <v>28</v>
      </c>
      <c r="H1692" s="10" t="s">
        <v>28</v>
      </c>
      <c r="I1692" s="11" t="s">
        <v>28</v>
      </c>
      <c r="J1692" s="11" t="s">
        <v>28</v>
      </c>
      <c r="K1692" s="11" t="s">
        <v>28</v>
      </c>
      <c r="L1692" s="11" t="s">
        <v>28</v>
      </c>
      <c r="M1692" s="11" t="s">
        <v>28</v>
      </c>
      <c r="N1692" s="8">
        <v>45076</v>
      </c>
      <c r="O1692" s="9" t="s">
        <v>30</v>
      </c>
      <c r="P1692" s="12" t="s">
        <v>5961</v>
      </c>
      <c r="Q1692" s="9" t="s">
        <v>263</v>
      </c>
      <c r="R1692" s="14" t="str">
        <f>HYPERLINK("https://my.pitchbook.com?c=224927-65T","View Company Online")</f>
        <v>View Company Online</v>
      </c>
    </row>
    <row r="1693" spans="1:18" hidden="1" x14ac:dyDescent="0.3">
      <c r="A1693" s="15" t="s">
        <v>5962</v>
      </c>
      <c r="B1693" s="15" t="s">
        <v>5963</v>
      </c>
      <c r="C1693" s="18" t="s">
        <v>28</v>
      </c>
      <c r="D1693" s="15" t="s">
        <v>5964</v>
      </c>
      <c r="E1693" s="18" t="s">
        <v>28</v>
      </c>
      <c r="F1693" s="19" t="s">
        <v>28</v>
      </c>
      <c r="G1693" s="19" t="s">
        <v>28</v>
      </c>
      <c r="H1693" s="19" t="s">
        <v>28</v>
      </c>
      <c r="I1693" s="18" t="s">
        <v>28</v>
      </c>
      <c r="J1693" s="18" t="s">
        <v>28</v>
      </c>
      <c r="K1693" s="18" t="s">
        <v>28</v>
      </c>
      <c r="L1693" s="18" t="s">
        <v>28</v>
      </c>
      <c r="M1693" s="18" t="s">
        <v>28</v>
      </c>
      <c r="N1693" s="17">
        <v>45076</v>
      </c>
      <c r="O1693" s="15" t="s">
        <v>30</v>
      </c>
      <c r="P1693" s="16" t="s">
        <v>5965</v>
      </c>
      <c r="Q1693" s="15" t="s">
        <v>226</v>
      </c>
      <c r="R1693" s="13" t="str">
        <f>HYPERLINK("https://my.pitchbook.com?c=225482-50T","View Company Online")</f>
        <v>View Company Online</v>
      </c>
    </row>
    <row r="1694" spans="1:18" hidden="1" x14ac:dyDescent="0.3">
      <c r="A1694" s="9" t="s">
        <v>5966</v>
      </c>
      <c r="B1694" s="9" t="s">
        <v>5967</v>
      </c>
      <c r="C1694" s="11" t="s">
        <v>28</v>
      </c>
      <c r="D1694" s="9" t="s">
        <v>5968</v>
      </c>
      <c r="E1694" s="11" t="s">
        <v>28</v>
      </c>
      <c r="F1694" s="10" t="s">
        <v>28</v>
      </c>
      <c r="G1694" s="10" t="s">
        <v>28</v>
      </c>
      <c r="H1694" s="10" t="s">
        <v>28</v>
      </c>
      <c r="I1694" s="11" t="s">
        <v>28</v>
      </c>
      <c r="J1694" s="11" t="s">
        <v>28</v>
      </c>
      <c r="K1694" s="11" t="s">
        <v>28</v>
      </c>
      <c r="L1694" s="11" t="s">
        <v>28</v>
      </c>
      <c r="M1694" s="11" t="s">
        <v>28</v>
      </c>
      <c r="N1694" s="8">
        <v>45075</v>
      </c>
      <c r="O1694" s="9" t="s">
        <v>30</v>
      </c>
      <c r="P1694" s="12" t="s">
        <v>343</v>
      </c>
      <c r="Q1694" s="9" t="s">
        <v>114</v>
      </c>
      <c r="R1694" s="14" t="str">
        <f>HYPERLINK("https://my.pitchbook.com?c=224906-41T","View Company Online")</f>
        <v>View Company Online</v>
      </c>
    </row>
    <row r="1695" spans="1:18" hidden="1" x14ac:dyDescent="0.3">
      <c r="A1695" s="15" t="s">
        <v>5969</v>
      </c>
      <c r="B1695" s="15" t="s">
        <v>5970</v>
      </c>
      <c r="C1695" s="18" t="s">
        <v>28</v>
      </c>
      <c r="D1695" s="15" t="s">
        <v>5971</v>
      </c>
      <c r="E1695" s="18" t="s">
        <v>28</v>
      </c>
      <c r="F1695" s="19" t="s">
        <v>28</v>
      </c>
      <c r="G1695" s="19">
        <v>0.06</v>
      </c>
      <c r="H1695" s="19" t="s">
        <v>28</v>
      </c>
      <c r="I1695" s="18" t="s">
        <v>28</v>
      </c>
      <c r="J1695" s="18" t="s">
        <v>28</v>
      </c>
      <c r="K1695" s="18">
        <v>0.12</v>
      </c>
      <c r="L1695" s="18" t="s">
        <v>28</v>
      </c>
      <c r="M1695" s="18" t="s">
        <v>28</v>
      </c>
      <c r="N1695" s="17">
        <v>45075</v>
      </c>
      <c r="O1695" s="15" t="s">
        <v>73</v>
      </c>
      <c r="P1695" s="16" t="s">
        <v>2379</v>
      </c>
      <c r="Q1695" s="15" t="s">
        <v>75</v>
      </c>
      <c r="R1695" s="13" t="str">
        <f>HYPERLINK("https://my.pitchbook.com?c=215852-41T","View Company Online")</f>
        <v>View Company Online</v>
      </c>
    </row>
    <row r="1696" spans="1:18" hidden="1" x14ac:dyDescent="0.3">
      <c r="A1696" s="9" t="s">
        <v>5972</v>
      </c>
      <c r="B1696" s="9" t="s">
        <v>5973</v>
      </c>
      <c r="C1696" s="11" t="s">
        <v>28</v>
      </c>
      <c r="D1696" s="9" t="s">
        <v>5974</v>
      </c>
      <c r="E1696" s="11" t="s">
        <v>28</v>
      </c>
      <c r="F1696" s="10" t="s">
        <v>28</v>
      </c>
      <c r="G1696" s="10">
        <v>1480</v>
      </c>
      <c r="H1696" s="10">
        <v>1480</v>
      </c>
      <c r="I1696" s="11" t="s">
        <v>28</v>
      </c>
      <c r="J1696" s="11" t="s">
        <v>28</v>
      </c>
      <c r="K1696" s="11" t="s">
        <v>28</v>
      </c>
      <c r="L1696" s="11" t="s">
        <v>28</v>
      </c>
      <c r="M1696" s="11" t="s">
        <v>28</v>
      </c>
      <c r="N1696" s="8">
        <v>45073</v>
      </c>
      <c r="O1696" s="9" t="s">
        <v>30</v>
      </c>
      <c r="P1696" s="12" t="s">
        <v>5975</v>
      </c>
      <c r="Q1696" s="9" t="s">
        <v>774</v>
      </c>
      <c r="R1696" s="14" t="str">
        <f>HYPERLINK("https://my.pitchbook.com?c=213243-22T","View Company Online")</f>
        <v>View Company Online</v>
      </c>
    </row>
    <row r="1697" spans="1:18" hidden="1" x14ac:dyDescent="0.3">
      <c r="A1697" s="15" t="s">
        <v>5976</v>
      </c>
      <c r="B1697" s="15" t="s">
        <v>5977</v>
      </c>
      <c r="C1697" s="18" t="s">
        <v>28</v>
      </c>
      <c r="D1697" s="15" t="s">
        <v>5978</v>
      </c>
      <c r="E1697" s="18" t="s">
        <v>28</v>
      </c>
      <c r="F1697" s="19" t="s">
        <v>28</v>
      </c>
      <c r="G1697" s="19" t="s">
        <v>28</v>
      </c>
      <c r="H1697" s="19" t="s">
        <v>28</v>
      </c>
      <c r="I1697" s="18" t="s">
        <v>28</v>
      </c>
      <c r="J1697" s="18" t="s">
        <v>28</v>
      </c>
      <c r="K1697" s="18" t="s">
        <v>28</v>
      </c>
      <c r="L1697" s="18" t="s">
        <v>28</v>
      </c>
      <c r="M1697" s="18" t="s">
        <v>28</v>
      </c>
      <c r="N1697" s="17">
        <v>45072</v>
      </c>
      <c r="O1697" s="15" t="s">
        <v>73</v>
      </c>
      <c r="P1697" s="16" t="s">
        <v>611</v>
      </c>
      <c r="Q1697" s="15" t="s">
        <v>75</v>
      </c>
      <c r="R1697" s="13" t="str">
        <f>HYPERLINK("https://my.pitchbook.com?c=227519-74T","View Company Online")</f>
        <v>View Company Online</v>
      </c>
    </row>
    <row r="1698" spans="1:18" hidden="1" x14ac:dyDescent="0.3">
      <c r="A1698" s="9" t="s">
        <v>5979</v>
      </c>
      <c r="B1698" s="9" t="s">
        <v>1222</v>
      </c>
      <c r="C1698" s="11" t="s">
        <v>28</v>
      </c>
      <c r="D1698" s="9" t="s">
        <v>1223</v>
      </c>
      <c r="E1698" s="11" t="s">
        <v>28</v>
      </c>
      <c r="F1698" s="10" t="s">
        <v>28</v>
      </c>
      <c r="G1698" s="10">
        <v>0.98</v>
      </c>
      <c r="H1698" s="10">
        <v>6.02</v>
      </c>
      <c r="I1698" s="11" t="s">
        <v>28</v>
      </c>
      <c r="J1698" s="11" t="s">
        <v>28</v>
      </c>
      <c r="K1698" s="11" t="s">
        <v>28</v>
      </c>
      <c r="L1698" s="11" t="s">
        <v>28</v>
      </c>
      <c r="M1698" s="11" t="s">
        <v>28</v>
      </c>
      <c r="N1698" s="8">
        <v>45072</v>
      </c>
      <c r="O1698" s="9" t="s">
        <v>1639</v>
      </c>
      <c r="P1698" s="12" t="s">
        <v>5980</v>
      </c>
      <c r="Q1698" s="9" t="s">
        <v>75</v>
      </c>
      <c r="R1698" s="14" t="str">
        <f>HYPERLINK("https://my.pitchbook.com?c=224728-93T","View Company Online")</f>
        <v>View Company Online</v>
      </c>
    </row>
    <row r="1699" spans="1:18" hidden="1" x14ac:dyDescent="0.3">
      <c r="A1699" s="15" t="s">
        <v>5981</v>
      </c>
      <c r="B1699" s="15" t="s">
        <v>5655</v>
      </c>
      <c r="C1699" s="18" t="s">
        <v>28</v>
      </c>
      <c r="D1699" s="15" t="s">
        <v>5656</v>
      </c>
      <c r="E1699" s="18" t="s">
        <v>28</v>
      </c>
      <c r="F1699" s="19" t="s">
        <v>28</v>
      </c>
      <c r="G1699" s="19">
        <v>0.35</v>
      </c>
      <c r="H1699" s="19" t="s">
        <v>28</v>
      </c>
      <c r="I1699" s="18" t="s">
        <v>28</v>
      </c>
      <c r="J1699" s="18" t="s">
        <v>28</v>
      </c>
      <c r="K1699" s="18" t="s">
        <v>28</v>
      </c>
      <c r="L1699" s="18" t="s">
        <v>28</v>
      </c>
      <c r="M1699" s="18" t="s">
        <v>28</v>
      </c>
      <c r="N1699" s="17">
        <v>45071</v>
      </c>
      <c r="O1699" s="15" t="s">
        <v>379</v>
      </c>
      <c r="P1699" s="16" t="s">
        <v>5982</v>
      </c>
      <c r="Q1699" s="15" t="s">
        <v>740</v>
      </c>
      <c r="R1699" s="13" t="str">
        <f>HYPERLINK("https://my.pitchbook.com?c=224737-30T","View Company Online")</f>
        <v>View Company Online</v>
      </c>
    </row>
    <row r="1700" spans="1:18" hidden="1" x14ac:dyDescent="0.3">
      <c r="A1700" s="9" t="s">
        <v>5983</v>
      </c>
      <c r="B1700" s="9" t="s">
        <v>71</v>
      </c>
      <c r="C1700" s="11" t="s">
        <v>28</v>
      </c>
      <c r="D1700" s="9" t="s">
        <v>72</v>
      </c>
      <c r="E1700" s="11" t="s">
        <v>28</v>
      </c>
      <c r="F1700" s="10" t="s">
        <v>28</v>
      </c>
      <c r="G1700" s="10" t="s">
        <v>28</v>
      </c>
      <c r="H1700" s="10" t="s">
        <v>28</v>
      </c>
      <c r="I1700" s="11" t="s">
        <v>28</v>
      </c>
      <c r="J1700" s="11" t="s">
        <v>28</v>
      </c>
      <c r="K1700" s="11" t="s">
        <v>28</v>
      </c>
      <c r="L1700" s="11" t="s">
        <v>28</v>
      </c>
      <c r="M1700" s="11" t="s">
        <v>28</v>
      </c>
      <c r="N1700" s="8">
        <v>45071</v>
      </c>
      <c r="O1700" s="9" t="s">
        <v>99</v>
      </c>
      <c r="P1700" s="12" t="s">
        <v>5984</v>
      </c>
      <c r="Q1700" s="9" t="s">
        <v>75</v>
      </c>
      <c r="R1700" s="14" t="str">
        <f>HYPERLINK("https://my.pitchbook.com?c=224120-71T","View Company Online")</f>
        <v>View Company Online</v>
      </c>
    </row>
    <row r="1701" spans="1:18" hidden="1" x14ac:dyDescent="0.3">
      <c r="A1701" s="15" t="s">
        <v>5985</v>
      </c>
      <c r="B1701" s="15" t="s">
        <v>5986</v>
      </c>
      <c r="C1701" s="18" t="s">
        <v>28</v>
      </c>
      <c r="D1701" s="15" t="s">
        <v>5987</v>
      </c>
      <c r="E1701" s="18" t="s">
        <v>28</v>
      </c>
      <c r="F1701" s="19" t="s">
        <v>28</v>
      </c>
      <c r="G1701" s="19" t="s">
        <v>28</v>
      </c>
      <c r="H1701" s="19" t="s">
        <v>28</v>
      </c>
      <c r="I1701" s="18" t="s">
        <v>28</v>
      </c>
      <c r="J1701" s="18" t="s">
        <v>28</v>
      </c>
      <c r="K1701" s="18" t="s">
        <v>28</v>
      </c>
      <c r="L1701" s="18" t="s">
        <v>28</v>
      </c>
      <c r="M1701" s="18" t="s">
        <v>28</v>
      </c>
      <c r="N1701" s="17">
        <v>45071</v>
      </c>
      <c r="O1701" s="15" t="s">
        <v>52</v>
      </c>
      <c r="P1701" s="16" t="s">
        <v>4523</v>
      </c>
      <c r="Q1701" s="15" t="s">
        <v>1336</v>
      </c>
      <c r="R1701" s="13" t="str">
        <f>HYPERLINK("https://my.pitchbook.com?c=261431-38T","View Company Online")</f>
        <v>View Company Online</v>
      </c>
    </row>
    <row r="1702" spans="1:18" hidden="1" x14ac:dyDescent="0.3">
      <c r="A1702" s="9" t="s">
        <v>5988</v>
      </c>
      <c r="B1702" s="9" t="s">
        <v>5989</v>
      </c>
      <c r="C1702" s="11" t="s">
        <v>28</v>
      </c>
      <c r="D1702" s="9" t="s">
        <v>5990</v>
      </c>
      <c r="E1702" s="11" t="s">
        <v>28</v>
      </c>
      <c r="F1702" s="10" t="s">
        <v>28</v>
      </c>
      <c r="G1702" s="10" t="s">
        <v>28</v>
      </c>
      <c r="H1702" s="10" t="s">
        <v>28</v>
      </c>
      <c r="I1702" s="11" t="s">
        <v>28</v>
      </c>
      <c r="J1702" s="11" t="s">
        <v>28</v>
      </c>
      <c r="K1702" s="11" t="s">
        <v>28</v>
      </c>
      <c r="L1702" s="11" t="s">
        <v>28</v>
      </c>
      <c r="M1702" s="11" t="s">
        <v>28</v>
      </c>
      <c r="N1702" s="8">
        <v>45071</v>
      </c>
      <c r="O1702" s="9" t="s">
        <v>73</v>
      </c>
      <c r="P1702" s="12" t="s">
        <v>5991</v>
      </c>
      <c r="Q1702" s="9" t="s">
        <v>75</v>
      </c>
      <c r="R1702" s="14" t="str">
        <f>HYPERLINK("https://my.pitchbook.com?c=227518-75T","View Company Online")</f>
        <v>View Company Online</v>
      </c>
    </row>
    <row r="1703" spans="1:18" hidden="1" x14ac:dyDescent="0.3">
      <c r="A1703" s="15" t="s">
        <v>5992</v>
      </c>
      <c r="B1703" s="15" t="s">
        <v>5993</v>
      </c>
      <c r="C1703" s="18" t="s">
        <v>28</v>
      </c>
      <c r="D1703" s="15" t="s">
        <v>5994</v>
      </c>
      <c r="E1703" s="18" t="s">
        <v>28</v>
      </c>
      <c r="F1703" s="19" t="s">
        <v>28</v>
      </c>
      <c r="G1703" s="19" t="s">
        <v>28</v>
      </c>
      <c r="H1703" s="19" t="s">
        <v>28</v>
      </c>
      <c r="I1703" s="18" t="s">
        <v>28</v>
      </c>
      <c r="J1703" s="18" t="s">
        <v>28</v>
      </c>
      <c r="K1703" s="18" t="s">
        <v>28</v>
      </c>
      <c r="L1703" s="18" t="s">
        <v>28</v>
      </c>
      <c r="M1703" s="18" t="s">
        <v>28</v>
      </c>
      <c r="N1703" s="17">
        <v>45071</v>
      </c>
      <c r="O1703" s="15" t="s">
        <v>30</v>
      </c>
      <c r="P1703" s="16" t="s">
        <v>5995</v>
      </c>
      <c r="Q1703" s="15" t="s">
        <v>75</v>
      </c>
      <c r="R1703" s="13" t="str">
        <f>HYPERLINK("https://my.pitchbook.com?c=224918-56T","View Company Online")</f>
        <v>View Company Online</v>
      </c>
    </row>
    <row r="1704" spans="1:18" hidden="1" x14ac:dyDescent="0.3">
      <c r="A1704" s="9" t="s">
        <v>5996</v>
      </c>
      <c r="B1704" s="9" t="s">
        <v>5997</v>
      </c>
      <c r="C1704" s="11" t="s">
        <v>28</v>
      </c>
      <c r="D1704" s="9" t="s">
        <v>5998</v>
      </c>
      <c r="E1704" s="11" t="s">
        <v>28</v>
      </c>
      <c r="F1704" s="10">
        <v>33.75</v>
      </c>
      <c r="G1704" s="10">
        <v>33.75</v>
      </c>
      <c r="H1704" s="10">
        <v>33.75</v>
      </c>
      <c r="I1704" s="11" t="s">
        <v>28</v>
      </c>
      <c r="J1704" s="11" t="s">
        <v>28</v>
      </c>
      <c r="K1704" s="11" t="s">
        <v>28</v>
      </c>
      <c r="L1704" s="11" t="s">
        <v>28</v>
      </c>
      <c r="M1704" s="11" t="s">
        <v>28</v>
      </c>
      <c r="N1704" s="8">
        <v>45070</v>
      </c>
      <c r="O1704" s="9" t="s">
        <v>30</v>
      </c>
      <c r="P1704" s="12" t="s">
        <v>5999</v>
      </c>
      <c r="Q1704" s="9" t="s">
        <v>470</v>
      </c>
      <c r="R1704" s="14" t="str">
        <f>HYPERLINK("https://my.pitchbook.com?c=209841-49T","View Company Online")</f>
        <v>View Company Online</v>
      </c>
    </row>
    <row r="1705" spans="1:18" hidden="1" x14ac:dyDescent="0.3">
      <c r="A1705" s="15" t="s">
        <v>6000</v>
      </c>
      <c r="B1705" s="15" t="s">
        <v>6001</v>
      </c>
      <c r="C1705" s="18" t="s">
        <v>28</v>
      </c>
      <c r="D1705" s="15" t="s">
        <v>6002</v>
      </c>
      <c r="E1705" s="18" t="s">
        <v>28</v>
      </c>
      <c r="F1705" s="19" t="s">
        <v>28</v>
      </c>
      <c r="G1705" s="19" t="s">
        <v>28</v>
      </c>
      <c r="H1705" s="19" t="s">
        <v>28</v>
      </c>
      <c r="I1705" s="18" t="s">
        <v>28</v>
      </c>
      <c r="J1705" s="18" t="s">
        <v>28</v>
      </c>
      <c r="K1705" s="18" t="s">
        <v>28</v>
      </c>
      <c r="L1705" s="18" t="s">
        <v>28</v>
      </c>
      <c r="M1705" s="18" t="s">
        <v>28</v>
      </c>
      <c r="N1705" s="17">
        <v>45070</v>
      </c>
      <c r="O1705" s="15" t="s">
        <v>52</v>
      </c>
      <c r="P1705" s="16" t="s">
        <v>6003</v>
      </c>
      <c r="Q1705" s="15" t="s">
        <v>136</v>
      </c>
      <c r="R1705" s="13" t="str">
        <f>HYPERLINK("https://my.pitchbook.com?c=277223-95T","View Company Online")</f>
        <v>View Company Online</v>
      </c>
    </row>
    <row r="1706" spans="1:18" hidden="1" x14ac:dyDescent="0.3">
      <c r="A1706" s="9" t="s">
        <v>6004</v>
      </c>
      <c r="B1706" s="9" t="s">
        <v>6005</v>
      </c>
      <c r="C1706" s="11" t="s">
        <v>28</v>
      </c>
      <c r="D1706" s="9" t="s">
        <v>6006</v>
      </c>
      <c r="E1706" s="11" t="s">
        <v>28</v>
      </c>
      <c r="F1706" s="10" t="s">
        <v>28</v>
      </c>
      <c r="G1706" s="10" t="s">
        <v>28</v>
      </c>
      <c r="H1706" s="10" t="s">
        <v>28</v>
      </c>
      <c r="I1706" s="11" t="s">
        <v>28</v>
      </c>
      <c r="J1706" s="11" t="s">
        <v>28</v>
      </c>
      <c r="K1706" s="11" t="s">
        <v>28</v>
      </c>
      <c r="L1706" s="11" t="s">
        <v>28</v>
      </c>
      <c r="M1706" s="11" t="s">
        <v>28</v>
      </c>
      <c r="N1706" s="8">
        <v>45070</v>
      </c>
      <c r="O1706" s="9" t="s">
        <v>30</v>
      </c>
      <c r="P1706" s="12" t="s">
        <v>28</v>
      </c>
      <c r="Q1706" s="9" t="s">
        <v>566</v>
      </c>
      <c r="R1706" s="14" t="str">
        <f>HYPERLINK("https://my.pitchbook.com?c=224687-44T","View Company Online")</f>
        <v>View Company Online</v>
      </c>
    </row>
    <row r="1707" spans="1:18" hidden="1" x14ac:dyDescent="0.3">
      <c r="A1707" s="15" t="s">
        <v>6007</v>
      </c>
      <c r="B1707" s="15" t="s">
        <v>6008</v>
      </c>
      <c r="C1707" s="18" t="s">
        <v>28</v>
      </c>
      <c r="D1707" s="15" t="s">
        <v>6009</v>
      </c>
      <c r="E1707" s="18" t="s">
        <v>28</v>
      </c>
      <c r="F1707" s="19" t="s">
        <v>28</v>
      </c>
      <c r="G1707" s="19" t="s">
        <v>28</v>
      </c>
      <c r="H1707" s="19" t="s">
        <v>28</v>
      </c>
      <c r="I1707" s="18" t="s">
        <v>28</v>
      </c>
      <c r="J1707" s="18" t="s">
        <v>28</v>
      </c>
      <c r="K1707" s="18" t="s">
        <v>28</v>
      </c>
      <c r="L1707" s="18" t="s">
        <v>28</v>
      </c>
      <c r="M1707" s="18" t="s">
        <v>28</v>
      </c>
      <c r="N1707" s="17">
        <v>45070</v>
      </c>
      <c r="O1707" s="15" t="s">
        <v>52</v>
      </c>
      <c r="P1707" s="16" t="s">
        <v>6003</v>
      </c>
      <c r="Q1707" s="15" t="s">
        <v>136</v>
      </c>
      <c r="R1707" s="13" t="str">
        <f>HYPERLINK("https://my.pitchbook.com?c=277227-19T","View Company Online")</f>
        <v>View Company Online</v>
      </c>
    </row>
    <row r="1708" spans="1:18" hidden="1" x14ac:dyDescent="0.3">
      <c r="A1708" s="9" t="s">
        <v>6010</v>
      </c>
      <c r="B1708" s="9" t="s">
        <v>6011</v>
      </c>
      <c r="C1708" s="11" t="s">
        <v>28</v>
      </c>
      <c r="D1708" s="9" t="s">
        <v>6012</v>
      </c>
      <c r="E1708" s="11" t="s">
        <v>28</v>
      </c>
      <c r="F1708" s="10" t="s">
        <v>28</v>
      </c>
      <c r="G1708" s="10" t="s">
        <v>28</v>
      </c>
      <c r="H1708" s="10" t="s">
        <v>28</v>
      </c>
      <c r="I1708" s="11" t="s">
        <v>28</v>
      </c>
      <c r="J1708" s="11" t="s">
        <v>28</v>
      </c>
      <c r="K1708" s="11" t="s">
        <v>28</v>
      </c>
      <c r="L1708" s="11" t="s">
        <v>28</v>
      </c>
      <c r="M1708" s="11" t="s">
        <v>28</v>
      </c>
      <c r="N1708" s="8">
        <v>45069</v>
      </c>
      <c r="O1708" s="9" t="s">
        <v>30</v>
      </c>
      <c r="P1708" s="12" t="s">
        <v>6013</v>
      </c>
      <c r="Q1708" s="9" t="s">
        <v>109</v>
      </c>
      <c r="R1708" s="14" t="str">
        <f>HYPERLINK("https://my.pitchbook.com?c=257954-05T","View Company Online")</f>
        <v>View Company Online</v>
      </c>
    </row>
    <row r="1709" spans="1:18" hidden="1" x14ac:dyDescent="0.3">
      <c r="A1709" s="15" t="s">
        <v>6014</v>
      </c>
      <c r="B1709" s="15" t="s">
        <v>6015</v>
      </c>
      <c r="C1709" s="18" t="s">
        <v>28</v>
      </c>
      <c r="D1709" s="15" t="s">
        <v>6016</v>
      </c>
      <c r="E1709" s="18" t="s">
        <v>28</v>
      </c>
      <c r="F1709" s="19" t="s">
        <v>28</v>
      </c>
      <c r="G1709" s="19" t="s">
        <v>28</v>
      </c>
      <c r="H1709" s="19" t="s">
        <v>28</v>
      </c>
      <c r="I1709" s="18" t="s">
        <v>28</v>
      </c>
      <c r="J1709" s="18" t="s">
        <v>28</v>
      </c>
      <c r="K1709" s="18" t="s">
        <v>28</v>
      </c>
      <c r="L1709" s="18" t="s">
        <v>28</v>
      </c>
      <c r="M1709" s="18" t="s">
        <v>28</v>
      </c>
      <c r="N1709" s="17">
        <v>45069</v>
      </c>
      <c r="O1709" s="15" t="s">
        <v>73</v>
      </c>
      <c r="P1709" s="16" t="s">
        <v>611</v>
      </c>
      <c r="Q1709" s="15" t="s">
        <v>75</v>
      </c>
      <c r="R1709" s="13" t="str">
        <f>HYPERLINK("https://my.pitchbook.com?c=227518-39T","View Company Online")</f>
        <v>View Company Online</v>
      </c>
    </row>
    <row r="1710" spans="1:18" hidden="1" x14ac:dyDescent="0.3">
      <c r="A1710" s="9" t="s">
        <v>6017</v>
      </c>
      <c r="B1710" s="9" t="s">
        <v>6018</v>
      </c>
      <c r="C1710" s="11" t="s">
        <v>28</v>
      </c>
      <c r="D1710" s="9" t="s">
        <v>6019</v>
      </c>
      <c r="E1710" s="11" t="s">
        <v>28</v>
      </c>
      <c r="F1710" s="10" t="s">
        <v>28</v>
      </c>
      <c r="G1710" s="10" t="s">
        <v>28</v>
      </c>
      <c r="H1710" s="10" t="s">
        <v>28</v>
      </c>
      <c r="I1710" s="11" t="s">
        <v>28</v>
      </c>
      <c r="J1710" s="11" t="s">
        <v>28</v>
      </c>
      <c r="K1710" s="11" t="s">
        <v>28</v>
      </c>
      <c r="L1710" s="11" t="s">
        <v>28</v>
      </c>
      <c r="M1710" s="11" t="s">
        <v>28</v>
      </c>
      <c r="N1710" s="8">
        <v>45069</v>
      </c>
      <c r="O1710" s="9" t="s">
        <v>58</v>
      </c>
      <c r="P1710" s="12" t="s">
        <v>6020</v>
      </c>
      <c r="Q1710" s="9" t="s">
        <v>226</v>
      </c>
      <c r="R1710" s="14" t="str">
        <f>HYPERLINK("https://my.pitchbook.com?c=224920-45T","View Company Online")</f>
        <v>View Company Online</v>
      </c>
    </row>
    <row r="1711" spans="1:18" hidden="1" x14ac:dyDescent="0.3">
      <c r="A1711" s="15" t="s">
        <v>6021</v>
      </c>
      <c r="B1711" s="15" t="s">
        <v>737</v>
      </c>
      <c r="C1711" s="18" t="s">
        <v>28</v>
      </c>
      <c r="D1711" s="15" t="s">
        <v>738</v>
      </c>
      <c r="E1711" s="18" t="s">
        <v>28</v>
      </c>
      <c r="F1711" s="19" t="s">
        <v>28</v>
      </c>
      <c r="G1711" s="19" t="s">
        <v>28</v>
      </c>
      <c r="H1711" s="19" t="s">
        <v>28</v>
      </c>
      <c r="I1711" s="18" t="s">
        <v>28</v>
      </c>
      <c r="J1711" s="18" t="s">
        <v>28</v>
      </c>
      <c r="K1711" s="18" t="s">
        <v>28</v>
      </c>
      <c r="L1711" s="18" t="s">
        <v>28</v>
      </c>
      <c r="M1711" s="18" t="s">
        <v>28</v>
      </c>
      <c r="N1711" s="17">
        <v>45069</v>
      </c>
      <c r="O1711" s="15" t="s">
        <v>79</v>
      </c>
      <c r="P1711" s="16" t="s">
        <v>104</v>
      </c>
      <c r="Q1711" s="15" t="s">
        <v>740</v>
      </c>
      <c r="R1711" s="13" t="str">
        <f>HYPERLINK("https://my.pitchbook.com?c=228059-92T","View Company Online")</f>
        <v>View Company Online</v>
      </c>
    </row>
    <row r="1712" spans="1:18" hidden="1" x14ac:dyDescent="0.3">
      <c r="A1712" s="9" t="s">
        <v>6022</v>
      </c>
      <c r="B1712" s="9" t="s">
        <v>6023</v>
      </c>
      <c r="C1712" s="11" t="s">
        <v>28</v>
      </c>
      <c r="D1712" s="9" t="s">
        <v>6024</v>
      </c>
      <c r="E1712" s="11" t="s">
        <v>28</v>
      </c>
      <c r="F1712" s="10">
        <v>8.02</v>
      </c>
      <c r="G1712" s="10">
        <v>8.02</v>
      </c>
      <c r="H1712" s="10">
        <v>8.02</v>
      </c>
      <c r="I1712" s="11" t="s">
        <v>28</v>
      </c>
      <c r="J1712" s="11" t="s">
        <v>28</v>
      </c>
      <c r="K1712" s="11" t="s">
        <v>28</v>
      </c>
      <c r="L1712" s="11" t="s">
        <v>28</v>
      </c>
      <c r="M1712" s="11" t="s">
        <v>28</v>
      </c>
      <c r="N1712" s="8">
        <v>45068</v>
      </c>
      <c r="O1712" s="9" t="s">
        <v>30</v>
      </c>
      <c r="P1712" s="12" t="s">
        <v>6025</v>
      </c>
      <c r="Q1712" s="9" t="s">
        <v>75</v>
      </c>
      <c r="R1712" s="14" t="str">
        <f>HYPERLINK("https://my.pitchbook.com?c=224471-17T","View Company Online")</f>
        <v>View Company Online</v>
      </c>
    </row>
    <row r="1713" spans="1:18" hidden="1" x14ac:dyDescent="0.3">
      <c r="A1713" s="15" t="s">
        <v>6026</v>
      </c>
      <c r="B1713" s="15" t="s">
        <v>6027</v>
      </c>
      <c r="C1713" s="18" t="s">
        <v>28</v>
      </c>
      <c r="D1713" s="15" t="s">
        <v>6028</v>
      </c>
      <c r="E1713" s="18" t="s">
        <v>28</v>
      </c>
      <c r="F1713" s="19" t="s">
        <v>28</v>
      </c>
      <c r="G1713" s="19" t="s">
        <v>28</v>
      </c>
      <c r="H1713" s="19" t="s">
        <v>28</v>
      </c>
      <c r="I1713" s="18" t="s">
        <v>28</v>
      </c>
      <c r="J1713" s="18" t="s">
        <v>28</v>
      </c>
      <c r="K1713" s="18" t="s">
        <v>28</v>
      </c>
      <c r="L1713" s="18" t="s">
        <v>28</v>
      </c>
      <c r="M1713" s="18" t="s">
        <v>28</v>
      </c>
      <c r="N1713" s="17">
        <v>45068</v>
      </c>
      <c r="O1713" s="15" t="s">
        <v>30</v>
      </c>
      <c r="P1713" s="16" t="s">
        <v>6029</v>
      </c>
      <c r="Q1713" s="15" t="s">
        <v>5347</v>
      </c>
      <c r="R1713" s="13" t="str">
        <f>HYPERLINK("https://my.pitchbook.com?c=224633-35T","View Company Online")</f>
        <v>View Company Online</v>
      </c>
    </row>
    <row r="1714" spans="1:18" hidden="1" x14ac:dyDescent="0.3">
      <c r="A1714" s="9" t="s">
        <v>6030</v>
      </c>
      <c r="B1714" s="9" t="s">
        <v>6031</v>
      </c>
      <c r="C1714" s="11" t="s">
        <v>28</v>
      </c>
      <c r="D1714" s="9" t="s">
        <v>6032</v>
      </c>
      <c r="E1714" s="11" t="s">
        <v>28</v>
      </c>
      <c r="F1714" s="10" t="s">
        <v>28</v>
      </c>
      <c r="G1714" s="10">
        <v>0.16</v>
      </c>
      <c r="H1714" s="10" t="s">
        <v>28</v>
      </c>
      <c r="I1714" s="11" t="s">
        <v>28</v>
      </c>
      <c r="J1714" s="11" t="s">
        <v>28</v>
      </c>
      <c r="K1714" s="11" t="s">
        <v>28</v>
      </c>
      <c r="L1714" s="11" t="s">
        <v>28</v>
      </c>
      <c r="M1714" s="11" t="s">
        <v>28</v>
      </c>
      <c r="N1714" s="8">
        <v>45068</v>
      </c>
      <c r="O1714" s="9" t="s">
        <v>79</v>
      </c>
      <c r="P1714" s="12" t="s">
        <v>221</v>
      </c>
      <c r="Q1714" s="9" t="s">
        <v>75</v>
      </c>
      <c r="R1714" s="14" t="str">
        <f>HYPERLINK("https://my.pitchbook.com?c=244441-45T","View Company Online")</f>
        <v>View Company Online</v>
      </c>
    </row>
    <row r="1715" spans="1:18" hidden="1" x14ac:dyDescent="0.3">
      <c r="A1715" s="15" t="s">
        <v>6033</v>
      </c>
      <c r="B1715" s="15" t="s">
        <v>6034</v>
      </c>
      <c r="C1715" s="18" t="s">
        <v>28</v>
      </c>
      <c r="D1715" s="15" t="s">
        <v>6035</v>
      </c>
      <c r="E1715" s="18" t="s">
        <v>28</v>
      </c>
      <c r="F1715" s="19" t="s">
        <v>28</v>
      </c>
      <c r="G1715" s="19" t="s">
        <v>28</v>
      </c>
      <c r="H1715" s="19" t="s">
        <v>28</v>
      </c>
      <c r="I1715" s="18" t="s">
        <v>28</v>
      </c>
      <c r="J1715" s="18" t="s">
        <v>28</v>
      </c>
      <c r="K1715" s="18">
        <v>28.59</v>
      </c>
      <c r="L1715" s="18" t="s">
        <v>28</v>
      </c>
      <c r="M1715" s="18" t="s">
        <v>28</v>
      </c>
      <c r="N1715" s="17">
        <v>45065</v>
      </c>
      <c r="O1715" s="15" t="s">
        <v>30</v>
      </c>
      <c r="P1715" s="16" t="s">
        <v>6036</v>
      </c>
      <c r="Q1715" s="15" t="s">
        <v>753</v>
      </c>
      <c r="R1715" s="13" t="str">
        <f>HYPERLINK("https://my.pitchbook.com?c=224485-66T","View Company Online")</f>
        <v>View Company Online</v>
      </c>
    </row>
    <row r="1716" spans="1:18" hidden="1" x14ac:dyDescent="0.3">
      <c r="A1716" s="9" t="s">
        <v>6037</v>
      </c>
      <c r="B1716" s="9" t="s">
        <v>3380</v>
      </c>
      <c r="C1716" s="11" t="s">
        <v>28</v>
      </c>
      <c r="D1716" s="9" t="s">
        <v>3381</v>
      </c>
      <c r="E1716" s="11" t="s">
        <v>28</v>
      </c>
      <c r="F1716" s="10" t="s">
        <v>28</v>
      </c>
      <c r="G1716" s="10">
        <v>1.5</v>
      </c>
      <c r="H1716" s="10" t="s">
        <v>28</v>
      </c>
      <c r="I1716" s="11" t="s">
        <v>28</v>
      </c>
      <c r="J1716" s="11" t="s">
        <v>28</v>
      </c>
      <c r="K1716" s="11" t="s">
        <v>28</v>
      </c>
      <c r="L1716" s="11" t="s">
        <v>28</v>
      </c>
      <c r="M1716" s="11" t="s">
        <v>28</v>
      </c>
      <c r="N1716" s="8">
        <v>45065</v>
      </c>
      <c r="O1716" s="9" t="s">
        <v>79</v>
      </c>
      <c r="P1716" s="12" t="s">
        <v>6038</v>
      </c>
      <c r="Q1716" s="9" t="s">
        <v>75</v>
      </c>
      <c r="R1716" s="14" t="str">
        <f>HYPERLINK("https://my.pitchbook.com?c=227275-57T","View Company Online")</f>
        <v>View Company Online</v>
      </c>
    </row>
    <row r="1717" spans="1:18" hidden="1" x14ac:dyDescent="0.3">
      <c r="A1717" s="15" t="s">
        <v>6039</v>
      </c>
      <c r="B1717" s="15" t="s">
        <v>6040</v>
      </c>
      <c r="C1717" s="18" t="s">
        <v>28</v>
      </c>
      <c r="D1717" s="15" t="s">
        <v>6041</v>
      </c>
      <c r="E1717" s="18" t="s">
        <v>28</v>
      </c>
      <c r="F1717" s="19" t="s">
        <v>28</v>
      </c>
      <c r="G1717" s="19">
        <v>0.4</v>
      </c>
      <c r="H1717" s="19" t="s">
        <v>28</v>
      </c>
      <c r="I1717" s="18" t="s">
        <v>28</v>
      </c>
      <c r="J1717" s="18" t="s">
        <v>28</v>
      </c>
      <c r="K1717" s="18" t="s">
        <v>28</v>
      </c>
      <c r="L1717" s="18" t="s">
        <v>28</v>
      </c>
      <c r="M1717" s="18" t="s">
        <v>28</v>
      </c>
      <c r="N1717" s="17">
        <v>45065</v>
      </c>
      <c r="O1717" s="15" t="s">
        <v>379</v>
      </c>
      <c r="P1717" s="16" t="s">
        <v>1896</v>
      </c>
      <c r="Q1717" s="15" t="s">
        <v>607</v>
      </c>
      <c r="R1717" s="13" t="str">
        <f>HYPERLINK("https://my.pitchbook.com?c=224172-55T","View Company Online")</f>
        <v>View Company Online</v>
      </c>
    </row>
    <row r="1718" spans="1:18" hidden="1" x14ac:dyDescent="0.3">
      <c r="A1718" s="9" t="s">
        <v>6042</v>
      </c>
      <c r="B1718" s="9" t="s">
        <v>6043</v>
      </c>
      <c r="C1718" s="11" t="s">
        <v>28</v>
      </c>
      <c r="D1718" s="9" t="s">
        <v>6044</v>
      </c>
      <c r="E1718" s="11">
        <v>-1.05</v>
      </c>
      <c r="F1718" s="10" t="s">
        <v>28</v>
      </c>
      <c r="G1718" s="10" t="s">
        <v>28</v>
      </c>
      <c r="H1718" s="10" t="s">
        <v>28</v>
      </c>
      <c r="I1718" s="11">
        <v>-1.05</v>
      </c>
      <c r="J1718" s="11" t="s">
        <v>28</v>
      </c>
      <c r="K1718" s="11">
        <v>0</v>
      </c>
      <c r="L1718" s="11" t="s">
        <v>28</v>
      </c>
      <c r="M1718" s="11">
        <v>-1.05</v>
      </c>
      <c r="N1718" s="8">
        <v>45065</v>
      </c>
      <c r="O1718" s="9" t="s">
        <v>30</v>
      </c>
      <c r="P1718" s="12" t="s">
        <v>6045</v>
      </c>
      <c r="Q1718" s="9" t="s">
        <v>240</v>
      </c>
      <c r="R1718" s="14" t="str">
        <f>HYPERLINK("https://my.pitchbook.com?c=224187-04T","View Company Online")</f>
        <v>View Company Online</v>
      </c>
    </row>
    <row r="1719" spans="1:18" hidden="1" x14ac:dyDescent="0.3">
      <c r="A1719" s="15" t="s">
        <v>6046</v>
      </c>
      <c r="B1719" s="15" t="s">
        <v>6047</v>
      </c>
      <c r="C1719" s="18" t="s">
        <v>28</v>
      </c>
      <c r="D1719" s="15" t="s">
        <v>6048</v>
      </c>
      <c r="E1719" s="18" t="s">
        <v>28</v>
      </c>
      <c r="F1719" s="19" t="s">
        <v>28</v>
      </c>
      <c r="G1719" s="19" t="s">
        <v>28</v>
      </c>
      <c r="H1719" s="19" t="s">
        <v>28</v>
      </c>
      <c r="I1719" s="18" t="s">
        <v>28</v>
      </c>
      <c r="J1719" s="18" t="s">
        <v>28</v>
      </c>
      <c r="K1719" s="18" t="s">
        <v>28</v>
      </c>
      <c r="L1719" s="18" t="s">
        <v>28</v>
      </c>
      <c r="M1719" s="18" t="s">
        <v>28</v>
      </c>
      <c r="N1719" s="17">
        <v>45065</v>
      </c>
      <c r="O1719" s="15" t="s">
        <v>41</v>
      </c>
      <c r="P1719" s="16" t="s">
        <v>6049</v>
      </c>
      <c r="Q1719" s="15" t="s">
        <v>880</v>
      </c>
      <c r="R1719" s="13" t="str">
        <f>HYPERLINK("https://my.pitchbook.com?c=191837-35T","View Company Online")</f>
        <v>View Company Online</v>
      </c>
    </row>
    <row r="1720" spans="1:18" hidden="1" x14ac:dyDescent="0.3">
      <c r="A1720" s="9" t="s">
        <v>6050</v>
      </c>
      <c r="B1720" s="9" t="s">
        <v>6051</v>
      </c>
      <c r="C1720" s="11" t="s">
        <v>28</v>
      </c>
      <c r="D1720" s="9" t="s">
        <v>6052</v>
      </c>
      <c r="E1720" s="11" t="s">
        <v>28</v>
      </c>
      <c r="F1720" s="10" t="s">
        <v>28</v>
      </c>
      <c r="G1720" s="10">
        <v>4.01</v>
      </c>
      <c r="H1720" s="10" t="s">
        <v>28</v>
      </c>
      <c r="I1720" s="11" t="s">
        <v>28</v>
      </c>
      <c r="J1720" s="11" t="s">
        <v>28</v>
      </c>
      <c r="K1720" s="11" t="s">
        <v>28</v>
      </c>
      <c r="L1720" s="11" t="s">
        <v>28</v>
      </c>
      <c r="M1720" s="11" t="s">
        <v>28</v>
      </c>
      <c r="N1720" s="8">
        <v>45065</v>
      </c>
      <c r="O1720" s="9" t="s">
        <v>79</v>
      </c>
      <c r="P1720" s="12" t="s">
        <v>1132</v>
      </c>
      <c r="Q1720" s="9" t="s">
        <v>409</v>
      </c>
      <c r="R1720" s="14" t="str">
        <f>HYPERLINK("https://my.pitchbook.com?c=224165-35T","View Company Online")</f>
        <v>View Company Online</v>
      </c>
    </row>
    <row r="1721" spans="1:18" hidden="1" x14ac:dyDescent="0.3">
      <c r="A1721" s="15" t="s">
        <v>6053</v>
      </c>
      <c r="B1721" s="15" t="s">
        <v>6054</v>
      </c>
      <c r="C1721" s="18" t="s">
        <v>28</v>
      </c>
      <c r="D1721" s="15" t="s">
        <v>6055</v>
      </c>
      <c r="E1721" s="18" t="s">
        <v>28</v>
      </c>
      <c r="F1721" s="19" t="s">
        <v>28</v>
      </c>
      <c r="G1721" s="19" t="s">
        <v>28</v>
      </c>
      <c r="H1721" s="19" t="s">
        <v>28</v>
      </c>
      <c r="I1721" s="18" t="s">
        <v>28</v>
      </c>
      <c r="J1721" s="18" t="s">
        <v>28</v>
      </c>
      <c r="K1721" s="18" t="s">
        <v>28</v>
      </c>
      <c r="L1721" s="18" t="s">
        <v>28</v>
      </c>
      <c r="M1721" s="18" t="s">
        <v>28</v>
      </c>
      <c r="N1721" s="17">
        <v>45065</v>
      </c>
      <c r="O1721" s="15" t="s">
        <v>30</v>
      </c>
      <c r="P1721" s="16" t="s">
        <v>6056</v>
      </c>
      <c r="Q1721" s="15" t="s">
        <v>114</v>
      </c>
      <c r="R1721" s="13" t="str">
        <f>HYPERLINK("https://my.pitchbook.com?c=224387-56T","View Company Online")</f>
        <v>View Company Online</v>
      </c>
    </row>
    <row r="1722" spans="1:18" hidden="1" x14ac:dyDescent="0.3">
      <c r="A1722" s="9" t="s">
        <v>6057</v>
      </c>
      <c r="B1722" s="9" t="s">
        <v>6058</v>
      </c>
      <c r="C1722" s="11" t="s">
        <v>28</v>
      </c>
      <c r="D1722" s="9" t="s">
        <v>6059</v>
      </c>
      <c r="E1722" s="11" t="s">
        <v>28</v>
      </c>
      <c r="F1722" s="10" t="s">
        <v>28</v>
      </c>
      <c r="G1722" s="10" t="s">
        <v>28</v>
      </c>
      <c r="H1722" s="10" t="s">
        <v>28</v>
      </c>
      <c r="I1722" s="11" t="s">
        <v>28</v>
      </c>
      <c r="J1722" s="11" t="s">
        <v>28</v>
      </c>
      <c r="K1722" s="11" t="s">
        <v>28</v>
      </c>
      <c r="L1722" s="11" t="s">
        <v>28</v>
      </c>
      <c r="M1722" s="11" t="s">
        <v>28</v>
      </c>
      <c r="N1722" s="8">
        <v>45065</v>
      </c>
      <c r="O1722" s="9" t="s">
        <v>30</v>
      </c>
      <c r="P1722" s="12" t="s">
        <v>6060</v>
      </c>
      <c r="Q1722" s="9" t="s">
        <v>37</v>
      </c>
      <c r="R1722" s="14" t="str">
        <f>HYPERLINK("https://my.pitchbook.com?c=224154-55T","View Company Online")</f>
        <v>View Company Online</v>
      </c>
    </row>
    <row r="1723" spans="1:18" hidden="1" x14ac:dyDescent="0.3">
      <c r="A1723" s="15" t="s">
        <v>6061</v>
      </c>
      <c r="B1723" s="15" t="s">
        <v>6062</v>
      </c>
      <c r="C1723" s="18" t="s">
        <v>28</v>
      </c>
      <c r="D1723" s="15" t="s">
        <v>6063</v>
      </c>
      <c r="E1723" s="18" t="s">
        <v>28</v>
      </c>
      <c r="F1723" s="19" t="s">
        <v>28</v>
      </c>
      <c r="G1723" s="19" t="s">
        <v>28</v>
      </c>
      <c r="H1723" s="19" t="s">
        <v>28</v>
      </c>
      <c r="I1723" s="18" t="s">
        <v>28</v>
      </c>
      <c r="J1723" s="18" t="s">
        <v>28</v>
      </c>
      <c r="K1723" s="18" t="s">
        <v>28</v>
      </c>
      <c r="L1723" s="18" t="s">
        <v>28</v>
      </c>
      <c r="M1723" s="18" t="s">
        <v>28</v>
      </c>
      <c r="N1723" s="17">
        <v>45064</v>
      </c>
      <c r="O1723" s="15" t="s">
        <v>30</v>
      </c>
      <c r="P1723" s="16" t="s">
        <v>6064</v>
      </c>
      <c r="Q1723" s="15" t="s">
        <v>75</v>
      </c>
      <c r="R1723" s="13" t="str">
        <f>HYPERLINK("https://my.pitchbook.com?c=220825-99T","View Company Online")</f>
        <v>View Company Online</v>
      </c>
    </row>
    <row r="1724" spans="1:18" hidden="1" x14ac:dyDescent="0.3">
      <c r="A1724" s="9" t="s">
        <v>6065</v>
      </c>
      <c r="B1724" s="9" t="s">
        <v>6066</v>
      </c>
      <c r="C1724" s="11" t="s">
        <v>28</v>
      </c>
      <c r="D1724" s="9" t="s">
        <v>6067</v>
      </c>
      <c r="E1724" s="11" t="s">
        <v>28</v>
      </c>
      <c r="F1724" s="10" t="s">
        <v>28</v>
      </c>
      <c r="G1724" s="10">
        <v>0.12</v>
      </c>
      <c r="H1724" s="10" t="s">
        <v>28</v>
      </c>
      <c r="I1724" s="11" t="s">
        <v>28</v>
      </c>
      <c r="J1724" s="11" t="s">
        <v>28</v>
      </c>
      <c r="K1724" s="11">
        <v>0.15</v>
      </c>
      <c r="L1724" s="11" t="s">
        <v>28</v>
      </c>
      <c r="M1724" s="11" t="s">
        <v>28</v>
      </c>
      <c r="N1724" s="8">
        <v>45064</v>
      </c>
      <c r="O1724" s="9" t="s">
        <v>79</v>
      </c>
      <c r="P1724" s="12" t="s">
        <v>221</v>
      </c>
      <c r="Q1724" s="9" t="s">
        <v>75</v>
      </c>
      <c r="R1724" s="14" t="str">
        <f>HYPERLINK("https://my.pitchbook.com?c=244441-90T","View Company Online")</f>
        <v>View Company Online</v>
      </c>
    </row>
    <row r="1725" spans="1:18" hidden="1" x14ac:dyDescent="0.3">
      <c r="A1725" s="15" t="s">
        <v>6068</v>
      </c>
      <c r="B1725" s="15" t="s">
        <v>6069</v>
      </c>
      <c r="C1725" s="18" t="s">
        <v>28</v>
      </c>
      <c r="D1725" s="15" t="s">
        <v>6070</v>
      </c>
      <c r="E1725" s="18" t="s">
        <v>28</v>
      </c>
      <c r="F1725" s="19" t="s">
        <v>28</v>
      </c>
      <c r="G1725" s="19">
        <v>0.54</v>
      </c>
      <c r="H1725" s="19" t="s">
        <v>28</v>
      </c>
      <c r="I1725" s="18" t="s">
        <v>28</v>
      </c>
      <c r="J1725" s="18" t="s">
        <v>28</v>
      </c>
      <c r="K1725" s="18" t="s">
        <v>28</v>
      </c>
      <c r="L1725" s="18" t="s">
        <v>28</v>
      </c>
      <c r="M1725" s="18" t="s">
        <v>28</v>
      </c>
      <c r="N1725" s="17">
        <v>45064</v>
      </c>
      <c r="O1725" s="15" t="s">
        <v>73</v>
      </c>
      <c r="P1725" s="16" t="s">
        <v>6071</v>
      </c>
      <c r="Q1725" s="15" t="s">
        <v>75</v>
      </c>
      <c r="R1725" s="13" t="str">
        <f>HYPERLINK("https://my.pitchbook.com?c=224067-61T","View Company Online")</f>
        <v>View Company Online</v>
      </c>
    </row>
    <row r="1726" spans="1:18" hidden="1" x14ac:dyDescent="0.3">
      <c r="A1726" s="9" t="s">
        <v>6072</v>
      </c>
      <c r="B1726" s="9" t="s">
        <v>4346</v>
      </c>
      <c r="C1726" s="11" t="s">
        <v>28</v>
      </c>
      <c r="D1726" s="9" t="s">
        <v>4347</v>
      </c>
      <c r="E1726" s="11" t="s">
        <v>28</v>
      </c>
      <c r="F1726" s="10" t="s">
        <v>28</v>
      </c>
      <c r="G1726" s="10">
        <v>0.19</v>
      </c>
      <c r="H1726" s="10" t="s">
        <v>28</v>
      </c>
      <c r="I1726" s="11" t="s">
        <v>28</v>
      </c>
      <c r="J1726" s="11" t="s">
        <v>28</v>
      </c>
      <c r="K1726" s="11" t="s">
        <v>28</v>
      </c>
      <c r="L1726" s="11" t="s">
        <v>28</v>
      </c>
      <c r="M1726" s="11" t="s">
        <v>28</v>
      </c>
      <c r="N1726" s="8">
        <v>45064</v>
      </c>
      <c r="O1726" s="9" t="s">
        <v>99</v>
      </c>
      <c r="P1726" s="12" t="s">
        <v>3430</v>
      </c>
      <c r="Q1726" s="9" t="s">
        <v>75</v>
      </c>
      <c r="R1726" s="14" t="str">
        <f>HYPERLINK("https://my.pitchbook.com?c=212267-26T","View Company Online")</f>
        <v>View Company Online</v>
      </c>
    </row>
    <row r="1727" spans="1:18" hidden="1" x14ac:dyDescent="0.3">
      <c r="A1727" s="15" t="s">
        <v>6073</v>
      </c>
      <c r="B1727" s="15" t="s">
        <v>6074</v>
      </c>
      <c r="C1727" s="18" t="s">
        <v>28</v>
      </c>
      <c r="D1727" s="15" t="s">
        <v>6075</v>
      </c>
      <c r="E1727" s="18" t="s">
        <v>28</v>
      </c>
      <c r="F1727" s="19" t="s">
        <v>28</v>
      </c>
      <c r="G1727" s="19" t="s">
        <v>28</v>
      </c>
      <c r="H1727" s="19" t="s">
        <v>28</v>
      </c>
      <c r="I1727" s="18" t="s">
        <v>28</v>
      </c>
      <c r="J1727" s="18" t="s">
        <v>28</v>
      </c>
      <c r="K1727" s="18" t="s">
        <v>28</v>
      </c>
      <c r="L1727" s="18" t="s">
        <v>28</v>
      </c>
      <c r="M1727" s="18" t="s">
        <v>28</v>
      </c>
      <c r="N1727" s="17">
        <v>45063</v>
      </c>
      <c r="O1727" s="15" t="s">
        <v>30</v>
      </c>
      <c r="P1727" s="16" t="s">
        <v>6076</v>
      </c>
      <c r="Q1727" s="15" t="s">
        <v>75</v>
      </c>
      <c r="R1727" s="13" t="str">
        <f>HYPERLINK("https://my.pitchbook.com?c=224474-41T","View Company Online")</f>
        <v>View Company Online</v>
      </c>
    </row>
    <row r="1728" spans="1:18" hidden="1" x14ac:dyDescent="0.3">
      <c r="A1728" s="9" t="s">
        <v>6077</v>
      </c>
      <c r="B1728" s="9" t="s">
        <v>6078</v>
      </c>
      <c r="C1728" s="11" t="s">
        <v>28</v>
      </c>
      <c r="D1728" s="9" t="s">
        <v>6079</v>
      </c>
      <c r="E1728" s="11" t="s">
        <v>28</v>
      </c>
      <c r="F1728" s="10" t="s">
        <v>28</v>
      </c>
      <c r="G1728" s="10">
        <v>202.54</v>
      </c>
      <c r="H1728" s="10">
        <v>405.08</v>
      </c>
      <c r="I1728" s="11" t="s">
        <v>28</v>
      </c>
      <c r="J1728" s="11" t="s">
        <v>28</v>
      </c>
      <c r="K1728" s="11" t="s">
        <v>28</v>
      </c>
      <c r="L1728" s="11" t="s">
        <v>28</v>
      </c>
      <c r="M1728" s="11" t="s">
        <v>28</v>
      </c>
      <c r="N1728" s="8">
        <v>45063</v>
      </c>
      <c r="O1728" s="9" t="s">
        <v>30</v>
      </c>
      <c r="P1728" s="12" t="s">
        <v>6080</v>
      </c>
      <c r="Q1728" s="9" t="s">
        <v>774</v>
      </c>
      <c r="R1728" s="14" t="str">
        <f>HYPERLINK("https://my.pitchbook.com?c=223993-72T","View Company Online")</f>
        <v>View Company Online</v>
      </c>
    </row>
    <row r="1729" spans="1:18" hidden="1" x14ac:dyDescent="0.3">
      <c r="A1729" s="15" t="s">
        <v>6081</v>
      </c>
      <c r="B1729" s="15" t="s">
        <v>6082</v>
      </c>
      <c r="C1729" s="18" t="s">
        <v>28</v>
      </c>
      <c r="D1729" s="15" t="s">
        <v>6083</v>
      </c>
      <c r="E1729" s="18" t="s">
        <v>28</v>
      </c>
      <c r="F1729" s="19" t="s">
        <v>28</v>
      </c>
      <c r="G1729" s="19">
        <v>1</v>
      </c>
      <c r="H1729" s="19" t="s">
        <v>28</v>
      </c>
      <c r="I1729" s="18" t="s">
        <v>28</v>
      </c>
      <c r="J1729" s="18" t="s">
        <v>28</v>
      </c>
      <c r="K1729" s="18" t="s">
        <v>28</v>
      </c>
      <c r="L1729" s="18" t="s">
        <v>28</v>
      </c>
      <c r="M1729" s="18" t="s">
        <v>28</v>
      </c>
      <c r="N1729" s="17">
        <v>45063</v>
      </c>
      <c r="O1729" s="15" t="s">
        <v>79</v>
      </c>
      <c r="P1729" s="16" t="s">
        <v>1399</v>
      </c>
      <c r="Q1729" s="15" t="s">
        <v>75</v>
      </c>
      <c r="R1729" s="13" t="str">
        <f>HYPERLINK("https://my.pitchbook.com?c=224084-26T","View Company Online")</f>
        <v>View Company Online</v>
      </c>
    </row>
    <row r="1730" spans="1:18" hidden="1" x14ac:dyDescent="0.3">
      <c r="A1730" s="9" t="s">
        <v>6084</v>
      </c>
      <c r="B1730" s="9" t="s">
        <v>3410</v>
      </c>
      <c r="C1730" s="11" t="s">
        <v>28</v>
      </c>
      <c r="D1730" s="9" t="s">
        <v>3411</v>
      </c>
      <c r="E1730" s="11" t="s">
        <v>28</v>
      </c>
      <c r="F1730" s="10" t="s">
        <v>28</v>
      </c>
      <c r="G1730" s="10">
        <v>1.5</v>
      </c>
      <c r="H1730" s="10" t="s">
        <v>28</v>
      </c>
      <c r="I1730" s="11" t="s">
        <v>28</v>
      </c>
      <c r="J1730" s="11" t="s">
        <v>28</v>
      </c>
      <c r="K1730" s="11" t="s">
        <v>28</v>
      </c>
      <c r="L1730" s="11" t="s">
        <v>28</v>
      </c>
      <c r="M1730" s="11" t="s">
        <v>28</v>
      </c>
      <c r="N1730" s="8">
        <v>45063</v>
      </c>
      <c r="O1730" s="9" t="s">
        <v>99</v>
      </c>
      <c r="P1730" s="12" t="s">
        <v>6085</v>
      </c>
      <c r="Q1730" s="9" t="s">
        <v>414</v>
      </c>
      <c r="R1730" s="14" t="str">
        <f>HYPERLINK("https://my.pitchbook.com?c=224165-17T","View Company Online")</f>
        <v>View Company Online</v>
      </c>
    </row>
    <row r="1731" spans="1:18" hidden="1" x14ac:dyDescent="0.3">
      <c r="A1731" s="15" t="s">
        <v>6086</v>
      </c>
      <c r="B1731" s="15" t="s">
        <v>6087</v>
      </c>
      <c r="C1731" s="18" t="s">
        <v>28</v>
      </c>
      <c r="D1731" s="15" t="s">
        <v>6088</v>
      </c>
      <c r="E1731" s="18" t="s">
        <v>28</v>
      </c>
      <c r="F1731" s="19" t="s">
        <v>28</v>
      </c>
      <c r="G1731" s="19" t="s">
        <v>28</v>
      </c>
      <c r="H1731" s="19" t="s">
        <v>28</v>
      </c>
      <c r="I1731" s="18" t="s">
        <v>28</v>
      </c>
      <c r="J1731" s="18" t="s">
        <v>28</v>
      </c>
      <c r="K1731" s="18" t="s">
        <v>28</v>
      </c>
      <c r="L1731" s="18" t="s">
        <v>28</v>
      </c>
      <c r="M1731" s="18" t="s">
        <v>28</v>
      </c>
      <c r="N1731" s="17">
        <v>45062</v>
      </c>
      <c r="O1731" s="15" t="s">
        <v>30</v>
      </c>
      <c r="P1731" s="16" t="s">
        <v>6089</v>
      </c>
      <c r="Q1731" s="15" t="s">
        <v>855</v>
      </c>
      <c r="R1731" s="13" t="str">
        <f>HYPERLINK("https://my.pitchbook.com?c=223947-37T","View Company Online")</f>
        <v>View Company Online</v>
      </c>
    </row>
    <row r="1732" spans="1:18" hidden="1" x14ac:dyDescent="0.3">
      <c r="A1732" s="9" t="s">
        <v>6090</v>
      </c>
      <c r="B1732" s="9" t="s">
        <v>6091</v>
      </c>
      <c r="C1732" s="11" t="s">
        <v>28</v>
      </c>
      <c r="D1732" s="9" t="s">
        <v>6092</v>
      </c>
      <c r="E1732" s="11" t="s">
        <v>28</v>
      </c>
      <c r="F1732" s="10">
        <v>2.65</v>
      </c>
      <c r="G1732" s="10">
        <v>2.65</v>
      </c>
      <c r="H1732" s="10">
        <v>2.65</v>
      </c>
      <c r="I1732" s="11" t="s">
        <v>28</v>
      </c>
      <c r="J1732" s="11" t="s">
        <v>28</v>
      </c>
      <c r="K1732" s="11" t="s">
        <v>28</v>
      </c>
      <c r="L1732" s="11" t="s">
        <v>28</v>
      </c>
      <c r="M1732" s="11" t="s">
        <v>28</v>
      </c>
      <c r="N1732" s="8">
        <v>45062</v>
      </c>
      <c r="O1732" s="9" t="s">
        <v>30</v>
      </c>
      <c r="P1732" s="12" t="s">
        <v>4262</v>
      </c>
      <c r="Q1732" s="9" t="s">
        <v>75</v>
      </c>
      <c r="R1732" s="14" t="str">
        <f>HYPERLINK("https://my.pitchbook.com?c=223866-01T","View Company Online")</f>
        <v>View Company Online</v>
      </c>
    </row>
    <row r="1733" spans="1:18" x14ac:dyDescent="0.3">
      <c r="A1733" s="15" t="s">
        <v>6093</v>
      </c>
      <c r="B1733" s="15" t="s">
        <v>6094</v>
      </c>
      <c r="C1733" s="18">
        <v>3.88</v>
      </c>
      <c r="D1733" s="15" t="s">
        <v>6095</v>
      </c>
      <c r="E1733" s="18" t="s">
        <v>28</v>
      </c>
      <c r="F1733" s="19">
        <v>11.23</v>
      </c>
      <c r="G1733" s="19">
        <v>11.23</v>
      </c>
      <c r="H1733" s="19">
        <v>11.23</v>
      </c>
      <c r="I1733" s="18">
        <v>2.9</v>
      </c>
      <c r="J1733" s="18">
        <v>3.88</v>
      </c>
      <c r="K1733" s="18" t="s">
        <v>28</v>
      </c>
      <c r="L1733" s="18" t="s">
        <v>28</v>
      </c>
      <c r="M1733" s="18">
        <v>1.03</v>
      </c>
      <c r="N1733" s="17">
        <v>45062</v>
      </c>
      <c r="O1733" s="15" t="s">
        <v>30</v>
      </c>
      <c r="P1733" s="16" t="s">
        <v>6096</v>
      </c>
      <c r="Q1733" s="15" t="s">
        <v>855</v>
      </c>
      <c r="R1733" s="13" t="str">
        <f>HYPERLINK("https://my.pitchbook.com?c=224341-84T","View Company Online")</f>
        <v>View Company Online</v>
      </c>
    </row>
    <row r="1734" spans="1:18" hidden="1" x14ac:dyDescent="0.3">
      <c r="A1734" s="9" t="s">
        <v>6097</v>
      </c>
      <c r="B1734" s="9" t="s">
        <v>6098</v>
      </c>
      <c r="C1734" s="11" t="s">
        <v>28</v>
      </c>
      <c r="D1734" s="9" t="s">
        <v>6099</v>
      </c>
      <c r="E1734" s="11" t="s">
        <v>28</v>
      </c>
      <c r="F1734" s="10" t="s">
        <v>28</v>
      </c>
      <c r="G1734" s="10">
        <v>6.62</v>
      </c>
      <c r="H1734" s="10" t="s">
        <v>28</v>
      </c>
      <c r="I1734" s="11" t="s">
        <v>28</v>
      </c>
      <c r="J1734" s="11" t="s">
        <v>28</v>
      </c>
      <c r="K1734" s="11">
        <v>3.9</v>
      </c>
      <c r="L1734" s="11" t="s">
        <v>28</v>
      </c>
      <c r="M1734" s="11" t="s">
        <v>28</v>
      </c>
      <c r="N1734" s="8">
        <v>45062</v>
      </c>
      <c r="O1734" s="9" t="s">
        <v>79</v>
      </c>
      <c r="P1734" s="12" t="s">
        <v>6100</v>
      </c>
      <c r="Q1734" s="9" t="s">
        <v>75</v>
      </c>
      <c r="R1734" s="14" t="str">
        <f>HYPERLINK("https://my.pitchbook.com?c=223890-31T","View Company Online")</f>
        <v>View Company Online</v>
      </c>
    </row>
    <row r="1735" spans="1:18" hidden="1" x14ac:dyDescent="0.3">
      <c r="A1735" s="15" t="s">
        <v>6101</v>
      </c>
      <c r="B1735" s="15" t="s">
        <v>6102</v>
      </c>
      <c r="C1735" s="18" t="s">
        <v>28</v>
      </c>
      <c r="D1735" s="15" t="s">
        <v>6103</v>
      </c>
      <c r="E1735" s="18" t="s">
        <v>28</v>
      </c>
      <c r="F1735" s="19">
        <v>27.4</v>
      </c>
      <c r="G1735" s="19">
        <v>27.4</v>
      </c>
      <c r="H1735" s="19">
        <v>27.4</v>
      </c>
      <c r="I1735" s="18" t="s">
        <v>28</v>
      </c>
      <c r="J1735" s="18" t="s">
        <v>28</v>
      </c>
      <c r="K1735" s="18" t="s">
        <v>28</v>
      </c>
      <c r="L1735" s="18" t="s">
        <v>28</v>
      </c>
      <c r="M1735" s="18" t="s">
        <v>28</v>
      </c>
      <c r="N1735" s="17">
        <v>45062</v>
      </c>
      <c r="O1735" s="15" t="s">
        <v>30</v>
      </c>
      <c r="P1735" s="16" t="s">
        <v>6104</v>
      </c>
      <c r="Q1735" s="15" t="s">
        <v>669</v>
      </c>
      <c r="R1735" s="13" t="str">
        <f>HYPERLINK("https://my.pitchbook.com?c=223905-79T","View Company Online")</f>
        <v>View Company Online</v>
      </c>
    </row>
    <row r="1736" spans="1:18" hidden="1" x14ac:dyDescent="0.3">
      <c r="A1736" s="9" t="s">
        <v>6105</v>
      </c>
      <c r="B1736" s="9" t="s">
        <v>6106</v>
      </c>
      <c r="C1736" s="11" t="s">
        <v>28</v>
      </c>
      <c r="D1736" s="9" t="s">
        <v>6107</v>
      </c>
      <c r="E1736" s="11" t="s">
        <v>28</v>
      </c>
      <c r="F1736" s="10">
        <v>0.08</v>
      </c>
      <c r="G1736" s="10">
        <v>0.08</v>
      </c>
      <c r="H1736" s="10">
        <v>0.08</v>
      </c>
      <c r="I1736" s="11" t="s">
        <v>28</v>
      </c>
      <c r="J1736" s="11" t="s">
        <v>28</v>
      </c>
      <c r="K1736" s="11" t="s">
        <v>28</v>
      </c>
      <c r="L1736" s="11" t="s">
        <v>28</v>
      </c>
      <c r="M1736" s="11" t="s">
        <v>28</v>
      </c>
      <c r="N1736" s="8">
        <v>45062</v>
      </c>
      <c r="O1736" s="9" t="s">
        <v>30</v>
      </c>
      <c r="P1736" s="12" t="s">
        <v>6108</v>
      </c>
      <c r="Q1736" s="9" t="s">
        <v>5870</v>
      </c>
      <c r="R1736" s="14" t="str">
        <f>HYPERLINK("https://my.pitchbook.com?c=224009-47T","View Company Online")</f>
        <v>View Company Online</v>
      </c>
    </row>
    <row r="1737" spans="1:18" hidden="1" x14ac:dyDescent="0.3">
      <c r="A1737" s="15" t="s">
        <v>6109</v>
      </c>
      <c r="B1737" s="15" t="s">
        <v>2972</v>
      </c>
      <c r="C1737" s="18" t="s">
        <v>28</v>
      </c>
      <c r="D1737" s="15" t="s">
        <v>2973</v>
      </c>
      <c r="E1737" s="18" t="s">
        <v>28</v>
      </c>
      <c r="F1737" s="19" t="s">
        <v>28</v>
      </c>
      <c r="G1737" s="19" t="s">
        <v>28</v>
      </c>
      <c r="H1737" s="19" t="s">
        <v>28</v>
      </c>
      <c r="I1737" s="18" t="s">
        <v>28</v>
      </c>
      <c r="J1737" s="18" t="s">
        <v>28</v>
      </c>
      <c r="K1737" s="18" t="s">
        <v>28</v>
      </c>
      <c r="L1737" s="18" t="s">
        <v>28</v>
      </c>
      <c r="M1737" s="18" t="s">
        <v>28</v>
      </c>
      <c r="N1737" s="17">
        <v>45061</v>
      </c>
      <c r="O1737" s="15" t="s">
        <v>79</v>
      </c>
      <c r="P1737" s="16" t="s">
        <v>6110</v>
      </c>
      <c r="Q1737" s="15" t="s">
        <v>119</v>
      </c>
      <c r="R1737" s="13" t="str">
        <f>HYPERLINK("https://my.pitchbook.com?c=220228-75T","View Company Online")</f>
        <v>View Company Online</v>
      </c>
    </row>
    <row r="1738" spans="1:18" hidden="1" x14ac:dyDescent="0.3">
      <c r="A1738" s="9" t="s">
        <v>6111</v>
      </c>
      <c r="B1738" s="9" t="s">
        <v>1723</v>
      </c>
      <c r="C1738" s="11" t="s">
        <v>28</v>
      </c>
      <c r="D1738" s="9" t="s">
        <v>1724</v>
      </c>
      <c r="E1738" s="11">
        <v>170.82</v>
      </c>
      <c r="F1738" s="10" t="s">
        <v>28</v>
      </c>
      <c r="G1738" s="10" t="s">
        <v>28</v>
      </c>
      <c r="H1738" s="10" t="s">
        <v>28</v>
      </c>
      <c r="I1738" s="11">
        <v>280.98</v>
      </c>
      <c r="J1738" s="11" t="s">
        <v>28</v>
      </c>
      <c r="K1738" s="11">
        <v>386.23</v>
      </c>
      <c r="L1738" s="11" t="s">
        <v>28</v>
      </c>
      <c r="M1738" s="11">
        <v>116.38</v>
      </c>
      <c r="N1738" s="8">
        <v>45061</v>
      </c>
      <c r="O1738" s="9" t="s">
        <v>159</v>
      </c>
      <c r="P1738" s="12" t="s">
        <v>6112</v>
      </c>
      <c r="Q1738" s="9" t="s">
        <v>268</v>
      </c>
      <c r="R1738" s="14" t="str">
        <f>HYPERLINK("https://my.pitchbook.com?c=225184-60T","View Company Online")</f>
        <v>View Company Online</v>
      </c>
    </row>
    <row r="1739" spans="1:18" hidden="1" x14ac:dyDescent="0.3">
      <c r="A1739" s="15" t="s">
        <v>6113</v>
      </c>
      <c r="B1739" s="15" t="s">
        <v>6114</v>
      </c>
      <c r="C1739" s="18" t="s">
        <v>28</v>
      </c>
      <c r="D1739" s="15" t="s">
        <v>6115</v>
      </c>
      <c r="E1739" s="18" t="s">
        <v>28</v>
      </c>
      <c r="F1739" s="19" t="s">
        <v>28</v>
      </c>
      <c r="G1739" s="19" t="s">
        <v>28</v>
      </c>
      <c r="H1739" s="19" t="s">
        <v>28</v>
      </c>
      <c r="I1739" s="18" t="s">
        <v>28</v>
      </c>
      <c r="J1739" s="18" t="s">
        <v>28</v>
      </c>
      <c r="K1739" s="18" t="s">
        <v>28</v>
      </c>
      <c r="L1739" s="18" t="s">
        <v>28</v>
      </c>
      <c r="M1739" s="18" t="s">
        <v>28</v>
      </c>
      <c r="N1739" s="17">
        <v>45061</v>
      </c>
      <c r="O1739" s="15" t="s">
        <v>73</v>
      </c>
      <c r="P1739" s="16" t="s">
        <v>611</v>
      </c>
      <c r="Q1739" s="15" t="s">
        <v>37</v>
      </c>
      <c r="R1739" s="13" t="str">
        <f>HYPERLINK("https://my.pitchbook.com?c=227515-87T","View Company Online")</f>
        <v>View Company Online</v>
      </c>
    </row>
    <row r="1740" spans="1:18" hidden="1" x14ac:dyDescent="0.3">
      <c r="A1740" s="9" t="s">
        <v>6116</v>
      </c>
      <c r="B1740" s="9" t="s">
        <v>6117</v>
      </c>
      <c r="C1740" s="11" t="s">
        <v>28</v>
      </c>
      <c r="D1740" s="9" t="s">
        <v>6118</v>
      </c>
      <c r="E1740" s="11" t="s">
        <v>28</v>
      </c>
      <c r="F1740" s="10" t="s">
        <v>28</v>
      </c>
      <c r="G1740" s="10" t="s">
        <v>28</v>
      </c>
      <c r="H1740" s="10" t="s">
        <v>28</v>
      </c>
      <c r="I1740" s="11" t="s">
        <v>28</v>
      </c>
      <c r="J1740" s="11" t="s">
        <v>28</v>
      </c>
      <c r="K1740" s="11" t="s">
        <v>28</v>
      </c>
      <c r="L1740" s="11" t="s">
        <v>28</v>
      </c>
      <c r="M1740" s="11" t="s">
        <v>28</v>
      </c>
      <c r="N1740" s="8">
        <v>45058</v>
      </c>
      <c r="O1740" s="9" t="s">
        <v>30</v>
      </c>
      <c r="P1740" s="12" t="s">
        <v>503</v>
      </c>
      <c r="Q1740" s="9" t="s">
        <v>285</v>
      </c>
      <c r="R1740" s="14" t="str">
        <f>HYPERLINK("https://my.pitchbook.com?c=224911-27T","View Company Online")</f>
        <v>View Company Online</v>
      </c>
    </row>
    <row r="1741" spans="1:18" hidden="1" x14ac:dyDescent="0.3">
      <c r="A1741" s="15" t="s">
        <v>6119</v>
      </c>
      <c r="B1741" s="15" t="s">
        <v>6120</v>
      </c>
      <c r="C1741" s="18" t="s">
        <v>28</v>
      </c>
      <c r="D1741" s="15" t="s">
        <v>6121</v>
      </c>
      <c r="E1741" s="18" t="s">
        <v>28</v>
      </c>
      <c r="F1741" s="19" t="s">
        <v>28</v>
      </c>
      <c r="G1741" s="19" t="s">
        <v>28</v>
      </c>
      <c r="H1741" s="19" t="s">
        <v>28</v>
      </c>
      <c r="I1741" s="18" t="s">
        <v>28</v>
      </c>
      <c r="J1741" s="18" t="s">
        <v>28</v>
      </c>
      <c r="K1741" s="18" t="s">
        <v>28</v>
      </c>
      <c r="L1741" s="18" t="s">
        <v>28</v>
      </c>
      <c r="M1741" s="18" t="s">
        <v>28</v>
      </c>
      <c r="N1741" s="17">
        <v>45058</v>
      </c>
      <c r="O1741" s="15" t="s">
        <v>30</v>
      </c>
      <c r="P1741" s="16" t="s">
        <v>6122</v>
      </c>
      <c r="Q1741" s="15" t="s">
        <v>32</v>
      </c>
      <c r="R1741" s="13" t="str">
        <f>HYPERLINK("https://my.pitchbook.com?c=223902-64T","View Company Online")</f>
        <v>View Company Online</v>
      </c>
    </row>
    <row r="1742" spans="1:18" x14ac:dyDescent="0.3">
      <c r="A1742" s="9" t="s">
        <v>6123</v>
      </c>
      <c r="B1742" s="9" t="s">
        <v>6124</v>
      </c>
      <c r="C1742" s="11">
        <v>3.39</v>
      </c>
      <c r="D1742" s="9" t="s">
        <v>6125</v>
      </c>
      <c r="E1742" s="11" t="s">
        <v>28</v>
      </c>
      <c r="F1742" s="10">
        <v>9.48</v>
      </c>
      <c r="G1742" s="10">
        <v>9.48</v>
      </c>
      <c r="H1742" s="10">
        <v>9.48</v>
      </c>
      <c r="I1742" s="11">
        <v>2.8</v>
      </c>
      <c r="J1742" s="11">
        <v>3.39</v>
      </c>
      <c r="K1742" s="11" t="s">
        <v>28</v>
      </c>
      <c r="L1742" s="11" t="s">
        <v>28</v>
      </c>
      <c r="M1742" s="11" t="s">
        <v>28</v>
      </c>
      <c r="N1742" s="8">
        <v>45058</v>
      </c>
      <c r="O1742" s="9" t="s">
        <v>30</v>
      </c>
      <c r="P1742" s="12" t="s">
        <v>6126</v>
      </c>
      <c r="Q1742" s="9" t="s">
        <v>566</v>
      </c>
      <c r="R1742" s="14" t="str">
        <f>HYPERLINK("https://my.pitchbook.com?c=223789-24T","View Company Online")</f>
        <v>View Company Online</v>
      </c>
    </row>
    <row r="1743" spans="1:18" hidden="1" x14ac:dyDescent="0.3">
      <c r="A1743" s="15" t="s">
        <v>6127</v>
      </c>
      <c r="B1743" s="15" t="s">
        <v>6128</v>
      </c>
      <c r="C1743" s="18" t="s">
        <v>28</v>
      </c>
      <c r="D1743" s="15" t="s">
        <v>6129</v>
      </c>
      <c r="E1743" s="18" t="s">
        <v>28</v>
      </c>
      <c r="F1743" s="19" t="s">
        <v>28</v>
      </c>
      <c r="G1743" s="19" t="s">
        <v>28</v>
      </c>
      <c r="H1743" s="19" t="s">
        <v>28</v>
      </c>
      <c r="I1743" s="18" t="s">
        <v>28</v>
      </c>
      <c r="J1743" s="18" t="s">
        <v>28</v>
      </c>
      <c r="K1743" s="18" t="s">
        <v>28</v>
      </c>
      <c r="L1743" s="18" t="s">
        <v>28</v>
      </c>
      <c r="M1743" s="18" t="s">
        <v>28</v>
      </c>
      <c r="N1743" s="17">
        <v>45058</v>
      </c>
      <c r="O1743" s="15" t="s">
        <v>30</v>
      </c>
      <c r="P1743" s="16" t="s">
        <v>6130</v>
      </c>
      <c r="Q1743" s="15" t="s">
        <v>75</v>
      </c>
      <c r="R1743" s="13" t="str">
        <f>HYPERLINK("https://my.pitchbook.com?c=227489-32T","View Company Online")</f>
        <v>View Company Online</v>
      </c>
    </row>
    <row r="1744" spans="1:18" hidden="1" x14ac:dyDescent="0.3">
      <c r="A1744" s="9" t="s">
        <v>6131</v>
      </c>
      <c r="B1744" s="9" t="s">
        <v>6132</v>
      </c>
      <c r="C1744" s="11" t="s">
        <v>28</v>
      </c>
      <c r="D1744" s="9" t="s">
        <v>6133</v>
      </c>
      <c r="E1744" s="11" t="s">
        <v>28</v>
      </c>
      <c r="F1744" s="10" t="s">
        <v>28</v>
      </c>
      <c r="G1744" s="10" t="s">
        <v>28</v>
      </c>
      <c r="H1744" s="10" t="s">
        <v>28</v>
      </c>
      <c r="I1744" s="11" t="s">
        <v>28</v>
      </c>
      <c r="J1744" s="11" t="s">
        <v>28</v>
      </c>
      <c r="K1744" s="11" t="s">
        <v>28</v>
      </c>
      <c r="L1744" s="11" t="s">
        <v>28</v>
      </c>
      <c r="M1744" s="11" t="s">
        <v>28</v>
      </c>
      <c r="N1744" s="8">
        <v>45058</v>
      </c>
      <c r="O1744" s="9" t="s">
        <v>73</v>
      </c>
      <c r="P1744" s="12" t="s">
        <v>6134</v>
      </c>
      <c r="Q1744" s="9" t="s">
        <v>75</v>
      </c>
      <c r="R1744" s="14" t="str">
        <f>HYPERLINK("https://my.pitchbook.com?c=227513-89T","View Company Online")</f>
        <v>View Company Online</v>
      </c>
    </row>
    <row r="1745" spans="1:18" hidden="1" x14ac:dyDescent="0.3">
      <c r="A1745" s="15" t="s">
        <v>6135</v>
      </c>
      <c r="B1745" s="15" t="s">
        <v>6136</v>
      </c>
      <c r="C1745" s="18" t="s">
        <v>28</v>
      </c>
      <c r="D1745" s="15" t="s">
        <v>6137</v>
      </c>
      <c r="E1745" s="18" t="s">
        <v>28</v>
      </c>
      <c r="F1745" s="19">
        <v>5.21</v>
      </c>
      <c r="G1745" s="19">
        <v>5.21</v>
      </c>
      <c r="H1745" s="19">
        <v>5.21</v>
      </c>
      <c r="I1745" s="18" t="s">
        <v>28</v>
      </c>
      <c r="J1745" s="18" t="s">
        <v>28</v>
      </c>
      <c r="K1745" s="18" t="s">
        <v>28</v>
      </c>
      <c r="L1745" s="18" t="s">
        <v>28</v>
      </c>
      <c r="M1745" s="18" t="s">
        <v>28</v>
      </c>
      <c r="N1745" s="17">
        <v>45057</v>
      </c>
      <c r="O1745" s="15" t="s">
        <v>30</v>
      </c>
      <c r="P1745" s="16" t="s">
        <v>3797</v>
      </c>
      <c r="Q1745" s="15" t="s">
        <v>692</v>
      </c>
      <c r="R1745" s="13" t="str">
        <f>HYPERLINK("https://my.pitchbook.com?c=223597-81T","View Company Online")</f>
        <v>View Company Online</v>
      </c>
    </row>
    <row r="1746" spans="1:18" hidden="1" x14ac:dyDescent="0.3">
      <c r="A1746" s="9" t="s">
        <v>6138</v>
      </c>
      <c r="B1746" s="9" t="s">
        <v>6139</v>
      </c>
      <c r="C1746" s="11" t="s">
        <v>28</v>
      </c>
      <c r="D1746" s="9" t="s">
        <v>6140</v>
      </c>
      <c r="E1746" s="11" t="s">
        <v>28</v>
      </c>
      <c r="F1746" s="10">
        <v>30.03</v>
      </c>
      <c r="G1746" s="10">
        <v>30.03</v>
      </c>
      <c r="H1746" s="10">
        <v>30.03</v>
      </c>
      <c r="I1746" s="11" t="s">
        <v>28</v>
      </c>
      <c r="J1746" s="11" t="s">
        <v>28</v>
      </c>
      <c r="K1746" s="11" t="s">
        <v>28</v>
      </c>
      <c r="L1746" s="11" t="s">
        <v>28</v>
      </c>
      <c r="M1746" s="11" t="s">
        <v>28</v>
      </c>
      <c r="N1746" s="8">
        <v>45057</v>
      </c>
      <c r="O1746" s="9" t="s">
        <v>30</v>
      </c>
      <c r="P1746" s="12" t="s">
        <v>6141</v>
      </c>
      <c r="Q1746" s="9" t="s">
        <v>6142</v>
      </c>
      <c r="R1746" s="14" t="str">
        <f>HYPERLINK("https://my.pitchbook.com?c=223628-68T","View Company Online")</f>
        <v>View Company Online</v>
      </c>
    </row>
    <row r="1747" spans="1:18" hidden="1" x14ac:dyDescent="0.3">
      <c r="A1747" s="15" t="s">
        <v>6143</v>
      </c>
      <c r="B1747" s="15" t="s">
        <v>6144</v>
      </c>
      <c r="C1747" s="18" t="s">
        <v>28</v>
      </c>
      <c r="D1747" s="15" t="s">
        <v>6145</v>
      </c>
      <c r="E1747" s="18" t="s">
        <v>28</v>
      </c>
      <c r="F1747" s="19" t="s">
        <v>28</v>
      </c>
      <c r="G1747" s="19" t="s">
        <v>28</v>
      </c>
      <c r="H1747" s="19" t="s">
        <v>28</v>
      </c>
      <c r="I1747" s="18" t="s">
        <v>28</v>
      </c>
      <c r="J1747" s="18" t="s">
        <v>28</v>
      </c>
      <c r="K1747" s="18" t="s">
        <v>28</v>
      </c>
      <c r="L1747" s="18" t="s">
        <v>28</v>
      </c>
      <c r="M1747" s="18" t="s">
        <v>28</v>
      </c>
      <c r="N1747" s="17">
        <v>45057</v>
      </c>
      <c r="O1747" s="15" t="s">
        <v>41</v>
      </c>
      <c r="P1747" s="16" t="s">
        <v>6146</v>
      </c>
      <c r="Q1747" s="15" t="s">
        <v>245</v>
      </c>
      <c r="R1747" s="13" t="str">
        <f>HYPERLINK("https://my.pitchbook.com?c=223612-93T","View Company Online")</f>
        <v>View Company Online</v>
      </c>
    </row>
    <row r="1748" spans="1:18" hidden="1" x14ac:dyDescent="0.3">
      <c r="A1748" s="9" t="s">
        <v>6147</v>
      </c>
      <c r="B1748" s="9" t="s">
        <v>6148</v>
      </c>
      <c r="C1748" s="11" t="s">
        <v>28</v>
      </c>
      <c r="D1748" s="9" t="s">
        <v>6149</v>
      </c>
      <c r="E1748" s="11" t="s">
        <v>28</v>
      </c>
      <c r="F1748" s="10" t="s">
        <v>28</v>
      </c>
      <c r="G1748" s="10">
        <v>16.5</v>
      </c>
      <c r="H1748" s="10" t="s">
        <v>28</v>
      </c>
      <c r="I1748" s="11" t="s">
        <v>28</v>
      </c>
      <c r="J1748" s="11" t="s">
        <v>28</v>
      </c>
      <c r="K1748" s="11" t="s">
        <v>28</v>
      </c>
      <c r="L1748" s="11" t="s">
        <v>28</v>
      </c>
      <c r="M1748" s="11" t="s">
        <v>28</v>
      </c>
      <c r="N1748" s="8">
        <v>45057</v>
      </c>
      <c r="O1748" s="9" t="s">
        <v>79</v>
      </c>
      <c r="P1748" s="12" t="s">
        <v>6150</v>
      </c>
      <c r="Q1748" s="9" t="s">
        <v>75</v>
      </c>
      <c r="R1748" s="14" t="str">
        <f>HYPERLINK("https://my.pitchbook.com?c=223903-81T","View Company Online")</f>
        <v>View Company Online</v>
      </c>
    </row>
    <row r="1749" spans="1:18" hidden="1" x14ac:dyDescent="0.3">
      <c r="A1749" s="15" t="s">
        <v>6151</v>
      </c>
      <c r="B1749" s="15" t="s">
        <v>6152</v>
      </c>
      <c r="C1749" s="18" t="s">
        <v>28</v>
      </c>
      <c r="D1749" s="15" t="s">
        <v>6153</v>
      </c>
      <c r="E1749" s="18" t="s">
        <v>28</v>
      </c>
      <c r="F1749" s="19">
        <v>122.17</v>
      </c>
      <c r="G1749" s="19">
        <v>109.97</v>
      </c>
      <c r="H1749" s="19">
        <v>122.17</v>
      </c>
      <c r="I1749" s="18" t="s">
        <v>28</v>
      </c>
      <c r="J1749" s="18" t="s">
        <v>28</v>
      </c>
      <c r="K1749" s="18" t="s">
        <v>28</v>
      </c>
      <c r="L1749" s="18" t="s">
        <v>28</v>
      </c>
      <c r="M1749" s="18" t="s">
        <v>28</v>
      </c>
      <c r="N1749" s="17">
        <v>45055</v>
      </c>
      <c r="O1749" s="15" t="s">
        <v>41</v>
      </c>
      <c r="P1749" s="16" t="s">
        <v>6154</v>
      </c>
      <c r="Q1749" s="15" t="s">
        <v>566</v>
      </c>
      <c r="R1749" s="13" t="str">
        <f>HYPERLINK("https://my.pitchbook.com?c=223417-63T","View Company Online")</f>
        <v>View Company Online</v>
      </c>
    </row>
    <row r="1750" spans="1:18" hidden="1" x14ac:dyDescent="0.3">
      <c r="A1750" s="9" t="s">
        <v>6155</v>
      </c>
      <c r="B1750" s="9" t="s">
        <v>6156</v>
      </c>
      <c r="C1750" s="11" t="s">
        <v>28</v>
      </c>
      <c r="D1750" s="9" t="s">
        <v>6157</v>
      </c>
      <c r="E1750" s="11" t="s">
        <v>28</v>
      </c>
      <c r="F1750" s="10" t="s">
        <v>28</v>
      </c>
      <c r="G1750" s="10">
        <v>1.1000000000000001</v>
      </c>
      <c r="H1750" s="10" t="s">
        <v>28</v>
      </c>
      <c r="I1750" s="11" t="s">
        <v>28</v>
      </c>
      <c r="J1750" s="11" t="s">
        <v>28</v>
      </c>
      <c r="K1750" s="11" t="s">
        <v>28</v>
      </c>
      <c r="L1750" s="11" t="s">
        <v>28</v>
      </c>
      <c r="M1750" s="11" t="s">
        <v>28</v>
      </c>
      <c r="N1750" s="8">
        <v>45055</v>
      </c>
      <c r="O1750" s="9" t="s">
        <v>99</v>
      </c>
      <c r="P1750" s="12" t="s">
        <v>6158</v>
      </c>
      <c r="Q1750" s="9" t="s">
        <v>75</v>
      </c>
      <c r="R1750" s="14" t="str">
        <f>HYPERLINK("https://my.pitchbook.com?c=223422-76T","View Company Online")</f>
        <v>View Company Online</v>
      </c>
    </row>
    <row r="1751" spans="1:18" hidden="1" x14ac:dyDescent="0.3">
      <c r="A1751" s="15" t="s">
        <v>6159</v>
      </c>
      <c r="B1751" s="15" t="s">
        <v>6160</v>
      </c>
      <c r="C1751" s="18" t="s">
        <v>28</v>
      </c>
      <c r="D1751" s="15" t="s">
        <v>6161</v>
      </c>
      <c r="E1751" s="18" t="s">
        <v>28</v>
      </c>
      <c r="F1751" s="19" t="s">
        <v>28</v>
      </c>
      <c r="G1751" s="19" t="s">
        <v>28</v>
      </c>
      <c r="H1751" s="19" t="s">
        <v>28</v>
      </c>
      <c r="I1751" s="18" t="s">
        <v>28</v>
      </c>
      <c r="J1751" s="18" t="s">
        <v>28</v>
      </c>
      <c r="K1751" s="18" t="s">
        <v>28</v>
      </c>
      <c r="L1751" s="18" t="s">
        <v>28</v>
      </c>
      <c r="M1751" s="18" t="s">
        <v>28</v>
      </c>
      <c r="N1751" s="17">
        <v>45055</v>
      </c>
      <c r="O1751" s="15" t="s">
        <v>30</v>
      </c>
      <c r="P1751" s="16" t="s">
        <v>6162</v>
      </c>
      <c r="Q1751" s="15" t="s">
        <v>114</v>
      </c>
      <c r="R1751" s="13" t="str">
        <f>HYPERLINK("https://my.pitchbook.com?c=223386-13T","View Company Online")</f>
        <v>View Company Online</v>
      </c>
    </row>
    <row r="1752" spans="1:18" hidden="1" x14ac:dyDescent="0.3">
      <c r="A1752" s="9" t="s">
        <v>6163</v>
      </c>
      <c r="B1752" s="9" t="s">
        <v>6164</v>
      </c>
      <c r="C1752" s="11" t="s">
        <v>28</v>
      </c>
      <c r="D1752" s="9" t="s">
        <v>6165</v>
      </c>
      <c r="E1752" s="11" t="s">
        <v>28</v>
      </c>
      <c r="F1752" s="10" t="s">
        <v>28</v>
      </c>
      <c r="G1752" s="10" t="s">
        <v>28</v>
      </c>
      <c r="H1752" s="10" t="s">
        <v>28</v>
      </c>
      <c r="I1752" s="11" t="s">
        <v>28</v>
      </c>
      <c r="J1752" s="11" t="s">
        <v>28</v>
      </c>
      <c r="K1752" s="11" t="s">
        <v>28</v>
      </c>
      <c r="L1752" s="11" t="s">
        <v>28</v>
      </c>
      <c r="M1752" s="11" t="s">
        <v>28</v>
      </c>
      <c r="N1752" s="8">
        <v>45055</v>
      </c>
      <c r="O1752" s="9" t="s">
        <v>41</v>
      </c>
      <c r="P1752" s="12" t="s">
        <v>5561</v>
      </c>
      <c r="Q1752" s="9" t="s">
        <v>290</v>
      </c>
      <c r="R1752" s="14" t="str">
        <f>HYPERLINK("https://my.pitchbook.com?c=211343-23T","View Company Online")</f>
        <v>View Company Online</v>
      </c>
    </row>
    <row r="1753" spans="1:18" hidden="1" x14ac:dyDescent="0.3">
      <c r="A1753" s="15" t="s">
        <v>6166</v>
      </c>
      <c r="B1753" s="15" t="s">
        <v>6167</v>
      </c>
      <c r="C1753" s="18" t="s">
        <v>28</v>
      </c>
      <c r="D1753" s="15" t="s">
        <v>6168</v>
      </c>
      <c r="E1753" s="18" t="s">
        <v>28</v>
      </c>
      <c r="F1753" s="19" t="s">
        <v>28</v>
      </c>
      <c r="G1753" s="19">
        <v>0.14000000000000001</v>
      </c>
      <c r="H1753" s="19" t="s">
        <v>28</v>
      </c>
      <c r="I1753" s="18" t="s">
        <v>28</v>
      </c>
      <c r="J1753" s="18" t="s">
        <v>28</v>
      </c>
      <c r="K1753" s="18" t="s">
        <v>28</v>
      </c>
      <c r="L1753" s="18" t="s">
        <v>28</v>
      </c>
      <c r="M1753" s="18" t="s">
        <v>28</v>
      </c>
      <c r="N1753" s="17">
        <v>45055</v>
      </c>
      <c r="O1753" s="15" t="s">
        <v>99</v>
      </c>
      <c r="P1753" s="16" t="s">
        <v>4286</v>
      </c>
      <c r="Q1753" s="15" t="s">
        <v>75</v>
      </c>
      <c r="R1753" s="13" t="str">
        <f>HYPERLINK("https://my.pitchbook.com?c=215640-73T","View Company Online")</f>
        <v>View Company Online</v>
      </c>
    </row>
    <row r="1754" spans="1:18" hidden="1" x14ac:dyDescent="0.3">
      <c r="A1754" s="9" t="s">
        <v>6169</v>
      </c>
      <c r="B1754" s="9" t="s">
        <v>6170</v>
      </c>
      <c r="C1754" s="11" t="s">
        <v>28</v>
      </c>
      <c r="D1754" s="9" t="s">
        <v>6171</v>
      </c>
      <c r="E1754" s="11" t="s">
        <v>28</v>
      </c>
      <c r="F1754" s="10" t="s">
        <v>28</v>
      </c>
      <c r="G1754" s="10">
        <v>6.1</v>
      </c>
      <c r="H1754" s="10" t="s">
        <v>28</v>
      </c>
      <c r="I1754" s="11" t="s">
        <v>28</v>
      </c>
      <c r="J1754" s="11" t="s">
        <v>28</v>
      </c>
      <c r="K1754" s="11" t="s">
        <v>28</v>
      </c>
      <c r="L1754" s="11" t="s">
        <v>28</v>
      </c>
      <c r="M1754" s="11" t="s">
        <v>28</v>
      </c>
      <c r="N1754" s="8">
        <v>45055</v>
      </c>
      <c r="O1754" s="9" t="s">
        <v>99</v>
      </c>
      <c r="P1754" s="12" t="s">
        <v>6172</v>
      </c>
      <c r="Q1754" s="9" t="s">
        <v>75</v>
      </c>
      <c r="R1754" s="14" t="str">
        <f>HYPERLINK("https://my.pitchbook.com?c=223420-24T","View Company Online")</f>
        <v>View Company Online</v>
      </c>
    </row>
    <row r="1755" spans="1:18" hidden="1" x14ac:dyDescent="0.3">
      <c r="A1755" s="15" t="s">
        <v>6173</v>
      </c>
      <c r="B1755" s="15" t="s">
        <v>6174</v>
      </c>
      <c r="C1755" s="18" t="s">
        <v>28</v>
      </c>
      <c r="D1755" s="15" t="s">
        <v>6175</v>
      </c>
      <c r="E1755" s="18" t="s">
        <v>28</v>
      </c>
      <c r="F1755" s="19" t="s">
        <v>28</v>
      </c>
      <c r="G1755" s="19">
        <v>0.1</v>
      </c>
      <c r="H1755" s="19" t="s">
        <v>28</v>
      </c>
      <c r="I1755" s="18" t="s">
        <v>28</v>
      </c>
      <c r="J1755" s="18" t="s">
        <v>28</v>
      </c>
      <c r="K1755" s="18" t="s">
        <v>28</v>
      </c>
      <c r="L1755" s="18" t="s">
        <v>28</v>
      </c>
      <c r="M1755" s="18" t="s">
        <v>28</v>
      </c>
      <c r="N1755" s="17">
        <v>45054</v>
      </c>
      <c r="O1755" s="15" t="s">
        <v>52</v>
      </c>
      <c r="P1755" s="16" t="s">
        <v>6176</v>
      </c>
      <c r="Q1755" s="15" t="s">
        <v>404</v>
      </c>
      <c r="R1755" s="13" t="str">
        <f>HYPERLINK("https://my.pitchbook.com?c=223325-47T","View Company Online")</f>
        <v>View Company Online</v>
      </c>
    </row>
    <row r="1756" spans="1:18" hidden="1" x14ac:dyDescent="0.3">
      <c r="A1756" s="9" t="s">
        <v>6177</v>
      </c>
      <c r="B1756" s="9" t="s">
        <v>1215</v>
      </c>
      <c r="C1756" s="11" t="s">
        <v>28</v>
      </c>
      <c r="D1756" s="9" t="s">
        <v>1216</v>
      </c>
      <c r="E1756" s="11" t="s">
        <v>28</v>
      </c>
      <c r="F1756" s="10" t="s">
        <v>28</v>
      </c>
      <c r="G1756" s="10">
        <v>0.01</v>
      </c>
      <c r="H1756" s="10" t="s">
        <v>28</v>
      </c>
      <c r="I1756" s="11" t="s">
        <v>28</v>
      </c>
      <c r="J1756" s="11" t="s">
        <v>28</v>
      </c>
      <c r="K1756" s="11" t="s">
        <v>28</v>
      </c>
      <c r="L1756" s="11" t="s">
        <v>28</v>
      </c>
      <c r="M1756" s="11" t="s">
        <v>28</v>
      </c>
      <c r="N1756" s="8">
        <v>45052</v>
      </c>
      <c r="O1756" s="9" t="s">
        <v>52</v>
      </c>
      <c r="P1756" s="12" t="s">
        <v>6178</v>
      </c>
      <c r="Q1756" s="9" t="s">
        <v>75</v>
      </c>
      <c r="R1756" s="14" t="str">
        <f>HYPERLINK("https://my.pitchbook.com?c=301619-80T","View Company Online")</f>
        <v>View Company Online</v>
      </c>
    </row>
    <row r="1757" spans="1:18" hidden="1" x14ac:dyDescent="0.3">
      <c r="A1757" s="15" t="s">
        <v>6179</v>
      </c>
      <c r="B1757" s="15" t="s">
        <v>6180</v>
      </c>
      <c r="C1757" s="18" t="s">
        <v>28</v>
      </c>
      <c r="D1757" s="15" t="s">
        <v>6181</v>
      </c>
      <c r="E1757" s="18" t="s">
        <v>28</v>
      </c>
      <c r="F1757" s="19" t="s">
        <v>28</v>
      </c>
      <c r="G1757" s="19">
        <v>0.62</v>
      </c>
      <c r="H1757" s="19">
        <v>9.48</v>
      </c>
      <c r="I1757" s="18" t="s">
        <v>28</v>
      </c>
      <c r="J1757" s="18" t="s">
        <v>28</v>
      </c>
      <c r="K1757" s="18">
        <v>2.89</v>
      </c>
      <c r="L1757" s="18">
        <v>3.28</v>
      </c>
      <c r="M1757" s="18">
        <v>2.71</v>
      </c>
      <c r="N1757" s="17">
        <v>45051</v>
      </c>
      <c r="O1757" s="15" t="s">
        <v>1639</v>
      </c>
      <c r="P1757" s="16" t="s">
        <v>28</v>
      </c>
      <c r="Q1757" s="15" t="s">
        <v>75</v>
      </c>
      <c r="R1757" s="13" t="str">
        <f>HYPERLINK("https://my.pitchbook.com?c=214499-71T","View Company Online")</f>
        <v>View Company Online</v>
      </c>
    </row>
    <row r="1758" spans="1:18" hidden="1" x14ac:dyDescent="0.3">
      <c r="A1758" s="9" t="s">
        <v>6182</v>
      </c>
      <c r="B1758" s="9" t="s">
        <v>6180</v>
      </c>
      <c r="C1758" s="11" t="s">
        <v>28</v>
      </c>
      <c r="D1758" s="9" t="s">
        <v>6181</v>
      </c>
      <c r="E1758" s="11" t="s">
        <v>28</v>
      </c>
      <c r="F1758" s="10" t="s">
        <v>28</v>
      </c>
      <c r="G1758" s="10">
        <v>2.21</v>
      </c>
      <c r="H1758" s="10">
        <v>16.46</v>
      </c>
      <c r="I1758" s="11" t="s">
        <v>28</v>
      </c>
      <c r="J1758" s="11" t="s">
        <v>28</v>
      </c>
      <c r="K1758" s="11">
        <v>2.89</v>
      </c>
      <c r="L1758" s="11">
        <v>5.69</v>
      </c>
      <c r="M1758" s="11">
        <v>2.71</v>
      </c>
      <c r="N1758" s="8">
        <v>45051</v>
      </c>
      <c r="O1758" s="9" t="s">
        <v>73</v>
      </c>
      <c r="P1758" s="12" t="s">
        <v>6183</v>
      </c>
      <c r="Q1758" s="9" t="s">
        <v>75</v>
      </c>
      <c r="R1758" s="14" t="str">
        <f>HYPERLINK("https://my.pitchbook.com?c=214501-51T","View Company Online")</f>
        <v>View Company Online</v>
      </c>
    </row>
    <row r="1759" spans="1:18" hidden="1" x14ac:dyDescent="0.3">
      <c r="A1759" s="15" t="s">
        <v>6184</v>
      </c>
      <c r="B1759" s="15" t="s">
        <v>6185</v>
      </c>
      <c r="C1759" s="18" t="s">
        <v>28</v>
      </c>
      <c r="D1759" s="15" t="s">
        <v>6186</v>
      </c>
      <c r="E1759" s="18" t="s">
        <v>28</v>
      </c>
      <c r="F1759" s="19" t="s">
        <v>28</v>
      </c>
      <c r="G1759" s="19" t="s">
        <v>28</v>
      </c>
      <c r="H1759" s="19" t="s">
        <v>28</v>
      </c>
      <c r="I1759" s="18" t="s">
        <v>28</v>
      </c>
      <c r="J1759" s="18" t="s">
        <v>28</v>
      </c>
      <c r="K1759" s="18" t="s">
        <v>28</v>
      </c>
      <c r="L1759" s="18" t="s">
        <v>28</v>
      </c>
      <c r="M1759" s="18" t="s">
        <v>28</v>
      </c>
      <c r="N1759" s="17">
        <v>45051</v>
      </c>
      <c r="O1759" s="15" t="s">
        <v>30</v>
      </c>
      <c r="P1759" s="16" t="s">
        <v>6187</v>
      </c>
      <c r="Q1759" s="15" t="s">
        <v>240</v>
      </c>
      <c r="R1759" s="13" t="str">
        <f>HYPERLINK("https://my.pitchbook.com?c=223459-21T","View Company Online")</f>
        <v>View Company Online</v>
      </c>
    </row>
    <row r="1760" spans="1:18" hidden="1" x14ac:dyDescent="0.3">
      <c r="A1760" s="9" t="s">
        <v>6188</v>
      </c>
      <c r="B1760" s="9" t="s">
        <v>6189</v>
      </c>
      <c r="C1760" s="11" t="s">
        <v>28</v>
      </c>
      <c r="D1760" s="9" t="s">
        <v>6190</v>
      </c>
      <c r="E1760" s="11" t="s">
        <v>28</v>
      </c>
      <c r="F1760" s="10" t="s">
        <v>28</v>
      </c>
      <c r="G1760" s="10" t="s">
        <v>28</v>
      </c>
      <c r="H1760" s="10" t="s">
        <v>28</v>
      </c>
      <c r="I1760" s="11" t="s">
        <v>28</v>
      </c>
      <c r="J1760" s="11" t="s">
        <v>28</v>
      </c>
      <c r="K1760" s="11" t="s">
        <v>28</v>
      </c>
      <c r="L1760" s="11" t="s">
        <v>28</v>
      </c>
      <c r="M1760" s="11" t="s">
        <v>28</v>
      </c>
      <c r="N1760" s="8">
        <v>45051</v>
      </c>
      <c r="O1760" s="9" t="s">
        <v>73</v>
      </c>
      <c r="P1760" s="12" t="s">
        <v>611</v>
      </c>
      <c r="Q1760" s="9" t="s">
        <v>1793</v>
      </c>
      <c r="R1760" s="14" t="str">
        <f>HYPERLINK("https://my.pitchbook.com?c=227513-53T","View Company Online")</f>
        <v>View Company Online</v>
      </c>
    </row>
    <row r="1761" spans="1:18" hidden="1" x14ac:dyDescent="0.3">
      <c r="A1761" s="15" t="s">
        <v>6191</v>
      </c>
      <c r="B1761" s="15" t="s">
        <v>6192</v>
      </c>
      <c r="C1761" s="18" t="s">
        <v>28</v>
      </c>
      <c r="D1761" s="15" t="s">
        <v>6193</v>
      </c>
      <c r="E1761" s="18" t="s">
        <v>28</v>
      </c>
      <c r="F1761" s="19" t="s">
        <v>28</v>
      </c>
      <c r="G1761" s="19" t="s">
        <v>28</v>
      </c>
      <c r="H1761" s="19" t="s">
        <v>28</v>
      </c>
      <c r="I1761" s="18" t="s">
        <v>28</v>
      </c>
      <c r="J1761" s="18" t="s">
        <v>28</v>
      </c>
      <c r="K1761" s="18" t="s">
        <v>28</v>
      </c>
      <c r="L1761" s="18" t="s">
        <v>28</v>
      </c>
      <c r="M1761" s="18" t="s">
        <v>28</v>
      </c>
      <c r="N1761" s="17">
        <v>45051</v>
      </c>
      <c r="O1761" s="15" t="s">
        <v>30</v>
      </c>
      <c r="P1761" s="16" t="s">
        <v>6194</v>
      </c>
      <c r="Q1761" s="15" t="s">
        <v>188</v>
      </c>
      <c r="R1761" s="13" t="str">
        <f>HYPERLINK("https://my.pitchbook.com?c=223172-38T","View Company Online")</f>
        <v>View Company Online</v>
      </c>
    </row>
    <row r="1762" spans="1:18" hidden="1" x14ac:dyDescent="0.3">
      <c r="A1762" s="9" t="s">
        <v>6195</v>
      </c>
      <c r="B1762" s="9" t="s">
        <v>6196</v>
      </c>
      <c r="C1762" s="11" t="s">
        <v>28</v>
      </c>
      <c r="D1762" s="9" t="s">
        <v>6197</v>
      </c>
      <c r="E1762" s="11" t="s">
        <v>28</v>
      </c>
      <c r="F1762" s="10" t="s">
        <v>28</v>
      </c>
      <c r="G1762" s="10" t="s">
        <v>28</v>
      </c>
      <c r="H1762" s="10" t="s">
        <v>28</v>
      </c>
      <c r="I1762" s="11" t="s">
        <v>28</v>
      </c>
      <c r="J1762" s="11" t="s">
        <v>28</v>
      </c>
      <c r="K1762" s="11" t="s">
        <v>28</v>
      </c>
      <c r="L1762" s="11" t="s">
        <v>28</v>
      </c>
      <c r="M1762" s="11" t="s">
        <v>28</v>
      </c>
      <c r="N1762" s="8">
        <v>45051</v>
      </c>
      <c r="O1762" s="9" t="s">
        <v>173</v>
      </c>
      <c r="P1762" s="12" t="s">
        <v>28</v>
      </c>
      <c r="Q1762" s="9" t="s">
        <v>240</v>
      </c>
      <c r="R1762" s="14" t="str">
        <f>HYPERLINK("https://my.pitchbook.com?c=223271-29T","View Company Online")</f>
        <v>View Company Online</v>
      </c>
    </row>
    <row r="1763" spans="1:18" hidden="1" x14ac:dyDescent="0.3">
      <c r="A1763" s="15" t="s">
        <v>6198</v>
      </c>
      <c r="B1763" s="15" t="s">
        <v>6199</v>
      </c>
      <c r="C1763" s="18" t="s">
        <v>28</v>
      </c>
      <c r="D1763" s="15" t="s">
        <v>6200</v>
      </c>
      <c r="E1763" s="18" t="s">
        <v>28</v>
      </c>
      <c r="F1763" s="19">
        <v>148.55000000000001</v>
      </c>
      <c r="G1763" s="19">
        <v>133.69999999999999</v>
      </c>
      <c r="H1763" s="19">
        <v>148.55000000000001</v>
      </c>
      <c r="I1763" s="18" t="s">
        <v>28</v>
      </c>
      <c r="J1763" s="18" t="s">
        <v>28</v>
      </c>
      <c r="K1763" s="18" t="s">
        <v>28</v>
      </c>
      <c r="L1763" s="18" t="s">
        <v>28</v>
      </c>
      <c r="M1763" s="18" t="s">
        <v>28</v>
      </c>
      <c r="N1763" s="17">
        <v>45050</v>
      </c>
      <c r="O1763" s="15" t="s">
        <v>41</v>
      </c>
      <c r="P1763" s="16" t="s">
        <v>6201</v>
      </c>
      <c r="Q1763" s="15" t="s">
        <v>566</v>
      </c>
      <c r="R1763" s="13" t="str">
        <f>HYPERLINK("https://my.pitchbook.com?c=198820-63T","View Company Online")</f>
        <v>View Company Online</v>
      </c>
    </row>
    <row r="1764" spans="1:18" hidden="1" x14ac:dyDescent="0.3">
      <c r="A1764" s="9" t="s">
        <v>6202</v>
      </c>
      <c r="B1764" s="9" t="s">
        <v>1181</v>
      </c>
      <c r="C1764" s="11" t="s">
        <v>28</v>
      </c>
      <c r="D1764" s="9" t="s">
        <v>1182</v>
      </c>
      <c r="E1764" s="11" t="s">
        <v>28</v>
      </c>
      <c r="F1764" s="10" t="s">
        <v>28</v>
      </c>
      <c r="G1764" s="10">
        <v>3.39</v>
      </c>
      <c r="H1764" s="10" t="s">
        <v>28</v>
      </c>
      <c r="I1764" s="11" t="s">
        <v>28</v>
      </c>
      <c r="J1764" s="11" t="s">
        <v>28</v>
      </c>
      <c r="K1764" s="11" t="s">
        <v>28</v>
      </c>
      <c r="L1764" s="11" t="s">
        <v>28</v>
      </c>
      <c r="M1764" s="11" t="s">
        <v>28</v>
      </c>
      <c r="N1764" s="8">
        <v>45050</v>
      </c>
      <c r="O1764" s="9" t="s">
        <v>79</v>
      </c>
      <c r="P1764" s="12" t="s">
        <v>6203</v>
      </c>
      <c r="Q1764" s="9" t="s">
        <v>37</v>
      </c>
      <c r="R1764" s="14" t="str">
        <f>HYPERLINK("https://my.pitchbook.com?c=223136-47T","View Company Online")</f>
        <v>View Company Online</v>
      </c>
    </row>
    <row r="1765" spans="1:18" hidden="1" x14ac:dyDescent="0.3">
      <c r="A1765" s="15" t="s">
        <v>6204</v>
      </c>
      <c r="B1765" s="15" t="s">
        <v>6205</v>
      </c>
      <c r="C1765" s="18" t="s">
        <v>28</v>
      </c>
      <c r="D1765" s="15" t="s">
        <v>6206</v>
      </c>
      <c r="E1765" s="18" t="s">
        <v>28</v>
      </c>
      <c r="F1765" s="19" t="s">
        <v>28</v>
      </c>
      <c r="G1765" s="19" t="s">
        <v>28</v>
      </c>
      <c r="H1765" s="19" t="s">
        <v>28</v>
      </c>
      <c r="I1765" s="18" t="s">
        <v>28</v>
      </c>
      <c r="J1765" s="18" t="s">
        <v>28</v>
      </c>
      <c r="K1765" s="18" t="s">
        <v>28</v>
      </c>
      <c r="L1765" s="18" t="s">
        <v>28</v>
      </c>
      <c r="M1765" s="18" t="s">
        <v>28</v>
      </c>
      <c r="N1765" s="17">
        <v>45050</v>
      </c>
      <c r="O1765" s="15" t="s">
        <v>30</v>
      </c>
      <c r="P1765" s="16" t="s">
        <v>4262</v>
      </c>
      <c r="Q1765" s="15" t="s">
        <v>583</v>
      </c>
      <c r="R1765" s="13" t="str">
        <f>HYPERLINK("https://my.pitchbook.com?c=227558-44T","View Company Online")</f>
        <v>View Company Online</v>
      </c>
    </row>
    <row r="1766" spans="1:18" hidden="1" x14ac:dyDescent="0.3">
      <c r="A1766" s="9" t="s">
        <v>6207</v>
      </c>
      <c r="B1766" s="9" t="s">
        <v>6208</v>
      </c>
      <c r="C1766" s="11" t="s">
        <v>28</v>
      </c>
      <c r="D1766" s="9" t="s">
        <v>6209</v>
      </c>
      <c r="E1766" s="11" t="s">
        <v>28</v>
      </c>
      <c r="F1766" s="10" t="s">
        <v>28</v>
      </c>
      <c r="G1766" s="10" t="s">
        <v>28</v>
      </c>
      <c r="H1766" s="10" t="s">
        <v>28</v>
      </c>
      <c r="I1766" s="11" t="s">
        <v>28</v>
      </c>
      <c r="J1766" s="11" t="s">
        <v>28</v>
      </c>
      <c r="K1766" s="11" t="s">
        <v>28</v>
      </c>
      <c r="L1766" s="11" t="s">
        <v>28</v>
      </c>
      <c r="M1766" s="11" t="s">
        <v>28</v>
      </c>
      <c r="N1766" s="8">
        <v>45049</v>
      </c>
      <c r="O1766" s="9" t="s">
        <v>30</v>
      </c>
      <c r="P1766" s="12" t="s">
        <v>6210</v>
      </c>
      <c r="Q1766" s="9" t="s">
        <v>290</v>
      </c>
      <c r="R1766" s="14" t="str">
        <f>HYPERLINK("https://my.pitchbook.com?c=223073-47T","View Company Online")</f>
        <v>View Company Online</v>
      </c>
    </row>
    <row r="1767" spans="1:18" hidden="1" x14ac:dyDescent="0.3">
      <c r="A1767" s="15" t="s">
        <v>6211</v>
      </c>
      <c r="B1767" s="15" t="s">
        <v>6212</v>
      </c>
      <c r="C1767" s="18" t="s">
        <v>28</v>
      </c>
      <c r="D1767" s="15" t="s">
        <v>6213</v>
      </c>
      <c r="E1767" s="18" t="s">
        <v>28</v>
      </c>
      <c r="F1767" s="19" t="s">
        <v>28</v>
      </c>
      <c r="G1767" s="19">
        <v>0.26</v>
      </c>
      <c r="H1767" s="19" t="s">
        <v>28</v>
      </c>
      <c r="I1767" s="18" t="s">
        <v>28</v>
      </c>
      <c r="J1767" s="18" t="s">
        <v>28</v>
      </c>
      <c r="K1767" s="18">
        <v>1.3</v>
      </c>
      <c r="L1767" s="18" t="s">
        <v>28</v>
      </c>
      <c r="M1767" s="18" t="s">
        <v>28</v>
      </c>
      <c r="N1767" s="17">
        <v>45049</v>
      </c>
      <c r="O1767" s="15" t="s">
        <v>99</v>
      </c>
      <c r="P1767" s="16" t="s">
        <v>2032</v>
      </c>
      <c r="Q1767" s="15" t="s">
        <v>414</v>
      </c>
      <c r="R1767" s="13" t="str">
        <f>HYPERLINK("https://my.pitchbook.com?c=241908-67T","View Company Online")</f>
        <v>View Company Online</v>
      </c>
    </row>
    <row r="1768" spans="1:18" hidden="1" x14ac:dyDescent="0.3">
      <c r="A1768" s="9" t="s">
        <v>6214</v>
      </c>
      <c r="B1768" s="9" t="s">
        <v>6215</v>
      </c>
      <c r="C1768" s="11" t="s">
        <v>28</v>
      </c>
      <c r="D1768" s="9" t="s">
        <v>6216</v>
      </c>
      <c r="E1768" s="11" t="s">
        <v>28</v>
      </c>
      <c r="F1768" s="10" t="s">
        <v>28</v>
      </c>
      <c r="G1768" s="10">
        <v>0.7</v>
      </c>
      <c r="H1768" s="10" t="s">
        <v>28</v>
      </c>
      <c r="I1768" s="11" t="s">
        <v>28</v>
      </c>
      <c r="J1768" s="11" t="s">
        <v>28</v>
      </c>
      <c r="K1768" s="11">
        <v>4.0599999999999996</v>
      </c>
      <c r="L1768" s="11" t="s">
        <v>28</v>
      </c>
      <c r="M1768" s="11" t="s">
        <v>28</v>
      </c>
      <c r="N1768" s="8">
        <v>45049</v>
      </c>
      <c r="O1768" s="9" t="s">
        <v>79</v>
      </c>
      <c r="P1768" s="12" t="s">
        <v>6217</v>
      </c>
      <c r="Q1768" s="9" t="s">
        <v>566</v>
      </c>
      <c r="R1768" s="14" t="str">
        <f>HYPERLINK("https://my.pitchbook.com?c=223868-17T","View Company Online")</f>
        <v>View Company Online</v>
      </c>
    </row>
    <row r="1769" spans="1:18" hidden="1" x14ac:dyDescent="0.3">
      <c r="A1769" s="15" t="s">
        <v>6218</v>
      </c>
      <c r="B1769" s="15" t="s">
        <v>6219</v>
      </c>
      <c r="C1769" s="18" t="s">
        <v>28</v>
      </c>
      <c r="D1769" s="15" t="s">
        <v>6220</v>
      </c>
      <c r="E1769" s="18" t="s">
        <v>28</v>
      </c>
      <c r="F1769" s="19" t="s">
        <v>28</v>
      </c>
      <c r="G1769" s="19" t="s">
        <v>28</v>
      </c>
      <c r="H1769" s="19" t="s">
        <v>28</v>
      </c>
      <c r="I1769" s="18" t="s">
        <v>28</v>
      </c>
      <c r="J1769" s="18" t="s">
        <v>28</v>
      </c>
      <c r="K1769" s="18" t="s">
        <v>28</v>
      </c>
      <c r="L1769" s="18" t="s">
        <v>28</v>
      </c>
      <c r="M1769" s="18" t="s">
        <v>28</v>
      </c>
      <c r="N1769" s="17">
        <v>45049</v>
      </c>
      <c r="O1769" s="15" t="s">
        <v>30</v>
      </c>
      <c r="P1769" s="16" t="s">
        <v>6221</v>
      </c>
      <c r="Q1769" s="15" t="s">
        <v>2916</v>
      </c>
      <c r="R1769" s="13" t="str">
        <f>HYPERLINK("https://my.pitchbook.com?c=232749-19T","View Company Online")</f>
        <v>View Company Online</v>
      </c>
    </row>
    <row r="1770" spans="1:18" hidden="1" x14ac:dyDescent="0.3">
      <c r="A1770" s="9" t="s">
        <v>6222</v>
      </c>
      <c r="B1770" s="9" t="s">
        <v>6223</v>
      </c>
      <c r="C1770" s="11" t="s">
        <v>28</v>
      </c>
      <c r="D1770" s="9" t="s">
        <v>6224</v>
      </c>
      <c r="E1770" s="11" t="s">
        <v>28</v>
      </c>
      <c r="F1770" s="10" t="s">
        <v>28</v>
      </c>
      <c r="G1770" s="10" t="s">
        <v>28</v>
      </c>
      <c r="H1770" s="10" t="s">
        <v>28</v>
      </c>
      <c r="I1770" s="11" t="s">
        <v>28</v>
      </c>
      <c r="J1770" s="11" t="s">
        <v>28</v>
      </c>
      <c r="K1770" s="11" t="s">
        <v>28</v>
      </c>
      <c r="L1770" s="11" t="s">
        <v>28</v>
      </c>
      <c r="M1770" s="11" t="s">
        <v>28</v>
      </c>
      <c r="N1770" s="8">
        <v>45048</v>
      </c>
      <c r="O1770" s="9" t="s">
        <v>30</v>
      </c>
      <c r="P1770" s="12" t="s">
        <v>151</v>
      </c>
      <c r="Q1770" s="9" t="s">
        <v>386</v>
      </c>
      <c r="R1770" s="14" t="str">
        <f>HYPERLINK("https://my.pitchbook.com?c=225479-80T","View Company Online")</f>
        <v>View Company Online</v>
      </c>
    </row>
    <row r="1771" spans="1:18" hidden="1" x14ac:dyDescent="0.3">
      <c r="A1771" s="15" t="s">
        <v>6225</v>
      </c>
      <c r="B1771" s="15" t="s">
        <v>6226</v>
      </c>
      <c r="C1771" s="18" t="s">
        <v>28</v>
      </c>
      <c r="D1771" s="15" t="s">
        <v>6227</v>
      </c>
      <c r="E1771" s="18" t="s">
        <v>28</v>
      </c>
      <c r="F1771" s="19">
        <v>3.59</v>
      </c>
      <c r="G1771" s="19">
        <v>3.59</v>
      </c>
      <c r="H1771" s="19">
        <v>3.59</v>
      </c>
      <c r="I1771" s="18" t="s">
        <v>28</v>
      </c>
      <c r="J1771" s="18" t="s">
        <v>28</v>
      </c>
      <c r="K1771" s="18">
        <v>0.97</v>
      </c>
      <c r="L1771" s="18">
        <v>3.71</v>
      </c>
      <c r="M1771" s="18" t="s">
        <v>28</v>
      </c>
      <c r="N1771" s="17">
        <v>45048</v>
      </c>
      <c r="O1771" s="15" t="s">
        <v>30</v>
      </c>
      <c r="P1771" s="16" t="s">
        <v>6228</v>
      </c>
      <c r="Q1771" s="15" t="s">
        <v>1853</v>
      </c>
      <c r="R1771" s="13" t="str">
        <f>HYPERLINK("https://my.pitchbook.com?c=218879-11T","View Company Online")</f>
        <v>View Company Online</v>
      </c>
    </row>
    <row r="1772" spans="1:18" hidden="1" x14ac:dyDescent="0.3">
      <c r="A1772" s="9" t="s">
        <v>6229</v>
      </c>
      <c r="B1772" s="9" t="s">
        <v>6230</v>
      </c>
      <c r="C1772" s="11" t="s">
        <v>28</v>
      </c>
      <c r="D1772" s="9" t="s">
        <v>6231</v>
      </c>
      <c r="E1772" s="11">
        <v>13.57</v>
      </c>
      <c r="F1772" s="10" t="s">
        <v>28</v>
      </c>
      <c r="G1772" s="10" t="s">
        <v>28</v>
      </c>
      <c r="H1772" s="10" t="s">
        <v>28</v>
      </c>
      <c r="I1772" s="11">
        <v>42.99</v>
      </c>
      <c r="J1772" s="11" t="s">
        <v>28</v>
      </c>
      <c r="K1772" s="11">
        <v>272.70999999999998</v>
      </c>
      <c r="L1772" s="11" t="s">
        <v>28</v>
      </c>
      <c r="M1772" s="11">
        <v>-3.41</v>
      </c>
      <c r="N1772" s="8">
        <v>45048</v>
      </c>
      <c r="O1772" s="9" t="s">
        <v>30</v>
      </c>
      <c r="P1772" s="12" t="s">
        <v>6232</v>
      </c>
      <c r="Q1772" s="9" t="s">
        <v>740</v>
      </c>
      <c r="R1772" s="14" t="str">
        <f>HYPERLINK("https://my.pitchbook.com?c=208241-02T","View Company Online")</f>
        <v>View Company Online</v>
      </c>
    </row>
    <row r="1773" spans="1:18" hidden="1" x14ac:dyDescent="0.3">
      <c r="A1773" s="15" t="s">
        <v>6233</v>
      </c>
      <c r="B1773" s="15" t="s">
        <v>6234</v>
      </c>
      <c r="C1773" s="18" t="s">
        <v>28</v>
      </c>
      <c r="D1773" s="15" t="s">
        <v>6235</v>
      </c>
      <c r="E1773" s="18" t="s">
        <v>28</v>
      </c>
      <c r="F1773" s="19">
        <v>99.72</v>
      </c>
      <c r="G1773" s="19" t="s">
        <v>28</v>
      </c>
      <c r="H1773" s="19" t="s">
        <v>28</v>
      </c>
      <c r="I1773" s="18" t="s">
        <v>28</v>
      </c>
      <c r="J1773" s="18" t="s">
        <v>28</v>
      </c>
      <c r="K1773" s="18" t="s">
        <v>28</v>
      </c>
      <c r="L1773" s="18" t="s">
        <v>28</v>
      </c>
      <c r="M1773" s="18" t="s">
        <v>28</v>
      </c>
      <c r="N1773" s="17">
        <v>45048</v>
      </c>
      <c r="O1773" s="15" t="s">
        <v>30</v>
      </c>
      <c r="P1773" s="16" t="s">
        <v>6236</v>
      </c>
      <c r="Q1773" s="15" t="s">
        <v>362</v>
      </c>
      <c r="R1773" s="13" t="str">
        <f>HYPERLINK("https://my.pitchbook.com?c=212862-43T","View Company Online")</f>
        <v>View Company Online</v>
      </c>
    </row>
    <row r="1774" spans="1:18" hidden="1" x14ac:dyDescent="0.3">
      <c r="A1774" s="9" t="s">
        <v>6237</v>
      </c>
      <c r="B1774" s="9" t="s">
        <v>6238</v>
      </c>
      <c r="C1774" s="11" t="s">
        <v>28</v>
      </c>
      <c r="D1774" s="9" t="s">
        <v>6239</v>
      </c>
      <c r="E1774" s="11" t="s">
        <v>28</v>
      </c>
      <c r="F1774" s="10">
        <v>11.22</v>
      </c>
      <c r="G1774" s="10">
        <v>8.9700000000000006</v>
      </c>
      <c r="H1774" s="10">
        <v>11.22</v>
      </c>
      <c r="I1774" s="11" t="s">
        <v>28</v>
      </c>
      <c r="J1774" s="11" t="s">
        <v>28</v>
      </c>
      <c r="K1774" s="11" t="s">
        <v>28</v>
      </c>
      <c r="L1774" s="11" t="s">
        <v>28</v>
      </c>
      <c r="M1774" s="11" t="s">
        <v>28</v>
      </c>
      <c r="N1774" s="8">
        <v>45048</v>
      </c>
      <c r="O1774" s="9" t="s">
        <v>41</v>
      </c>
      <c r="P1774" s="12" t="s">
        <v>6240</v>
      </c>
      <c r="Q1774" s="9" t="s">
        <v>75</v>
      </c>
      <c r="R1774" s="14" t="str">
        <f>HYPERLINK("https://my.pitchbook.com?c=223861-96T","View Company Online")</f>
        <v>View Company Online</v>
      </c>
    </row>
    <row r="1775" spans="1:18" hidden="1" x14ac:dyDescent="0.3">
      <c r="A1775" s="15" t="s">
        <v>6241</v>
      </c>
      <c r="B1775" s="15" t="s">
        <v>6242</v>
      </c>
      <c r="C1775" s="18" t="s">
        <v>28</v>
      </c>
      <c r="D1775" s="15" t="s">
        <v>6243</v>
      </c>
      <c r="E1775" s="18" t="s">
        <v>28</v>
      </c>
      <c r="F1775" s="19" t="s">
        <v>28</v>
      </c>
      <c r="G1775" s="19" t="s">
        <v>28</v>
      </c>
      <c r="H1775" s="19" t="s">
        <v>28</v>
      </c>
      <c r="I1775" s="18" t="s">
        <v>28</v>
      </c>
      <c r="J1775" s="18" t="s">
        <v>28</v>
      </c>
      <c r="K1775" s="18" t="s">
        <v>28</v>
      </c>
      <c r="L1775" s="18" t="s">
        <v>28</v>
      </c>
      <c r="M1775" s="18" t="s">
        <v>28</v>
      </c>
      <c r="N1775" s="17">
        <v>45048</v>
      </c>
      <c r="O1775" s="15" t="s">
        <v>30</v>
      </c>
      <c r="P1775" s="16" t="s">
        <v>6244</v>
      </c>
      <c r="Q1775" s="15" t="s">
        <v>1007</v>
      </c>
      <c r="R1775" s="13" t="str">
        <f>HYPERLINK("https://my.pitchbook.com?c=223467-76T","View Company Online")</f>
        <v>View Company Online</v>
      </c>
    </row>
    <row r="1776" spans="1:18" hidden="1" x14ac:dyDescent="0.3">
      <c r="A1776" s="9" t="s">
        <v>6245</v>
      </c>
      <c r="B1776" s="9" t="s">
        <v>6246</v>
      </c>
      <c r="C1776" s="11" t="s">
        <v>28</v>
      </c>
      <c r="D1776" s="9" t="s">
        <v>6247</v>
      </c>
      <c r="E1776" s="11" t="s">
        <v>28</v>
      </c>
      <c r="F1776" s="10" t="s">
        <v>28</v>
      </c>
      <c r="G1776" s="10" t="s">
        <v>28</v>
      </c>
      <c r="H1776" s="10" t="s">
        <v>28</v>
      </c>
      <c r="I1776" s="11" t="s">
        <v>28</v>
      </c>
      <c r="J1776" s="11" t="s">
        <v>28</v>
      </c>
      <c r="K1776" s="11" t="s">
        <v>28</v>
      </c>
      <c r="L1776" s="11" t="s">
        <v>28</v>
      </c>
      <c r="M1776" s="11" t="s">
        <v>28</v>
      </c>
      <c r="N1776" s="8">
        <v>45047</v>
      </c>
      <c r="O1776" s="9" t="s">
        <v>79</v>
      </c>
      <c r="P1776" s="12" t="s">
        <v>6248</v>
      </c>
      <c r="Q1776" s="9" t="s">
        <v>75</v>
      </c>
      <c r="R1776" s="14" t="str">
        <f>HYPERLINK("https://my.pitchbook.com?c=224128-36T","View Company Online")</f>
        <v>View Company Online</v>
      </c>
    </row>
    <row r="1777" spans="1:18" hidden="1" x14ac:dyDescent="0.3">
      <c r="A1777" s="15" t="s">
        <v>6249</v>
      </c>
      <c r="B1777" s="15" t="s">
        <v>6250</v>
      </c>
      <c r="C1777" s="18" t="s">
        <v>28</v>
      </c>
      <c r="D1777" s="15" t="s">
        <v>6251</v>
      </c>
      <c r="E1777" s="18" t="s">
        <v>28</v>
      </c>
      <c r="F1777" s="19" t="s">
        <v>28</v>
      </c>
      <c r="G1777" s="19" t="s">
        <v>28</v>
      </c>
      <c r="H1777" s="19" t="s">
        <v>28</v>
      </c>
      <c r="I1777" s="18" t="s">
        <v>28</v>
      </c>
      <c r="J1777" s="18" t="s">
        <v>28</v>
      </c>
      <c r="K1777" s="18" t="s">
        <v>28</v>
      </c>
      <c r="L1777" s="18" t="s">
        <v>28</v>
      </c>
      <c r="M1777" s="18" t="s">
        <v>28</v>
      </c>
      <c r="N1777" s="17">
        <v>45047</v>
      </c>
      <c r="O1777" s="15" t="s">
        <v>30</v>
      </c>
      <c r="P1777" s="16" t="s">
        <v>6252</v>
      </c>
      <c r="Q1777" s="15" t="s">
        <v>136</v>
      </c>
      <c r="R1777" s="13" t="str">
        <f>HYPERLINK("https://my.pitchbook.com?c=222851-62T","View Company Online")</f>
        <v>View Company Online</v>
      </c>
    </row>
    <row r="1778" spans="1:18" hidden="1" x14ac:dyDescent="0.3">
      <c r="A1778" s="9" t="s">
        <v>6253</v>
      </c>
      <c r="B1778" s="9" t="s">
        <v>6254</v>
      </c>
      <c r="C1778" s="11" t="s">
        <v>28</v>
      </c>
      <c r="D1778" s="9" t="s">
        <v>6255</v>
      </c>
      <c r="E1778" s="11" t="s">
        <v>28</v>
      </c>
      <c r="F1778" s="10" t="s">
        <v>28</v>
      </c>
      <c r="G1778" s="10" t="s">
        <v>28</v>
      </c>
      <c r="H1778" s="10" t="s">
        <v>28</v>
      </c>
      <c r="I1778" s="11" t="s">
        <v>28</v>
      </c>
      <c r="J1778" s="11" t="s">
        <v>28</v>
      </c>
      <c r="K1778" s="11" t="s">
        <v>28</v>
      </c>
      <c r="L1778" s="11" t="s">
        <v>28</v>
      </c>
      <c r="M1778" s="11" t="s">
        <v>28</v>
      </c>
      <c r="N1778" s="8">
        <v>45047</v>
      </c>
      <c r="O1778" s="9" t="s">
        <v>30</v>
      </c>
      <c r="P1778" s="12" t="s">
        <v>28</v>
      </c>
      <c r="Q1778" s="9" t="s">
        <v>136</v>
      </c>
      <c r="R1778" s="14" t="str">
        <f>HYPERLINK("https://my.pitchbook.com?c=244323-01T","View Company Online")</f>
        <v>View Company Online</v>
      </c>
    </row>
    <row r="1779" spans="1:18" hidden="1" x14ac:dyDescent="0.3">
      <c r="A1779" s="15" t="s">
        <v>6256</v>
      </c>
      <c r="B1779" s="15" t="s">
        <v>4211</v>
      </c>
      <c r="C1779" s="18" t="s">
        <v>28</v>
      </c>
      <c r="D1779" s="15" t="s">
        <v>4212</v>
      </c>
      <c r="E1779" s="18" t="s">
        <v>28</v>
      </c>
      <c r="F1779" s="19" t="s">
        <v>28</v>
      </c>
      <c r="G1779" s="19" t="s">
        <v>28</v>
      </c>
      <c r="H1779" s="19" t="s">
        <v>28</v>
      </c>
      <c r="I1779" s="18" t="s">
        <v>28</v>
      </c>
      <c r="J1779" s="18" t="s">
        <v>28</v>
      </c>
      <c r="K1779" s="18" t="s">
        <v>28</v>
      </c>
      <c r="L1779" s="18" t="s">
        <v>28</v>
      </c>
      <c r="M1779" s="18" t="s">
        <v>28</v>
      </c>
      <c r="N1779" s="17">
        <v>45047</v>
      </c>
      <c r="O1779" s="15" t="s">
        <v>79</v>
      </c>
      <c r="P1779" s="16" t="s">
        <v>6257</v>
      </c>
      <c r="Q1779" s="15" t="s">
        <v>386</v>
      </c>
      <c r="R1779" s="13" t="str">
        <f>HYPERLINK("https://my.pitchbook.com?c=250343-83T","View Company Online")</f>
        <v>View Company Online</v>
      </c>
    </row>
    <row r="1780" spans="1:18" hidden="1" x14ac:dyDescent="0.3">
      <c r="A1780" s="9" t="s">
        <v>6258</v>
      </c>
      <c r="B1780" s="9" t="s">
        <v>6259</v>
      </c>
      <c r="C1780" s="11" t="s">
        <v>28</v>
      </c>
      <c r="D1780" s="9" t="s">
        <v>6260</v>
      </c>
      <c r="E1780" s="11" t="s">
        <v>28</v>
      </c>
      <c r="F1780" s="10" t="s">
        <v>28</v>
      </c>
      <c r="G1780" s="10" t="s">
        <v>28</v>
      </c>
      <c r="H1780" s="10" t="s">
        <v>28</v>
      </c>
      <c r="I1780" s="11" t="s">
        <v>28</v>
      </c>
      <c r="J1780" s="11" t="s">
        <v>28</v>
      </c>
      <c r="K1780" s="11" t="s">
        <v>28</v>
      </c>
      <c r="L1780" s="11" t="s">
        <v>28</v>
      </c>
      <c r="M1780" s="11" t="s">
        <v>28</v>
      </c>
      <c r="N1780" s="8">
        <v>45047</v>
      </c>
      <c r="O1780" s="9" t="s">
        <v>73</v>
      </c>
      <c r="P1780" s="12" t="s">
        <v>2338</v>
      </c>
      <c r="Q1780" s="9" t="s">
        <v>75</v>
      </c>
      <c r="R1780" s="14" t="str">
        <f>HYPERLINK("https://my.pitchbook.com?c=225008-20T","View Company Online")</f>
        <v>View Company Online</v>
      </c>
    </row>
    <row r="1781" spans="1:18" hidden="1" x14ac:dyDescent="0.3">
      <c r="A1781" s="15" t="s">
        <v>6261</v>
      </c>
      <c r="B1781" s="15" t="s">
        <v>6262</v>
      </c>
      <c r="C1781" s="18" t="s">
        <v>28</v>
      </c>
      <c r="D1781" s="15" t="s">
        <v>6263</v>
      </c>
      <c r="E1781" s="18" t="s">
        <v>28</v>
      </c>
      <c r="F1781" s="19" t="s">
        <v>28</v>
      </c>
      <c r="G1781" s="19">
        <v>0.5</v>
      </c>
      <c r="H1781" s="19" t="s">
        <v>28</v>
      </c>
      <c r="I1781" s="18" t="s">
        <v>28</v>
      </c>
      <c r="J1781" s="18" t="s">
        <v>28</v>
      </c>
      <c r="K1781" s="18">
        <v>1.03</v>
      </c>
      <c r="L1781" s="18" t="s">
        <v>28</v>
      </c>
      <c r="M1781" s="18" t="s">
        <v>28</v>
      </c>
      <c r="N1781" s="17">
        <v>45047</v>
      </c>
      <c r="O1781" s="15" t="s">
        <v>73</v>
      </c>
      <c r="P1781" s="16" t="s">
        <v>6264</v>
      </c>
      <c r="Q1781" s="15" t="s">
        <v>75</v>
      </c>
      <c r="R1781" s="13" t="str">
        <f>HYPERLINK("https://my.pitchbook.com?c=232185-25T","View Company Online")</f>
        <v>View Company Online</v>
      </c>
    </row>
    <row r="1782" spans="1:18" hidden="1" x14ac:dyDescent="0.3">
      <c r="A1782" s="9" t="s">
        <v>6265</v>
      </c>
      <c r="B1782" s="9" t="s">
        <v>6266</v>
      </c>
      <c r="C1782" s="11" t="s">
        <v>28</v>
      </c>
      <c r="D1782" s="9" t="s">
        <v>6267</v>
      </c>
      <c r="E1782" s="11" t="s">
        <v>28</v>
      </c>
      <c r="F1782" s="10" t="s">
        <v>28</v>
      </c>
      <c r="G1782" s="10" t="s">
        <v>28</v>
      </c>
      <c r="H1782" s="10" t="s">
        <v>28</v>
      </c>
      <c r="I1782" s="11" t="s">
        <v>28</v>
      </c>
      <c r="J1782" s="11" t="s">
        <v>28</v>
      </c>
      <c r="K1782" s="11" t="s">
        <v>28</v>
      </c>
      <c r="L1782" s="11" t="s">
        <v>28</v>
      </c>
      <c r="M1782" s="11" t="s">
        <v>28</v>
      </c>
      <c r="N1782" s="8">
        <v>45047</v>
      </c>
      <c r="O1782" s="9" t="s">
        <v>73</v>
      </c>
      <c r="P1782" s="12" t="s">
        <v>123</v>
      </c>
      <c r="Q1782" s="9" t="s">
        <v>362</v>
      </c>
      <c r="R1782" s="14" t="str">
        <f>HYPERLINK("https://my.pitchbook.com?c=224346-61T","View Company Online")</f>
        <v>View Company Online</v>
      </c>
    </row>
    <row r="1783" spans="1:18" hidden="1" x14ac:dyDescent="0.3">
      <c r="A1783" s="15" t="s">
        <v>6268</v>
      </c>
      <c r="B1783" s="15" t="s">
        <v>6269</v>
      </c>
      <c r="C1783" s="18" t="s">
        <v>28</v>
      </c>
      <c r="D1783" s="15" t="s">
        <v>6270</v>
      </c>
      <c r="E1783" s="18" t="s">
        <v>28</v>
      </c>
      <c r="F1783" s="19" t="s">
        <v>28</v>
      </c>
      <c r="G1783" s="19" t="s">
        <v>28</v>
      </c>
      <c r="H1783" s="19" t="s">
        <v>28</v>
      </c>
      <c r="I1783" s="18" t="s">
        <v>28</v>
      </c>
      <c r="J1783" s="18" t="s">
        <v>28</v>
      </c>
      <c r="K1783" s="18" t="s">
        <v>28</v>
      </c>
      <c r="L1783" s="18" t="s">
        <v>28</v>
      </c>
      <c r="M1783" s="18" t="s">
        <v>28</v>
      </c>
      <c r="N1783" s="17">
        <v>45047</v>
      </c>
      <c r="O1783" s="15" t="s">
        <v>52</v>
      </c>
      <c r="P1783" s="16" t="s">
        <v>6271</v>
      </c>
      <c r="Q1783" s="15" t="s">
        <v>75</v>
      </c>
      <c r="R1783" s="13" t="str">
        <f>HYPERLINK("https://my.pitchbook.com?c=264043-18T","View Company Online")</f>
        <v>View Company Online</v>
      </c>
    </row>
    <row r="1784" spans="1:18" hidden="1" x14ac:dyDescent="0.3">
      <c r="A1784" s="9" t="s">
        <v>6272</v>
      </c>
      <c r="B1784" s="9" t="s">
        <v>6273</v>
      </c>
      <c r="C1784" s="11" t="s">
        <v>28</v>
      </c>
      <c r="D1784" s="9" t="s">
        <v>6274</v>
      </c>
      <c r="E1784" s="11" t="s">
        <v>28</v>
      </c>
      <c r="F1784" s="10" t="s">
        <v>28</v>
      </c>
      <c r="G1784" s="10" t="s">
        <v>28</v>
      </c>
      <c r="H1784" s="10" t="s">
        <v>28</v>
      </c>
      <c r="I1784" s="11" t="s">
        <v>28</v>
      </c>
      <c r="J1784" s="11" t="s">
        <v>28</v>
      </c>
      <c r="K1784" s="11" t="s">
        <v>28</v>
      </c>
      <c r="L1784" s="11" t="s">
        <v>28</v>
      </c>
      <c r="M1784" s="11" t="s">
        <v>28</v>
      </c>
      <c r="N1784" s="8">
        <v>45047</v>
      </c>
      <c r="O1784" s="9" t="s">
        <v>41</v>
      </c>
      <c r="P1784" s="12" t="s">
        <v>6275</v>
      </c>
      <c r="Q1784" s="9" t="s">
        <v>1051</v>
      </c>
      <c r="R1784" s="14" t="str">
        <f>HYPERLINK("https://my.pitchbook.com?c=247647-88T","View Company Online")</f>
        <v>View Company Online</v>
      </c>
    </row>
    <row r="1785" spans="1:18" hidden="1" x14ac:dyDescent="0.3">
      <c r="A1785" s="15" t="s">
        <v>6276</v>
      </c>
      <c r="B1785" s="15" t="s">
        <v>6277</v>
      </c>
      <c r="C1785" s="18" t="s">
        <v>28</v>
      </c>
      <c r="D1785" s="15" t="s">
        <v>6278</v>
      </c>
      <c r="E1785" s="18" t="s">
        <v>28</v>
      </c>
      <c r="F1785" s="19" t="s">
        <v>28</v>
      </c>
      <c r="G1785" s="19" t="s">
        <v>28</v>
      </c>
      <c r="H1785" s="19" t="s">
        <v>28</v>
      </c>
      <c r="I1785" s="18" t="s">
        <v>28</v>
      </c>
      <c r="J1785" s="18" t="s">
        <v>28</v>
      </c>
      <c r="K1785" s="18" t="s">
        <v>28</v>
      </c>
      <c r="L1785" s="18" t="s">
        <v>28</v>
      </c>
      <c r="M1785" s="18" t="s">
        <v>28</v>
      </c>
      <c r="N1785" s="17">
        <v>45047</v>
      </c>
      <c r="O1785" s="15" t="s">
        <v>30</v>
      </c>
      <c r="P1785" s="16" t="s">
        <v>457</v>
      </c>
      <c r="Q1785" s="15" t="s">
        <v>75</v>
      </c>
      <c r="R1785" s="13" t="str">
        <f>HYPERLINK("https://my.pitchbook.com?c=208744-12T","View Company Online")</f>
        <v>View Company Online</v>
      </c>
    </row>
    <row r="1786" spans="1:18" hidden="1" x14ac:dyDescent="0.3">
      <c r="A1786" s="9" t="s">
        <v>6279</v>
      </c>
      <c r="B1786" s="9" t="s">
        <v>6280</v>
      </c>
      <c r="C1786" s="11" t="s">
        <v>28</v>
      </c>
      <c r="D1786" s="9" t="s">
        <v>6281</v>
      </c>
      <c r="E1786" s="11" t="s">
        <v>28</v>
      </c>
      <c r="F1786" s="10" t="s">
        <v>28</v>
      </c>
      <c r="G1786" s="10" t="s">
        <v>28</v>
      </c>
      <c r="H1786" s="10" t="s">
        <v>28</v>
      </c>
      <c r="I1786" s="11" t="s">
        <v>28</v>
      </c>
      <c r="J1786" s="11" t="s">
        <v>28</v>
      </c>
      <c r="K1786" s="11" t="s">
        <v>28</v>
      </c>
      <c r="L1786" s="11" t="s">
        <v>28</v>
      </c>
      <c r="M1786" s="11" t="s">
        <v>28</v>
      </c>
      <c r="N1786" s="8">
        <v>45047</v>
      </c>
      <c r="O1786" s="9" t="s">
        <v>73</v>
      </c>
      <c r="P1786" s="12" t="s">
        <v>6282</v>
      </c>
      <c r="Q1786" s="9" t="s">
        <v>75</v>
      </c>
      <c r="R1786" s="14" t="str">
        <f>HYPERLINK("https://my.pitchbook.com?c=215814-43T","View Company Online")</f>
        <v>View Company Online</v>
      </c>
    </row>
    <row r="1787" spans="1:18" hidden="1" x14ac:dyDescent="0.3">
      <c r="A1787" s="15" t="s">
        <v>6283</v>
      </c>
      <c r="B1787" s="15" t="s">
        <v>6284</v>
      </c>
      <c r="C1787" s="18" t="s">
        <v>28</v>
      </c>
      <c r="D1787" s="15" t="s">
        <v>6285</v>
      </c>
      <c r="E1787" s="18" t="s">
        <v>28</v>
      </c>
      <c r="F1787" s="19" t="s">
        <v>28</v>
      </c>
      <c r="G1787" s="19" t="s">
        <v>28</v>
      </c>
      <c r="H1787" s="19" t="s">
        <v>28</v>
      </c>
      <c r="I1787" s="18" t="s">
        <v>28</v>
      </c>
      <c r="J1787" s="18" t="s">
        <v>28</v>
      </c>
      <c r="K1787" s="18" t="s">
        <v>28</v>
      </c>
      <c r="L1787" s="18" t="s">
        <v>28</v>
      </c>
      <c r="M1787" s="18" t="s">
        <v>28</v>
      </c>
      <c r="N1787" s="17">
        <v>45047</v>
      </c>
      <c r="O1787" s="15" t="s">
        <v>30</v>
      </c>
      <c r="P1787" s="16" t="s">
        <v>6286</v>
      </c>
      <c r="Q1787" s="15" t="s">
        <v>75</v>
      </c>
      <c r="R1787" s="13" t="str">
        <f>HYPERLINK("https://my.pitchbook.com?c=267670-54T","View Company Online")</f>
        <v>View Company Online</v>
      </c>
    </row>
    <row r="1788" spans="1:18" hidden="1" x14ac:dyDescent="0.3">
      <c r="A1788" s="9" t="s">
        <v>6287</v>
      </c>
      <c r="B1788" s="9" t="s">
        <v>6288</v>
      </c>
      <c r="C1788" s="11" t="s">
        <v>28</v>
      </c>
      <c r="D1788" s="9" t="s">
        <v>6289</v>
      </c>
      <c r="E1788" s="11" t="s">
        <v>28</v>
      </c>
      <c r="F1788" s="10" t="s">
        <v>28</v>
      </c>
      <c r="G1788" s="10" t="s">
        <v>28</v>
      </c>
      <c r="H1788" s="10" t="s">
        <v>28</v>
      </c>
      <c r="I1788" s="11" t="s">
        <v>28</v>
      </c>
      <c r="J1788" s="11" t="s">
        <v>28</v>
      </c>
      <c r="K1788" s="11" t="s">
        <v>28</v>
      </c>
      <c r="L1788" s="11" t="s">
        <v>28</v>
      </c>
      <c r="M1788" s="11">
        <v>6.6</v>
      </c>
      <c r="N1788" s="8">
        <v>45047</v>
      </c>
      <c r="O1788" s="9" t="s">
        <v>79</v>
      </c>
      <c r="P1788" s="12" t="s">
        <v>6290</v>
      </c>
      <c r="Q1788" s="9" t="s">
        <v>37</v>
      </c>
      <c r="R1788" s="14" t="str">
        <f>HYPERLINK("https://my.pitchbook.com?c=224242-66T","View Company Online")</f>
        <v>View Company Online</v>
      </c>
    </row>
    <row r="1789" spans="1:18" hidden="1" x14ac:dyDescent="0.3">
      <c r="A1789" s="15" t="s">
        <v>6291</v>
      </c>
      <c r="B1789" s="15" t="s">
        <v>6292</v>
      </c>
      <c r="C1789" s="18" t="s">
        <v>28</v>
      </c>
      <c r="D1789" s="15" t="s">
        <v>6293</v>
      </c>
      <c r="E1789" s="18" t="s">
        <v>28</v>
      </c>
      <c r="F1789" s="19" t="s">
        <v>28</v>
      </c>
      <c r="G1789" s="19">
        <v>99.65</v>
      </c>
      <c r="H1789" s="19" t="s">
        <v>28</v>
      </c>
      <c r="I1789" s="18" t="s">
        <v>28</v>
      </c>
      <c r="J1789" s="18" t="s">
        <v>28</v>
      </c>
      <c r="K1789" s="18">
        <v>251.57</v>
      </c>
      <c r="L1789" s="18" t="s">
        <v>28</v>
      </c>
      <c r="M1789" s="18" t="s">
        <v>28</v>
      </c>
      <c r="N1789" s="17">
        <v>45047</v>
      </c>
      <c r="O1789" s="15" t="s">
        <v>974</v>
      </c>
      <c r="P1789" s="16" t="s">
        <v>28</v>
      </c>
      <c r="Q1789" s="15" t="s">
        <v>1088</v>
      </c>
      <c r="R1789" s="13" t="str">
        <f>HYPERLINK("https://my.pitchbook.com?c=192835-09T","View Company Online")</f>
        <v>View Company Online</v>
      </c>
    </row>
    <row r="1790" spans="1:18" hidden="1" x14ac:dyDescent="0.3">
      <c r="A1790" s="9" t="s">
        <v>6294</v>
      </c>
      <c r="B1790" s="9" t="s">
        <v>6295</v>
      </c>
      <c r="C1790" s="11" t="s">
        <v>28</v>
      </c>
      <c r="D1790" s="9" t="s">
        <v>6296</v>
      </c>
      <c r="E1790" s="11" t="s">
        <v>28</v>
      </c>
      <c r="F1790" s="10" t="s">
        <v>28</v>
      </c>
      <c r="G1790" s="10" t="s">
        <v>28</v>
      </c>
      <c r="H1790" s="10" t="s">
        <v>28</v>
      </c>
      <c r="I1790" s="11" t="s">
        <v>28</v>
      </c>
      <c r="J1790" s="11" t="s">
        <v>28</v>
      </c>
      <c r="K1790" s="11" t="s">
        <v>28</v>
      </c>
      <c r="L1790" s="11" t="s">
        <v>28</v>
      </c>
      <c r="M1790" s="11" t="s">
        <v>28</v>
      </c>
      <c r="N1790" s="8">
        <v>45047</v>
      </c>
      <c r="O1790" s="9" t="s">
        <v>93</v>
      </c>
      <c r="P1790" s="12" t="s">
        <v>6297</v>
      </c>
      <c r="Q1790" s="9" t="s">
        <v>85</v>
      </c>
      <c r="R1790" s="14" t="str">
        <f>HYPERLINK("https://my.pitchbook.com?c=223542-55T","View Company Online")</f>
        <v>View Company Online</v>
      </c>
    </row>
    <row r="1791" spans="1:18" hidden="1" x14ac:dyDescent="0.3">
      <c r="A1791" s="15" t="s">
        <v>6298</v>
      </c>
      <c r="B1791" s="15" t="s">
        <v>6299</v>
      </c>
      <c r="C1791" s="18" t="s">
        <v>28</v>
      </c>
      <c r="D1791" s="15" t="s">
        <v>6300</v>
      </c>
      <c r="E1791" s="18" t="s">
        <v>28</v>
      </c>
      <c r="F1791" s="19" t="s">
        <v>28</v>
      </c>
      <c r="G1791" s="19" t="s">
        <v>28</v>
      </c>
      <c r="H1791" s="19" t="s">
        <v>28</v>
      </c>
      <c r="I1791" s="18">
        <v>0.18</v>
      </c>
      <c r="J1791" s="18" t="s">
        <v>28</v>
      </c>
      <c r="K1791" s="18">
        <v>1.5</v>
      </c>
      <c r="L1791" s="18" t="s">
        <v>28</v>
      </c>
      <c r="M1791" s="18">
        <v>0.17</v>
      </c>
      <c r="N1791" s="17">
        <v>45046</v>
      </c>
      <c r="O1791" s="15" t="s">
        <v>99</v>
      </c>
      <c r="P1791" s="16" t="s">
        <v>6301</v>
      </c>
      <c r="Q1791" s="15" t="s">
        <v>37</v>
      </c>
      <c r="R1791" s="13" t="str">
        <f>HYPERLINK("https://my.pitchbook.com?c=220120-93T","View Company Online")</f>
        <v>View Company Online</v>
      </c>
    </row>
    <row r="1792" spans="1:18" hidden="1" x14ac:dyDescent="0.3">
      <c r="A1792" s="9" t="s">
        <v>6302</v>
      </c>
      <c r="B1792" s="9" t="s">
        <v>6303</v>
      </c>
      <c r="C1792" s="11" t="s">
        <v>28</v>
      </c>
      <c r="D1792" s="9" t="s">
        <v>6304</v>
      </c>
      <c r="E1792" s="11" t="s">
        <v>28</v>
      </c>
      <c r="F1792" s="10" t="s">
        <v>28</v>
      </c>
      <c r="G1792" s="10">
        <v>2.98</v>
      </c>
      <c r="H1792" s="10" t="s">
        <v>28</v>
      </c>
      <c r="I1792" s="11" t="s">
        <v>28</v>
      </c>
      <c r="J1792" s="11" t="s">
        <v>28</v>
      </c>
      <c r="K1792" s="11" t="s">
        <v>28</v>
      </c>
      <c r="L1792" s="11" t="s">
        <v>28</v>
      </c>
      <c r="M1792" s="11" t="s">
        <v>28</v>
      </c>
      <c r="N1792" s="8">
        <v>45044</v>
      </c>
      <c r="O1792" s="9" t="s">
        <v>79</v>
      </c>
      <c r="P1792" s="12" t="s">
        <v>6305</v>
      </c>
      <c r="Q1792" s="9" t="s">
        <v>105</v>
      </c>
      <c r="R1792" s="14" t="str">
        <f>HYPERLINK("https://my.pitchbook.com?c=221446-18T","View Company Online")</f>
        <v>View Company Online</v>
      </c>
    </row>
    <row r="1793" spans="1:18" hidden="1" x14ac:dyDescent="0.3">
      <c r="A1793" s="15" t="s">
        <v>6306</v>
      </c>
      <c r="B1793" s="15" t="s">
        <v>6307</v>
      </c>
      <c r="C1793" s="18" t="s">
        <v>28</v>
      </c>
      <c r="D1793" s="15" t="s">
        <v>6308</v>
      </c>
      <c r="E1793" s="18" t="s">
        <v>28</v>
      </c>
      <c r="F1793" s="19" t="s">
        <v>28</v>
      </c>
      <c r="G1793" s="19" t="s">
        <v>28</v>
      </c>
      <c r="H1793" s="19" t="s">
        <v>28</v>
      </c>
      <c r="I1793" s="18" t="s">
        <v>28</v>
      </c>
      <c r="J1793" s="18" t="s">
        <v>28</v>
      </c>
      <c r="K1793" s="18" t="s">
        <v>28</v>
      </c>
      <c r="L1793" s="18" t="s">
        <v>28</v>
      </c>
      <c r="M1793" s="18" t="s">
        <v>28</v>
      </c>
      <c r="N1793" s="17">
        <v>45044</v>
      </c>
      <c r="O1793" s="15" t="s">
        <v>52</v>
      </c>
      <c r="P1793" s="16" t="s">
        <v>2830</v>
      </c>
      <c r="Q1793" s="15" t="s">
        <v>75</v>
      </c>
      <c r="R1793" s="13" t="str">
        <f>HYPERLINK("https://my.pitchbook.com?c=293627-26T","View Company Online")</f>
        <v>View Company Online</v>
      </c>
    </row>
    <row r="1794" spans="1:18" hidden="1" x14ac:dyDescent="0.3">
      <c r="A1794" s="9" t="s">
        <v>6309</v>
      </c>
      <c r="B1794" s="9" t="s">
        <v>6310</v>
      </c>
      <c r="C1794" s="11" t="s">
        <v>28</v>
      </c>
      <c r="D1794" s="9" t="s">
        <v>6311</v>
      </c>
      <c r="E1794" s="11" t="s">
        <v>28</v>
      </c>
      <c r="F1794" s="10" t="s">
        <v>28</v>
      </c>
      <c r="G1794" s="10" t="s">
        <v>28</v>
      </c>
      <c r="H1794" s="10" t="s">
        <v>28</v>
      </c>
      <c r="I1794" s="11" t="s">
        <v>28</v>
      </c>
      <c r="J1794" s="11" t="s">
        <v>28</v>
      </c>
      <c r="K1794" s="11" t="s">
        <v>28</v>
      </c>
      <c r="L1794" s="11" t="s">
        <v>28</v>
      </c>
      <c r="M1794" s="11" t="s">
        <v>28</v>
      </c>
      <c r="N1794" s="8">
        <v>45044</v>
      </c>
      <c r="O1794" s="9" t="s">
        <v>30</v>
      </c>
      <c r="P1794" s="12" t="s">
        <v>1647</v>
      </c>
      <c r="Q1794" s="9" t="s">
        <v>880</v>
      </c>
      <c r="R1794" s="14" t="str">
        <f>HYPERLINK("https://my.pitchbook.com?c=222998-68T","View Company Online")</f>
        <v>View Company Online</v>
      </c>
    </row>
    <row r="1795" spans="1:18" hidden="1" x14ac:dyDescent="0.3">
      <c r="A1795" s="15" t="s">
        <v>6312</v>
      </c>
      <c r="B1795" s="15" t="s">
        <v>6313</v>
      </c>
      <c r="C1795" s="18" t="s">
        <v>28</v>
      </c>
      <c r="D1795" s="15" t="s">
        <v>6314</v>
      </c>
      <c r="E1795" s="18" t="s">
        <v>28</v>
      </c>
      <c r="F1795" s="19">
        <v>477.18</v>
      </c>
      <c r="G1795" s="19">
        <v>238.59</v>
      </c>
      <c r="H1795" s="19">
        <v>477.18</v>
      </c>
      <c r="I1795" s="18" t="s">
        <v>28</v>
      </c>
      <c r="J1795" s="18" t="s">
        <v>28</v>
      </c>
      <c r="K1795" s="18" t="s">
        <v>28</v>
      </c>
      <c r="L1795" s="18" t="s">
        <v>28</v>
      </c>
      <c r="M1795" s="18" t="s">
        <v>28</v>
      </c>
      <c r="N1795" s="17">
        <v>45044</v>
      </c>
      <c r="O1795" s="15" t="s">
        <v>30</v>
      </c>
      <c r="P1795" s="16" t="s">
        <v>6315</v>
      </c>
      <c r="Q1795" s="15" t="s">
        <v>348</v>
      </c>
      <c r="R1795" s="13" t="str">
        <f>HYPERLINK("https://my.pitchbook.com?c=221406-85T","View Company Online")</f>
        <v>View Company Online</v>
      </c>
    </row>
    <row r="1796" spans="1:18" hidden="1" x14ac:dyDescent="0.3">
      <c r="A1796" s="9" t="s">
        <v>6316</v>
      </c>
      <c r="B1796" s="9" t="s">
        <v>401</v>
      </c>
      <c r="C1796" s="11" t="s">
        <v>28</v>
      </c>
      <c r="D1796" s="9" t="s">
        <v>402</v>
      </c>
      <c r="E1796" s="11" t="s">
        <v>28</v>
      </c>
      <c r="F1796" s="10" t="s">
        <v>28</v>
      </c>
      <c r="G1796" s="10" t="s">
        <v>28</v>
      </c>
      <c r="H1796" s="10" t="s">
        <v>28</v>
      </c>
      <c r="I1796" s="11" t="s">
        <v>28</v>
      </c>
      <c r="J1796" s="11" t="s">
        <v>28</v>
      </c>
      <c r="K1796" s="11">
        <v>1.45</v>
      </c>
      <c r="L1796" s="11" t="s">
        <v>28</v>
      </c>
      <c r="M1796" s="11" t="s">
        <v>28</v>
      </c>
      <c r="N1796" s="8">
        <v>45044</v>
      </c>
      <c r="O1796" s="9" t="s">
        <v>52</v>
      </c>
      <c r="P1796" s="12" t="s">
        <v>2830</v>
      </c>
      <c r="Q1796" s="9" t="s">
        <v>404</v>
      </c>
      <c r="R1796" s="14" t="str">
        <f>HYPERLINK("https://my.pitchbook.com?c=263335-24T","View Company Online")</f>
        <v>View Company Online</v>
      </c>
    </row>
    <row r="1797" spans="1:18" hidden="1" x14ac:dyDescent="0.3">
      <c r="A1797" s="15" t="s">
        <v>6317</v>
      </c>
      <c r="B1797" s="15" t="s">
        <v>3009</v>
      </c>
      <c r="C1797" s="18" t="s">
        <v>28</v>
      </c>
      <c r="D1797" s="15" t="s">
        <v>3010</v>
      </c>
      <c r="E1797" s="18" t="s">
        <v>28</v>
      </c>
      <c r="F1797" s="19" t="s">
        <v>28</v>
      </c>
      <c r="G1797" s="19">
        <v>60</v>
      </c>
      <c r="H1797" s="19">
        <v>385</v>
      </c>
      <c r="I1797" s="18" t="s">
        <v>28</v>
      </c>
      <c r="J1797" s="18" t="s">
        <v>28</v>
      </c>
      <c r="K1797" s="18">
        <v>10.5</v>
      </c>
      <c r="L1797" s="18">
        <v>36.67</v>
      </c>
      <c r="M1797" s="18" t="s">
        <v>28</v>
      </c>
      <c r="N1797" s="17">
        <v>45042</v>
      </c>
      <c r="O1797" s="15" t="s">
        <v>73</v>
      </c>
      <c r="P1797" s="16" t="s">
        <v>6318</v>
      </c>
      <c r="Q1797" s="15" t="s">
        <v>37</v>
      </c>
      <c r="R1797" s="13" t="str">
        <f>HYPERLINK("https://my.pitchbook.com?c=213419-35T","View Company Online")</f>
        <v>View Company Online</v>
      </c>
    </row>
    <row r="1798" spans="1:18" hidden="1" x14ac:dyDescent="0.3">
      <c r="A1798" s="9" t="s">
        <v>6319</v>
      </c>
      <c r="B1798" s="9" t="s">
        <v>5449</v>
      </c>
      <c r="C1798" s="11" t="s">
        <v>28</v>
      </c>
      <c r="D1798" s="9" t="s">
        <v>5450</v>
      </c>
      <c r="E1798" s="11" t="s">
        <v>28</v>
      </c>
      <c r="F1798" s="10" t="s">
        <v>28</v>
      </c>
      <c r="G1798" s="10">
        <v>0.16</v>
      </c>
      <c r="H1798" s="10" t="s">
        <v>28</v>
      </c>
      <c r="I1798" s="11" t="s">
        <v>28</v>
      </c>
      <c r="J1798" s="11" t="s">
        <v>28</v>
      </c>
      <c r="K1798" s="11" t="s">
        <v>28</v>
      </c>
      <c r="L1798" s="11" t="s">
        <v>28</v>
      </c>
      <c r="M1798" s="11" t="s">
        <v>28</v>
      </c>
      <c r="N1798" s="8">
        <v>45042</v>
      </c>
      <c r="O1798" s="9" t="s">
        <v>379</v>
      </c>
      <c r="P1798" s="12" t="s">
        <v>28</v>
      </c>
      <c r="Q1798" s="9" t="s">
        <v>37</v>
      </c>
      <c r="R1798" s="14" t="str">
        <f>HYPERLINK("https://my.pitchbook.com?c=228755-98T","View Company Online")</f>
        <v>View Company Online</v>
      </c>
    </row>
    <row r="1799" spans="1:18" hidden="1" x14ac:dyDescent="0.3">
      <c r="A1799" s="15" t="s">
        <v>6320</v>
      </c>
      <c r="B1799" s="15" t="s">
        <v>2771</v>
      </c>
      <c r="C1799" s="18" t="s">
        <v>28</v>
      </c>
      <c r="D1799" s="15" t="s">
        <v>2772</v>
      </c>
      <c r="E1799" s="18" t="s">
        <v>28</v>
      </c>
      <c r="F1799" s="19" t="s">
        <v>28</v>
      </c>
      <c r="G1799" s="19">
        <v>2.1800000000000002</v>
      </c>
      <c r="H1799" s="19" t="s">
        <v>28</v>
      </c>
      <c r="I1799" s="18" t="s">
        <v>28</v>
      </c>
      <c r="J1799" s="18" t="s">
        <v>28</v>
      </c>
      <c r="K1799" s="18" t="s">
        <v>28</v>
      </c>
      <c r="L1799" s="18" t="s">
        <v>28</v>
      </c>
      <c r="M1799" s="18" t="s">
        <v>28</v>
      </c>
      <c r="N1799" s="17">
        <v>45042</v>
      </c>
      <c r="O1799" s="15" t="s">
        <v>379</v>
      </c>
      <c r="P1799" s="16" t="s">
        <v>28</v>
      </c>
      <c r="Q1799" s="15" t="s">
        <v>696</v>
      </c>
      <c r="R1799" s="13" t="str">
        <f>HYPERLINK("https://my.pitchbook.com?c=221276-80T","View Company Online")</f>
        <v>View Company Online</v>
      </c>
    </row>
    <row r="1800" spans="1:18" hidden="1" x14ac:dyDescent="0.3">
      <c r="A1800" s="9" t="s">
        <v>6321</v>
      </c>
      <c r="B1800" s="9" t="s">
        <v>3192</v>
      </c>
      <c r="C1800" s="11" t="s">
        <v>28</v>
      </c>
      <c r="D1800" s="9" t="s">
        <v>3193</v>
      </c>
      <c r="E1800" s="11" t="s">
        <v>28</v>
      </c>
      <c r="F1800" s="10" t="s">
        <v>28</v>
      </c>
      <c r="G1800" s="10">
        <v>1.5</v>
      </c>
      <c r="H1800" s="10" t="s">
        <v>28</v>
      </c>
      <c r="I1800" s="11" t="s">
        <v>28</v>
      </c>
      <c r="J1800" s="11" t="s">
        <v>28</v>
      </c>
      <c r="K1800" s="11" t="s">
        <v>28</v>
      </c>
      <c r="L1800" s="11" t="s">
        <v>28</v>
      </c>
      <c r="M1800" s="11" t="s">
        <v>28</v>
      </c>
      <c r="N1800" s="8">
        <v>45042</v>
      </c>
      <c r="O1800" s="9" t="s">
        <v>79</v>
      </c>
      <c r="P1800" s="12" t="s">
        <v>28</v>
      </c>
      <c r="Q1800" s="9" t="s">
        <v>114</v>
      </c>
      <c r="R1800" s="14" t="str">
        <f>HYPERLINK("https://my.pitchbook.com?c=221268-52T","View Company Online")</f>
        <v>View Company Online</v>
      </c>
    </row>
    <row r="1801" spans="1:18" hidden="1" x14ac:dyDescent="0.3">
      <c r="A1801" s="15" t="s">
        <v>6322</v>
      </c>
      <c r="B1801" s="15" t="s">
        <v>6323</v>
      </c>
      <c r="C1801" s="18" t="s">
        <v>28</v>
      </c>
      <c r="D1801" s="15" t="s">
        <v>6324</v>
      </c>
      <c r="E1801" s="18" t="s">
        <v>28</v>
      </c>
      <c r="F1801" s="19" t="s">
        <v>28</v>
      </c>
      <c r="G1801" s="19" t="s">
        <v>28</v>
      </c>
      <c r="H1801" s="19" t="s">
        <v>28</v>
      </c>
      <c r="I1801" s="18" t="s">
        <v>28</v>
      </c>
      <c r="J1801" s="18" t="s">
        <v>28</v>
      </c>
      <c r="K1801" s="18" t="s">
        <v>28</v>
      </c>
      <c r="L1801" s="18" t="s">
        <v>28</v>
      </c>
      <c r="M1801" s="18" t="s">
        <v>28</v>
      </c>
      <c r="N1801" s="17">
        <v>45042</v>
      </c>
      <c r="O1801" s="15" t="s">
        <v>52</v>
      </c>
      <c r="P1801" s="16" t="s">
        <v>1970</v>
      </c>
      <c r="Q1801" s="15" t="s">
        <v>75</v>
      </c>
      <c r="R1801" s="13" t="str">
        <f>HYPERLINK("https://my.pitchbook.com?c=295576-66T","View Company Online")</f>
        <v>View Company Online</v>
      </c>
    </row>
    <row r="1802" spans="1:18" hidden="1" x14ac:dyDescent="0.3">
      <c r="A1802" s="9" t="s">
        <v>6325</v>
      </c>
      <c r="B1802" s="9" t="s">
        <v>6326</v>
      </c>
      <c r="C1802" s="11" t="s">
        <v>28</v>
      </c>
      <c r="D1802" s="9" t="s">
        <v>6327</v>
      </c>
      <c r="E1802" s="11" t="s">
        <v>28</v>
      </c>
      <c r="F1802" s="10" t="s">
        <v>28</v>
      </c>
      <c r="G1802" s="10">
        <v>21.79</v>
      </c>
      <c r="H1802" s="10" t="s">
        <v>28</v>
      </c>
      <c r="I1802" s="11" t="s">
        <v>28</v>
      </c>
      <c r="J1802" s="11" t="s">
        <v>28</v>
      </c>
      <c r="K1802" s="11" t="s">
        <v>28</v>
      </c>
      <c r="L1802" s="11" t="s">
        <v>28</v>
      </c>
      <c r="M1802" s="11" t="s">
        <v>28</v>
      </c>
      <c r="N1802" s="8">
        <v>45041</v>
      </c>
      <c r="O1802" s="9" t="s">
        <v>79</v>
      </c>
      <c r="P1802" s="12" t="s">
        <v>6328</v>
      </c>
      <c r="Q1802" s="9" t="s">
        <v>37</v>
      </c>
      <c r="R1802" s="14" t="str">
        <f>HYPERLINK("https://my.pitchbook.com?c=221131-18T","View Company Online")</f>
        <v>View Company Online</v>
      </c>
    </row>
    <row r="1803" spans="1:18" x14ac:dyDescent="0.3">
      <c r="A1803" s="15" t="s">
        <v>6329</v>
      </c>
      <c r="B1803" s="15" t="s">
        <v>6330</v>
      </c>
      <c r="C1803" s="18">
        <v>2.57</v>
      </c>
      <c r="D1803" s="15" t="s">
        <v>6331</v>
      </c>
      <c r="E1803" s="18" t="s">
        <v>28</v>
      </c>
      <c r="F1803" s="19">
        <v>18.43</v>
      </c>
      <c r="G1803" s="19">
        <v>18.43</v>
      </c>
      <c r="H1803" s="19">
        <v>18.43</v>
      </c>
      <c r="I1803" s="18">
        <v>7.16</v>
      </c>
      <c r="J1803" s="18">
        <v>2.57</v>
      </c>
      <c r="K1803" s="18">
        <v>44.51</v>
      </c>
      <c r="L1803" s="18">
        <v>0.41</v>
      </c>
      <c r="M1803" s="18" t="s">
        <v>28</v>
      </c>
      <c r="N1803" s="17">
        <v>45041</v>
      </c>
      <c r="O1803" s="15" t="s">
        <v>30</v>
      </c>
      <c r="P1803" s="16" t="s">
        <v>6332</v>
      </c>
      <c r="Q1803" s="15" t="s">
        <v>85</v>
      </c>
      <c r="R1803" s="13" t="str">
        <f>HYPERLINK("https://my.pitchbook.com?c=221312-44T","View Company Online")</f>
        <v>View Company Online</v>
      </c>
    </row>
    <row r="1804" spans="1:18" hidden="1" x14ac:dyDescent="0.3">
      <c r="A1804" s="9" t="s">
        <v>6333</v>
      </c>
      <c r="B1804" s="9" t="s">
        <v>6334</v>
      </c>
      <c r="C1804" s="11" t="s">
        <v>28</v>
      </c>
      <c r="D1804" s="9" t="s">
        <v>6335</v>
      </c>
      <c r="E1804" s="11" t="s">
        <v>28</v>
      </c>
      <c r="F1804" s="10" t="s">
        <v>28</v>
      </c>
      <c r="G1804" s="10" t="s">
        <v>28</v>
      </c>
      <c r="H1804" s="10" t="s">
        <v>28</v>
      </c>
      <c r="I1804" s="11" t="s">
        <v>28</v>
      </c>
      <c r="J1804" s="11" t="s">
        <v>28</v>
      </c>
      <c r="K1804" s="11" t="s">
        <v>28</v>
      </c>
      <c r="L1804" s="11" t="s">
        <v>28</v>
      </c>
      <c r="M1804" s="11" t="s">
        <v>28</v>
      </c>
      <c r="N1804" s="8">
        <v>45041</v>
      </c>
      <c r="O1804" s="9" t="s">
        <v>30</v>
      </c>
      <c r="P1804" s="12" t="s">
        <v>6336</v>
      </c>
      <c r="Q1804" s="9" t="s">
        <v>1793</v>
      </c>
      <c r="R1804" s="14" t="str">
        <f>HYPERLINK("https://my.pitchbook.com?c=222618-79T","View Company Online")</f>
        <v>View Company Online</v>
      </c>
    </row>
    <row r="1805" spans="1:18" hidden="1" x14ac:dyDescent="0.3">
      <c r="A1805" s="15" t="s">
        <v>6337</v>
      </c>
      <c r="B1805" s="15" t="s">
        <v>6338</v>
      </c>
      <c r="C1805" s="18" t="s">
        <v>28</v>
      </c>
      <c r="D1805" s="15" t="s">
        <v>6339</v>
      </c>
      <c r="E1805" s="18" t="s">
        <v>28</v>
      </c>
      <c r="F1805" s="19" t="s">
        <v>28</v>
      </c>
      <c r="G1805" s="19" t="s">
        <v>28</v>
      </c>
      <c r="H1805" s="19" t="s">
        <v>28</v>
      </c>
      <c r="I1805" s="18" t="s">
        <v>28</v>
      </c>
      <c r="J1805" s="18" t="s">
        <v>28</v>
      </c>
      <c r="K1805" s="18" t="s">
        <v>28</v>
      </c>
      <c r="L1805" s="18" t="s">
        <v>28</v>
      </c>
      <c r="M1805" s="18" t="s">
        <v>28</v>
      </c>
      <c r="N1805" s="17">
        <v>45041</v>
      </c>
      <c r="O1805" s="15" t="s">
        <v>30</v>
      </c>
      <c r="P1805" s="16" t="s">
        <v>2671</v>
      </c>
      <c r="Q1805" s="15" t="s">
        <v>285</v>
      </c>
      <c r="R1805" s="13" t="str">
        <f>HYPERLINK("https://my.pitchbook.com?c=244152-91T","View Company Online")</f>
        <v>View Company Online</v>
      </c>
    </row>
    <row r="1806" spans="1:18" hidden="1" x14ac:dyDescent="0.3">
      <c r="A1806" s="9" t="s">
        <v>6340</v>
      </c>
      <c r="B1806" s="9" t="s">
        <v>6341</v>
      </c>
      <c r="C1806" s="11" t="s">
        <v>28</v>
      </c>
      <c r="D1806" s="9" t="s">
        <v>6342</v>
      </c>
      <c r="E1806" s="11" t="s">
        <v>28</v>
      </c>
      <c r="F1806" s="10" t="s">
        <v>28</v>
      </c>
      <c r="G1806" s="10" t="s">
        <v>28</v>
      </c>
      <c r="H1806" s="10" t="s">
        <v>28</v>
      </c>
      <c r="I1806" s="11" t="s">
        <v>28</v>
      </c>
      <c r="J1806" s="11" t="s">
        <v>28</v>
      </c>
      <c r="K1806" s="11" t="s">
        <v>28</v>
      </c>
      <c r="L1806" s="11" t="s">
        <v>28</v>
      </c>
      <c r="M1806" s="11" t="s">
        <v>28</v>
      </c>
      <c r="N1806" s="8">
        <v>45041</v>
      </c>
      <c r="O1806" s="9" t="s">
        <v>30</v>
      </c>
      <c r="P1806" s="12" t="s">
        <v>6343</v>
      </c>
      <c r="Q1806" s="9" t="s">
        <v>37</v>
      </c>
      <c r="R1806" s="14" t="str">
        <f>HYPERLINK("https://my.pitchbook.com?c=221143-51T","View Company Online")</f>
        <v>View Company Online</v>
      </c>
    </row>
    <row r="1807" spans="1:18" hidden="1" x14ac:dyDescent="0.3">
      <c r="A1807" s="15" t="s">
        <v>6344</v>
      </c>
      <c r="B1807" s="15" t="s">
        <v>6345</v>
      </c>
      <c r="C1807" s="18" t="s">
        <v>28</v>
      </c>
      <c r="D1807" s="15" t="s">
        <v>6346</v>
      </c>
      <c r="E1807" s="18" t="s">
        <v>28</v>
      </c>
      <c r="F1807" s="19" t="s">
        <v>28</v>
      </c>
      <c r="G1807" s="19">
        <v>1.0900000000000001</v>
      </c>
      <c r="H1807" s="19" t="s">
        <v>28</v>
      </c>
      <c r="I1807" s="18" t="s">
        <v>28</v>
      </c>
      <c r="J1807" s="18" t="s">
        <v>28</v>
      </c>
      <c r="K1807" s="18" t="s">
        <v>28</v>
      </c>
      <c r="L1807" s="18" t="s">
        <v>28</v>
      </c>
      <c r="M1807" s="18" t="s">
        <v>28</v>
      </c>
      <c r="N1807" s="17">
        <v>45041</v>
      </c>
      <c r="O1807" s="15" t="s">
        <v>79</v>
      </c>
      <c r="P1807" s="16" t="s">
        <v>6347</v>
      </c>
      <c r="Q1807" s="15" t="s">
        <v>6348</v>
      </c>
      <c r="R1807" s="13" t="str">
        <f>HYPERLINK("https://my.pitchbook.com?c=289455-67T","View Company Online")</f>
        <v>View Company Online</v>
      </c>
    </row>
    <row r="1808" spans="1:18" hidden="1" x14ac:dyDescent="0.3">
      <c r="A1808" s="9" t="s">
        <v>6349</v>
      </c>
      <c r="B1808" s="9" t="s">
        <v>773</v>
      </c>
      <c r="C1808" s="11" t="s">
        <v>28</v>
      </c>
      <c r="D1808" s="9" t="s">
        <v>6350</v>
      </c>
      <c r="E1808" s="11" t="s">
        <v>28</v>
      </c>
      <c r="F1808" s="10" t="s">
        <v>28</v>
      </c>
      <c r="G1808" s="10" t="s">
        <v>28</v>
      </c>
      <c r="H1808" s="10" t="s">
        <v>28</v>
      </c>
      <c r="I1808" s="11" t="s">
        <v>28</v>
      </c>
      <c r="J1808" s="11" t="s">
        <v>28</v>
      </c>
      <c r="K1808" s="11" t="s">
        <v>28</v>
      </c>
      <c r="L1808" s="11" t="s">
        <v>28</v>
      </c>
      <c r="M1808" s="11" t="s">
        <v>28</v>
      </c>
      <c r="N1808" s="8">
        <v>45041</v>
      </c>
      <c r="O1808" s="9" t="s">
        <v>79</v>
      </c>
      <c r="P1808" s="12" t="s">
        <v>6351</v>
      </c>
      <c r="Q1808" s="9" t="s">
        <v>37</v>
      </c>
      <c r="R1808" s="14" t="str">
        <f>HYPERLINK("https://my.pitchbook.com?c=227906-74T","View Company Online")</f>
        <v>View Company Online</v>
      </c>
    </row>
    <row r="1809" spans="1:18" hidden="1" x14ac:dyDescent="0.3">
      <c r="A1809" s="15" t="s">
        <v>6352</v>
      </c>
      <c r="B1809" s="15" t="s">
        <v>6353</v>
      </c>
      <c r="C1809" s="18" t="s">
        <v>28</v>
      </c>
      <c r="D1809" s="15" t="s">
        <v>6354</v>
      </c>
      <c r="E1809" s="18" t="s">
        <v>28</v>
      </c>
      <c r="F1809" s="19" t="s">
        <v>28</v>
      </c>
      <c r="G1809" s="19">
        <v>5.5</v>
      </c>
      <c r="H1809" s="19" t="s">
        <v>28</v>
      </c>
      <c r="I1809" s="18" t="s">
        <v>28</v>
      </c>
      <c r="J1809" s="18" t="s">
        <v>28</v>
      </c>
      <c r="K1809" s="18" t="s">
        <v>28</v>
      </c>
      <c r="L1809" s="18" t="s">
        <v>28</v>
      </c>
      <c r="M1809" s="18" t="s">
        <v>28</v>
      </c>
      <c r="N1809" s="17">
        <v>45040</v>
      </c>
      <c r="O1809" s="15" t="s">
        <v>73</v>
      </c>
      <c r="P1809" s="16" t="s">
        <v>6355</v>
      </c>
      <c r="Q1809" s="15" t="s">
        <v>6356</v>
      </c>
      <c r="R1809" s="13" t="str">
        <f>HYPERLINK("https://my.pitchbook.com?c=221056-48T","View Company Online")</f>
        <v>View Company Online</v>
      </c>
    </row>
    <row r="1810" spans="1:18" hidden="1" x14ac:dyDescent="0.3">
      <c r="A1810" s="9" t="s">
        <v>6357</v>
      </c>
      <c r="B1810" s="9" t="s">
        <v>3439</v>
      </c>
      <c r="C1810" s="11" t="s">
        <v>28</v>
      </c>
      <c r="D1810" s="9" t="s">
        <v>3440</v>
      </c>
      <c r="E1810" s="11" t="s">
        <v>28</v>
      </c>
      <c r="F1810" s="10" t="s">
        <v>28</v>
      </c>
      <c r="G1810" s="10" t="s">
        <v>28</v>
      </c>
      <c r="H1810" s="10" t="s">
        <v>28</v>
      </c>
      <c r="I1810" s="11" t="s">
        <v>28</v>
      </c>
      <c r="J1810" s="11" t="s">
        <v>28</v>
      </c>
      <c r="K1810" s="11" t="s">
        <v>28</v>
      </c>
      <c r="L1810" s="11" t="s">
        <v>28</v>
      </c>
      <c r="M1810" s="11" t="s">
        <v>28</v>
      </c>
      <c r="N1810" s="8">
        <v>45040</v>
      </c>
      <c r="O1810" s="9" t="s">
        <v>73</v>
      </c>
      <c r="P1810" s="12" t="s">
        <v>611</v>
      </c>
      <c r="Q1810" s="9" t="s">
        <v>75</v>
      </c>
      <c r="R1810" s="14" t="str">
        <f>HYPERLINK("https://my.pitchbook.com?c=227484-01T","View Company Online")</f>
        <v>View Company Online</v>
      </c>
    </row>
    <row r="1811" spans="1:18" hidden="1" x14ac:dyDescent="0.3">
      <c r="A1811" s="15" t="s">
        <v>6358</v>
      </c>
      <c r="B1811" s="15" t="s">
        <v>6359</v>
      </c>
      <c r="C1811" s="18" t="s">
        <v>28</v>
      </c>
      <c r="D1811" s="15" t="s">
        <v>6360</v>
      </c>
      <c r="E1811" s="18" t="s">
        <v>28</v>
      </c>
      <c r="F1811" s="19" t="s">
        <v>28</v>
      </c>
      <c r="G1811" s="19" t="s">
        <v>28</v>
      </c>
      <c r="H1811" s="19" t="s">
        <v>28</v>
      </c>
      <c r="I1811" s="18" t="s">
        <v>28</v>
      </c>
      <c r="J1811" s="18" t="s">
        <v>28</v>
      </c>
      <c r="K1811" s="18" t="s">
        <v>28</v>
      </c>
      <c r="L1811" s="18" t="s">
        <v>28</v>
      </c>
      <c r="M1811" s="18" t="s">
        <v>28</v>
      </c>
      <c r="N1811" s="17">
        <v>45036</v>
      </c>
      <c r="O1811" s="15" t="s">
        <v>30</v>
      </c>
      <c r="P1811" s="16" t="s">
        <v>2119</v>
      </c>
      <c r="Q1811" s="15" t="s">
        <v>75</v>
      </c>
      <c r="R1811" s="13" t="str">
        <f>HYPERLINK("https://my.pitchbook.com?c=226172-71T","View Company Online")</f>
        <v>View Company Online</v>
      </c>
    </row>
    <row r="1812" spans="1:18" hidden="1" x14ac:dyDescent="0.3">
      <c r="A1812" s="9" t="s">
        <v>6361</v>
      </c>
      <c r="B1812" s="9" t="s">
        <v>6362</v>
      </c>
      <c r="C1812" s="11" t="s">
        <v>28</v>
      </c>
      <c r="D1812" s="9" t="s">
        <v>6363</v>
      </c>
      <c r="E1812" s="11" t="s">
        <v>28</v>
      </c>
      <c r="F1812" s="10">
        <v>92.48</v>
      </c>
      <c r="G1812" s="10">
        <v>92.48</v>
      </c>
      <c r="H1812" s="10">
        <v>92.48</v>
      </c>
      <c r="I1812" s="11" t="s">
        <v>28</v>
      </c>
      <c r="J1812" s="11" t="s">
        <v>28</v>
      </c>
      <c r="K1812" s="11" t="s">
        <v>28</v>
      </c>
      <c r="L1812" s="11" t="s">
        <v>28</v>
      </c>
      <c r="M1812" s="11" t="s">
        <v>28</v>
      </c>
      <c r="N1812" s="8">
        <v>45036</v>
      </c>
      <c r="O1812" s="9" t="s">
        <v>30</v>
      </c>
      <c r="P1812" s="12" t="s">
        <v>6364</v>
      </c>
      <c r="Q1812" s="9" t="s">
        <v>114</v>
      </c>
      <c r="R1812" s="14" t="str">
        <f>HYPERLINK("https://my.pitchbook.com?c=220889-08T","View Company Online")</f>
        <v>View Company Online</v>
      </c>
    </row>
    <row r="1813" spans="1:18" hidden="1" x14ac:dyDescent="0.3">
      <c r="A1813" s="15" t="s">
        <v>6365</v>
      </c>
      <c r="B1813" s="15" t="s">
        <v>2897</v>
      </c>
      <c r="C1813" s="18" t="s">
        <v>28</v>
      </c>
      <c r="D1813" s="15" t="s">
        <v>2898</v>
      </c>
      <c r="E1813" s="18" t="s">
        <v>28</v>
      </c>
      <c r="F1813" s="19" t="s">
        <v>28</v>
      </c>
      <c r="G1813" s="19" t="s">
        <v>28</v>
      </c>
      <c r="H1813" s="19" t="s">
        <v>28</v>
      </c>
      <c r="I1813" s="18" t="s">
        <v>28</v>
      </c>
      <c r="J1813" s="18" t="s">
        <v>28</v>
      </c>
      <c r="K1813" s="18" t="s">
        <v>28</v>
      </c>
      <c r="L1813" s="18" t="s">
        <v>28</v>
      </c>
      <c r="M1813" s="18" t="s">
        <v>28</v>
      </c>
      <c r="N1813" s="17">
        <v>45036</v>
      </c>
      <c r="O1813" s="15" t="s">
        <v>99</v>
      </c>
      <c r="P1813" s="16" t="s">
        <v>28</v>
      </c>
      <c r="Q1813" s="15" t="s">
        <v>75</v>
      </c>
      <c r="R1813" s="13" t="str">
        <f>HYPERLINK("https://my.pitchbook.com?c=226313-65T","View Company Online")</f>
        <v>View Company Online</v>
      </c>
    </row>
    <row r="1814" spans="1:18" hidden="1" x14ac:dyDescent="0.3">
      <c r="A1814" s="9" t="s">
        <v>6366</v>
      </c>
      <c r="B1814" s="9" t="s">
        <v>6367</v>
      </c>
      <c r="C1814" s="11" t="s">
        <v>28</v>
      </c>
      <c r="D1814" s="9" t="s">
        <v>6368</v>
      </c>
      <c r="E1814" s="11" t="s">
        <v>28</v>
      </c>
      <c r="F1814" s="10">
        <v>26</v>
      </c>
      <c r="G1814" s="10">
        <v>26</v>
      </c>
      <c r="H1814" s="10">
        <v>26</v>
      </c>
      <c r="I1814" s="11" t="s">
        <v>28</v>
      </c>
      <c r="J1814" s="11" t="s">
        <v>28</v>
      </c>
      <c r="K1814" s="11" t="s">
        <v>28</v>
      </c>
      <c r="L1814" s="11" t="s">
        <v>28</v>
      </c>
      <c r="M1814" s="11" t="s">
        <v>28</v>
      </c>
      <c r="N1814" s="8">
        <v>45035</v>
      </c>
      <c r="O1814" s="9" t="s">
        <v>30</v>
      </c>
      <c r="P1814" s="12" t="s">
        <v>6369</v>
      </c>
      <c r="Q1814" s="9" t="s">
        <v>419</v>
      </c>
      <c r="R1814" s="14" t="str">
        <f>HYPERLINK("https://my.pitchbook.com?c=220866-31T","View Company Online")</f>
        <v>View Company Online</v>
      </c>
    </row>
    <row r="1815" spans="1:18" hidden="1" x14ac:dyDescent="0.3">
      <c r="A1815" s="15" t="s">
        <v>6370</v>
      </c>
      <c r="B1815" s="15" t="s">
        <v>1846</v>
      </c>
      <c r="C1815" s="18" t="s">
        <v>28</v>
      </c>
      <c r="D1815" s="15" t="s">
        <v>1847</v>
      </c>
      <c r="E1815" s="18" t="s">
        <v>28</v>
      </c>
      <c r="F1815" s="19" t="s">
        <v>28</v>
      </c>
      <c r="G1815" s="19" t="s">
        <v>28</v>
      </c>
      <c r="H1815" s="19" t="s">
        <v>28</v>
      </c>
      <c r="I1815" s="18" t="s">
        <v>28</v>
      </c>
      <c r="J1815" s="18" t="s">
        <v>28</v>
      </c>
      <c r="K1815" s="18" t="s">
        <v>28</v>
      </c>
      <c r="L1815" s="18" t="s">
        <v>28</v>
      </c>
      <c r="M1815" s="18" t="s">
        <v>28</v>
      </c>
      <c r="N1815" s="17">
        <v>45035</v>
      </c>
      <c r="O1815" s="15" t="s">
        <v>79</v>
      </c>
      <c r="P1815" s="16" t="s">
        <v>611</v>
      </c>
      <c r="Q1815" s="15" t="s">
        <v>75</v>
      </c>
      <c r="R1815" s="13" t="str">
        <f>HYPERLINK("https://my.pitchbook.com?c=227483-38T","View Company Online")</f>
        <v>View Company Online</v>
      </c>
    </row>
    <row r="1816" spans="1:18" hidden="1" x14ac:dyDescent="0.3">
      <c r="A1816" s="9" t="s">
        <v>6371</v>
      </c>
      <c r="B1816" s="9" t="s">
        <v>6372</v>
      </c>
      <c r="C1816" s="11" t="s">
        <v>28</v>
      </c>
      <c r="D1816" s="9" t="s">
        <v>6373</v>
      </c>
      <c r="E1816" s="11" t="s">
        <v>28</v>
      </c>
      <c r="F1816" s="10" t="s">
        <v>28</v>
      </c>
      <c r="G1816" s="10" t="s">
        <v>28</v>
      </c>
      <c r="H1816" s="10" t="s">
        <v>28</v>
      </c>
      <c r="I1816" s="11" t="s">
        <v>28</v>
      </c>
      <c r="J1816" s="11" t="s">
        <v>28</v>
      </c>
      <c r="K1816" s="11" t="s">
        <v>28</v>
      </c>
      <c r="L1816" s="11" t="s">
        <v>28</v>
      </c>
      <c r="M1816" s="11" t="s">
        <v>28</v>
      </c>
      <c r="N1816" s="8">
        <v>45035</v>
      </c>
      <c r="O1816" s="9" t="s">
        <v>173</v>
      </c>
      <c r="P1816" s="12" t="s">
        <v>28</v>
      </c>
      <c r="Q1816" s="9" t="s">
        <v>240</v>
      </c>
      <c r="R1816" s="14" t="str">
        <f>HYPERLINK("https://my.pitchbook.com?c=227791-63T","View Company Online")</f>
        <v>View Company Online</v>
      </c>
    </row>
    <row r="1817" spans="1:18" hidden="1" x14ac:dyDescent="0.3">
      <c r="A1817" s="15" t="s">
        <v>6374</v>
      </c>
      <c r="B1817" s="15" t="s">
        <v>6375</v>
      </c>
      <c r="C1817" s="18" t="s">
        <v>28</v>
      </c>
      <c r="D1817" s="15" t="s">
        <v>6376</v>
      </c>
      <c r="E1817" s="18" t="s">
        <v>28</v>
      </c>
      <c r="F1817" s="19">
        <v>3.5</v>
      </c>
      <c r="G1817" s="19">
        <v>3.5</v>
      </c>
      <c r="H1817" s="19">
        <v>3.5</v>
      </c>
      <c r="I1817" s="18" t="s">
        <v>28</v>
      </c>
      <c r="J1817" s="18" t="s">
        <v>28</v>
      </c>
      <c r="K1817" s="18" t="s">
        <v>28</v>
      </c>
      <c r="L1817" s="18" t="s">
        <v>28</v>
      </c>
      <c r="M1817" s="18" t="s">
        <v>28</v>
      </c>
      <c r="N1817" s="17">
        <v>45035</v>
      </c>
      <c r="O1817" s="15" t="s">
        <v>30</v>
      </c>
      <c r="P1817" s="16" t="s">
        <v>6377</v>
      </c>
      <c r="Q1817" s="15" t="s">
        <v>6378</v>
      </c>
      <c r="R1817" s="13" t="str">
        <f>HYPERLINK("https://my.pitchbook.com?c=221479-12T","View Company Online")</f>
        <v>View Company Online</v>
      </c>
    </row>
    <row r="1818" spans="1:18" hidden="1" x14ac:dyDescent="0.3">
      <c r="A1818" s="9" t="s">
        <v>6379</v>
      </c>
      <c r="B1818" s="9" t="s">
        <v>6380</v>
      </c>
      <c r="C1818" s="11" t="s">
        <v>28</v>
      </c>
      <c r="D1818" s="9" t="s">
        <v>6381</v>
      </c>
      <c r="E1818" s="11" t="s">
        <v>28</v>
      </c>
      <c r="F1818" s="10">
        <v>2585.9699999999998</v>
      </c>
      <c r="G1818" s="10">
        <v>2585.9699999999998</v>
      </c>
      <c r="H1818" s="10">
        <v>2585.9699999999998</v>
      </c>
      <c r="I1818" s="11" t="s">
        <v>28</v>
      </c>
      <c r="J1818" s="11" t="s">
        <v>28</v>
      </c>
      <c r="K1818" s="11" t="s">
        <v>28</v>
      </c>
      <c r="L1818" s="11" t="s">
        <v>28</v>
      </c>
      <c r="M1818" s="11" t="s">
        <v>28</v>
      </c>
      <c r="N1818" s="8">
        <v>45034</v>
      </c>
      <c r="O1818" s="9" t="s">
        <v>30</v>
      </c>
      <c r="P1818" s="12" t="s">
        <v>6382</v>
      </c>
      <c r="Q1818" s="9" t="s">
        <v>1035</v>
      </c>
      <c r="R1818" s="14" t="str">
        <f>HYPERLINK("https://my.pitchbook.com?c=215659-90T","View Company Online")</f>
        <v>View Company Online</v>
      </c>
    </row>
    <row r="1819" spans="1:18" hidden="1" x14ac:dyDescent="0.3">
      <c r="A1819" s="15" t="s">
        <v>6383</v>
      </c>
      <c r="B1819" s="15" t="s">
        <v>6384</v>
      </c>
      <c r="C1819" s="18" t="s">
        <v>28</v>
      </c>
      <c r="D1819" s="15" t="s">
        <v>6385</v>
      </c>
      <c r="E1819" s="18" t="s">
        <v>28</v>
      </c>
      <c r="F1819" s="19" t="s">
        <v>28</v>
      </c>
      <c r="G1819" s="19" t="s">
        <v>28</v>
      </c>
      <c r="H1819" s="19" t="s">
        <v>28</v>
      </c>
      <c r="I1819" s="18" t="s">
        <v>28</v>
      </c>
      <c r="J1819" s="18" t="s">
        <v>28</v>
      </c>
      <c r="K1819" s="18" t="s">
        <v>28</v>
      </c>
      <c r="L1819" s="18" t="s">
        <v>28</v>
      </c>
      <c r="M1819" s="18" t="s">
        <v>28</v>
      </c>
      <c r="N1819" s="17">
        <v>45034</v>
      </c>
      <c r="O1819" s="15" t="s">
        <v>79</v>
      </c>
      <c r="P1819" s="16" t="s">
        <v>611</v>
      </c>
      <c r="Q1819" s="15" t="s">
        <v>419</v>
      </c>
      <c r="R1819" s="13" t="str">
        <f>HYPERLINK("https://my.pitchbook.com?c=220043-80T","View Company Online")</f>
        <v>View Company Online</v>
      </c>
    </row>
    <row r="1820" spans="1:18" hidden="1" x14ac:dyDescent="0.3">
      <c r="A1820" s="9" t="s">
        <v>6386</v>
      </c>
      <c r="B1820" s="9" t="s">
        <v>6387</v>
      </c>
      <c r="C1820" s="11" t="s">
        <v>28</v>
      </c>
      <c r="D1820" s="9" t="s">
        <v>6388</v>
      </c>
      <c r="E1820" s="11" t="s">
        <v>28</v>
      </c>
      <c r="F1820" s="10" t="s">
        <v>28</v>
      </c>
      <c r="G1820" s="10" t="s">
        <v>28</v>
      </c>
      <c r="H1820" s="10" t="s">
        <v>28</v>
      </c>
      <c r="I1820" s="11" t="s">
        <v>28</v>
      </c>
      <c r="J1820" s="11" t="s">
        <v>28</v>
      </c>
      <c r="K1820" s="11" t="s">
        <v>28</v>
      </c>
      <c r="L1820" s="11" t="s">
        <v>28</v>
      </c>
      <c r="M1820" s="11" t="s">
        <v>28</v>
      </c>
      <c r="N1820" s="8">
        <v>45034</v>
      </c>
      <c r="O1820" s="9" t="s">
        <v>30</v>
      </c>
      <c r="P1820" s="12" t="s">
        <v>691</v>
      </c>
      <c r="Q1820" s="9" t="s">
        <v>290</v>
      </c>
      <c r="R1820" s="14" t="str">
        <f>HYPERLINK("https://my.pitchbook.com?c=221479-48T","View Company Online")</f>
        <v>View Company Online</v>
      </c>
    </row>
    <row r="1821" spans="1:18" hidden="1" x14ac:dyDescent="0.3">
      <c r="A1821" s="15" t="s">
        <v>6389</v>
      </c>
      <c r="B1821" s="15" t="s">
        <v>6390</v>
      </c>
      <c r="C1821" s="18" t="s">
        <v>28</v>
      </c>
      <c r="D1821" s="15" t="s">
        <v>6391</v>
      </c>
      <c r="E1821" s="18" t="s">
        <v>28</v>
      </c>
      <c r="F1821" s="19" t="s">
        <v>28</v>
      </c>
      <c r="G1821" s="19">
        <v>3.92</v>
      </c>
      <c r="H1821" s="19" t="s">
        <v>28</v>
      </c>
      <c r="I1821" s="18" t="s">
        <v>28</v>
      </c>
      <c r="J1821" s="18" t="s">
        <v>28</v>
      </c>
      <c r="K1821" s="18" t="s">
        <v>28</v>
      </c>
      <c r="L1821" s="18" t="s">
        <v>28</v>
      </c>
      <c r="M1821" s="18" t="s">
        <v>28</v>
      </c>
      <c r="N1821" s="17">
        <v>45034</v>
      </c>
      <c r="O1821" s="15" t="s">
        <v>73</v>
      </c>
      <c r="P1821" s="16" t="s">
        <v>2338</v>
      </c>
      <c r="Q1821" s="15" t="s">
        <v>6392</v>
      </c>
      <c r="R1821" s="13" t="str">
        <f>HYPERLINK("https://my.pitchbook.com?c=220698-46T","View Company Online")</f>
        <v>View Company Online</v>
      </c>
    </row>
    <row r="1822" spans="1:18" hidden="1" x14ac:dyDescent="0.3">
      <c r="A1822" s="9" t="s">
        <v>6393</v>
      </c>
      <c r="B1822" s="9" t="s">
        <v>6394</v>
      </c>
      <c r="C1822" s="11" t="s">
        <v>28</v>
      </c>
      <c r="D1822" s="9" t="s">
        <v>6395</v>
      </c>
      <c r="E1822" s="11" t="s">
        <v>28</v>
      </c>
      <c r="F1822" s="10" t="s">
        <v>28</v>
      </c>
      <c r="G1822" s="10" t="s">
        <v>28</v>
      </c>
      <c r="H1822" s="10" t="s">
        <v>28</v>
      </c>
      <c r="I1822" s="11" t="s">
        <v>28</v>
      </c>
      <c r="J1822" s="11" t="s">
        <v>28</v>
      </c>
      <c r="K1822" s="11" t="s">
        <v>28</v>
      </c>
      <c r="L1822" s="11" t="s">
        <v>28</v>
      </c>
      <c r="M1822" s="11" t="s">
        <v>28</v>
      </c>
      <c r="N1822" s="8">
        <v>45033</v>
      </c>
      <c r="O1822" s="9" t="s">
        <v>30</v>
      </c>
      <c r="P1822" s="12" t="s">
        <v>6396</v>
      </c>
      <c r="Q1822" s="9" t="s">
        <v>245</v>
      </c>
      <c r="R1822" s="14" t="str">
        <f>HYPERLINK("https://my.pitchbook.com?c=220834-63T","View Company Online")</f>
        <v>View Company Online</v>
      </c>
    </row>
    <row r="1823" spans="1:18" hidden="1" x14ac:dyDescent="0.3">
      <c r="A1823" s="15" t="s">
        <v>6397</v>
      </c>
      <c r="B1823" s="15" t="s">
        <v>223</v>
      </c>
      <c r="C1823" s="18" t="s">
        <v>28</v>
      </c>
      <c r="D1823" s="15" t="s">
        <v>224</v>
      </c>
      <c r="E1823" s="18">
        <v>128.58000000000001</v>
      </c>
      <c r="F1823" s="19" t="s">
        <v>28</v>
      </c>
      <c r="G1823" s="19">
        <v>183.36</v>
      </c>
      <c r="H1823" s="19" t="s">
        <v>28</v>
      </c>
      <c r="I1823" s="18">
        <v>187.11</v>
      </c>
      <c r="J1823" s="18" t="s">
        <v>28</v>
      </c>
      <c r="K1823" s="18">
        <v>372.53</v>
      </c>
      <c r="L1823" s="18" t="s">
        <v>28</v>
      </c>
      <c r="M1823" s="18">
        <v>88.12</v>
      </c>
      <c r="N1823" s="17">
        <v>45033</v>
      </c>
      <c r="O1823" s="15" t="s">
        <v>159</v>
      </c>
      <c r="P1823" s="16" t="s">
        <v>28</v>
      </c>
      <c r="Q1823" s="15" t="s">
        <v>226</v>
      </c>
      <c r="R1823" s="13" t="str">
        <f>HYPERLINK("https://my.pitchbook.com?c=220733-74T","View Company Online")</f>
        <v>View Company Online</v>
      </c>
    </row>
    <row r="1824" spans="1:18" hidden="1" x14ac:dyDescent="0.3">
      <c r="A1824" s="9" t="s">
        <v>6398</v>
      </c>
      <c r="B1824" s="9" t="s">
        <v>6399</v>
      </c>
      <c r="C1824" s="11" t="s">
        <v>28</v>
      </c>
      <c r="D1824" s="9" t="s">
        <v>6400</v>
      </c>
      <c r="E1824" s="11" t="s">
        <v>28</v>
      </c>
      <c r="F1824" s="10" t="s">
        <v>28</v>
      </c>
      <c r="G1824" s="10" t="s">
        <v>28</v>
      </c>
      <c r="H1824" s="10" t="s">
        <v>28</v>
      </c>
      <c r="I1824" s="11" t="s">
        <v>28</v>
      </c>
      <c r="J1824" s="11" t="s">
        <v>28</v>
      </c>
      <c r="K1824" s="11" t="s">
        <v>28</v>
      </c>
      <c r="L1824" s="11" t="s">
        <v>28</v>
      </c>
      <c r="M1824" s="11" t="s">
        <v>28</v>
      </c>
      <c r="N1824" s="8">
        <v>45033</v>
      </c>
      <c r="O1824" s="9" t="s">
        <v>30</v>
      </c>
      <c r="P1824" s="12" t="s">
        <v>28</v>
      </c>
      <c r="Q1824" s="9" t="s">
        <v>6401</v>
      </c>
      <c r="R1824" s="14" t="str">
        <f>HYPERLINK("https://my.pitchbook.com?c=221479-03T","View Company Online")</f>
        <v>View Company Online</v>
      </c>
    </row>
    <row r="1825" spans="1:18" hidden="1" x14ac:dyDescent="0.3">
      <c r="A1825" s="15" t="s">
        <v>6402</v>
      </c>
      <c r="B1825" s="15" t="s">
        <v>6403</v>
      </c>
      <c r="C1825" s="18" t="s">
        <v>28</v>
      </c>
      <c r="D1825" s="15" t="s">
        <v>6404</v>
      </c>
      <c r="E1825" s="18" t="s">
        <v>28</v>
      </c>
      <c r="F1825" s="19" t="s">
        <v>28</v>
      </c>
      <c r="G1825" s="19">
        <v>3.91</v>
      </c>
      <c r="H1825" s="19" t="s">
        <v>28</v>
      </c>
      <c r="I1825" s="18" t="s">
        <v>28</v>
      </c>
      <c r="J1825" s="18" t="s">
        <v>28</v>
      </c>
      <c r="K1825" s="18" t="s">
        <v>28</v>
      </c>
      <c r="L1825" s="18" t="s">
        <v>28</v>
      </c>
      <c r="M1825" s="18" t="s">
        <v>28</v>
      </c>
      <c r="N1825" s="17">
        <v>45033</v>
      </c>
      <c r="O1825" s="15" t="s">
        <v>73</v>
      </c>
      <c r="P1825" s="16" t="s">
        <v>1132</v>
      </c>
      <c r="Q1825" s="15" t="s">
        <v>37</v>
      </c>
      <c r="R1825" s="13" t="str">
        <f>HYPERLINK("https://my.pitchbook.com?c=220659-04T","View Company Online")</f>
        <v>View Company Online</v>
      </c>
    </row>
    <row r="1826" spans="1:18" hidden="1" x14ac:dyDescent="0.3">
      <c r="A1826" s="9" t="s">
        <v>6405</v>
      </c>
      <c r="B1826" s="9" t="s">
        <v>3335</v>
      </c>
      <c r="C1826" s="11" t="s">
        <v>28</v>
      </c>
      <c r="D1826" s="9" t="s">
        <v>3336</v>
      </c>
      <c r="E1826" s="11" t="s">
        <v>28</v>
      </c>
      <c r="F1826" s="10" t="s">
        <v>28</v>
      </c>
      <c r="G1826" s="10" t="s">
        <v>28</v>
      </c>
      <c r="H1826" s="10" t="s">
        <v>28</v>
      </c>
      <c r="I1826" s="11" t="s">
        <v>28</v>
      </c>
      <c r="J1826" s="11" t="s">
        <v>28</v>
      </c>
      <c r="K1826" s="11" t="s">
        <v>28</v>
      </c>
      <c r="L1826" s="11" t="s">
        <v>28</v>
      </c>
      <c r="M1826" s="11" t="s">
        <v>28</v>
      </c>
      <c r="N1826" s="8">
        <v>45033</v>
      </c>
      <c r="O1826" s="9" t="s">
        <v>79</v>
      </c>
      <c r="P1826" s="12" t="s">
        <v>6406</v>
      </c>
      <c r="Q1826" s="9" t="s">
        <v>75</v>
      </c>
      <c r="R1826" s="14" t="str">
        <f>HYPERLINK("https://my.pitchbook.com?c=220583-80T","View Company Online")</f>
        <v>View Company Online</v>
      </c>
    </row>
    <row r="1827" spans="1:18" hidden="1" x14ac:dyDescent="0.3">
      <c r="A1827" s="15" t="s">
        <v>6407</v>
      </c>
      <c r="B1827" s="15" t="s">
        <v>2011</v>
      </c>
      <c r="C1827" s="18" t="s">
        <v>28</v>
      </c>
      <c r="D1827" s="15" t="s">
        <v>2012</v>
      </c>
      <c r="E1827" s="18" t="s">
        <v>28</v>
      </c>
      <c r="F1827" s="19" t="s">
        <v>28</v>
      </c>
      <c r="G1827" s="19" t="s">
        <v>28</v>
      </c>
      <c r="H1827" s="19" t="s">
        <v>28</v>
      </c>
      <c r="I1827" s="18" t="s">
        <v>28</v>
      </c>
      <c r="J1827" s="18" t="s">
        <v>28</v>
      </c>
      <c r="K1827" s="18" t="s">
        <v>28</v>
      </c>
      <c r="L1827" s="18" t="s">
        <v>28</v>
      </c>
      <c r="M1827" s="18" t="s">
        <v>28</v>
      </c>
      <c r="N1827" s="17">
        <v>45033</v>
      </c>
      <c r="O1827" s="15" t="s">
        <v>99</v>
      </c>
      <c r="P1827" s="16" t="s">
        <v>6408</v>
      </c>
      <c r="Q1827" s="15" t="s">
        <v>37</v>
      </c>
      <c r="R1827" s="13" t="str">
        <f>HYPERLINK("https://my.pitchbook.com?c=249405-13T","View Company Online")</f>
        <v>View Company Online</v>
      </c>
    </row>
    <row r="1828" spans="1:18" hidden="1" x14ac:dyDescent="0.3">
      <c r="A1828" s="9" t="s">
        <v>6409</v>
      </c>
      <c r="B1828" s="9" t="s">
        <v>6410</v>
      </c>
      <c r="C1828" s="11" t="s">
        <v>28</v>
      </c>
      <c r="D1828" s="9" t="s">
        <v>6411</v>
      </c>
      <c r="E1828" s="11" t="s">
        <v>28</v>
      </c>
      <c r="F1828" s="10" t="s">
        <v>28</v>
      </c>
      <c r="G1828" s="10" t="s">
        <v>28</v>
      </c>
      <c r="H1828" s="10" t="s">
        <v>28</v>
      </c>
      <c r="I1828" s="11" t="s">
        <v>28</v>
      </c>
      <c r="J1828" s="11" t="s">
        <v>28</v>
      </c>
      <c r="K1828" s="11" t="s">
        <v>28</v>
      </c>
      <c r="L1828" s="11" t="s">
        <v>28</v>
      </c>
      <c r="M1828" s="11" t="s">
        <v>28</v>
      </c>
      <c r="N1828" s="8">
        <v>45030</v>
      </c>
      <c r="O1828" s="9" t="s">
        <v>30</v>
      </c>
      <c r="P1828" s="12" t="s">
        <v>6412</v>
      </c>
      <c r="Q1828" s="9" t="s">
        <v>119</v>
      </c>
      <c r="R1828" s="14" t="str">
        <f>HYPERLINK("https://my.pitchbook.com?c=223193-08T","View Company Online")</f>
        <v>View Company Online</v>
      </c>
    </row>
    <row r="1829" spans="1:18" hidden="1" x14ac:dyDescent="0.3">
      <c r="A1829" s="15" t="s">
        <v>6413</v>
      </c>
      <c r="B1829" s="15" t="s">
        <v>6414</v>
      </c>
      <c r="C1829" s="18" t="s">
        <v>28</v>
      </c>
      <c r="D1829" s="15" t="s">
        <v>6415</v>
      </c>
      <c r="E1829" s="18" t="s">
        <v>28</v>
      </c>
      <c r="F1829" s="19">
        <v>85.15</v>
      </c>
      <c r="G1829" s="19">
        <v>43.43</v>
      </c>
      <c r="H1829" s="19">
        <v>85.15</v>
      </c>
      <c r="I1829" s="18" t="s">
        <v>28</v>
      </c>
      <c r="J1829" s="18" t="s">
        <v>28</v>
      </c>
      <c r="K1829" s="18" t="s">
        <v>28</v>
      </c>
      <c r="L1829" s="18" t="s">
        <v>28</v>
      </c>
      <c r="M1829" s="18" t="s">
        <v>28</v>
      </c>
      <c r="N1829" s="17">
        <v>45030</v>
      </c>
      <c r="O1829" s="15" t="s">
        <v>30</v>
      </c>
      <c r="P1829" s="16" t="s">
        <v>6416</v>
      </c>
      <c r="Q1829" s="15" t="s">
        <v>226</v>
      </c>
      <c r="R1829" s="13" t="str">
        <f>HYPERLINK("https://my.pitchbook.com?c=220458-97T","View Company Online")</f>
        <v>View Company Online</v>
      </c>
    </row>
    <row r="1830" spans="1:18" hidden="1" x14ac:dyDescent="0.3">
      <c r="A1830" s="9" t="s">
        <v>6417</v>
      </c>
      <c r="B1830" s="9" t="s">
        <v>6418</v>
      </c>
      <c r="C1830" s="11" t="s">
        <v>28</v>
      </c>
      <c r="D1830" s="9" t="s">
        <v>6419</v>
      </c>
      <c r="E1830" s="11" t="s">
        <v>28</v>
      </c>
      <c r="F1830" s="10" t="s">
        <v>28</v>
      </c>
      <c r="G1830" s="10" t="s">
        <v>28</v>
      </c>
      <c r="H1830" s="10" t="s">
        <v>28</v>
      </c>
      <c r="I1830" s="11" t="s">
        <v>28</v>
      </c>
      <c r="J1830" s="11" t="s">
        <v>28</v>
      </c>
      <c r="K1830" s="11" t="s">
        <v>28</v>
      </c>
      <c r="L1830" s="11" t="s">
        <v>28</v>
      </c>
      <c r="M1830" s="11" t="s">
        <v>28</v>
      </c>
      <c r="N1830" s="8">
        <v>45030</v>
      </c>
      <c r="O1830" s="9" t="s">
        <v>173</v>
      </c>
      <c r="P1830" s="12" t="s">
        <v>28</v>
      </c>
      <c r="Q1830" s="9" t="s">
        <v>174</v>
      </c>
      <c r="R1830" s="14" t="str">
        <f>HYPERLINK("https://my.pitchbook.com?c=232306-84T","View Company Online")</f>
        <v>View Company Online</v>
      </c>
    </row>
    <row r="1831" spans="1:18" hidden="1" x14ac:dyDescent="0.3">
      <c r="A1831" s="15" t="s">
        <v>6420</v>
      </c>
      <c r="B1831" s="15" t="s">
        <v>6421</v>
      </c>
      <c r="C1831" s="18" t="s">
        <v>28</v>
      </c>
      <c r="D1831" s="15" t="s">
        <v>6422</v>
      </c>
      <c r="E1831" s="18" t="s">
        <v>28</v>
      </c>
      <c r="F1831" s="19" t="s">
        <v>28</v>
      </c>
      <c r="G1831" s="19">
        <v>0.7</v>
      </c>
      <c r="H1831" s="19" t="s">
        <v>28</v>
      </c>
      <c r="I1831" s="18" t="s">
        <v>28</v>
      </c>
      <c r="J1831" s="18" t="s">
        <v>28</v>
      </c>
      <c r="K1831" s="18">
        <v>0.97</v>
      </c>
      <c r="L1831" s="18" t="s">
        <v>28</v>
      </c>
      <c r="M1831" s="18" t="s">
        <v>28</v>
      </c>
      <c r="N1831" s="17">
        <v>45030</v>
      </c>
      <c r="O1831" s="15" t="s">
        <v>99</v>
      </c>
      <c r="P1831" s="16" t="s">
        <v>6423</v>
      </c>
      <c r="Q1831" s="15" t="s">
        <v>75</v>
      </c>
      <c r="R1831" s="13" t="str">
        <f>HYPERLINK("https://my.pitchbook.com?c=220467-16T","View Company Online")</f>
        <v>View Company Online</v>
      </c>
    </row>
    <row r="1832" spans="1:18" hidden="1" x14ac:dyDescent="0.3">
      <c r="A1832" s="9" t="s">
        <v>6424</v>
      </c>
      <c r="B1832" s="9" t="s">
        <v>6425</v>
      </c>
      <c r="C1832" s="11" t="s">
        <v>28</v>
      </c>
      <c r="D1832" s="9" t="s">
        <v>6426</v>
      </c>
      <c r="E1832" s="11" t="s">
        <v>28</v>
      </c>
      <c r="F1832" s="10">
        <v>9.31</v>
      </c>
      <c r="G1832" s="10">
        <v>9.31</v>
      </c>
      <c r="H1832" s="10">
        <v>9.31</v>
      </c>
      <c r="I1832" s="11" t="s">
        <v>28</v>
      </c>
      <c r="J1832" s="11" t="s">
        <v>28</v>
      </c>
      <c r="K1832" s="11" t="s">
        <v>28</v>
      </c>
      <c r="L1832" s="11" t="s">
        <v>28</v>
      </c>
      <c r="M1832" s="11" t="s">
        <v>28</v>
      </c>
      <c r="N1832" s="8">
        <v>45029</v>
      </c>
      <c r="O1832" s="9" t="s">
        <v>30</v>
      </c>
      <c r="P1832" s="12" t="s">
        <v>6336</v>
      </c>
      <c r="Q1832" s="9" t="s">
        <v>75</v>
      </c>
      <c r="R1832" s="14" t="str">
        <f>HYPERLINK("https://my.pitchbook.com?c=226003-51T","View Company Online")</f>
        <v>View Company Online</v>
      </c>
    </row>
    <row r="1833" spans="1:18" hidden="1" x14ac:dyDescent="0.3">
      <c r="A1833" s="15" t="s">
        <v>6427</v>
      </c>
      <c r="B1833" s="15" t="s">
        <v>6428</v>
      </c>
      <c r="C1833" s="18" t="s">
        <v>28</v>
      </c>
      <c r="D1833" s="15" t="s">
        <v>6429</v>
      </c>
      <c r="E1833" s="18" t="s">
        <v>28</v>
      </c>
      <c r="F1833" s="19" t="s">
        <v>28</v>
      </c>
      <c r="G1833" s="19" t="s">
        <v>28</v>
      </c>
      <c r="H1833" s="19" t="s">
        <v>28</v>
      </c>
      <c r="I1833" s="18" t="s">
        <v>28</v>
      </c>
      <c r="J1833" s="18" t="s">
        <v>28</v>
      </c>
      <c r="K1833" s="18" t="s">
        <v>28</v>
      </c>
      <c r="L1833" s="18" t="s">
        <v>28</v>
      </c>
      <c r="M1833" s="18" t="s">
        <v>28</v>
      </c>
      <c r="N1833" s="17">
        <v>45029</v>
      </c>
      <c r="O1833" s="15" t="s">
        <v>30</v>
      </c>
      <c r="P1833" s="16" t="s">
        <v>6430</v>
      </c>
      <c r="Q1833" s="15" t="s">
        <v>245</v>
      </c>
      <c r="R1833" s="13" t="str">
        <f>HYPERLINK("https://my.pitchbook.com?c=220390-93T","View Company Online")</f>
        <v>View Company Online</v>
      </c>
    </row>
    <row r="1834" spans="1:18" hidden="1" x14ac:dyDescent="0.3">
      <c r="A1834" s="9" t="s">
        <v>6431</v>
      </c>
      <c r="B1834" s="9" t="s">
        <v>6432</v>
      </c>
      <c r="C1834" s="11" t="s">
        <v>28</v>
      </c>
      <c r="D1834" s="9" t="s">
        <v>6433</v>
      </c>
      <c r="E1834" s="11" t="s">
        <v>28</v>
      </c>
      <c r="F1834" s="10" t="s">
        <v>28</v>
      </c>
      <c r="G1834" s="10" t="s">
        <v>28</v>
      </c>
      <c r="H1834" s="10" t="s">
        <v>28</v>
      </c>
      <c r="I1834" s="11" t="s">
        <v>28</v>
      </c>
      <c r="J1834" s="11" t="s">
        <v>28</v>
      </c>
      <c r="K1834" s="11" t="s">
        <v>28</v>
      </c>
      <c r="L1834" s="11" t="s">
        <v>28</v>
      </c>
      <c r="M1834" s="11" t="s">
        <v>28</v>
      </c>
      <c r="N1834" s="8">
        <v>45028</v>
      </c>
      <c r="O1834" s="9" t="s">
        <v>52</v>
      </c>
      <c r="P1834" s="12" t="s">
        <v>1970</v>
      </c>
      <c r="Q1834" s="9" t="s">
        <v>880</v>
      </c>
      <c r="R1834" s="14" t="str">
        <f>HYPERLINK("https://my.pitchbook.com?c=295332-22T","View Company Online")</f>
        <v>View Company Online</v>
      </c>
    </row>
    <row r="1835" spans="1:18" hidden="1" x14ac:dyDescent="0.3">
      <c r="A1835" s="15" t="s">
        <v>6434</v>
      </c>
      <c r="B1835" s="15" t="s">
        <v>6435</v>
      </c>
      <c r="C1835" s="18" t="s">
        <v>28</v>
      </c>
      <c r="D1835" s="15" t="s">
        <v>6436</v>
      </c>
      <c r="E1835" s="18" t="s">
        <v>28</v>
      </c>
      <c r="F1835" s="19" t="s">
        <v>28</v>
      </c>
      <c r="G1835" s="19" t="s">
        <v>28</v>
      </c>
      <c r="H1835" s="19" t="s">
        <v>28</v>
      </c>
      <c r="I1835" s="18" t="s">
        <v>28</v>
      </c>
      <c r="J1835" s="18" t="s">
        <v>28</v>
      </c>
      <c r="K1835" s="18" t="s">
        <v>28</v>
      </c>
      <c r="L1835" s="18" t="s">
        <v>28</v>
      </c>
      <c r="M1835" s="18" t="s">
        <v>28</v>
      </c>
      <c r="N1835" s="17">
        <v>45028</v>
      </c>
      <c r="O1835" s="15" t="s">
        <v>41</v>
      </c>
      <c r="P1835" s="16" t="s">
        <v>2216</v>
      </c>
      <c r="Q1835" s="15" t="s">
        <v>399</v>
      </c>
      <c r="R1835" s="13" t="str">
        <f>HYPERLINK("https://my.pitchbook.com?c=246394-00T","View Company Online")</f>
        <v>View Company Online</v>
      </c>
    </row>
    <row r="1836" spans="1:18" hidden="1" x14ac:dyDescent="0.3">
      <c r="A1836" s="9" t="s">
        <v>6437</v>
      </c>
      <c r="B1836" s="9" t="s">
        <v>6438</v>
      </c>
      <c r="C1836" s="11" t="s">
        <v>28</v>
      </c>
      <c r="D1836" s="9" t="s">
        <v>6439</v>
      </c>
      <c r="E1836" s="11" t="s">
        <v>28</v>
      </c>
      <c r="F1836" s="10" t="s">
        <v>28</v>
      </c>
      <c r="G1836" s="10">
        <v>0.19</v>
      </c>
      <c r="H1836" s="10">
        <v>3.87</v>
      </c>
      <c r="I1836" s="11" t="s">
        <v>28</v>
      </c>
      <c r="J1836" s="11" t="s">
        <v>28</v>
      </c>
      <c r="K1836" s="11" t="s">
        <v>28</v>
      </c>
      <c r="L1836" s="11" t="s">
        <v>28</v>
      </c>
      <c r="M1836" s="11" t="s">
        <v>28</v>
      </c>
      <c r="N1836" s="8">
        <v>45028</v>
      </c>
      <c r="O1836" s="9" t="s">
        <v>379</v>
      </c>
      <c r="P1836" s="12" t="s">
        <v>28</v>
      </c>
      <c r="Q1836" s="9" t="s">
        <v>37</v>
      </c>
      <c r="R1836" s="14" t="str">
        <f>HYPERLINK("https://my.pitchbook.com?c=220336-93T","View Company Online")</f>
        <v>View Company Online</v>
      </c>
    </row>
    <row r="1837" spans="1:18" hidden="1" x14ac:dyDescent="0.3">
      <c r="A1837" s="15" t="s">
        <v>6440</v>
      </c>
      <c r="B1837" s="15" t="s">
        <v>6441</v>
      </c>
      <c r="C1837" s="18" t="s">
        <v>28</v>
      </c>
      <c r="D1837" s="15" t="s">
        <v>6442</v>
      </c>
      <c r="E1837" s="18" t="s">
        <v>28</v>
      </c>
      <c r="F1837" s="19" t="s">
        <v>28</v>
      </c>
      <c r="G1837" s="19">
        <v>10.45</v>
      </c>
      <c r="H1837" s="19" t="s">
        <v>28</v>
      </c>
      <c r="I1837" s="18" t="s">
        <v>28</v>
      </c>
      <c r="J1837" s="18" t="s">
        <v>28</v>
      </c>
      <c r="K1837" s="18" t="s">
        <v>28</v>
      </c>
      <c r="L1837" s="18" t="s">
        <v>28</v>
      </c>
      <c r="M1837" s="18" t="s">
        <v>28</v>
      </c>
      <c r="N1837" s="17">
        <v>45028</v>
      </c>
      <c r="O1837" s="15" t="s">
        <v>73</v>
      </c>
      <c r="P1837" s="16" t="s">
        <v>6443</v>
      </c>
      <c r="Q1837" s="15" t="s">
        <v>37</v>
      </c>
      <c r="R1837" s="13" t="str">
        <f>HYPERLINK("https://my.pitchbook.com?c=218036-17T","View Company Online")</f>
        <v>View Company Online</v>
      </c>
    </row>
    <row r="1838" spans="1:18" hidden="1" x14ac:dyDescent="0.3">
      <c r="A1838" s="9" t="s">
        <v>6444</v>
      </c>
      <c r="B1838" s="9" t="s">
        <v>6445</v>
      </c>
      <c r="C1838" s="11" t="s">
        <v>28</v>
      </c>
      <c r="D1838" s="9" t="s">
        <v>6446</v>
      </c>
      <c r="E1838" s="11" t="s">
        <v>28</v>
      </c>
      <c r="F1838" s="10" t="s">
        <v>28</v>
      </c>
      <c r="G1838" s="10">
        <v>1.6</v>
      </c>
      <c r="H1838" s="10" t="s">
        <v>28</v>
      </c>
      <c r="I1838" s="11" t="s">
        <v>28</v>
      </c>
      <c r="J1838" s="11" t="s">
        <v>28</v>
      </c>
      <c r="K1838" s="11" t="s">
        <v>28</v>
      </c>
      <c r="L1838" s="11" t="s">
        <v>28</v>
      </c>
      <c r="M1838" s="11" t="s">
        <v>28</v>
      </c>
      <c r="N1838" s="8">
        <v>45027</v>
      </c>
      <c r="O1838" s="9" t="s">
        <v>99</v>
      </c>
      <c r="P1838" s="12" t="s">
        <v>6447</v>
      </c>
      <c r="Q1838" s="9" t="s">
        <v>75</v>
      </c>
      <c r="R1838" s="14" t="str">
        <f>HYPERLINK("https://my.pitchbook.com?c=226688-59T","View Company Online")</f>
        <v>View Company Online</v>
      </c>
    </row>
    <row r="1839" spans="1:18" hidden="1" x14ac:dyDescent="0.3">
      <c r="A1839" s="15" t="s">
        <v>6448</v>
      </c>
      <c r="B1839" s="15" t="s">
        <v>6449</v>
      </c>
      <c r="C1839" s="18" t="s">
        <v>28</v>
      </c>
      <c r="D1839" s="15" t="s">
        <v>6450</v>
      </c>
      <c r="E1839" s="18" t="s">
        <v>28</v>
      </c>
      <c r="F1839" s="19" t="s">
        <v>28</v>
      </c>
      <c r="G1839" s="19" t="s">
        <v>28</v>
      </c>
      <c r="H1839" s="19" t="s">
        <v>28</v>
      </c>
      <c r="I1839" s="18" t="s">
        <v>28</v>
      </c>
      <c r="J1839" s="18" t="s">
        <v>28</v>
      </c>
      <c r="K1839" s="18" t="s">
        <v>28</v>
      </c>
      <c r="L1839" s="18" t="s">
        <v>28</v>
      </c>
      <c r="M1839" s="18" t="s">
        <v>28</v>
      </c>
      <c r="N1839" s="17">
        <v>45027</v>
      </c>
      <c r="O1839" s="15" t="s">
        <v>30</v>
      </c>
      <c r="P1839" s="16" t="s">
        <v>6451</v>
      </c>
      <c r="Q1839" s="15" t="s">
        <v>855</v>
      </c>
      <c r="R1839" s="13" t="str">
        <f>HYPERLINK("https://my.pitchbook.com?c=232427-26T","View Company Online")</f>
        <v>View Company Online</v>
      </c>
    </row>
    <row r="1840" spans="1:18" hidden="1" x14ac:dyDescent="0.3">
      <c r="A1840" s="9" t="s">
        <v>6452</v>
      </c>
      <c r="B1840" s="9" t="s">
        <v>6453</v>
      </c>
      <c r="C1840" s="11" t="s">
        <v>28</v>
      </c>
      <c r="D1840" s="9" t="s">
        <v>6454</v>
      </c>
      <c r="E1840" s="11" t="s">
        <v>28</v>
      </c>
      <c r="F1840" s="10" t="s">
        <v>28</v>
      </c>
      <c r="G1840" s="10" t="s">
        <v>28</v>
      </c>
      <c r="H1840" s="10" t="s">
        <v>28</v>
      </c>
      <c r="I1840" s="11" t="s">
        <v>28</v>
      </c>
      <c r="J1840" s="11" t="s">
        <v>28</v>
      </c>
      <c r="K1840" s="11" t="s">
        <v>28</v>
      </c>
      <c r="L1840" s="11" t="s">
        <v>28</v>
      </c>
      <c r="M1840" s="11" t="s">
        <v>28</v>
      </c>
      <c r="N1840" s="8">
        <v>45027</v>
      </c>
      <c r="O1840" s="9" t="s">
        <v>173</v>
      </c>
      <c r="P1840" s="12" t="s">
        <v>28</v>
      </c>
      <c r="Q1840" s="9" t="s">
        <v>348</v>
      </c>
      <c r="R1840" s="14" t="str">
        <f>HYPERLINK("https://my.pitchbook.com?c=220383-64T","View Company Online")</f>
        <v>View Company Online</v>
      </c>
    </row>
    <row r="1841" spans="1:18" hidden="1" x14ac:dyDescent="0.3">
      <c r="A1841" s="15" t="s">
        <v>6455</v>
      </c>
      <c r="B1841" s="15" t="s">
        <v>5719</v>
      </c>
      <c r="C1841" s="18" t="s">
        <v>28</v>
      </c>
      <c r="D1841" s="15" t="s">
        <v>5720</v>
      </c>
      <c r="E1841" s="18" t="s">
        <v>28</v>
      </c>
      <c r="F1841" s="19" t="s">
        <v>28</v>
      </c>
      <c r="G1841" s="19" t="s">
        <v>28</v>
      </c>
      <c r="H1841" s="19" t="s">
        <v>28</v>
      </c>
      <c r="I1841" s="18" t="s">
        <v>28</v>
      </c>
      <c r="J1841" s="18" t="s">
        <v>28</v>
      </c>
      <c r="K1841" s="18" t="s">
        <v>28</v>
      </c>
      <c r="L1841" s="18" t="s">
        <v>28</v>
      </c>
      <c r="M1841" s="18" t="s">
        <v>28</v>
      </c>
      <c r="N1841" s="17">
        <v>45026</v>
      </c>
      <c r="O1841" s="15" t="s">
        <v>52</v>
      </c>
      <c r="P1841" s="16" t="s">
        <v>2915</v>
      </c>
      <c r="Q1841" s="15" t="s">
        <v>37</v>
      </c>
      <c r="R1841" s="13" t="str">
        <f>HYPERLINK("https://my.pitchbook.com?c=247223-44T","View Company Online")</f>
        <v>View Company Online</v>
      </c>
    </row>
    <row r="1842" spans="1:18" hidden="1" x14ac:dyDescent="0.3">
      <c r="A1842" s="9" t="s">
        <v>6456</v>
      </c>
      <c r="B1842" s="9" t="s">
        <v>6457</v>
      </c>
      <c r="C1842" s="11" t="s">
        <v>28</v>
      </c>
      <c r="D1842" s="9" t="s">
        <v>6458</v>
      </c>
      <c r="E1842" s="11" t="s">
        <v>28</v>
      </c>
      <c r="F1842" s="10" t="s">
        <v>28</v>
      </c>
      <c r="G1842" s="10" t="s">
        <v>28</v>
      </c>
      <c r="H1842" s="10" t="s">
        <v>28</v>
      </c>
      <c r="I1842" s="11" t="s">
        <v>28</v>
      </c>
      <c r="J1842" s="11" t="s">
        <v>28</v>
      </c>
      <c r="K1842" s="11">
        <v>39.4</v>
      </c>
      <c r="L1842" s="11" t="s">
        <v>28</v>
      </c>
      <c r="M1842" s="11" t="s">
        <v>28</v>
      </c>
      <c r="N1842" s="8">
        <v>45026</v>
      </c>
      <c r="O1842" s="9" t="s">
        <v>30</v>
      </c>
      <c r="P1842" s="12" t="s">
        <v>6459</v>
      </c>
      <c r="Q1842" s="9" t="s">
        <v>566</v>
      </c>
      <c r="R1842" s="14" t="str">
        <f>HYPERLINK("https://my.pitchbook.com?c=220075-93T","View Company Online")</f>
        <v>View Company Online</v>
      </c>
    </row>
    <row r="1843" spans="1:18" hidden="1" x14ac:dyDescent="0.3">
      <c r="A1843" s="15" t="s">
        <v>6460</v>
      </c>
      <c r="B1843" s="15" t="s">
        <v>6461</v>
      </c>
      <c r="C1843" s="18" t="s">
        <v>28</v>
      </c>
      <c r="D1843" s="15" t="s">
        <v>6462</v>
      </c>
      <c r="E1843" s="18" t="s">
        <v>28</v>
      </c>
      <c r="F1843" s="19" t="s">
        <v>28</v>
      </c>
      <c r="G1843" s="19">
        <v>0.77</v>
      </c>
      <c r="H1843" s="19" t="s">
        <v>28</v>
      </c>
      <c r="I1843" s="18" t="s">
        <v>28</v>
      </c>
      <c r="J1843" s="18" t="s">
        <v>28</v>
      </c>
      <c r="K1843" s="18" t="s">
        <v>28</v>
      </c>
      <c r="L1843" s="18" t="s">
        <v>28</v>
      </c>
      <c r="M1843" s="18" t="s">
        <v>28</v>
      </c>
      <c r="N1843" s="17">
        <v>45026</v>
      </c>
      <c r="O1843" s="15" t="s">
        <v>79</v>
      </c>
      <c r="P1843" s="16" t="s">
        <v>5046</v>
      </c>
      <c r="Q1843" s="15" t="s">
        <v>37</v>
      </c>
      <c r="R1843" s="13" t="str">
        <f>HYPERLINK("https://my.pitchbook.com?c=220187-98T","View Company Online")</f>
        <v>View Company Online</v>
      </c>
    </row>
    <row r="1844" spans="1:18" hidden="1" x14ac:dyDescent="0.3">
      <c r="A1844" s="9" t="s">
        <v>6463</v>
      </c>
      <c r="B1844" s="9" t="s">
        <v>6464</v>
      </c>
      <c r="C1844" s="11" t="s">
        <v>28</v>
      </c>
      <c r="D1844" s="9" t="s">
        <v>6465</v>
      </c>
      <c r="E1844" s="11" t="s">
        <v>28</v>
      </c>
      <c r="F1844" s="10" t="s">
        <v>28</v>
      </c>
      <c r="G1844" s="10">
        <v>0.28000000000000003</v>
      </c>
      <c r="H1844" s="10" t="s">
        <v>28</v>
      </c>
      <c r="I1844" s="11" t="s">
        <v>28</v>
      </c>
      <c r="J1844" s="11" t="s">
        <v>28</v>
      </c>
      <c r="K1844" s="11">
        <v>0.52</v>
      </c>
      <c r="L1844" s="11" t="s">
        <v>28</v>
      </c>
      <c r="M1844" s="11" t="s">
        <v>28</v>
      </c>
      <c r="N1844" s="8">
        <v>45026</v>
      </c>
      <c r="O1844" s="9" t="s">
        <v>1639</v>
      </c>
      <c r="P1844" s="12" t="s">
        <v>28</v>
      </c>
      <c r="Q1844" s="9" t="s">
        <v>37</v>
      </c>
      <c r="R1844" s="14" t="str">
        <f>HYPERLINK("https://my.pitchbook.com?c=249321-07T","View Company Online")</f>
        <v>View Company Online</v>
      </c>
    </row>
    <row r="1845" spans="1:18" hidden="1" x14ac:dyDescent="0.3">
      <c r="A1845" s="15" t="s">
        <v>6466</v>
      </c>
      <c r="B1845" s="15" t="s">
        <v>4126</v>
      </c>
      <c r="C1845" s="18" t="s">
        <v>28</v>
      </c>
      <c r="D1845" s="15" t="s">
        <v>4127</v>
      </c>
      <c r="E1845" s="18" t="s">
        <v>28</v>
      </c>
      <c r="F1845" s="19" t="s">
        <v>28</v>
      </c>
      <c r="G1845" s="19" t="s">
        <v>28</v>
      </c>
      <c r="H1845" s="19" t="s">
        <v>28</v>
      </c>
      <c r="I1845" s="18" t="s">
        <v>28</v>
      </c>
      <c r="J1845" s="18" t="s">
        <v>28</v>
      </c>
      <c r="K1845" s="18" t="s">
        <v>28</v>
      </c>
      <c r="L1845" s="18" t="s">
        <v>28</v>
      </c>
      <c r="M1845" s="18" t="s">
        <v>28</v>
      </c>
      <c r="N1845" s="17">
        <v>45023</v>
      </c>
      <c r="O1845" s="15" t="s">
        <v>52</v>
      </c>
      <c r="P1845" s="16" t="s">
        <v>4589</v>
      </c>
      <c r="Q1845" s="15" t="s">
        <v>75</v>
      </c>
      <c r="R1845" s="13" t="str">
        <f>HYPERLINK("https://my.pitchbook.com?c=264027-97T","View Company Online")</f>
        <v>View Company Online</v>
      </c>
    </row>
    <row r="1846" spans="1:18" hidden="1" x14ac:dyDescent="0.3">
      <c r="A1846" s="9" t="s">
        <v>6467</v>
      </c>
      <c r="B1846" s="9" t="s">
        <v>5181</v>
      </c>
      <c r="C1846" s="11" t="s">
        <v>28</v>
      </c>
      <c r="D1846" s="9" t="s">
        <v>5182</v>
      </c>
      <c r="E1846" s="11" t="s">
        <v>28</v>
      </c>
      <c r="F1846" s="10" t="s">
        <v>28</v>
      </c>
      <c r="G1846" s="10">
        <v>0.5</v>
      </c>
      <c r="H1846" s="10" t="s">
        <v>28</v>
      </c>
      <c r="I1846" s="11" t="s">
        <v>28</v>
      </c>
      <c r="J1846" s="11" t="s">
        <v>28</v>
      </c>
      <c r="K1846" s="11" t="s">
        <v>28</v>
      </c>
      <c r="L1846" s="11" t="s">
        <v>28</v>
      </c>
      <c r="M1846" s="11" t="s">
        <v>28</v>
      </c>
      <c r="N1846" s="8">
        <v>45023</v>
      </c>
      <c r="O1846" s="9" t="s">
        <v>52</v>
      </c>
      <c r="P1846" s="12" t="s">
        <v>3944</v>
      </c>
      <c r="Q1846" s="9" t="s">
        <v>740</v>
      </c>
      <c r="R1846" s="14" t="str">
        <f>HYPERLINK("https://my.pitchbook.com?c=210233-08T","View Company Online")</f>
        <v>View Company Online</v>
      </c>
    </row>
    <row r="1847" spans="1:18" hidden="1" x14ac:dyDescent="0.3">
      <c r="A1847" s="15" t="s">
        <v>6468</v>
      </c>
      <c r="B1847" s="15" t="s">
        <v>6469</v>
      </c>
      <c r="C1847" s="18" t="s">
        <v>28</v>
      </c>
      <c r="D1847" s="15" t="s">
        <v>6470</v>
      </c>
      <c r="E1847" s="18" t="s">
        <v>28</v>
      </c>
      <c r="F1847" s="19" t="s">
        <v>28</v>
      </c>
      <c r="G1847" s="19">
        <v>2.89</v>
      </c>
      <c r="H1847" s="19" t="s">
        <v>28</v>
      </c>
      <c r="I1847" s="18" t="s">
        <v>28</v>
      </c>
      <c r="J1847" s="18" t="s">
        <v>28</v>
      </c>
      <c r="K1847" s="18" t="s">
        <v>28</v>
      </c>
      <c r="L1847" s="18" t="s">
        <v>28</v>
      </c>
      <c r="M1847" s="18" t="s">
        <v>28</v>
      </c>
      <c r="N1847" s="17">
        <v>45022</v>
      </c>
      <c r="O1847" s="15" t="s">
        <v>79</v>
      </c>
      <c r="P1847" s="16" t="s">
        <v>6471</v>
      </c>
      <c r="Q1847" s="15" t="s">
        <v>75</v>
      </c>
      <c r="R1847" s="13" t="str">
        <f>HYPERLINK("https://my.pitchbook.com?c=212264-92T","View Company Online")</f>
        <v>View Company Online</v>
      </c>
    </row>
    <row r="1848" spans="1:18" hidden="1" x14ac:dyDescent="0.3">
      <c r="A1848" s="9" t="s">
        <v>6472</v>
      </c>
      <c r="B1848" s="9" t="s">
        <v>6473</v>
      </c>
      <c r="C1848" s="11" t="s">
        <v>28</v>
      </c>
      <c r="D1848" s="9" t="s">
        <v>6474</v>
      </c>
      <c r="E1848" s="11" t="s">
        <v>28</v>
      </c>
      <c r="F1848" s="10" t="s">
        <v>28</v>
      </c>
      <c r="G1848" s="10">
        <v>3.08</v>
      </c>
      <c r="H1848" s="10" t="s">
        <v>28</v>
      </c>
      <c r="I1848" s="11" t="s">
        <v>28</v>
      </c>
      <c r="J1848" s="11" t="s">
        <v>28</v>
      </c>
      <c r="K1848" s="11" t="s">
        <v>28</v>
      </c>
      <c r="L1848" s="11" t="s">
        <v>28</v>
      </c>
      <c r="M1848" s="11" t="s">
        <v>28</v>
      </c>
      <c r="N1848" s="8">
        <v>45022</v>
      </c>
      <c r="O1848" s="9" t="s">
        <v>99</v>
      </c>
      <c r="P1848" s="12" t="s">
        <v>6475</v>
      </c>
      <c r="Q1848" s="9" t="s">
        <v>37</v>
      </c>
      <c r="R1848" s="14" t="str">
        <f>HYPERLINK("https://my.pitchbook.com?c=220017-79T","View Company Online")</f>
        <v>View Company Online</v>
      </c>
    </row>
    <row r="1849" spans="1:18" hidden="1" x14ac:dyDescent="0.3">
      <c r="A1849" s="15" t="s">
        <v>6476</v>
      </c>
      <c r="B1849" s="15" t="s">
        <v>5097</v>
      </c>
      <c r="C1849" s="18" t="s">
        <v>28</v>
      </c>
      <c r="D1849" s="15" t="s">
        <v>5098</v>
      </c>
      <c r="E1849" s="18" t="s">
        <v>28</v>
      </c>
      <c r="F1849" s="19" t="s">
        <v>28</v>
      </c>
      <c r="G1849" s="19">
        <v>4.51</v>
      </c>
      <c r="H1849" s="19" t="s">
        <v>28</v>
      </c>
      <c r="I1849" s="18" t="s">
        <v>28</v>
      </c>
      <c r="J1849" s="18" t="s">
        <v>28</v>
      </c>
      <c r="K1849" s="18" t="s">
        <v>28</v>
      </c>
      <c r="L1849" s="18" t="s">
        <v>28</v>
      </c>
      <c r="M1849" s="18" t="s">
        <v>28</v>
      </c>
      <c r="N1849" s="17">
        <v>45022</v>
      </c>
      <c r="O1849" s="15" t="s">
        <v>79</v>
      </c>
      <c r="P1849" s="16" t="s">
        <v>28</v>
      </c>
      <c r="Q1849" s="15" t="s">
        <v>37</v>
      </c>
      <c r="R1849" s="13" t="str">
        <f>HYPERLINK("https://my.pitchbook.com?c=232238-80T","View Company Online")</f>
        <v>View Company Online</v>
      </c>
    </row>
    <row r="1850" spans="1:18" hidden="1" x14ac:dyDescent="0.3">
      <c r="A1850" s="9" t="s">
        <v>6477</v>
      </c>
      <c r="B1850" s="9" t="s">
        <v>6478</v>
      </c>
      <c r="C1850" s="11" t="s">
        <v>28</v>
      </c>
      <c r="D1850" s="9" t="s">
        <v>6479</v>
      </c>
      <c r="E1850" s="11" t="s">
        <v>28</v>
      </c>
      <c r="F1850" s="10">
        <v>63.72</v>
      </c>
      <c r="G1850" s="10">
        <v>63.72</v>
      </c>
      <c r="H1850" s="10">
        <v>63.72</v>
      </c>
      <c r="I1850" s="11" t="s">
        <v>28</v>
      </c>
      <c r="J1850" s="11" t="s">
        <v>28</v>
      </c>
      <c r="K1850" s="11">
        <v>104.89</v>
      </c>
      <c r="L1850" s="11">
        <v>0.61</v>
      </c>
      <c r="M1850" s="11" t="s">
        <v>28</v>
      </c>
      <c r="N1850" s="8">
        <v>45022</v>
      </c>
      <c r="O1850" s="9" t="s">
        <v>30</v>
      </c>
      <c r="P1850" s="12" t="s">
        <v>6332</v>
      </c>
      <c r="Q1850" s="9" t="s">
        <v>85</v>
      </c>
      <c r="R1850" s="14" t="str">
        <f>HYPERLINK("https://my.pitchbook.com?c=220177-99T","View Company Online")</f>
        <v>View Company Online</v>
      </c>
    </row>
    <row r="1851" spans="1:18" hidden="1" x14ac:dyDescent="0.3">
      <c r="A1851" s="15" t="s">
        <v>6480</v>
      </c>
      <c r="B1851" s="15" t="s">
        <v>6481</v>
      </c>
      <c r="C1851" s="18" t="s">
        <v>28</v>
      </c>
      <c r="D1851" s="15" t="s">
        <v>6482</v>
      </c>
      <c r="E1851" s="18" t="s">
        <v>28</v>
      </c>
      <c r="F1851" s="19" t="s">
        <v>28</v>
      </c>
      <c r="G1851" s="19" t="s">
        <v>28</v>
      </c>
      <c r="H1851" s="19" t="s">
        <v>28</v>
      </c>
      <c r="I1851" s="18" t="s">
        <v>28</v>
      </c>
      <c r="J1851" s="18" t="s">
        <v>28</v>
      </c>
      <c r="K1851" s="18" t="s">
        <v>28</v>
      </c>
      <c r="L1851" s="18" t="s">
        <v>28</v>
      </c>
      <c r="M1851" s="18" t="s">
        <v>28</v>
      </c>
      <c r="N1851" s="17">
        <v>45022</v>
      </c>
      <c r="O1851" s="15" t="s">
        <v>41</v>
      </c>
      <c r="P1851" s="16" t="s">
        <v>5416</v>
      </c>
      <c r="Q1851" s="15" t="s">
        <v>583</v>
      </c>
      <c r="R1851" s="13" t="str">
        <f>HYPERLINK("https://my.pitchbook.com?c=220191-49T","View Company Online")</f>
        <v>View Company Online</v>
      </c>
    </row>
    <row r="1852" spans="1:18" hidden="1" x14ac:dyDescent="0.3">
      <c r="A1852" s="9" t="s">
        <v>6483</v>
      </c>
      <c r="B1852" s="9" t="s">
        <v>6484</v>
      </c>
      <c r="C1852" s="11" t="s">
        <v>28</v>
      </c>
      <c r="D1852" s="9" t="s">
        <v>6485</v>
      </c>
      <c r="E1852" s="11" t="s">
        <v>28</v>
      </c>
      <c r="F1852" s="10" t="s">
        <v>28</v>
      </c>
      <c r="G1852" s="10" t="s">
        <v>28</v>
      </c>
      <c r="H1852" s="10" t="s">
        <v>28</v>
      </c>
      <c r="I1852" s="11" t="s">
        <v>28</v>
      </c>
      <c r="J1852" s="11" t="s">
        <v>28</v>
      </c>
      <c r="K1852" s="11" t="s">
        <v>28</v>
      </c>
      <c r="L1852" s="11" t="s">
        <v>28</v>
      </c>
      <c r="M1852" s="11" t="s">
        <v>28</v>
      </c>
      <c r="N1852" s="8">
        <v>45021</v>
      </c>
      <c r="O1852" s="9" t="s">
        <v>173</v>
      </c>
      <c r="P1852" s="12" t="s">
        <v>28</v>
      </c>
      <c r="Q1852" s="9" t="s">
        <v>174</v>
      </c>
      <c r="R1852" s="14" t="str">
        <f>HYPERLINK("https://my.pitchbook.com?c=220075-66T","View Company Online")</f>
        <v>View Company Online</v>
      </c>
    </row>
    <row r="1853" spans="1:18" hidden="1" x14ac:dyDescent="0.3">
      <c r="A1853" s="15" t="s">
        <v>6486</v>
      </c>
      <c r="B1853" s="15" t="s">
        <v>6487</v>
      </c>
      <c r="C1853" s="18" t="s">
        <v>28</v>
      </c>
      <c r="D1853" s="15" t="s">
        <v>6488</v>
      </c>
      <c r="E1853" s="18" t="s">
        <v>28</v>
      </c>
      <c r="F1853" s="19" t="s">
        <v>28</v>
      </c>
      <c r="G1853" s="19" t="s">
        <v>28</v>
      </c>
      <c r="H1853" s="19" t="s">
        <v>28</v>
      </c>
      <c r="I1853" s="18" t="s">
        <v>28</v>
      </c>
      <c r="J1853" s="18" t="s">
        <v>28</v>
      </c>
      <c r="K1853" s="18" t="s">
        <v>28</v>
      </c>
      <c r="L1853" s="18" t="s">
        <v>28</v>
      </c>
      <c r="M1853" s="18" t="s">
        <v>28</v>
      </c>
      <c r="N1853" s="17">
        <v>45021</v>
      </c>
      <c r="O1853" s="15" t="s">
        <v>52</v>
      </c>
      <c r="P1853" s="16" t="s">
        <v>2864</v>
      </c>
      <c r="Q1853" s="15" t="s">
        <v>583</v>
      </c>
      <c r="R1853" s="13" t="str">
        <f>HYPERLINK("https://my.pitchbook.com?c=234438-85T","View Company Online")</f>
        <v>View Company Online</v>
      </c>
    </row>
    <row r="1854" spans="1:18" hidden="1" x14ac:dyDescent="0.3">
      <c r="A1854" s="9" t="s">
        <v>6489</v>
      </c>
      <c r="B1854" s="9" t="s">
        <v>6490</v>
      </c>
      <c r="C1854" s="11" t="s">
        <v>28</v>
      </c>
      <c r="D1854" s="9" t="s">
        <v>6491</v>
      </c>
      <c r="E1854" s="11" t="s">
        <v>28</v>
      </c>
      <c r="F1854" s="10" t="s">
        <v>28</v>
      </c>
      <c r="G1854" s="10">
        <v>0.96</v>
      </c>
      <c r="H1854" s="10" t="s">
        <v>28</v>
      </c>
      <c r="I1854" s="11" t="s">
        <v>28</v>
      </c>
      <c r="J1854" s="11" t="s">
        <v>28</v>
      </c>
      <c r="K1854" s="11" t="s">
        <v>28</v>
      </c>
      <c r="L1854" s="11" t="s">
        <v>28</v>
      </c>
      <c r="M1854" s="11" t="s">
        <v>28</v>
      </c>
      <c r="N1854" s="8">
        <v>45021</v>
      </c>
      <c r="O1854" s="9" t="s">
        <v>99</v>
      </c>
      <c r="P1854" s="12" t="s">
        <v>5240</v>
      </c>
      <c r="Q1854" s="9" t="s">
        <v>75</v>
      </c>
      <c r="R1854" s="14" t="str">
        <f>HYPERLINK("https://my.pitchbook.com?c=258113-89T","View Company Online")</f>
        <v>View Company Online</v>
      </c>
    </row>
    <row r="1855" spans="1:18" hidden="1" x14ac:dyDescent="0.3">
      <c r="A1855" s="15" t="s">
        <v>6492</v>
      </c>
      <c r="B1855" s="15" t="s">
        <v>6493</v>
      </c>
      <c r="C1855" s="18" t="s">
        <v>28</v>
      </c>
      <c r="D1855" s="15" t="s">
        <v>6494</v>
      </c>
      <c r="E1855" s="18" t="s">
        <v>28</v>
      </c>
      <c r="F1855" s="19" t="s">
        <v>28</v>
      </c>
      <c r="G1855" s="19">
        <v>5.26</v>
      </c>
      <c r="H1855" s="19" t="s">
        <v>28</v>
      </c>
      <c r="I1855" s="18" t="s">
        <v>28</v>
      </c>
      <c r="J1855" s="18" t="s">
        <v>28</v>
      </c>
      <c r="K1855" s="18" t="s">
        <v>28</v>
      </c>
      <c r="L1855" s="18" t="s">
        <v>28</v>
      </c>
      <c r="M1855" s="18" t="s">
        <v>28</v>
      </c>
      <c r="N1855" s="17">
        <v>45020</v>
      </c>
      <c r="O1855" s="15" t="s">
        <v>73</v>
      </c>
      <c r="P1855" s="16" t="s">
        <v>6495</v>
      </c>
      <c r="Q1855" s="15" t="s">
        <v>75</v>
      </c>
      <c r="R1855" s="13" t="str">
        <f>HYPERLINK("https://my.pitchbook.com?c=214040-80T","View Company Online")</f>
        <v>View Company Online</v>
      </c>
    </row>
    <row r="1856" spans="1:18" hidden="1" x14ac:dyDescent="0.3">
      <c r="A1856" s="9" t="s">
        <v>6496</v>
      </c>
      <c r="B1856" s="9" t="s">
        <v>6497</v>
      </c>
      <c r="C1856" s="11" t="s">
        <v>28</v>
      </c>
      <c r="D1856" s="9" t="s">
        <v>6498</v>
      </c>
      <c r="E1856" s="11" t="s">
        <v>28</v>
      </c>
      <c r="F1856" s="10" t="s">
        <v>28</v>
      </c>
      <c r="G1856" s="10" t="s">
        <v>28</v>
      </c>
      <c r="H1856" s="10" t="s">
        <v>28</v>
      </c>
      <c r="I1856" s="11" t="s">
        <v>28</v>
      </c>
      <c r="J1856" s="11" t="s">
        <v>28</v>
      </c>
      <c r="K1856" s="11" t="s">
        <v>28</v>
      </c>
      <c r="L1856" s="11" t="s">
        <v>28</v>
      </c>
      <c r="M1856" s="11" t="s">
        <v>28</v>
      </c>
      <c r="N1856" s="8">
        <v>45020</v>
      </c>
      <c r="O1856" s="9" t="s">
        <v>173</v>
      </c>
      <c r="P1856" s="12" t="s">
        <v>28</v>
      </c>
      <c r="Q1856" s="9" t="s">
        <v>174</v>
      </c>
      <c r="R1856" s="14" t="str">
        <f>HYPERLINK("https://my.pitchbook.com?c=220046-50T","View Company Online")</f>
        <v>View Company Online</v>
      </c>
    </row>
    <row r="1857" spans="1:18" hidden="1" x14ac:dyDescent="0.3">
      <c r="A1857" s="15" t="s">
        <v>6499</v>
      </c>
      <c r="B1857" s="15" t="s">
        <v>6500</v>
      </c>
      <c r="C1857" s="18" t="s">
        <v>28</v>
      </c>
      <c r="D1857" s="15" t="s">
        <v>6501</v>
      </c>
      <c r="E1857" s="18" t="s">
        <v>28</v>
      </c>
      <c r="F1857" s="19" t="s">
        <v>28</v>
      </c>
      <c r="G1857" s="19" t="s">
        <v>28</v>
      </c>
      <c r="H1857" s="19" t="s">
        <v>28</v>
      </c>
      <c r="I1857" s="18" t="s">
        <v>28</v>
      </c>
      <c r="J1857" s="18" t="s">
        <v>28</v>
      </c>
      <c r="K1857" s="18" t="s">
        <v>28</v>
      </c>
      <c r="L1857" s="18" t="s">
        <v>28</v>
      </c>
      <c r="M1857" s="18" t="s">
        <v>28</v>
      </c>
      <c r="N1857" s="17">
        <v>45020</v>
      </c>
      <c r="O1857" s="15" t="s">
        <v>58</v>
      </c>
      <c r="P1857" s="16" t="s">
        <v>6502</v>
      </c>
      <c r="Q1857" s="15" t="s">
        <v>3973</v>
      </c>
      <c r="R1857" s="13" t="str">
        <f>HYPERLINK("https://my.pitchbook.com?c=220195-36T","View Company Online")</f>
        <v>View Company Online</v>
      </c>
    </row>
    <row r="1858" spans="1:18" hidden="1" x14ac:dyDescent="0.3">
      <c r="A1858" s="9" t="s">
        <v>6503</v>
      </c>
      <c r="B1858" s="9" t="s">
        <v>6504</v>
      </c>
      <c r="C1858" s="11" t="s">
        <v>28</v>
      </c>
      <c r="D1858" s="9" t="s">
        <v>6505</v>
      </c>
      <c r="E1858" s="11" t="s">
        <v>28</v>
      </c>
      <c r="F1858" s="10" t="s">
        <v>28</v>
      </c>
      <c r="G1858" s="10" t="s">
        <v>28</v>
      </c>
      <c r="H1858" s="10" t="s">
        <v>28</v>
      </c>
      <c r="I1858" s="11" t="s">
        <v>28</v>
      </c>
      <c r="J1858" s="11" t="s">
        <v>28</v>
      </c>
      <c r="K1858" s="11" t="s">
        <v>28</v>
      </c>
      <c r="L1858" s="11" t="s">
        <v>28</v>
      </c>
      <c r="M1858" s="11" t="s">
        <v>28</v>
      </c>
      <c r="N1858" s="8">
        <v>45019</v>
      </c>
      <c r="O1858" s="9" t="s">
        <v>30</v>
      </c>
      <c r="P1858" s="12" t="s">
        <v>6506</v>
      </c>
      <c r="Q1858" s="9" t="s">
        <v>114</v>
      </c>
      <c r="R1858" s="14" t="str">
        <f>HYPERLINK("https://my.pitchbook.com?c=219886-12T","View Company Online")</f>
        <v>View Company Online</v>
      </c>
    </row>
    <row r="1859" spans="1:18" hidden="1" x14ac:dyDescent="0.3">
      <c r="A1859" s="15" t="s">
        <v>6507</v>
      </c>
      <c r="B1859" s="15" t="s">
        <v>6508</v>
      </c>
      <c r="C1859" s="18" t="s">
        <v>28</v>
      </c>
      <c r="D1859" s="15" t="s">
        <v>6509</v>
      </c>
      <c r="E1859" s="18" t="s">
        <v>28</v>
      </c>
      <c r="F1859" s="19" t="s">
        <v>28</v>
      </c>
      <c r="G1859" s="19" t="s">
        <v>28</v>
      </c>
      <c r="H1859" s="19" t="s">
        <v>28</v>
      </c>
      <c r="I1859" s="18" t="s">
        <v>28</v>
      </c>
      <c r="J1859" s="18" t="s">
        <v>28</v>
      </c>
      <c r="K1859" s="18" t="s">
        <v>28</v>
      </c>
      <c r="L1859" s="18" t="s">
        <v>28</v>
      </c>
      <c r="M1859" s="18" t="s">
        <v>28</v>
      </c>
      <c r="N1859" s="17">
        <v>45019</v>
      </c>
      <c r="O1859" s="15" t="s">
        <v>173</v>
      </c>
      <c r="P1859" s="16" t="s">
        <v>28</v>
      </c>
      <c r="Q1859" s="15" t="s">
        <v>174</v>
      </c>
      <c r="R1859" s="13" t="str">
        <f>HYPERLINK("https://my.pitchbook.com?c=220050-82T","View Company Online")</f>
        <v>View Company Online</v>
      </c>
    </row>
    <row r="1860" spans="1:18" hidden="1" x14ac:dyDescent="0.3">
      <c r="A1860" s="9" t="s">
        <v>6510</v>
      </c>
      <c r="B1860" s="9" t="s">
        <v>6511</v>
      </c>
      <c r="C1860" s="11" t="s">
        <v>28</v>
      </c>
      <c r="D1860" s="9" t="s">
        <v>6512</v>
      </c>
      <c r="E1860" s="11" t="s">
        <v>28</v>
      </c>
      <c r="F1860" s="10" t="s">
        <v>28</v>
      </c>
      <c r="G1860" s="10">
        <v>0.38</v>
      </c>
      <c r="H1860" s="10" t="s">
        <v>28</v>
      </c>
      <c r="I1860" s="11" t="s">
        <v>28</v>
      </c>
      <c r="J1860" s="11" t="s">
        <v>28</v>
      </c>
      <c r="K1860" s="11" t="s">
        <v>28</v>
      </c>
      <c r="L1860" s="11" t="s">
        <v>28</v>
      </c>
      <c r="M1860" s="11" t="s">
        <v>28</v>
      </c>
      <c r="N1860" s="8">
        <v>45019</v>
      </c>
      <c r="O1860" s="9" t="s">
        <v>79</v>
      </c>
      <c r="P1860" s="12" t="s">
        <v>28</v>
      </c>
      <c r="Q1860" s="9" t="s">
        <v>6513</v>
      </c>
      <c r="R1860" s="14" t="str">
        <f>HYPERLINK("https://my.pitchbook.com?c=219687-49T","View Company Online")</f>
        <v>View Company Online</v>
      </c>
    </row>
    <row r="1861" spans="1:18" hidden="1" x14ac:dyDescent="0.3">
      <c r="A1861" s="15" t="s">
        <v>6514</v>
      </c>
      <c r="B1861" s="15" t="s">
        <v>2738</v>
      </c>
      <c r="C1861" s="18" t="s">
        <v>28</v>
      </c>
      <c r="D1861" s="15" t="s">
        <v>2739</v>
      </c>
      <c r="E1861" s="18" t="s">
        <v>28</v>
      </c>
      <c r="F1861" s="19" t="s">
        <v>28</v>
      </c>
      <c r="G1861" s="19">
        <v>2</v>
      </c>
      <c r="H1861" s="19" t="s">
        <v>28</v>
      </c>
      <c r="I1861" s="18" t="s">
        <v>28</v>
      </c>
      <c r="J1861" s="18" t="s">
        <v>28</v>
      </c>
      <c r="K1861" s="18" t="s">
        <v>28</v>
      </c>
      <c r="L1861" s="18" t="s">
        <v>28</v>
      </c>
      <c r="M1861" s="18" t="s">
        <v>28</v>
      </c>
      <c r="N1861" s="17">
        <v>45019</v>
      </c>
      <c r="O1861" s="15" t="s">
        <v>99</v>
      </c>
      <c r="P1861" s="16" t="s">
        <v>6515</v>
      </c>
      <c r="Q1861" s="15" t="s">
        <v>75</v>
      </c>
      <c r="R1861" s="13" t="str">
        <f>HYPERLINK("https://my.pitchbook.com?c=220862-26T","View Company Online")</f>
        <v>View Company Online</v>
      </c>
    </row>
    <row r="1862" spans="1:18" hidden="1" x14ac:dyDescent="0.3">
      <c r="A1862" s="9" t="s">
        <v>6516</v>
      </c>
      <c r="B1862" s="9" t="s">
        <v>6517</v>
      </c>
      <c r="C1862" s="11" t="s">
        <v>28</v>
      </c>
      <c r="D1862" s="9" t="s">
        <v>6518</v>
      </c>
      <c r="E1862" s="11" t="s">
        <v>28</v>
      </c>
      <c r="F1862" s="10" t="s">
        <v>28</v>
      </c>
      <c r="G1862" s="10">
        <v>3.84</v>
      </c>
      <c r="H1862" s="10">
        <v>19.2</v>
      </c>
      <c r="I1862" s="11" t="s">
        <v>28</v>
      </c>
      <c r="J1862" s="11" t="s">
        <v>28</v>
      </c>
      <c r="K1862" s="11" t="s">
        <v>28</v>
      </c>
      <c r="L1862" s="11" t="s">
        <v>28</v>
      </c>
      <c r="M1862" s="11" t="s">
        <v>28</v>
      </c>
      <c r="N1862" s="8">
        <v>45019</v>
      </c>
      <c r="O1862" s="9" t="s">
        <v>58</v>
      </c>
      <c r="P1862" s="12" t="s">
        <v>6519</v>
      </c>
      <c r="Q1862" s="9" t="s">
        <v>75</v>
      </c>
      <c r="R1862" s="14" t="str">
        <f>HYPERLINK("https://my.pitchbook.com?c=220888-36T","View Company Online")</f>
        <v>View Company Online</v>
      </c>
    </row>
    <row r="1863" spans="1:18" hidden="1" x14ac:dyDescent="0.3">
      <c r="A1863" s="15" t="s">
        <v>6520</v>
      </c>
      <c r="B1863" s="15" t="s">
        <v>6521</v>
      </c>
      <c r="C1863" s="18" t="s">
        <v>28</v>
      </c>
      <c r="D1863" s="15" t="s">
        <v>6522</v>
      </c>
      <c r="E1863" s="18" t="s">
        <v>28</v>
      </c>
      <c r="F1863" s="19" t="s">
        <v>28</v>
      </c>
      <c r="G1863" s="19" t="s">
        <v>28</v>
      </c>
      <c r="H1863" s="19" t="s">
        <v>28</v>
      </c>
      <c r="I1863" s="18" t="s">
        <v>28</v>
      </c>
      <c r="J1863" s="18" t="s">
        <v>28</v>
      </c>
      <c r="K1863" s="18">
        <v>5.91</v>
      </c>
      <c r="L1863" s="18" t="s">
        <v>28</v>
      </c>
      <c r="M1863" s="18" t="s">
        <v>28</v>
      </c>
      <c r="N1863" s="17">
        <v>45019</v>
      </c>
      <c r="O1863" s="15" t="s">
        <v>30</v>
      </c>
      <c r="P1863" s="16" t="s">
        <v>6523</v>
      </c>
      <c r="Q1863" s="15" t="s">
        <v>75</v>
      </c>
      <c r="R1863" s="13" t="str">
        <f>HYPERLINK("https://my.pitchbook.com?c=220066-66T","View Company Online")</f>
        <v>View Company Online</v>
      </c>
    </row>
    <row r="1864" spans="1:18" hidden="1" x14ac:dyDescent="0.3">
      <c r="A1864" s="9" t="s">
        <v>6524</v>
      </c>
      <c r="B1864" s="9" t="s">
        <v>6525</v>
      </c>
      <c r="C1864" s="11" t="s">
        <v>28</v>
      </c>
      <c r="D1864" s="9" t="s">
        <v>6526</v>
      </c>
      <c r="E1864" s="11" t="s">
        <v>28</v>
      </c>
      <c r="F1864" s="10" t="s">
        <v>28</v>
      </c>
      <c r="G1864" s="10">
        <v>10</v>
      </c>
      <c r="H1864" s="10" t="s">
        <v>28</v>
      </c>
      <c r="I1864" s="11">
        <v>0.03</v>
      </c>
      <c r="J1864" s="11" t="s">
        <v>28</v>
      </c>
      <c r="K1864" s="11">
        <v>0.6</v>
      </c>
      <c r="L1864" s="11" t="s">
        <v>28</v>
      </c>
      <c r="M1864" s="11">
        <v>0.03</v>
      </c>
      <c r="N1864" s="8">
        <v>45019</v>
      </c>
      <c r="O1864" s="9" t="s">
        <v>99</v>
      </c>
      <c r="P1864" s="12" t="s">
        <v>28</v>
      </c>
      <c r="Q1864" s="9" t="s">
        <v>263</v>
      </c>
      <c r="R1864" s="14" t="str">
        <f>HYPERLINK("https://my.pitchbook.com?c=223065-91T","View Company Online")</f>
        <v>View Company Online</v>
      </c>
    </row>
    <row r="1865" spans="1:18" hidden="1" x14ac:dyDescent="0.3">
      <c r="A1865" s="15" t="s">
        <v>6527</v>
      </c>
      <c r="B1865" s="15" t="s">
        <v>6528</v>
      </c>
      <c r="C1865" s="18" t="s">
        <v>28</v>
      </c>
      <c r="D1865" s="15" t="s">
        <v>6529</v>
      </c>
      <c r="E1865" s="18" t="s">
        <v>28</v>
      </c>
      <c r="F1865" s="19" t="s">
        <v>28</v>
      </c>
      <c r="G1865" s="19">
        <v>2</v>
      </c>
      <c r="H1865" s="19" t="s">
        <v>28</v>
      </c>
      <c r="I1865" s="18" t="s">
        <v>28</v>
      </c>
      <c r="J1865" s="18" t="s">
        <v>28</v>
      </c>
      <c r="K1865" s="18" t="s">
        <v>28</v>
      </c>
      <c r="L1865" s="18" t="s">
        <v>28</v>
      </c>
      <c r="M1865" s="18" t="s">
        <v>28</v>
      </c>
      <c r="N1865" s="17">
        <v>45019</v>
      </c>
      <c r="O1865" s="15" t="s">
        <v>99</v>
      </c>
      <c r="P1865" s="16" t="s">
        <v>5673</v>
      </c>
      <c r="Q1865" s="15" t="s">
        <v>37</v>
      </c>
      <c r="R1865" s="13" t="str">
        <f>HYPERLINK("https://my.pitchbook.com?c=232952-86T","View Company Online")</f>
        <v>View Company Online</v>
      </c>
    </row>
    <row r="1866" spans="1:18" hidden="1" x14ac:dyDescent="0.3">
      <c r="A1866" s="9" t="s">
        <v>6530</v>
      </c>
      <c r="B1866" s="9" t="s">
        <v>6531</v>
      </c>
      <c r="C1866" s="11" t="s">
        <v>28</v>
      </c>
      <c r="D1866" s="9" t="s">
        <v>6532</v>
      </c>
      <c r="E1866" s="11">
        <v>11.26</v>
      </c>
      <c r="F1866" s="10" t="s">
        <v>28</v>
      </c>
      <c r="G1866" s="10" t="s">
        <v>28</v>
      </c>
      <c r="H1866" s="10" t="s">
        <v>28</v>
      </c>
      <c r="I1866" s="11">
        <v>32.11</v>
      </c>
      <c r="J1866" s="11" t="s">
        <v>28</v>
      </c>
      <c r="K1866" s="11">
        <v>230.96</v>
      </c>
      <c r="L1866" s="11" t="s">
        <v>28</v>
      </c>
      <c r="M1866" s="11">
        <v>6.09</v>
      </c>
      <c r="N1866" s="8">
        <v>45018</v>
      </c>
      <c r="O1866" s="9" t="s">
        <v>159</v>
      </c>
      <c r="P1866" s="12" t="s">
        <v>6533</v>
      </c>
      <c r="Q1866" s="9" t="s">
        <v>880</v>
      </c>
      <c r="R1866" s="14" t="str">
        <f>HYPERLINK("https://my.pitchbook.com?c=227610-10T","View Company Online")</f>
        <v>View Company Online</v>
      </c>
    </row>
    <row r="1867" spans="1:18" hidden="1" x14ac:dyDescent="0.3">
      <c r="A1867" s="15" t="s">
        <v>6534</v>
      </c>
      <c r="B1867" s="15" t="s">
        <v>6535</v>
      </c>
      <c r="C1867" s="18" t="s">
        <v>28</v>
      </c>
      <c r="D1867" s="15" t="s">
        <v>6536</v>
      </c>
      <c r="E1867" s="18" t="s">
        <v>28</v>
      </c>
      <c r="F1867" s="19" t="s">
        <v>28</v>
      </c>
      <c r="G1867" s="19" t="s">
        <v>28</v>
      </c>
      <c r="H1867" s="19" t="s">
        <v>28</v>
      </c>
      <c r="I1867" s="18" t="s">
        <v>28</v>
      </c>
      <c r="J1867" s="18" t="s">
        <v>28</v>
      </c>
      <c r="K1867" s="18">
        <v>0.28999999999999998</v>
      </c>
      <c r="L1867" s="18" t="s">
        <v>28</v>
      </c>
      <c r="M1867" s="18" t="s">
        <v>28</v>
      </c>
      <c r="N1867" s="17">
        <v>45018</v>
      </c>
      <c r="O1867" s="15" t="s">
        <v>52</v>
      </c>
      <c r="P1867" s="16" t="s">
        <v>6537</v>
      </c>
      <c r="Q1867" s="15" t="s">
        <v>75</v>
      </c>
      <c r="R1867" s="13" t="str">
        <f>HYPERLINK("https://my.pitchbook.com?c=298176-76T","View Company Online")</f>
        <v>View Company Online</v>
      </c>
    </row>
    <row r="1868" spans="1:18" hidden="1" x14ac:dyDescent="0.3">
      <c r="A1868" s="9" t="s">
        <v>6538</v>
      </c>
      <c r="B1868" s="9" t="s">
        <v>3231</v>
      </c>
      <c r="C1868" s="11" t="s">
        <v>28</v>
      </c>
      <c r="D1868" s="9" t="s">
        <v>3232</v>
      </c>
      <c r="E1868" s="11" t="s">
        <v>28</v>
      </c>
      <c r="F1868" s="10" t="s">
        <v>28</v>
      </c>
      <c r="G1868" s="10" t="s">
        <v>28</v>
      </c>
      <c r="H1868" s="10" t="s">
        <v>28</v>
      </c>
      <c r="I1868" s="11" t="s">
        <v>28</v>
      </c>
      <c r="J1868" s="11" t="s">
        <v>28</v>
      </c>
      <c r="K1868" s="11" t="s">
        <v>28</v>
      </c>
      <c r="L1868" s="11" t="s">
        <v>28</v>
      </c>
      <c r="M1868" s="11" t="s">
        <v>28</v>
      </c>
      <c r="N1868" s="8">
        <v>45017</v>
      </c>
      <c r="O1868" s="9" t="s">
        <v>93</v>
      </c>
      <c r="P1868" s="12" t="s">
        <v>6539</v>
      </c>
      <c r="Q1868" s="9" t="s">
        <v>692</v>
      </c>
      <c r="R1868" s="14" t="str">
        <f>HYPERLINK("https://my.pitchbook.com?c=221436-10T","View Company Online")</f>
        <v>View Company Online</v>
      </c>
    </row>
    <row r="1869" spans="1:18" hidden="1" x14ac:dyDescent="0.3">
      <c r="A1869" s="15" t="s">
        <v>6540</v>
      </c>
      <c r="B1869" s="15" t="s">
        <v>6541</v>
      </c>
      <c r="C1869" s="18" t="s">
        <v>28</v>
      </c>
      <c r="D1869" s="15" t="s">
        <v>6542</v>
      </c>
      <c r="E1869" s="18" t="s">
        <v>28</v>
      </c>
      <c r="F1869" s="19" t="s">
        <v>28</v>
      </c>
      <c r="G1869" s="19" t="s">
        <v>28</v>
      </c>
      <c r="H1869" s="19" t="s">
        <v>28</v>
      </c>
      <c r="I1869" s="18" t="s">
        <v>28</v>
      </c>
      <c r="J1869" s="18" t="s">
        <v>28</v>
      </c>
      <c r="K1869" s="18" t="s">
        <v>28</v>
      </c>
      <c r="L1869" s="18" t="s">
        <v>28</v>
      </c>
      <c r="M1869" s="18" t="s">
        <v>28</v>
      </c>
      <c r="N1869" s="17">
        <v>45017</v>
      </c>
      <c r="O1869" s="15" t="s">
        <v>52</v>
      </c>
      <c r="P1869" s="16" t="s">
        <v>6543</v>
      </c>
      <c r="Q1869" s="15" t="s">
        <v>75</v>
      </c>
      <c r="R1869" s="13" t="str">
        <f>HYPERLINK("https://my.pitchbook.com?c=220581-01T","View Company Online")</f>
        <v>View Company Online</v>
      </c>
    </row>
    <row r="1870" spans="1:18" hidden="1" x14ac:dyDescent="0.3">
      <c r="A1870" s="9" t="s">
        <v>6544</v>
      </c>
      <c r="B1870" s="9" t="s">
        <v>6545</v>
      </c>
      <c r="C1870" s="11" t="s">
        <v>28</v>
      </c>
      <c r="D1870" s="9" t="s">
        <v>6546</v>
      </c>
      <c r="E1870" s="11" t="s">
        <v>28</v>
      </c>
      <c r="F1870" s="10" t="s">
        <v>28</v>
      </c>
      <c r="G1870" s="10">
        <v>1</v>
      </c>
      <c r="H1870" s="10" t="s">
        <v>28</v>
      </c>
      <c r="I1870" s="11" t="s">
        <v>28</v>
      </c>
      <c r="J1870" s="11" t="s">
        <v>28</v>
      </c>
      <c r="K1870" s="11" t="s">
        <v>28</v>
      </c>
      <c r="L1870" s="11" t="s">
        <v>28</v>
      </c>
      <c r="M1870" s="11" t="s">
        <v>28</v>
      </c>
      <c r="N1870" s="8">
        <v>45017</v>
      </c>
      <c r="O1870" s="9" t="s">
        <v>79</v>
      </c>
      <c r="P1870" s="12" t="s">
        <v>6547</v>
      </c>
      <c r="Q1870" s="9" t="s">
        <v>75</v>
      </c>
      <c r="R1870" s="14" t="str">
        <f>HYPERLINK("https://my.pitchbook.com?c=219662-11T","View Company Online")</f>
        <v>View Company Online</v>
      </c>
    </row>
    <row r="1871" spans="1:18" hidden="1" x14ac:dyDescent="0.3">
      <c r="A1871" s="15" t="s">
        <v>6548</v>
      </c>
      <c r="B1871" s="15" t="s">
        <v>6549</v>
      </c>
      <c r="C1871" s="18" t="s">
        <v>28</v>
      </c>
      <c r="D1871" s="15" t="s">
        <v>6550</v>
      </c>
      <c r="E1871" s="18" t="s">
        <v>28</v>
      </c>
      <c r="F1871" s="19" t="s">
        <v>28</v>
      </c>
      <c r="G1871" s="19" t="s">
        <v>28</v>
      </c>
      <c r="H1871" s="19" t="s">
        <v>28</v>
      </c>
      <c r="I1871" s="18" t="s">
        <v>28</v>
      </c>
      <c r="J1871" s="18" t="s">
        <v>28</v>
      </c>
      <c r="K1871" s="18" t="s">
        <v>28</v>
      </c>
      <c r="L1871" s="18" t="s">
        <v>28</v>
      </c>
      <c r="M1871" s="18" t="s">
        <v>28</v>
      </c>
      <c r="N1871" s="17">
        <v>45017</v>
      </c>
      <c r="O1871" s="15" t="s">
        <v>52</v>
      </c>
      <c r="P1871" s="16" t="s">
        <v>1970</v>
      </c>
      <c r="Q1871" s="15" t="s">
        <v>263</v>
      </c>
      <c r="R1871" s="13" t="str">
        <f>HYPERLINK("https://my.pitchbook.com?c=295335-55T","View Company Online")</f>
        <v>View Company Online</v>
      </c>
    </row>
    <row r="1872" spans="1:18" hidden="1" x14ac:dyDescent="0.3">
      <c r="A1872" s="9" t="s">
        <v>6551</v>
      </c>
      <c r="B1872" s="9" t="s">
        <v>270</v>
      </c>
      <c r="C1872" s="11" t="s">
        <v>28</v>
      </c>
      <c r="D1872" s="9" t="s">
        <v>271</v>
      </c>
      <c r="E1872" s="11" t="s">
        <v>28</v>
      </c>
      <c r="F1872" s="10" t="s">
        <v>28</v>
      </c>
      <c r="G1872" s="10">
        <v>7.67</v>
      </c>
      <c r="H1872" s="10" t="s">
        <v>28</v>
      </c>
      <c r="I1872" s="11" t="s">
        <v>28</v>
      </c>
      <c r="J1872" s="11" t="s">
        <v>28</v>
      </c>
      <c r="K1872" s="11" t="s">
        <v>28</v>
      </c>
      <c r="L1872" s="11" t="s">
        <v>28</v>
      </c>
      <c r="M1872" s="11" t="s">
        <v>28</v>
      </c>
      <c r="N1872" s="8">
        <v>45017</v>
      </c>
      <c r="O1872" s="9" t="s">
        <v>73</v>
      </c>
      <c r="P1872" s="12" t="s">
        <v>6552</v>
      </c>
      <c r="Q1872" s="9" t="s">
        <v>37</v>
      </c>
      <c r="R1872" s="14" t="str">
        <f>HYPERLINK("https://my.pitchbook.com?c=223460-20T","View Company Online")</f>
        <v>View Company Online</v>
      </c>
    </row>
    <row r="1873" spans="1:18" hidden="1" x14ac:dyDescent="0.3">
      <c r="A1873" s="15" t="s">
        <v>6553</v>
      </c>
      <c r="B1873" s="15" t="s">
        <v>6554</v>
      </c>
      <c r="C1873" s="18" t="s">
        <v>28</v>
      </c>
      <c r="D1873" s="15" t="s">
        <v>6555</v>
      </c>
      <c r="E1873" s="18" t="s">
        <v>28</v>
      </c>
      <c r="F1873" s="19" t="s">
        <v>28</v>
      </c>
      <c r="G1873" s="19" t="s">
        <v>28</v>
      </c>
      <c r="H1873" s="19" t="s">
        <v>28</v>
      </c>
      <c r="I1873" s="18" t="s">
        <v>28</v>
      </c>
      <c r="J1873" s="18" t="s">
        <v>28</v>
      </c>
      <c r="K1873" s="18" t="s">
        <v>28</v>
      </c>
      <c r="L1873" s="18" t="s">
        <v>28</v>
      </c>
      <c r="M1873" s="18" t="s">
        <v>28</v>
      </c>
      <c r="N1873" s="17">
        <v>45017</v>
      </c>
      <c r="O1873" s="15" t="s">
        <v>52</v>
      </c>
      <c r="P1873" s="16" t="s">
        <v>6556</v>
      </c>
      <c r="Q1873" s="15" t="s">
        <v>43</v>
      </c>
      <c r="R1873" s="13" t="str">
        <f>HYPERLINK("https://my.pitchbook.com?c=223057-27T","View Company Online")</f>
        <v>View Company Online</v>
      </c>
    </row>
    <row r="1874" spans="1:18" hidden="1" x14ac:dyDescent="0.3">
      <c r="A1874" s="9" t="s">
        <v>6557</v>
      </c>
      <c r="B1874" s="9" t="s">
        <v>6558</v>
      </c>
      <c r="C1874" s="11" t="s">
        <v>28</v>
      </c>
      <c r="D1874" s="9" t="s">
        <v>6559</v>
      </c>
      <c r="E1874" s="11" t="s">
        <v>28</v>
      </c>
      <c r="F1874" s="10" t="s">
        <v>28</v>
      </c>
      <c r="G1874" s="10" t="s">
        <v>28</v>
      </c>
      <c r="H1874" s="10" t="s">
        <v>28</v>
      </c>
      <c r="I1874" s="11" t="s">
        <v>28</v>
      </c>
      <c r="J1874" s="11" t="s">
        <v>28</v>
      </c>
      <c r="K1874" s="11" t="s">
        <v>28</v>
      </c>
      <c r="L1874" s="11" t="s">
        <v>28</v>
      </c>
      <c r="M1874" s="11" t="s">
        <v>28</v>
      </c>
      <c r="N1874" s="8">
        <v>45017</v>
      </c>
      <c r="O1874" s="9" t="s">
        <v>1285</v>
      </c>
      <c r="P1874" s="12" t="s">
        <v>28</v>
      </c>
      <c r="Q1874" s="9" t="s">
        <v>114</v>
      </c>
      <c r="R1874" s="14" t="str">
        <f>HYPERLINK("https://my.pitchbook.com?c=253632-52T","View Company Online")</f>
        <v>View Company Online</v>
      </c>
    </row>
    <row r="1875" spans="1:18" hidden="1" x14ac:dyDescent="0.3">
      <c r="A1875" s="15" t="s">
        <v>6560</v>
      </c>
      <c r="B1875" s="15" t="s">
        <v>491</v>
      </c>
      <c r="C1875" s="18" t="s">
        <v>28</v>
      </c>
      <c r="D1875" s="15" t="s">
        <v>492</v>
      </c>
      <c r="E1875" s="18" t="s">
        <v>28</v>
      </c>
      <c r="F1875" s="19" t="s">
        <v>28</v>
      </c>
      <c r="G1875" s="19">
        <v>0.38</v>
      </c>
      <c r="H1875" s="19" t="s">
        <v>28</v>
      </c>
      <c r="I1875" s="18" t="s">
        <v>28</v>
      </c>
      <c r="J1875" s="18" t="s">
        <v>28</v>
      </c>
      <c r="K1875" s="18" t="s">
        <v>28</v>
      </c>
      <c r="L1875" s="18" t="s">
        <v>28</v>
      </c>
      <c r="M1875" s="18" t="s">
        <v>28</v>
      </c>
      <c r="N1875" s="17">
        <v>45017</v>
      </c>
      <c r="O1875" s="15" t="s">
        <v>379</v>
      </c>
      <c r="P1875" s="16" t="s">
        <v>28</v>
      </c>
      <c r="Q1875" s="15" t="s">
        <v>75</v>
      </c>
      <c r="R1875" s="13" t="str">
        <f>HYPERLINK("https://my.pitchbook.com?c=279070-75T","View Company Online")</f>
        <v>View Company Online</v>
      </c>
    </row>
    <row r="1876" spans="1:18" hidden="1" x14ac:dyDescent="0.3">
      <c r="A1876" s="9" t="s">
        <v>6561</v>
      </c>
      <c r="B1876" s="9" t="s">
        <v>6562</v>
      </c>
      <c r="C1876" s="11" t="s">
        <v>28</v>
      </c>
      <c r="D1876" s="9" t="s">
        <v>6563</v>
      </c>
      <c r="E1876" s="11" t="s">
        <v>28</v>
      </c>
      <c r="F1876" s="10" t="s">
        <v>28</v>
      </c>
      <c r="G1876" s="10">
        <v>0.01</v>
      </c>
      <c r="H1876" s="10" t="s">
        <v>28</v>
      </c>
      <c r="I1876" s="11" t="s">
        <v>28</v>
      </c>
      <c r="J1876" s="11" t="s">
        <v>28</v>
      </c>
      <c r="K1876" s="11" t="s">
        <v>28</v>
      </c>
      <c r="L1876" s="11" t="s">
        <v>28</v>
      </c>
      <c r="M1876" s="11" t="s">
        <v>28</v>
      </c>
      <c r="N1876" s="8">
        <v>45017</v>
      </c>
      <c r="O1876" s="9" t="s">
        <v>47</v>
      </c>
      <c r="P1876" s="12" t="s">
        <v>28</v>
      </c>
      <c r="Q1876" s="9" t="s">
        <v>75</v>
      </c>
      <c r="R1876" s="14" t="str">
        <f>HYPERLINK("https://my.pitchbook.com?c=297537-94T","View Company Online")</f>
        <v>View Company Online</v>
      </c>
    </row>
    <row r="1877" spans="1:18" hidden="1" x14ac:dyDescent="0.3">
      <c r="A1877" s="15" t="s">
        <v>6564</v>
      </c>
      <c r="B1877" s="15" t="s">
        <v>6565</v>
      </c>
      <c r="C1877" s="18" t="s">
        <v>28</v>
      </c>
      <c r="D1877" s="15" t="s">
        <v>6566</v>
      </c>
      <c r="E1877" s="18" t="s">
        <v>28</v>
      </c>
      <c r="F1877" s="19" t="s">
        <v>28</v>
      </c>
      <c r="G1877" s="19" t="s">
        <v>28</v>
      </c>
      <c r="H1877" s="19" t="s">
        <v>28</v>
      </c>
      <c r="I1877" s="18" t="s">
        <v>28</v>
      </c>
      <c r="J1877" s="18" t="s">
        <v>28</v>
      </c>
      <c r="K1877" s="18" t="s">
        <v>28</v>
      </c>
      <c r="L1877" s="18" t="s">
        <v>28</v>
      </c>
      <c r="M1877" s="18" t="s">
        <v>28</v>
      </c>
      <c r="N1877" s="17">
        <v>45017</v>
      </c>
      <c r="O1877" s="15" t="s">
        <v>73</v>
      </c>
      <c r="P1877" s="16" t="s">
        <v>6567</v>
      </c>
      <c r="Q1877" s="15" t="s">
        <v>362</v>
      </c>
      <c r="R1877" s="13" t="str">
        <f>HYPERLINK("https://my.pitchbook.com?c=220088-89T","View Company Online")</f>
        <v>View Company Online</v>
      </c>
    </row>
    <row r="1878" spans="1:18" hidden="1" x14ac:dyDescent="0.3">
      <c r="A1878" s="9" t="s">
        <v>6568</v>
      </c>
      <c r="B1878" s="9" t="s">
        <v>6569</v>
      </c>
      <c r="C1878" s="11" t="s">
        <v>28</v>
      </c>
      <c r="D1878" s="9" t="s">
        <v>6570</v>
      </c>
      <c r="E1878" s="11" t="s">
        <v>28</v>
      </c>
      <c r="F1878" s="10" t="s">
        <v>28</v>
      </c>
      <c r="G1878" s="10" t="s">
        <v>28</v>
      </c>
      <c r="H1878" s="10" t="s">
        <v>28</v>
      </c>
      <c r="I1878" s="11" t="s">
        <v>28</v>
      </c>
      <c r="J1878" s="11" t="s">
        <v>28</v>
      </c>
      <c r="K1878" s="11" t="s">
        <v>28</v>
      </c>
      <c r="L1878" s="11" t="s">
        <v>28</v>
      </c>
      <c r="M1878" s="11" t="s">
        <v>28</v>
      </c>
      <c r="N1878" s="8">
        <v>45017</v>
      </c>
      <c r="O1878" s="9" t="s">
        <v>79</v>
      </c>
      <c r="P1878" s="12" t="s">
        <v>2927</v>
      </c>
      <c r="Q1878" s="9" t="s">
        <v>105</v>
      </c>
      <c r="R1878" s="14" t="str">
        <f>HYPERLINK("https://my.pitchbook.com?c=220647-61T","View Company Online")</f>
        <v>View Company Online</v>
      </c>
    </row>
    <row r="1879" spans="1:18" hidden="1" x14ac:dyDescent="0.3">
      <c r="A1879" s="15" t="s">
        <v>6571</v>
      </c>
      <c r="B1879" s="15" t="s">
        <v>6572</v>
      </c>
      <c r="C1879" s="18" t="s">
        <v>28</v>
      </c>
      <c r="D1879" s="15" t="s">
        <v>6573</v>
      </c>
      <c r="E1879" s="18" t="s">
        <v>28</v>
      </c>
      <c r="F1879" s="19" t="s">
        <v>28</v>
      </c>
      <c r="G1879" s="19" t="s">
        <v>28</v>
      </c>
      <c r="H1879" s="19" t="s">
        <v>28</v>
      </c>
      <c r="I1879" s="18" t="s">
        <v>28</v>
      </c>
      <c r="J1879" s="18" t="s">
        <v>28</v>
      </c>
      <c r="K1879" s="18" t="s">
        <v>28</v>
      </c>
      <c r="L1879" s="18" t="s">
        <v>28</v>
      </c>
      <c r="M1879" s="18" t="s">
        <v>28</v>
      </c>
      <c r="N1879" s="17">
        <v>45017</v>
      </c>
      <c r="O1879" s="15" t="s">
        <v>73</v>
      </c>
      <c r="P1879" s="16" t="s">
        <v>6574</v>
      </c>
      <c r="Q1879" s="15" t="s">
        <v>404</v>
      </c>
      <c r="R1879" s="13" t="str">
        <f>HYPERLINK("https://my.pitchbook.com?c=220483-36T","View Company Online")</f>
        <v>View Company Online</v>
      </c>
    </row>
    <row r="1880" spans="1:18" hidden="1" x14ac:dyDescent="0.3">
      <c r="A1880" s="9" t="s">
        <v>6575</v>
      </c>
      <c r="B1880" s="9" t="s">
        <v>6576</v>
      </c>
      <c r="C1880" s="11" t="s">
        <v>28</v>
      </c>
      <c r="D1880" s="9" t="s">
        <v>6577</v>
      </c>
      <c r="E1880" s="11" t="s">
        <v>28</v>
      </c>
      <c r="F1880" s="10" t="s">
        <v>28</v>
      </c>
      <c r="G1880" s="10" t="s">
        <v>28</v>
      </c>
      <c r="H1880" s="10" t="s">
        <v>28</v>
      </c>
      <c r="I1880" s="11" t="s">
        <v>28</v>
      </c>
      <c r="J1880" s="11" t="s">
        <v>28</v>
      </c>
      <c r="K1880" s="11" t="s">
        <v>28</v>
      </c>
      <c r="L1880" s="11" t="s">
        <v>28</v>
      </c>
      <c r="M1880" s="11" t="s">
        <v>28</v>
      </c>
      <c r="N1880" s="8">
        <v>45017</v>
      </c>
      <c r="O1880" s="9" t="s">
        <v>93</v>
      </c>
      <c r="P1880" s="12" t="s">
        <v>1612</v>
      </c>
      <c r="Q1880" s="9" t="s">
        <v>43</v>
      </c>
      <c r="R1880" s="14" t="str">
        <f>HYPERLINK("https://my.pitchbook.com?c=219883-60T","View Company Online")</f>
        <v>View Company Online</v>
      </c>
    </row>
    <row r="1881" spans="1:18" hidden="1" x14ac:dyDescent="0.3">
      <c r="A1881" s="15" t="s">
        <v>6578</v>
      </c>
      <c r="B1881" s="15" t="s">
        <v>6579</v>
      </c>
      <c r="C1881" s="18" t="s">
        <v>28</v>
      </c>
      <c r="D1881" s="15" t="s">
        <v>6580</v>
      </c>
      <c r="E1881" s="18" t="s">
        <v>28</v>
      </c>
      <c r="F1881" s="19" t="s">
        <v>28</v>
      </c>
      <c r="G1881" s="19" t="s">
        <v>28</v>
      </c>
      <c r="H1881" s="19" t="s">
        <v>28</v>
      </c>
      <c r="I1881" s="18" t="s">
        <v>28</v>
      </c>
      <c r="J1881" s="18" t="s">
        <v>28</v>
      </c>
      <c r="K1881" s="18" t="s">
        <v>28</v>
      </c>
      <c r="L1881" s="18" t="s">
        <v>28</v>
      </c>
      <c r="M1881" s="18" t="s">
        <v>28</v>
      </c>
      <c r="N1881" s="17">
        <v>45017</v>
      </c>
      <c r="O1881" s="15" t="s">
        <v>30</v>
      </c>
      <c r="P1881" s="16" t="s">
        <v>6581</v>
      </c>
      <c r="Q1881" s="15" t="s">
        <v>75</v>
      </c>
      <c r="R1881" s="13" t="str">
        <f>HYPERLINK("https://my.pitchbook.com?c=224493-13T","View Company Online")</f>
        <v>View Company Online</v>
      </c>
    </row>
    <row r="1882" spans="1:18" hidden="1" x14ac:dyDescent="0.3">
      <c r="A1882" s="9" t="s">
        <v>6582</v>
      </c>
      <c r="B1882" s="9" t="s">
        <v>6583</v>
      </c>
      <c r="C1882" s="11" t="s">
        <v>28</v>
      </c>
      <c r="D1882" s="9" t="s">
        <v>6584</v>
      </c>
      <c r="E1882" s="11" t="s">
        <v>28</v>
      </c>
      <c r="F1882" s="10" t="s">
        <v>28</v>
      </c>
      <c r="G1882" s="10" t="s">
        <v>28</v>
      </c>
      <c r="H1882" s="10" t="s">
        <v>28</v>
      </c>
      <c r="I1882" s="11" t="s">
        <v>28</v>
      </c>
      <c r="J1882" s="11" t="s">
        <v>28</v>
      </c>
      <c r="K1882" s="11" t="s">
        <v>28</v>
      </c>
      <c r="L1882" s="11" t="s">
        <v>28</v>
      </c>
      <c r="M1882" s="11" t="s">
        <v>28</v>
      </c>
      <c r="N1882" s="8">
        <v>45016</v>
      </c>
      <c r="O1882" s="9" t="s">
        <v>99</v>
      </c>
      <c r="P1882" s="12" t="s">
        <v>28</v>
      </c>
      <c r="Q1882" s="9" t="s">
        <v>119</v>
      </c>
      <c r="R1882" s="14" t="str">
        <f>HYPERLINK("https://my.pitchbook.com?c=220001-86T","View Company Online")</f>
        <v>View Company Online</v>
      </c>
    </row>
    <row r="1883" spans="1:18" hidden="1" x14ac:dyDescent="0.3">
      <c r="A1883" s="15" t="s">
        <v>6585</v>
      </c>
      <c r="B1883" s="15" t="s">
        <v>6586</v>
      </c>
      <c r="C1883" s="18" t="s">
        <v>28</v>
      </c>
      <c r="D1883" s="15" t="s">
        <v>6587</v>
      </c>
      <c r="E1883" s="18" t="s">
        <v>28</v>
      </c>
      <c r="F1883" s="19" t="s">
        <v>28</v>
      </c>
      <c r="G1883" s="19" t="s">
        <v>28</v>
      </c>
      <c r="H1883" s="19" t="s">
        <v>28</v>
      </c>
      <c r="I1883" s="18" t="s">
        <v>28</v>
      </c>
      <c r="J1883" s="18" t="s">
        <v>28</v>
      </c>
      <c r="K1883" s="18" t="s">
        <v>28</v>
      </c>
      <c r="L1883" s="18" t="s">
        <v>28</v>
      </c>
      <c r="M1883" s="18" t="s">
        <v>28</v>
      </c>
      <c r="N1883" s="17">
        <v>45016</v>
      </c>
      <c r="O1883" s="15" t="s">
        <v>73</v>
      </c>
      <c r="P1883" s="16" t="s">
        <v>611</v>
      </c>
      <c r="Q1883" s="15" t="s">
        <v>75</v>
      </c>
      <c r="R1883" s="13" t="str">
        <f>HYPERLINK("https://my.pitchbook.com?c=220115-17T","View Company Online")</f>
        <v>View Company Online</v>
      </c>
    </row>
    <row r="1884" spans="1:18" hidden="1" x14ac:dyDescent="0.3">
      <c r="A1884" s="9" t="s">
        <v>6588</v>
      </c>
      <c r="B1884" s="9" t="s">
        <v>6589</v>
      </c>
      <c r="C1884" s="11" t="s">
        <v>28</v>
      </c>
      <c r="D1884" s="9" t="s">
        <v>6590</v>
      </c>
      <c r="E1884" s="11" t="s">
        <v>28</v>
      </c>
      <c r="F1884" s="10">
        <v>1.9</v>
      </c>
      <c r="G1884" s="10">
        <v>1.9</v>
      </c>
      <c r="H1884" s="10">
        <v>1.9</v>
      </c>
      <c r="I1884" s="11" t="s">
        <v>28</v>
      </c>
      <c r="J1884" s="11" t="s">
        <v>28</v>
      </c>
      <c r="K1884" s="11" t="s">
        <v>28</v>
      </c>
      <c r="L1884" s="11" t="s">
        <v>28</v>
      </c>
      <c r="M1884" s="11" t="s">
        <v>28</v>
      </c>
      <c r="N1884" s="8">
        <v>45016</v>
      </c>
      <c r="O1884" s="9" t="s">
        <v>30</v>
      </c>
      <c r="P1884" s="12" t="s">
        <v>3797</v>
      </c>
      <c r="Q1884" s="9" t="s">
        <v>290</v>
      </c>
      <c r="R1884" s="14" t="str">
        <f>HYPERLINK("https://my.pitchbook.com?c=220175-29T","View Company Online")</f>
        <v>View Company Online</v>
      </c>
    </row>
    <row r="1885" spans="1:18" hidden="1" x14ac:dyDescent="0.3">
      <c r="A1885" s="15" t="s">
        <v>6591</v>
      </c>
      <c r="B1885" s="15" t="s">
        <v>6592</v>
      </c>
      <c r="C1885" s="18" t="s">
        <v>28</v>
      </c>
      <c r="D1885" s="15" t="s">
        <v>6593</v>
      </c>
      <c r="E1885" s="18" t="s">
        <v>28</v>
      </c>
      <c r="F1885" s="19">
        <v>1200</v>
      </c>
      <c r="G1885" s="19">
        <v>1200</v>
      </c>
      <c r="H1885" s="19">
        <v>1200</v>
      </c>
      <c r="I1885" s="18" t="s">
        <v>28</v>
      </c>
      <c r="J1885" s="18" t="s">
        <v>28</v>
      </c>
      <c r="K1885" s="18" t="s">
        <v>28</v>
      </c>
      <c r="L1885" s="18" t="s">
        <v>28</v>
      </c>
      <c r="M1885" s="18" t="s">
        <v>28</v>
      </c>
      <c r="N1885" s="17">
        <v>45016</v>
      </c>
      <c r="O1885" s="15" t="s">
        <v>30</v>
      </c>
      <c r="P1885" s="16" t="s">
        <v>6594</v>
      </c>
      <c r="Q1885" s="15" t="s">
        <v>136</v>
      </c>
      <c r="R1885" s="13" t="str">
        <f>HYPERLINK("https://my.pitchbook.com?c=206470-90T","View Company Online")</f>
        <v>View Company Online</v>
      </c>
    </row>
    <row r="1886" spans="1:18" hidden="1" x14ac:dyDescent="0.3">
      <c r="A1886" s="9" t="s">
        <v>6595</v>
      </c>
      <c r="B1886" s="9" t="s">
        <v>6596</v>
      </c>
      <c r="C1886" s="11" t="s">
        <v>28</v>
      </c>
      <c r="D1886" s="9" t="s">
        <v>6597</v>
      </c>
      <c r="E1886" s="11" t="s">
        <v>28</v>
      </c>
      <c r="F1886" s="10" t="s">
        <v>28</v>
      </c>
      <c r="G1886" s="10" t="s">
        <v>28</v>
      </c>
      <c r="H1886" s="10" t="s">
        <v>28</v>
      </c>
      <c r="I1886" s="11" t="s">
        <v>28</v>
      </c>
      <c r="J1886" s="11" t="s">
        <v>28</v>
      </c>
      <c r="K1886" s="11" t="s">
        <v>28</v>
      </c>
      <c r="L1886" s="11" t="s">
        <v>28</v>
      </c>
      <c r="M1886" s="11" t="s">
        <v>28</v>
      </c>
      <c r="N1886" s="8">
        <v>45016</v>
      </c>
      <c r="O1886" s="9" t="s">
        <v>79</v>
      </c>
      <c r="P1886" s="12" t="s">
        <v>611</v>
      </c>
      <c r="Q1886" s="9" t="s">
        <v>3912</v>
      </c>
      <c r="R1886" s="14" t="str">
        <f>HYPERLINK("https://my.pitchbook.com?c=220115-89T","View Company Online")</f>
        <v>View Company Online</v>
      </c>
    </row>
    <row r="1887" spans="1:18" hidden="1" x14ac:dyDescent="0.3">
      <c r="A1887" s="15" t="s">
        <v>6598</v>
      </c>
      <c r="B1887" s="15" t="s">
        <v>6599</v>
      </c>
      <c r="C1887" s="18" t="s">
        <v>28</v>
      </c>
      <c r="D1887" s="15" t="s">
        <v>6600</v>
      </c>
      <c r="E1887" s="18" t="s">
        <v>28</v>
      </c>
      <c r="F1887" s="19" t="s">
        <v>28</v>
      </c>
      <c r="G1887" s="19" t="s">
        <v>28</v>
      </c>
      <c r="H1887" s="19" t="s">
        <v>28</v>
      </c>
      <c r="I1887" s="18" t="s">
        <v>28</v>
      </c>
      <c r="J1887" s="18" t="s">
        <v>28</v>
      </c>
      <c r="K1887" s="18" t="s">
        <v>28</v>
      </c>
      <c r="L1887" s="18" t="s">
        <v>28</v>
      </c>
      <c r="M1887" s="18" t="s">
        <v>28</v>
      </c>
      <c r="N1887" s="17">
        <v>45016</v>
      </c>
      <c r="O1887" s="15" t="s">
        <v>30</v>
      </c>
      <c r="P1887" s="16" t="s">
        <v>6601</v>
      </c>
      <c r="Q1887" s="15" t="s">
        <v>43</v>
      </c>
      <c r="R1887" s="13" t="str">
        <f>HYPERLINK("https://my.pitchbook.com?c=226692-64T","View Company Online")</f>
        <v>View Company Online</v>
      </c>
    </row>
    <row r="1888" spans="1:18" hidden="1" x14ac:dyDescent="0.3">
      <c r="A1888" s="9" t="s">
        <v>6602</v>
      </c>
      <c r="B1888" s="9" t="s">
        <v>6603</v>
      </c>
      <c r="C1888" s="11" t="s">
        <v>28</v>
      </c>
      <c r="D1888" s="9" t="s">
        <v>6604</v>
      </c>
      <c r="E1888" s="11" t="s">
        <v>28</v>
      </c>
      <c r="F1888" s="10" t="s">
        <v>28</v>
      </c>
      <c r="G1888" s="10" t="s">
        <v>28</v>
      </c>
      <c r="H1888" s="10" t="s">
        <v>28</v>
      </c>
      <c r="I1888" s="11" t="s">
        <v>28</v>
      </c>
      <c r="J1888" s="11" t="s">
        <v>28</v>
      </c>
      <c r="K1888" s="11" t="s">
        <v>28</v>
      </c>
      <c r="L1888" s="11" t="s">
        <v>28</v>
      </c>
      <c r="M1888" s="11" t="s">
        <v>28</v>
      </c>
      <c r="N1888" s="8">
        <v>45016</v>
      </c>
      <c r="O1888" s="9" t="s">
        <v>41</v>
      </c>
      <c r="P1888" s="12" t="s">
        <v>4633</v>
      </c>
      <c r="Q1888" s="9" t="s">
        <v>1068</v>
      </c>
      <c r="R1888" s="14" t="str">
        <f>HYPERLINK("https://my.pitchbook.com?c=226269-55T","View Company Online")</f>
        <v>View Company Online</v>
      </c>
    </row>
    <row r="1889" spans="1:18" hidden="1" x14ac:dyDescent="0.3">
      <c r="A1889" s="15" t="s">
        <v>6605</v>
      </c>
      <c r="B1889" s="15" t="s">
        <v>6606</v>
      </c>
      <c r="C1889" s="18" t="s">
        <v>28</v>
      </c>
      <c r="D1889" s="15" t="s">
        <v>6607</v>
      </c>
      <c r="E1889" s="18" t="s">
        <v>28</v>
      </c>
      <c r="F1889" s="19">
        <v>2</v>
      </c>
      <c r="G1889" s="19">
        <v>2</v>
      </c>
      <c r="H1889" s="19">
        <v>2</v>
      </c>
      <c r="I1889" s="18" t="s">
        <v>28</v>
      </c>
      <c r="J1889" s="18" t="s">
        <v>28</v>
      </c>
      <c r="K1889" s="18" t="s">
        <v>28</v>
      </c>
      <c r="L1889" s="18" t="s">
        <v>28</v>
      </c>
      <c r="M1889" s="18" t="s">
        <v>28</v>
      </c>
      <c r="N1889" s="17">
        <v>45015</v>
      </c>
      <c r="O1889" s="15" t="s">
        <v>30</v>
      </c>
      <c r="P1889" s="16" t="s">
        <v>6608</v>
      </c>
      <c r="Q1889" s="15" t="s">
        <v>245</v>
      </c>
      <c r="R1889" s="13" t="str">
        <f>HYPERLINK("https://my.pitchbook.com?c=244709-02T","View Company Online")</f>
        <v>View Company Online</v>
      </c>
    </row>
    <row r="1890" spans="1:18" hidden="1" x14ac:dyDescent="0.3">
      <c r="A1890" s="9" t="s">
        <v>6609</v>
      </c>
      <c r="B1890" s="9" t="s">
        <v>4742</v>
      </c>
      <c r="C1890" s="11" t="s">
        <v>28</v>
      </c>
      <c r="D1890" s="9" t="s">
        <v>4743</v>
      </c>
      <c r="E1890" s="11" t="s">
        <v>28</v>
      </c>
      <c r="F1890" s="10" t="s">
        <v>28</v>
      </c>
      <c r="G1890" s="10" t="s">
        <v>28</v>
      </c>
      <c r="H1890" s="10" t="s">
        <v>28</v>
      </c>
      <c r="I1890" s="11" t="s">
        <v>28</v>
      </c>
      <c r="J1890" s="11" t="s">
        <v>28</v>
      </c>
      <c r="K1890" s="11" t="s">
        <v>28</v>
      </c>
      <c r="L1890" s="11" t="s">
        <v>28</v>
      </c>
      <c r="M1890" s="11" t="s">
        <v>28</v>
      </c>
      <c r="N1890" s="8">
        <v>45015</v>
      </c>
      <c r="O1890" s="9" t="s">
        <v>52</v>
      </c>
      <c r="P1890" s="12" t="s">
        <v>1662</v>
      </c>
      <c r="Q1890" s="9" t="s">
        <v>75</v>
      </c>
      <c r="R1890" s="14" t="str">
        <f>HYPERLINK("https://my.pitchbook.com?c=227571-13T","View Company Online")</f>
        <v>View Company Online</v>
      </c>
    </row>
    <row r="1891" spans="1:18" hidden="1" x14ac:dyDescent="0.3">
      <c r="A1891" s="15" t="s">
        <v>6610</v>
      </c>
      <c r="B1891" s="15" t="s">
        <v>6611</v>
      </c>
      <c r="C1891" s="18" t="s">
        <v>28</v>
      </c>
      <c r="D1891" s="15" t="s">
        <v>6612</v>
      </c>
      <c r="E1891" s="18" t="s">
        <v>28</v>
      </c>
      <c r="F1891" s="19" t="s">
        <v>28</v>
      </c>
      <c r="G1891" s="19" t="s">
        <v>28</v>
      </c>
      <c r="H1891" s="19" t="s">
        <v>28</v>
      </c>
      <c r="I1891" s="18" t="s">
        <v>28</v>
      </c>
      <c r="J1891" s="18" t="s">
        <v>28</v>
      </c>
      <c r="K1891" s="18" t="s">
        <v>28</v>
      </c>
      <c r="L1891" s="18" t="s">
        <v>28</v>
      </c>
      <c r="M1891" s="18" t="s">
        <v>28</v>
      </c>
      <c r="N1891" s="17">
        <v>45015</v>
      </c>
      <c r="O1891" s="15" t="s">
        <v>52</v>
      </c>
      <c r="P1891" s="16" t="s">
        <v>3375</v>
      </c>
      <c r="Q1891" s="15" t="s">
        <v>37</v>
      </c>
      <c r="R1891" s="13" t="str">
        <f>HYPERLINK("https://my.pitchbook.com?c=287936-20T","View Company Online")</f>
        <v>View Company Online</v>
      </c>
    </row>
    <row r="1892" spans="1:18" hidden="1" x14ac:dyDescent="0.3">
      <c r="A1892" s="9" t="s">
        <v>6613</v>
      </c>
      <c r="B1892" s="9" t="s">
        <v>6614</v>
      </c>
      <c r="C1892" s="11" t="s">
        <v>28</v>
      </c>
      <c r="D1892" s="9" t="s">
        <v>6615</v>
      </c>
      <c r="E1892" s="11" t="s">
        <v>28</v>
      </c>
      <c r="F1892" s="10">
        <v>500</v>
      </c>
      <c r="G1892" s="10">
        <v>500</v>
      </c>
      <c r="H1892" s="10">
        <v>500</v>
      </c>
      <c r="I1892" s="11" t="s">
        <v>28</v>
      </c>
      <c r="J1892" s="11" t="s">
        <v>28</v>
      </c>
      <c r="K1892" s="11" t="s">
        <v>28</v>
      </c>
      <c r="L1892" s="11" t="s">
        <v>28</v>
      </c>
      <c r="M1892" s="11" t="s">
        <v>28</v>
      </c>
      <c r="N1892" s="8">
        <v>45013</v>
      </c>
      <c r="O1892" s="9" t="s">
        <v>41</v>
      </c>
      <c r="P1892" s="12" t="s">
        <v>6616</v>
      </c>
      <c r="Q1892" s="9" t="s">
        <v>880</v>
      </c>
      <c r="R1892" s="14" t="str">
        <f>HYPERLINK("https://my.pitchbook.com?c=219325-24T","View Company Online")</f>
        <v>View Company Online</v>
      </c>
    </row>
    <row r="1893" spans="1:18" hidden="1" x14ac:dyDescent="0.3">
      <c r="A1893" s="15" t="s">
        <v>6617</v>
      </c>
      <c r="B1893" s="15" t="s">
        <v>6618</v>
      </c>
      <c r="C1893" s="18" t="s">
        <v>28</v>
      </c>
      <c r="D1893" s="15" t="s">
        <v>6619</v>
      </c>
      <c r="E1893" s="18" t="s">
        <v>28</v>
      </c>
      <c r="F1893" s="19" t="s">
        <v>28</v>
      </c>
      <c r="G1893" s="19" t="s">
        <v>28</v>
      </c>
      <c r="H1893" s="19" t="s">
        <v>28</v>
      </c>
      <c r="I1893" s="18" t="s">
        <v>28</v>
      </c>
      <c r="J1893" s="18" t="s">
        <v>28</v>
      </c>
      <c r="K1893" s="18" t="s">
        <v>28</v>
      </c>
      <c r="L1893" s="18" t="s">
        <v>28</v>
      </c>
      <c r="M1893" s="18" t="s">
        <v>28</v>
      </c>
      <c r="N1893" s="17">
        <v>45012</v>
      </c>
      <c r="O1893" s="15" t="s">
        <v>30</v>
      </c>
      <c r="P1893" s="16" t="s">
        <v>6620</v>
      </c>
      <c r="Q1893" s="15" t="s">
        <v>245</v>
      </c>
      <c r="R1893" s="13" t="str">
        <f>HYPERLINK("https://my.pitchbook.com?c=219624-13T","View Company Online")</f>
        <v>View Company Online</v>
      </c>
    </row>
    <row r="1894" spans="1:18" hidden="1" x14ac:dyDescent="0.3">
      <c r="A1894" s="9" t="s">
        <v>6621</v>
      </c>
      <c r="B1894" s="9" t="s">
        <v>6622</v>
      </c>
      <c r="C1894" s="11" t="s">
        <v>28</v>
      </c>
      <c r="D1894" s="9" t="s">
        <v>6623</v>
      </c>
      <c r="E1894" s="11" t="s">
        <v>28</v>
      </c>
      <c r="F1894" s="10" t="s">
        <v>28</v>
      </c>
      <c r="G1894" s="10">
        <v>0.38</v>
      </c>
      <c r="H1894" s="10" t="s">
        <v>28</v>
      </c>
      <c r="I1894" s="11" t="s">
        <v>28</v>
      </c>
      <c r="J1894" s="11" t="s">
        <v>28</v>
      </c>
      <c r="K1894" s="11" t="s">
        <v>28</v>
      </c>
      <c r="L1894" s="11" t="s">
        <v>28</v>
      </c>
      <c r="M1894" s="11" t="s">
        <v>28</v>
      </c>
      <c r="N1894" s="8">
        <v>45012</v>
      </c>
      <c r="O1894" s="9" t="s">
        <v>379</v>
      </c>
      <c r="P1894" s="12" t="s">
        <v>1770</v>
      </c>
      <c r="Q1894" s="9" t="s">
        <v>75</v>
      </c>
      <c r="R1894" s="14" t="str">
        <f>HYPERLINK("https://my.pitchbook.com?c=219951-55T","View Company Online")</f>
        <v>View Company Online</v>
      </c>
    </row>
    <row r="1895" spans="1:18" hidden="1" x14ac:dyDescent="0.3">
      <c r="A1895" s="15" t="s">
        <v>6624</v>
      </c>
      <c r="B1895" s="15" t="s">
        <v>6625</v>
      </c>
      <c r="C1895" s="18" t="s">
        <v>28</v>
      </c>
      <c r="D1895" s="15" t="s">
        <v>6626</v>
      </c>
      <c r="E1895" s="18" t="s">
        <v>28</v>
      </c>
      <c r="F1895" s="19" t="s">
        <v>28</v>
      </c>
      <c r="G1895" s="19" t="s">
        <v>28</v>
      </c>
      <c r="H1895" s="19" t="s">
        <v>28</v>
      </c>
      <c r="I1895" s="18" t="s">
        <v>28</v>
      </c>
      <c r="J1895" s="18" t="s">
        <v>28</v>
      </c>
      <c r="K1895" s="18" t="s">
        <v>28</v>
      </c>
      <c r="L1895" s="18" t="s">
        <v>28</v>
      </c>
      <c r="M1895" s="18" t="s">
        <v>28</v>
      </c>
      <c r="N1895" s="17">
        <v>45012</v>
      </c>
      <c r="O1895" s="15" t="s">
        <v>58</v>
      </c>
      <c r="P1895" s="16" t="s">
        <v>6627</v>
      </c>
      <c r="Q1895" s="15" t="s">
        <v>753</v>
      </c>
      <c r="R1895" s="13" t="str">
        <f>HYPERLINK("https://my.pitchbook.com?c=219131-92T","View Company Online")</f>
        <v>View Company Online</v>
      </c>
    </row>
    <row r="1896" spans="1:18" hidden="1" x14ac:dyDescent="0.3">
      <c r="A1896" s="9" t="s">
        <v>6628</v>
      </c>
      <c r="B1896" s="9" t="s">
        <v>6629</v>
      </c>
      <c r="C1896" s="11" t="s">
        <v>28</v>
      </c>
      <c r="D1896" s="9" t="s">
        <v>6630</v>
      </c>
      <c r="E1896" s="11" t="s">
        <v>28</v>
      </c>
      <c r="F1896" s="10" t="s">
        <v>28</v>
      </c>
      <c r="G1896" s="10" t="s">
        <v>28</v>
      </c>
      <c r="H1896" s="10" t="s">
        <v>28</v>
      </c>
      <c r="I1896" s="11" t="s">
        <v>28</v>
      </c>
      <c r="J1896" s="11" t="s">
        <v>28</v>
      </c>
      <c r="K1896" s="11">
        <v>18.37</v>
      </c>
      <c r="L1896" s="11" t="s">
        <v>28</v>
      </c>
      <c r="M1896" s="11" t="s">
        <v>28</v>
      </c>
      <c r="N1896" s="8">
        <v>45012</v>
      </c>
      <c r="O1896" s="9" t="s">
        <v>30</v>
      </c>
      <c r="P1896" s="12" t="s">
        <v>6631</v>
      </c>
      <c r="Q1896" s="9" t="s">
        <v>616</v>
      </c>
      <c r="R1896" s="14" t="str">
        <f>HYPERLINK("https://my.pitchbook.com?c=219308-41T","View Company Online")</f>
        <v>View Company Online</v>
      </c>
    </row>
    <row r="1897" spans="1:18" hidden="1" x14ac:dyDescent="0.3">
      <c r="A1897" s="15" t="s">
        <v>6632</v>
      </c>
      <c r="B1897" s="15" t="s">
        <v>6583</v>
      </c>
      <c r="C1897" s="18" t="s">
        <v>28</v>
      </c>
      <c r="D1897" s="15" t="s">
        <v>6584</v>
      </c>
      <c r="E1897" s="18" t="s">
        <v>28</v>
      </c>
      <c r="F1897" s="19" t="s">
        <v>28</v>
      </c>
      <c r="G1897" s="19">
        <v>0.46</v>
      </c>
      <c r="H1897" s="19">
        <v>5.4</v>
      </c>
      <c r="I1897" s="18" t="s">
        <v>28</v>
      </c>
      <c r="J1897" s="18" t="s">
        <v>28</v>
      </c>
      <c r="K1897" s="18" t="s">
        <v>28</v>
      </c>
      <c r="L1897" s="18" t="s">
        <v>28</v>
      </c>
      <c r="M1897" s="18" t="s">
        <v>28</v>
      </c>
      <c r="N1897" s="17">
        <v>45009</v>
      </c>
      <c r="O1897" s="15" t="s">
        <v>99</v>
      </c>
      <c r="P1897" s="16" t="s">
        <v>6633</v>
      </c>
      <c r="Q1897" s="15" t="s">
        <v>119</v>
      </c>
      <c r="R1897" s="13" t="str">
        <f>HYPERLINK("https://my.pitchbook.com?c=219696-67T","View Company Online")</f>
        <v>View Company Online</v>
      </c>
    </row>
    <row r="1898" spans="1:18" hidden="1" x14ac:dyDescent="0.3">
      <c r="A1898" s="9" t="s">
        <v>6634</v>
      </c>
      <c r="B1898" s="9" t="s">
        <v>6635</v>
      </c>
      <c r="C1898" s="11" t="s">
        <v>28</v>
      </c>
      <c r="D1898" s="9" t="s">
        <v>6636</v>
      </c>
      <c r="E1898" s="11" t="s">
        <v>28</v>
      </c>
      <c r="F1898" s="10" t="s">
        <v>28</v>
      </c>
      <c r="G1898" s="10" t="s">
        <v>28</v>
      </c>
      <c r="H1898" s="10" t="s">
        <v>28</v>
      </c>
      <c r="I1898" s="11" t="s">
        <v>28</v>
      </c>
      <c r="J1898" s="11" t="s">
        <v>28</v>
      </c>
      <c r="K1898" s="11" t="s">
        <v>28</v>
      </c>
      <c r="L1898" s="11" t="s">
        <v>28</v>
      </c>
      <c r="M1898" s="11" t="s">
        <v>28</v>
      </c>
      <c r="N1898" s="8">
        <v>45009</v>
      </c>
      <c r="O1898" s="9" t="s">
        <v>30</v>
      </c>
      <c r="P1898" s="12" t="s">
        <v>6637</v>
      </c>
      <c r="Q1898" s="9" t="s">
        <v>245</v>
      </c>
      <c r="R1898" s="14" t="str">
        <f>HYPERLINK("https://my.pitchbook.com?c=219624-85T","View Company Online")</f>
        <v>View Company Online</v>
      </c>
    </row>
    <row r="1899" spans="1:18" hidden="1" x14ac:dyDescent="0.3">
      <c r="A1899" s="15" t="s">
        <v>6638</v>
      </c>
      <c r="B1899" s="15" t="s">
        <v>4521</v>
      </c>
      <c r="C1899" s="18" t="s">
        <v>28</v>
      </c>
      <c r="D1899" s="15" t="s">
        <v>4522</v>
      </c>
      <c r="E1899" s="18" t="s">
        <v>28</v>
      </c>
      <c r="F1899" s="19" t="s">
        <v>28</v>
      </c>
      <c r="G1899" s="19">
        <v>0.77</v>
      </c>
      <c r="H1899" s="19" t="s">
        <v>28</v>
      </c>
      <c r="I1899" s="18" t="s">
        <v>28</v>
      </c>
      <c r="J1899" s="18" t="s">
        <v>28</v>
      </c>
      <c r="K1899" s="18" t="s">
        <v>28</v>
      </c>
      <c r="L1899" s="18" t="s">
        <v>28</v>
      </c>
      <c r="M1899" s="18" t="s">
        <v>28</v>
      </c>
      <c r="N1899" s="17">
        <v>45009</v>
      </c>
      <c r="O1899" s="15" t="s">
        <v>99</v>
      </c>
      <c r="P1899" s="16" t="s">
        <v>6639</v>
      </c>
      <c r="Q1899" s="15" t="s">
        <v>75</v>
      </c>
      <c r="R1899" s="13" t="str">
        <f>HYPERLINK("https://my.pitchbook.com?c=219131-56T","View Company Online")</f>
        <v>View Company Online</v>
      </c>
    </row>
    <row r="1900" spans="1:18" hidden="1" x14ac:dyDescent="0.3">
      <c r="A1900" s="9" t="s">
        <v>6640</v>
      </c>
      <c r="B1900" s="9" t="s">
        <v>6641</v>
      </c>
      <c r="C1900" s="11" t="s">
        <v>28</v>
      </c>
      <c r="D1900" s="9" t="s">
        <v>6642</v>
      </c>
      <c r="E1900" s="11" t="s">
        <v>28</v>
      </c>
      <c r="F1900" s="10" t="s">
        <v>28</v>
      </c>
      <c r="G1900" s="10" t="s">
        <v>28</v>
      </c>
      <c r="H1900" s="10" t="s">
        <v>28</v>
      </c>
      <c r="I1900" s="11" t="s">
        <v>28</v>
      </c>
      <c r="J1900" s="11" t="s">
        <v>28</v>
      </c>
      <c r="K1900" s="11" t="s">
        <v>28</v>
      </c>
      <c r="L1900" s="11" t="s">
        <v>28</v>
      </c>
      <c r="M1900" s="11" t="s">
        <v>28</v>
      </c>
      <c r="N1900" s="8">
        <v>45009</v>
      </c>
      <c r="O1900" s="9" t="s">
        <v>79</v>
      </c>
      <c r="P1900" s="12" t="s">
        <v>6643</v>
      </c>
      <c r="Q1900" s="9" t="s">
        <v>409</v>
      </c>
      <c r="R1900" s="14" t="str">
        <f>HYPERLINK("https://my.pitchbook.com?c=220284-64T","View Company Online")</f>
        <v>View Company Online</v>
      </c>
    </row>
    <row r="1901" spans="1:18" hidden="1" x14ac:dyDescent="0.3">
      <c r="A1901" s="15" t="s">
        <v>6644</v>
      </c>
      <c r="B1901" s="15" t="s">
        <v>6645</v>
      </c>
      <c r="C1901" s="18" t="s">
        <v>28</v>
      </c>
      <c r="D1901" s="15" t="s">
        <v>6646</v>
      </c>
      <c r="E1901" s="18">
        <v>7.45</v>
      </c>
      <c r="F1901" s="19" t="s">
        <v>28</v>
      </c>
      <c r="G1901" s="19" t="s">
        <v>28</v>
      </c>
      <c r="H1901" s="19" t="s">
        <v>28</v>
      </c>
      <c r="I1901" s="18">
        <v>7.56</v>
      </c>
      <c r="J1901" s="18" t="s">
        <v>28</v>
      </c>
      <c r="K1901" s="18">
        <v>129.94999999999999</v>
      </c>
      <c r="L1901" s="18" t="s">
        <v>28</v>
      </c>
      <c r="M1901" s="18">
        <v>3.81</v>
      </c>
      <c r="N1901" s="17">
        <v>45009</v>
      </c>
      <c r="O1901" s="15" t="s">
        <v>173</v>
      </c>
      <c r="P1901" s="16" t="s">
        <v>28</v>
      </c>
      <c r="Q1901" s="15" t="s">
        <v>348</v>
      </c>
      <c r="R1901" s="13" t="str">
        <f>HYPERLINK("https://my.pitchbook.com?c=219465-91T","View Company Online")</f>
        <v>View Company Online</v>
      </c>
    </row>
    <row r="1902" spans="1:18" hidden="1" x14ac:dyDescent="0.3">
      <c r="A1902" s="9" t="s">
        <v>6647</v>
      </c>
      <c r="B1902" s="9" t="s">
        <v>6648</v>
      </c>
      <c r="C1902" s="11" t="s">
        <v>28</v>
      </c>
      <c r="D1902" s="9" t="s">
        <v>6649</v>
      </c>
      <c r="E1902" s="11" t="s">
        <v>28</v>
      </c>
      <c r="F1902" s="10" t="s">
        <v>28</v>
      </c>
      <c r="G1902" s="10" t="s">
        <v>28</v>
      </c>
      <c r="H1902" s="10" t="s">
        <v>28</v>
      </c>
      <c r="I1902" s="11" t="s">
        <v>28</v>
      </c>
      <c r="J1902" s="11" t="s">
        <v>28</v>
      </c>
      <c r="K1902" s="11">
        <v>15.48</v>
      </c>
      <c r="L1902" s="11" t="s">
        <v>28</v>
      </c>
      <c r="M1902" s="11" t="s">
        <v>28</v>
      </c>
      <c r="N1902" s="8">
        <v>45009</v>
      </c>
      <c r="O1902" s="9" t="s">
        <v>41</v>
      </c>
      <c r="P1902" s="12" t="s">
        <v>6650</v>
      </c>
      <c r="Q1902" s="9" t="s">
        <v>616</v>
      </c>
      <c r="R1902" s="14" t="str">
        <f>HYPERLINK("https://my.pitchbook.com?c=219298-60T","View Company Online")</f>
        <v>View Company Online</v>
      </c>
    </row>
    <row r="1903" spans="1:18" hidden="1" x14ac:dyDescent="0.3">
      <c r="A1903" s="15" t="s">
        <v>6651</v>
      </c>
      <c r="B1903" s="15" t="s">
        <v>6652</v>
      </c>
      <c r="C1903" s="18" t="s">
        <v>28</v>
      </c>
      <c r="D1903" s="15" t="s">
        <v>6653</v>
      </c>
      <c r="E1903" s="18" t="s">
        <v>28</v>
      </c>
      <c r="F1903" s="19" t="s">
        <v>28</v>
      </c>
      <c r="G1903" s="19" t="s">
        <v>28</v>
      </c>
      <c r="H1903" s="19" t="s">
        <v>28</v>
      </c>
      <c r="I1903" s="18" t="s">
        <v>28</v>
      </c>
      <c r="J1903" s="18" t="s">
        <v>28</v>
      </c>
      <c r="K1903" s="18" t="s">
        <v>28</v>
      </c>
      <c r="L1903" s="18" t="s">
        <v>28</v>
      </c>
      <c r="M1903" s="18" t="s">
        <v>28</v>
      </c>
      <c r="N1903" s="17">
        <v>45009</v>
      </c>
      <c r="O1903" s="15" t="s">
        <v>30</v>
      </c>
      <c r="P1903" s="16" t="s">
        <v>2521</v>
      </c>
      <c r="Q1903" s="15" t="s">
        <v>240</v>
      </c>
      <c r="R1903" s="13" t="str">
        <f>HYPERLINK("https://my.pitchbook.com?c=251049-79T","View Company Online")</f>
        <v>View Company Online</v>
      </c>
    </row>
    <row r="1904" spans="1:18" hidden="1" x14ac:dyDescent="0.3">
      <c r="A1904" s="9" t="s">
        <v>6654</v>
      </c>
      <c r="B1904" s="9" t="s">
        <v>5612</v>
      </c>
      <c r="C1904" s="11" t="s">
        <v>28</v>
      </c>
      <c r="D1904" s="9" t="s">
        <v>5613</v>
      </c>
      <c r="E1904" s="11" t="s">
        <v>28</v>
      </c>
      <c r="F1904" s="10" t="s">
        <v>28</v>
      </c>
      <c r="G1904" s="10" t="s">
        <v>28</v>
      </c>
      <c r="H1904" s="10" t="s">
        <v>28</v>
      </c>
      <c r="I1904" s="11" t="s">
        <v>28</v>
      </c>
      <c r="J1904" s="11" t="s">
        <v>28</v>
      </c>
      <c r="K1904" s="11" t="s">
        <v>28</v>
      </c>
      <c r="L1904" s="11" t="s">
        <v>28</v>
      </c>
      <c r="M1904" s="11" t="s">
        <v>28</v>
      </c>
      <c r="N1904" s="8">
        <v>45009</v>
      </c>
      <c r="O1904" s="9" t="s">
        <v>52</v>
      </c>
      <c r="P1904" s="12" t="s">
        <v>1662</v>
      </c>
      <c r="Q1904" s="9" t="s">
        <v>37</v>
      </c>
      <c r="R1904" s="14" t="str">
        <f>HYPERLINK("https://my.pitchbook.com?c=264125-08T","View Company Online")</f>
        <v>View Company Online</v>
      </c>
    </row>
    <row r="1905" spans="1:18" hidden="1" x14ac:dyDescent="0.3">
      <c r="A1905" s="15" t="s">
        <v>6655</v>
      </c>
      <c r="B1905" s="15" t="s">
        <v>6656</v>
      </c>
      <c r="C1905" s="18" t="s">
        <v>28</v>
      </c>
      <c r="D1905" s="15" t="s">
        <v>6657</v>
      </c>
      <c r="E1905" s="18" t="s">
        <v>28</v>
      </c>
      <c r="F1905" s="19" t="s">
        <v>28</v>
      </c>
      <c r="G1905" s="19" t="s">
        <v>28</v>
      </c>
      <c r="H1905" s="19" t="s">
        <v>28</v>
      </c>
      <c r="I1905" s="18" t="s">
        <v>28</v>
      </c>
      <c r="J1905" s="18" t="s">
        <v>28</v>
      </c>
      <c r="K1905" s="18" t="s">
        <v>28</v>
      </c>
      <c r="L1905" s="18" t="s">
        <v>28</v>
      </c>
      <c r="M1905" s="18" t="s">
        <v>28</v>
      </c>
      <c r="N1905" s="17">
        <v>45008</v>
      </c>
      <c r="O1905" s="15" t="s">
        <v>30</v>
      </c>
      <c r="P1905" s="16" t="s">
        <v>28</v>
      </c>
      <c r="Q1905" s="15" t="s">
        <v>240</v>
      </c>
      <c r="R1905" s="13" t="str">
        <f>HYPERLINK("https://my.pitchbook.com?c=218896-21T","View Company Online")</f>
        <v>View Company Online</v>
      </c>
    </row>
    <row r="1906" spans="1:18" hidden="1" x14ac:dyDescent="0.3">
      <c r="A1906" s="9" t="s">
        <v>6658</v>
      </c>
      <c r="B1906" s="9" t="s">
        <v>6659</v>
      </c>
      <c r="C1906" s="11" t="s">
        <v>28</v>
      </c>
      <c r="D1906" s="9" t="s">
        <v>6660</v>
      </c>
      <c r="E1906" s="11" t="s">
        <v>28</v>
      </c>
      <c r="F1906" s="10" t="s">
        <v>28</v>
      </c>
      <c r="G1906" s="10" t="s">
        <v>28</v>
      </c>
      <c r="H1906" s="10" t="s">
        <v>28</v>
      </c>
      <c r="I1906" s="11" t="s">
        <v>28</v>
      </c>
      <c r="J1906" s="11" t="s">
        <v>28</v>
      </c>
      <c r="K1906" s="11" t="s">
        <v>28</v>
      </c>
      <c r="L1906" s="11" t="s">
        <v>28</v>
      </c>
      <c r="M1906" s="11" t="s">
        <v>28</v>
      </c>
      <c r="N1906" s="8">
        <v>45008</v>
      </c>
      <c r="O1906" s="9" t="s">
        <v>30</v>
      </c>
      <c r="P1906" s="12" t="s">
        <v>6661</v>
      </c>
      <c r="Q1906" s="9" t="s">
        <v>213</v>
      </c>
      <c r="R1906" s="14" t="str">
        <f>HYPERLINK("https://my.pitchbook.com?c=218918-71T","View Company Online")</f>
        <v>View Company Online</v>
      </c>
    </row>
    <row r="1907" spans="1:18" hidden="1" x14ac:dyDescent="0.3">
      <c r="A1907" s="15" t="s">
        <v>6662</v>
      </c>
      <c r="B1907" s="15" t="s">
        <v>6663</v>
      </c>
      <c r="C1907" s="18" t="s">
        <v>28</v>
      </c>
      <c r="D1907" s="15" t="s">
        <v>6664</v>
      </c>
      <c r="E1907" s="18" t="s">
        <v>28</v>
      </c>
      <c r="F1907" s="19" t="s">
        <v>28</v>
      </c>
      <c r="G1907" s="19">
        <v>0.02</v>
      </c>
      <c r="H1907" s="19" t="s">
        <v>28</v>
      </c>
      <c r="I1907" s="18" t="s">
        <v>28</v>
      </c>
      <c r="J1907" s="18" t="s">
        <v>28</v>
      </c>
      <c r="K1907" s="18" t="s">
        <v>28</v>
      </c>
      <c r="L1907" s="18" t="s">
        <v>28</v>
      </c>
      <c r="M1907" s="18" t="s">
        <v>28</v>
      </c>
      <c r="N1907" s="17">
        <v>45008</v>
      </c>
      <c r="O1907" s="15" t="s">
        <v>73</v>
      </c>
      <c r="P1907" s="16" t="s">
        <v>221</v>
      </c>
      <c r="Q1907" s="15" t="s">
        <v>37</v>
      </c>
      <c r="R1907" s="13" t="str">
        <f>HYPERLINK("https://my.pitchbook.com?c=215466-49T","View Company Online")</f>
        <v>View Company Online</v>
      </c>
    </row>
    <row r="1908" spans="1:18" hidden="1" x14ac:dyDescent="0.3">
      <c r="A1908" s="9" t="s">
        <v>6665</v>
      </c>
      <c r="B1908" s="9" t="s">
        <v>116</v>
      </c>
      <c r="C1908" s="11" t="s">
        <v>28</v>
      </c>
      <c r="D1908" s="9" t="s">
        <v>117</v>
      </c>
      <c r="E1908" s="11" t="s">
        <v>28</v>
      </c>
      <c r="F1908" s="10" t="s">
        <v>28</v>
      </c>
      <c r="G1908" s="10">
        <v>0.96</v>
      </c>
      <c r="H1908" s="10" t="s">
        <v>28</v>
      </c>
      <c r="I1908" s="11" t="s">
        <v>28</v>
      </c>
      <c r="J1908" s="11" t="s">
        <v>28</v>
      </c>
      <c r="K1908" s="11" t="s">
        <v>28</v>
      </c>
      <c r="L1908" s="11" t="s">
        <v>28</v>
      </c>
      <c r="M1908" s="11" t="s">
        <v>28</v>
      </c>
      <c r="N1908" s="8">
        <v>45008</v>
      </c>
      <c r="O1908" s="9" t="s">
        <v>99</v>
      </c>
      <c r="P1908" s="12" t="s">
        <v>6666</v>
      </c>
      <c r="Q1908" s="9" t="s">
        <v>119</v>
      </c>
      <c r="R1908" s="14" t="str">
        <f>HYPERLINK("https://my.pitchbook.com?c=218908-27T","View Company Online")</f>
        <v>View Company Online</v>
      </c>
    </row>
    <row r="1909" spans="1:18" hidden="1" x14ac:dyDescent="0.3">
      <c r="A1909" s="15" t="s">
        <v>6667</v>
      </c>
      <c r="B1909" s="15" t="s">
        <v>5185</v>
      </c>
      <c r="C1909" s="18" t="s">
        <v>28</v>
      </c>
      <c r="D1909" s="15" t="s">
        <v>5186</v>
      </c>
      <c r="E1909" s="18" t="s">
        <v>28</v>
      </c>
      <c r="F1909" s="19" t="s">
        <v>28</v>
      </c>
      <c r="G1909" s="19" t="s">
        <v>28</v>
      </c>
      <c r="H1909" s="19" t="s">
        <v>28</v>
      </c>
      <c r="I1909" s="18" t="s">
        <v>28</v>
      </c>
      <c r="J1909" s="18" t="s">
        <v>28</v>
      </c>
      <c r="K1909" s="18" t="s">
        <v>28</v>
      </c>
      <c r="L1909" s="18" t="s">
        <v>28</v>
      </c>
      <c r="M1909" s="18" t="s">
        <v>28</v>
      </c>
      <c r="N1909" s="17">
        <v>45007</v>
      </c>
      <c r="O1909" s="15" t="s">
        <v>52</v>
      </c>
      <c r="P1909" s="16" t="s">
        <v>1662</v>
      </c>
      <c r="Q1909" s="15" t="s">
        <v>263</v>
      </c>
      <c r="R1909" s="13" t="str">
        <f>HYPERLINK("https://my.pitchbook.com?c=234896-59T","View Company Online")</f>
        <v>View Company Online</v>
      </c>
    </row>
    <row r="1910" spans="1:18" hidden="1" x14ac:dyDescent="0.3">
      <c r="A1910" s="9" t="s">
        <v>6668</v>
      </c>
      <c r="B1910" s="9" t="s">
        <v>6531</v>
      </c>
      <c r="C1910" s="11" t="s">
        <v>28</v>
      </c>
      <c r="D1910" s="9" t="s">
        <v>6532</v>
      </c>
      <c r="E1910" s="11">
        <v>12.65</v>
      </c>
      <c r="F1910" s="10" t="s">
        <v>28</v>
      </c>
      <c r="G1910" s="10" t="s">
        <v>28</v>
      </c>
      <c r="H1910" s="10" t="s">
        <v>28</v>
      </c>
      <c r="I1910" s="11">
        <v>32.57</v>
      </c>
      <c r="J1910" s="11" t="s">
        <v>28</v>
      </c>
      <c r="K1910" s="11">
        <v>219.72</v>
      </c>
      <c r="L1910" s="11" t="s">
        <v>28</v>
      </c>
      <c r="M1910" s="11">
        <v>5.47</v>
      </c>
      <c r="N1910" s="8">
        <v>45007</v>
      </c>
      <c r="O1910" s="9" t="s">
        <v>159</v>
      </c>
      <c r="P1910" s="12" t="s">
        <v>6669</v>
      </c>
      <c r="Q1910" s="9" t="s">
        <v>880</v>
      </c>
      <c r="R1910" s="14" t="str">
        <f>HYPERLINK("https://my.pitchbook.com?c=227610-28T","View Company Online")</f>
        <v>View Company Online</v>
      </c>
    </row>
    <row r="1911" spans="1:18" hidden="1" x14ac:dyDescent="0.3">
      <c r="A1911" s="15" t="s">
        <v>6670</v>
      </c>
      <c r="B1911" s="15" t="s">
        <v>6671</v>
      </c>
      <c r="C1911" s="18" t="s">
        <v>28</v>
      </c>
      <c r="D1911" s="15" t="s">
        <v>6672</v>
      </c>
      <c r="E1911" s="18" t="s">
        <v>28</v>
      </c>
      <c r="F1911" s="19" t="s">
        <v>28</v>
      </c>
      <c r="G1911" s="19">
        <v>14.59</v>
      </c>
      <c r="H1911" s="19" t="s">
        <v>28</v>
      </c>
      <c r="I1911" s="18" t="s">
        <v>28</v>
      </c>
      <c r="J1911" s="18" t="s">
        <v>28</v>
      </c>
      <c r="K1911" s="18" t="s">
        <v>28</v>
      </c>
      <c r="L1911" s="18" t="s">
        <v>28</v>
      </c>
      <c r="M1911" s="18" t="s">
        <v>28</v>
      </c>
      <c r="N1911" s="17">
        <v>45006</v>
      </c>
      <c r="O1911" s="15" t="s">
        <v>73</v>
      </c>
      <c r="P1911" s="16" t="s">
        <v>6673</v>
      </c>
      <c r="Q1911" s="15" t="s">
        <v>5628</v>
      </c>
      <c r="R1911" s="13" t="str">
        <f>HYPERLINK("https://my.pitchbook.com?c=199061-65T","View Company Online")</f>
        <v>View Company Online</v>
      </c>
    </row>
    <row r="1912" spans="1:18" hidden="1" x14ac:dyDescent="0.3">
      <c r="A1912" s="9" t="s">
        <v>6674</v>
      </c>
      <c r="B1912" s="9" t="s">
        <v>6675</v>
      </c>
      <c r="C1912" s="11" t="s">
        <v>28</v>
      </c>
      <c r="D1912" s="9" t="s">
        <v>6676</v>
      </c>
      <c r="E1912" s="11" t="s">
        <v>28</v>
      </c>
      <c r="F1912" s="10" t="s">
        <v>28</v>
      </c>
      <c r="G1912" s="10" t="s">
        <v>28</v>
      </c>
      <c r="H1912" s="10" t="s">
        <v>28</v>
      </c>
      <c r="I1912" s="11" t="s">
        <v>28</v>
      </c>
      <c r="J1912" s="11" t="s">
        <v>28</v>
      </c>
      <c r="K1912" s="11" t="s">
        <v>28</v>
      </c>
      <c r="L1912" s="11" t="s">
        <v>28</v>
      </c>
      <c r="M1912" s="11" t="s">
        <v>28</v>
      </c>
      <c r="N1912" s="8">
        <v>45006</v>
      </c>
      <c r="O1912" s="9" t="s">
        <v>30</v>
      </c>
      <c r="P1912" s="12" t="s">
        <v>6677</v>
      </c>
      <c r="Q1912" s="9" t="s">
        <v>188</v>
      </c>
      <c r="R1912" s="14" t="str">
        <f>HYPERLINK("https://my.pitchbook.com?c=220182-67T","View Company Online")</f>
        <v>View Company Online</v>
      </c>
    </row>
    <row r="1913" spans="1:18" hidden="1" x14ac:dyDescent="0.3">
      <c r="A1913" s="15" t="s">
        <v>6678</v>
      </c>
      <c r="B1913" s="15" t="s">
        <v>6679</v>
      </c>
      <c r="C1913" s="18" t="s">
        <v>28</v>
      </c>
      <c r="D1913" s="15" t="s">
        <v>6680</v>
      </c>
      <c r="E1913" s="18" t="s">
        <v>28</v>
      </c>
      <c r="F1913" s="19" t="s">
        <v>28</v>
      </c>
      <c r="G1913" s="19" t="s">
        <v>28</v>
      </c>
      <c r="H1913" s="19" t="s">
        <v>28</v>
      </c>
      <c r="I1913" s="18" t="s">
        <v>28</v>
      </c>
      <c r="J1913" s="18" t="s">
        <v>28</v>
      </c>
      <c r="K1913" s="18" t="s">
        <v>28</v>
      </c>
      <c r="L1913" s="18" t="s">
        <v>28</v>
      </c>
      <c r="M1913" s="18" t="s">
        <v>28</v>
      </c>
      <c r="N1913" s="17">
        <v>45006</v>
      </c>
      <c r="O1913" s="15" t="s">
        <v>58</v>
      </c>
      <c r="P1913" s="16" t="s">
        <v>6681</v>
      </c>
      <c r="Q1913" s="15" t="s">
        <v>880</v>
      </c>
      <c r="R1913" s="13" t="str">
        <f>HYPERLINK("https://my.pitchbook.com?c=226398-88T","View Company Online")</f>
        <v>View Company Online</v>
      </c>
    </row>
    <row r="1914" spans="1:18" hidden="1" x14ac:dyDescent="0.3">
      <c r="A1914" s="9" t="s">
        <v>6682</v>
      </c>
      <c r="B1914" s="9" t="s">
        <v>3149</v>
      </c>
      <c r="C1914" s="11" t="s">
        <v>28</v>
      </c>
      <c r="D1914" s="9" t="s">
        <v>3150</v>
      </c>
      <c r="E1914" s="11" t="s">
        <v>28</v>
      </c>
      <c r="F1914" s="10" t="s">
        <v>28</v>
      </c>
      <c r="G1914" s="10">
        <v>0.5</v>
      </c>
      <c r="H1914" s="10" t="s">
        <v>28</v>
      </c>
      <c r="I1914" s="11" t="s">
        <v>28</v>
      </c>
      <c r="J1914" s="11" t="s">
        <v>28</v>
      </c>
      <c r="K1914" s="11" t="s">
        <v>28</v>
      </c>
      <c r="L1914" s="11" t="s">
        <v>28</v>
      </c>
      <c r="M1914" s="11" t="s">
        <v>28</v>
      </c>
      <c r="N1914" s="8">
        <v>45006</v>
      </c>
      <c r="O1914" s="9" t="s">
        <v>99</v>
      </c>
      <c r="P1914" s="12" t="s">
        <v>6683</v>
      </c>
      <c r="Q1914" s="9" t="s">
        <v>114</v>
      </c>
      <c r="R1914" s="14" t="str">
        <f>HYPERLINK("https://my.pitchbook.com?c=223122-25T","View Company Online")</f>
        <v>View Company Online</v>
      </c>
    </row>
    <row r="1915" spans="1:18" hidden="1" x14ac:dyDescent="0.3">
      <c r="A1915" s="15" t="s">
        <v>6684</v>
      </c>
      <c r="B1915" s="15" t="s">
        <v>2377</v>
      </c>
      <c r="C1915" s="18" t="s">
        <v>28</v>
      </c>
      <c r="D1915" s="15" t="s">
        <v>2378</v>
      </c>
      <c r="E1915" s="18" t="s">
        <v>28</v>
      </c>
      <c r="F1915" s="19" t="s">
        <v>28</v>
      </c>
      <c r="G1915" s="19" t="s">
        <v>28</v>
      </c>
      <c r="H1915" s="19" t="s">
        <v>28</v>
      </c>
      <c r="I1915" s="18" t="s">
        <v>28</v>
      </c>
      <c r="J1915" s="18" t="s">
        <v>28</v>
      </c>
      <c r="K1915" s="18" t="s">
        <v>28</v>
      </c>
      <c r="L1915" s="18" t="s">
        <v>28</v>
      </c>
      <c r="M1915" s="18" t="s">
        <v>28</v>
      </c>
      <c r="N1915" s="17">
        <v>45005</v>
      </c>
      <c r="O1915" s="15" t="s">
        <v>73</v>
      </c>
      <c r="P1915" s="16" t="s">
        <v>6685</v>
      </c>
      <c r="Q1915" s="15" t="s">
        <v>75</v>
      </c>
      <c r="R1915" s="13" t="str">
        <f>HYPERLINK("https://my.pitchbook.com?c=244444-69T","View Company Online")</f>
        <v>View Company Online</v>
      </c>
    </row>
    <row r="1916" spans="1:18" hidden="1" x14ac:dyDescent="0.3">
      <c r="A1916" s="9" t="s">
        <v>6686</v>
      </c>
      <c r="B1916" s="9" t="s">
        <v>3288</v>
      </c>
      <c r="C1916" s="11" t="s">
        <v>28</v>
      </c>
      <c r="D1916" s="9" t="s">
        <v>3289</v>
      </c>
      <c r="E1916" s="11" t="s">
        <v>28</v>
      </c>
      <c r="F1916" s="10" t="s">
        <v>28</v>
      </c>
      <c r="G1916" s="10">
        <v>1.1000000000000001</v>
      </c>
      <c r="H1916" s="10" t="s">
        <v>28</v>
      </c>
      <c r="I1916" s="11" t="s">
        <v>28</v>
      </c>
      <c r="J1916" s="11" t="s">
        <v>28</v>
      </c>
      <c r="K1916" s="11" t="s">
        <v>28</v>
      </c>
      <c r="L1916" s="11" t="s">
        <v>28</v>
      </c>
      <c r="M1916" s="11" t="s">
        <v>28</v>
      </c>
      <c r="N1916" s="8">
        <v>45005</v>
      </c>
      <c r="O1916" s="9" t="s">
        <v>73</v>
      </c>
      <c r="P1916" s="12" t="s">
        <v>4293</v>
      </c>
      <c r="Q1916" s="9" t="s">
        <v>43</v>
      </c>
      <c r="R1916" s="14" t="str">
        <f>HYPERLINK("https://my.pitchbook.com?c=225102-88T","View Company Online")</f>
        <v>View Company Online</v>
      </c>
    </row>
    <row r="1917" spans="1:18" hidden="1" x14ac:dyDescent="0.3">
      <c r="A1917" s="15" t="s">
        <v>6687</v>
      </c>
      <c r="B1917" s="15" t="s">
        <v>6688</v>
      </c>
      <c r="C1917" s="18" t="s">
        <v>28</v>
      </c>
      <c r="D1917" s="15" t="s">
        <v>6689</v>
      </c>
      <c r="E1917" s="18" t="s">
        <v>28</v>
      </c>
      <c r="F1917" s="19" t="s">
        <v>28</v>
      </c>
      <c r="G1917" s="19">
        <v>0.19</v>
      </c>
      <c r="H1917" s="19" t="s">
        <v>28</v>
      </c>
      <c r="I1917" s="18" t="s">
        <v>28</v>
      </c>
      <c r="J1917" s="18" t="s">
        <v>28</v>
      </c>
      <c r="K1917" s="18" t="s">
        <v>28</v>
      </c>
      <c r="L1917" s="18" t="s">
        <v>28</v>
      </c>
      <c r="M1917" s="18" t="s">
        <v>28</v>
      </c>
      <c r="N1917" s="17">
        <v>45005</v>
      </c>
      <c r="O1917" s="15" t="s">
        <v>379</v>
      </c>
      <c r="P1917" s="16" t="s">
        <v>6690</v>
      </c>
      <c r="Q1917" s="15" t="s">
        <v>75</v>
      </c>
      <c r="R1917" s="13" t="str">
        <f>HYPERLINK("https://my.pitchbook.com?c=215361-73T","View Company Online")</f>
        <v>View Company Online</v>
      </c>
    </row>
    <row r="1918" spans="1:18" hidden="1" x14ac:dyDescent="0.3">
      <c r="A1918" s="9" t="s">
        <v>6691</v>
      </c>
      <c r="B1918" s="9" t="s">
        <v>6692</v>
      </c>
      <c r="C1918" s="11" t="s">
        <v>28</v>
      </c>
      <c r="D1918" s="9" t="s">
        <v>6693</v>
      </c>
      <c r="E1918" s="11" t="s">
        <v>28</v>
      </c>
      <c r="F1918" s="10" t="s">
        <v>28</v>
      </c>
      <c r="G1918" s="10" t="s">
        <v>28</v>
      </c>
      <c r="H1918" s="10" t="s">
        <v>28</v>
      </c>
      <c r="I1918" s="11" t="s">
        <v>28</v>
      </c>
      <c r="J1918" s="11" t="s">
        <v>28</v>
      </c>
      <c r="K1918" s="11" t="s">
        <v>28</v>
      </c>
      <c r="L1918" s="11" t="s">
        <v>28</v>
      </c>
      <c r="M1918" s="11" t="s">
        <v>28</v>
      </c>
      <c r="N1918" s="8">
        <v>45002</v>
      </c>
      <c r="O1918" s="9" t="s">
        <v>30</v>
      </c>
      <c r="P1918" s="12" t="s">
        <v>6694</v>
      </c>
      <c r="Q1918" s="9" t="s">
        <v>1035</v>
      </c>
      <c r="R1918" s="14" t="str">
        <f>HYPERLINK("https://my.pitchbook.com?c=219180-34T","View Company Online")</f>
        <v>View Company Online</v>
      </c>
    </row>
    <row r="1919" spans="1:18" hidden="1" x14ac:dyDescent="0.3">
      <c r="A1919" s="15" t="s">
        <v>6695</v>
      </c>
      <c r="B1919" s="15" t="s">
        <v>6696</v>
      </c>
      <c r="C1919" s="18" t="s">
        <v>28</v>
      </c>
      <c r="D1919" s="15" t="s">
        <v>6697</v>
      </c>
      <c r="E1919" s="18" t="s">
        <v>28</v>
      </c>
      <c r="F1919" s="19" t="s">
        <v>28</v>
      </c>
      <c r="G1919" s="19">
        <v>0.35</v>
      </c>
      <c r="H1919" s="19" t="s">
        <v>28</v>
      </c>
      <c r="I1919" s="18" t="s">
        <v>28</v>
      </c>
      <c r="J1919" s="18" t="s">
        <v>28</v>
      </c>
      <c r="K1919" s="18" t="s">
        <v>28</v>
      </c>
      <c r="L1919" s="18" t="s">
        <v>28</v>
      </c>
      <c r="M1919" s="18" t="s">
        <v>28</v>
      </c>
      <c r="N1919" s="17">
        <v>45002</v>
      </c>
      <c r="O1919" s="15" t="s">
        <v>1639</v>
      </c>
      <c r="P1919" s="16" t="s">
        <v>6698</v>
      </c>
      <c r="Q1919" s="15" t="s">
        <v>75</v>
      </c>
      <c r="R1919" s="13" t="str">
        <f>HYPERLINK("https://my.pitchbook.com?c=211353-49T","View Company Online")</f>
        <v>View Company Online</v>
      </c>
    </row>
    <row r="1920" spans="1:18" hidden="1" x14ac:dyDescent="0.3">
      <c r="A1920" s="9" t="s">
        <v>6699</v>
      </c>
      <c r="B1920" s="9" t="s">
        <v>6700</v>
      </c>
      <c r="C1920" s="11" t="s">
        <v>28</v>
      </c>
      <c r="D1920" s="9" t="s">
        <v>6701</v>
      </c>
      <c r="E1920" s="11" t="s">
        <v>28</v>
      </c>
      <c r="F1920" s="10" t="s">
        <v>28</v>
      </c>
      <c r="G1920" s="10" t="s">
        <v>28</v>
      </c>
      <c r="H1920" s="10" t="s">
        <v>28</v>
      </c>
      <c r="I1920" s="11" t="s">
        <v>28</v>
      </c>
      <c r="J1920" s="11" t="s">
        <v>28</v>
      </c>
      <c r="K1920" s="11" t="s">
        <v>28</v>
      </c>
      <c r="L1920" s="11" t="s">
        <v>28</v>
      </c>
      <c r="M1920" s="11" t="s">
        <v>28</v>
      </c>
      <c r="N1920" s="8">
        <v>45002</v>
      </c>
      <c r="O1920" s="9" t="s">
        <v>30</v>
      </c>
      <c r="P1920" s="12" t="s">
        <v>6694</v>
      </c>
      <c r="Q1920" s="9" t="s">
        <v>69</v>
      </c>
      <c r="R1920" s="14" t="str">
        <f>HYPERLINK("https://my.pitchbook.com?c=219184-48T","View Company Online")</f>
        <v>View Company Online</v>
      </c>
    </row>
    <row r="1921" spans="1:18" hidden="1" x14ac:dyDescent="0.3">
      <c r="A1921" s="15" t="s">
        <v>6702</v>
      </c>
      <c r="B1921" s="15" t="s">
        <v>6703</v>
      </c>
      <c r="C1921" s="18" t="s">
        <v>28</v>
      </c>
      <c r="D1921" s="15" t="s">
        <v>6704</v>
      </c>
      <c r="E1921" s="18" t="s">
        <v>28</v>
      </c>
      <c r="F1921" s="19" t="s">
        <v>28</v>
      </c>
      <c r="G1921" s="19" t="s">
        <v>28</v>
      </c>
      <c r="H1921" s="19" t="s">
        <v>28</v>
      </c>
      <c r="I1921" s="18" t="s">
        <v>28</v>
      </c>
      <c r="J1921" s="18" t="s">
        <v>28</v>
      </c>
      <c r="K1921" s="18" t="s">
        <v>28</v>
      </c>
      <c r="L1921" s="18" t="s">
        <v>28</v>
      </c>
      <c r="M1921" s="18" t="s">
        <v>28</v>
      </c>
      <c r="N1921" s="17">
        <v>45002</v>
      </c>
      <c r="O1921" s="15" t="s">
        <v>30</v>
      </c>
      <c r="P1921" s="16" t="s">
        <v>6694</v>
      </c>
      <c r="Q1921" s="15" t="s">
        <v>69</v>
      </c>
      <c r="R1921" s="13" t="str">
        <f>HYPERLINK("https://my.pitchbook.com?c=219186-82T","View Company Online")</f>
        <v>View Company Online</v>
      </c>
    </row>
    <row r="1922" spans="1:18" hidden="1" x14ac:dyDescent="0.3">
      <c r="A1922" s="9" t="s">
        <v>6705</v>
      </c>
      <c r="B1922" s="9" t="s">
        <v>6706</v>
      </c>
      <c r="C1922" s="11" t="s">
        <v>28</v>
      </c>
      <c r="D1922" s="9" t="s">
        <v>6707</v>
      </c>
      <c r="E1922" s="11" t="s">
        <v>28</v>
      </c>
      <c r="F1922" s="10">
        <v>865.65</v>
      </c>
      <c r="G1922" s="10">
        <v>865.65</v>
      </c>
      <c r="H1922" s="10">
        <v>865.65</v>
      </c>
      <c r="I1922" s="11" t="s">
        <v>28</v>
      </c>
      <c r="J1922" s="11" t="s">
        <v>28</v>
      </c>
      <c r="K1922" s="11" t="s">
        <v>28</v>
      </c>
      <c r="L1922" s="11" t="s">
        <v>28</v>
      </c>
      <c r="M1922" s="11" t="s">
        <v>28</v>
      </c>
      <c r="N1922" s="8">
        <v>45001</v>
      </c>
      <c r="O1922" s="9" t="s">
        <v>41</v>
      </c>
      <c r="P1922" s="12" t="s">
        <v>6708</v>
      </c>
      <c r="Q1922" s="9" t="s">
        <v>54</v>
      </c>
      <c r="R1922" s="14" t="str">
        <f>HYPERLINK("https://my.pitchbook.com?c=209327-41T","View Company Online")</f>
        <v>View Company Online</v>
      </c>
    </row>
    <row r="1923" spans="1:18" hidden="1" x14ac:dyDescent="0.3">
      <c r="A1923" s="15" t="s">
        <v>6709</v>
      </c>
      <c r="B1923" s="15" t="s">
        <v>6710</v>
      </c>
      <c r="C1923" s="18" t="s">
        <v>28</v>
      </c>
      <c r="D1923" s="15" t="s">
        <v>6711</v>
      </c>
      <c r="E1923" s="18" t="s">
        <v>28</v>
      </c>
      <c r="F1923" s="19" t="s">
        <v>28</v>
      </c>
      <c r="G1923" s="19">
        <v>1.54</v>
      </c>
      <c r="H1923" s="19" t="s">
        <v>28</v>
      </c>
      <c r="I1923" s="18" t="s">
        <v>28</v>
      </c>
      <c r="J1923" s="18" t="s">
        <v>28</v>
      </c>
      <c r="K1923" s="18">
        <v>1.45</v>
      </c>
      <c r="L1923" s="18" t="s">
        <v>28</v>
      </c>
      <c r="M1923" s="18" t="s">
        <v>28</v>
      </c>
      <c r="N1923" s="17">
        <v>45001</v>
      </c>
      <c r="O1923" s="15" t="s">
        <v>99</v>
      </c>
      <c r="P1923" s="16" t="s">
        <v>6712</v>
      </c>
      <c r="Q1923" s="15" t="s">
        <v>75</v>
      </c>
      <c r="R1923" s="13" t="str">
        <f>HYPERLINK("https://my.pitchbook.com?c=218417-86T","View Company Online")</f>
        <v>View Company Online</v>
      </c>
    </row>
    <row r="1924" spans="1:18" hidden="1" x14ac:dyDescent="0.3">
      <c r="A1924" s="9" t="s">
        <v>6713</v>
      </c>
      <c r="B1924" s="9" t="s">
        <v>3533</v>
      </c>
      <c r="C1924" s="11" t="s">
        <v>28</v>
      </c>
      <c r="D1924" s="9" t="s">
        <v>3534</v>
      </c>
      <c r="E1924" s="11" t="s">
        <v>28</v>
      </c>
      <c r="F1924" s="10" t="s">
        <v>28</v>
      </c>
      <c r="G1924" s="10" t="s">
        <v>28</v>
      </c>
      <c r="H1924" s="10" t="s">
        <v>28</v>
      </c>
      <c r="I1924" s="11" t="s">
        <v>28</v>
      </c>
      <c r="J1924" s="11" t="s">
        <v>28</v>
      </c>
      <c r="K1924" s="11" t="s">
        <v>28</v>
      </c>
      <c r="L1924" s="11" t="s">
        <v>28</v>
      </c>
      <c r="M1924" s="11" t="s">
        <v>28</v>
      </c>
      <c r="N1924" s="8">
        <v>45000</v>
      </c>
      <c r="O1924" s="9" t="s">
        <v>52</v>
      </c>
      <c r="P1924" s="12" t="s">
        <v>3375</v>
      </c>
      <c r="Q1924" s="9" t="s">
        <v>75</v>
      </c>
      <c r="R1924" s="14" t="str">
        <f>HYPERLINK("https://my.pitchbook.com?c=269255-89T","View Company Online")</f>
        <v>View Company Online</v>
      </c>
    </row>
    <row r="1925" spans="1:18" hidden="1" x14ac:dyDescent="0.3">
      <c r="A1925" s="15" t="s">
        <v>6714</v>
      </c>
      <c r="B1925" s="15" t="s">
        <v>6715</v>
      </c>
      <c r="C1925" s="18" t="s">
        <v>28</v>
      </c>
      <c r="D1925" s="15" t="s">
        <v>6716</v>
      </c>
      <c r="E1925" s="18" t="s">
        <v>28</v>
      </c>
      <c r="F1925" s="19" t="s">
        <v>28</v>
      </c>
      <c r="G1925" s="19">
        <v>0.19</v>
      </c>
      <c r="H1925" s="19" t="s">
        <v>28</v>
      </c>
      <c r="I1925" s="18" t="s">
        <v>28</v>
      </c>
      <c r="J1925" s="18" t="s">
        <v>28</v>
      </c>
      <c r="K1925" s="18" t="s">
        <v>28</v>
      </c>
      <c r="L1925" s="18" t="s">
        <v>28</v>
      </c>
      <c r="M1925" s="18" t="s">
        <v>28</v>
      </c>
      <c r="N1925" s="17">
        <v>45000</v>
      </c>
      <c r="O1925" s="15" t="s">
        <v>99</v>
      </c>
      <c r="P1925" s="16" t="s">
        <v>6717</v>
      </c>
      <c r="Q1925" s="15" t="s">
        <v>75</v>
      </c>
      <c r="R1925" s="13" t="str">
        <f>HYPERLINK("https://my.pitchbook.com?c=244444-78T","View Company Online")</f>
        <v>View Company Online</v>
      </c>
    </row>
    <row r="1926" spans="1:18" hidden="1" x14ac:dyDescent="0.3">
      <c r="A1926" s="9" t="s">
        <v>6718</v>
      </c>
      <c r="B1926" s="9" t="s">
        <v>6719</v>
      </c>
      <c r="C1926" s="11" t="s">
        <v>28</v>
      </c>
      <c r="D1926" s="9" t="s">
        <v>6720</v>
      </c>
      <c r="E1926" s="11" t="s">
        <v>28</v>
      </c>
      <c r="F1926" s="10" t="s">
        <v>28</v>
      </c>
      <c r="G1926" s="10" t="s">
        <v>28</v>
      </c>
      <c r="H1926" s="10" t="s">
        <v>28</v>
      </c>
      <c r="I1926" s="11" t="s">
        <v>28</v>
      </c>
      <c r="J1926" s="11" t="s">
        <v>28</v>
      </c>
      <c r="K1926" s="11" t="s">
        <v>28</v>
      </c>
      <c r="L1926" s="11" t="s">
        <v>28</v>
      </c>
      <c r="M1926" s="11" t="s">
        <v>28</v>
      </c>
      <c r="N1926" s="8">
        <v>45000</v>
      </c>
      <c r="O1926" s="9" t="s">
        <v>30</v>
      </c>
      <c r="P1926" s="12" t="s">
        <v>6721</v>
      </c>
      <c r="Q1926" s="9" t="s">
        <v>245</v>
      </c>
      <c r="R1926" s="14" t="str">
        <f>HYPERLINK("https://my.pitchbook.com?c=260911-18T","View Company Online")</f>
        <v>View Company Online</v>
      </c>
    </row>
    <row r="1927" spans="1:18" hidden="1" x14ac:dyDescent="0.3">
      <c r="A1927" s="15" t="s">
        <v>6722</v>
      </c>
      <c r="B1927" s="15" t="s">
        <v>6723</v>
      </c>
      <c r="C1927" s="18" t="s">
        <v>28</v>
      </c>
      <c r="D1927" s="15" t="s">
        <v>6724</v>
      </c>
      <c r="E1927" s="18" t="s">
        <v>28</v>
      </c>
      <c r="F1927" s="19" t="s">
        <v>28</v>
      </c>
      <c r="G1927" s="19" t="s">
        <v>28</v>
      </c>
      <c r="H1927" s="19" t="s">
        <v>28</v>
      </c>
      <c r="I1927" s="18" t="s">
        <v>28</v>
      </c>
      <c r="J1927" s="18" t="s">
        <v>28</v>
      </c>
      <c r="K1927" s="18" t="s">
        <v>28</v>
      </c>
      <c r="L1927" s="18" t="s">
        <v>28</v>
      </c>
      <c r="M1927" s="18" t="s">
        <v>28</v>
      </c>
      <c r="N1927" s="17">
        <v>45000</v>
      </c>
      <c r="O1927" s="15" t="s">
        <v>30</v>
      </c>
      <c r="P1927" s="16" t="s">
        <v>6725</v>
      </c>
      <c r="Q1927" s="15" t="s">
        <v>245</v>
      </c>
      <c r="R1927" s="13" t="str">
        <f>HYPERLINK("https://my.pitchbook.com?c=218453-50T","View Company Online")</f>
        <v>View Company Online</v>
      </c>
    </row>
    <row r="1928" spans="1:18" hidden="1" x14ac:dyDescent="0.3">
      <c r="A1928" s="9" t="s">
        <v>6726</v>
      </c>
      <c r="B1928" s="9" t="s">
        <v>6727</v>
      </c>
      <c r="C1928" s="11" t="s">
        <v>28</v>
      </c>
      <c r="D1928" s="9" t="s">
        <v>6728</v>
      </c>
      <c r="E1928" s="11" t="s">
        <v>28</v>
      </c>
      <c r="F1928" s="10" t="s">
        <v>28</v>
      </c>
      <c r="G1928" s="10">
        <v>0.5</v>
      </c>
      <c r="H1928" s="10" t="s">
        <v>28</v>
      </c>
      <c r="I1928" s="11" t="s">
        <v>28</v>
      </c>
      <c r="J1928" s="11" t="s">
        <v>28</v>
      </c>
      <c r="K1928" s="11" t="s">
        <v>28</v>
      </c>
      <c r="L1928" s="11" t="s">
        <v>28</v>
      </c>
      <c r="M1928" s="11" t="s">
        <v>28</v>
      </c>
      <c r="N1928" s="8">
        <v>44998</v>
      </c>
      <c r="O1928" s="9" t="s">
        <v>52</v>
      </c>
      <c r="P1928" s="12" t="s">
        <v>2915</v>
      </c>
      <c r="Q1928" s="9" t="s">
        <v>114</v>
      </c>
      <c r="R1928" s="14" t="str">
        <f>HYPERLINK("https://my.pitchbook.com?c=247238-11T","View Company Online")</f>
        <v>View Company Online</v>
      </c>
    </row>
    <row r="1929" spans="1:18" hidden="1" x14ac:dyDescent="0.3">
      <c r="A1929" s="15" t="s">
        <v>6729</v>
      </c>
      <c r="B1929" s="15" t="s">
        <v>6730</v>
      </c>
      <c r="C1929" s="18" t="s">
        <v>28</v>
      </c>
      <c r="D1929" s="15" t="s">
        <v>6731</v>
      </c>
      <c r="E1929" s="18" t="s">
        <v>28</v>
      </c>
      <c r="F1929" s="19" t="s">
        <v>28</v>
      </c>
      <c r="G1929" s="19">
        <v>0.96</v>
      </c>
      <c r="H1929" s="19" t="s">
        <v>28</v>
      </c>
      <c r="I1929" s="18" t="s">
        <v>28</v>
      </c>
      <c r="J1929" s="18" t="s">
        <v>28</v>
      </c>
      <c r="K1929" s="18" t="s">
        <v>28</v>
      </c>
      <c r="L1929" s="18" t="s">
        <v>28</v>
      </c>
      <c r="M1929" s="18" t="s">
        <v>28</v>
      </c>
      <c r="N1929" s="17">
        <v>44998</v>
      </c>
      <c r="O1929" s="15" t="s">
        <v>99</v>
      </c>
      <c r="P1929" s="16" t="s">
        <v>6732</v>
      </c>
      <c r="Q1929" s="15" t="s">
        <v>54</v>
      </c>
      <c r="R1929" s="13" t="str">
        <f>HYPERLINK("https://my.pitchbook.com?c=257934-25T","View Company Online")</f>
        <v>View Company Online</v>
      </c>
    </row>
    <row r="1930" spans="1:18" hidden="1" x14ac:dyDescent="0.3">
      <c r="A1930" s="9" t="s">
        <v>6733</v>
      </c>
      <c r="B1930" s="9" t="s">
        <v>6734</v>
      </c>
      <c r="C1930" s="11" t="s">
        <v>28</v>
      </c>
      <c r="D1930" s="9" t="s">
        <v>6735</v>
      </c>
      <c r="E1930" s="11" t="s">
        <v>28</v>
      </c>
      <c r="F1930" s="10">
        <v>1.1599999999999999</v>
      </c>
      <c r="G1930" s="10">
        <v>1.1599999999999999</v>
      </c>
      <c r="H1930" s="10">
        <v>1.1599999999999999</v>
      </c>
      <c r="I1930" s="11" t="s">
        <v>28</v>
      </c>
      <c r="J1930" s="11" t="s">
        <v>28</v>
      </c>
      <c r="K1930" s="11" t="s">
        <v>28</v>
      </c>
      <c r="L1930" s="11" t="s">
        <v>28</v>
      </c>
      <c r="M1930" s="11" t="s">
        <v>28</v>
      </c>
      <c r="N1930" s="8">
        <v>44998</v>
      </c>
      <c r="O1930" s="9" t="s">
        <v>30</v>
      </c>
      <c r="P1930" s="12" t="s">
        <v>6736</v>
      </c>
      <c r="Q1930" s="9" t="s">
        <v>2620</v>
      </c>
      <c r="R1930" s="14" t="str">
        <f>HYPERLINK("https://my.pitchbook.com?c=218358-10T","View Company Online")</f>
        <v>View Company Online</v>
      </c>
    </row>
    <row r="1931" spans="1:18" hidden="1" x14ac:dyDescent="0.3">
      <c r="A1931" s="15" t="s">
        <v>6737</v>
      </c>
      <c r="B1931" s="15" t="s">
        <v>6738</v>
      </c>
      <c r="C1931" s="18" t="s">
        <v>28</v>
      </c>
      <c r="D1931" s="15" t="s">
        <v>6739</v>
      </c>
      <c r="E1931" s="18" t="s">
        <v>28</v>
      </c>
      <c r="F1931" s="19" t="s">
        <v>28</v>
      </c>
      <c r="G1931" s="19" t="s">
        <v>28</v>
      </c>
      <c r="H1931" s="19" t="s">
        <v>28</v>
      </c>
      <c r="I1931" s="18" t="s">
        <v>28</v>
      </c>
      <c r="J1931" s="18" t="s">
        <v>28</v>
      </c>
      <c r="K1931" s="18" t="s">
        <v>28</v>
      </c>
      <c r="L1931" s="18" t="s">
        <v>28</v>
      </c>
      <c r="M1931" s="18" t="s">
        <v>28</v>
      </c>
      <c r="N1931" s="17">
        <v>44997</v>
      </c>
      <c r="O1931" s="15" t="s">
        <v>52</v>
      </c>
      <c r="P1931" s="16" t="s">
        <v>2039</v>
      </c>
      <c r="Q1931" s="15" t="s">
        <v>245</v>
      </c>
      <c r="R1931" s="13" t="str">
        <f>HYPERLINK("https://my.pitchbook.com?c=287775-10T","View Company Online")</f>
        <v>View Company Online</v>
      </c>
    </row>
    <row r="1932" spans="1:18" hidden="1" x14ac:dyDescent="0.3">
      <c r="A1932" s="9" t="s">
        <v>6740</v>
      </c>
      <c r="B1932" s="9" t="s">
        <v>6741</v>
      </c>
      <c r="C1932" s="11" t="s">
        <v>28</v>
      </c>
      <c r="D1932" s="9" t="s">
        <v>6742</v>
      </c>
      <c r="E1932" s="11" t="s">
        <v>28</v>
      </c>
      <c r="F1932" s="10" t="s">
        <v>28</v>
      </c>
      <c r="G1932" s="10" t="s">
        <v>28</v>
      </c>
      <c r="H1932" s="10" t="s">
        <v>28</v>
      </c>
      <c r="I1932" s="11" t="s">
        <v>28</v>
      </c>
      <c r="J1932" s="11" t="s">
        <v>28</v>
      </c>
      <c r="K1932" s="11" t="s">
        <v>28</v>
      </c>
      <c r="L1932" s="11" t="s">
        <v>28</v>
      </c>
      <c r="M1932" s="11" t="s">
        <v>28</v>
      </c>
      <c r="N1932" s="8">
        <v>44997</v>
      </c>
      <c r="O1932" s="9" t="s">
        <v>52</v>
      </c>
      <c r="P1932" s="12" t="s">
        <v>4245</v>
      </c>
      <c r="Q1932" s="9" t="s">
        <v>37</v>
      </c>
      <c r="R1932" s="14" t="str">
        <f>HYPERLINK("https://my.pitchbook.com?c=287410-78T","View Company Online")</f>
        <v>View Company Online</v>
      </c>
    </row>
    <row r="1933" spans="1:18" hidden="1" x14ac:dyDescent="0.3">
      <c r="A1933" s="15" t="s">
        <v>6743</v>
      </c>
      <c r="B1933" s="15" t="s">
        <v>6744</v>
      </c>
      <c r="C1933" s="18" t="s">
        <v>28</v>
      </c>
      <c r="D1933" s="15" t="s">
        <v>6745</v>
      </c>
      <c r="E1933" s="18" t="s">
        <v>28</v>
      </c>
      <c r="F1933" s="19" t="s">
        <v>28</v>
      </c>
      <c r="G1933" s="19">
        <v>1.06</v>
      </c>
      <c r="H1933" s="19" t="s">
        <v>28</v>
      </c>
      <c r="I1933" s="18" t="s">
        <v>28</v>
      </c>
      <c r="J1933" s="18" t="s">
        <v>28</v>
      </c>
      <c r="K1933" s="18" t="s">
        <v>28</v>
      </c>
      <c r="L1933" s="18" t="s">
        <v>28</v>
      </c>
      <c r="M1933" s="18" t="s">
        <v>28</v>
      </c>
      <c r="N1933" s="17">
        <v>44995</v>
      </c>
      <c r="O1933" s="15" t="s">
        <v>99</v>
      </c>
      <c r="P1933" s="16" t="s">
        <v>6746</v>
      </c>
      <c r="Q1933" s="15" t="s">
        <v>249</v>
      </c>
      <c r="R1933" s="13" t="str">
        <f>HYPERLINK("https://my.pitchbook.com?c=216046-54T","View Company Online")</f>
        <v>View Company Online</v>
      </c>
    </row>
    <row r="1934" spans="1:18" hidden="1" x14ac:dyDescent="0.3">
      <c r="A1934" s="9" t="s">
        <v>6747</v>
      </c>
      <c r="B1934" s="9" t="s">
        <v>6748</v>
      </c>
      <c r="C1934" s="11" t="s">
        <v>28</v>
      </c>
      <c r="D1934" s="9" t="s">
        <v>6749</v>
      </c>
      <c r="E1934" s="11" t="s">
        <v>28</v>
      </c>
      <c r="F1934" s="10" t="s">
        <v>28</v>
      </c>
      <c r="G1934" s="10">
        <v>1.64</v>
      </c>
      <c r="H1934" s="10" t="s">
        <v>28</v>
      </c>
      <c r="I1934" s="11" t="s">
        <v>28</v>
      </c>
      <c r="J1934" s="11" t="s">
        <v>28</v>
      </c>
      <c r="K1934" s="11" t="s">
        <v>28</v>
      </c>
      <c r="L1934" s="11" t="s">
        <v>28</v>
      </c>
      <c r="M1934" s="11" t="s">
        <v>28</v>
      </c>
      <c r="N1934" s="8">
        <v>44995</v>
      </c>
      <c r="O1934" s="9" t="s">
        <v>99</v>
      </c>
      <c r="P1934" s="12" t="s">
        <v>6750</v>
      </c>
      <c r="Q1934" s="9" t="s">
        <v>75</v>
      </c>
      <c r="R1934" s="14" t="str">
        <f>HYPERLINK("https://my.pitchbook.com?c=218079-91T","View Company Online")</f>
        <v>View Company Online</v>
      </c>
    </row>
    <row r="1935" spans="1:18" hidden="1" x14ac:dyDescent="0.3">
      <c r="A1935" s="15" t="s">
        <v>6751</v>
      </c>
      <c r="B1935" s="15" t="s">
        <v>6752</v>
      </c>
      <c r="C1935" s="18" t="s">
        <v>28</v>
      </c>
      <c r="D1935" s="15" t="s">
        <v>6753</v>
      </c>
      <c r="E1935" s="18" t="s">
        <v>28</v>
      </c>
      <c r="F1935" s="19" t="s">
        <v>28</v>
      </c>
      <c r="G1935" s="19" t="s">
        <v>28</v>
      </c>
      <c r="H1935" s="19" t="s">
        <v>28</v>
      </c>
      <c r="I1935" s="18" t="s">
        <v>28</v>
      </c>
      <c r="J1935" s="18" t="s">
        <v>28</v>
      </c>
      <c r="K1935" s="18" t="s">
        <v>28</v>
      </c>
      <c r="L1935" s="18" t="s">
        <v>28</v>
      </c>
      <c r="M1935" s="18" t="s">
        <v>28</v>
      </c>
      <c r="N1935" s="17">
        <v>44995</v>
      </c>
      <c r="O1935" s="15" t="s">
        <v>52</v>
      </c>
      <c r="P1935" s="16" t="s">
        <v>2915</v>
      </c>
      <c r="Q1935" s="15" t="s">
        <v>414</v>
      </c>
      <c r="R1935" s="13" t="str">
        <f>HYPERLINK("https://my.pitchbook.com?c=247234-69T","View Company Online")</f>
        <v>View Company Online</v>
      </c>
    </row>
    <row r="1936" spans="1:18" hidden="1" x14ac:dyDescent="0.3">
      <c r="A1936" s="9" t="s">
        <v>6754</v>
      </c>
      <c r="B1936" s="9" t="s">
        <v>6755</v>
      </c>
      <c r="C1936" s="11" t="s">
        <v>28</v>
      </c>
      <c r="D1936" s="9" t="s">
        <v>6756</v>
      </c>
      <c r="E1936" s="11" t="s">
        <v>28</v>
      </c>
      <c r="F1936" s="10" t="s">
        <v>28</v>
      </c>
      <c r="G1936" s="10" t="s">
        <v>28</v>
      </c>
      <c r="H1936" s="10" t="s">
        <v>28</v>
      </c>
      <c r="I1936" s="11" t="s">
        <v>28</v>
      </c>
      <c r="J1936" s="11" t="s">
        <v>28</v>
      </c>
      <c r="K1936" s="11" t="s">
        <v>28</v>
      </c>
      <c r="L1936" s="11" t="s">
        <v>28</v>
      </c>
      <c r="M1936" s="11" t="s">
        <v>28</v>
      </c>
      <c r="N1936" s="8">
        <v>44993</v>
      </c>
      <c r="O1936" s="9" t="s">
        <v>30</v>
      </c>
      <c r="P1936" s="12" t="s">
        <v>3083</v>
      </c>
      <c r="Q1936" s="9" t="s">
        <v>414</v>
      </c>
      <c r="R1936" s="14" t="str">
        <f>HYPERLINK("https://my.pitchbook.com?c=217975-87T","View Company Online")</f>
        <v>View Company Online</v>
      </c>
    </row>
    <row r="1937" spans="1:18" x14ac:dyDescent="0.3">
      <c r="A1937" s="15" t="s">
        <v>6757</v>
      </c>
      <c r="B1937" s="15" t="s">
        <v>6758</v>
      </c>
      <c r="C1937" s="18">
        <v>21.56</v>
      </c>
      <c r="D1937" s="15" t="s">
        <v>6759</v>
      </c>
      <c r="E1937" s="18" t="s">
        <v>28</v>
      </c>
      <c r="F1937" s="19">
        <v>596.70000000000005</v>
      </c>
      <c r="G1937" s="19">
        <v>238.68</v>
      </c>
      <c r="H1937" s="19">
        <v>596.70000000000005</v>
      </c>
      <c r="I1937" s="18">
        <v>27.67</v>
      </c>
      <c r="J1937" s="18">
        <v>21.56</v>
      </c>
      <c r="K1937" s="18">
        <v>68.31</v>
      </c>
      <c r="L1937" s="18">
        <v>8.74</v>
      </c>
      <c r="M1937" s="18" t="s">
        <v>28</v>
      </c>
      <c r="N1937" s="17">
        <v>44993</v>
      </c>
      <c r="O1937" s="15" t="s">
        <v>30</v>
      </c>
      <c r="P1937" s="16" t="s">
        <v>6760</v>
      </c>
      <c r="Q1937" s="15" t="s">
        <v>85</v>
      </c>
      <c r="R1937" s="13" t="str">
        <f>HYPERLINK("https://my.pitchbook.com?c=217797-22T","View Company Online")</f>
        <v>View Company Online</v>
      </c>
    </row>
    <row r="1938" spans="1:18" hidden="1" x14ac:dyDescent="0.3">
      <c r="A1938" s="9" t="s">
        <v>6761</v>
      </c>
      <c r="B1938" s="9" t="s">
        <v>6762</v>
      </c>
      <c r="C1938" s="11" t="s">
        <v>28</v>
      </c>
      <c r="D1938" s="9" t="s">
        <v>6763</v>
      </c>
      <c r="E1938" s="11" t="s">
        <v>28</v>
      </c>
      <c r="F1938" s="10" t="s">
        <v>28</v>
      </c>
      <c r="G1938" s="10">
        <v>4.8099999999999996</v>
      </c>
      <c r="H1938" s="10" t="s">
        <v>28</v>
      </c>
      <c r="I1938" s="11" t="s">
        <v>28</v>
      </c>
      <c r="J1938" s="11" t="s">
        <v>28</v>
      </c>
      <c r="K1938" s="11" t="s">
        <v>28</v>
      </c>
      <c r="L1938" s="11" t="s">
        <v>28</v>
      </c>
      <c r="M1938" s="11" t="s">
        <v>28</v>
      </c>
      <c r="N1938" s="8">
        <v>44992</v>
      </c>
      <c r="O1938" s="9" t="s">
        <v>93</v>
      </c>
      <c r="P1938" s="12" t="s">
        <v>6764</v>
      </c>
      <c r="Q1938" s="9" t="s">
        <v>362</v>
      </c>
      <c r="R1938" s="14" t="str">
        <f>HYPERLINK("https://my.pitchbook.com?c=218002-24T","View Company Online")</f>
        <v>View Company Online</v>
      </c>
    </row>
    <row r="1939" spans="1:18" hidden="1" x14ac:dyDescent="0.3">
      <c r="A1939" s="15" t="s">
        <v>6765</v>
      </c>
      <c r="B1939" s="15" t="s">
        <v>6766</v>
      </c>
      <c r="C1939" s="18" t="s">
        <v>28</v>
      </c>
      <c r="D1939" s="15" t="s">
        <v>6767</v>
      </c>
      <c r="E1939" s="18" t="s">
        <v>28</v>
      </c>
      <c r="F1939" s="19" t="s">
        <v>28</v>
      </c>
      <c r="G1939" s="19" t="s">
        <v>28</v>
      </c>
      <c r="H1939" s="19" t="s">
        <v>28</v>
      </c>
      <c r="I1939" s="18" t="s">
        <v>28</v>
      </c>
      <c r="J1939" s="18" t="s">
        <v>28</v>
      </c>
      <c r="K1939" s="18" t="s">
        <v>28</v>
      </c>
      <c r="L1939" s="18" t="s">
        <v>28</v>
      </c>
      <c r="M1939" s="18" t="s">
        <v>28</v>
      </c>
      <c r="N1939" s="17">
        <v>44992</v>
      </c>
      <c r="O1939" s="15" t="s">
        <v>30</v>
      </c>
      <c r="P1939" s="16" t="s">
        <v>6768</v>
      </c>
      <c r="Q1939" s="15" t="s">
        <v>419</v>
      </c>
      <c r="R1939" s="13" t="str">
        <f>HYPERLINK("https://my.pitchbook.com?c=218134-36T","View Company Online")</f>
        <v>View Company Online</v>
      </c>
    </row>
    <row r="1940" spans="1:18" hidden="1" x14ac:dyDescent="0.3">
      <c r="A1940" s="9" t="s">
        <v>6769</v>
      </c>
      <c r="B1940" s="9" t="s">
        <v>6770</v>
      </c>
      <c r="C1940" s="11" t="s">
        <v>28</v>
      </c>
      <c r="D1940" s="9" t="s">
        <v>6771</v>
      </c>
      <c r="E1940" s="11">
        <v>162.46</v>
      </c>
      <c r="F1940" s="10" t="s">
        <v>28</v>
      </c>
      <c r="G1940" s="10" t="s">
        <v>28</v>
      </c>
      <c r="H1940" s="10" t="s">
        <v>28</v>
      </c>
      <c r="I1940" s="11">
        <v>224.64</v>
      </c>
      <c r="J1940" s="11" t="s">
        <v>28</v>
      </c>
      <c r="K1940" s="11">
        <v>638.76</v>
      </c>
      <c r="L1940" s="11" t="s">
        <v>28</v>
      </c>
      <c r="M1940" s="11">
        <v>113.12</v>
      </c>
      <c r="N1940" s="8">
        <v>44992</v>
      </c>
      <c r="O1940" s="9" t="s">
        <v>423</v>
      </c>
      <c r="P1940" s="12" t="s">
        <v>28</v>
      </c>
      <c r="Q1940" s="9" t="s">
        <v>37</v>
      </c>
      <c r="R1940" s="14" t="str">
        <f>HYPERLINK("https://my.pitchbook.com?c=223658-38T","View Company Online")</f>
        <v>View Company Online</v>
      </c>
    </row>
    <row r="1941" spans="1:18" hidden="1" x14ac:dyDescent="0.3">
      <c r="A1941" s="15" t="s">
        <v>6772</v>
      </c>
      <c r="B1941" s="15" t="s">
        <v>6773</v>
      </c>
      <c r="C1941" s="18" t="s">
        <v>28</v>
      </c>
      <c r="D1941" s="15" t="s">
        <v>6774</v>
      </c>
      <c r="E1941" s="18" t="s">
        <v>28</v>
      </c>
      <c r="F1941" s="19" t="s">
        <v>28</v>
      </c>
      <c r="G1941" s="19" t="s">
        <v>28</v>
      </c>
      <c r="H1941" s="19" t="s">
        <v>28</v>
      </c>
      <c r="I1941" s="18" t="s">
        <v>28</v>
      </c>
      <c r="J1941" s="18" t="s">
        <v>28</v>
      </c>
      <c r="K1941" s="18" t="s">
        <v>28</v>
      </c>
      <c r="L1941" s="18" t="s">
        <v>28</v>
      </c>
      <c r="M1941" s="18" t="s">
        <v>28</v>
      </c>
      <c r="N1941" s="17">
        <v>44992</v>
      </c>
      <c r="O1941" s="15" t="s">
        <v>30</v>
      </c>
      <c r="P1941" s="16" t="s">
        <v>42</v>
      </c>
      <c r="Q1941" s="15" t="s">
        <v>43</v>
      </c>
      <c r="R1941" s="13" t="str">
        <f>HYPERLINK("https://my.pitchbook.com?c=218272-87T","View Company Online")</f>
        <v>View Company Online</v>
      </c>
    </row>
    <row r="1942" spans="1:18" hidden="1" x14ac:dyDescent="0.3">
      <c r="A1942" s="9" t="s">
        <v>6775</v>
      </c>
      <c r="B1942" s="9" t="s">
        <v>6776</v>
      </c>
      <c r="C1942" s="11" t="s">
        <v>28</v>
      </c>
      <c r="D1942" s="9" t="s">
        <v>6777</v>
      </c>
      <c r="E1942" s="11" t="s">
        <v>28</v>
      </c>
      <c r="F1942" s="10" t="s">
        <v>28</v>
      </c>
      <c r="G1942" s="10" t="s">
        <v>28</v>
      </c>
      <c r="H1942" s="10" t="s">
        <v>28</v>
      </c>
      <c r="I1942" s="11" t="s">
        <v>28</v>
      </c>
      <c r="J1942" s="11" t="s">
        <v>28</v>
      </c>
      <c r="K1942" s="11">
        <v>11.61</v>
      </c>
      <c r="L1942" s="11" t="s">
        <v>28</v>
      </c>
      <c r="M1942" s="11" t="s">
        <v>28</v>
      </c>
      <c r="N1942" s="8">
        <v>44992</v>
      </c>
      <c r="O1942" s="9" t="s">
        <v>30</v>
      </c>
      <c r="P1942" s="12" t="s">
        <v>6778</v>
      </c>
      <c r="Q1942" s="9" t="s">
        <v>245</v>
      </c>
      <c r="R1942" s="14" t="str">
        <f>HYPERLINK("https://my.pitchbook.com?c=197293-87T","View Company Online")</f>
        <v>View Company Online</v>
      </c>
    </row>
    <row r="1943" spans="1:18" hidden="1" x14ac:dyDescent="0.3">
      <c r="A1943" s="15" t="s">
        <v>6779</v>
      </c>
      <c r="B1943" s="15" t="s">
        <v>6780</v>
      </c>
      <c r="C1943" s="18" t="s">
        <v>28</v>
      </c>
      <c r="D1943" s="15" t="s">
        <v>6781</v>
      </c>
      <c r="E1943" s="18" t="s">
        <v>28</v>
      </c>
      <c r="F1943" s="19" t="s">
        <v>28</v>
      </c>
      <c r="G1943" s="19">
        <v>1.73</v>
      </c>
      <c r="H1943" s="19" t="s">
        <v>28</v>
      </c>
      <c r="I1943" s="18" t="s">
        <v>28</v>
      </c>
      <c r="J1943" s="18" t="s">
        <v>28</v>
      </c>
      <c r="K1943" s="18" t="s">
        <v>28</v>
      </c>
      <c r="L1943" s="18" t="s">
        <v>28</v>
      </c>
      <c r="M1943" s="18" t="s">
        <v>28</v>
      </c>
      <c r="N1943" s="17">
        <v>44991</v>
      </c>
      <c r="O1943" s="15" t="s">
        <v>379</v>
      </c>
      <c r="P1943" s="16" t="s">
        <v>6782</v>
      </c>
      <c r="Q1943" s="15" t="s">
        <v>105</v>
      </c>
      <c r="R1943" s="13" t="str">
        <f>HYPERLINK("https://my.pitchbook.com?c=219055-42T","View Company Online")</f>
        <v>View Company Online</v>
      </c>
    </row>
    <row r="1944" spans="1:18" hidden="1" x14ac:dyDescent="0.3">
      <c r="A1944" s="9" t="s">
        <v>6783</v>
      </c>
      <c r="B1944" s="9" t="s">
        <v>1025</v>
      </c>
      <c r="C1944" s="11" t="s">
        <v>28</v>
      </c>
      <c r="D1944" s="9" t="s">
        <v>1026</v>
      </c>
      <c r="E1944" s="11" t="s">
        <v>28</v>
      </c>
      <c r="F1944" s="10" t="s">
        <v>28</v>
      </c>
      <c r="G1944" s="10">
        <v>3</v>
      </c>
      <c r="H1944" s="10" t="s">
        <v>28</v>
      </c>
      <c r="I1944" s="11" t="s">
        <v>28</v>
      </c>
      <c r="J1944" s="11" t="s">
        <v>28</v>
      </c>
      <c r="K1944" s="11" t="s">
        <v>28</v>
      </c>
      <c r="L1944" s="11" t="s">
        <v>28</v>
      </c>
      <c r="M1944" s="11" t="s">
        <v>28</v>
      </c>
      <c r="N1944" s="8">
        <v>44991</v>
      </c>
      <c r="O1944" s="9" t="s">
        <v>99</v>
      </c>
      <c r="P1944" s="12" t="s">
        <v>6784</v>
      </c>
      <c r="Q1944" s="9" t="s">
        <v>37</v>
      </c>
      <c r="R1944" s="14" t="str">
        <f>HYPERLINK("https://my.pitchbook.com?c=217232-20T","View Company Online")</f>
        <v>View Company Online</v>
      </c>
    </row>
    <row r="1945" spans="1:18" hidden="1" x14ac:dyDescent="0.3">
      <c r="A1945" s="15" t="s">
        <v>6785</v>
      </c>
      <c r="B1945" s="15" t="s">
        <v>6786</v>
      </c>
      <c r="C1945" s="18" t="s">
        <v>28</v>
      </c>
      <c r="D1945" s="15" t="s">
        <v>6787</v>
      </c>
      <c r="E1945" s="18" t="s">
        <v>28</v>
      </c>
      <c r="F1945" s="19" t="s">
        <v>28</v>
      </c>
      <c r="G1945" s="19" t="s">
        <v>28</v>
      </c>
      <c r="H1945" s="19" t="s">
        <v>28</v>
      </c>
      <c r="I1945" s="18" t="s">
        <v>28</v>
      </c>
      <c r="J1945" s="18" t="s">
        <v>28</v>
      </c>
      <c r="K1945" s="18" t="s">
        <v>28</v>
      </c>
      <c r="L1945" s="18" t="s">
        <v>28</v>
      </c>
      <c r="M1945" s="18" t="s">
        <v>28</v>
      </c>
      <c r="N1945" s="17">
        <v>44991</v>
      </c>
      <c r="O1945" s="15" t="s">
        <v>30</v>
      </c>
      <c r="P1945" s="16" t="s">
        <v>6788</v>
      </c>
      <c r="Q1945" s="15" t="s">
        <v>75</v>
      </c>
      <c r="R1945" s="13" t="str">
        <f>HYPERLINK("https://my.pitchbook.com?c=217936-09T","View Company Online")</f>
        <v>View Company Online</v>
      </c>
    </row>
    <row r="1946" spans="1:18" hidden="1" x14ac:dyDescent="0.3">
      <c r="A1946" s="9" t="s">
        <v>6789</v>
      </c>
      <c r="B1946" s="9" t="s">
        <v>3104</v>
      </c>
      <c r="C1946" s="11" t="s">
        <v>28</v>
      </c>
      <c r="D1946" s="9" t="s">
        <v>3105</v>
      </c>
      <c r="E1946" s="11" t="s">
        <v>28</v>
      </c>
      <c r="F1946" s="10" t="s">
        <v>28</v>
      </c>
      <c r="G1946" s="10" t="s">
        <v>28</v>
      </c>
      <c r="H1946" s="10" t="s">
        <v>28</v>
      </c>
      <c r="I1946" s="11" t="s">
        <v>28</v>
      </c>
      <c r="J1946" s="11" t="s">
        <v>28</v>
      </c>
      <c r="K1946" s="11" t="s">
        <v>28</v>
      </c>
      <c r="L1946" s="11" t="s">
        <v>28</v>
      </c>
      <c r="M1946" s="11" t="s">
        <v>28</v>
      </c>
      <c r="N1946" s="8">
        <v>44991</v>
      </c>
      <c r="O1946" s="9" t="s">
        <v>52</v>
      </c>
      <c r="P1946" s="12" t="s">
        <v>6790</v>
      </c>
      <c r="Q1946" s="9" t="s">
        <v>114</v>
      </c>
      <c r="R1946" s="14" t="str">
        <f>HYPERLINK("https://my.pitchbook.com?c=254343-70T","View Company Online")</f>
        <v>View Company Online</v>
      </c>
    </row>
    <row r="1947" spans="1:18" hidden="1" x14ac:dyDescent="0.3">
      <c r="A1947" s="15" t="s">
        <v>6791</v>
      </c>
      <c r="B1947" s="15" t="s">
        <v>3377</v>
      </c>
      <c r="C1947" s="18" t="s">
        <v>28</v>
      </c>
      <c r="D1947" s="15" t="s">
        <v>3378</v>
      </c>
      <c r="E1947" s="18" t="s">
        <v>28</v>
      </c>
      <c r="F1947" s="19" t="s">
        <v>28</v>
      </c>
      <c r="G1947" s="19">
        <v>6.75</v>
      </c>
      <c r="H1947" s="19" t="s">
        <v>28</v>
      </c>
      <c r="I1947" s="18" t="s">
        <v>28</v>
      </c>
      <c r="J1947" s="18" t="s">
        <v>28</v>
      </c>
      <c r="K1947" s="18" t="s">
        <v>28</v>
      </c>
      <c r="L1947" s="18" t="s">
        <v>28</v>
      </c>
      <c r="M1947" s="18" t="s">
        <v>28</v>
      </c>
      <c r="N1947" s="17">
        <v>44988</v>
      </c>
      <c r="O1947" s="15" t="s">
        <v>73</v>
      </c>
      <c r="P1947" s="16" t="s">
        <v>6792</v>
      </c>
      <c r="Q1947" s="15" t="s">
        <v>37</v>
      </c>
      <c r="R1947" s="13" t="str">
        <f>HYPERLINK("https://my.pitchbook.com?c=208389-61T","View Company Online")</f>
        <v>View Company Online</v>
      </c>
    </row>
    <row r="1948" spans="1:18" x14ac:dyDescent="0.3">
      <c r="A1948" s="9" t="s">
        <v>6793</v>
      </c>
      <c r="B1948" s="9" t="s">
        <v>6794</v>
      </c>
      <c r="C1948" s="11">
        <v>9.65</v>
      </c>
      <c r="D1948" s="9" t="s">
        <v>6795</v>
      </c>
      <c r="E1948" s="11" t="s">
        <v>28</v>
      </c>
      <c r="F1948" s="10">
        <v>5.79</v>
      </c>
      <c r="G1948" s="10">
        <v>3.47</v>
      </c>
      <c r="H1948" s="10">
        <v>5.79</v>
      </c>
      <c r="I1948" s="11">
        <v>0.6</v>
      </c>
      <c r="J1948" s="11">
        <v>9.65</v>
      </c>
      <c r="K1948" s="11">
        <v>1.3</v>
      </c>
      <c r="L1948" s="11">
        <v>4.46</v>
      </c>
      <c r="M1948" s="11" t="s">
        <v>28</v>
      </c>
      <c r="N1948" s="8">
        <v>44988</v>
      </c>
      <c r="O1948" s="9" t="s">
        <v>30</v>
      </c>
      <c r="P1948" s="12" t="s">
        <v>6796</v>
      </c>
      <c r="Q1948" s="9" t="s">
        <v>75</v>
      </c>
      <c r="R1948" s="14" t="str">
        <f>HYPERLINK("https://my.pitchbook.com?c=218327-14T","View Company Online")</f>
        <v>View Company Online</v>
      </c>
    </row>
    <row r="1949" spans="1:18" hidden="1" x14ac:dyDescent="0.3">
      <c r="A1949" s="15" t="s">
        <v>6797</v>
      </c>
      <c r="B1949" s="15" t="s">
        <v>6798</v>
      </c>
      <c r="C1949" s="18" t="s">
        <v>28</v>
      </c>
      <c r="D1949" s="15" t="s">
        <v>6799</v>
      </c>
      <c r="E1949" s="18" t="s">
        <v>28</v>
      </c>
      <c r="F1949" s="19">
        <v>25.35</v>
      </c>
      <c r="G1949" s="19">
        <v>12.93</v>
      </c>
      <c r="H1949" s="19">
        <v>25.35</v>
      </c>
      <c r="I1949" s="18" t="s">
        <v>28</v>
      </c>
      <c r="J1949" s="18" t="s">
        <v>28</v>
      </c>
      <c r="K1949" s="18" t="s">
        <v>28</v>
      </c>
      <c r="L1949" s="18" t="s">
        <v>28</v>
      </c>
      <c r="M1949" s="18" t="s">
        <v>28</v>
      </c>
      <c r="N1949" s="17">
        <v>44988</v>
      </c>
      <c r="O1949" s="15" t="s">
        <v>30</v>
      </c>
      <c r="P1949" s="16" t="s">
        <v>6800</v>
      </c>
      <c r="Q1949" s="15" t="s">
        <v>119</v>
      </c>
      <c r="R1949" s="13" t="str">
        <f>HYPERLINK("https://my.pitchbook.com?c=217805-50T","View Company Online")</f>
        <v>View Company Online</v>
      </c>
    </row>
    <row r="1950" spans="1:18" x14ac:dyDescent="0.3">
      <c r="A1950" s="9" t="s">
        <v>6801</v>
      </c>
      <c r="B1950" s="9" t="s">
        <v>6802</v>
      </c>
      <c r="C1950" s="11">
        <v>1.68</v>
      </c>
      <c r="D1950" s="9" t="s">
        <v>6803</v>
      </c>
      <c r="E1950" s="11">
        <v>656.34</v>
      </c>
      <c r="F1950" s="10">
        <v>1772.44</v>
      </c>
      <c r="G1950" s="10">
        <v>829.63</v>
      </c>
      <c r="H1950" s="10">
        <v>2592.59</v>
      </c>
      <c r="I1950" s="11">
        <v>1056.5899999999999</v>
      </c>
      <c r="J1950" s="11">
        <v>2.4500000000000002</v>
      </c>
      <c r="K1950" s="11">
        <v>3345.44</v>
      </c>
      <c r="L1950" s="11">
        <v>0.77</v>
      </c>
      <c r="M1950" s="11">
        <v>197.66</v>
      </c>
      <c r="N1950" s="8">
        <v>44988</v>
      </c>
      <c r="O1950" s="9" t="s">
        <v>30</v>
      </c>
      <c r="P1950" s="12" t="s">
        <v>6804</v>
      </c>
      <c r="Q1950" s="9" t="s">
        <v>348</v>
      </c>
      <c r="R1950" s="14" t="str">
        <f>HYPERLINK("https://my.pitchbook.com?c=244593-91T","View Company Online")</f>
        <v>View Company Online</v>
      </c>
    </row>
    <row r="1951" spans="1:18" hidden="1" x14ac:dyDescent="0.3">
      <c r="A1951" s="15" t="s">
        <v>6805</v>
      </c>
      <c r="B1951" s="15" t="s">
        <v>6806</v>
      </c>
      <c r="C1951" s="18" t="s">
        <v>28</v>
      </c>
      <c r="D1951" s="15" t="s">
        <v>6807</v>
      </c>
      <c r="E1951" s="18" t="s">
        <v>28</v>
      </c>
      <c r="F1951" s="19" t="s">
        <v>28</v>
      </c>
      <c r="G1951" s="19" t="s">
        <v>28</v>
      </c>
      <c r="H1951" s="19" t="s">
        <v>28</v>
      </c>
      <c r="I1951" s="18" t="s">
        <v>28</v>
      </c>
      <c r="J1951" s="18" t="s">
        <v>28</v>
      </c>
      <c r="K1951" s="18" t="s">
        <v>28</v>
      </c>
      <c r="L1951" s="18" t="s">
        <v>28</v>
      </c>
      <c r="M1951" s="18" t="s">
        <v>28</v>
      </c>
      <c r="N1951" s="17">
        <v>44988</v>
      </c>
      <c r="O1951" s="15" t="s">
        <v>30</v>
      </c>
      <c r="P1951" s="16" t="s">
        <v>6808</v>
      </c>
      <c r="Q1951" s="15" t="s">
        <v>114</v>
      </c>
      <c r="R1951" s="13" t="str">
        <f>HYPERLINK("https://my.pitchbook.com?c=217191-34T","View Company Online")</f>
        <v>View Company Online</v>
      </c>
    </row>
    <row r="1952" spans="1:18" hidden="1" x14ac:dyDescent="0.3">
      <c r="A1952" s="9" t="s">
        <v>6809</v>
      </c>
      <c r="B1952" s="9" t="s">
        <v>3976</v>
      </c>
      <c r="C1952" s="11" t="s">
        <v>28</v>
      </c>
      <c r="D1952" s="9" t="s">
        <v>3977</v>
      </c>
      <c r="E1952" s="11" t="s">
        <v>28</v>
      </c>
      <c r="F1952" s="10" t="s">
        <v>28</v>
      </c>
      <c r="G1952" s="10" t="s">
        <v>28</v>
      </c>
      <c r="H1952" s="10" t="s">
        <v>28</v>
      </c>
      <c r="I1952" s="11" t="s">
        <v>28</v>
      </c>
      <c r="J1952" s="11" t="s">
        <v>28</v>
      </c>
      <c r="K1952" s="11" t="s">
        <v>28</v>
      </c>
      <c r="L1952" s="11" t="s">
        <v>28</v>
      </c>
      <c r="M1952" s="11" t="s">
        <v>28</v>
      </c>
      <c r="N1952" s="8">
        <v>44988</v>
      </c>
      <c r="O1952" s="9" t="s">
        <v>73</v>
      </c>
      <c r="P1952" s="12" t="s">
        <v>6810</v>
      </c>
      <c r="Q1952" s="9" t="s">
        <v>75</v>
      </c>
      <c r="R1952" s="14" t="str">
        <f>HYPERLINK("https://my.pitchbook.com?c=224325-01T","View Company Online")</f>
        <v>View Company Online</v>
      </c>
    </row>
    <row r="1953" spans="1:18" hidden="1" x14ac:dyDescent="0.3">
      <c r="A1953" s="15" t="s">
        <v>6811</v>
      </c>
      <c r="B1953" s="15" t="s">
        <v>6812</v>
      </c>
      <c r="C1953" s="18" t="s">
        <v>28</v>
      </c>
      <c r="D1953" s="15" t="s">
        <v>6813</v>
      </c>
      <c r="E1953" s="18" t="s">
        <v>28</v>
      </c>
      <c r="F1953" s="19" t="s">
        <v>28</v>
      </c>
      <c r="G1953" s="19" t="s">
        <v>28</v>
      </c>
      <c r="H1953" s="19" t="s">
        <v>28</v>
      </c>
      <c r="I1953" s="18" t="s">
        <v>28</v>
      </c>
      <c r="J1953" s="18" t="s">
        <v>28</v>
      </c>
      <c r="K1953" s="18" t="s">
        <v>28</v>
      </c>
      <c r="L1953" s="18" t="s">
        <v>28</v>
      </c>
      <c r="M1953" s="18" t="s">
        <v>28</v>
      </c>
      <c r="N1953" s="17">
        <v>44987</v>
      </c>
      <c r="O1953" s="15" t="s">
        <v>58</v>
      </c>
      <c r="P1953" s="16" t="s">
        <v>6814</v>
      </c>
      <c r="Q1953" s="15" t="s">
        <v>386</v>
      </c>
      <c r="R1953" s="13" t="str">
        <f>HYPERLINK("https://my.pitchbook.com?c=218424-52T","View Company Online")</f>
        <v>View Company Online</v>
      </c>
    </row>
    <row r="1954" spans="1:18" hidden="1" x14ac:dyDescent="0.3">
      <c r="A1954" s="9" t="s">
        <v>6815</v>
      </c>
      <c r="B1954" s="9" t="s">
        <v>6816</v>
      </c>
      <c r="C1954" s="11" t="s">
        <v>28</v>
      </c>
      <c r="D1954" s="9" t="s">
        <v>6817</v>
      </c>
      <c r="E1954" s="11" t="s">
        <v>28</v>
      </c>
      <c r="F1954" s="10" t="s">
        <v>28</v>
      </c>
      <c r="G1954" s="10" t="s">
        <v>28</v>
      </c>
      <c r="H1954" s="10" t="s">
        <v>28</v>
      </c>
      <c r="I1954" s="11" t="s">
        <v>28</v>
      </c>
      <c r="J1954" s="11" t="s">
        <v>28</v>
      </c>
      <c r="K1954" s="11" t="s">
        <v>28</v>
      </c>
      <c r="L1954" s="11" t="s">
        <v>28</v>
      </c>
      <c r="M1954" s="11" t="s">
        <v>28</v>
      </c>
      <c r="N1954" s="8">
        <v>44987</v>
      </c>
      <c r="O1954" s="9" t="s">
        <v>30</v>
      </c>
      <c r="P1954" s="12" t="s">
        <v>6818</v>
      </c>
      <c r="Q1954" s="9" t="s">
        <v>290</v>
      </c>
      <c r="R1954" s="14" t="str">
        <f>HYPERLINK("https://my.pitchbook.com?c=218335-96T","View Company Online")</f>
        <v>View Company Online</v>
      </c>
    </row>
    <row r="1955" spans="1:18" hidden="1" x14ac:dyDescent="0.3">
      <c r="A1955" s="15" t="s">
        <v>6819</v>
      </c>
      <c r="B1955" s="15" t="s">
        <v>6820</v>
      </c>
      <c r="C1955" s="18" t="s">
        <v>28</v>
      </c>
      <c r="D1955" s="15" t="s">
        <v>6821</v>
      </c>
      <c r="E1955" s="18" t="s">
        <v>28</v>
      </c>
      <c r="F1955" s="19" t="s">
        <v>28</v>
      </c>
      <c r="G1955" s="19" t="s">
        <v>28</v>
      </c>
      <c r="H1955" s="19" t="s">
        <v>28</v>
      </c>
      <c r="I1955" s="18" t="s">
        <v>28</v>
      </c>
      <c r="J1955" s="18" t="s">
        <v>28</v>
      </c>
      <c r="K1955" s="18" t="s">
        <v>28</v>
      </c>
      <c r="L1955" s="18" t="s">
        <v>28</v>
      </c>
      <c r="M1955" s="18" t="s">
        <v>28</v>
      </c>
      <c r="N1955" s="17">
        <v>44987</v>
      </c>
      <c r="O1955" s="15" t="s">
        <v>30</v>
      </c>
      <c r="P1955" s="16" t="s">
        <v>28</v>
      </c>
      <c r="Q1955" s="15" t="s">
        <v>75</v>
      </c>
      <c r="R1955" s="13" t="str">
        <f>HYPERLINK("https://my.pitchbook.com?c=253904-59T","View Company Online")</f>
        <v>View Company Online</v>
      </c>
    </row>
    <row r="1956" spans="1:18" hidden="1" x14ac:dyDescent="0.3">
      <c r="A1956" s="9" t="s">
        <v>6822</v>
      </c>
      <c r="B1956" s="9" t="s">
        <v>6823</v>
      </c>
      <c r="C1956" s="11" t="s">
        <v>28</v>
      </c>
      <c r="D1956" s="9" t="s">
        <v>6824</v>
      </c>
      <c r="E1956" s="11" t="s">
        <v>28</v>
      </c>
      <c r="F1956" s="10" t="s">
        <v>28</v>
      </c>
      <c r="G1956" s="10" t="s">
        <v>28</v>
      </c>
      <c r="H1956" s="10" t="s">
        <v>28</v>
      </c>
      <c r="I1956" s="11" t="s">
        <v>28</v>
      </c>
      <c r="J1956" s="11" t="s">
        <v>28</v>
      </c>
      <c r="K1956" s="11" t="s">
        <v>28</v>
      </c>
      <c r="L1956" s="11" t="s">
        <v>28</v>
      </c>
      <c r="M1956" s="11" t="s">
        <v>28</v>
      </c>
      <c r="N1956" s="8">
        <v>44986</v>
      </c>
      <c r="O1956" s="9" t="s">
        <v>73</v>
      </c>
      <c r="P1956" s="12" t="s">
        <v>6825</v>
      </c>
      <c r="Q1956" s="9" t="s">
        <v>75</v>
      </c>
      <c r="R1956" s="14" t="str">
        <f>HYPERLINK("https://my.pitchbook.com?c=216365-41T","View Company Online")</f>
        <v>View Company Online</v>
      </c>
    </row>
    <row r="1957" spans="1:18" hidden="1" x14ac:dyDescent="0.3">
      <c r="A1957" s="15" t="s">
        <v>6826</v>
      </c>
      <c r="B1957" s="15" t="s">
        <v>6827</v>
      </c>
      <c r="C1957" s="18" t="s">
        <v>28</v>
      </c>
      <c r="D1957" s="15" t="s">
        <v>6828</v>
      </c>
      <c r="E1957" s="18" t="s">
        <v>28</v>
      </c>
      <c r="F1957" s="19" t="s">
        <v>28</v>
      </c>
      <c r="G1957" s="19" t="s">
        <v>28</v>
      </c>
      <c r="H1957" s="19" t="s">
        <v>28</v>
      </c>
      <c r="I1957" s="18" t="s">
        <v>28</v>
      </c>
      <c r="J1957" s="18" t="s">
        <v>28</v>
      </c>
      <c r="K1957" s="18" t="s">
        <v>28</v>
      </c>
      <c r="L1957" s="18" t="s">
        <v>28</v>
      </c>
      <c r="M1957" s="18" t="s">
        <v>28</v>
      </c>
      <c r="N1957" s="17">
        <v>44986</v>
      </c>
      <c r="O1957" s="15" t="s">
        <v>79</v>
      </c>
      <c r="P1957" s="16" t="s">
        <v>6829</v>
      </c>
      <c r="Q1957" s="15" t="s">
        <v>75</v>
      </c>
      <c r="R1957" s="13" t="str">
        <f>HYPERLINK("https://my.pitchbook.com?c=219794-23T","View Company Online")</f>
        <v>View Company Online</v>
      </c>
    </row>
    <row r="1958" spans="1:18" hidden="1" x14ac:dyDescent="0.3">
      <c r="A1958" s="9" t="s">
        <v>6830</v>
      </c>
      <c r="B1958" s="9" t="s">
        <v>6831</v>
      </c>
      <c r="C1958" s="11" t="s">
        <v>28</v>
      </c>
      <c r="D1958" s="9" t="s">
        <v>6832</v>
      </c>
      <c r="E1958" s="11" t="s">
        <v>28</v>
      </c>
      <c r="F1958" s="10" t="s">
        <v>28</v>
      </c>
      <c r="G1958" s="10" t="s">
        <v>28</v>
      </c>
      <c r="H1958" s="10" t="s">
        <v>28</v>
      </c>
      <c r="I1958" s="11" t="s">
        <v>28</v>
      </c>
      <c r="J1958" s="11" t="s">
        <v>28</v>
      </c>
      <c r="K1958" s="11" t="s">
        <v>28</v>
      </c>
      <c r="L1958" s="11" t="s">
        <v>28</v>
      </c>
      <c r="M1958" s="11" t="s">
        <v>28</v>
      </c>
      <c r="N1958" s="8">
        <v>44986</v>
      </c>
      <c r="O1958" s="9" t="s">
        <v>30</v>
      </c>
      <c r="P1958" s="12" t="s">
        <v>28</v>
      </c>
      <c r="Q1958" s="9" t="s">
        <v>5347</v>
      </c>
      <c r="R1958" s="14" t="str">
        <f>HYPERLINK("https://my.pitchbook.com?c=241618-33T","View Company Online")</f>
        <v>View Company Online</v>
      </c>
    </row>
    <row r="1959" spans="1:18" hidden="1" x14ac:dyDescent="0.3">
      <c r="A1959" s="15" t="s">
        <v>6833</v>
      </c>
      <c r="B1959" s="15" t="s">
        <v>4487</v>
      </c>
      <c r="C1959" s="18" t="s">
        <v>28</v>
      </c>
      <c r="D1959" s="15" t="s">
        <v>4488</v>
      </c>
      <c r="E1959" s="18" t="s">
        <v>28</v>
      </c>
      <c r="F1959" s="19" t="s">
        <v>28</v>
      </c>
      <c r="G1959" s="19" t="s">
        <v>28</v>
      </c>
      <c r="H1959" s="19" t="s">
        <v>28</v>
      </c>
      <c r="I1959" s="18" t="s">
        <v>28</v>
      </c>
      <c r="J1959" s="18" t="s">
        <v>28</v>
      </c>
      <c r="K1959" s="18" t="s">
        <v>28</v>
      </c>
      <c r="L1959" s="18" t="s">
        <v>28</v>
      </c>
      <c r="M1959" s="18" t="s">
        <v>28</v>
      </c>
      <c r="N1959" s="17">
        <v>44986</v>
      </c>
      <c r="O1959" s="15" t="s">
        <v>79</v>
      </c>
      <c r="P1959" s="16" t="s">
        <v>6834</v>
      </c>
      <c r="Q1959" s="15" t="s">
        <v>75</v>
      </c>
      <c r="R1959" s="13" t="str">
        <f>HYPERLINK("https://my.pitchbook.com?c=219243-97T","View Company Online")</f>
        <v>View Company Online</v>
      </c>
    </row>
    <row r="1960" spans="1:18" hidden="1" x14ac:dyDescent="0.3">
      <c r="A1960" s="9" t="s">
        <v>6835</v>
      </c>
      <c r="B1960" s="9" t="s">
        <v>6836</v>
      </c>
      <c r="C1960" s="11" t="s">
        <v>28</v>
      </c>
      <c r="D1960" s="9" t="s">
        <v>6837</v>
      </c>
      <c r="E1960" s="11" t="s">
        <v>28</v>
      </c>
      <c r="F1960" s="10" t="s">
        <v>28</v>
      </c>
      <c r="G1960" s="10" t="s">
        <v>28</v>
      </c>
      <c r="H1960" s="10" t="s">
        <v>28</v>
      </c>
      <c r="I1960" s="11" t="s">
        <v>28</v>
      </c>
      <c r="J1960" s="11" t="s">
        <v>28</v>
      </c>
      <c r="K1960" s="11" t="s">
        <v>28</v>
      </c>
      <c r="L1960" s="11" t="s">
        <v>28</v>
      </c>
      <c r="M1960" s="11" t="s">
        <v>28</v>
      </c>
      <c r="N1960" s="8">
        <v>44986</v>
      </c>
      <c r="O1960" s="9" t="s">
        <v>30</v>
      </c>
      <c r="P1960" s="12" t="s">
        <v>6838</v>
      </c>
      <c r="Q1960" s="9" t="s">
        <v>75</v>
      </c>
      <c r="R1960" s="14" t="str">
        <f>HYPERLINK("https://my.pitchbook.com?c=216196-84T","View Company Online")</f>
        <v>View Company Online</v>
      </c>
    </row>
    <row r="1961" spans="1:18" hidden="1" x14ac:dyDescent="0.3">
      <c r="A1961" s="15" t="s">
        <v>6839</v>
      </c>
      <c r="B1961" s="15" t="s">
        <v>6840</v>
      </c>
      <c r="C1961" s="18" t="s">
        <v>28</v>
      </c>
      <c r="D1961" s="15" t="s">
        <v>6841</v>
      </c>
      <c r="E1961" s="18" t="s">
        <v>28</v>
      </c>
      <c r="F1961" s="19" t="s">
        <v>28</v>
      </c>
      <c r="G1961" s="19" t="s">
        <v>28</v>
      </c>
      <c r="H1961" s="19" t="s">
        <v>28</v>
      </c>
      <c r="I1961" s="18" t="s">
        <v>28</v>
      </c>
      <c r="J1961" s="18" t="s">
        <v>28</v>
      </c>
      <c r="K1961" s="18" t="s">
        <v>28</v>
      </c>
      <c r="L1961" s="18" t="s">
        <v>28</v>
      </c>
      <c r="M1961" s="18" t="s">
        <v>28</v>
      </c>
      <c r="N1961" s="17">
        <v>44986</v>
      </c>
      <c r="O1961" s="15" t="s">
        <v>79</v>
      </c>
      <c r="P1961" s="16" t="s">
        <v>6842</v>
      </c>
      <c r="Q1961" s="15" t="s">
        <v>75</v>
      </c>
      <c r="R1961" s="13" t="str">
        <f>HYPERLINK("https://my.pitchbook.com?c=216482-86T","View Company Online")</f>
        <v>View Company Online</v>
      </c>
    </row>
    <row r="1962" spans="1:18" hidden="1" x14ac:dyDescent="0.3">
      <c r="A1962" s="9" t="s">
        <v>6843</v>
      </c>
      <c r="B1962" s="9" t="s">
        <v>6844</v>
      </c>
      <c r="C1962" s="11" t="s">
        <v>28</v>
      </c>
      <c r="D1962" s="9" t="s">
        <v>6845</v>
      </c>
      <c r="E1962" s="11" t="s">
        <v>28</v>
      </c>
      <c r="F1962" s="10" t="s">
        <v>28</v>
      </c>
      <c r="G1962" s="10" t="s">
        <v>28</v>
      </c>
      <c r="H1962" s="10" t="s">
        <v>28</v>
      </c>
      <c r="I1962" s="11" t="s">
        <v>28</v>
      </c>
      <c r="J1962" s="11" t="s">
        <v>28</v>
      </c>
      <c r="K1962" s="11" t="s">
        <v>28</v>
      </c>
      <c r="L1962" s="11" t="s">
        <v>28</v>
      </c>
      <c r="M1962" s="11" t="s">
        <v>28</v>
      </c>
      <c r="N1962" s="8">
        <v>44986</v>
      </c>
      <c r="O1962" s="9" t="s">
        <v>93</v>
      </c>
      <c r="P1962" s="12" t="s">
        <v>6846</v>
      </c>
      <c r="Q1962" s="9" t="s">
        <v>75</v>
      </c>
      <c r="R1962" s="14" t="str">
        <f>HYPERLINK("https://my.pitchbook.com?c=219571-21T","View Company Online")</f>
        <v>View Company Online</v>
      </c>
    </row>
    <row r="1963" spans="1:18" hidden="1" x14ac:dyDescent="0.3">
      <c r="A1963" s="15" t="s">
        <v>6847</v>
      </c>
      <c r="B1963" s="15" t="s">
        <v>6848</v>
      </c>
      <c r="C1963" s="18" t="s">
        <v>28</v>
      </c>
      <c r="D1963" s="15" t="s">
        <v>6849</v>
      </c>
      <c r="E1963" s="18" t="s">
        <v>28</v>
      </c>
      <c r="F1963" s="19">
        <v>0.77</v>
      </c>
      <c r="G1963" s="19">
        <v>0.77</v>
      </c>
      <c r="H1963" s="19">
        <v>0.77</v>
      </c>
      <c r="I1963" s="18" t="s">
        <v>28</v>
      </c>
      <c r="J1963" s="18" t="s">
        <v>28</v>
      </c>
      <c r="K1963" s="18" t="s">
        <v>28</v>
      </c>
      <c r="L1963" s="18" t="s">
        <v>28</v>
      </c>
      <c r="M1963" s="18" t="s">
        <v>28</v>
      </c>
      <c r="N1963" s="17">
        <v>44986</v>
      </c>
      <c r="O1963" s="15" t="s">
        <v>30</v>
      </c>
      <c r="P1963" s="16" t="s">
        <v>6850</v>
      </c>
      <c r="Q1963" s="15" t="s">
        <v>75</v>
      </c>
      <c r="R1963" s="13" t="str">
        <f>HYPERLINK("https://my.pitchbook.com?c=227562-85T","View Company Online")</f>
        <v>View Company Online</v>
      </c>
    </row>
    <row r="1964" spans="1:18" hidden="1" x14ac:dyDescent="0.3">
      <c r="A1964" s="9" t="s">
        <v>6851</v>
      </c>
      <c r="B1964" s="9" t="s">
        <v>6852</v>
      </c>
      <c r="C1964" s="11" t="s">
        <v>28</v>
      </c>
      <c r="D1964" s="9" t="s">
        <v>6853</v>
      </c>
      <c r="E1964" s="11" t="s">
        <v>28</v>
      </c>
      <c r="F1964" s="10" t="s">
        <v>28</v>
      </c>
      <c r="G1964" s="10" t="s">
        <v>28</v>
      </c>
      <c r="H1964" s="10" t="s">
        <v>28</v>
      </c>
      <c r="I1964" s="11" t="s">
        <v>28</v>
      </c>
      <c r="J1964" s="11" t="s">
        <v>28</v>
      </c>
      <c r="K1964" s="11" t="s">
        <v>28</v>
      </c>
      <c r="L1964" s="11" t="s">
        <v>28</v>
      </c>
      <c r="M1964" s="11" t="s">
        <v>28</v>
      </c>
      <c r="N1964" s="8">
        <v>44986</v>
      </c>
      <c r="O1964" s="9" t="s">
        <v>30</v>
      </c>
      <c r="P1964" s="12" t="s">
        <v>457</v>
      </c>
      <c r="Q1964" s="9" t="s">
        <v>75</v>
      </c>
      <c r="R1964" s="14" t="str">
        <f>HYPERLINK("https://my.pitchbook.com?c=216295-03T","View Company Online")</f>
        <v>View Company Online</v>
      </c>
    </row>
    <row r="1965" spans="1:18" hidden="1" x14ac:dyDescent="0.3">
      <c r="A1965" s="15" t="s">
        <v>6854</v>
      </c>
      <c r="B1965" s="15" t="s">
        <v>6855</v>
      </c>
      <c r="C1965" s="18" t="s">
        <v>28</v>
      </c>
      <c r="D1965" s="15" t="s">
        <v>6856</v>
      </c>
      <c r="E1965" s="18" t="s">
        <v>28</v>
      </c>
      <c r="F1965" s="19" t="s">
        <v>28</v>
      </c>
      <c r="G1965" s="19" t="s">
        <v>28</v>
      </c>
      <c r="H1965" s="19" t="s">
        <v>28</v>
      </c>
      <c r="I1965" s="18" t="s">
        <v>28</v>
      </c>
      <c r="J1965" s="18" t="s">
        <v>28</v>
      </c>
      <c r="K1965" s="18" t="s">
        <v>28</v>
      </c>
      <c r="L1965" s="18" t="s">
        <v>28</v>
      </c>
      <c r="M1965" s="18" t="s">
        <v>28</v>
      </c>
      <c r="N1965" s="17">
        <v>44986</v>
      </c>
      <c r="O1965" s="15" t="s">
        <v>93</v>
      </c>
      <c r="P1965" s="16" t="s">
        <v>6857</v>
      </c>
      <c r="Q1965" s="15" t="s">
        <v>75</v>
      </c>
      <c r="R1965" s="13" t="str">
        <f>HYPERLINK("https://my.pitchbook.com?c=216457-93T","View Company Online")</f>
        <v>View Company Online</v>
      </c>
    </row>
    <row r="1966" spans="1:18" hidden="1" x14ac:dyDescent="0.3">
      <c r="A1966" s="9" t="s">
        <v>6858</v>
      </c>
      <c r="B1966" s="9" t="s">
        <v>6859</v>
      </c>
      <c r="C1966" s="11" t="s">
        <v>28</v>
      </c>
      <c r="D1966" s="9" t="s">
        <v>6860</v>
      </c>
      <c r="E1966" s="11" t="s">
        <v>28</v>
      </c>
      <c r="F1966" s="10" t="s">
        <v>28</v>
      </c>
      <c r="G1966" s="10">
        <v>1.55</v>
      </c>
      <c r="H1966" s="10" t="s">
        <v>28</v>
      </c>
      <c r="I1966" s="11" t="s">
        <v>28</v>
      </c>
      <c r="J1966" s="11" t="s">
        <v>28</v>
      </c>
      <c r="K1966" s="11" t="s">
        <v>28</v>
      </c>
      <c r="L1966" s="11" t="s">
        <v>28</v>
      </c>
      <c r="M1966" s="11" t="s">
        <v>28</v>
      </c>
      <c r="N1966" s="8">
        <v>44986</v>
      </c>
      <c r="O1966" s="9" t="s">
        <v>99</v>
      </c>
      <c r="P1966" s="12" t="s">
        <v>6861</v>
      </c>
      <c r="Q1966" s="9" t="s">
        <v>95</v>
      </c>
      <c r="R1966" s="14" t="str">
        <f>HYPERLINK("https://my.pitchbook.com?c=224129-44T","View Company Online")</f>
        <v>View Company Online</v>
      </c>
    </row>
    <row r="1967" spans="1:18" hidden="1" x14ac:dyDescent="0.3">
      <c r="A1967" s="15" t="s">
        <v>6862</v>
      </c>
      <c r="B1967" s="15" t="s">
        <v>6863</v>
      </c>
      <c r="C1967" s="18" t="s">
        <v>28</v>
      </c>
      <c r="D1967" s="15" t="s">
        <v>6864</v>
      </c>
      <c r="E1967" s="18" t="s">
        <v>28</v>
      </c>
      <c r="F1967" s="19" t="s">
        <v>28</v>
      </c>
      <c r="G1967" s="19" t="s">
        <v>28</v>
      </c>
      <c r="H1967" s="19" t="s">
        <v>28</v>
      </c>
      <c r="I1967" s="18" t="s">
        <v>28</v>
      </c>
      <c r="J1967" s="18" t="s">
        <v>28</v>
      </c>
      <c r="K1967" s="18" t="s">
        <v>28</v>
      </c>
      <c r="L1967" s="18" t="s">
        <v>28</v>
      </c>
      <c r="M1967" s="18" t="s">
        <v>28</v>
      </c>
      <c r="N1967" s="17">
        <v>44986</v>
      </c>
      <c r="O1967" s="15" t="s">
        <v>52</v>
      </c>
      <c r="P1967" s="16" t="s">
        <v>6865</v>
      </c>
      <c r="Q1967" s="15" t="s">
        <v>386</v>
      </c>
      <c r="R1967" s="13" t="str">
        <f>HYPERLINK("https://my.pitchbook.com?c=217747-99T","View Company Online")</f>
        <v>View Company Online</v>
      </c>
    </row>
    <row r="1968" spans="1:18" hidden="1" x14ac:dyDescent="0.3">
      <c r="A1968" s="9" t="s">
        <v>6866</v>
      </c>
      <c r="B1968" s="9" t="s">
        <v>3971</v>
      </c>
      <c r="C1968" s="11" t="s">
        <v>28</v>
      </c>
      <c r="D1968" s="9" t="s">
        <v>3972</v>
      </c>
      <c r="E1968" s="11" t="s">
        <v>28</v>
      </c>
      <c r="F1968" s="10" t="s">
        <v>28</v>
      </c>
      <c r="G1968" s="10" t="s">
        <v>28</v>
      </c>
      <c r="H1968" s="10" t="s">
        <v>28</v>
      </c>
      <c r="I1968" s="11" t="s">
        <v>28</v>
      </c>
      <c r="J1968" s="11" t="s">
        <v>28</v>
      </c>
      <c r="K1968" s="11" t="s">
        <v>28</v>
      </c>
      <c r="L1968" s="11" t="s">
        <v>28</v>
      </c>
      <c r="M1968" s="11" t="s">
        <v>28</v>
      </c>
      <c r="N1968" s="8">
        <v>44986</v>
      </c>
      <c r="O1968" s="9" t="s">
        <v>79</v>
      </c>
      <c r="P1968" s="12" t="s">
        <v>28</v>
      </c>
      <c r="Q1968" s="9" t="s">
        <v>3973</v>
      </c>
      <c r="R1968" s="14" t="str">
        <f>HYPERLINK("https://my.pitchbook.com?c=219146-68T","View Company Online")</f>
        <v>View Company Online</v>
      </c>
    </row>
    <row r="1969" spans="1:18" hidden="1" x14ac:dyDescent="0.3">
      <c r="A1969" s="15" t="s">
        <v>6867</v>
      </c>
      <c r="B1969" s="15" t="s">
        <v>6868</v>
      </c>
      <c r="C1969" s="18" t="s">
        <v>28</v>
      </c>
      <c r="D1969" s="15" t="s">
        <v>6869</v>
      </c>
      <c r="E1969" s="18" t="s">
        <v>28</v>
      </c>
      <c r="F1969" s="19" t="s">
        <v>28</v>
      </c>
      <c r="G1969" s="19" t="s">
        <v>28</v>
      </c>
      <c r="H1969" s="19" t="s">
        <v>28</v>
      </c>
      <c r="I1969" s="18" t="s">
        <v>28</v>
      </c>
      <c r="J1969" s="18" t="s">
        <v>28</v>
      </c>
      <c r="K1969" s="18">
        <v>141.27000000000001</v>
      </c>
      <c r="L1969" s="18" t="s">
        <v>28</v>
      </c>
      <c r="M1969" s="18" t="s">
        <v>28</v>
      </c>
      <c r="N1969" s="17">
        <v>44986</v>
      </c>
      <c r="O1969" s="15" t="s">
        <v>30</v>
      </c>
      <c r="P1969" s="16" t="s">
        <v>28</v>
      </c>
      <c r="Q1969" s="15" t="s">
        <v>409</v>
      </c>
      <c r="R1969" s="13" t="str">
        <f>HYPERLINK("https://my.pitchbook.com?c=223061-50T","View Company Online")</f>
        <v>View Company Online</v>
      </c>
    </row>
    <row r="1970" spans="1:18" hidden="1" x14ac:dyDescent="0.3">
      <c r="A1970" s="9" t="s">
        <v>6870</v>
      </c>
      <c r="B1970" s="9" t="s">
        <v>6871</v>
      </c>
      <c r="C1970" s="11" t="s">
        <v>28</v>
      </c>
      <c r="D1970" s="9" t="s">
        <v>6872</v>
      </c>
      <c r="E1970" s="11" t="s">
        <v>28</v>
      </c>
      <c r="F1970" s="10" t="s">
        <v>28</v>
      </c>
      <c r="G1970" s="10" t="s">
        <v>28</v>
      </c>
      <c r="H1970" s="10" t="s">
        <v>28</v>
      </c>
      <c r="I1970" s="11" t="s">
        <v>28</v>
      </c>
      <c r="J1970" s="11" t="s">
        <v>28</v>
      </c>
      <c r="K1970" s="11" t="s">
        <v>28</v>
      </c>
      <c r="L1970" s="11" t="s">
        <v>28</v>
      </c>
      <c r="M1970" s="11" t="s">
        <v>28</v>
      </c>
      <c r="N1970" s="8">
        <v>44985</v>
      </c>
      <c r="O1970" s="9" t="s">
        <v>30</v>
      </c>
      <c r="P1970" s="12" t="s">
        <v>6873</v>
      </c>
      <c r="Q1970" s="9" t="s">
        <v>240</v>
      </c>
      <c r="R1970" s="14" t="str">
        <f>HYPERLINK("https://my.pitchbook.com?c=209524-78T","View Company Online")</f>
        <v>View Company Online</v>
      </c>
    </row>
    <row r="1971" spans="1:18" hidden="1" x14ac:dyDescent="0.3">
      <c r="A1971" s="15" t="s">
        <v>6874</v>
      </c>
      <c r="B1971" s="15" t="s">
        <v>6875</v>
      </c>
      <c r="C1971" s="18" t="s">
        <v>28</v>
      </c>
      <c r="D1971" s="15" t="s">
        <v>6876</v>
      </c>
      <c r="E1971" s="18" t="s">
        <v>28</v>
      </c>
      <c r="F1971" s="19" t="s">
        <v>28</v>
      </c>
      <c r="G1971" s="19" t="s">
        <v>28</v>
      </c>
      <c r="H1971" s="19" t="s">
        <v>28</v>
      </c>
      <c r="I1971" s="18" t="s">
        <v>28</v>
      </c>
      <c r="J1971" s="18" t="s">
        <v>28</v>
      </c>
      <c r="K1971" s="18" t="s">
        <v>28</v>
      </c>
      <c r="L1971" s="18" t="s">
        <v>28</v>
      </c>
      <c r="M1971" s="18" t="s">
        <v>28</v>
      </c>
      <c r="N1971" s="17">
        <v>44985</v>
      </c>
      <c r="O1971" s="15" t="s">
        <v>30</v>
      </c>
      <c r="P1971" s="16" t="s">
        <v>6877</v>
      </c>
      <c r="Q1971" s="15" t="s">
        <v>6878</v>
      </c>
      <c r="R1971" s="13" t="str">
        <f>HYPERLINK("https://my.pitchbook.com?c=228509-47T","View Company Online")</f>
        <v>View Company Online</v>
      </c>
    </row>
    <row r="1972" spans="1:18" hidden="1" x14ac:dyDescent="0.3">
      <c r="A1972" s="9" t="s">
        <v>6879</v>
      </c>
      <c r="B1972" s="9" t="s">
        <v>6880</v>
      </c>
      <c r="C1972" s="11" t="s">
        <v>28</v>
      </c>
      <c r="D1972" s="9" t="s">
        <v>6881</v>
      </c>
      <c r="E1972" s="11" t="s">
        <v>28</v>
      </c>
      <c r="F1972" s="10" t="s">
        <v>28</v>
      </c>
      <c r="G1972" s="10" t="s">
        <v>28</v>
      </c>
      <c r="H1972" s="10" t="s">
        <v>28</v>
      </c>
      <c r="I1972" s="11" t="s">
        <v>28</v>
      </c>
      <c r="J1972" s="11" t="s">
        <v>28</v>
      </c>
      <c r="K1972" s="11" t="s">
        <v>28</v>
      </c>
      <c r="L1972" s="11" t="s">
        <v>28</v>
      </c>
      <c r="M1972" s="11" t="s">
        <v>28</v>
      </c>
      <c r="N1972" s="8">
        <v>44985</v>
      </c>
      <c r="O1972" s="9" t="s">
        <v>30</v>
      </c>
      <c r="P1972" s="12" t="s">
        <v>6882</v>
      </c>
      <c r="Q1972" s="9" t="s">
        <v>245</v>
      </c>
      <c r="R1972" s="14" t="str">
        <f>HYPERLINK("https://my.pitchbook.com?c=216151-21T","View Company Online")</f>
        <v>View Company Online</v>
      </c>
    </row>
    <row r="1973" spans="1:18" x14ac:dyDescent="0.3">
      <c r="A1973" s="15" t="s">
        <v>6883</v>
      </c>
      <c r="B1973" s="15" t="s">
        <v>6884</v>
      </c>
      <c r="C1973" s="18">
        <v>0.57999999999999996</v>
      </c>
      <c r="D1973" s="15" t="s">
        <v>6885</v>
      </c>
      <c r="E1973" s="18" t="s">
        <v>28</v>
      </c>
      <c r="F1973" s="19">
        <v>36.130000000000003</v>
      </c>
      <c r="G1973" s="19">
        <v>36.130000000000003</v>
      </c>
      <c r="H1973" s="19">
        <v>36.130000000000003</v>
      </c>
      <c r="I1973" s="18">
        <v>62</v>
      </c>
      <c r="J1973" s="18">
        <v>0.57999999999999996</v>
      </c>
      <c r="K1973" s="18">
        <v>78</v>
      </c>
      <c r="L1973" s="18">
        <v>0.46</v>
      </c>
      <c r="M1973" s="18" t="s">
        <v>28</v>
      </c>
      <c r="N1973" s="17">
        <v>44985</v>
      </c>
      <c r="O1973" s="15" t="s">
        <v>30</v>
      </c>
      <c r="P1973" s="16" t="s">
        <v>225</v>
      </c>
      <c r="Q1973" s="15" t="s">
        <v>226</v>
      </c>
      <c r="R1973" s="13" t="str">
        <f>HYPERLINK("https://my.pitchbook.com?c=211661-74T","View Company Online")</f>
        <v>View Company Online</v>
      </c>
    </row>
    <row r="1974" spans="1:18" hidden="1" x14ac:dyDescent="0.3">
      <c r="A1974" s="9" t="s">
        <v>6886</v>
      </c>
      <c r="B1974" s="9" t="s">
        <v>6887</v>
      </c>
      <c r="C1974" s="11" t="s">
        <v>28</v>
      </c>
      <c r="D1974" s="9" t="s">
        <v>6888</v>
      </c>
      <c r="E1974" s="11" t="s">
        <v>28</v>
      </c>
      <c r="F1974" s="10" t="s">
        <v>28</v>
      </c>
      <c r="G1974" s="10" t="s">
        <v>28</v>
      </c>
      <c r="H1974" s="10" t="s">
        <v>28</v>
      </c>
      <c r="I1974" s="11" t="s">
        <v>28</v>
      </c>
      <c r="J1974" s="11" t="s">
        <v>28</v>
      </c>
      <c r="K1974" s="11" t="s">
        <v>28</v>
      </c>
      <c r="L1974" s="11" t="s">
        <v>28</v>
      </c>
      <c r="M1974" s="11" t="s">
        <v>28</v>
      </c>
      <c r="N1974" s="8">
        <v>44985</v>
      </c>
      <c r="O1974" s="9" t="s">
        <v>30</v>
      </c>
      <c r="P1974" s="12" t="s">
        <v>6889</v>
      </c>
      <c r="Q1974" s="9" t="s">
        <v>75</v>
      </c>
      <c r="R1974" s="14" t="str">
        <f>HYPERLINK("https://my.pitchbook.com?c=216355-69T","View Company Online")</f>
        <v>View Company Online</v>
      </c>
    </row>
    <row r="1975" spans="1:18" hidden="1" x14ac:dyDescent="0.3">
      <c r="A1975" s="15" t="s">
        <v>6890</v>
      </c>
      <c r="B1975" s="15" t="s">
        <v>6891</v>
      </c>
      <c r="C1975" s="18" t="s">
        <v>28</v>
      </c>
      <c r="D1975" s="15" t="s">
        <v>6892</v>
      </c>
      <c r="E1975" s="18" t="s">
        <v>28</v>
      </c>
      <c r="F1975" s="19" t="s">
        <v>28</v>
      </c>
      <c r="G1975" s="19" t="s">
        <v>28</v>
      </c>
      <c r="H1975" s="19" t="s">
        <v>28</v>
      </c>
      <c r="I1975" s="18" t="s">
        <v>28</v>
      </c>
      <c r="J1975" s="18" t="s">
        <v>28</v>
      </c>
      <c r="K1975" s="18">
        <v>3.29</v>
      </c>
      <c r="L1975" s="18" t="s">
        <v>28</v>
      </c>
      <c r="M1975" s="18" t="s">
        <v>28</v>
      </c>
      <c r="N1975" s="17">
        <v>44985</v>
      </c>
      <c r="O1975" s="15" t="s">
        <v>41</v>
      </c>
      <c r="P1975" s="16" t="s">
        <v>6893</v>
      </c>
      <c r="Q1975" s="15" t="s">
        <v>75</v>
      </c>
      <c r="R1975" s="13" t="str">
        <f>HYPERLINK("https://my.pitchbook.com?c=216126-46T","View Company Online")</f>
        <v>View Company Online</v>
      </c>
    </row>
    <row r="1976" spans="1:18" hidden="1" x14ac:dyDescent="0.3">
      <c r="A1976" s="9" t="s">
        <v>6894</v>
      </c>
      <c r="B1976" s="9" t="s">
        <v>6895</v>
      </c>
      <c r="C1976" s="11" t="s">
        <v>28</v>
      </c>
      <c r="D1976" s="9" t="s">
        <v>6896</v>
      </c>
      <c r="E1976" s="11" t="s">
        <v>28</v>
      </c>
      <c r="F1976" s="10" t="s">
        <v>28</v>
      </c>
      <c r="G1976" s="10" t="s">
        <v>28</v>
      </c>
      <c r="H1976" s="10" t="s">
        <v>28</v>
      </c>
      <c r="I1976" s="11" t="s">
        <v>28</v>
      </c>
      <c r="J1976" s="11" t="s">
        <v>28</v>
      </c>
      <c r="K1976" s="11" t="s">
        <v>28</v>
      </c>
      <c r="L1976" s="11" t="s">
        <v>28</v>
      </c>
      <c r="M1976" s="11" t="s">
        <v>28</v>
      </c>
      <c r="N1976" s="8">
        <v>44985</v>
      </c>
      <c r="O1976" s="9" t="s">
        <v>30</v>
      </c>
      <c r="P1976" s="12" t="s">
        <v>28</v>
      </c>
      <c r="Q1976" s="9" t="s">
        <v>114</v>
      </c>
      <c r="R1976" s="14" t="str">
        <f>HYPERLINK("https://my.pitchbook.com?c=216171-91T","View Company Online")</f>
        <v>View Company Online</v>
      </c>
    </row>
    <row r="1977" spans="1:18" hidden="1" x14ac:dyDescent="0.3">
      <c r="A1977" s="15" t="s">
        <v>6897</v>
      </c>
      <c r="B1977" s="15" t="s">
        <v>5011</v>
      </c>
      <c r="C1977" s="18" t="s">
        <v>28</v>
      </c>
      <c r="D1977" s="15" t="s">
        <v>5012</v>
      </c>
      <c r="E1977" s="18" t="s">
        <v>28</v>
      </c>
      <c r="F1977" s="19" t="s">
        <v>28</v>
      </c>
      <c r="G1977" s="19" t="s">
        <v>28</v>
      </c>
      <c r="H1977" s="19" t="s">
        <v>28</v>
      </c>
      <c r="I1977" s="18" t="s">
        <v>28</v>
      </c>
      <c r="J1977" s="18" t="s">
        <v>28</v>
      </c>
      <c r="K1977" s="18" t="s">
        <v>28</v>
      </c>
      <c r="L1977" s="18" t="s">
        <v>28</v>
      </c>
      <c r="M1977" s="18" t="s">
        <v>28</v>
      </c>
      <c r="N1977" s="17">
        <v>44984</v>
      </c>
      <c r="O1977" s="15" t="s">
        <v>73</v>
      </c>
      <c r="P1977" s="16" t="s">
        <v>6134</v>
      </c>
      <c r="Q1977" s="15" t="s">
        <v>583</v>
      </c>
      <c r="R1977" s="13" t="str">
        <f>HYPERLINK("https://my.pitchbook.com?c=241756-48T","View Company Online")</f>
        <v>View Company Online</v>
      </c>
    </row>
    <row r="1978" spans="1:18" hidden="1" x14ac:dyDescent="0.3">
      <c r="A1978" s="9" t="s">
        <v>6898</v>
      </c>
      <c r="B1978" s="9" t="s">
        <v>6899</v>
      </c>
      <c r="C1978" s="11" t="s">
        <v>28</v>
      </c>
      <c r="D1978" s="9" t="s">
        <v>6900</v>
      </c>
      <c r="E1978" s="11" t="s">
        <v>28</v>
      </c>
      <c r="F1978" s="10" t="s">
        <v>28</v>
      </c>
      <c r="G1978" s="10" t="s">
        <v>28</v>
      </c>
      <c r="H1978" s="10" t="s">
        <v>28</v>
      </c>
      <c r="I1978" s="11" t="s">
        <v>28</v>
      </c>
      <c r="J1978" s="11" t="s">
        <v>28</v>
      </c>
      <c r="K1978" s="11" t="s">
        <v>28</v>
      </c>
      <c r="L1978" s="11" t="s">
        <v>28</v>
      </c>
      <c r="M1978" s="11" t="s">
        <v>28</v>
      </c>
      <c r="N1978" s="8">
        <v>44984</v>
      </c>
      <c r="O1978" s="9" t="s">
        <v>30</v>
      </c>
      <c r="P1978" s="12" t="s">
        <v>6901</v>
      </c>
      <c r="Q1978" s="9" t="s">
        <v>692</v>
      </c>
      <c r="R1978" s="14" t="str">
        <f>HYPERLINK("https://my.pitchbook.com?c=233005-87T","View Company Online")</f>
        <v>View Company Online</v>
      </c>
    </row>
    <row r="1979" spans="1:18" hidden="1" x14ac:dyDescent="0.3">
      <c r="A1979" s="15" t="s">
        <v>6902</v>
      </c>
      <c r="B1979" s="15" t="s">
        <v>6903</v>
      </c>
      <c r="C1979" s="18" t="s">
        <v>28</v>
      </c>
      <c r="D1979" s="15" t="s">
        <v>6904</v>
      </c>
      <c r="E1979" s="18" t="s">
        <v>28</v>
      </c>
      <c r="F1979" s="19" t="s">
        <v>28</v>
      </c>
      <c r="G1979" s="19" t="s">
        <v>28</v>
      </c>
      <c r="H1979" s="19" t="s">
        <v>28</v>
      </c>
      <c r="I1979" s="18" t="s">
        <v>28</v>
      </c>
      <c r="J1979" s="18" t="s">
        <v>28</v>
      </c>
      <c r="K1979" s="18" t="s">
        <v>28</v>
      </c>
      <c r="L1979" s="18" t="s">
        <v>28</v>
      </c>
      <c r="M1979" s="18" t="s">
        <v>28</v>
      </c>
      <c r="N1979" s="17">
        <v>44983</v>
      </c>
      <c r="O1979" s="15" t="s">
        <v>30</v>
      </c>
      <c r="P1979" s="16" t="s">
        <v>6905</v>
      </c>
      <c r="Q1979" s="15" t="s">
        <v>245</v>
      </c>
      <c r="R1979" s="13" t="str">
        <f>HYPERLINK("https://my.pitchbook.com?c=216169-75T","View Company Online")</f>
        <v>View Company Online</v>
      </c>
    </row>
    <row r="1980" spans="1:18" hidden="1" x14ac:dyDescent="0.3">
      <c r="A1980" s="9" t="s">
        <v>6906</v>
      </c>
      <c r="B1980" s="9" t="s">
        <v>6907</v>
      </c>
      <c r="C1980" s="11" t="s">
        <v>28</v>
      </c>
      <c r="D1980" s="9" t="s">
        <v>6908</v>
      </c>
      <c r="E1980" s="11" t="s">
        <v>28</v>
      </c>
      <c r="F1980" s="10" t="s">
        <v>28</v>
      </c>
      <c r="G1980" s="10">
        <v>2.5</v>
      </c>
      <c r="H1980" s="10" t="s">
        <v>28</v>
      </c>
      <c r="I1980" s="11" t="s">
        <v>28</v>
      </c>
      <c r="J1980" s="11" t="s">
        <v>28</v>
      </c>
      <c r="K1980" s="11" t="s">
        <v>28</v>
      </c>
      <c r="L1980" s="11" t="s">
        <v>28</v>
      </c>
      <c r="M1980" s="11" t="s">
        <v>28</v>
      </c>
      <c r="N1980" s="8">
        <v>44981</v>
      </c>
      <c r="O1980" s="9" t="s">
        <v>73</v>
      </c>
      <c r="P1980" s="12" t="s">
        <v>6909</v>
      </c>
      <c r="Q1980" s="9" t="s">
        <v>75</v>
      </c>
      <c r="R1980" s="14" t="str">
        <f>HYPERLINK("https://my.pitchbook.com?c=219467-35T","View Company Online")</f>
        <v>View Company Online</v>
      </c>
    </row>
    <row r="1981" spans="1:18" hidden="1" x14ac:dyDescent="0.3">
      <c r="A1981" s="15" t="s">
        <v>6910</v>
      </c>
      <c r="B1981" s="15" t="s">
        <v>6911</v>
      </c>
      <c r="C1981" s="18" t="s">
        <v>28</v>
      </c>
      <c r="D1981" s="15" t="s">
        <v>6912</v>
      </c>
      <c r="E1981" s="18" t="s">
        <v>28</v>
      </c>
      <c r="F1981" s="19">
        <v>235</v>
      </c>
      <c r="G1981" s="19">
        <v>235</v>
      </c>
      <c r="H1981" s="19">
        <v>235</v>
      </c>
      <c r="I1981" s="18" t="s">
        <v>28</v>
      </c>
      <c r="J1981" s="18" t="s">
        <v>28</v>
      </c>
      <c r="K1981" s="18" t="s">
        <v>28</v>
      </c>
      <c r="L1981" s="18" t="s">
        <v>28</v>
      </c>
      <c r="M1981" s="18" t="s">
        <v>28</v>
      </c>
      <c r="N1981" s="17">
        <v>44981</v>
      </c>
      <c r="O1981" s="15" t="s">
        <v>30</v>
      </c>
      <c r="P1981" s="16" t="s">
        <v>6913</v>
      </c>
      <c r="Q1981" s="15" t="s">
        <v>75</v>
      </c>
      <c r="R1981" s="13" t="str">
        <f>HYPERLINK("https://my.pitchbook.com?c=216413-20T","View Company Online")</f>
        <v>View Company Online</v>
      </c>
    </row>
    <row r="1982" spans="1:18" hidden="1" x14ac:dyDescent="0.3">
      <c r="A1982" s="9" t="s">
        <v>6914</v>
      </c>
      <c r="B1982" s="9" t="s">
        <v>5218</v>
      </c>
      <c r="C1982" s="11" t="s">
        <v>28</v>
      </c>
      <c r="D1982" s="9" t="s">
        <v>5219</v>
      </c>
      <c r="E1982" s="11" t="s">
        <v>28</v>
      </c>
      <c r="F1982" s="10" t="s">
        <v>28</v>
      </c>
      <c r="G1982" s="10">
        <v>1.94</v>
      </c>
      <c r="H1982" s="10" t="s">
        <v>28</v>
      </c>
      <c r="I1982" s="11" t="s">
        <v>28</v>
      </c>
      <c r="J1982" s="11" t="s">
        <v>28</v>
      </c>
      <c r="K1982" s="11" t="s">
        <v>28</v>
      </c>
      <c r="L1982" s="11" t="s">
        <v>28</v>
      </c>
      <c r="M1982" s="11" t="s">
        <v>28</v>
      </c>
      <c r="N1982" s="8">
        <v>44980</v>
      </c>
      <c r="O1982" s="9" t="s">
        <v>79</v>
      </c>
      <c r="P1982" s="12" t="s">
        <v>6915</v>
      </c>
      <c r="Q1982" s="9" t="s">
        <v>75</v>
      </c>
      <c r="R1982" s="14" t="str">
        <f>HYPERLINK("https://my.pitchbook.com?c=255246-31T","View Company Online")</f>
        <v>View Company Online</v>
      </c>
    </row>
    <row r="1983" spans="1:18" hidden="1" x14ac:dyDescent="0.3">
      <c r="A1983" s="15" t="s">
        <v>6916</v>
      </c>
      <c r="B1983" s="15" t="s">
        <v>6917</v>
      </c>
      <c r="C1983" s="18" t="s">
        <v>28</v>
      </c>
      <c r="D1983" s="15" t="s">
        <v>6918</v>
      </c>
      <c r="E1983" s="18" t="s">
        <v>28</v>
      </c>
      <c r="F1983" s="19" t="s">
        <v>28</v>
      </c>
      <c r="G1983" s="19" t="s">
        <v>28</v>
      </c>
      <c r="H1983" s="19" t="s">
        <v>28</v>
      </c>
      <c r="I1983" s="18" t="s">
        <v>28</v>
      </c>
      <c r="J1983" s="18" t="s">
        <v>28</v>
      </c>
      <c r="K1983" s="18" t="s">
        <v>28</v>
      </c>
      <c r="L1983" s="18" t="s">
        <v>28</v>
      </c>
      <c r="M1983" s="18" t="s">
        <v>28</v>
      </c>
      <c r="N1983" s="17">
        <v>44980</v>
      </c>
      <c r="O1983" s="15" t="s">
        <v>30</v>
      </c>
      <c r="P1983" s="16" t="s">
        <v>6919</v>
      </c>
      <c r="Q1983" s="15" t="s">
        <v>4753</v>
      </c>
      <c r="R1983" s="13" t="str">
        <f>HYPERLINK("https://my.pitchbook.com?c=216170-38T","View Company Online")</f>
        <v>View Company Online</v>
      </c>
    </row>
    <row r="1984" spans="1:18" hidden="1" x14ac:dyDescent="0.3">
      <c r="A1984" s="9" t="s">
        <v>6920</v>
      </c>
      <c r="B1984" s="9" t="s">
        <v>2340</v>
      </c>
      <c r="C1984" s="11" t="s">
        <v>28</v>
      </c>
      <c r="D1984" s="9" t="s">
        <v>2341</v>
      </c>
      <c r="E1984" s="11" t="s">
        <v>28</v>
      </c>
      <c r="F1984" s="10" t="s">
        <v>28</v>
      </c>
      <c r="G1984" s="10" t="s">
        <v>28</v>
      </c>
      <c r="H1984" s="10" t="s">
        <v>28</v>
      </c>
      <c r="I1984" s="11" t="s">
        <v>28</v>
      </c>
      <c r="J1984" s="11" t="s">
        <v>28</v>
      </c>
      <c r="K1984" s="11" t="s">
        <v>28</v>
      </c>
      <c r="L1984" s="11" t="s">
        <v>28</v>
      </c>
      <c r="M1984" s="11" t="s">
        <v>28</v>
      </c>
      <c r="N1984" s="8">
        <v>44979</v>
      </c>
      <c r="O1984" s="9" t="s">
        <v>73</v>
      </c>
      <c r="P1984" s="12" t="s">
        <v>611</v>
      </c>
      <c r="Q1984" s="9" t="s">
        <v>75</v>
      </c>
      <c r="R1984" s="14" t="str">
        <f>HYPERLINK("https://my.pitchbook.com?c=220117-24T","View Company Online")</f>
        <v>View Company Online</v>
      </c>
    </row>
    <row r="1985" spans="1:18" hidden="1" x14ac:dyDescent="0.3">
      <c r="A1985" s="15" t="s">
        <v>6921</v>
      </c>
      <c r="B1985" s="15" t="s">
        <v>257</v>
      </c>
      <c r="C1985" s="18" t="s">
        <v>28</v>
      </c>
      <c r="D1985" s="15" t="s">
        <v>258</v>
      </c>
      <c r="E1985" s="18" t="s">
        <v>28</v>
      </c>
      <c r="F1985" s="19" t="s">
        <v>28</v>
      </c>
      <c r="G1985" s="19" t="s">
        <v>28</v>
      </c>
      <c r="H1985" s="19" t="s">
        <v>28</v>
      </c>
      <c r="I1985" s="18" t="s">
        <v>28</v>
      </c>
      <c r="J1985" s="18" t="s">
        <v>28</v>
      </c>
      <c r="K1985" s="18" t="s">
        <v>28</v>
      </c>
      <c r="L1985" s="18" t="s">
        <v>28</v>
      </c>
      <c r="M1985" s="18" t="s">
        <v>28</v>
      </c>
      <c r="N1985" s="17">
        <v>44979</v>
      </c>
      <c r="O1985" s="15" t="s">
        <v>79</v>
      </c>
      <c r="P1985" s="16" t="s">
        <v>6922</v>
      </c>
      <c r="Q1985" s="15" t="s">
        <v>75</v>
      </c>
      <c r="R1985" s="13" t="str">
        <f>HYPERLINK("https://my.pitchbook.com?c=215428-87T","View Company Online")</f>
        <v>View Company Online</v>
      </c>
    </row>
    <row r="1986" spans="1:18" x14ac:dyDescent="0.3">
      <c r="A1986" s="9" t="s">
        <v>6923</v>
      </c>
      <c r="B1986" s="9" t="s">
        <v>6924</v>
      </c>
      <c r="C1986" s="11">
        <v>2.58</v>
      </c>
      <c r="D1986" s="9" t="s">
        <v>6925</v>
      </c>
      <c r="E1986" s="11" t="s">
        <v>28</v>
      </c>
      <c r="F1986" s="10">
        <v>33.54</v>
      </c>
      <c r="G1986" s="10">
        <v>33.54</v>
      </c>
      <c r="H1986" s="10">
        <v>33.54</v>
      </c>
      <c r="I1986" s="11">
        <v>13</v>
      </c>
      <c r="J1986" s="11">
        <v>2.58</v>
      </c>
      <c r="K1986" s="11">
        <v>80</v>
      </c>
      <c r="L1986" s="11">
        <v>0.42</v>
      </c>
      <c r="M1986" s="11" t="s">
        <v>28</v>
      </c>
      <c r="N1986" s="8">
        <v>44979</v>
      </c>
      <c r="O1986" s="9" t="s">
        <v>30</v>
      </c>
      <c r="P1986" s="12" t="s">
        <v>6926</v>
      </c>
      <c r="Q1986" s="9" t="s">
        <v>5132</v>
      </c>
      <c r="R1986" s="14" t="str">
        <f>HYPERLINK("https://my.pitchbook.com?c=213129-37T","View Company Online")</f>
        <v>View Company Online</v>
      </c>
    </row>
    <row r="1987" spans="1:18" hidden="1" x14ac:dyDescent="0.3">
      <c r="A1987" s="15" t="s">
        <v>6927</v>
      </c>
      <c r="B1987" s="15" t="s">
        <v>3211</v>
      </c>
      <c r="C1987" s="18" t="s">
        <v>28</v>
      </c>
      <c r="D1987" s="15" t="s">
        <v>3212</v>
      </c>
      <c r="E1987" s="18" t="s">
        <v>28</v>
      </c>
      <c r="F1987" s="19" t="s">
        <v>28</v>
      </c>
      <c r="G1987" s="19" t="s">
        <v>28</v>
      </c>
      <c r="H1987" s="19" t="s">
        <v>28</v>
      </c>
      <c r="I1987" s="18" t="s">
        <v>28</v>
      </c>
      <c r="J1987" s="18" t="s">
        <v>28</v>
      </c>
      <c r="K1987" s="18" t="s">
        <v>28</v>
      </c>
      <c r="L1987" s="18" t="s">
        <v>28</v>
      </c>
      <c r="M1987" s="18" t="s">
        <v>28</v>
      </c>
      <c r="N1987" s="17">
        <v>44978</v>
      </c>
      <c r="O1987" s="15" t="s">
        <v>379</v>
      </c>
      <c r="P1987" s="16" t="s">
        <v>2572</v>
      </c>
      <c r="Q1987" s="15" t="s">
        <v>75</v>
      </c>
      <c r="R1987" s="13" t="str">
        <f>HYPERLINK("https://my.pitchbook.com?c=215661-07T","View Company Online")</f>
        <v>View Company Online</v>
      </c>
    </row>
    <row r="1988" spans="1:18" hidden="1" x14ac:dyDescent="0.3">
      <c r="A1988" s="9" t="s">
        <v>6928</v>
      </c>
      <c r="B1988" s="9" t="s">
        <v>6929</v>
      </c>
      <c r="C1988" s="11" t="s">
        <v>28</v>
      </c>
      <c r="D1988" s="9" t="s">
        <v>6930</v>
      </c>
      <c r="E1988" s="11" t="s">
        <v>28</v>
      </c>
      <c r="F1988" s="10" t="s">
        <v>28</v>
      </c>
      <c r="G1988" s="10" t="s">
        <v>28</v>
      </c>
      <c r="H1988" s="10" t="s">
        <v>28</v>
      </c>
      <c r="I1988" s="11" t="s">
        <v>28</v>
      </c>
      <c r="J1988" s="11" t="s">
        <v>28</v>
      </c>
      <c r="K1988" s="11" t="s">
        <v>28</v>
      </c>
      <c r="L1988" s="11" t="s">
        <v>28</v>
      </c>
      <c r="M1988" s="11" t="s">
        <v>28</v>
      </c>
      <c r="N1988" s="8">
        <v>44977</v>
      </c>
      <c r="O1988" s="9" t="s">
        <v>41</v>
      </c>
      <c r="P1988" s="12" t="s">
        <v>6931</v>
      </c>
      <c r="Q1988" s="9" t="s">
        <v>1051</v>
      </c>
      <c r="R1988" s="14" t="str">
        <f>HYPERLINK("https://my.pitchbook.com?c=241599-43T","View Company Online")</f>
        <v>View Company Online</v>
      </c>
    </row>
    <row r="1989" spans="1:18" hidden="1" x14ac:dyDescent="0.3">
      <c r="A1989" s="15" t="s">
        <v>6932</v>
      </c>
      <c r="B1989" s="15" t="s">
        <v>149</v>
      </c>
      <c r="C1989" s="18" t="s">
        <v>28</v>
      </c>
      <c r="D1989" s="15" t="s">
        <v>150</v>
      </c>
      <c r="E1989" s="18" t="s">
        <v>28</v>
      </c>
      <c r="F1989" s="19" t="s">
        <v>28</v>
      </c>
      <c r="G1989" s="19">
        <v>106.52</v>
      </c>
      <c r="H1989" s="19" t="s">
        <v>28</v>
      </c>
      <c r="I1989" s="18" t="s">
        <v>28</v>
      </c>
      <c r="J1989" s="18" t="s">
        <v>28</v>
      </c>
      <c r="K1989" s="18">
        <v>34.83</v>
      </c>
      <c r="L1989" s="18" t="s">
        <v>28</v>
      </c>
      <c r="M1989" s="18" t="s">
        <v>28</v>
      </c>
      <c r="N1989" s="17">
        <v>44974</v>
      </c>
      <c r="O1989" s="15" t="s">
        <v>79</v>
      </c>
      <c r="P1989" s="16" t="s">
        <v>6933</v>
      </c>
      <c r="Q1989" s="15" t="s">
        <v>114</v>
      </c>
      <c r="R1989" s="13" t="str">
        <f>HYPERLINK("https://my.pitchbook.com?c=205737-40T","View Company Online")</f>
        <v>View Company Online</v>
      </c>
    </row>
    <row r="1990" spans="1:18" hidden="1" x14ac:dyDescent="0.3">
      <c r="A1990" s="9" t="s">
        <v>6934</v>
      </c>
      <c r="B1990" s="9" t="s">
        <v>6935</v>
      </c>
      <c r="C1990" s="11" t="s">
        <v>28</v>
      </c>
      <c r="D1990" s="9" t="s">
        <v>6936</v>
      </c>
      <c r="E1990" s="11" t="s">
        <v>28</v>
      </c>
      <c r="F1990" s="10" t="s">
        <v>28</v>
      </c>
      <c r="G1990" s="10" t="s">
        <v>28</v>
      </c>
      <c r="H1990" s="10" t="s">
        <v>28</v>
      </c>
      <c r="I1990" s="11" t="s">
        <v>28</v>
      </c>
      <c r="J1990" s="11" t="s">
        <v>28</v>
      </c>
      <c r="K1990" s="11" t="s">
        <v>28</v>
      </c>
      <c r="L1990" s="11" t="s">
        <v>28</v>
      </c>
      <c r="M1990" s="11" t="s">
        <v>28</v>
      </c>
      <c r="N1990" s="8">
        <v>44974</v>
      </c>
      <c r="O1990" s="9" t="s">
        <v>58</v>
      </c>
      <c r="P1990" s="12" t="s">
        <v>6937</v>
      </c>
      <c r="Q1990" s="9" t="s">
        <v>240</v>
      </c>
      <c r="R1990" s="14" t="str">
        <f>HYPERLINK("https://my.pitchbook.com?c=213968-44T","View Company Online")</f>
        <v>View Company Online</v>
      </c>
    </row>
    <row r="1991" spans="1:18" hidden="1" x14ac:dyDescent="0.3">
      <c r="A1991" s="15" t="s">
        <v>6938</v>
      </c>
      <c r="B1991" s="15" t="s">
        <v>6939</v>
      </c>
      <c r="C1991" s="18" t="s">
        <v>28</v>
      </c>
      <c r="D1991" s="15" t="s">
        <v>6940</v>
      </c>
      <c r="E1991" s="18" t="s">
        <v>28</v>
      </c>
      <c r="F1991" s="19" t="s">
        <v>28</v>
      </c>
      <c r="G1991" s="19" t="s">
        <v>28</v>
      </c>
      <c r="H1991" s="19" t="s">
        <v>28</v>
      </c>
      <c r="I1991" s="18" t="s">
        <v>28</v>
      </c>
      <c r="J1991" s="18" t="s">
        <v>28</v>
      </c>
      <c r="K1991" s="18" t="s">
        <v>28</v>
      </c>
      <c r="L1991" s="18" t="s">
        <v>28</v>
      </c>
      <c r="M1991" s="18" t="s">
        <v>28</v>
      </c>
      <c r="N1991" s="17">
        <v>44974</v>
      </c>
      <c r="O1991" s="15" t="s">
        <v>30</v>
      </c>
      <c r="P1991" s="16" t="s">
        <v>6941</v>
      </c>
      <c r="Q1991" s="15" t="s">
        <v>43</v>
      </c>
      <c r="R1991" s="13" t="str">
        <f>HYPERLINK("https://my.pitchbook.com?c=215531-74T","View Company Online")</f>
        <v>View Company Online</v>
      </c>
    </row>
    <row r="1992" spans="1:18" hidden="1" x14ac:dyDescent="0.3">
      <c r="A1992" s="9" t="s">
        <v>6942</v>
      </c>
      <c r="B1992" s="9" t="s">
        <v>2734</v>
      </c>
      <c r="C1992" s="11" t="s">
        <v>28</v>
      </c>
      <c r="D1992" s="9" t="s">
        <v>2735</v>
      </c>
      <c r="E1992" s="11" t="s">
        <v>28</v>
      </c>
      <c r="F1992" s="10" t="s">
        <v>28</v>
      </c>
      <c r="G1992" s="10" t="s">
        <v>28</v>
      </c>
      <c r="H1992" s="10" t="s">
        <v>28</v>
      </c>
      <c r="I1992" s="11" t="s">
        <v>28</v>
      </c>
      <c r="J1992" s="11" t="s">
        <v>28</v>
      </c>
      <c r="K1992" s="11" t="s">
        <v>28</v>
      </c>
      <c r="L1992" s="11" t="s">
        <v>28</v>
      </c>
      <c r="M1992" s="11" t="s">
        <v>28</v>
      </c>
      <c r="N1992" s="8">
        <v>44973</v>
      </c>
      <c r="O1992" s="9" t="s">
        <v>52</v>
      </c>
      <c r="P1992" s="12" t="s">
        <v>6943</v>
      </c>
      <c r="Q1992" s="9" t="s">
        <v>1035</v>
      </c>
      <c r="R1992" s="14" t="str">
        <f>HYPERLINK("https://my.pitchbook.com?c=292584-79T","View Company Online")</f>
        <v>View Company Online</v>
      </c>
    </row>
    <row r="1993" spans="1:18" hidden="1" x14ac:dyDescent="0.3">
      <c r="A1993" s="15" t="s">
        <v>6944</v>
      </c>
      <c r="B1993" s="15" t="s">
        <v>6945</v>
      </c>
      <c r="C1993" s="18" t="s">
        <v>28</v>
      </c>
      <c r="D1993" s="15" t="s">
        <v>6946</v>
      </c>
      <c r="E1993" s="18" t="s">
        <v>28</v>
      </c>
      <c r="F1993" s="19">
        <v>3.88</v>
      </c>
      <c r="G1993" s="19">
        <v>3.88</v>
      </c>
      <c r="H1993" s="19">
        <v>3.88</v>
      </c>
      <c r="I1993" s="18" t="s">
        <v>28</v>
      </c>
      <c r="J1993" s="18" t="s">
        <v>28</v>
      </c>
      <c r="K1993" s="18" t="s">
        <v>28</v>
      </c>
      <c r="L1993" s="18" t="s">
        <v>28</v>
      </c>
      <c r="M1993" s="18" t="s">
        <v>28</v>
      </c>
      <c r="N1993" s="17">
        <v>44973</v>
      </c>
      <c r="O1993" s="15" t="s">
        <v>30</v>
      </c>
      <c r="P1993" s="16" t="s">
        <v>6947</v>
      </c>
      <c r="Q1993" s="15" t="s">
        <v>449</v>
      </c>
      <c r="R1993" s="13" t="str">
        <f>HYPERLINK("https://my.pitchbook.com?c=216279-55T","View Company Online")</f>
        <v>View Company Online</v>
      </c>
    </row>
    <row r="1994" spans="1:18" hidden="1" x14ac:dyDescent="0.3">
      <c r="A1994" s="9" t="s">
        <v>6948</v>
      </c>
      <c r="B1994" s="9" t="s">
        <v>6949</v>
      </c>
      <c r="C1994" s="11" t="s">
        <v>28</v>
      </c>
      <c r="D1994" s="9" t="s">
        <v>6950</v>
      </c>
      <c r="E1994" s="11" t="s">
        <v>28</v>
      </c>
      <c r="F1994" s="10">
        <v>25.2</v>
      </c>
      <c r="G1994" s="10">
        <v>25.2</v>
      </c>
      <c r="H1994" s="10">
        <v>25.2</v>
      </c>
      <c r="I1994" s="11" t="s">
        <v>28</v>
      </c>
      <c r="J1994" s="11" t="s">
        <v>28</v>
      </c>
      <c r="K1994" s="11" t="s">
        <v>28</v>
      </c>
      <c r="L1994" s="11" t="s">
        <v>28</v>
      </c>
      <c r="M1994" s="11" t="s">
        <v>28</v>
      </c>
      <c r="N1994" s="8">
        <v>44973</v>
      </c>
      <c r="O1994" s="9" t="s">
        <v>30</v>
      </c>
      <c r="P1994" s="12" t="s">
        <v>6951</v>
      </c>
      <c r="Q1994" s="9" t="s">
        <v>37</v>
      </c>
      <c r="R1994" s="14" t="str">
        <f>HYPERLINK("https://my.pitchbook.com?c=215973-64T","View Company Online")</f>
        <v>View Company Online</v>
      </c>
    </row>
    <row r="1995" spans="1:18" hidden="1" x14ac:dyDescent="0.3">
      <c r="A1995" s="15" t="s">
        <v>6952</v>
      </c>
      <c r="B1995" s="15" t="s">
        <v>6953</v>
      </c>
      <c r="C1995" s="18" t="s">
        <v>28</v>
      </c>
      <c r="D1995" s="15" t="s">
        <v>6954</v>
      </c>
      <c r="E1995" s="18" t="s">
        <v>28</v>
      </c>
      <c r="F1995" s="19" t="s">
        <v>28</v>
      </c>
      <c r="G1995" s="19">
        <v>18.510000000000002</v>
      </c>
      <c r="H1995" s="19" t="s">
        <v>28</v>
      </c>
      <c r="I1995" s="18" t="s">
        <v>28</v>
      </c>
      <c r="J1995" s="18" t="s">
        <v>28</v>
      </c>
      <c r="K1995" s="18">
        <v>2</v>
      </c>
      <c r="L1995" s="18" t="s">
        <v>28</v>
      </c>
      <c r="M1995" s="18" t="s">
        <v>28</v>
      </c>
      <c r="N1995" s="17">
        <v>44973</v>
      </c>
      <c r="O1995" s="15" t="s">
        <v>79</v>
      </c>
      <c r="P1995" s="16" t="s">
        <v>6955</v>
      </c>
      <c r="Q1995" s="15" t="s">
        <v>774</v>
      </c>
      <c r="R1995" s="13" t="str">
        <f>HYPERLINK("https://my.pitchbook.com?c=200058-31T","View Company Online")</f>
        <v>View Company Online</v>
      </c>
    </row>
    <row r="1996" spans="1:18" hidden="1" x14ac:dyDescent="0.3">
      <c r="A1996" s="9" t="s">
        <v>6956</v>
      </c>
      <c r="B1996" s="9" t="s">
        <v>3215</v>
      </c>
      <c r="C1996" s="11" t="s">
        <v>28</v>
      </c>
      <c r="D1996" s="9" t="s">
        <v>3216</v>
      </c>
      <c r="E1996" s="11" t="s">
        <v>28</v>
      </c>
      <c r="F1996" s="10" t="s">
        <v>28</v>
      </c>
      <c r="G1996" s="10" t="s">
        <v>28</v>
      </c>
      <c r="H1996" s="10" t="s">
        <v>28</v>
      </c>
      <c r="I1996" s="11" t="s">
        <v>28</v>
      </c>
      <c r="J1996" s="11" t="s">
        <v>28</v>
      </c>
      <c r="K1996" s="11">
        <v>2.71</v>
      </c>
      <c r="L1996" s="11" t="s">
        <v>28</v>
      </c>
      <c r="M1996" s="11" t="s">
        <v>28</v>
      </c>
      <c r="N1996" s="8">
        <v>44973</v>
      </c>
      <c r="O1996" s="9" t="s">
        <v>52</v>
      </c>
      <c r="P1996" s="12" t="s">
        <v>6943</v>
      </c>
      <c r="Q1996" s="9" t="s">
        <v>75</v>
      </c>
      <c r="R1996" s="14" t="str">
        <f>HYPERLINK("https://my.pitchbook.com?c=292602-97T","View Company Online")</f>
        <v>View Company Online</v>
      </c>
    </row>
    <row r="1997" spans="1:18" hidden="1" x14ac:dyDescent="0.3">
      <c r="A1997" s="15" t="s">
        <v>6957</v>
      </c>
      <c r="B1997" s="15" t="s">
        <v>6958</v>
      </c>
      <c r="C1997" s="18" t="s">
        <v>28</v>
      </c>
      <c r="D1997" s="15" t="s">
        <v>6959</v>
      </c>
      <c r="E1997" s="18" t="s">
        <v>28</v>
      </c>
      <c r="F1997" s="19" t="s">
        <v>28</v>
      </c>
      <c r="G1997" s="19">
        <v>2.71</v>
      </c>
      <c r="H1997" s="19" t="s">
        <v>28</v>
      </c>
      <c r="I1997" s="18" t="s">
        <v>28</v>
      </c>
      <c r="J1997" s="18" t="s">
        <v>28</v>
      </c>
      <c r="K1997" s="18">
        <v>30.96</v>
      </c>
      <c r="L1997" s="18" t="s">
        <v>28</v>
      </c>
      <c r="M1997" s="18" t="s">
        <v>28</v>
      </c>
      <c r="N1997" s="17">
        <v>44972</v>
      </c>
      <c r="O1997" s="15" t="s">
        <v>73</v>
      </c>
      <c r="P1997" s="16" t="s">
        <v>6960</v>
      </c>
      <c r="Q1997" s="15" t="s">
        <v>371</v>
      </c>
      <c r="R1997" s="13" t="str">
        <f>HYPERLINK("https://my.pitchbook.com?c=215812-54T","View Company Online")</f>
        <v>View Company Online</v>
      </c>
    </row>
    <row r="1998" spans="1:18" hidden="1" x14ac:dyDescent="0.3">
      <c r="A1998" s="9" t="s">
        <v>6961</v>
      </c>
      <c r="B1998" s="9" t="s">
        <v>6962</v>
      </c>
      <c r="C1998" s="11" t="s">
        <v>28</v>
      </c>
      <c r="D1998" s="9" t="s">
        <v>6963</v>
      </c>
      <c r="E1998" s="11" t="s">
        <v>28</v>
      </c>
      <c r="F1998" s="10" t="s">
        <v>28</v>
      </c>
      <c r="G1998" s="10" t="s">
        <v>28</v>
      </c>
      <c r="H1998" s="10" t="s">
        <v>28</v>
      </c>
      <c r="I1998" s="11" t="s">
        <v>28</v>
      </c>
      <c r="J1998" s="11" t="s">
        <v>28</v>
      </c>
      <c r="K1998" s="11" t="s">
        <v>28</v>
      </c>
      <c r="L1998" s="11" t="s">
        <v>28</v>
      </c>
      <c r="M1998" s="11" t="s">
        <v>28</v>
      </c>
      <c r="N1998" s="8">
        <v>44972</v>
      </c>
      <c r="O1998" s="9" t="s">
        <v>379</v>
      </c>
      <c r="P1998" s="12" t="s">
        <v>497</v>
      </c>
      <c r="Q1998" s="9" t="s">
        <v>75</v>
      </c>
      <c r="R1998" s="14" t="str">
        <f>HYPERLINK("https://my.pitchbook.com?c=215343-82T","View Company Online")</f>
        <v>View Company Online</v>
      </c>
    </row>
    <row r="1999" spans="1:18" hidden="1" x14ac:dyDescent="0.3">
      <c r="A1999" s="15" t="s">
        <v>6964</v>
      </c>
      <c r="B1999" s="15" t="s">
        <v>6965</v>
      </c>
      <c r="C1999" s="18" t="s">
        <v>28</v>
      </c>
      <c r="D1999" s="15" t="s">
        <v>6966</v>
      </c>
      <c r="E1999" s="18" t="s">
        <v>28</v>
      </c>
      <c r="F1999" s="19" t="s">
        <v>28</v>
      </c>
      <c r="G1999" s="19">
        <v>100</v>
      </c>
      <c r="H1999" s="19" t="s">
        <v>28</v>
      </c>
      <c r="I1999" s="18">
        <v>22.25</v>
      </c>
      <c r="J1999" s="18" t="s">
        <v>28</v>
      </c>
      <c r="K1999" s="18">
        <v>503.14</v>
      </c>
      <c r="L1999" s="18" t="s">
        <v>28</v>
      </c>
      <c r="M1999" s="18">
        <v>-134.11000000000001</v>
      </c>
      <c r="N1999" s="17">
        <v>44972</v>
      </c>
      <c r="O1999" s="15" t="s">
        <v>173</v>
      </c>
      <c r="P1999" s="16" t="s">
        <v>28</v>
      </c>
      <c r="Q1999" s="15" t="s">
        <v>37</v>
      </c>
      <c r="R1999" s="13" t="str">
        <f>HYPERLINK("https://my.pitchbook.com?c=170862-94T","View Company Online")</f>
        <v>View Company Online</v>
      </c>
    </row>
    <row r="2000" spans="1:18" hidden="1" x14ac:dyDescent="0.3">
      <c r="A2000" s="9" t="s">
        <v>6967</v>
      </c>
      <c r="B2000" s="9" t="s">
        <v>6968</v>
      </c>
      <c r="C2000" s="11" t="s">
        <v>28</v>
      </c>
      <c r="D2000" s="9" t="s">
        <v>6969</v>
      </c>
      <c r="E2000" s="11" t="s">
        <v>28</v>
      </c>
      <c r="F2000" s="10" t="s">
        <v>28</v>
      </c>
      <c r="G2000" s="10" t="s">
        <v>28</v>
      </c>
      <c r="H2000" s="10" t="s">
        <v>28</v>
      </c>
      <c r="I2000" s="11" t="s">
        <v>28</v>
      </c>
      <c r="J2000" s="11" t="s">
        <v>28</v>
      </c>
      <c r="K2000" s="11" t="s">
        <v>28</v>
      </c>
      <c r="L2000" s="11" t="s">
        <v>28</v>
      </c>
      <c r="M2000" s="11" t="s">
        <v>28</v>
      </c>
      <c r="N2000" s="8">
        <v>44971</v>
      </c>
      <c r="O2000" s="9" t="s">
        <v>30</v>
      </c>
      <c r="P2000" s="12" t="s">
        <v>6970</v>
      </c>
      <c r="Q2000" s="9" t="s">
        <v>1088</v>
      </c>
      <c r="R2000" s="14" t="str">
        <f>HYPERLINK("https://my.pitchbook.com?c=215104-33T","View Company Online")</f>
        <v>View Company Online</v>
      </c>
    </row>
    <row r="2001" spans="1:18" hidden="1" x14ac:dyDescent="0.3">
      <c r="A2001" s="15" t="s">
        <v>6971</v>
      </c>
      <c r="B2001" s="15" t="s">
        <v>6972</v>
      </c>
      <c r="C2001" s="18" t="s">
        <v>28</v>
      </c>
      <c r="D2001" s="15" t="s">
        <v>6973</v>
      </c>
      <c r="E2001" s="18" t="s">
        <v>28</v>
      </c>
      <c r="F2001" s="19" t="s">
        <v>28</v>
      </c>
      <c r="G2001" s="19" t="s">
        <v>28</v>
      </c>
      <c r="H2001" s="19" t="s">
        <v>28</v>
      </c>
      <c r="I2001" s="18" t="s">
        <v>28</v>
      </c>
      <c r="J2001" s="18" t="s">
        <v>28</v>
      </c>
      <c r="K2001" s="18" t="s">
        <v>28</v>
      </c>
      <c r="L2001" s="18" t="s">
        <v>28</v>
      </c>
      <c r="M2001" s="18" t="s">
        <v>28</v>
      </c>
      <c r="N2001" s="17">
        <v>44971</v>
      </c>
      <c r="O2001" s="15" t="s">
        <v>99</v>
      </c>
      <c r="P2001" s="16" t="s">
        <v>80</v>
      </c>
      <c r="Q2001" s="15" t="s">
        <v>75</v>
      </c>
      <c r="R2001" s="13" t="str">
        <f>HYPERLINK("https://my.pitchbook.com?c=285708-79T","View Company Online")</f>
        <v>View Company Online</v>
      </c>
    </row>
    <row r="2002" spans="1:18" hidden="1" x14ac:dyDescent="0.3">
      <c r="A2002" s="9" t="s">
        <v>6974</v>
      </c>
      <c r="B2002" s="9" t="s">
        <v>6975</v>
      </c>
      <c r="C2002" s="11" t="s">
        <v>28</v>
      </c>
      <c r="D2002" s="9" t="s">
        <v>6976</v>
      </c>
      <c r="E2002" s="11" t="s">
        <v>28</v>
      </c>
      <c r="F2002" s="10" t="s">
        <v>28</v>
      </c>
      <c r="G2002" s="10" t="s">
        <v>28</v>
      </c>
      <c r="H2002" s="10" t="s">
        <v>28</v>
      </c>
      <c r="I2002" s="11" t="s">
        <v>28</v>
      </c>
      <c r="J2002" s="11" t="s">
        <v>28</v>
      </c>
      <c r="K2002" s="11" t="s">
        <v>28</v>
      </c>
      <c r="L2002" s="11" t="s">
        <v>28</v>
      </c>
      <c r="M2002" s="11" t="s">
        <v>28</v>
      </c>
      <c r="N2002" s="8">
        <v>44971</v>
      </c>
      <c r="O2002" s="9" t="s">
        <v>30</v>
      </c>
      <c r="P2002" s="12" t="s">
        <v>6977</v>
      </c>
      <c r="Q2002" s="9" t="s">
        <v>95</v>
      </c>
      <c r="R2002" s="14" t="str">
        <f>HYPERLINK("https://my.pitchbook.com?c=223305-40T","View Company Online")</f>
        <v>View Company Online</v>
      </c>
    </row>
    <row r="2003" spans="1:18" hidden="1" x14ac:dyDescent="0.3">
      <c r="A2003" s="15" t="s">
        <v>6978</v>
      </c>
      <c r="B2003" s="15" t="s">
        <v>6979</v>
      </c>
      <c r="C2003" s="18" t="s">
        <v>28</v>
      </c>
      <c r="D2003" s="15" t="s">
        <v>6980</v>
      </c>
      <c r="E2003" s="18" t="s">
        <v>28</v>
      </c>
      <c r="F2003" s="19">
        <v>16.3</v>
      </c>
      <c r="G2003" s="19">
        <v>16.3</v>
      </c>
      <c r="H2003" s="19">
        <v>16.3</v>
      </c>
      <c r="I2003" s="18" t="s">
        <v>28</v>
      </c>
      <c r="J2003" s="18" t="s">
        <v>28</v>
      </c>
      <c r="K2003" s="18" t="s">
        <v>28</v>
      </c>
      <c r="L2003" s="18" t="s">
        <v>28</v>
      </c>
      <c r="M2003" s="18" t="s">
        <v>28</v>
      </c>
      <c r="N2003" s="17">
        <v>44971</v>
      </c>
      <c r="O2003" s="15" t="s">
        <v>30</v>
      </c>
      <c r="P2003" s="16" t="s">
        <v>665</v>
      </c>
      <c r="Q2003" s="15" t="s">
        <v>37</v>
      </c>
      <c r="R2003" s="13" t="str">
        <f>HYPERLINK("https://my.pitchbook.com?c=215085-25T","View Company Online")</f>
        <v>View Company Online</v>
      </c>
    </row>
    <row r="2004" spans="1:18" hidden="1" x14ac:dyDescent="0.3">
      <c r="A2004" s="9" t="s">
        <v>6981</v>
      </c>
      <c r="B2004" s="9" t="s">
        <v>6982</v>
      </c>
      <c r="C2004" s="11" t="s">
        <v>28</v>
      </c>
      <c r="D2004" s="9" t="s">
        <v>6983</v>
      </c>
      <c r="E2004" s="11" t="s">
        <v>28</v>
      </c>
      <c r="F2004" s="10" t="s">
        <v>28</v>
      </c>
      <c r="G2004" s="10">
        <v>0.28999999999999998</v>
      </c>
      <c r="H2004" s="10" t="s">
        <v>28</v>
      </c>
      <c r="I2004" s="11" t="s">
        <v>28</v>
      </c>
      <c r="J2004" s="11" t="s">
        <v>28</v>
      </c>
      <c r="K2004" s="11" t="s">
        <v>28</v>
      </c>
      <c r="L2004" s="11" t="s">
        <v>28</v>
      </c>
      <c r="M2004" s="11" t="s">
        <v>28</v>
      </c>
      <c r="N2004" s="8">
        <v>44971</v>
      </c>
      <c r="O2004" s="9" t="s">
        <v>99</v>
      </c>
      <c r="P2004" s="12" t="s">
        <v>2032</v>
      </c>
      <c r="Q2004" s="9" t="s">
        <v>75</v>
      </c>
      <c r="R2004" s="14" t="str">
        <f>HYPERLINK("https://my.pitchbook.com?c=241908-22T","View Company Online")</f>
        <v>View Company Online</v>
      </c>
    </row>
    <row r="2005" spans="1:18" hidden="1" x14ac:dyDescent="0.3">
      <c r="A2005" s="15" t="s">
        <v>6984</v>
      </c>
      <c r="B2005" s="15" t="s">
        <v>5463</v>
      </c>
      <c r="C2005" s="18" t="s">
        <v>28</v>
      </c>
      <c r="D2005" s="15" t="s">
        <v>5464</v>
      </c>
      <c r="E2005" s="18" t="s">
        <v>28</v>
      </c>
      <c r="F2005" s="19" t="s">
        <v>28</v>
      </c>
      <c r="G2005" s="19">
        <v>0.2</v>
      </c>
      <c r="H2005" s="19" t="s">
        <v>28</v>
      </c>
      <c r="I2005" s="18" t="s">
        <v>28</v>
      </c>
      <c r="J2005" s="18" t="s">
        <v>28</v>
      </c>
      <c r="K2005" s="18" t="s">
        <v>28</v>
      </c>
      <c r="L2005" s="18" t="s">
        <v>28</v>
      </c>
      <c r="M2005" s="18" t="s">
        <v>28</v>
      </c>
      <c r="N2005" s="17">
        <v>44971</v>
      </c>
      <c r="O2005" s="15" t="s">
        <v>79</v>
      </c>
      <c r="P2005" s="16" t="s">
        <v>6985</v>
      </c>
      <c r="Q2005" s="15" t="s">
        <v>75</v>
      </c>
      <c r="R2005" s="13" t="str">
        <f>HYPERLINK("https://my.pitchbook.com?c=215058-52T","View Company Online")</f>
        <v>View Company Online</v>
      </c>
    </row>
    <row r="2006" spans="1:18" hidden="1" x14ac:dyDescent="0.3">
      <c r="A2006" s="9" t="s">
        <v>6986</v>
      </c>
      <c r="B2006" s="9" t="s">
        <v>6987</v>
      </c>
      <c r="C2006" s="11" t="s">
        <v>28</v>
      </c>
      <c r="D2006" s="9" t="s">
        <v>6988</v>
      </c>
      <c r="E2006" s="11" t="s">
        <v>28</v>
      </c>
      <c r="F2006" s="10" t="s">
        <v>28</v>
      </c>
      <c r="G2006" s="10" t="s">
        <v>28</v>
      </c>
      <c r="H2006" s="10" t="s">
        <v>28</v>
      </c>
      <c r="I2006" s="11" t="s">
        <v>28</v>
      </c>
      <c r="J2006" s="11" t="s">
        <v>28</v>
      </c>
      <c r="K2006" s="11" t="s">
        <v>28</v>
      </c>
      <c r="L2006" s="11" t="s">
        <v>28</v>
      </c>
      <c r="M2006" s="11" t="s">
        <v>28</v>
      </c>
      <c r="N2006" s="8">
        <v>44970</v>
      </c>
      <c r="O2006" s="9" t="s">
        <v>30</v>
      </c>
      <c r="P2006" s="12" t="s">
        <v>691</v>
      </c>
      <c r="Q2006" s="9" t="s">
        <v>290</v>
      </c>
      <c r="R2006" s="14" t="str">
        <f>HYPERLINK("https://my.pitchbook.com?c=216143-74T","View Company Online")</f>
        <v>View Company Online</v>
      </c>
    </row>
    <row r="2007" spans="1:18" hidden="1" x14ac:dyDescent="0.3">
      <c r="A2007" s="15" t="s">
        <v>6989</v>
      </c>
      <c r="B2007" s="15" t="s">
        <v>6990</v>
      </c>
      <c r="C2007" s="18" t="s">
        <v>28</v>
      </c>
      <c r="D2007" s="15" t="s">
        <v>6991</v>
      </c>
      <c r="E2007" s="18" t="s">
        <v>28</v>
      </c>
      <c r="F2007" s="19" t="s">
        <v>28</v>
      </c>
      <c r="G2007" s="19" t="s">
        <v>28</v>
      </c>
      <c r="H2007" s="19" t="s">
        <v>28</v>
      </c>
      <c r="I2007" s="18" t="s">
        <v>28</v>
      </c>
      <c r="J2007" s="18" t="s">
        <v>28</v>
      </c>
      <c r="K2007" s="18" t="s">
        <v>28</v>
      </c>
      <c r="L2007" s="18" t="s">
        <v>28</v>
      </c>
      <c r="M2007" s="18" t="s">
        <v>28</v>
      </c>
      <c r="N2007" s="17">
        <v>44970</v>
      </c>
      <c r="O2007" s="15" t="s">
        <v>41</v>
      </c>
      <c r="P2007" s="16" t="s">
        <v>6992</v>
      </c>
      <c r="Q2007" s="15" t="s">
        <v>136</v>
      </c>
      <c r="R2007" s="13" t="str">
        <f>HYPERLINK("https://my.pitchbook.com?c=224799-58T","View Company Online")</f>
        <v>View Company Online</v>
      </c>
    </row>
    <row r="2008" spans="1:18" hidden="1" x14ac:dyDescent="0.3">
      <c r="A2008" s="9" t="s">
        <v>6993</v>
      </c>
      <c r="B2008" s="9" t="s">
        <v>6994</v>
      </c>
      <c r="C2008" s="11" t="s">
        <v>28</v>
      </c>
      <c r="D2008" s="9" t="s">
        <v>6995</v>
      </c>
      <c r="E2008" s="11" t="s">
        <v>28</v>
      </c>
      <c r="F2008" s="10" t="s">
        <v>28</v>
      </c>
      <c r="G2008" s="10" t="s">
        <v>28</v>
      </c>
      <c r="H2008" s="10" t="s">
        <v>28</v>
      </c>
      <c r="I2008" s="11" t="s">
        <v>28</v>
      </c>
      <c r="J2008" s="11" t="s">
        <v>28</v>
      </c>
      <c r="K2008" s="11" t="s">
        <v>28</v>
      </c>
      <c r="L2008" s="11" t="s">
        <v>28</v>
      </c>
      <c r="M2008" s="11" t="s">
        <v>28</v>
      </c>
      <c r="N2008" s="8">
        <v>44970</v>
      </c>
      <c r="O2008" s="9" t="s">
        <v>58</v>
      </c>
      <c r="P2008" s="12" t="s">
        <v>6996</v>
      </c>
      <c r="Q2008" s="9" t="s">
        <v>583</v>
      </c>
      <c r="R2008" s="14" t="str">
        <f>HYPERLINK("https://my.pitchbook.com?c=216152-83T","View Company Online")</f>
        <v>View Company Online</v>
      </c>
    </row>
    <row r="2009" spans="1:18" hidden="1" x14ac:dyDescent="0.3">
      <c r="A2009" s="15" t="s">
        <v>6997</v>
      </c>
      <c r="B2009" s="15" t="s">
        <v>6998</v>
      </c>
      <c r="C2009" s="18" t="s">
        <v>28</v>
      </c>
      <c r="D2009" s="15" t="s">
        <v>6999</v>
      </c>
      <c r="E2009" s="18" t="s">
        <v>28</v>
      </c>
      <c r="F2009" s="19" t="s">
        <v>28</v>
      </c>
      <c r="G2009" s="19" t="s">
        <v>28</v>
      </c>
      <c r="H2009" s="19" t="s">
        <v>28</v>
      </c>
      <c r="I2009" s="18" t="s">
        <v>28</v>
      </c>
      <c r="J2009" s="18" t="s">
        <v>28</v>
      </c>
      <c r="K2009" s="18" t="s">
        <v>28</v>
      </c>
      <c r="L2009" s="18" t="s">
        <v>28</v>
      </c>
      <c r="M2009" s="18" t="s">
        <v>28</v>
      </c>
      <c r="N2009" s="17">
        <v>44970</v>
      </c>
      <c r="O2009" s="15" t="s">
        <v>173</v>
      </c>
      <c r="P2009" s="16" t="s">
        <v>28</v>
      </c>
      <c r="Q2009" s="15" t="s">
        <v>240</v>
      </c>
      <c r="R2009" s="13" t="str">
        <f>HYPERLINK("https://my.pitchbook.com?c=215282-53T","View Company Online")</f>
        <v>View Company Online</v>
      </c>
    </row>
    <row r="2010" spans="1:18" hidden="1" x14ac:dyDescent="0.3">
      <c r="A2010" s="9" t="s">
        <v>7000</v>
      </c>
      <c r="B2010" s="9" t="s">
        <v>7001</v>
      </c>
      <c r="C2010" s="11" t="s">
        <v>28</v>
      </c>
      <c r="D2010" s="9" t="s">
        <v>7002</v>
      </c>
      <c r="E2010" s="11" t="s">
        <v>28</v>
      </c>
      <c r="F2010" s="10" t="s">
        <v>28</v>
      </c>
      <c r="G2010" s="10">
        <v>0.02</v>
      </c>
      <c r="H2010" s="10">
        <v>0.33</v>
      </c>
      <c r="I2010" s="11" t="s">
        <v>28</v>
      </c>
      <c r="J2010" s="11" t="s">
        <v>28</v>
      </c>
      <c r="K2010" s="11" t="s">
        <v>28</v>
      </c>
      <c r="L2010" s="11" t="s">
        <v>28</v>
      </c>
      <c r="M2010" s="11" t="s">
        <v>28</v>
      </c>
      <c r="N2010" s="8">
        <v>44970</v>
      </c>
      <c r="O2010" s="9" t="s">
        <v>52</v>
      </c>
      <c r="P2010" s="12" t="s">
        <v>4216</v>
      </c>
      <c r="Q2010" s="9" t="s">
        <v>43</v>
      </c>
      <c r="R2010" s="14" t="str">
        <f>HYPERLINK("https://my.pitchbook.com?c=215356-42T","View Company Online")</f>
        <v>View Company Online</v>
      </c>
    </row>
    <row r="2011" spans="1:18" hidden="1" x14ac:dyDescent="0.3">
      <c r="A2011" s="15" t="s">
        <v>7003</v>
      </c>
      <c r="B2011" s="15" t="s">
        <v>7004</v>
      </c>
      <c r="C2011" s="18" t="s">
        <v>28</v>
      </c>
      <c r="D2011" s="15" t="s">
        <v>7005</v>
      </c>
      <c r="E2011" s="18" t="s">
        <v>28</v>
      </c>
      <c r="F2011" s="19" t="s">
        <v>28</v>
      </c>
      <c r="G2011" s="19">
        <v>1</v>
      </c>
      <c r="H2011" s="19" t="s">
        <v>28</v>
      </c>
      <c r="I2011" s="18" t="s">
        <v>28</v>
      </c>
      <c r="J2011" s="18" t="s">
        <v>28</v>
      </c>
      <c r="K2011" s="18" t="s">
        <v>28</v>
      </c>
      <c r="L2011" s="18" t="s">
        <v>28</v>
      </c>
      <c r="M2011" s="18" t="s">
        <v>28</v>
      </c>
      <c r="N2011" s="17">
        <v>44969</v>
      </c>
      <c r="O2011" s="15" t="s">
        <v>73</v>
      </c>
      <c r="P2011" s="16" t="s">
        <v>7006</v>
      </c>
      <c r="Q2011" s="15" t="s">
        <v>386</v>
      </c>
      <c r="R2011" s="13" t="str">
        <f>HYPERLINK("https://my.pitchbook.com?c=232992-37T","View Company Online")</f>
        <v>View Company Online</v>
      </c>
    </row>
    <row r="2012" spans="1:18" hidden="1" x14ac:dyDescent="0.3">
      <c r="A2012" s="9" t="s">
        <v>7007</v>
      </c>
      <c r="B2012" s="9" t="s">
        <v>7008</v>
      </c>
      <c r="C2012" s="11" t="s">
        <v>28</v>
      </c>
      <c r="D2012" s="9" t="s">
        <v>7009</v>
      </c>
      <c r="E2012" s="11" t="s">
        <v>28</v>
      </c>
      <c r="F2012" s="10" t="s">
        <v>28</v>
      </c>
      <c r="G2012" s="10" t="s">
        <v>28</v>
      </c>
      <c r="H2012" s="10" t="s">
        <v>28</v>
      </c>
      <c r="I2012" s="11" t="s">
        <v>28</v>
      </c>
      <c r="J2012" s="11" t="s">
        <v>28</v>
      </c>
      <c r="K2012" s="11" t="s">
        <v>28</v>
      </c>
      <c r="L2012" s="11" t="s">
        <v>28</v>
      </c>
      <c r="M2012" s="11" t="s">
        <v>28</v>
      </c>
      <c r="N2012" s="8">
        <v>44968</v>
      </c>
      <c r="O2012" s="9" t="s">
        <v>30</v>
      </c>
      <c r="P2012" s="12" t="s">
        <v>7010</v>
      </c>
      <c r="Q2012" s="9" t="s">
        <v>880</v>
      </c>
      <c r="R2012" s="14" t="str">
        <f>HYPERLINK("https://my.pitchbook.com?c=215079-58T","View Company Online")</f>
        <v>View Company Online</v>
      </c>
    </row>
    <row r="2013" spans="1:18" hidden="1" x14ac:dyDescent="0.3">
      <c r="A2013" s="15" t="s">
        <v>7011</v>
      </c>
      <c r="B2013" s="15" t="s">
        <v>7012</v>
      </c>
      <c r="C2013" s="18" t="s">
        <v>28</v>
      </c>
      <c r="D2013" s="15" t="s">
        <v>7013</v>
      </c>
      <c r="E2013" s="18" t="s">
        <v>28</v>
      </c>
      <c r="F2013" s="19" t="s">
        <v>28</v>
      </c>
      <c r="G2013" s="19" t="s">
        <v>28</v>
      </c>
      <c r="H2013" s="19" t="s">
        <v>28</v>
      </c>
      <c r="I2013" s="18" t="s">
        <v>28</v>
      </c>
      <c r="J2013" s="18" t="s">
        <v>28</v>
      </c>
      <c r="K2013" s="18" t="s">
        <v>28</v>
      </c>
      <c r="L2013" s="18" t="s">
        <v>28</v>
      </c>
      <c r="M2013" s="18" t="s">
        <v>28</v>
      </c>
      <c r="N2013" s="17">
        <v>44966</v>
      </c>
      <c r="O2013" s="15" t="s">
        <v>30</v>
      </c>
      <c r="P2013" s="16" t="s">
        <v>7014</v>
      </c>
      <c r="Q2013" s="15" t="s">
        <v>1007</v>
      </c>
      <c r="R2013" s="13" t="str">
        <f>HYPERLINK("https://my.pitchbook.com?c=214824-16T","View Company Online")</f>
        <v>View Company Online</v>
      </c>
    </row>
    <row r="2014" spans="1:18" hidden="1" x14ac:dyDescent="0.3">
      <c r="A2014" s="9" t="s">
        <v>7015</v>
      </c>
      <c r="B2014" s="9" t="s">
        <v>7016</v>
      </c>
      <c r="C2014" s="11" t="s">
        <v>28</v>
      </c>
      <c r="D2014" s="9" t="s">
        <v>7017</v>
      </c>
      <c r="E2014" s="11" t="s">
        <v>28</v>
      </c>
      <c r="F2014" s="10" t="s">
        <v>28</v>
      </c>
      <c r="G2014" s="10">
        <v>3.89</v>
      </c>
      <c r="H2014" s="10" t="s">
        <v>28</v>
      </c>
      <c r="I2014" s="11" t="s">
        <v>28</v>
      </c>
      <c r="J2014" s="11" t="s">
        <v>28</v>
      </c>
      <c r="K2014" s="11" t="s">
        <v>28</v>
      </c>
      <c r="L2014" s="11" t="s">
        <v>28</v>
      </c>
      <c r="M2014" s="11" t="s">
        <v>28</v>
      </c>
      <c r="N2014" s="8">
        <v>44965</v>
      </c>
      <c r="O2014" s="9" t="s">
        <v>79</v>
      </c>
      <c r="P2014" s="12" t="s">
        <v>7018</v>
      </c>
      <c r="Q2014" s="9" t="s">
        <v>37</v>
      </c>
      <c r="R2014" s="14" t="str">
        <f>HYPERLINK("https://my.pitchbook.com?c=215839-00T","View Company Online")</f>
        <v>View Company Online</v>
      </c>
    </row>
    <row r="2015" spans="1:18" hidden="1" x14ac:dyDescent="0.3">
      <c r="A2015" s="15" t="s">
        <v>7019</v>
      </c>
      <c r="B2015" s="15" t="s">
        <v>7020</v>
      </c>
      <c r="C2015" s="18" t="s">
        <v>28</v>
      </c>
      <c r="D2015" s="15" t="s">
        <v>7021</v>
      </c>
      <c r="E2015" s="18" t="s">
        <v>28</v>
      </c>
      <c r="F2015" s="19" t="s">
        <v>28</v>
      </c>
      <c r="G2015" s="19">
        <v>1</v>
      </c>
      <c r="H2015" s="19" t="s">
        <v>28</v>
      </c>
      <c r="I2015" s="18" t="s">
        <v>28</v>
      </c>
      <c r="J2015" s="18" t="s">
        <v>28</v>
      </c>
      <c r="K2015" s="18" t="s">
        <v>28</v>
      </c>
      <c r="L2015" s="18" t="s">
        <v>28</v>
      </c>
      <c r="M2015" s="18" t="s">
        <v>28</v>
      </c>
      <c r="N2015" s="17">
        <v>44965</v>
      </c>
      <c r="O2015" s="15" t="s">
        <v>52</v>
      </c>
      <c r="P2015" s="16" t="s">
        <v>7022</v>
      </c>
      <c r="Q2015" s="15" t="s">
        <v>43</v>
      </c>
      <c r="R2015" s="13" t="str">
        <f>HYPERLINK("https://my.pitchbook.com?c=234213-76T","View Company Online")</f>
        <v>View Company Online</v>
      </c>
    </row>
    <row r="2016" spans="1:18" hidden="1" x14ac:dyDescent="0.3">
      <c r="A2016" s="9" t="s">
        <v>7023</v>
      </c>
      <c r="B2016" s="9" t="s">
        <v>7024</v>
      </c>
      <c r="C2016" s="11" t="s">
        <v>28</v>
      </c>
      <c r="D2016" s="9" t="s">
        <v>7025</v>
      </c>
      <c r="E2016" s="11" t="s">
        <v>28</v>
      </c>
      <c r="F2016" s="10" t="s">
        <v>28</v>
      </c>
      <c r="G2016" s="10" t="s">
        <v>28</v>
      </c>
      <c r="H2016" s="10" t="s">
        <v>28</v>
      </c>
      <c r="I2016" s="11" t="s">
        <v>28</v>
      </c>
      <c r="J2016" s="11" t="s">
        <v>28</v>
      </c>
      <c r="K2016" s="11" t="s">
        <v>28</v>
      </c>
      <c r="L2016" s="11" t="s">
        <v>28</v>
      </c>
      <c r="M2016" s="11" t="s">
        <v>28</v>
      </c>
      <c r="N2016" s="8">
        <v>44965</v>
      </c>
      <c r="O2016" s="9" t="s">
        <v>30</v>
      </c>
      <c r="P2016" s="12" t="s">
        <v>7026</v>
      </c>
      <c r="Q2016" s="9" t="s">
        <v>226</v>
      </c>
      <c r="R2016" s="14" t="str">
        <f>HYPERLINK("https://my.pitchbook.com?c=216145-99T","View Company Online")</f>
        <v>View Company Online</v>
      </c>
    </row>
    <row r="2017" spans="1:18" hidden="1" x14ac:dyDescent="0.3">
      <c r="A2017" s="15" t="s">
        <v>7027</v>
      </c>
      <c r="B2017" s="15" t="s">
        <v>7028</v>
      </c>
      <c r="C2017" s="18" t="s">
        <v>28</v>
      </c>
      <c r="D2017" s="15" t="s">
        <v>7029</v>
      </c>
      <c r="E2017" s="18" t="s">
        <v>28</v>
      </c>
      <c r="F2017" s="19" t="s">
        <v>28</v>
      </c>
      <c r="G2017" s="19" t="s">
        <v>28</v>
      </c>
      <c r="H2017" s="19" t="s">
        <v>28</v>
      </c>
      <c r="I2017" s="18" t="s">
        <v>28</v>
      </c>
      <c r="J2017" s="18" t="s">
        <v>28</v>
      </c>
      <c r="K2017" s="18">
        <v>7.5</v>
      </c>
      <c r="L2017" s="18" t="s">
        <v>28</v>
      </c>
      <c r="M2017" s="18" t="s">
        <v>28</v>
      </c>
      <c r="N2017" s="17">
        <v>44965</v>
      </c>
      <c r="O2017" s="15" t="s">
        <v>30</v>
      </c>
      <c r="P2017" s="16" t="s">
        <v>7030</v>
      </c>
      <c r="Q2017" s="15" t="s">
        <v>75</v>
      </c>
      <c r="R2017" s="13" t="str">
        <f>HYPERLINK("https://my.pitchbook.com?c=214795-09T","View Company Online")</f>
        <v>View Company Online</v>
      </c>
    </row>
    <row r="2018" spans="1:18" hidden="1" x14ac:dyDescent="0.3">
      <c r="A2018" s="9" t="s">
        <v>7031</v>
      </c>
      <c r="B2018" s="9" t="s">
        <v>7032</v>
      </c>
      <c r="C2018" s="11" t="s">
        <v>28</v>
      </c>
      <c r="D2018" s="9" t="s">
        <v>7033</v>
      </c>
      <c r="E2018" s="11" t="s">
        <v>28</v>
      </c>
      <c r="F2018" s="10" t="s">
        <v>28</v>
      </c>
      <c r="G2018" s="10" t="s">
        <v>28</v>
      </c>
      <c r="H2018" s="10" t="s">
        <v>28</v>
      </c>
      <c r="I2018" s="11" t="s">
        <v>28</v>
      </c>
      <c r="J2018" s="11" t="s">
        <v>28</v>
      </c>
      <c r="K2018" s="11" t="s">
        <v>28</v>
      </c>
      <c r="L2018" s="11" t="s">
        <v>28</v>
      </c>
      <c r="M2018" s="11" t="s">
        <v>28</v>
      </c>
      <c r="N2018" s="8">
        <v>44965</v>
      </c>
      <c r="O2018" s="9" t="s">
        <v>41</v>
      </c>
      <c r="P2018" s="12" t="s">
        <v>6650</v>
      </c>
      <c r="Q2018" s="9" t="s">
        <v>409</v>
      </c>
      <c r="R2018" s="14" t="str">
        <f>HYPERLINK("https://my.pitchbook.com?c=218988-19T","View Company Online")</f>
        <v>View Company Online</v>
      </c>
    </row>
    <row r="2019" spans="1:18" hidden="1" x14ac:dyDescent="0.3">
      <c r="A2019" s="15" t="s">
        <v>7034</v>
      </c>
      <c r="B2019" s="15" t="s">
        <v>7035</v>
      </c>
      <c r="C2019" s="18" t="s">
        <v>28</v>
      </c>
      <c r="D2019" s="15" t="s">
        <v>7036</v>
      </c>
      <c r="E2019" s="18" t="s">
        <v>28</v>
      </c>
      <c r="F2019" s="19" t="s">
        <v>28</v>
      </c>
      <c r="G2019" s="19" t="s">
        <v>28</v>
      </c>
      <c r="H2019" s="19" t="s">
        <v>28</v>
      </c>
      <c r="I2019" s="18" t="s">
        <v>28</v>
      </c>
      <c r="J2019" s="18" t="s">
        <v>28</v>
      </c>
      <c r="K2019" s="18" t="s">
        <v>28</v>
      </c>
      <c r="L2019" s="18" t="s">
        <v>28</v>
      </c>
      <c r="M2019" s="18" t="s">
        <v>28</v>
      </c>
      <c r="N2019" s="17">
        <v>44964</v>
      </c>
      <c r="O2019" s="15" t="s">
        <v>30</v>
      </c>
      <c r="P2019" s="16" t="s">
        <v>6965</v>
      </c>
      <c r="Q2019" s="15" t="s">
        <v>37</v>
      </c>
      <c r="R2019" s="13" t="str">
        <f>HYPERLINK("https://my.pitchbook.com?c=214626-34T","View Company Online")</f>
        <v>View Company Online</v>
      </c>
    </row>
    <row r="2020" spans="1:18" hidden="1" x14ac:dyDescent="0.3">
      <c r="A2020" s="9" t="s">
        <v>7037</v>
      </c>
      <c r="B2020" s="9" t="s">
        <v>7038</v>
      </c>
      <c r="C2020" s="11" t="s">
        <v>28</v>
      </c>
      <c r="D2020" s="9" t="s">
        <v>7039</v>
      </c>
      <c r="E2020" s="11" t="s">
        <v>28</v>
      </c>
      <c r="F2020" s="10" t="s">
        <v>28</v>
      </c>
      <c r="G2020" s="10" t="s">
        <v>28</v>
      </c>
      <c r="H2020" s="10" t="s">
        <v>28</v>
      </c>
      <c r="I2020" s="11" t="s">
        <v>28</v>
      </c>
      <c r="J2020" s="11" t="s">
        <v>28</v>
      </c>
      <c r="K2020" s="11" t="s">
        <v>28</v>
      </c>
      <c r="L2020" s="11" t="s">
        <v>28</v>
      </c>
      <c r="M2020" s="11" t="s">
        <v>28</v>
      </c>
      <c r="N2020" s="8">
        <v>44964</v>
      </c>
      <c r="O2020" s="9" t="s">
        <v>93</v>
      </c>
      <c r="P2020" s="12" t="s">
        <v>7040</v>
      </c>
      <c r="Q2020" s="9" t="s">
        <v>566</v>
      </c>
      <c r="R2020" s="14" t="str">
        <f>HYPERLINK("https://my.pitchbook.com?c=293970-52T","View Company Online")</f>
        <v>View Company Online</v>
      </c>
    </row>
    <row r="2021" spans="1:18" hidden="1" x14ac:dyDescent="0.3">
      <c r="A2021" s="15" t="s">
        <v>7041</v>
      </c>
      <c r="B2021" s="15" t="s">
        <v>7042</v>
      </c>
      <c r="C2021" s="18" t="s">
        <v>28</v>
      </c>
      <c r="D2021" s="15" t="s">
        <v>7043</v>
      </c>
      <c r="E2021" s="18" t="s">
        <v>28</v>
      </c>
      <c r="F2021" s="19" t="s">
        <v>28</v>
      </c>
      <c r="G2021" s="19" t="s">
        <v>28</v>
      </c>
      <c r="H2021" s="19" t="s">
        <v>28</v>
      </c>
      <c r="I2021" s="18" t="s">
        <v>28</v>
      </c>
      <c r="J2021" s="18" t="s">
        <v>28</v>
      </c>
      <c r="K2021" s="18" t="s">
        <v>28</v>
      </c>
      <c r="L2021" s="18" t="s">
        <v>28</v>
      </c>
      <c r="M2021" s="18" t="s">
        <v>28</v>
      </c>
      <c r="N2021" s="17">
        <v>44964</v>
      </c>
      <c r="O2021" s="15" t="s">
        <v>30</v>
      </c>
      <c r="P2021" s="16" t="s">
        <v>7044</v>
      </c>
      <c r="Q2021" s="15" t="s">
        <v>245</v>
      </c>
      <c r="R2021" s="13" t="str">
        <f>HYPERLINK("https://my.pitchbook.com?c=216169-12T","View Company Online")</f>
        <v>View Company Online</v>
      </c>
    </row>
    <row r="2022" spans="1:18" hidden="1" x14ac:dyDescent="0.3">
      <c r="A2022" s="9" t="s">
        <v>7045</v>
      </c>
      <c r="B2022" s="9" t="s">
        <v>7046</v>
      </c>
      <c r="C2022" s="11" t="s">
        <v>28</v>
      </c>
      <c r="D2022" s="9" t="s">
        <v>7047</v>
      </c>
      <c r="E2022" s="11" t="s">
        <v>28</v>
      </c>
      <c r="F2022" s="10" t="s">
        <v>28</v>
      </c>
      <c r="G2022" s="10">
        <v>5</v>
      </c>
      <c r="H2022" s="10" t="s">
        <v>28</v>
      </c>
      <c r="I2022" s="11" t="s">
        <v>28</v>
      </c>
      <c r="J2022" s="11" t="s">
        <v>28</v>
      </c>
      <c r="K2022" s="11" t="s">
        <v>28</v>
      </c>
      <c r="L2022" s="11" t="s">
        <v>28</v>
      </c>
      <c r="M2022" s="11" t="s">
        <v>28</v>
      </c>
      <c r="N2022" s="8">
        <v>44964</v>
      </c>
      <c r="O2022" s="9" t="s">
        <v>99</v>
      </c>
      <c r="P2022" s="12" t="s">
        <v>5673</v>
      </c>
      <c r="Q2022" s="9" t="s">
        <v>37</v>
      </c>
      <c r="R2022" s="14" t="str">
        <f>HYPERLINK("https://my.pitchbook.com?c=232949-35T","View Company Online")</f>
        <v>View Company Online</v>
      </c>
    </row>
    <row r="2023" spans="1:18" hidden="1" x14ac:dyDescent="0.3">
      <c r="A2023" s="15" t="s">
        <v>7048</v>
      </c>
      <c r="B2023" s="15" t="s">
        <v>7049</v>
      </c>
      <c r="C2023" s="18" t="s">
        <v>28</v>
      </c>
      <c r="D2023" s="15" t="s">
        <v>7050</v>
      </c>
      <c r="E2023" s="18" t="s">
        <v>28</v>
      </c>
      <c r="F2023" s="19" t="s">
        <v>28</v>
      </c>
      <c r="G2023" s="19">
        <v>16.25</v>
      </c>
      <c r="H2023" s="19">
        <v>327.19</v>
      </c>
      <c r="I2023" s="18" t="s">
        <v>28</v>
      </c>
      <c r="J2023" s="18" t="s">
        <v>28</v>
      </c>
      <c r="K2023" s="18" t="s">
        <v>28</v>
      </c>
      <c r="L2023" s="18" t="s">
        <v>28</v>
      </c>
      <c r="M2023" s="18" t="s">
        <v>28</v>
      </c>
      <c r="N2023" s="17">
        <v>44963</v>
      </c>
      <c r="O2023" s="15" t="s">
        <v>79</v>
      </c>
      <c r="P2023" s="16" t="s">
        <v>7051</v>
      </c>
      <c r="Q2023" s="15" t="s">
        <v>37</v>
      </c>
      <c r="R2023" s="13" t="str">
        <f>HYPERLINK("https://my.pitchbook.com?c=214473-07T","View Company Online")</f>
        <v>View Company Online</v>
      </c>
    </row>
    <row r="2024" spans="1:18" hidden="1" x14ac:dyDescent="0.3">
      <c r="A2024" s="9" t="s">
        <v>7052</v>
      </c>
      <c r="B2024" s="9" t="s">
        <v>7053</v>
      </c>
      <c r="C2024" s="11" t="s">
        <v>28</v>
      </c>
      <c r="D2024" s="9" t="s">
        <v>7054</v>
      </c>
      <c r="E2024" s="11" t="s">
        <v>28</v>
      </c>
      <c r="F2024" s="10" t="s">
        <v>28</v>
      </c>
      <c r="G2024" s="10" t="s">
        <v>28</v>
      </c>
      <c r="H2024" s="10" t="s">
        <v>28</v>
      </c>
      <c r="I2024" s="11" t="s">
        <v>28</v>
      </c>
      <c r="J2024" s="11" t="s">
        <v>28</v>
      </c>
      <c r="K2024" s="11" t="s">
        <v>28</v>
      </c>
      <c r="L2024" s="11" t="s">
        <v>28</v>
      </c>
      <c r="M2024" s="11" t="s">
        <v>28</v>
      </c>
      <c r="N2024" s="8">
        <v>44963</v>
      </c>
      <c r="O2024" s="9" t="s">
        <v>30</v>
      </c>
      <c r="P2024" s="12" t="s">
        <v>7055</v>
      </c>
      <c r="Q2024" s="9" t="s">
        <v>607</v>
      </c>
      <c r="R2024" s="14" t="str">
        <f>HYPERLINK("https://my.pitchbook.com?c=241956-10T","View Company Online")</f>
        <v>View Company Online</v>
      </c>
    </row>
    <row r="2025" spans="1:18" hidden="1" x14ac:dyDescent="0.3">
      <c r="A2025" s="15" t="s">
        <v>7056</v>
      </c>
      <c r="B2025" s="15" t="s">
        <v>7057</v>
      </c>
      <c r="C2025" s="18" t="s">
        <v>28</v>
      </c>
      <c r="D2025" s="15" t="s">
        <v>7058</v>
      </c>
      <c r="E2025" s="18" t="s">
        <v>28</v>
      </c>
      <c r="F2025" s="19" t="s">
        <v>28</v>
      </c>
      <c r="G2025" s="19" t="s">
        <v>28</v>
      </c>
      <c r="H2025" s="19" t="s">
        <v>28</v>
      </c>
      <c r="I2025" s="18" t="s">
        <v>28</v>
      </c>
      <c r="J2025" s="18" t="s">
        <v>28</v>
      </c>
      <c r="K2025" s="18" t="s">
        <v>28</v>
      </c>
      <c r="L2025" s="18" t="s">
        <v>28</v>
      </c>
      <c r="M2025" s="18" t="s">
        <v>28</v>
      </c>
      <c r="N2025" s="17">
        <v>44963</v>
      </c>
      <c r="O2025" s="15" t="s">
        <v>41</v>
      </c>
      <c r="P2025" s="16" t="s">
        <v>28</v>
      </c>
      <c r="Q2025" s="15" t="s">
        <v>114</v>
      </c>
      <c r="R2025" s="13" t="str">
        <f>HYPERLINK("https://my.pitchbook.com?c=214747-93T","View Company Online")</f>
        <v>View Company Online</v>
      </c>
    </row>
    <row r="2026" spans="1:18" hidden="1" x14ac:dyDescent="0.3">
      <c r="A2026" s="9" t="s">
        <v>7059</v>
      </c>
      <c r="B2026" s="9" t="s">
        <v>3215</v>
      </c>
      <c r="C2026" s="11" t="s">
        <v>28</v>
      </c>
      <c r="D2026" s="9" t="s">
        <v>3216</v>
      </c>
      <c r="E2026" s="11" t="s">
        <v>28</v>
      </c>
      <c r="F2026" s="10" t="s">
        <v>28</v>
      </c>
      <c r="G2026" s="10" t="s">
        <v>28</v>
      </c>
      <c r="H2026" s="10" t="s">
        <v>28</v>
      </c>
      <c r="I2026" s="11" t="s">
        <v>28</v>
      </c>
      <c r="J2026" s="11" t="s">
        <v>28</v>
      </c>
      <c r="K2026" s="11">
        <v>2.71</v>
      </c>
      <c r="L2026" s="11" t="s">
        <v>28</v>
      </c>
      <c r="M2026" s="11" t="s">
        <v>28</v>
      </c>
      <c r="N2026" s="8">
        <v>44962</v>
      </c>
      <c r="O2026" s="9" t="s">
        <v>52</v>
      </c>
      <c r="P2026" s="12" t="s">
        <v>5579</v>
      </c>
      <c r="Q2026" s="9" t="s">
        <v>75</v>
      </c>
      <c r="R2026" s="14" t="str">
        <f>HYPERLINK("https://my.pitchbook.com?c=292603-06T","View Company Online")</f>
        <v>View Company Online</v>
      </c>
    </row>
    <row r="2027" spans="1:18" hidden="1" x14ac:dyDescent="0.3">
      <c r="A2027" s="15" t="s">
        <v>7060</v>
      </c>
      <c r="B2027" s="15" t="s">
        <v>2949</v>
      </c>
      <c r="C2027" s="18" t="s">
        <v>28</v>
      </c>
      <c r="D2027" s="15" t="s">
        <v>2950</v>
      </c>
      <c r="E2027" s="18">
        <v>-6.12</v>
      </c>
      <c r="F2027" s="19" t="s">
        <v>28</v>
      </c>
      <c r="G2027" s="19">
        <v>4</v>
      </c>
      <c r="H2027" s="19" t="s">
        <v>28</v>
      </c>
      <c r="I2027" s="18">
        <v>-6.1</v>
      </c>
      <c r="J2027" s="18" t="s">
        <v>28</v>
      </c>
      <c r="K2027" s="18">
        <v>0</v>
      </c>
      <c r="L2027" s="18" t="s">
        <v>28</v>
      </c>
      <c r="M2027" s="18">
        <v>-4.93</v>
      </c>
      <c r="N2027" s="17">
        <v>44960</v>
      </c>
      <c r="O2027" s="15" t="s">
        <v>159</v>
      </c>
      <c r="P2027" s="16" t="s">
        <v>28</v>
      </c>
      <c r="Q2027" s="15" t="s">
        <v>2620</v>
      </c>
      <c r="R2027" s="13" t="str">
        <f>HYPERLINK("https://my.pitchbook.com?c=286327-09T","View Company Online")</f>
        <v>View Company Online</v>
      </c>
    </row>
    <row r="2028" spans="1:18" hidden="1" x14ac:dyDescent="0.3">
      <c r="A2028" s="9" t="s">
        <v>7061</v>
      </c>
      <c r="B2028" s="9" t="s">
        <v>7062</v>
      </c>
      <c r="C2028" s="11" t="s">
        <v>28</v>
      </c>
      <c r="D2028" s="9" t="s">
        <v>7063</v>
      </c>
      <c r="E2028" s="11" t="s">
        <v>28</v>
      </c>
      <c r="F2028" s="10">
        <v>14.14</v>
      </c>
      <c r="G2028" s="10">
        <v>14.14</v>
      </c>
      <c r="H2028" s="10">
        <v>14.14</v>
      </c>
      <c r="I2028" s="11" t="s">
        <v>28</v>
      </c>
      <c r="J2028" s="11" t="s">
        <v>28</v>
      </c>
      <c r="K2028" s="11" t="s">
        <v>28</v>
      </c>
      <c r="L2028" s="11" t="s">
        <v>28</v>
      </c>
      <c r="M2028" s="11" t="s">
        <v>28</v>
      </c>
      <c r="N2028" s="8">
        <v>44960</v>
      </c>
      <c r="O2028" s="9" t="s">
        <v>30</v>
      </c>
      <c r="P2028" s="12" t="s">
        <v>7064</v>
      </c>
      <c r="Q2028" s="9" t="s">
        <v>75</v>
      </c>
      <c r="R2028" s="14" t="str">
        <f>HYPERLINK("https://my.pitchbook.com?c=206246-53T","View Company Online")</f>
        <v>View Company Online</v>
      </c>
    </row>
    <row r="2029" spans="1:18" hidden="1" x14ac:dyDescent="0.3">
      <c r="A2029" s="15" t="s">
        <v>7065</v>
      </c>
      <c r="B2029" s="15" t="s">
        <v>7066</v>
      </c>
      <c r="C2029" s="18" t="s">
        <v>28</v>
      </c>
      <c r="D2029" s="15" t="s">
        <v>7067</v>
      </c>
      <c r="E2029" s="18" t="s">
        <v>28</v>
      </c>
      <c r="F2029" s="19" t="s">
        <v>28</v>
      </c>
      <c r="G2029" s="19" t="s">
        <v>28</v>
      </c>
      <c r="H2029" s="19" t="s">
        <v>28</v>
      </c>
      <c r="I2029" s="18" t="s">
        <v>28</v>
      </c>
      <c r="J2029" s="18" t="s">
        <v>28</v>
      </c>
      <c r="K2029" s="18" t="s">
        <v>28</v>
      </c>
      <c r="L2029" s="18" t="s">
        <v>28</v>
      </c>
      <c r="M2029" s="18" t="s">
        <v>28</v>
      </c>
      <c r="N2029" s="17">
        <v>44960</v>
      </c>
      <c r="O2029" s="15" t="s">
        <v>30</v>
      </c>
      <c r="P2029" s="16" t="s">
        <v>2806</v>
      </c>
      <c r="Q2029" s="15" t="s">
        <v>245</v>
      </c>
      <c r="R2029" s="13" t="str">
        <f>HYPERLINK("https://my.pitchbook.com?c=216164-08T","View Company Online")</f>
        <v>View Company Online</v>
      </c>
    </row>
    <row r="2030" spans="1:18" hidden="1" x14ac:dyDescent="0.3">
      <c r="A2030" s="9" t="s">
        <v>7068</v>
      </c>
      <c r="B2030" s="9" t="s">
        <v>7069</v>
      </c>
      <c r="C2030" s="11" t="s">
        <v>28</v>
      </c>
      <c r="D2030" s="9" t="s">
        <v>7070</v>
      </c>
      <c r="E2030" s="11" t="s">
        <v>28</v>
      </c>
      <c r="F2030" s="10" t="s">
        <v>28</v>
      </c>
      <c r="G2030" s="10">
        <v>1.1599999999999999</v>
      </c>
      <c r="H2030" s="10" t="s">
        <v>28</v>
      </c>
      <c r="I2030" s="11" t="s">
        <v>28</v>
      </c>
      <c r="J2030" s="11" t="s">
        <v>28</v>
      </c>
      <c r="K2030" s="11" t="s">
        <v>28</v>
      </c>
      <c r="L2030" s="11" t="s">
        <v>28</v>
      </c>
      <c r="M2030" s="11" t="s">
        <v>28</v>
      </c>
      <c r="N2030" s="8">
        <v>44959</v>
      </c>
      <c r="O2030" s="9" t="s">
        <v>73</v>
      </c>
      <c r="P2030" s="12" t="s">
        <v>7071</v>
      </c>
      <c r="Q2030" s="9" t="s">
        <v>37</v>
      </c>
      <c r="R2030" s="14" t="str">
        <f>HYPERLINK("https://my.pitchbook.com?c=187717-69T","View Company Online")</f>
        <v>View Company Online</v>
      </c>
    </row>
    <row r="2031" spans="1:18" hidden="1" x14ac:dyDescent="0.3">
      <c r="A2031" s="15" t="s">
        <v>7072</v>
      </c>
      <c r="B2031" s="15" t="s">
        <v>4214</v>
      </c>
      <c r="C2031" s="18" t="s">
        <v>28</v>
      </c>
      <c r="D2031" s="15" t="s">
        <v>4215</v>
      </c>
      <c r="E2031" s="18" t="s">
        <v>28</v>
      </c>
      <c r="F2031" s="19" t="s">
        <v>28</v>
      </c>
      <c r="G2031" s="19">
        <v>2</v>
      </c>
      <c r="H2031" s="19" t="s">
        <v>28</v>
      </c>
      <c r="I2031" s="18" t="s">
        <v>28</v>
      </c>
      <c r="J2031" s="18" t="s">
        <v>28</v>
      </c>
      <c r="K2031" s="18" t="s">
        <v>28</v>
      </c>
      <c r="L2031" s="18" t="s">
        <v>28</v>
      </c>
      <c r="M2031" s="18" t="s">
        <v>28</v>
      </c>
      <c r="N2031" s="17">
        <v>44959</v>
      </c>
      <c r="O2031" s="15" t="s">
        <v>47</v>
      </c>
      <c r="P2031" s="16" t="s">
        <v>3097</v>
      </c>
      <c r="Q2031" s="15" t="s">
        <v>249</v>
      </c>
      <c r="R2031" s="13" t="str">
        <f>HYPERLINK("https://my.pitchbook.com?c=233030-71T","View Company Online")</f>
        <v>View Company Online</v>
      </c>
    </row>
    <row r="2032" spans="1:18" hidden="1" x14ac:dyDescent="0.3">
      <c r="A2032" s="9" t="s">
        <v>7073</v>
      </c>
      <c r="B2032" s="9" t="s">
        <v>7074</v>
      </c>
      <c r="C2032" s="11" t="s">
        <v>28</v>
      </c>
      <c r="D2032" s="9" t="s">
        <v>7075</v>
      </c>
      <c r="E2032" s="11" t="s">
        <v>28</v>
      </c>
      <c r="F2032" s="10" t="s">
        <v>28</v>
      </c>
      <c r="G2032" s="10" t="s">
        <v>28</v>
      </c>
      <c r="H2032" s="10" t="s">
        <v>28</v>
      </c>
      <c r="I2032" s="11" t="s">
        <v>28</v>
      </c>
      <c r="J2032" s="11" t="s">
        <v>28</v>
      </c>
      <c r="K2032" s="11" t="s">
        <v>28</v>
      </c>
      <c r="L2032" s="11" t="s">
        <v>28</v>
      </c>
      <c r="M2032" s="11" t="s">
        <v>28</v>
      </c>
      <c r="N2032" s="8">
        <v>44959</v>
      </c>
      <c r="O2032" s="9" t="s">
        <v>41</v>
      </c>
      <c r="P2032" s="12" t="s">
        <v>7076</v>
      </c>
      <c r="Q2032" s="9" t="s">
        <v>43</v>
      </c>
      <c r="R2032" s="14" t="str">
        <f>HYPERLINK("https://my.pitchbook.com?c=214643-89T","View Company Online")</f>
        <v>View Company Online</v>
      </c>
    </row>
    <row r="2033" spans="1:18" hidden="1" x14ac:dyDescent="0.3">
      <c r="A2033" s="15" t="s">
        <v>7077</v>
      </c>
      <c r="B2033" s="15" t="s">
        <v>7078</v>
      </c>
      <c r="C2033" s="18" t="s">
        <v>28</v>
      </c>
      <c r="D2033" s="15" t="s">
        <v>7079</v>
      </c>
      <c r="E2033" s="18" t="s">
        <v>28</v>
      </c>
      <c r="F2033" s="19" t="s">
        <v>28</v>
      </c>
      <c r="G2033" s="19" t="s">
        <v>28</v>
      </c>
      <c r="H2033" s="19" t="s">
        <v>28</v>
      </c>
      <c r="I2033" s="18" t="s">
        <v>28</v>
      </c>
      <c r="J2033" s="18" t="s">
        <v>28</v>
      </c>
      <c r="K2033" s="18" t="s">
        <v>28</v>
      </c>
      <c r="L2033" s="18" t="s">
        <v>28</v>
      </c>
      <c r="M2033" s="18" t="s">
        <v>28</v>
      </c>
      <c r="N2033" s="17">
        <v>44958</v>
      </c>
      <c r="O2033" s="15" t="s">
        <v>93</v>
      </c>
      <c r="P2033" s="16" t="s">
        <v>5336</v>
      </c>
      <c r="Q2033" s="15" t="s">
        <v>583</v>
      </c>
      <c r="R2033" s="13" t="str">
        <f>HYPERLINK("https://my.pitchbook.com?c=215235-46T","View Company Online")</f>
        <v>View Company Online</v>
      </c>
    </row>
    <row r="2034" spans="1:18" hidden="1" x14ac:dyDescent="0.3">
      <c r="A2034" s="9" t="s">
        <v>7080</v>
      </c>
      <c r="B2034" s="9" t="s">
        <v>3799</v>
      </c>
      <c r="C2034" s="11" t="s">
        <v>28</v>
      </c>
      <c r="D2034" s="9" t="s">
        <v>3800</v>
      </c>
      <c r="E2034" s="11" t="s">
        <v>28</v>
      </c>
      <c r="F2034" s="10" t="s">
        <v>28</v>
      </c>
      <c r="G2034" s="10" t="s">
        <v>28</v>
      </c>
      <c r="H2034" s="10" t="s">
        <v>28</v>
      </c>
      <c r="I2034" s="11" t="s">
        <v>28</v>
      </c>
      <c r="J2034" s="11" t="s">
        <v>28</v>
      </c>
      <c r="K2034" s="11" t="s">
        <v>28</v>
      </c>
      <c r="L2034" s="11" t="s">
        <v>28</v>
      </c>
      <c r="M2034" s="11" t="s">
        <v>28</v>
      </c>
      <c r="N2034" s="8">
        <v>44958</v>
      </c>
      <c r="O2034" s="9" t="s">
        <v>52</v>
      </c>
      <c r="P2034" s="12" t="s">
        <v>1970</v>
      </c>
      <c r="Q2034" s="9" t="s">
        <v>419</v>
      </c>
      <c r="R2034" s="14" t="str">
        <f>HYPERLINK("https://my.pitchbook.com?c=295939-90T","View Company Online")</f>
        <v>View Company Online</v>
      </c>
    </row>
    <row r="2035" spans="1:18" hidden="1" x14ac:dyDescent="0.3">
      <c r="A2035" s="15" t="s">
        <v>7081</v>
      </c>
      <c r="B2035" s="15" t="s">
        <v>7082</v>
      </c>
      <c r="C2035" s="18" t="s">
        <v>28</v>
      </c>
      <c r="D2035" s="15" t="s">
        <v>7083</v>
      </c>
      <c r="E2035" s="18" t="s">
        <v>28</v>
      </c>
      <c r="F2035" s="19" t="s">
        <v>28</v>
      </c>
      <c r="G2035" s="19" t="s">
        <v>28</v>
      </c>
      <c r="H2035" s="19" t="s">
        <v>28</v>
      </c>
      <c r="I2035" s="18" t="s">
        <v>28</v>
      </c>
      <c r="J2035" s="18" t="s">
        <v>28</v>
      </c>
      <c r="K2035" s="18" t="s">
        <v>28</v>
      </c>
      <c r="L2035" s="18" t="s">
        <v>28</v>
      </c>
      <c r="M2035" s="18" t="s">
        <v>28</v>
      </c>
      <c r="N2035" s="17">
        <v>44958</v>
      </c>
      <c r="O2035" s="15" t="s">
        <v>79</v>
      </c>
      <c r="P2035" s="16" t="s">
        <v>7084</v>
      </c>
      <c r="Q2035" s="15" t="s">
        <v>75</v>
      </c>
      <c r="R2035" s="13" t="str">
        <f>HYPERLINK("https://my.pitchbook.com?c=215943-31T","View Company Online")</f>
        <v>View Company Online</v>
      </c>
    </row>
    <row r="2036" spans="1:18" hidden="1" x14ac:dyDescent="0.3">
      <c r="A2036" s="9" t="s">
        <v>7085</v>
      </c>
      <c r="B2036" s="9" t="s">
        <v>7086</v>
      </c>
      <c r="C2036" s="11" t="s">
        <v>28</v>
      </c>
      <c r="D2036" s="9" t="s">
        <v>7087</v>
      </c>
      <c r="E2036" s="11" t="s">
        <v>28</v>
      </c>
      <c r="F2036" s="10" t="s">
        <v>28</v>
      </c>
      <c r="G2036" s="10" t="s">
        <v>28</v>
      </c>
      <c r="H2036" s="10" t="s">
        <v>28</v>
      </c>
      <c r="I2036" s="11" t="s">
        <v>28</v>
      </c>
      <c r="J2036" s="11" t="s">
        <v>28</v>
      </c>
      <c r="K2036" s="11" t="s">
        <v>28</v>
      </c>
      <c r="L2036" s="11" t="s">
        <v>28</v>
      </c>
      <c r="M2036" s="11" t="s">
        <v>28</v>
      </c>
      <c r="N2036" s="8">
        <v>44958</v>
      </c>
      <c r="O2036" s="9" t="s">
        <v>52</v>
      </c>
      <c r="P2036" s="12" t="s">
        <v>1970</v>
      </c>
      <c r="Q2036" s="9" t="s">
        <v>2916</v>
      </c>
      <c r="R2036" s="14" t="str">
        <f>HYPERLINK("https://my.pitchbook.com?c=295512-31T","View Company Online")</f>
        <v>View Company Online</v>
      </c>
    </row>
    <row r="2037" spans="1:18" hidden="1" x14ac:dyDescent="0.3">
      <c r="A2037" s="15" t="s">
        <v>7088</v>
      </c>
      <c r="B2037" s="15" t="s">
        <v>7089</v>
      </c>
      <c r="C2037" s="18" t="s">
        <v>28</v>
      </c>
      <c r="D2037" s="15" t="s">
        <v>7090</v>
      </c>
      <c r="E2037" s="18" t="s">
        <v>28</v>
      </c>
      <c r="F2037" s="19" t="s">
        <v>28</v>
      </c>
      <c r="G2037" s="19" t="s">
        <v>28</v>
      </c>
      <c r="H2037" s="19" t="s">
        <v>28</v>
      </c>
      <c r="I2037" s="18" t="s">
        <v>28</v>
      </c>
      <c r="J2037" s="18" t="s">
        <v>28</v>
      </c>
      <c r="K2037" s="18" t="s">
        <v>28</v>
      </c>
      <c r="L2037" s="18" t="s">
        <v>28</v>
      </c>
      <c r="M2037" s="18" t="s">
        <v>28</v>
      </c>
      <c r="N2037" s="17">
        <v>44958</v>
      </c>
      <c r="O2037" s="15" t="s">
        <v>73</v>
      </c>
      <c r="P2037" s="16" t="s">
        <v>7091</v>
      </c>
      <c r="Q2037" s="15" t="s">
        <v>75</v>
      </c>
      <c r="R2037" s="13" t="str">
        <f>HYPERLINK("https://my.pitchbook.com?c=216003-88T","View Company Online")</f>
        <v>View Company Online</v>
      </c>
    </row>
    <row r="2038" spans="1:18" hidden="1" x14ac:dyDescent="0.3">
      <c r="A2038" s="9" t="s">
        <v>7092</v>
      </c>
      <c r="B2038" s="9" t="s">
        <v>7093</v>
      </c>
      <c r="C2038" s="11" t="s">
        <v>28</v>
      </c>
      <c r="D2038" s="9" t="s">
        <v>7094</v>
      </c>
      <c r="E2038" s="11" t="s">
        <v>28</v>
      </c>
      <c r="F2038" s="10" t="s">
        <v>28</v>
      </c>
      <c r="G2038" s="10" t="s">
        <v>28</v>
      </c>
      <c r="H2038" s="10" t="s">
        <v>28</v>
      </c>
      <c r="I2038" s="11" t="s">
        <v>28</v>
      </c>
      <c r="J2038" s="11" t="s">
        <v>28</v>
      </c>
      <c r="K2038" s="11" t="s">
        <v>28</v>
      </c>
      <c r="L2038" s="11" t="s">
        <v>28</v>
      </c>
      <c r="M2038" s="11" t="s">
        <v>28</v>
      </c>
      <c r="N2038" s="8">
        <v>44958</v>
      </c>
      <c r="O2038" s="9" t="s">
        <v>73</v>
      </c>
      <c r="P2038" s="12" t="s">
        <v>6712</v>
      </c>
      <c r="Q2038" s="9" t="s">
        <v>43</v>
      </c>
      <c r="R2038" s="14" t="str">
        <f>HYPERLINK("https://my.pitchbook.com?c=215651-80T","View Company Online")</f>
        <v>View Company Online</v>
      </c>
    </row>
    <row r="2039" spans="1:18" hidden="1" x14ac:dyDescent="0.3">
      <c r="A2039" s="15" t="s">
        <v>7095</v>
      </c>
      <c r="B2039" s="15" t="s">
        <v>7096</v>
      </c>
      <c r="C2039" s="18" t="s">
        <v>28</v>
      </c>
      <c r="D2039" s="15" t="s">
        <v>7097</v>
      </c>
      <c r="E2039" s="18" t="s">
        <v>28</v>
      </c>
      <c r="F2039" s="19" t="s">
        <v>28</v>
      </c>
      <c r="G2039" s="19" t="s">
        <v>28</v>
      </c>
      <c r="H2039" s="19" t="s">
        <v>28</v>
      </c>
      <c r="I2039" s="18" t="s">
        <v>28</v>
      </c>
      <c r="J2039" s="18" t="s">
        <v>28</v>
      </c>
      <c r="K2039" s="18" t="s">
        <v>28</v>
      </c>
      <c r="L2039" s="18" t="s">
        <v>28</v>
      </c>
      <c r="M2039" s="18" t="s">
        <v>28</v>
      </c>
      <c r="N2039" s="17">
        <v>44958</v>
      </c>
      <c r="O2039" s="15" t="s">
        <v>79</v>
      </c>
      <c r="P2039" s="16" t="s">
        <v>7098</v>
      </c>
      <c r="Q2039" s="15" t="s">
        <v>75</v>
      </c>
      <c r="R2039" s="13" t="str">
        <f>HYPERLINK("https://my.pitchbook.com?c=215250-22T","View Company Online")</f>
        <v>View Company Online</v>
      </c>
    </row>
    <row r="2040" spans="1:18" hidden="1" x14ac:dyDescent="0.3">
      <c r="A2040" s="9" t="s">
        <v>7099</v>
      </c>
      <c r="B2040" s="9" t="s">
        <v>7100</v>
      </c>
      <c r="C2040" s="11" t="s">
        <v>28</v>
      </c>
      <c r="D2040" s="9" t="s">
        <v>7101</v>
      </c>
      <c r="E2040" s="11" t="s">
        <v>28</v>
      </c>
      <c r="F2040" s="10" t="s">
        <v>28</v>
      </c>
      <c r="G2040" s="10" t="s">
        <v>28</v>
      </c>
      <c r="H2040" s="10" t="s">
        <v>28</v>
      </c>
      <c r="I2040" s="11" t="s">
        <v>28</v>
      </c>
      <c r="J2040" s="11" t="s">
        <v>28</v>
      </c>
      <c r="K2040" s="11" t="s">
        <v>28</v>
      </c>
      <c r="L2040" s="11" t="s">
        <v>28</v>
      </c>
      <c r="M2040" s="11" t="s">
        <v>28</v>
      </c>
      <c r="N2040" s="8">
        <v>44958</v>
      </c>
      <c r="O2040" s="9" t="s">
        <v>52</v>
      </c>
      <c r="P2040" s="12" t="s">
        <v>1970</v>
      </c>
      <c r="Q2040" s="9" t="s">
        <v>1035</v>
      </c>
      <c r="R2040" s="14" t="str">
        <f>HYPERLINK("https://my.pitchbook.com?c=295765-39T","View Company Online")</f>
        <v>View Company Online</v>
      </c>
    </row>
    <row r="2041" spans="1:18" hidden="1" x14ac:dyDescent="0.3">
      <c r="A2041" s="15" t="s">
        <v>7102</v>
      </c>
      <c r="B2041" s="15" t="s">
        <v>7103</v>
      </c>
      <c r="C2041" s="18" t="s">
        <v>28</v>
      </c>
      <c r="D2041" s="15" t="s">
        <v>7104</v>
      </c>
      <c r="E2041" s="18" t="s">
        <v>28</v>
      </c>
      <c r="F2041" s="19" t="s">
        <v>28</v>
      </c>
      <c r="G2041" s="19" t="s">
        <v>28</v>
      </c>
      <c r="H2041" s="19" t="s">
        <v>28</v>
      </c>
      <c r="I2041" s="18" t="s">
        <v>28</v>
      </c>
      <c r="J2041" s="18" t="s">
        <v>28</v>
      </c>
      <c r="K2041" s="18" t="s">
        <v>28</v>
      </c>
      <c r="L2041" s="18" t="s">
        <v>28</v>
      </c>
      <c r="M2041" s="18" t="s">
        <v>28</v>
      </c>
      <c r="N2041" s="17">
        <v>44958</v>
      </c>
      <c r="O2041" s="15" t="s">
        <v>52</v>
      </c>
      <c r="P2041" s="16" t="s">
        <v>1970</v>
      </c>
      <c r="Q2041" s="15" t="s">
        <v>114</v>
      </c>
      <c r="R2041" s="13" t="str">
        <f>HYPERLINK("https://my.pitchbook.com?c=295985-89T","View Company Online")</f>
        <v>View Company Online</v>
      </c>
    </row>
    <row r="2042" spans="1:18" hidden="1" x14ac:dyDescent="0.3">
      <c r="A2042" s="9" t="s">
        <v>7105</v>
      </c>
      <c r="B2042" s="9" t="s">
        <v>7106</v>
      </c>
      <c r="C2042" s="11" t="s">
        <v>28</v>
      </c>
      <c r="D2042" s="9" t="s">
        <v>7107</v>
      </c>
      <c r="E2042" s="11" t="s">
        <v>28</v>
      </c>
      <c r="F2042" s="10" t="s">
        <v>28</v>
      </c>
      <c r="G2042" s="10" t="s">
        <v>28</v>
      </c>
      <c r="H2042" s="10" t="s">
        <v>28</v>
      </c>
      <c r="I2042" s="11" t="s">
        <v>28</v>
      </c>
      <c r="J2042" s="11" t="s">
        <v>28</v>
      </c>
      <c r="K2042" s="11" t="s">
        <v>28</v>
      </c>
      <c r="L2042" s="11" t="s">
        <v>28</v>
      </c>
      <c r="M2042" s="11" t="s">
        <v>28</v>
      </c>
      <c r="N2042" s="8">
        <v>44958</v>
      </c>
      <c r="O2042" s="9" t="s">
        <v>79</v>
      </c>
      <c r="P2042" s="12" t="s">
        <v>7108</v>
      </c>
      <c r="Q2042" s="9" t="s">
        <v>37</v>
      </c>
      <c r="R2042" s="14" t="str">
        <f>HYPERLINK("https://my.pitchbook.com?c=215669-89T","View Company Online")</f>
        <v>View Company Online</v>
      </c>
    </row>
    <row r="2043" spans="1:18" hidden="1" x14ac:dyDescent="0.3">
      <c r="A2043" s="15" t="s">
        <v>7109</v>
      </c>
      <c r="B2043" s="15" t="s">
        <v>2545</v>
      </c>
      <c r="C2043" s="18" t="s">
        <v>28</v>
      </c>
      <c r="D2043" s="15" t="s">
        <v>2546</v>
      </c>
      <c r="E2043" s="18" t="s">
        <v>28</v>
      </c>
      <c r="F2043" s="19" t="s">
        <v>28</v>
      </c>
      <c r="G2043" s="19" t="s">
        <v>28</v>
      </c>
      <c r="H2043" s="19" t="s">
        <v>28</v>
      </c>
      <c r="I2043" s="18" t="s">
        <v>28</v>
      </c>
      <c r="J2043" s="18" t="s">
        <v>28</v>
      </c>
      <c r="K2043" s="18" t="s">
        <v>28</v>
      </c>
      <c r="L2043" s="18" t="s">
        <v>28</v>
      </c>
      <c r="M2043" s="18" t="s">
        <v>28</v>
      </c>
      <c r="N2043" s="17">
        <v>44958</v>
      </c>
      <c r="O2043" s="15" t="s">
        <v>379</v>
      </c>
      <c r="P2043" s="16" t="s">
        <v>7110</v>
      </c>
      <c r="Q2043" s="15" t="s">
        <v>566</v>
      </c>
      <c r="R2043" s="13" t="str">
        <f>HYPERLINK("https://my.pitchbook.com?c=215779-96T","View Company Online")</f>
        <v>View Company Online</v>
      </c>
    </row>
    <row r="2044" spans="1:18" hidden="1" x14ac:dyDescent="0.3">
      <c r="A2044" s="9" t="s">
        <v>7111</v>
      </c>
      <c r="B2044" s="9" t="s">
        <v>7112</v>
      </c>
      <c r="C2044" s="11" t="s">
        <v>28</v>
      </c>
      <c r="D2044" s="9" t="s">
        <v>7113</v>
      </c>
      <c r="E2044" s="11" t="s">
        <v>28</v>
      </c>
      <c r="F2044" s="10" t="s">
        <v>28</v>
      </c>
      <c r="G2044" s="10" t="s">
        <v>28</v>
      </c>
      <c r="H2044" s="10" t="s">
        <v>28</v>
      </c>
      <c r="I2044" s="11" t="s">
        <v>28</v>
      </c>
      <c r="J2044" s="11" t="s">
        <v>28</v>
      </c>
      <c r="K2044" s="11" t="s">
        <v>28</v>
      </c>
      <c r="L2044" s="11" t="s">
        <v>28</v>
      </c>
      <c r="M2044" s="11" t="s">
        <v>28</v>
      </c>
      <c r="N2044" s="8">
        <v>44958</v>
      </c>
      <c r="O2044" s="9" t="s">
        <v>79</v>
      </c>
      <c r="P2044" s="12" t="s">
        <v>7114</v>
      </c>
      <c r="Q2044" s="9" t="s">
        <v>37</v>
      </c>
      <c r="R2044" s="14" t="str">
        <f>HYPERLINK("https://my.pitchbook.com?c=215627-23T","View Company Online")</f>
        <v>View Company Online</v>
      </c>
    </row>
    <row r="2045" spans="1:18" hidden="1" x14ac:dyDescent="0.3">
      <c r="A2045" s="15" t="s">
        <v>7115</v>
      </c>
      <c r="B2045" s="15" t="s">
        <v>7116</v>
      </c>
      <c r="C2045" s="18" t="s">
        <v>28</v>
      </c>
      <c r="D2045" s="15" t="s">
        <v>7117</v>
      </c>
      <c r="E2045" s="18" t="s">
        <v>28</v>
      </c>
      <c r="F2045" s="19" t="s">
        <v>28</v>
      </c>
      <c r="G2045" s="19" t="s">
        <v>28</v>
      </c>
      <c r="H2045" s="19" t="s">
        <v>28</v>
      </c>
      <c r="I2045" s="18" t="s">
        <v>28</v>
      </c>
      <c r="J2045" s="18" t="s">
        <v>28</v>
      </c>
      <c r="K2045" s="18" t="s">
        <v>28</v>
      </c>
      <c r="L2045" s="18" t="s">
        <v>28</v>
      </c>
      <c r="M2045" s="18" t="s">
        <v>28</v>
      </c>
      <c r="N2045" s="17">
        <v>44958</v>
      </c>
      <c r="O2045" s="15" t="s">
        <v>30</v>
      </c>
      <c r="P2045" s="16" t="s">
        <v>7118</v>
      </c>
      <c r="Q2045" s="15" t="s">
        <v>37</v>
      </c>
      <c r="R2045" s="13" t="str">
        <f>HYPERLINK("https://my.pitchbook.com?c=221478-49T","View Company Online")</f>
        <v>View Company Online</v>
      </c>
    </row>
    <row r="2046" spans="1:18" hidden="1" x14ac:dyDescent="0.3">
      <c r="A2046" s="9" t="s">
        <v>7119</v>
      </c>
      <c r="B2046" s="9" t="s">
        <v>7120</v>
      </c>
      <c r="C2046" s="11" t="s">
        <v>28</v>
      </c>
      <c r="D2046" s="9" t="s">
        <v>7121</v>
      </c>
      <c r="E2046" s="11" t="s">
        <v>28</v>
      </c>
      <c r="F2046" s="10" t="s">
        <v>28</v>
      </c>
      <c r="G2046" s="10" t="s">
        <v>28</v>
      </c>
      <c r="H2046" s="10" t="s">
        <v>28</v>
      </c>
      <c r="I2046" s="11" t="s">
        <v>28</v>
      </c>
      <c r="J2046" s="11" t="s">
        <v>28</v>
      </c>
      <c r="K2046" s="11" t="s">
        <v>28</v>
      </c>
      <c r="L2046" s="11" t="s">
        <v>28</v>
      </c>
      <c r="M2046" s="11" t="s">
        <v>28</v>
      </c>
      <c r="N2046" s="8">
        <v>44958</v>
      </c>
      <c r="O2046" s="9" t="s">
        <v>79</v>
      </c>
      <c r="P2046" s="12" t="s">
        <v>4286</v>
      </c>
      <c r="Q2046" s="9" t="s">
        <v>85</v>
      </c>
      <c r="R2046" s="14" t="str">
        <f>HYPERLINK("https://my.pitchbook.com?c=215929-27T","View Company Online")</f>
        <v>View Company Online</v>
      </c>
    </row>
    <row r="2047" spans="1:18" hidden="1" x14ac:dyDescent="0.3">
      <c r="A2047" s="15" t="s">
        <v>7122</v>
      </c>
      <c r="B2047" s="15" t="s">
        <v>7123</v>
      </c>
      <c r="C2047" s="18" t="s">
        <v>28</v>
      </c>
      <c r="D2047" s="15" t="s">
        <v>7124</v>
      </c>
      <c r="E2047" s="18" t="s">
        <v>28</v>
      </c>
      <c r="F2047" s="19" t="s">
        <v>28</v>
      </c>
      <c r="G2047" s="19" t="s">
        <v>28</v>
      </c>
      <c r="H2047" s="19" t="s">
        <v>28</v>
      </c>
      <c r="I2047" s="18" t="s">
        <v>28</v>
      </c>
      <c r="J2047" s="18" t="s">
        <v>28</v>
      </c>
      <c r="K2047" s="18" t="s">
        <v>28</v>
      </c>
      <c r="L2047" s="18" t="s">
        <v>28</v>
      </c>
      <c r="M2047" s="18" t="s">
        <v>28</v>
      </c>
      <c r="N2047" s="17">
        <v>44958</v>
      </c>
      <c r="O2047" s="15" t="s">
        <v>79</v>
      </c>
      <c r="P2047" s="16" t="s">
        <v>7125</v>
      </c>
      <c r="Q2047" s="15" t="s">
        <v>85</v>
      </c>
      <c r="R2047" s="13" t="str">
        <f>HYPERLINK("https://my.pitchbook.com?c=215999-56T","View Company Online")</f>
        <v>View Company Online</v>
      </c>
    </row>
    <row r="2048" spans="1:18" hidden="1" x14ac:dyDescent="0.3">
      <c r="A2048" s="9" t="s">
        <v>7126</v>
      </c>
      <c r="B2048" s="9" t="s">
        <v>7127</v>
      </c>
      <c r="C2048" s="11" t="s">
        <v>28</v>
      </c>
      <c r="D2048" s="9" t="s">
        <v>7128</v>
      </c>
      <c r="E2048" s="11" t="s">
        <v>28</v>
      </c>
      <c r="F2048" s="10" t="s">
        <v>28</v>
      </c>
      <c r="G2048" s="10" t="s">
        <v>28</v>
      </c>
      <c r="H2048" s="10" t="s">
        <v>28</v>
      </c>
      <c r="I2048" s="11" t="s">
        <v>28</v>
      </c>
      <c r="J2048" s="11" t="s">
        <v>28</v>
      </c>
      <c r="K2048" s="11" t="s">
        <v>28</v>
      </c>
      <c r="L2048" s="11" t="s">
        <v>28</v>
      </c>
      <c r="M2048" s="11" t="s">
        <v>28</v>
      </c>
      <c r="N2048" s="8">
        <v>44958</v>
      </c>
      <c r="O2048" s="9" t="s">
        <v>30</v>
      </c>
      <c r="P2048" s="12" t="s">
        <v>7129</v>
      </c>
      <c r="Q2048" s="9" t="s">
        <v>381</v>
      </c>
      <c r="R2048" s="14" t="str">
        <f>HYPERLINK("https://my.pitchbook.com?c=214845-85T","View Company Online")</f>
        <v>View Company Online</v>
      </c>
    </row>
    <row r="2049" spans="1:18" hidden="1" x14ac:dyDescent="0.3">
      <c r="A2049" s="15" t="s">
        <v>7130</v>
      </c>
      <c r="B2049" s="15" t="s">
        <v>7131</v>
      </c>
      <c r="C2049" s="18" t="s">
        <v>28</v>
      </c>
      <c r="D2049" s="15" t="s">
        <v>7132</v>
      </c>
      <c r="E2049" s="18" t="s">
        <v>28</v>
      </c>
      <c r="F2049" s="19" t="s">
        <v>28</v>
      </c>
      <c r="G2049" s="19" t="s">
        <v>28</v>
      </c>
      <c r="H2049" s="19" t="s">
        <v>28</v>
      </c>
      <c r="I2049" s="18" t="s">
        <v>28</v>
      </c>
      <c r="J2049" s="18" t="s">
        <v>28</v>
      </c>
      <c r="K2049" s="18" t="s">
        <v>28</v>
      </c>
      <c r="L2049" s="18" t="s">
        <v>28</v>
      </c>
      <c r="M2049" s="18" t="s">
        <v>28</v>
      </c>
      <c r="N2049" s="17">
        <v>44958</v>
      </c>
      <c r="O2049" s="15" t="s">
        <v>52</v>
      </c>
      <c r="P2049" s="16" t="s">
        <v>1970</v>
      </c>
      <c r="Q2049" s="15" t="s">
        <v>95</v>
      </c>
      <c r="R2049" s="13" t="str">
        <f>HYPERLINK("https://my.pitchbook.com?c=295514-11T","View Company Online")</f>
        <v>View Company Online</v>
      </c>
    </row>
    <row r="2050" spans="1:18" hidden="1" x14ac:dyDescent="0.3">
      <c r="A2050" s="9" t="s">
        <v>7133</v>
      </c>
      <c r="B2050" s="9" t="s">
        <v>1843</v>
      </c>
      <c r="C2050" s="11" t="s">
        <v>28</v>
      </c>
      <c r="D2050" s="9" t="s">
        <v>1844</v>
      </c>
      <c r="E2050" s="11" t="s">
        <v>28</v>
      </c>
      <c r="F2050" s="10" t="s">
        <v>28</v>
      </c>
      <c r="G2050" s="10" t="s">
        <v>28</v>
      </c>
      <c r="H2050" s="10" t="s">
        <v>28</v>
      </c>
      <c r="I2050" s="11" t="s">
        <v>28</v>
      </c>
      <c r="J2050" s="11" t="s">
        <v>28</v>
      </c>
      <c r="K2050" s="11" t="s">
        <v>28</v>
      </c>
      <c r="L2050" s="11" t="s">
        <v>28</v>
      </c>
      <c r="M2050" s="11" t="s">
        <v>28</v>
      </c>
      <c r="N2050" s="8">
        <v>44958</v>
      </c>
      <c r="O2050" s="9" t="s">
        <v>52</v>
      </c>
      <c r="P2050" s="12" t="s">
        <v>1970</v>
      </c>
      <c r="Q2050" s="9" t="s">
        <v>75</v>
      </c>
      <c r="R2050" s="14" t="str">
        <f>HYPERLINK("https://my.pitchbook.com?c=264109-24T","View Company Online")</f>
        <v>View Company Online</v>
      </c>
    </row>
    <row r="2051" spans="1:18" hidden="1" x14ac:dyDescent="0.3">
      <c r="A2051" s="15" t="s">
        <v>7134</v>
      </c>
      <c r="B2051" s="15" t="s">
        <v>7135</v>
      </c>
      <c r="C2051" s="18" t="s">
        <v>28</v>
      </c>
      <c r="D2051" s="15" t="s">
        <v>7136</v>
      </c>
      <c r="E2051" s="18" t="s">
        <v>28</v>
      </c>
      <c r="F2051" s="19" t="s">
        <v>28</v>
      </c>
      <c r="G2051" s="19" t="s">
        <v>28</v>
      </c>
      <c r="H2051" s="19" t="s">
        <v>28</v>
      </c>
      <c r="I2051" s="18" t="s">
        <v>28</v>
      </c>
      <c r="J2051" s="18" t="s">
        <v>28</v>
      </c>
      <c r="K2051" s="18" t="s">
        <v>28</v>
      </c>
      <c r="L2051" s="18" t="s">
        <v>28</v>
      </c>
      <c r="M2051" s="18" t="s">
        <v>28</v>
      </c>
      <c r="N2051" s="17">
        <v>44958</v>
      </c>
      <c r="O2051" s="15" t="s">
        <v>79</v>
      </c>
      <c r="P2051" s="16" t="s">
        <v>28</v>
      </c>
      <c r="Q2051" s="15" t="s">
        <v>75</v>
      </c>
      <c r="R2051" s="13" t="str">
        <f>HYPERLINK("https://my.pitchbook.com?c=215594-65T","View Company Online")</f>
        <v>View Company Online</v>
      </c>
    </row>
    <row r="2052" spans="1:18" hidden="1" x14ac:dyDescent="0.3">
      <c r="A2052" s="9" t="s">
        <v>7137</v>
      </c>
      <c r="B2052" s="9" t="s">
        <v>7138</v>
      </c>
      <c r="C2052" s="11" t="s">
        <v>28</v>
      </c>
      <c r="D2052" s="9" t="s">
        <v>7139</v>
      </c>
      <c r="E2052" s="11" t="s">
        <v>28</v>
      </c>
      <c r="F2052" s="10" t="s">
        <v>28</v>
      </c>
      <c r="G2052" s="10" t="s">
        <v>28</v>
      </c>
      <c r="H2052" s="10" t="s">
        <v>28</v>
      </c>
      <c r="I2052" s="11" t="s">
        <v>28</v>
      </c>
      <c r="J2052" s="11" t="s">
        <v>28</v>
      </c>
      <c r="K2052" s="11" t="s">
        <v>28</v>
      </c>
      <c r="L2052" s="11" t="s">
        <v>28</v>
      </c>
      <c r="M2052" s="11" t="s">
        <v>28</v>
      </c>
      <c r="N2052" s="8">
        <v>44958</v>
      </c>
      <c r="O2052" s="9" t="s">
        <v>79</v>
      </c>
      <c r="P2052" s="12" t="s">
        <v>7140</v>
      </c>
      <c r="Q2052" s="9" t="s">
        <v>114</v>
      </c>
      <c r="R2052" s="14" t="str">
        <f>HYPERLINK("https://my.pitchbook.com?c=215638-75T","View Company Online")</f>
        <v>View Company Online</v>
      </c>
    </row>
    <row r="2053" spans="1:18" hidden="1" x14ac:dyDescent="0.3">
      <c r="A2053" s="15" t="s">
        <v>7141</v>
      </c>
      <c r="B2053" s="15" t="s">
        <v>4532</v>
      </c>
      <c r="C2053" s="18" t="s">
        <v>28</v>
      </c>
      <c r="D2053" s="15" t="s">
        <v>4533</v>
      </c>
      <c r="E2053" s="18" t="s">
        <v>28</v>
      </c>
      <c r="F2053" s="19" t="s">
        <v>28</v>
      </c>
      <c r="G2053" s="19" t="s">
        <v>28</v>
      </c>
      <c r="H2053" s="19" t="s">
        <v>28</v>
      </c>
      <c r="I2053" s="18" t="s">
        <v>28</v>
      </c>
      <c r="J2053" s="18" t="s">
        <v>28</v>
      </c>
      <c r="K2053" s="18" t="s">
        <v>28</v>
      </c>
      <c r="L2053" s="18" t="s">
        <v>28</v>
      </c>
      <c r="M2053" s="18" t="s">
        <v>28</v>
      </c>
      <c r="N2053" s="17">
        <v>44958</v>
      </c>
      <c r="O2053" s="15" t="s">
        <v>52</v>
      </c>
      <c r="P2053" s="16" t="s">
        <v>7142</v>
      </c>
      <c r="Q2053" s="15" t="s">
        <v>37</v>
      </c>
      <c r="R2053" s="13" t="str">
        <f>HYPERLINK("https://my.pitchbook.com?c=215579-98T","View Company Online")</f>
        <v>View Company Online</v>
      </c>
    </row>
    <row r="2054" spans="1:18" hidden="1" x14ac:dyDescent="0.3">
      <c r="A2054" s="9" t="s">
        <v>7143</v>
      </c>
      <c r="B2054" s="9" t="s">
        <v>7144</v>
      </c>
      <c r="C2054" s="11" t="s">
        <v>28</v>
      </c>
      <c r="D2054" s="9" t="s">
        <v>7145</v>
      </c>
      <c r="E2054" s="11" t="s">
        <v>28</v>
      </c>
      <c r="F2054" s="10" t="s">
        <v>28</v>
      </c>
      <c r="G2054" s="10" t="s">
        <v>28</v>
      </c>
      <c r="H2054" s="10" t="s">
        <v>28</v>
      </c>
      <c r="I2054" s="11" t="s">
        <v>28</v>
      </c>
      <c r="J2054" s="11" t="s">
        <v>28</v>
      </c>
      <c r="K2054" s="11" t="s">
        <v>28</v>
      </c>
      <c r="L2054" s="11" t="s">
        <v>28</v>
      </c>
      <c r="M2054" s="11" t="s">
        <v>28</v>
      </c>
      <c r="N2054" s="8">
        <v>44958</v>
      </c>
      <c r="O2054" s="9" t="s">
        <v>73</v>
      </c>
      <c r="P2054" s="12" t="s">
        <v>7146</v>
      </c>
      <c r="Q2054" s="9" t="s">
        <v>75</v>
      </c>
      <c r="R2054" s="14" t="str">
        <f>HYPERLINK("https://my.pitchbook.com?c=215745-22T","View Company Online")</f>
        <v>View Company Online</v>
      </c>
    </row>
    <row r="2055" spans="1:18" hidden="1" x14ac:dyDescent="0.3">
      <c r="A2055" s="15" t="s">
        <v>7147</v>
      </c>
      <c r="B2055" s="15" t="s">
        <v>5884</v>
      </c>
      <c r="C2055" s="18" t="s">
        <v>28</v>
      </c>
      <c r="D2055" s="15" t="s">
        <v>5885</v>
      </c>
      <c r="E2055" s="18" t="s">
        <v>28</v>
      </c>
      <c r="F2055" s="19" t="s">
        <v>28</v>
      </c>
      <c r="G2055" s="19" t="s">
        <v>28</v>
      </c>
      <c r="H2055" s="19" t="s">
        <v>28</v>
      </c>
      <c r="I2055" s="18" t="s">
        <v>28</v>
      </c>
      <c r="J2055" s="18" t="s">
        <v>28</v>
      </c>
      <c r="K2055" s="18" t="s">
        <v>28</v>
      </c>
      <c r="L2055" s="18" t="s">
        <v>28</v>
      </c>
      <c r="M2055" s="18" t="s">
        <v>28</v>
      </c>
      <c r="N2055" s="17">
        <v>44958</v>
      </c>
      <c r="O2055" s="15" t="s">
        <v>73</v>
      </c>
      <c r="P2055" s="16" t="s">
        <v>7148</v>
      </c>
      <c r="Q2055" s="15" t="s">
        <v>75</v>
      </c>
      <c r="R2055" s="13" t="str">
        <f>HYPERLINK("https://my.pitchbook.com?c=216028-27T","View Company Online")</f>
        <v>View Company Online</v>
      </c>
    </row>
    <row r="2056" spans="1:18" hidden="1" x14ac:dyDescent="0.3">
      <c r="A2056" s="9" t="s">
        <v>7149</v>
      </c>
      <c r="B2056" s="9" t="s">
        <v>7150</v>
      </c>
      <c r="C2056" s="11" t="s">
        <v>28</v>
      </c>
      <c r="D2056" s="9" t="s">
        <v>7151</v>
      </c>
      <c r="E2056" s="11" t="s">
        <v>28</v>
      </c>
      <c r="F2056" s="10" t="s">
        <v>28</v>
      </c>
      <c r="G2056" s="10" t="s">
        <v>28</v>
      </c>
      <c r="H2056" s="10" t="s">
        <v>28</v>
      </c>
      <c r="I2056" s="11" t="s">
        <v>28</v>
      </c>
      <c r="J2056" s="11" t="s">
        <v>28</v>
      </c>
      <c r="K2056" s="11" t="s">
        <v>28</v>
      </c>
      <c r="L2056" s="11" t="s">
        <v>28</v>
      </c>
      <c r="M2056" s="11" t="s">
        <v>28</v>
      </c>
      <c r="N2056" s="8">
        <v>44958</v>
      </c>
      <c r="O2056" s="9" t="s">
        <v>52</v>
      </c>
      <c r="P2056" s="12" t="s">
        <v>1970</v>
      </c>
      <c r="Q2056" s="9" t="s">
        <v>95</v>
      </c>
      <c r="R2056" s="14" t="str">
        <f>HYPERLINK("https://my.pitchbook.com?c=295925-32T","View Company Online")</f>
        <v>View Company Online</v>
      </c>
    </row>
    <row r="2057" spans="1:18" hidden="1" x14ac:dyDescent="0.3">
      <c r="A2057" s="15" t="s">
        <v>7152</v>
      </c>
      <c r="B2057" s="15" t="s">
        <v>7153</v>
      </c>
      <c r="C2057" s="18" t="s">
        <v>28</v>
      </c>
      <c r="D2057" s="15" t="s">
        <v>7154</v>
      </c>
      <c r="E2057" s="18" t="s">
        <v>28</v>
      </c>
      <c r="F2057" s="19" t="s">
        <v>28</v>
      </c>
      <c r="G2057" s="19" t="s">
        <v>28</v>
      </c>
      <c r="H2057" s="19" t="s">
        <v>28</v>
      </c>
      <c r="I2057" s="18" t="s">
        <v>28</v>
      </c>
      <c r="J2057" s="18" t="s">
        <v>28</v>
      </c>
      <c r="K2057" s="18" t="s">
        <v>28</v>
      </c>
      <c r="L2057" s="18" t="s">
        <v>28</v>
      </c>
      <c r="M2057" s="18" t="s">
        <v>28</v>
      </c>
      <c r="N2057" s="17">
        <v>44958</v>
      </c>
      <c r="O2057" s="15" t="s">
        <v>30</v>
      </c>
      <c r="P2057" s="16" t="s">
        <v>7155</v>
      </c>
      <c r="Q2057" s="15" t="s">
        <v>245</v>
      </c>
      <c r="R2057" s="13" t="str">
        <f>HYPERLINK("https://my.pitchbook.com?c=233521-57T","View Company Online")</f>
        <v>View Company Online</v>
      </c>
    </row>
    <row r="2058" spans="1:18" hidden="1" x14ac:dyDescent="0.3">
      <c r="A2058" s="9" t="s">
        <v>7156</v>
      </c>
      <c r="B2058" s="9" t="s">
        <v>7157</v>
      </c>
      <c r="C2058" s="11" t="s">
        <v>28</v>
      </c>
      <c r="D2058" s="9" t="s">
        <v>7158</v>
      </c>
      <c r="E2058" s="11" t="s">
        <v>28</v>
      </c>
      <c r="F2058" s="10" t="s">
        <v>28</v>
      </c>
      <c r="G2058" s="10" t="s">
        <v>28</v>
      </c>
      <c r="H2058" s="10" t="s">
        <v>28</v>
      </c>
      <c r="I2058" s="11" t="s">
        <v>28</v>
      </c>
      <c r="J2058" s="11" t="s">
        <v>28</v>
      </c>
      <c r="K2058" s="11" t="s">
        <v>28</v>
      </c>
      <c r="L2058" s="11" t="s">
        <v>28</v>
      </c>
      <c r="M2058" s="11" t="s">
        <v>28</v>
      </c>
      <c r="N2058" s="8">
        <v>44958</v>
      </c>
      <c r="O2058" s="9" t="s">
        <v>73</v>
      </c>
      <c r="P2058" s="12" t="s">
        <v>6834</v>
      </c>
      <c r="Q2058" s="9" t="s">
        <v>75</v>
      </c>
      <c r="R2058" s="14" t="str">
        <f>HYPERLINK("https://my.pitchbook.com?c=215825-68T","View Company Online")</f>
        <v>View Company Online</v>
      </c>
    </row>
    <row r="2059" spans="1:18" hidden="1" x14ac:dyDescent="0.3">
      <c r="A2059" s="15" t="s">
        <v>7159</v>
      </c>
      <c r="B2059" s="15" t="s">
        <v>7160</v>
      </c>
      <c r="C2059" s="18" t="s">
        <v>28</v>
      </c>
      <c r="D2059" s="15" t="s">
        <v>7161</v>
      </c>
      <c r="E2059" s="18" t="s">
        <v>28</v>
      </c>
      <c r="F2059" s="19" t="s">
        <v>28</v>
      </c>
      <c r="G2059" s="19" t="s">
        <v>28</v>
      </c>
      <c r="H2059" s="19" t="s">
        <v>28</v>
      </c>
      <c r="I2059" s="18" t="s">
        <v>28</v>
      </c>
      <c r="J2059" s="18" t="s">
        <v>28</v>
      </c>
      <c r="K2059" s="18" t="s">
        <v>28</v>
      </c>
      <c r="L2059" s="18" t="s">
        <v>28</v>
      </c>
      <c r="M2059" s="18" t="s">
        <v>28</v>
      </c>
      <c r="N2059" s="17">
        <v>44958</v>
      </c>
      <c r="O2059" s="15" t="s">
        <v>52</v>
      </c>
      <c r="P2059" s="16" t="s">
        <v>1970</v>
      </c>
      <c r="Q2059" s="15" t="s">
        <v>95</v>
      </c>
      <c r="R2059" s="13" t="str">
        <f>HYPERLINK("https://my.pitchbook.com?c=295934-86T","View Company Online")</f>
        <v>View Company Online</v>
      </c>
    </row>
    <row r="2060" spans="1:18" hidden="1" x14ac:dyDescent="0.3">
      <c r="A2060" s="9" t="s">
        <v>7162</v>
      </c>
      <c r="B2060" s="9" t="s">
        <v>7163</v>
      </c>
      <c r="C2060" s="11" t="s">
        <v>28</v>
      </c>
      <c r="D2060" s="9" t="s">
        <v>7164</v>
      </c>
      <c r="E2060" s="11" t="s">
        <v>28</v>
      </c>
      <c r="F2060" s="10" t="s">
        <v>28</v>
      </c>
      <c r="G2060" s="10" t="s">
        <v>28</v>
      </c>
      <c r="H2060" s="10" t="s">
        <v>28</v>
      </c>
      <c r="I2060" s="11" t="s">
        <v>28</v>
      </c>
      <c r="J2060" s="11" t="s">
        <v>28</v>
      </c>
      <c r="K2060" s="11" t="s">
        <v>28</v>
      </c>
      <c r="L2060" s="11" t="s">
        <v>28</v>
      </c>
      <c r="M2060" s="11" t="s">
        <v>28</v>
      </c>
      <c r="N2060" s="8">
        <v>44958</v>
      </c>
      <c r="O2060" s="9" t="s">
        <v>73</v>
      </c>
      <c r="P2060" s="12" t="s">
        <v>7165</v>
      </c>
      <c r="Q2060" s="9" t="s">
        <v>75</v>
      </c>
      <c r="R2060" s="14" t="str">
        <f>HYPERLINK("https://my.pitchbook.com?c=215945-83T","View Company Online")</f>
        <v>View Company Online</v>
      </c>
    </row>
    <row r="2061" spans="1:18" hidden="1" x14ac:dyDescent="0.3">
      <c r="A2061" s="15" t="s">
        <v>7166</v>
      </c>
      <c r="B2061" s="15" t="s">
        <v>7167</v>
      </c>
      <c r="C2061" s="18" t="s">
        <v>28</v>
      </c>
      <c r="D2061" s="15" t="s">
        <v>7168</v>
      </c>
      <c r="E2061" s="18" t="s">
        <v>28</v>
      </c>
      <c r="F2061" s="19" t="s">
        <v>28</v>
      </c>
      <c r="G2061" s="19" t="s">
        <v>28</v>
      </c>
      <c r="H2061" s="19" t="s">
        <v>28</v>
      </c>
      <c r="I2061" s="18" t="s">
        <v>28</v>
      </c>
      <c r="J2061" s="18" t="s">
        <v>28</v>
      </c>
      <c r="K2061" s="18" t="s">
        <v>28</v>
      </c>
      <c r="L2061" s="18" t="s">
        <v>28</v>
      </c>
      <c r="M2061" s="18" t="s">
        <v>28</v>
      </c>
      <c r="N2061" s="17">
        <v>44958</v>
      </c>
      <c r="O2061" s="15" t="s">
        <v>52</v>
      </c>
      <c r="P2061" s="16" t="s">
        <v>7169</v>
      </c>
      <c r="Q2061" s="15" t="s">
        <v>75</v>
      </c>
      <c r="R2061" s="13" t="str">
        <f>HYPERLINK("https://my.pitchbook.com?c=270190-09T","View Company Online")</f>
        <v>View Company Online</v>
      </c>
    </row>
    <row r="2062" spans="1:18" hidden="1" x14ac:dyDescent="0.3">
      <c r="A2062" s="9" t="s">
        <v>7170</v>
      </c>
      <c r="B2062" s="9" t="s">
        <v>3519</v>
      </c>
      <c r="C2062" s="11" t="s">
        <v>28</v>
      </c>
      <c r="D2062" s="9" t="s">
        <v>3520</v>
      </c>
      <c r="E2062" s="11" t="s">
        <v>28</v>
      </c>
      <c r="F2062" s="10" t="s">
        <v>28</v>
      </c>
      <c r="G2062" s="10" t="s">
        <v>28</v>
      </c>
      <c r="H2062" s="10" t="s">
        <v>28</v>
      </c>
      <c r="I2062" s="11" t="s">
        <v>28</v>
      </c>
      <c r="J2062" s="11" t="s">
        <v>28</v>
      </c>
      <c r="K2062" s="11" t="s">
        <v>28</v>
      </c>
      <c r="L2062" s="11" t="s">
        <v>28</v>
      </c>
      <c r="M2062" s="11" t="s">
        <v>28</v>
      </c>
      <c r="N2062" s="8">
        <v>44958</v>
      </c>
      <c r="O2062" s="9" t="s">
        <v>79</v>
      </c>
      <c r="P2062" s="12" t="s">
        <v>7171</v>
      </c>
      <c r="Q2062" s="9" t="s">
        <v>95</v>
      </c>
      <c r="R2062" s="14" t="str">
        <f>HYPERLINK("https://my.pitchbook.com?c=215615-35T","View Company Online")</f>
        <v>View Company Online</v>
      </c>
    </row>
    <row r="2063" spans="1:18" hidden="1" x14ac:dyDescent="0.3">
      <c r="A2063" s="15" t="s">
        <v>7172</v>
      </c>
      <c r="B2063" s="15" t="s">
        <v>7173</v>
      </c>
      <c r="C2063" s="18" t="s">
        <v>28</v>
      </c>
      <c r="D2063" s="15" t="s">
        <v>7174</v>
      </c>
      <c r="E2063" s="18" t="s">
        <v>28</v>
      </c>
      <c r="F2063" s="19" t="s">
        <v>28</v>
      </c>
      <c r="G2063" s="19" t="s">
        <v>28</v>
      </c>
      <c r="H2063" s="19" t="s">
        <v>28</v>
      </c>
      <c r="I2063" s="18" t="s">
        <v>28</v>
      </c>
      <c r="J2063" s="18" t="s">
        <v>28</v>
      </c>
      <c r="K2063" s="18" t="s">
        <v>28</v>
      </c>
      <c r="L2063" s="18" t="s">
        <v>28</v>
      </c>
      <c r="M2063" s="18" t="s">
        <v>28</v>
      </c>
      <c r="N2063" s="17">
        <v>44958</v>
      </c>
      <c r="O2063" s="15" t="s">
        <v>52</v>
      </c>
      <c r="P2063" s="16" t="s">
        <v>1970</v>
      </c>
      <c r="Q2063" s="15" t="s">
        <v>43</v>
      </c>
      <c r="R2063" s="13" t="str">
        <f>HYPERLINK("https://my.pitchbook.com?c=295704-46T","View Company Online")</f>
        <v>View Company Online</v>
      </c>
    </row>
    <row r="2064" spans="1:18" hidden="1" x14ac:dyDescent="0.3">
      <c r="A2064" s="9" t="s">
        <v>7175</v>
      </c>
      <c r="B2064" s="9" t="s">
        <v>7176</v>
      </c>
      <c r="C2064" s="11" t="s">
        <v>28</v>
      </c>
      <c r="D2064" s="9" t="s">
        <v>7177</v>
      </c>
      <c r="E2064" s="11" t="s">
        <v>28</v>
      </c>
      <c r="F2064" s="10" t="s">
        <v>28</v>
      </c>
      <c r="G2064" s="10" t="s">
        <v>28</v>
      </c>
      <c r="H2064" s="10" t="s">
        <v>28</v>
      </c>
      <c r="I2064" s="11" t="s">
        <v>28</v>
      </c>
      <c r="J2064" s="11" t="s">
        <v>28</v>
      </c>
      <c r="K2064" s="11" t="s">
        <v>28</v>
      </c>
      <c r="L2064" s="11" t="s">
        <v>28</v>
      </c>
      <c r="M2064" s="11" t="s">
        <v>28</v>
      </c>
      <c r="N2064" s="8">
        <v>44958</v>
      </c>
      <c r="O2064" s="9" t="s">
        <v>52</v>
      </c>
      <c r="P2064" s="12" t="s">
        <v>1970</v>
      </c>
      <c r="Q2064" s="9" t="s">
        <v>95</v>
      </c>
      <c r="R2064" s="14" t="str">
        <f>HYPERLINK("https://my.pitchbook.com?c=295522-39T","View Company Online")</f>
        <v>View Company Online</v>
      </c>
    </row>
    <row r="2065" spans="1:18" hidden="1" x14ac:dyDescent="0.3">
      <c r="A2065" s="15" t="s">
        <v>7178</v>
      </c>
      <c r="B2065" s="15" t="s">
        <v>3622</v>
      </c>
      <c r="C2065" s="18" t="s">
        <v>28</v>
      </c>
      <c r="D2065" s="15" t="s">
        <v>3623</v>
      </c>
      <c r="E2065" s="18" t="s">
        <v>28</v>
      </c>
      <c r="F2065" s="19" t="s">
        <v>28</v>
      </c>
      <c r="G2065" s="19" t="s">
        <v>28</v>
      </c>
      <c r="H2065" s="19" t="s">
        <v>28</v>
      </c>
      <c r="I2065" s="18" t="s">
        <v>28</v>
      </c>
      <c r="J2065" s="18" t="s">
        <v>28</v>
      </c>
      <c r="K2065" s="18" t="s">
        <v>28</v>
      </c>
      <c r="L2065" s="18" t="s">
        <v>28</v>
      </c>
      <c r="M2065" s="18" t="s">
        <v>28</v>
      </c>
      <c r="N2065" s="17">
        <v>44958</v>
      </c>
      <c r="O2065" s="15" t="s">
        <v>79</v>
      </c>
      <c r="P2065" s="16" t="s">
        <v>7179</v>
      </c>
      <c r="Q2065" s="15" t="s">
        <v>855</v>
      </c>
      <c r="R2065" s="13" t="str">
        <f>HYPERLINK("https://my.pitchbook.com?c=215811-01T","View Company Online")</f>
        <v>View Company Online</v>
      </c>
    </row>
    <row r="2066" spans="1:18" hidden="1" x14ac:dyDescent="0.3">
      <c r="A2066" s="9" t="s">
        <v>7180</v>
      </c>
      <c r="B2066" s="9" t="s">
        <v>7181</v>
      </c>
      <c r="C2066" s="11" t="s">
        <v>28</v>
      </c>
      <c r="D2066" s="9" t="s">
        <v>7182</v>
      </c>
      <c r="E2066" s="11" t="s">
        <v>28</v>
      </c>
      <c r="F2066" s="10" t="s">
        <v>28</v>
      </c>
      <c r="G2066" s="10" t="s">
        <v>28</v>
      </c>
      <c r="H2066" s="10" t="s">
        <v>28</v>
      </c>
      <c r="I2066" s="11" t="s">
        <v>28</v>
      </c>
      <c r="J2066" s="11" t="s">
        <v>28</v>
      </c>
      <c r="K2066" s="11" t="s">
        <v>28</v>
      </c>
      <c r="L2066" s="11" t="s">
        <v>28</v>
      </c>
      <c r="M2066" s="11" t="s">
        <v>28</v>
      </c>
      <c r="N2066" s="8">
        <v>44958</v>
      </c>
      <c r="O2066" s="9" t="s">
        <v>73</v>
      </c>
      <c r="P2066" s="12" t="s">
        <v>7098</v>
      </c>
      <c r="Q2066" s="9" t="s">
        <v>37</v>
      </c>
      <c r="R2066" s="14" t="str">
        <f>HYPERLINK("https://my.pitchbook.com?c=215644-96T","View Company Online")</f>
        <v>View Company Online</v>
      </c>
    </row>
    <row r="2067" spans="1:18" hidden="1" x14ac:dyDescent="0.3">
      <c r="A2067" s="15" t="s">
        <v>7183</v>
      </c>
      <c r="B2067" s="15" t="s">
        <v>7184</v>
      </c>
      <c r="C2067" s="18" t="s">
        <v>28</v>
      </c>
      <c r="D2067" s="15" t="s">
        <v>7185</v>
      </c>
      <c r="E2067" s="18" t="s">
        <v>28</v>
      </c>
      <c r="F2067" s="19" t="s">
        <v>28</v>
      </c>
      <c r="G2067" s="19" t="s">
        <v>28</v>
      </c>
      <c r="H2067" s="19" t="s">
        <v>28</v>
      </c>
      <c r="I2067" s="18" t="s">
        <v>28</v>
      </c>
      <c r="J2067" s="18" t="s">
        <v>28</v>
      </c>
      <c r="K2067" s="18" t="s">
        <v>28</v>
      </c>
      <c r="L2067" s="18" t="s">
        <v>28</v>
      </c>
      <c r="M2067" s="18" t="s">
        <v>28</v>
      </c>
      <c r="N2067" s="17">
        <v>44958</v>
      </c>
      <c r="O2067" s="15" t="s">
        <v>73</v>
      </c>
      <c r="P2067" s="16" t="s">
        <v>7148</v>
      </c>
      <c r="Q2067" s="15" t="s">
        <v>75</v>
      </c>
      <c r="R2067" s="13" t="str">
        <f>HYPERLINK("https://my.pitchbook.com?c=216028-90T","View Company Online")</f>
        <v>View Company Online</v>
      </c>
    </row>
    <row r="2068" spans="1:18" hidden="1" x14ac:dyDescent="0.3">
      <c r="A2068" s="9" t="s">
        <v>7186</v>
      </c>
      <c r="B2068" s="9" t="s">
        <v>7187</v>
      </c>
      <c r="C2068" s="11" t="s">
        <v>28</v>
      </c>
      <c r="D2068" s="9" t="s">
        <v>7188</v>
      </c>
      <c r="E2068" s="11" t="s">
        <v>28</v>
      </c>
      <c r="F2068" s="10" t="s">
        <v>28</v>
      </c>
      <c r="G2068" s="10" t="s">
        <v>28</v>
      </c>
      <c r="H2068" s="10" t="s">
        <v>28</v>
      </c>
      <c r="I2068" s="11" t="s">
        <v>28</v>
      </c>
      <c r="J2068" s="11" t="s">
        <v>28</v>
      </c>
      <c r="K2068" s="11" t="s">
        <v>28</v>
      </c>
      <c r="L2068" s="11" t="s">
        <v>28</v>
      </c>
      <c r="M2068" s="11" t="s">
        <v>28</v>
      </c>
      <c r="N2068" s="8">
        <v>44958</v>
      </c>
      <c r="O2068" s="9" t="s">
        <v>52</v>
      </c>
      <c r="P2068" s="12" t="s">
        <v>1970</v>
      </c>
      <c r="Q2068" s="9" t="s">
        <v>75</v>
      </c>
      <c r="R2068" s="14" t="str">
        <f>HYPERLINK("https://my.pitchbook.com?c=295933-69T","View Company Online")</f>
        <v>View Company Online</v>
      </c>
    </row>
    <row r="2069" spans="1:18" hidden="1" x14ac:dyDescent="0.3">
      <c r="A2069" s="15" t="s">
        <v>7189</v>
      </c>
      <c r="B2069" s="15" t="s">
        <v>7190</v>
      </c>
      <c r="C2069" s="18" t="s">
        <v>28</v>
      </c>
      <c r="D2069" s="15" t="s">
        <v>7191</v>
      </c>
      <c r="E2069" s="18" t="s">
        <v>28</v>
      </c>
      <c r="F2069" s="19" t="s">
        <v>28</v>
      </c>
      <c r="G2069" s="19" t="s">
        <v>28</v>
      </c>
      <c r="H2069" s="19" t="s">
        <v>28</v>
      </c>
      <c r="I2069" s="18" t="s">
        <v>28</v>
      </c>
      <c r="J2069" s="18" t="s">
        <v>28</v>
      </c>
      <c r="K2069" s="18" t="s">
        <v>28</v>
      </c>
      <c r="L2069" s="18" t="s">
        <v>28</v>
      </c>
      <c r="M2069" s="18" t="s">
        <v>28</v>
      </c>
      <c r="N2069" s="17">
        <v>44958</v>
      </c>
      <c r="O2069" s="15" t="s">
        <v>73</v>
      </c>
      <c r="P2069" s="16" t="s">
        <v>7192</v>
      </c>
      <c r="Q2069" s="15" t="s">
        <v>37</v>
      </c>
      <c r="R2069" s="13" t="str">
        <f>HYPERLINK("https://my.pitchbook.com?c=215650-72T","View Company Online")</f>
        <v>View Company Online</v>
      </c>
    </row>
    <row r="2070" spans="1:18" hidden="1" x14ac:dyDescent="0.3">
      <c r="A2070" s="9" t="s">
        <v>7193</v>
      </c>
      <c r="B2070" s="9" t="s">
        <v>7194</v>
      </c>
      <c r="C2070" s="11" t="s">
        <v>28</v>
      </c>
      <c r="D2070" s="9" t="s">
        <v>7195</v>
      </c>
      <c r="E2070" s="11" t="s">
        <v>28</v>
      </c>
      <c r="F2070" s="10" t="s">
        <v>28</v>
      </c>
      <c r="G2070" s="10" t="s">
        <v>28</v>
      </c>
      <c r="H2070" s="10" t="s">
        <v>28</v>
      </c>
      <c r="I2070" s="11" t="s">
        <v>28</v>
      </c>
      <c r="J2070" s="11" t="s">
        <v>28</v>
      </c>
      <c r="K2070" s="11" t="s">
        <v>28</v>
      </c>
      <c r="L2070" s="11" t="s">
        <v>28</v>
      </c>
      <c r="M2070" s="11" t="s">
        <v>28</v>
      </c>
      <c r="N2070" s="8">
        <v>44958</v>
      </c>
      <c r="O2070" s="9" t="s">
        <v>73</v>
      </c>
      <c r="P2070" s="12" t="s">
        <v>7196</v>
      </c>
      <c r="Q2070" s="9" t="s">
        <v>37</v>
      </c>
      <c r="R2070" s="14" t="str">
        <f>HYPERLINK("https://my.pitchbook.com?c=215840-53T","View Company Online")</f>
        <v>View Company Online</v>
      </c>
    </row>
    <row r="2071" spans="1:18" hidden="1" x14ac:dyDescent="0.3">
      <c r="A2071" s="15" t="s">
        <v>7197</v>
      </c>
      <c r="B2071" s="15" t="s">
        <v>7198</v>
      </c>
      <c r="C2071" s="18" t="s">
        <v>28</v>
      </c>
      <c r="D2071" s="15" t="s">
        <v>7199</v>
      </c>
      <c r="E2071" s="18" t="s">
        <v>28</v>
      </c>
      <c r="F2071" s="19" t="s">
        <v>28</v>
      </c>
      <c r="G2071" s="19" t="s">
        <v>28</v>
      </c>
      <c r="H2071" s="19" t="s">
        <v>28</v>
      </c>
      <c r="I2071" s="18" t="s">
        <v>28</v>
      </c>
      <c r="J2071" s="18" t="s">
        <v>28</v>
      </c>
      <c r="K2071" s="18" t="s">
        <v>28</v>
      </c>
      <c r="L2071" s="18" t="s">
        <v>28</v>
      </c>
      <c r="M2071" s="18" t="s">
        <v>28</v>
      </c>
      <c r="N2071" s="17">
        <v>44958</v>
      </c>
      <c r="O2071" s="15" t="s">
        <v>73</v>
      </c>
      <c r="P2071" s="16" t="s">
        <v>611</v>
      </c>
      <c r="Q2071" s="15" t="s">
        <v>37</v>
      </c>
      <c r="R2071" s="13" t="str">
        <f>HYPERLINK("https://my.pitchbook.com?c=215845-57T","View Company Online")</f>
        <v>View Company Online</v>
      </c>
    </row>
    <row r="2072" spans="1:18" hidden="1" x14ac:dyDescent="0.3">
      <c r="A2072" s="9" t="s">
        <v>7200</v>
      </c>
      <c r="B2072" s="9" t="s">
        <v>7201</v>
      </c>
      <c r="C2072" s="11" t="s">
        <v>28</v>
      </c>
      <c r="D2072" s="9" t="s">
        <v>7202</v>
      </c>
      <c r="E2072" s="11" t="s">
        <v>28</v>
      </c>
      <c r="F2072" s="10" t="s">
        <v>28</v>
      </c>
      <c r="G2072" s="10" t="s">
        <v>28</v>
      </c>
      <c r="H2072" s="10" t="s">
        <v>28</v>
      </c>
      <c r="I2072" s="11" t="s">
        <v>28</v>
      </c>
      <c r="J2072" s="11" t="s">
        <v>28</v>
      </c>
      <c r="K2072" s="11" t="s">
        <v>28</v>
      </c>
      <c r="L2072" s="11" t="s">
        <v>28</v>
      </c>
      <c r="M2072" s="11" t="s">
        <v>28</v>
      </c>
      <c r="N2072" s="8">
        <v>44958</v>
      </c>
      <c r="O2072" s="9" t="s">
        <v>79</v>
      </c>
      <c r="P2072" s="12" t="s">
        <v>7108</v>
      </c>
      <c r="Q2072" s="9" t="s">
        <v>583</v>
      </c>
      <c r="R2072" s="14" t="str">
        <f>HYPERLINK("https://my.pitchbook.com?c=215724-34T","View Company Online")</f>
        <v>View Company Online</v>
      </c>
    </row>
    <row r="2073" spans="1:18" hidden="1" x14ac:dyDescent="0.3">
      <c r="A2073" s="15" t="s">
        <v>7203</v>
      </c>
      <c r="B2073" s="15" t="s">
        <v>7204</v>
      </c>
      <c r="C2073" s="18" t="s">
        <v>28</v>
      </c>
      <c r="D2073" s="15" t="s">
        <v>7205</v>
      </c>
      <c r="E2073" s="18" t="s">
        <v>28</v>
      </c>
      <c r="F2073" s="19" t="s">
        <v>28</v>
      </c>
      <c r="G2073" s="19" t="s">
        <v>28</v>
      </c>
      <c r="H2073" s="19" t="s">
        <v>28</v>
      </c>
      <c r="I2073" s="18" t="s">
        <v>28</v>
      </c>
      <c r="J2073" s="18" t="s">
        <v>28</v>
      </c>
      <c r="K2073" s="18" t="s">
        <v>28</v>
      </c>
      <c r="L2073" s="18" t="s">
        <v>28</v>
      </c>
      <c r="M2073" s="18" t="s">
        <v>28</v>
      </c>
      <c r="N2073" s="17">
        <v>44958</v>
      </c>
      <c r="O2073" s="15" t="s">
        <v>52</v>
      </c>
      <c r="P2073" s="16" t="s">
        <v>1970</v>
      </c>
      <c r="Q2073" s="15" t="s">
        <v>414</v>
      </c>
      <c r="R2073" s="13" t="str">
        <f>HYPERLINK("https://my.pitchbook.com?c=295759-00T","View Company Online")</f>
        <v>View Company Online</v>
      </c>
    </row>
    <row r="2074" spans="1:18" hidden="1" x14ac:dyDescent="0.3">
      <c r="A2074" s="9" t="s">
        <v>7206</v>
      </c>
      <c r="B2074" s="9" t="s">
        <v>7207</v>
      </c>
      <c r="C2074" s="11" t="s">
        <v>28</v>
      </c>
      <c r="D2074" s="9" t="s">
        <v>7208</v>
      </c>
      <c r="E2074" s="11" t="s">
        <v>28</v>
      </c>
      <c r="F2074" s="10" t="s">
        <v>28</v>
      </c>
      <c r="G2074" s="10" t="s">
        <v>28</v>
      </c>
      <c r="H2074" s="10" t="s">
        <v>28</v>
      </c>
      <c r="I2074" s="11" t="s">
        <v>28</v>
      </c>
      <c r="J2074" s="11" t="s">
        <v>28</v>
      </c>
      <c r="K2074" s="11" t="s">
        <v>28</v>
      </c>
      <c r="L2074" s="11" t="s">
        <v>28</v>
      </c>
      <c r="M2074" s="11" t="s">
        <v>28</v>
      </c>
      <c r="N2074" s="8">
        <v>44958</v>
      </c>
      <c r="O2074" s="9" t="s">
        <v>79</v>
      </c>
      <c r="P2074" s="12" t="s">
        <v>7171</v>
      </c>
      <c r="Q2074" s="9" t="s">
        <v>7209</v>
      </c>
      <c r="R2074" s="14" t="str">
        <f>HYPERLINK("https://my.pitchbook.com?c=215905-06T","View Company Online")</f>
        <v>View Company Online</v>
      </c>
    </row>
    <row r="2075" spans="1:18" hidden="1" x14ac:dyDescent="0.3">
      <c r="A2075" s="15" t="s">
        <v>7210</v>
      </c>
      <c r="B2075" s="15" t="s">
        <v>7211</v>
      </c>
      <c r="C2075" s="18" t="s">
        <v>28</v>
      </c>
      <c r="D2075" s="15" t="s">
        <v>7212</v>
      </c>
      <c r="E2075" s="18" t="s">
        <v>28</v>
      </c>
      <c r="F2075" s="19" t="s">
        <v>28</v>
      </c>
      <c r="G2075" s="19" t="s">
        <v>28</v>
      </c>
      <c r="H2075" s="19" t="s">
        <v>28</v>
      </c>
      <c r="I2075" s="18" t="s">
        <v>28</v>
      </c>
      <c r="J2075" s="18" t="s">
        <v>28</v>
      </c>
      <c r="K2075" s="18" t="s">
        <v>28</v>
      </c>
      <c r="L2075" s="18" t="s">
        <v>28</v>
      </c>
      <c r="M2075" s="18" t="s">
        <v>28</v>
      </c>
      <c r="N2075" s="17">
        <v>44958</v>
      </c>
      <c r="O2075" s="15" t="s">
        <v>52</v>
      </c>
      <c r="P2075" s="16" t="s">
        <v>221</v>
      </c>
      <c r="Q2075" s="15" t="s">
        <v>75</v>
      </c>
      <c r="R2075" s="13" t="str">
        <f>HYPERLINK("https://my.pitchbook.com?c=215246-53T","View Company Online")</f>
        <v>View Company Online</v>
      </c>
    </row>
    <row r="2076" spans="1:18" hidden="1" x14ac:dyDescent="0.3">
      <c r="A2076" s="9" t="s">
        <v>7213</v>
      </c>
      <c r="B2076" s="9" t="s">
        <v>87</v>
      </c>
      <c r="C2076" s="11" t="s">
        <v>28</v>
      </c>
      <c r="D2076" s="9" t="s">
        <v>88</v>
      </c>
      <c r="E2076" s="11" t="s">
        <v>28</v>
      </c>
      <c r="F2076" s="10" t="s">
        <v>28</v>
      </c>
      <c r="G2076" s="10" t="s">
        <v>28</v>
      </c>
      <c r="H2076" s="10">
        <v>5.4</v>
      </c>
      <c r="I2076" s="11" t="s">
        <v>28</v>
      </c>
      <c r="J2076" s="11" t="s">
        <v>28</v>
      </c>
      <c r="K2076" s="11" t="s">
        <v>28</v>
      </c>
      <c r="L2076" s="11" t="s">
        <v>28</v>
      </c>
      <c r="M2076" s="11" t="s">
        <v>28</v>
      </c>
      <c r="N2076" s="8">
        <v>44958</v>
      </c>
      <c r="O2076" s="9" t="s">
        <v>73</v>
      </c>
      <c r="P2076" s="12" t="s">
        <v>7214</v>
      </c>
      <c r="Q2076" s="9" t="s">
        <v>75</v>
      </c>
      <c r="R2076" s="14" t="str">
        <f>HYPERLINK("https://my.pitchbook.com?c=216121-69T","View Company Online")</f>
        <v>View Company Online</v>
      </c>
    </row>
    <row r="2077" spans="1:18" hidden="1" x14ac:dyDescent="0.3">
      <c r="A2077" s="15" t="s">
        <v>7215</v>
      </c>
      <c r="B2077" s="15" t="s">
        <v>7216</v>
      </c>
      <c r="C2077" s="18" t="s">
        <v>28</v>
      </c>
      <c r="D2077" s="15" t="s">
        <v>7217</v>
      </c>
      <c r="E2077" s="18" t="s">
        <v>28</v>
      </c>
      <c r="F2077" s="19" t="s">
        <v>28</v>
      </c>
      <c r="G2077" s="19" t="s">
        <v>28</v>
      </c>
      <c r="H2077" s="19" t="s">
        <v>28</v>
      </c>
      <c r="I2077" s="18" t="s">
        <v>28</v>
      </c>
      <c r="J2077" s="18" t="s">
        <v>28</v>
      </c>
      <c r="K2077" s="18" t="s">
        <v>28</v>
      </c>
      <c r="L2077" s="18" t="s">
        <v>28</v>
      </c>
      <c r="M2077" s="18" t="s">
        <v>28</v>
      </c>
      <c r="N2077" s="17">
        <v>44958</v>
      </c>
      <c r="O2077" s="15" t="s">
        <v>79</v>
      </c>
      <c r="P2077" s="16" t="s">
        <v>7218</v>
      </c>
      <c r="Q2077" s="15" t="s">
        <v>1191</v>
      </c>
      <c r="R2077" s="13" t="str">
        <f>HYPERLINK("https://my.pitchbook.com?c=215270-83T","View Company Online")</f>
        <v>View Company Online</v>
      </c>
    </row>
    <row r="2078" spans="1:18" hidden="1" x14ac:dyDescent="0.3">
      <c r="A2078" s="9" t="s">
        <v>7219</v>
      </c>
      <c r="B2078" s="9" t="s">
        <v>3095</v>
      </c>
      <c r="C2078" s="11" t="s">
        <v>28</v>
      </c>
      <c r="D2078" s="9" t="s">
        <v>3096</v>
      </c>
      <c r="E2078" s="11" t="s">
        <v>28</v>
      </c>
      <c r="F2078" s="10" t="s">
        <v>28</v>
      </c>
      <c r="G2078" s="10" t="s">
        <v>28</v>
      </c>
      <c r="H2078" s="10" t="s">
        <v>28</v>
      </c>
      <c r="I2078" s="11" t="s">
        <v>28</v>
      </c>
      <c r="J2078" s="11" t="s">
        <v>28</v>
      </c>
      <c r="K2078" s="11" t="s">
        <v>28</v>
      </c>
      <c r="L2078" s="11" t="s">
        <v>28</v>
      </c>
      <c r="M2078" s="11" t="s">
        <v>28</v>
      </c>
      <c r="N2078" s="8">
        <v>44958</v>
      </c>
      <c r="O2078" s="9" t="s">
        <v>79</v>
      </c>
      <c r="P2078" s="12" t="s">
        <v>4922</v>
      </c>
      <c r="Q2078" s="9" t="s">
        <v>404</v>
      </c>
      <c r="R2078" s="14" t="str">
        <f>HYPERLINK("https://my.pitchbook.com?c=244071-10T","View Company Online")</f>
        <v>View Company Online</v>
      </c>
    </row>
    <row r="2079" spans="1:18" hidden="1" x14ac:dyDescent="0.3">
      <c r="A2079" s="15" t="s">
        <v>7220</v>
      </c>
      <c r="B2079" s="15" t="s">
        <v>7221</v>
      </c>
      <c r="C2079" s="18" t="s">
        <v>28</v>
      </c>
      <c r="D2079" s="15" t="s">
        <v>7222</v>
      </c>
      <c r="E2079" s="18" t="s">
        <v>28</v>
      </c>
      <c r="F2079" s="19" t="s">
        <v>28</v>
      </c>
      <c r="G2079" s="19" t="s">
        <v>28</v>
      </c>
      <c r="H2079" s="19" t="s">
        <v>28</v>
      </c>
      <c r="I2079" s="18" t="s">
        <v>28</v>
      </c>
      <c r="J2079" s="18" t="s">
        <v>28</v>
      </c>
      <c r="K2079" s="18" t="s">
        <v>28</v>
      </c>
      <c r="L2079" s="18" t="s">
        <v>28</v>
      </c>
      <c r="M2079" s="18" t="s">
        <v>28</v>
      </c>
      <c r="N2079" s="17">
        <v>44958</v>
      </c>
      <c r="O2079" s="15" t="s">
        <v>52</v>
      </c>
      <c r="P2079" s="16" t="s">
        <v>2915</v>
      </c>
      <c r="Q2079" s="15" t="s">
        <v>1853</v>
      </c>
      <c r="R2079" s="13" t="str">
        <f>HYPERLINK("https://my.pitchbook.com?c=215548-03T","View Company Online")</f>
        <v>View Company Online</v>
      </c>
    </row>
    <row r="2080" spans="1:18" hidden="1" x14ac:dyDescent="0.3">
      <c r="A2080" s="9" t="s">
        <v>7223</v>
      </c>
      <c r="B2080" s="9" t="s">
        <v>7224</v>
      </c>
      <c r="C2080" s="11" t="s">
        <v>28</v>
      </c>
      <c r="D2080" s="9" t="s">
        <v>7225</v>
      </c>
      <c r="E2080" s="11" t="s">
        <v>28</v>
      </c>
      <c r="F2080" s="10" t="s">
        <v>28</v>
      </c>
      <c r="G2080" s="10" t="s">
        <v>28</v>
      </c>
      <c r="H2080" s="10" t="s">
        <v>28</v>
      </c>
      <c r="I2080" s="11" t="s">
        <v>28</v>
      </c>
      <c r="J2080" s="11" t="s">
        <v>28</v>
      </c>
      <c r="K2080" s="11" t="s">
        <v>28</v>
      </c>
      <c r="L2080" s="11" t="s">
        <v>28</v>
      </c>
      <c r="M2080" s="11" t="s">
        <v>28</v>
      </c>
      <c r="N2080" s="8">
        <v>44958</v>
      </c>
      <c r="O2080" s="9" t="s">
        <v>73</v>
      </c>
      <c r="P2080" s="12" t="s">
        <v>28</v>
      </c>
      <c r="Q2080" s="9" t="s">
        <v>1213</v>
      </c>
      <c r="R2080" s="14" t="str">
        <f>HYPERLINK("https://my.pitchbook.com?c=215827-66T","View Company Online")</f>
        <v>View Company Online</v>
      </c>
    </row>
    <row r="2081" spans="1:18" hidden="1" x14ac:dyDescent="0.3">
      <c r="A2081" s="15" t="s">
        <v>7226</v>
      </c>
      <c r="B2081" s="15" t="s">
        <v>7227</v>
      </c>
      <c r="C2081" s="18" t="s">
        <v>28</v>
      </c>
      <c r="D2081" s="15" t="s">
        <v>7228</v>
      </c>
      <c r="E2081" s="18" t="s">
        <v>28</v>
      </c>
      <c r="F2081" s="19" t="s">
        <v>28</v>
      </c>
      <c r="G2081" s="19" t="s">
        <v>28</v>
      </c>
      <c r="H2081" s="19" t="s">
        <v>28</v>
      </c>
      <c r="I2081" s="18" t="s">
        <v>28</v>
      </c>
      <c r="J2081" s="18" t="s">
        <v>28</v>
      </c>
      <c r="K2081" s="18" t="s">
        <v>28</v>
      </c>
      <c r="L2081" s="18" t="s">
        <v>28</v>
      </c>
      <c r="M2081" s="18" t="s">
        <v>28</v>
      </c>
      <c r="N2081" s="17">
        <v>44958</v>
      </c>
      <c r="O2081" s="15" t="s">
        <v>30</v>
      </c>
      <c r="P2081" s="16" t="s">
        <v>7229</v>
      </c>
      <c r="Q2081" s="15" t="s">
        <v>75</v>
      </c>
      <c r="R2081" s="13" t="str">
        <f>HYPERLINK("https://my.pitchbook.com?c=268646-23T","View Company Online")</f>
        <v>View Company Online</v>
      </c>
    </row>
    <row r="2082" spans="1:18" hidden="1" x14ac:dyDescent="0.3">
      <c r="A2082" s="9" t="s">
        <v>7230</v>
      </c>
      <c r="B2082" s="9" t="s">
        <v>7231</v>
      </c>
      <c r="C2082" s="11" t="s">
        <v>28</v>
      </c>
      <c r="D2082" s="9" t="s">
        <v>7232</v>
      </c>
      <c r="E2082" s="11" t="s">
        <v>28</v>
      </c>
      <c r="F2082" s="10" t="s">
        <v>28</v>
      </c>
      <c r="G2082" s="10" t="s">
        <v>28</v>
      </c>
      <c r="H2082" s="10" t="s">
        <v>28</v>
      </c>
      <c r="I2082" s="11" t="s">
        <v>28</v>
      </c>
      <c r="J2082" s="11" t="s">
        <v>28</v>
      </c>
      <c r="K2082" s="11" t="s">
        <v>28</v>
      </c>
      <c r="L2082" s="11" t="s">
        <v>28</v>
      </c>
      <c r="M2082" s="11" t="s">
        <v>28</v>
      </c>
      <c r="N2082" s="8">
        <v>44958</v>
      </c>
      <c r="O2082" s="9" t="s">
        <v>79</v>
      </c>
      <c r="P2082" s="12" t="s">
        <v>7233</v>
      </c>
      <c r="Q2082" s="9" t="s">
        <v>114</v>
      </c>
      <c r="R2082" s="14" t="str">
        <f>HYPERLINK("https://my.pitchbook.com?c=215510-95T","View Company Online")</f>
        <v>View Company Online</v>
      </c>
    </row>
    <row r="2083" spans="1:18" hidden="1" x14ac:dyDescent="0.3">
      <c r="A2083" s="15" t="s">
        <v>7234</v>
      </c>
      <c r="B2083" s="15" t="s">
        <v>7235</v>
      </c>
      <c r="C2083" s="18" t="s">
        <v>28</v>
      </c>
      <c r="D2083" s="15" t="s">
        <v>7236</v>
      </c>
      <c r="E2083" s="18" t="s">
        <v>28</v>
      </c>
      <c r="F2083" s="19" t="s">
        <v>28</v>
      </c>
      <c r="G2083" s="19" t="s">
        <v>28</v>
      </c>
      <c r="H2083" s="19" t="s">
        <v>28</v>
      </c>
      <c r="I2083" s="18" t="s">
        <v>28</v>
      </c>
      <c r="J2083" s="18" t="s">
        <v>28</v>
      </c>
      <c r="K2083" s="18" t="s">
        <v>28</v>
      </c>
      <c r="L2083" s="18" t="s">
        <v>28</v>
      </c>
      <c r="M2083" s="18" t="s">
        <v>28</v>
      </c>
      <c r="N2083" s="17">
        <v>44958</v>
      </c>
      <c r="O2083" s="15" t="s">
        <v>52</v>
      </c>
      <c r="P2083" s="16" t="s">
        <v>1970</v>
      </c>
      <c r="Q2083" s="15" t="s">
        <v>235</v>
      </c>
      <c r="R2083" s="13" t="str">
        <f>HYPERLINK("https://my.pitchbook.com?c=295737-13T","View Company Online")</f>
        <v>View Company Online</v>
      </c>
    </row>
    <row r="2084" spans="1:18" hidden="1" x14ac:dyDescent="0.3">
      <c r="A2084" s="9" t="s">
        <v>7237</v>
      </c>
      <c r="B2084" s="9" t="s">
        <v>7238</v>
      </c>
      <c r="C2084" s="11" t="s">
        <v>28</v>
      </c>
      <c r="D2084" s="9" t="s">
        <v>7239</v>
      </c>
      <c r="E2084" s="11" t="s">
        <v>28</v>
      </c>
      <c r="F2084" s="10" t="s">
        <v>28</v>
      </c>
      <c r="G2084" s="10" t="s">
        <v>28</v>
      </c>
      <c r="H2084" s="10" t="s">
        <v>28</v>
      </c>
      <c r="I2084" s="11" t="s">
        <v>28</v>
      </c>
      <c r="J2084" s="11" t="s">
        <v>28</v>
      </c>
      <c r="K2084" s="11" t="s">
        <v>28</v>
      </c>
      <c r="L2084" s="11" t="s">
        <v>28</v>
      </c>
      <c r="M2084" s="11" t="s">
        <v>28</v>
      </c>
      <c r="N2084" s="8">
        <v>44958</v>
      </c>
      <c r="O2084" s="9" t="s">
        <v>79</v>
      </c>
      <c r="P2084" s="12" t="s">
        <v>7240</v>
      </c>
      <c r="Q2084" s="9" t="s">
        <v>583</v>
      </c>
      <c r="R2084" s="14" t="str">
        <f>HYPERLINK("https://my.pitchbook.com?c=215535-25T","View Company Online")</f>
        <v>View Company Online</v>
      </c>
    </row>
    <row r="2085" spans="1:18" hidden="1" x14ac:dyDescent="0.3">
      <c r="A2085" s="15" t="s">
        <v>7241</v>
      </c>
      <c r="B2085" s="15" t="s">
        <v>7242</v>
      </c>
      <c r="C2085" s="18" t="s">
        <v>28</v>
      </c>
      <c r="D2085" s="15" t="s">
        <v>7243</v>
      </c>
      <c r="E2085" s="18" t="s">
        <v>28</v>
      </c>
      <c r="F2085" s="19" t="s">
        <v>28</v>
      </c>
      <c r="G2085" s="19" t="s">
        <v>28</v>
      </c>
      <c r="H2085" s="19" t="s">
        <v>28</v>
      </c>
      <c r="I2085" s="18" t="s">
        <v>28</v>
      </c>
      <c r="J2085" s="18" t="s">
        <v>28</v>
      </c>
      <c r="K2085" s="18" t="s">
        <v>28</v>
      </c>
      <c r="L2085" s="18" t="s">
        <v>28</v>
      </c>
      <c r="M2085" s="18" t="s">
        <v>28</v>
      </c>
      <c r="N2085" s="17">
        <v>44958</v>
      </c>
      <c r="O2085" s="15" t="s">
        <v>52</v>
      </c>
      <c r="P2085" s="16" t="s">
        <v>1970</v>
      </c>
      <c r="Q2085" s="15" t="s">
        <v>37</v>
      </c>
      <c r="R2085" s="13" t="str">
        <f>HYPERLINK("https://my.pitchbook.com?c=291990-88T","View Company Online")</f>
        <v>View Company Online</v>
      </c>
    </row>
    <row r="2086" spans="1:18" hidden="1" x14ac:dyDescent="0.3">
      <c r="A2086" s="9" t="s">
        <v>7244</v>
      </c>
      <c r="B2086" s="9" t="s">
        <v>7245</v>
      </c>
      <c r="C2086" s="11" t="s">
        <v>28</v>
      </c>
      <c r="D2086" s="9" t="s">
        <v>7246</v>
      </c>
      <c r="E2086" s="11" t="s">
        <v>28</v>
      </c>
      <c r="F2086" s="10" t="s">
        <v>28</v>
      </c>
      <c r="G2086" s="10" t="s">
        <v>28</v>
      </c>
      <c r="H2086" s="10" t="s">
        <v>28</v>
      </c>
      <c r="I2086" s="11" t="s">
        <v>28</v>
      </c>
      <c r="J2086" s="11" t="s">
        <v>28</v>
      </c>
      <c r="K2086" s="11" t="s">
        <v>28</v>
      </c>
      <c r="L2086" s="11" t="s">
        <v>28</v>
      </c>
      <c r="M2086" s="11" t="s">
        <v>28</v>
      </c>
      <c r="N2086" s="8">
        <v>44958</v>
      </c>
      <c r="O2086" s="9" t="s">
        <v>79</v>
      </c>
      <c r="P2086" s="12" t="s">
        <v>7108</v>
      </c>
      <c r="Q2086" s="9" t="s">
        <v>43</v>
      </c>
      <c r="R2086" s="14" t="str">
        <f>HYPERLINK("https://my.pitchbook.com?c=215340-76T","View Company Online")</f>
        <v>View Company Online</v>
      </c>
    </row>
    <row r="2087" spans="1:18" hidden="1" x14ac:dyDescent="0.3">
      <c r="A2087" s="15" t="s">
        <v>7247</v>
      </c>
      <c r="B2087" s="15" t="s">
        <v>7248</v>
      </c>
      <c r="C2087" s="18" t="s">
        <v>28</v>
      </c>
      <c r="D2087" s="15" t="s">
        <v>7249</v>
      </c>
      <c r="E2087" s="18" t="s">
        <v>28</v>
      </c>
      <c r="F2087" s="19" t="s">
        <v>28</v>
      </c>
      <c r="G2087" s="19" t="s">
        <v>28</v>
      </c>
      <c r="H2087" s="19" t="s">
        <v>28</v>
      </c>
      <c r="I2087" s="18" t="s">
        <v>28</v>
      </c>
      <c r="J2087" s="18" t="s">
        <v>28</v>
      </c>
      <c r="K2087" s="18" t="s">
        <v>28</v>
      </c>
      <c r="L2087" s="18" t="s">
        <v>28</v>
      </c>
      <c r="M2087" s="18" t="s">
        <v>28</v>
      </c>
      <c r="N2087" s="17">
        <v>44958</v>
      </c>
      <c r="O2087" s="15" t="s">
        <v>379</v>
      </c>
      <c r="P2087" s="16" t="s">
        <v>4286</v>
      </c>
      <c r="Q2087" s="15" t="s">
        <v>75</v>
      </c>
      <c r="R2087" s="13" t="str">
        <f>HYPERLINK("https://my.pitchbook.com?c=215959-69T","View Company Online")</f>
        <v>View Company Online</v>
      </c>
    </row>
    <row r="2088" spans="1:18" hidden="1" x14ac:dyDescent="0.3">
      <c r="A2088" s="9" t="s">
        <v>7250</v>
      </c>
      <c r="B2088" s="9" t="s">
        <v>7251</v>
      </c>
      <c r="C2088" s="11" t="s">
        <v>28</v>
      </c>
      <c r="D2088" s="9" t="s">
        <v>7252</v>
      </c>
      <c r="E2088" s="11" t="s">
        <v>28</v>
      </c>
      <c r="F2088" s="10" t="s">
        <v>28</v>
      </c>
      <c r="G2088" s="10" t="s">
        <v>28</v>
      </c>
      <c r="H2088" s="10" t="s">
        <v>28</v>
      </c>
      <c r="I2088" s="11" t="s">
        <v>28</v>
      </c>
      <c r="J2088" s="11" t="s">
        <v>28</v>
      </c>
      <c r="K2088" s="11" t="s">
        <v>28</v>
      </c>
      <c r="L2088" s="11" t="s">
        <v>28</v>
      </c>
      <c r="M2088" s="11" t="s">
        <v>28</v>
      </c>
      <c r="N2088" s="8">
        <v>44958</v>
      </c>
      <c r="O2088" s="9" t="s">
        <v>79</v>
      </c>
      <c r="P2088" s="12" t="s">
        <v>7253</v>
      </c>
      <c r="Q2088" s="9" t="s">
        <v>1213</v>
      </c>
      <c r="R2088" s="14" t="str">
        <f>HYPERLINK("https://my.pitchbook.com?c=298509-40T","View Company Online")</f>
        <v>View Company Online</v>
      </c>
    </row>
    <row r="2089" spans="1:18" hidden="1" x14ac:dyDescent="0.3">
      <c r="A2089" s="15" t="s">
        <v>7254</v>
      </c>
      <c r="B2089" s="15" t="s">
        <v>7255</v>
      </c>
      <c r="C2089" s="18" t="s">
        <v>28</v>
      </c>
      <c r="D2089" s="15" t="s">
        <v>7256</v>
      </c>
      <c r="E2089" s="18" t="s">
        <v>28</v>
      </c>
      <c r="F2089" s="19" t="s">
        <v>28</v>
      </c>
      <c r="G2089" s="19" t="s">
        <v>28</v>
      </c>
      <c r="H2089" s="19" t="s">
        <v>28</v>
      </c>
      <c r="I2089" s="18" t="s">
        <v>28</v>
      </c>
      <c r="J2089" s="18" t="s">
        <v>28</v>
      </c>
      <c r="K2089" s="18">
        <v>1.1000000000000001</v>
      </c>
      <c r="L2089" s="18" t="s">
        <v>28</v>
      </c>
      <c r="M2089" s="18" t="s">
        <v>28</v>
      </c>
      <c r="N2089" s="17">
        <v>44958</v>
      </c>
      <c r="O2089" s="15" t="s">
        <v>79</v>
      </c>
      <c r="P2089" s="16" t="s">
        <v>7257</v>
      </c>
      <c r="Q2089" s="15" t="s">
        <v>75</v>
      </c>
      <c r="R2089" s="13" t="str">
        <f>HYPERLINK("https://my.pitchbook.com?c=215857-36T","View Company Online")</f>
        <v>View Company Online</v>
      </c>
    </row>
    <row r="2090" spans="1:18" hidden="1" x14ac:dyDescent="0.3">
      <c r="A2090" s="9" t="s">
        <v>7258</v>
      </c>
      <c r="B2090" s="9" t="s">
        <v>7259</v>
      </c>
      <c r="C2090" s="11" t="s">
        <v>28</v>
      </c>
      <c r="D2090" s="9" t="s">
        <v>7260</v>
      </c>
      <c r="E2090" s="11" t="s">
        <v>28</v>
      </c>
      <c r="F2090" s="10" t="s">
        <v>28</v>
      </c>
      <c r="G2090" s="10" t="s">
        <v>28</v>
      </c>
      <c r="H2090" s="10" t="s">
        <v>28</v>
      </c>
      <c r="I2090" s="11" t="s">
        <v>28</v>
      </c>
      <c r="J2090" s="11" t="s">
        <v>28</v>
      </c>
      <c r="K2090" s="11" t="s">
        <v>28</v>
      </c>
      <c r="L2090" s="11" t="s">
        <v>28</v>
      </c>
      <c r="M2090" s="11" t="s">
        <v>28</v>
      </c>
      <c r="N2090" s="8">
        <v>44958</v>
      </c>
      <c r="O2090" s="9" t="s">
        <v>52</v>
      </c>
      <c r="P2090" s="12" t="s">
        <v>1970</v>
      </c>
      <c r="Q2090" s="9" t="s">
        <v>7261</v>
      </c>
      <c r="R2090" s="14" t="str">
        <f>HYPERLINK("https://my.pitchbook.com?c=295797-43T","View Company Online")</f>
        <v>View Company Online</v>
      </c>
    </row>
    <row r="2091" spans="1:18" hidden="1" x14ac:dyDescent="0.3">
      <c r="A2091" s="15" t="s">
        <v>7262</v>
      </c>
      <c r="B2091" s="15" t="s">
        <v>7263</v>
      </c>
      <c r="C2091" s="18" t="s">
        <v>28</v>
      </c>
      <c r="D2091" s="15" t="s">
        <v>7264</v>
      </c>
      <c r="E2091" s="18" t="s">
        <v>28</v>
      </c>
      <c r="F2091" s="19" t="s">
        <v>28</v>
      </c>
      <c r="G2091" s="19" t="s">
        <v>28</v>
      </c>
      <c r="H2091" s="19" t="s">
        <v>28</v>
      </c>
      <c r="I2091" s="18" t="s">
        <v>28</v>
      </c>
      <c r="J2091" s="18" t="s">
        <v>28</v>
      </c>
      <c r="K2091" s="18" t="s">
        <v>28</v>
      </c>
      <c r="L2091" s="18" t="s">
        <v>28</v>
      </c>
      <c r="M2091" s="18" t="s">
        <v>28</v>
      </c>
      <c r="N2091" s="17">
        <v>44958</v>
      </c>
      <c r="O2091" s="15" t="s">
        <v>79</v>
      </c>
      <c r="P2091" s="16" t="s">
        <v>7265</v>
      </c>
      <c r="Q2091" s="15" t="s">
        <v>1035</v>
      </c>
      <c r="R2091" s="13" t="str">
        <f>HYPERLINK("https://my.pitchbook.com?c=215497-63T","View Company Online")</f>
        <v>View Company Online</v>
      </c>
    </row>
    <row r="2092" spans="1:18" hidden="1" x14ac:dyDescent="0.3">
      <c r="A2092" s="9" t="s">
        <v>7266</v>
      </c>
      <c r="B2092" s="9" t="s">
        <v>7267</v>
      </c>
      <c r="C2092" s="11" t="s">
        <v>28</v>
      </c>
      <c r="D2092" s="9" t="s">
        <v>7268</v>
      </c>
      <c r="E2092" s="11" t="s">
        <v>28</v>
      </c>
      <c r="F2092" s="10" t="s">
        <v>28</v>
      </c>
      <c r="G2092" s="10" t="s">
        <v>28</v>
      </c>
      <c r="H2092" s="10" t="s">
        <v>28</v>
      </c>
      <c r="I2092" s="11" t="s">
        <v>28</v>
      </c>
      <c r="J2092" s="11" t="s">
        <v>28</v>
      </c>
      <c r="K2092" s="11" t="s">
        <v>28</v>
      </c>
      <c r="L2092" s="11" t="s">
        <v>28</v>
      </c>
      <c r="M2092" s="11" t="s">
        <v>28</v>
      </c>
      <c r="N2092" s="8">
        <v>44958</v>
      </c>
      <c r="O2092" s="9" t="s">
        <v>79</v>
      </c>
      <c r="P2092" s="12" t="s">
        <v>4148</v>
      </c>
      <c r="Q2092" s="9" t="s">
        <v>75</v>
      </c>
      <c r="R2092" s="14" t="str">
        <f>HYPERLINK("https://my.pitchbook.com?c=215847-64T","View Company Online")</f>
        <v>View Company Online</v>
      </c>
    </row>
    <row r="2093" spans="1:18" hidden="1" x14ac:dyDescent="0.3">
      <c r="A2093" s="15" t="s">
        <v>7269</v>
      </c>
      <c r="B2093" s="15" t="s">
        <v>7270</v>
      </c>
      <c r="C2093" s="18" t="s">
        <v>28</v>
      </c>
      <c r="D2093" s="15" t="s">
        <v>7271</v>
      </c>
      <c r="E2093" s="18" t="s">
        <v>28</v>
      </c>
      <c r="F2093" s="19" t="s">
        <v>28</v>
      </c>
      <c r="G2093" s="19" t="s">
        <v>28</v>
      </c>
      <c r="H2093" s="19" t="s">
        <v>28</v>
      </c>
      <c r="I2093" s="18" t="s">
        <v>28</v>
      </c>
      <c r="J2093" s="18" t="s">
        <v>28</v>
      </c>
      <c r="K2093" s="18" t="s">
        <v>28</v>
      </c>
      <c r="L2093" s="18" t="s">
        <v>28</v>
      </c>
      <c r="M2093" s="18" t="s">
        <v>28</v>
      </c>
      <c r="N2093" s="17">
        <v>44958</v>
      </c>
      <c r="O2093" s="15" t="s">
        <v>379</v>
      </c>
      <c r="P2093" s="16" t="s">
        <v>5324</v>
      </c>
      <c r="Q2093" s="15" t="s">
        <v>566</v>
      </c>
      <c r="R2093" s="13" t="str">
        <f>HYPERLINK("https://my.pitchbook.com?c=215610-04T","View Company Online")</f>
        <v>View Company Online</v>
      </c>
    </row>
    <row r="2094" spans="1:18" hidden="1" x14ac:dyDescent="0.3">
      <c r="A2094" s="9" t="s">
        <v>7272</v>
      </c>
      <c r="B2094" s="9" t="s">
        <v>7273</v>
      </c>
      <c r="C2094" s="11" t="s">
        <v>28</v>
      </c>
      <c r="D2094" s="9" t="s">
        <v>7274</v>
      </c>
      <c r="E2094" s="11" t="s">
        <v>28</v>
      </c>
      <c r="F2094" s="10" t="s">
        <v>28</v>
      </c>
      <c r="G2094" s="10" t="s">
        <v>28</v>
      </c>
      <c r="H2094" s="10" t="s">
        <v>28</v>
      </c>
      <c r="I2094" s="11" t="s">
        <v>28</v>
      </c>
      <c r="J2094" s="11" t="s">
        <v>28</v>
      </c>
      <c r="K2094" s="11" t="s">
        <v>28</v>
      </c>
      <c r="L2094" s="11" t="s">
        <v>28</v>
      </c>
      <c r="M2094" s="11" t="s">
        <v>28</v>
      </c>
      <c r="N2094" s="8">
        <v>44958</v>
      </c>
      <c r="O2094" s="9" t="s">
        <v>79</v>
      </c>
      <c r="P2094" s="12" t="s">
        <v>6834</v>
      </c>
      <c r="Q2094" s="9" t="s">
        <v>75</v>
      </c>
      <c r="R2094" s="14" t="str">
        <f>HYPERLINK("https://my.pitchbook.com?c=215839-81T","View Company Online")</f>
        <v>View Company Online</v>
      </c>
    </row>
    <row r="2095" spans="1:18" hidden="1" x14ac:dyDescent="0.3">
      <c r="A2095" s="15" t="s">
        <v>7275</v>
      </c>
      <c r="B2095" s="15" t="s">
        <v>7276</v>
      </c>
      <c r="C2095" s="18" t="s">
        <v>28</v>
      </c>
      <c r="D2095" s="15" t="s">
        <v>7277</v>
      </c>
      <c r="E2095" s="18" t="s">
        <v>28</v>
      </c>
      <c r="F2095" s="19" t="s">
        <v>28</v>
      </c>
      <c r="G2095" s="19" t="s">
        <v>28</v>
      </c>
      <c r="H2095" s="19" t="s">
        <v>28</v>
      </c>
      <c r="I2095" s="18" t="s">
        <v>28</v>
      </c>
      <c r="J2095" s="18" t="s">
        <v>28</v>
      </c>
      <c r="K2095" s="18" t="s">
        <v>28</v>
      </c>
      <c r="L2095" s="18" t="s">
        <v>28</v>
      </c>
      <c r="M2095" s="18" t="s">
        <v>28</v>
      </c>
      <c r="N2095" s="17">
        <v>44958</v>
      </c>
      <c r="O2095" s="15" t="s">
        <v>52</v>
      </c>
      <c r="P2095" s="16" t="s">
        <v>1970</v>
      </c>
      <c r="Q2095" s="15" t="s">
        <v>245</v>
      </c>
      <c r="R2095" s="13" t="str">
        <f>HYPERLINK("https://my.pitchbook.com?c=265637-17T","View Company Online")</f>
        <v>View Company Online</v>
      </c>
    </row>
    <row r="2096" spans="1:18" hidden="1" x14ac:dyDescent="0.3">
      <c r="A2096" s="9" t="s">
        <v>7278</v>
      </c>
      <c r="B2096" s="9" t="s">
        <v>7279</v>
      </c>
      <c r="C2096" s="11" t="s">
        <v>28</v>
      </c>
      <c r="D2096" s="9" t="s">
        <v>7280</v>
      </c>
      <c r="E2096" s="11" t="s">
        <v>28</v>
      </c>
      <c r="F2096" s="10" t="s">
        <v>28</v>
      </c>
      <c r="G2096" s="10" t="s">
        <v>28</v>
      </c>
      <c r="H2096" s="10" t="s">
        <v>28</v>
      </c>
      <c r="I2096" s="11" t="s">
        <v>28</v>
      </c>
      <c r="J2096" s="11" t="s">
        <v>28</v>
      </c>
      <c r="K2096" s="11" t="s">
        <v>28</v>
      </c>
      <c r="L2096" s="11" t="s">
        <v>28</v>
      </c>
      <c r="M2096" s="11" t="s">
        <v>28</v>
      </c>
      <c r="N2096" s="8">
        <v>44958</v>
      </c>
      <c r="O2096" s="9" t="s">
        <v>79</v>
      </c>
      <c r="P2096" s="12" t="s">
        <v>7171</v>
      </c>
      <c r="Q2096" s="9" t="s">
        <v>114</v>
      </c>
      <c r="R2096" s="14" t="str">
        <f>HYPERLINK("https://my.pitchbook.com?c=215634-61T","View Company Online")</f>
        <v>View Company Online</v>
      </c>
    </row>
    <row r="2097" spans="1:18" hidden="1" x14ac:dyDescent="0.3">
      <c r="A2097" s="15" t="s">
        <v>7281</v>
      </c>
      <c r="B2097" s="15" t="s">
        <v>7282</v>
      </c>
      <c r="C2097" s="18" t="s">
        <v>28</v>
      </c>
      <c r="D2097" s="15" t="s">
        <v>7283</v>
      </c>
      <c r="E2097" s="18" t="s">
        <v>28</v>
      </c>
      <c r="F2097" s="19">
        <v>165</v>
      </c>
      <c r="G2097" s="19">
        <v>165</v>
      </c>
      <c r="H2097" s="19">
        <v>165</v>
      </c>
      <c r="I2097" s="18" t="s">
        <v>28</v>
      </c>
      <c r="J2097" s="18" t="s">
        <v>28</v>
      </c>
      <c r="K2097" s="18" t="s">
        <v>28</v>
      </c>
      <c r="L2097" s="18" t="s">
        <v>28</v>
      </c>
      <c r="M2097" s="18" t="s">
        <v>28</v>
      </c>
      <c r="N2097" s="17">
        <v>44958</v>
      </c>
      <c r="O2097" s="15" t="s">
        <v>30</v>
      </c>
      <c r="P2097" s="16" t="s">
        <v>7284</v>
      </c>
      <c r="Q2097" s="15" t="s">
        <v>1144</v>
      </c>
      <c r="R2097" s="13" t="str">
        <f>HYPERLINK("https://my.pitchbook.com?c=208936-09T","View Company Online")</f>
        <v>View Company Online</v>
      </c>
    </row>
    <row r="2098" spans="1:18" hidden="1" x14ac:dyDescent="0.3">
      <c r="A2098" s="9" t="s">
        <v>7285</v>
      </c>
      <c r="B2098" s="9" t="s">
        <v>7286</v>
      </c>
      <c r="C2098" s="11" t="s">
        <v>28</v>
      </c>
      <c r="D2098" s="9" t="s">
        <v>7287</v>
      </c>
      <c r="E2098" s="11" t="s">
        <v>28</v>
      </c>
      <c r="F2098" s="10" t="s">
        <v>28</v>
      </c>
      <c r="G2098" s="10" t="s">
        <v>28</v>
      </c>
      <c r="H2098" s="10" t="s">
        <v>28</v>
      </c>
      <c r="I2098" s="11" t="s">
        <v>28</v>
      </c>
      <c r="J2098" s="11" t="s">
        <v>28</v>
      </c>
      <c r="K2098" s="11" t="s">
        <v>28</v>
      </c>
      <c r="L2098" s="11" t="s">
        <v>28</v>
      </c>
      <c r="M2098" s="11" t="s">
        <v>28</v>
      </c>
      <c r="N2098" s="8">
        <v>44958</v>
      </c>
      <c r="O2098" s="9" t="s">
        <v>52</v>
      </c>
      <c r="P2098" s="12" t="s">
        <v>2915</v>
      </c>
      <c r="Q2098" s="9" t="s">
        <v>119</v>
      </c>
      <c r="R2098" s="14" t="str">
        <f>HYPERLINK("https://my.pitchbook.com?c=215555-05T","View Company Online")</f>
        <v>View Company Online</v>
      </c>
    </row>
    <row r="2099" spans="1:18" hidden="1" x14ac:dyDescent="0.3">
      <c r="A2099" s="15" t="s">
        <v>7288</v>
      </c>
      <c r="B2099" s="15" t="s">
        <v>7289</v>
      </c>
      <c r="C2099" s="18" t="s">
        <v>28</v>
      </c>
      <c r="D2099" s="15" t="s">
        <v>7290</v>
      </c>
      <c r="E2099" s="18" t="s">
        <v>28</v>
      </c>
      <c r="F2099" s="19" t="s">
        <v>28</v>
      </c>
      <c r="G2099" s="19" t="s">
        <v>28</v>
      </c>
      <c r="H2099" s="19" t="s">
        <v>28</v>
      </c>
      <c r="I2099" s="18" t="s">
        <v>28</v>
      </c>
      <c r="J2099" s="18" t="s">
        <v>28</v>
      </c>
      <c r="K2099" s="18" t="s">
        <v>28</v>
      </c>
      <c r="L2099" s="18" t="s">
        <v>28</v>
      </c>
      <c r="M2099" s="18" t="s">
        <v>28</v>
      </c>
      <c r="N2099" s="17">
        <v>44958</v>
      </c>
      <c r="O2099" s="15" t="s">
        <v>79</v>
      </c>
      <c r="P2099" s="16" t="s">
        <v>7291</v>
      </c>
      <c r="Q2099" s="15" t="s">
        <v>404</v>
      </c>
      <c r="R2099" s="13" t="str">
        <f>HYPERLINK("https://my.pitchbook.com?c=215722-99T","View Company Online")</f>
        <v>View Company Online</v>
      </c>
    </row>
    <row r="2100" spans="1:18" hidden="1" x14ac:dyDescent="0.3">
      <c r="A2100" s="9" t="s">
        <v>7292</v>
      </c>
      <c r="B2100" s="9" t="s">
        <v>7293</v>
      </c>
      <c r="C2100" s="11" t="s">
        <v>28</v>
      </c>
      <c r="D2100" s="9" t="s">
        <v>7294</v>
      </c>
      <c r="E2100" s="11" t="s">
        <v>28</v>
      </c>
      <c r="F2100" s="10" t="s">
        <v>28</v>
      </c>
      <c r="G2100" s="10" t="s">
        <v>28</v>
      </c>
      <c r="H2100" s="10" t="s">
        <v>28</v>
      </c>
      <c r="I2100" s="11" t="s">
        <v>28</v>
      </c>
      <c r="J2100" s="11" t="s">
        <v>28</v>
      </c>
      <c r="K2100" s="11" t="s">
        <v>28</v>
      </c>
      <c r="L2100" s="11" t="s">
        <v>28</v>
      </c>
      <c r="M2100" s="11" t="s">
        <v>28</v>
      </c>
      <c r="N2100" s="8">
        <v>44958</v>
      </c>
      <c r="O2100" s="9" t="s">
        <v>52</v>
      </c>
      <c r="P2100" s="12" t="s">
        <v>1970</v>
      </c>
      <c r="Q2100" s="9" t="s">
        <v>245</v>
      </c>
      <c r="R2100" s="14" t="str">
        <f>HYPERLINK("https://my.pitchbook.com?c=295500-79T","View Company Online")</f>
        <v>View Company Online</v>
      </c>
    </row>
    <row r="2101" spans="1:18" hidden="1" x14ac:dyDescent="0.3">
      <c r="A2101" s="15" t="s">
        <v>7295</v>
      </c>
      <c r="B2101" s="15" t="s">
        <v>7296</v>
      </c>
      <c r="C2101" s="18" t="s">
        <v>28</v>
      </c>
      <c r="D2101" s="15" t="s">
        <v>7297</v>
      </c>
      <c r="E2101" s="18" t="s">
        <v>28</v>
      </c>
      <c r="F2101" s="19" t="s">
        <v>28</v>
      </c>
      <c r="G2101" s="19" t="s">
        <v>28</v>
      </c>
      <c r="H2101" s="19" t="s">
        <v>28</v>
      </c>
      <c r="I2101" s="18" t="s">
        <v>28</v>
      </c>
      <c r="J2101" s="18" t="s">
        <v>28</v>
      </c>
      <c r="K2101" s="18" t="s">
        <v>28</v>
      </c>
      <c r="L2101" s="18" t="s">
        <v>28</v>
      </c>
      <c r="M2101" s="18" t="s">
        <v>28</v>
      </c>
      <c r="N2101" s="17">
        <v>44958</v>
      </c>
      <c r="O2101" s="15" t="s">
        <v>52</v>
      </c>
      <c r="P2101" s="16" t="s">
        <v>1970</v>
      </c>
      <c r="Q2101" s="15" t="s">
        <v>75</v>
      </c>
      <c r="R2101" s="13" t="str">
        <f>HYPERLINK("https://my.pitchbook.com?c=295926-04T","View Company Online")</f>
        <v>View Company Online</v>
      </c>
    </row>
    <row r="2102" spans="1:18" hidden="1" x14ac:dyDescent="0.3">
      <c r="A2102" s="9" t="s">
        <v>7298</v>
      </c>
      <c r="B2102" s="9" t="s">
        <v>7299</v>
      </c>
      <c r="C2102" s="11" t="s">
        <v>28</v>
      </c>
      <c r="D2102" s="9" t="s">
        <v>7300</v>
      </c>
      <c r="E2102" s="11" t="s">
        <v>28</v>
      </c>
      <c r="F2102" s="10" t="s">
        <v>28</v>
      </c>
      <c r="G2102" s="10" t="s">
        <v>28</v>
      </c>
      <c r="H2102" s="10" t="s">
        <v>28</v>
      </c>
      <c r="I2102" s="11" t="s">
        <v>28</v>
      </c>
      <c r="J2102" s="11" t="s">
        <v>28</v>
      </c>
      <c r="K2102" s="11" t="s">
        <v>28</v>
      </c>
      <c r="L2102" s="11" t="s">
        <v>28</v>
      </c>
      <c r="M2102" s="11" t="s">
        <v>28</v>
      </c>
      <c r="N2102" s="8">
        <v>44958</v>
      </c>
      <c r="O2102" s="9" t="s">
        <v>79</v>
      </c>
      <c r="P2102" s="12" t="s">
        <v>7098</v>
      </c>
      <c r="Q2102" s="9" t="s">
        <v>114</v>
      </c>
      <c r="R2102" s="14" t="str">
        <f>HYPERLINK("https://my.pitchbook.com?c=215644-87T","View Company Online")</f>
        <v>View Company Online</v>
      </c>
    </row>
    <row r="2103" spans="1:18" hidden="1" x14ac:dyDescent="0.3">
      <c r="A2103" s="15" t="s">
        <v>7301</v>
      </c>
      <c r="B2103" s="15" t="s">
        <v>7302</v>
      </c>
      <c r="C2103" s="18" t="s">
        <v>28</v>
      </c>
      <c r="D2103" s="15" t="s">
        <v>7303</v>
      </c>
      <c r="E2103" s="18" t="s">
        <v>28</v>
      </c>
      <c r="F2103" s="19" t="s">
        <v>28</v>
      </c>
      <c r="G2103" s="19">
        <v>0.96</v>
      </c>
      <c r="H2103" s="19">
        <v>4.82</v>
      </c>
      <c r="I2103" s="18" t="s">
        <v>28</v>
      </c>
      <c r="J2103" s="18" t="s">
        <v>28</v>
      </c>
      <c r="K2103" s="18" t="s">
        <v>28</v>
      </c>
      <c r="L2103" s="18" t="s">
        <v>28</v>
      </c>
      <c r="M2103" s="18" t="s">
        <v>28</v>
      </c>
      <c r="N2103" s="17">
        <v>44958</v>
      </c>
      <c r="O2103" s="15" t="s">
        <v>58</v>
      </c>
      <c r="P2103" s="16" t="s">
        <v>7304</v>
      </c>
      <c r="Q2103" s="15" t="s">
        <v>75</v>
      </c>
      <c r="R2103" s="13" t="str">
        <f>HYPERLINK("https://my.pitchbook.com?c=219785-23T","View Company Online")</f>
        <v>View Company Online</v>
      </c>
    </row>
    <row r="2104" spans="1:18" hidden="1" x14ac:dyDescent="0.3">
      <c r="A2104" s="9" t="s">
        <v>7305</v>
      </c>
      <c r="B2104" s="9" t="s">
        <v>7306</v>
      </c>
      <c r="C2104" s="11" t="s">
        <v>28</v>
      </c>
      <c r="D2104" s="9" t="s">
        <v>7307</v>
      </c>
      <c r="E2104" s="11" t="s">
        <v>28</v>
      </c>
      <c r="F2104" s="10" t="s">
        <v>28</v>
      </c>
      <c r="G2104" s="10" t="s">
        <v>28</v>
      </c>
      <c r="H2104" s="10" t="s">
        <v>28</v>
      </c>
      <c r="I2104" s="11" t="s">
        <v>28</v>
      </c>
      <c r="J2104" s="11" t="s">
        <v>28</v>
      </c>
      <c r="K2104" s="11" t="s">
        <v>28</v>
      </c>
      <c r="L2104" s="11" t="s">
        <v>28</v>
      </c>
      <c r="M2104" s="11" t="s">
        <v>28</v>
      </c>
      <c r="N2104" s="8">
        <v>44958</v>
      </c>
      <c r="O2104" s="9" t="s">
        <v>93</v>
      </c>
      <c r="P2104" s="12" t="s">
        <v>7308</v>
      </c>
      <c r="Q2104" s="9" t="s">
        <v>696</v>
      </c>
      <c r="R2104" s="14" t="str">
        <f>HYPERLINK("https://my.pitchbook.com?c=216007-84T","View Company Online")</f>
        <v>View Company Online</v>
      </c>
    </row>
    <row r="2105" spans="1:18" hidden="1" x14ac:dyDescent="0.3">
      <c r="A2105" s="15" t="s">
        <v>7309</v>
      </c>
      <c r="B2105" s="15" t="s">
        <v>7310</v>
      </c>
      <c r="C2105" s="18" t="s">
        <v>28</v>
      </c>
      <c r="D2105" s="15" t="s">
        <v>7311</v>
      </c>
      <c r="E2105" s="18" t="s">
        <v>28</v>
      </c>
      <c r="F2105" s="19" t="s">
        <v>28</v>
      </c>
      <c r="G2105" s="19" t="s">
        <v>28</v>
      </c>
      <c r="H2105" s="19" t="s">
        <v>28</v>
      </c>
      <c r="I2105" s="18" t="s">
        <v>28</v>
      </c>
      <c r="J2105" s="18" t="s">
        <v>28</v>
      </c>
      <c r="K2105" s="18" t="s">
        <v>28</v>
      </c>
      <c r="L2105" s="18" t="s">
        <v>28</v>
      </c>
      <c r="M2105" s="18" t="s">
        <v>28</v>
      </c>
      <c r="N2105" s="17">
        <v>44958</v>
      </c>
      <c r="O2105" s="15" t="s">
        <v>73</v>
      </c>
      <c r="P2105" s="16" t="s">
        <v>806</v>
      </c>
      <c r="Q2105" s="15" t="s">
        <v>235</v>
      </c>
      <c r="R2105" s="13" t="str">
        <f>HYPERLINK("https://my.pitchbook.com?c=215631-37T","View Company Online")</f>
        <v>View Company Online</v>
      </c>
    </row>
    <row r="2106" spans="1:18" hidden="1" x14ac:dyDescent="0.3">
      <c r="A2106" s="9" t="s">
        <v>7312</v>
      </c>
      <c r="B2106" s="9" t="s">
        <v>7313</v>
      </c>
      <c r="C2106" s="11" t="s">
        <v>28</v>
      </c>
      <c r="D2106" s="9" t="s">
        <v>7314</v>
      </c>
      <c r="E2106" s="11" t="s">
        <v>28</v>
      </c>
      <c r="F2106" s="10" t="s">
        <v>28</v>
      </c>
      <c r="G2106" s="10" t="s">
        <v>28</v>
      </c>
      <c r="H2106" s="10" t="s">
        <v>28</v>
      </c>
      <c r="I2106" s="11" t="s">
        <v>28</v>
      </c>
      <c r="J2106" s="11" t="s">
        <v>28</v>
      </c>
      <c r="K2106" s="11" t="s">
        <v>28</v>
      </c>
      <c r="L2106" s="11" t="s">
        <v>28</v>
      </c>
      <c r="M2106" s="11" t="s">
        <v>28</v>
      </c>
      <c r="N2106" s="8">
        <v>44958</v>
      </c>
      <c r="O2106" s="9" t="s">
        <v>79</v>
      </c>
      <c r="P2106" s="12" t="s">
        <v>7098</v>
      </c>
      <c r="Q2106" s="9" t="s">
        <v>75</v>
      </c>
      <c r="R2106" s="14" t="str">
        <f>HYPERLINK("https://my.pitchbook.com?c=215639-38T","View Company Online")</f>
        <v>View Company Online</v>
      </c>
    </row>
    <row r="2107" spans="1:18" hidden="1" x14ac:dyDescent="0.3">
      <c r="A2107" s="15" t="s">
        <v>7315</v>
      </c>
      <c r="B2107" s="15" t="s">
        <v>7316</v>
      </c>
      <c r="C2107" s="18" t="s">
        <v>28</v>
      </c>
      <c r="D2107" s="15" t="s">
        <v>7317</v>
      </c>
      <c r="E2107" s="18" t="s">
        <v>28</v>
      </c>
      <c r="F2107" s="19" t="s">
        <v>28</v>
      </c>
      <c r="G2107" s="19" t="s">
        <v>28</v>
      </c>
      <c r="H2107" s="19" t="s">
        <v>28</v>
      </c>
      <c r="I2107" s="18" t="s">
        <v>28</v>
      </c>
      <c r="J2107" s="18" t="s">
        <v>28</v>
      </c>
      <c r="K2107" s="18" t="s">
        <v>28</v>
      </c>
      <c r="L2107" s="18" t="s">
        <v>28</v>
      </c>
      <c r="M2107" s="18" t="s">
        <v>28</v>
      </c>
      <c r="N2107" s="17">
        <v>44958</v>
      </c>
      <c r="O2107" s="15" t="s">
        <v>79</v>
      </c>
      <c r="P2107" s="16" t="s">
        <v>7108</v>
      </c>
      <c r="Q2107" s="15" t="s">
        <v>1793</v>
      </c>
      <c r="R2107" s="13" t="str">
        <f>HYPERLINK("https://my.pitchbook.com?c=215728-84T","View Company Online")</f>
        <v>View Company Online</v>
      </c>
    </row>
    <row r="2108" spans="1:18" hidden="1" x14ac:dyDescent="0.3">
      <c r="A2108" s="9" t="s">
        <v>7318</v>
      </c>
      <c r="B2108" s="9" t="s">
        <v>7319</v>
      </c>
      <c r="C2108" s="11" t="s">
        <v>28</v>
      </c>
      <c r="D2108" s="9" t="s">
        <v>7320</v>
      </c>
      <c r="E2108" s="11" t="s">
        <v>28</v>
      </c>
      <c r="F2108" s="10" t="s">
        <v>28</v>
      </c>
      <c r="G2108" s="10" t="s">
        <v>28</v>
      </c>
      <c r="H2108" s="10" t="s">
        <v>28</v>
      </c>
      <c r="I2108" s="11" t="s">
        <v>28</v>
      </c>
      <c r="J2108" s="11" t="s">
        <v>28</v>
      </c>
      <c r="K2108" s="11" t="s">
        <v>28</v>
      </c>
      <c r="L2108" s="11" t="s">
        <v>28</v>
      </c>
      <c r="M2108" s="11" t="s">
        <v>28</v>
      </c>
      <c r="N2108" s="8">
        <v>44958</v>
      </c>
      <c r="O2108" s="9" t="s">
        <v>73</v>
      </c>
      <c r="P2108" s="12" t="s">
        <v>3539</v>
      </c>
      <c r="Q2108" s="9" t="s">
        <v>37</v>
      </c>
      <c r="R2108" s="14" t="str">
        <f>HYPERLINK("https://my.pitchbook.com?c=216022-87T","View Company Online")</f>
        <v>View Company Online</v>
      </c>
    </row>
    <row r="2109" spans="1:18" hidden="1" x14ac:dyDescent="0.3">
      <c r="A2109" s="15" t="s">
        <v>7321</v>
      </c>
      <c r="B2109" s="15" t="s">
        <v>7322</v>
      </c>
      <c r="C2109" s="18" t="s">
        <v>28</v>
      </c>
      <c r="D2109" s="15" t="s">
        <v>7323</v>
      </c>
      <c r="E2109" s="18" t="s">
        <v>28</v>
      </c>
      <c r="F2109" s="19" t="s">
        <v>28</v>
      </c>
      <c r="G2109" s="19" t="s">
        <v>28</v>
      </c>
      <c r="H2109" s="19" t="s">
        <v>28</v>
      </c>
      <c r="I2109" s="18" t="s">
        <v>28</v>
      </c>
      <c r="J2109" s="18" t="s">
        <v>28</v>
      </c>
      <c r="K2109" s="18" t="s">
        <v>28</v>
      </c>
      <c r="L2109" s="18" t="s">
        <v>28</v>
      </c>
      <c r="M2109" s="18" t="s">
        <v>28</v>
      </c>
      <c r="N2109" s="17">
        <v>44958</v>
      </c>
      <c r="O2109" s="15" t="s">
        <v>73</v>
      </c>
      <c r="P2109" s="16" t="s">
        <v>28</v>
      </c>
      <c r="Q2109" s="15" t="s">
        <v>37</v>
      </c>
      <c r="R2109" s="13" t="str">
        <f>HYPERLINK("https://my.pitchbook.com?c=215836-48T","View Company Online")</f>
        <v>View Company Online</v>
      </c>
    </row>
    <row r="2110" spans="1:18" hidden="1" x14ac:dyDescent="0.3">
      <c r="A2110" s="9" t="s">
        <v>7324</v>
      </c>
      <c r="B2110" s="9" t="s">
        <v>7325</v>
      </c>
      <c r="C2110" s="11" t="s">
        <v>28</v>
      </c>
      <c r="D2110" s="9" t="s">
        <v>7326</v>
      </c>
      <c r="E2110" s="11" t="s">
        <v>28</v>
      </c>
      <c r="F2110" s="10" t="s">
        <v>28</v>
      </c>
      <c r="G2110" s="10" t="s">
        <v>28</v>
      </c>
      <c r="H2110" s="10" t="s">
        <v>28</v>
      </c>
      <c r="I2110" s="11" t="s">
        <v>28</v>
      </c>
      <c r="J2110" s="11" t="s">
        <v>28</v>
      </c>
      <c r="K2110" s="11" t="s">
        <v>28</v>
      </c>
      <c r="L2110" s="11" t="s">
        <v>28</v>
      </c>
      <c r="M2110" s="11" t="s">
        <v>28</v>
      </c>
      <c r="N2110" s="8">
        <v>44958</v>
      </c>
      <c r="O2110" s="9" t="s">
        <v>79</v>
      </c>
      <c r="P2110" s="12" t="s">
        <v>3825</v>
      </c>
      <c r="Q2110" s="9" t="s">
        <v>169</v>
      </c>
      <c r="R2110" s="14" t="str">
        <f>HYPERLINK("https://my.pitchbook.com?c=216038-98T","View Company Online")</f>
        <v>View Company Online</v>
      </c>
    </row>
    <row r="2111" spans="1:18" hidden="1" x14ac:dyDescent="0.3">
      <c r="A2111" s="15" t="s">
        <v>7327</v>
      </c>
      <c r="B2111" s="15" t="s">
        <v>7328</v>
      </c>
      <c r="C2111" s="18" t="s">
        <v>28</v>
      </c>
      <c r="D2111" s="15" t="s">
        <v>7329</v>
      </c>
      <c r="E2111" s="18" t="s">
        <v>28</v>
      </c>
      <c r="F2111" s="19" t="s">
        <v>28</v>
      </c>
      <c r="G2111" s="19" t="s">
        <v>28</v>
      </c>
      <c r="H2111" s="19" t="s">
        <v>28</v>
      </c>
      <c r="I2111" s="18" t="s">
        <v>28</v>
      </c>
      <c r="J2111" s="18" t="s">
        <v>28</v>
      </c>
      <c r="K2111" s="18" t="s">
        <v>28</v>
      </c>
      <c r="L2111" s="18" t="s">
        <v>28</v>
      </c>
      <c r="M2111" s="18" t="s">
        <v>28</v>
      </c>
      <c r="N2111" s="17">
        <v>44958</v>
      </c>
      <c r="O2111" s="15" t="s">
        <v>73</v>
      </c>
      <c r="P2111" s="16" t="s">
        <v>6834</v>
      </c>
      <c r="Q2111" s="15" t="s">
        <v>114</v>
      </c>
      <c r="R2111" s="13" t="str">
        <f>HYPERLINK("https://my.pitchbook.com?c=215842-51T","View Company Online")</f>
        <v>View Company Online</v>
      </c>
    </row>
    <row r="2112" spans="1:18" hidden="1" x14ac:dyDescent="0.3">
      <c r="A2112" s="9" t="s">
        <v>7330</v>
      </c>
      <c r="B2112" s="9" t="s">
        <v>7331</v>
      </c>
      <c r="C2112" s="11" t="s">
        <v>28</v>
      </c>
      <c r="D2112" s="9" t="s">
        <v>7332</v>
      </c>
      <c r="E2112" s="11" t="s">
        <v>28</v>
      </c>
      <c r="F2112" s="10" t="s">
        <v>28</v>
      </c>
      <c r="G2112" s="10" t="s">
        <v>28</v>
      </c>
      <c r="H2112" s="10" t="s">
        <v>28</v>
      </c>
      <c r="I2112" s="11" t="s">
        <v>28</v>
      </c>
      <c r="J2112" s="11" t="s">
        <v>28</v>
      </c>
      <c r="K2112" s="11" t="s">
        <v>28</v>
      </c>
      <c r="L2112" s="11" t="s">
        <v>28</v>
      </c>
      <c r="M2112" s="11" t="s">
        <v>28</v>
      </c>
      <c r="N2112" s="8">
        <v>44958</v>
      </c>
      <c r="O2112" s="9" t="s">
        <v>73</v>
      </c>
      <c r="P2112" s="12" t="s">
        <v>7333</v>
      </c>
      <c r="Q2112" s="9" t="s">
        <v>37</v>
      </c>
      <c r="R2112" s="14" t="str">
        <f>HYPERLINK("https://my.pitchbook.com?c=215808-04T","View Company Online")</f>
        <v>View Company Online</v>
      </c>
    </row>
    <row r="2113" spans="1:18" hidden="1" x14ac:dyDescent="0.3">
      <c r="A2113" s="15" t="s">
        <v>7334</v>
      </c>
      <c r="B2113" s="15" t="s">
        <v>7335</v>
      </c>
      <c r="C2113" s="18" t="s">
        <v>28</v>
      </c>
      <c r="D2113" s="15" t="s">
        <v>7336</v>
      </c>
      <c r="E2113" s="18" t="s">
        <v>28</v>
      </c>
      <c r="F2113" s="19" t="s">
        <v>28</v>
      </c>
      <c r="G2113" s="19" t="s">
        <v>28</v>
      </c>
      <c r="H2113" s="19" t="s">
        <v>28</v>
      </c>
      <c r="I2113" s="18" t="s">
        <v>28</v>
      </c>
      <c r="J2113" s="18" t="s">
        <v>28</v>
      </c>
      <c r="K2113" s="18" t="s">
        <v>28</v>
      </c>
      <c r="L2113" s="18" t="s">
        <v>28</v>
      </c>
      <c r="M2113" s="18" t="s">
        <v>28</v>
      </c>
      <c r="N2113" s="17">
        <v>44958</v>
      </c>
      <c r="O2113" s="15" t="s">
        <v>73</v>
      </c>
      <c r="P2113" s="16" t="s">
        <v>28</v>
      </c>
      <c r="Q2113" s="15" t="s">
        <v>119</v>
      </c>
      <c r="R2113" s="13" t="str">
        <f>HYPERLINK("https://my.pitchbook.com?c=215836-57T","View Company Online")</f>
        <v>View Company Online</v>
      </c>
    </row>
    <row r="2114" spans="1:18" hidden="1" x14ac:dyDescent="0.3">
      <c r="A2114" s="9" t="s">
        <v>7337</v>
      </c>
      <c r="B2114" s="9" t="s">
        <v>7338</v>
      </c>
      <c r="C2114" s="11" t="s">
        <v>28</v>
      </c>
      <c r="D2114" s="9" t="s">
        <v>7339</v>
      </c>
      <c r="E2114" s="11" t="s">
        <v>28</v>
      </c>
      <c r="F2114" s="10" t="s">
        <v>28</v>
      </c>
      <c r="G2114" s="10" t="s">
        <v>28</v>
      </c>
      <c r="H2114" s="10" t="s">
        <v>28</v>
      </c>
      <c r="I2114" s="11" t="s">
        <v>28</v>
      </c>
      <c r="J2114" s="11" t="s">
        <v>28</v>
      </c>
      <c r="K2114" s="11" t="s">
        <v>28</v>
      </c>
      <c r="L2114" s="11" t="s">
        <v>28</v>
      </c>
      <c r="M2114" s="11" t="s">
        <v>28</v>
      </c>
      <c r="N2114" s="8">
        <v>44958</v>
      </c>
      <c r="O2114" s="9" t="s">
        <v>79</v>
      </c>
      <c r="P2114" s="12" t="s">
        <v>5679</v>
      </c>
      <c r="Q2114" s="9" t="s">
        <v>136</v>
      </c>
      <c r="R2114" s="14" t="str">
        <f>HYPERLINK("https://my.pitchbook.com?c=215637-76T","View Company Online")</f>
        <v>View Company Online</v>
      </c>
    </row>
    <row r="2115" spans="1:18" hidden="1" x14ac:dyDescent="0.3">
      <c r="A2115" s="15" t="s">
        <v>7340</v>
      </c>
      <c r="B2115" s="15" t="s">
        <v>7341</v>
      </c>
      <c r="C2115" s="18" t="s">
        <v>28</v>
      </c>
      <c r="D2115" s="15" t="s">
        <v>7342</v>
      </c>
      <c r="E2115" s="18" t="s">
        <v>28</v>
      </c>
      <c r="F2115" s="19" t="s">
        <v>28</v>
      </c>
      <c r="G2115" s="19" t="s">
        <v>28</v>
      </c>
      <c r="H2115" s="19" t="s">
        <v>28</v>
      </c>
      <c r="I2115" s="18" t="s">
        <v>28</v>
      </c>
      <c r="J2115" s="18" t="s">
        <v>28</v>
      </c>
      <c r="K2115" s="18" t="s">
        <v>28</v>
      </c>
      <c r="L2115" s="18" t="s">
        <v>28</v>
      </c>
      <c r="M2115" s="18" t="s">
        <v>28</v>
      </c>
      <c r="N2115" s="17">
        <v>44958</v>
      </c>
      <c r="O2115" s="15" t="s">
        <v>52</v>
      </c>
      <c r="P2115" s="16" t="s">
        <v>1970</v>
      </c>
      <c r="Q2115" s="15" t="s">
        <v>583</v>
      </c>
      <c r="R2115" s="13" t="str">
        <f>HYPERLINK("https://my.pitchbook.com?c=295768-63T","View Company Online")</f>
        <v>View Company Online</v>
      </c>
    </row>
    <row r="2116" spans="1:18" hidden="1" x14ac:dyDescent="0.3">
      <c r="A2116" s="9" t="s">
        <v>7343</v>
      </c>
      <c r="B2116" s="9" t="s">
        <v>7344</v>
      </c>
      <c r="C2116" s="11" t="s">
        <v>28</v>
      </c>
      <c r="D2116" s="9" t="s">
        <v>7345</v>
      </c>
      <c r="E2116" s="11" t="s">
        <v>28</v>
      </c>
      <c r="F2116" s="10" t="s">
        <v>28</v>
      </c>
      <c r="G2116" s="10" t="s">
        <v>28</v>
      </c>
      <c r="H2116" s="10" t="s">
        <v>28</v>
      </c>
      <c r="I2116" s="11" t="s">
        <v>28</v>
      </c>
      <c r="J2116" s="11" t="s">
        <v>28</v>
      </c>
      <c r="K2116" s="11" t="s">
        <v>28</v>
      </c>
      <c r="L2116" s="11" t="s">
        <v>28</v>
      </c>
      <c r="M2116" s="11" t="s">
        <v>28</v>
      </c>
      <c r="N2116" s="8">
        <v>44958</v>
      </c>
      <c r="O2116" s="9" t="s">
        <v>52</v>
      </c>
      <c r="P2116" s="12" t="s">
        <v>1970</v>
      </c>
      <c r="Q2116" s="9" t="s">
        <v>75</v>
      </c>
      <c r="R2116" s="14" t="str">
        <f>HYPERLINK("https://my.pitchbook.com?c=262836-19T","View Company Online")</f>
        <v>View Company Online</v>
      </c>
    </row>
    <row r="2117" spans="1:18" hidden="1" x14ac:dyDescent="0.3">
      <c r="A2117" s="15" t="s">
        <v>7346</v>
      </c>
      <c r="B2117" s="15" t="s">
        <v>7347</v>
      </c>
      <c r="C2117" s="18" t="s">
        <v>28</v>
      </c>
      <c r="D2117" s="15" t="s">
        <v>7348</v>
      </c>
      <c r="E2117" s="18" t="s">
        <v>28</v>
      </c>
      <c r="F2117" s="19" t="s">
        <v>28</v>
      </c>
      <c r="G2117" s="19" t="s">
        <v>28</v>
      </c>
      <c r="H2117" s="19" t="s">
        <v>28</v>
      </c>
      <c r="I2117" s="18" t="s">
        <v>28</v>
      </c>
      <c r="J2117" s="18" t="s">
        <v>28</v>
      </c>
      <c r="K2117" s="18" t="s">
        <v>28</v>
      </c>
      <c r="L2117" s="18" t="s">
        <v>28</v>
      </c>
      <c r="M2117" s="18" t="s">
        <v>28</v>
      </c>
      <c r="N2117" s="17">
        <v>44958</v>
      </c>
      <c r="O2117" s="15" t="s">
        <v>52</v>
      </c>
      <c r="P2117" s="16" t="s">
        <v>1970</v>
      </c>
      <c r="Q2117" s="15" t="s">
        <v>85</v>
      </c>
      <c r="R2117" s="13" t="str">
        <f>HYPERLINK("https://my.pitchbook.com?c=295710-76T","View Company Online")</f>
        <v>View Company Online</v>
      </c>
    </row>
    <row r="2118" spans="1:18" hidden="1" x14ac:dyDescent="0.3">
      <c r="A2118" s="9" t="s">
        <v>7349</v>
      </c>
      <c r="B2118" s="9" t="s">
        <v>2778</v>
      </c>
      <c r="C2118" s="11" t="s">
        <v>28</v>
      </c>
      <c r="D2118" s="9" t="s">
        <v>2779</v>
      </c>
      <c r="E2118" s="11" t="s">
        <v>28</v>
      </c>
      <c r="F2118" s="10" t="s">
        <v>28</v>
      </c>
      <c r="G2118" s="10">
        <v>6.75</v>
      </c>
      <c r="H2118" s="10" t="s">
        <v>28</v>
      </c>
      <c r="I2118" s="11" t="s">
        <v>28</v>
      </c>
      <c r="J2118" s="11" t="s">
        <v>28</v>
      </c>
      <c r="K2118" s="11" t="s">
        <v>28</v>
      </c>
      <c r="L2118" s="11" t="s">
        <v>28</v>
      </c>
      <c r="M2118" s="11" t="s">
        <v>28</v>
      </c>
      <c r="N2118" s="8">
        <v>44958</v>
      </c>
      <c r="O2118" s="9" t="s">
        <v>79</v>
      </c>
      <c r="P2118" s="12" t="s">
        <v>7350</v>
      </c>
      <c r="Q2118" s="9" t="s">
        <v>85</v>
      </c>
      <c r="R2118" s="14" t="str">
        <f>HYPERLINK("https://my.pitchbook.com?c=215623-27T","View Company Online")</f>
        <v>View Company Online</v>
      </c>
    </row>
    <row r="2119" spans="1:18" hidden="1" x14ac:dyDescent="0.3">
      <c r="A2119" s="15" t="s">
        <v>7351</v>
      </c>
      <c r="B2119" s="15" t="s">
        <v>7352</v>
      </c>
      <c r="C2119" s="18" t="s">
        <v>28</v>
      </c>
      <c r="D2119" s="15" t="s">
        <v>7353</v>
      </c>
      <c r="E2119" s="18" t="s">
        <v>28</v>
      </c>
      <c r="F2119" s="19" t="s">
        <v>28</v>
      </c>
      <c r="G2119" s="19" t="s">
        <v>28</v>
      </c>
      <c r="H2119" s="19" t="s">
        <v>28</v>
      </c>
      <c r="I2119" s="18" t="s">
        <v>28</v>
      </c>
      <c r="J2119" s="18" t="s">
        <v>28</v>
      </c>
      <c r="K2119" s="18" t="s">
        <v>28</v>
      </c>
      <c r="L2119" s="18" t="s">
        <v>28</v>
      </c>
      <c r="M2119" s="18" t="s">
        <v>28</v>
      </c>
      <c r="N2119" s="17">
        <v>44958</v>
      </c>
      <c r="O2119" s="15" t="s">
        <v>73</v>
      </c>
      <c r="P2119" s="16" t="s">
        <v>7354</v>
      </c>
      <c r="Q2119" s="15" t="s">
        <v>119</v>
      </c>
      <c r="R2119" s="13" t="str">
        <f>HYPERLINK("https://my.pitchbook.com?c=216126-82T","View Company Online")</f>
        <v>View Company Online</v>
      </c>
    </row>
    <row r="2120" spans="1:18" hidden="1" x14ac:dyDescent="0.3">
      <c r="A2120" s="9" t="s">
        <v>7355</v>
      </c>
      <c r="B2120" s="9" t="s">
        <v>7356</v>
      </c>
      <c r="C2120" s="11" t="s">
        <v>28</v>
      </c>
      <c r="D2120" s="9" t="s">
        <v>7357</v>
      </c>
      <c r="E2120" s="11" t="s">
        <v>28</v>
      </c>
      <c r="F2120" s="10" t="s">
        <v>28</v>
      </c>
      <c r="G2120" s="10" t="s">
        <v>28</v>
      </c>
      <c r="H2120" s="10" t="s">
        <v>28</v>
      </c>
      <c r="I2120" s="11" t="s">
        <v>28</v>
      </c>
      <c r="J2120" s="11" t="s">
        <v>28</v>
      </c>
      <c r="K2120" s="11" t="s">
        <v>28</v>
      </c>
      <c r="L2120" s="11" t="s">
        <v>28</v>
      </c>
      <c r="M2120" s="11" t="s">
        <v>28</v>
      </c>
      <c r="N2120" s="8">
        <v>44958</v>
      </c>
      <c r="O2120" s="9" t="s">
        <v>52</v>
      </c>
      <c r="P2120" s="12" t="s">
        <v>1970</v>
      </c>
      <c r="Q2120" s="9" t="s">
        <v>75</v>
      </c>
      <c r="R2120" s="14" t="str">
        <f>HYPERLINK("https://my.pitchbook.com?c=295721-02T","View Company Online")</f>
        <v>View Company Online</v>
      </c>
    </row>
    <row r="2121" spans="1:18" hidden="1" x14ac:dyDescent="0.3">
      <c r="A2121" s="15" t="s">
        <v>7358</v>
      </c>
      <c r="B2121" s="15" t="s">
        <v>7359</v>
      </c>
      <c r="C2121" s="18" t="s">
        <v>28</v>
      </c>
      <c r="D2121" s="15" t="s">
        <v>7360</v>
      </c>
      <c r="E2121" s="18" t="s">
        <v>28</v>
      </c>
      <c r="F2121" s="19" t="s">
        <v>28</v>
      </c>
      <c r="G2121" s="19" t="s">
        <v>28</v>
      </c>
      <c r="H2121" s="19" t="s">
        <v>28</v>
      </c>
      <c r="I2121" s="18" t="s">
        <v>28</v>
      </c>
      <c r="J2121" s="18" t="s">
        <v>28</v>
      </c>
      <c r="K2121" s="18">
        <v>0.75</v>
      </c>
      <c r="L2121" s="18" t="s">
        <v>28</v>
      </c>
      <c r="M2121" s="18" t="s">
        <v>28</v>
      </c>
      <c r="N2121" s="17">
        <v>44958</v>
      </c>
      <c r="O2121" s="15" t="s">
        <v>79</v>
      </c>
      <c r="P2121" s="16" t="s">
        <v>6810</v>
      </c>
      <c r="Q2121" s="15" t="s">
        <v>235</v>
      </c>
      <c r="R2121" s="13" t="str">
        <f>HYPERLINK("https://my.pitchbook.com?c=215322-67T","View Company Online")</f>
        <v>View Company Online</v>
      </c>
    </row>
    <row r="2122" spans="1:18" hidden="1" x14ac:dyDescent="0.3">
      <c r="A2122" s="9" t="s">
        <v>7361</v>
      </c>
      <c r="B2122" s="9" t="s">
        <v>7362</v>
      </c>
      <c r="C2122" s="11" t="s">
        <v>28</v>
      </c>
      <c r="D2122" s="9" t="s">
        <v>7363</v>
      </c>
      <c r="E2122" s="11" t="s">
        <v>28</v>
      </c>
      <c r="F2122" s="10" t="s">
        <v>28</v>
      </c>
      <c r="G2122" s="10" t="s">
        <v>28</v>
      </c>
      <c r="H2122" s="10" t="s">
        <v>28</v>
      </c>
      <c r="I2122" s="11" t="s">
        <v>28</v>
      </c>
      <c r="J2122" s="11" t="s">
        <v>28</v>
      </c>
      <c r="K2122" s="11" t="s">
        <v>28</v>
      </c>
      <c r="L2122" s="11" t="s">
        <v>28</v>
      </c>
      <c r="M2122" s="11" t="s">
        <v>28</v>
      </c>
      <c r="N2122" s="8">
        <v>44958</v>
      </c>
      <c r="O2122" s="9" t="s">
        <v>379</v>
      </c>
      <c r="P2122" s="12" t="s">
        <v>4286</v>
      </c>
      <c r="Q2122" s="9" t="s">
        <v>583</v>
      </c>
      <c r="R2122" s="14" t="str">
        <f>HYPERLINK("https://my.pitchbook.com?c=215945-74T","View Company Online")</f>
        <v>View Company Online</v>
      </c>
    </row>
    <row r="2123" spans="1:18" hidden="1" x14ac:dyDescent="0.3">
      <c r="A2123" s="15" t="s">
        <v>7364</v>
      </c>
      <c r="B2123" s="15" t="s">
        <v>7365</v>
      </c>
      <c r="C2123" s="18" t="s">
        <v>28</v>
      </c>
      <c r="D2123" s="15" t="s">
        <v>7366</v>
      </c>
      <c r="E2123" s="18" t="s">
        <v>28</v>
      </c>
      <c r="F2123" s="19" t="s">
        <v>28</v>
      </c>
      <c r="G2123" s="19" t="s">
        <v>28</v>
      </c>
      <c r="H2123" s="19" t="s">
        <v>28</v>
      </c>
      <c r="I2123" s="18" t="s">
        <v>28</v>
      </c>
      <c r="J2123" s="18" t="s">
        <v>28</v>
      </c>
      <c r="K2123" s="18" t="s">
        <v>28</v>
      </c>
      <c r="L2123" s="18" t="s">
        <v>28</v>
      </c>
      <c r="M2123" s="18" t="s">
        <v>28</v>
      </c>
      <c r="N2123" s="17">
        <v>44958</v>
      </c>
      <c r="O2123" s="15" t="s">
        <v>52</v>
      </c>
      <c r="P2123" s="16" t="s">
        <v>1970</v>
      </c>
      <c r="Q2123" s="15" t="s">
        <v>1068</v>
      </c>
      <c r="R2123" s="13" t="str">
        <f>HYPERLINK("https://my.pitchbook.com?c=295736-32T","View Company Online")</f>
        <v>View Company Online</v>
      </c>
    </row>
    <row r="2124" spans="1:18" hidden="1" x14ac:dyDescent="0.3">
      <c r="A2124" s="9" t="s">
        <v>7367</v>
      </c>
      <c r="B2124" s="9" t="s">
        <v>7368</v>
      </c>
      <c r="C2124" s="11" t="s">
        <v>28</v>
      </c>
      <c r="D2124" s="9" t="s">
        <v>7369</v>
      </c>
      <c r="E2124" s="11" t="s">
        <v>28</v>
      </c>
      <c r="F2124" s="10" t="s">
        <v>28</v>
      </c>
      <c r="G2124" s="10" t="s">
        <v>28</v>
      </c>
      <c r="H2124" s="10" t="s">
        <v>28</v>
      </c>
      <c r="I2124" s="11" t="s">
        <v>28</v>
      </c>
      <c r="J2124" s="11" t="s">
        <v>28</v>
      </c>
      <c r="K2124" s="11" t="s">
        <v>28</v>
      </c>
      <c r="L2124" s="11" t="s">
        <v>28</v>
      </c>
      <c r="M2124" s="11" t="s">
        <v>28</v>
      </c>
      <c r="N2124" s="8">
        <v>44958</v>
      </c>
      <c r="O2124" s="9" t="s">
        <v>73</v>
      </c>
      <c r="P2124" s="12" t="s">
        <v>7370</v>
      </c>
      <c r="Q2124" s="9" t="s">
        <v>75</v>
      </c>
      <c r="R2124" s="14" t="str">
        <f>HYPERLINK("https://my.pitchbook.com?c=215623-63T","View Company Online")</f>
        <v>View Company Online</v>
      </c>
    </row>
    <row r="2125" spans="1:18" hidden="1" x14ac:dyDescent="0.3">
      <c r="A2125" s="15" t="s">
        <v>7371</v>
      </c>
      <c r="B2125" s="15" t="s">
        <v>7372</v>
      </c>
      <c r="C2125" s="18" t="s">
        <v>28</v>
      </c>
      <c r="D2125" s="15" t="s">
        <v>7373</v>
      </c>
      <c r="E2125" s="18" t="s">
        <v>28</v>
      </c>
      <c r="F2125" s="19" t="s">
        <v>28</v>
      </c>
      <c r="G2125" s="19" t="s">
        <v>28</v>
      </c>
      <c r="H2125" s="19" t="s">
        <v>28</v>
      </c>
      <c r="I2125" s="18" t="s">
        <v>28</v>
      </c>
      <c r="J2125" s="18" t="s">
        <v>28</v>
      </c>
      <c r="K2125" s="18" t="s">
        <v>28</v>
      </c>
      <c r="L2125" s="18" t="s">
        <v>28</v>
      </c>
      <c r="M2125" s="18" t="s">
        <v>28</v>
      </c>
      <c r="N2125" s="17">
        <v>44958</v>
      </c>
      <c r="O2125" s="15" t="s">
        <v>73</v>
      </c>
      <c r="P2125" s="16" t="s">
        <v>7374</v>
      </c>
      <c r="Q2125" s="15" t="s">
        <v>37</v>
      </c>
      <c r="R2125" s="13" t="str">
        <f>HYPERLINK("https://my.pitchbook.com?c=215680-96T","View Company Online")</f>
        <v>View Company Online</v>
      </c>
    </row>
    <row r="2126" spans="1:18" hidden="1" x14ac:dyDescent="0.3">
      <c r="A2126" s="9" t="s">
        <v>7375</v>
      </c>
      <c r="B2126" s="9" t="s">
        <v>7376</v>
      </c>
      <c r="C2126" s="11" t="s">
        <v>28</v>
      </c>
      <c r="D2126" s="9" t="s">
        <v>7377</v>
      </c>
      <c r="E2126" s="11" t="s">
        <v>28</v>
      </c>
      <c r="F2126" s="10" t="s">
        <v>28</v>
      </c>
      <c r="G2126" s="10">
        <v>0.15</v>
      </c>
      <c r="H2126" s="10" t="s">
        <v>28</v>
      </c>
      <c r="I2126" s="11" t="s">
        <v>28</v>
      </c>
      <c r="J2126" s="11" t="s">
        <v>28</v>
      </c>
      <c r="K2126" s="11" t="s">
        <v>28</v>
      </c>
      <c r="L2126" s="11" t="s">
        <v>28</v>
      </c>
      <c r="M2126" s="11" t="s">
        <v>28</v>
      </c>
      <c r="N2126" s="8">
        <v>44957</v>
      </c>
      <c r="O2126" s="9" t="s">
        <v>99</v>
      </c>
      <c r="P2126" s="12" t="s">
        <v>1964</v>
      </c>
      <c r="Q2126" s="9" t="s">
        <v>75</v>
      </c>
      <c r="R2126" s="14" t="str">
        <f>HYPERLINK("https://my.pitchbook.com?c=224642-80T","View Company Online")</f>
        <v>View Company Online</v>
      </c>
    </row>
    <row r="2127" spans="1:18" hidden="1" x14ac:dyDescent="0.3">
      <c r="A2127" s="15" t="s">
        <v>7378</v>
      </c>
      <c r="B2127" s="15" t="s">
        <v>7379</v>
      </c>
      <c r="C2127" s="18" t="s">
        <v>28</v>
      </c>
      <c r="D2127" s="15" t="s">
        <v>7380</v>
      </c>
      <c r="E2127" s="18" t="s">
        <v>28</v>
      </c>
      <c r="F2127" s="19" t="s">
        <v>28</v>
      </c>
      <c r="G2127" s="19">
        <v>0.15</v>
      </c>
      <c r="H2127" s="19" t="s">
        <v>28</v>
      </c>
      <c r="I2127" s="18" t="s">
        <v>28</v>
      </c>
      <c r="J2127" s="18" t="s">
        <v>28</v>
      </c>
      <c r="K2127" s="18" t="s">
        <v>28</v>
      </c>
      <c r="L2127" s="18" t="s">
        <v>28</v>
      </c>
      <c r="M2127" s="18" t="s">
        <v>28</v>
      </c>
      <c r="N2127" s="17">
        <v>44957</v>
      </c>
      <c r="O2127" s="15" t="s">
        <v>99</v>
      </c>
      <c r="P2127" s="16" t="s">
        <v>1964</v>
      </c>
      <c r="Q2127" s="15" t="s">
        <v>37</v>
      </c>
      <c r="R2127" s="13" t="str">
        <f>HYPERLINK("https://my.pitchbook.com?c=224642-44T","View Company Online")</f>
        <v>View Company Online</v>
      </c>
    </row>
    <row r="2128" spans="1:18" hidden="1" x14ac:dyDescent="0.3">
      <c r="A2128" s="9" t="s">
        <v>7381</v>
      </c>
      <c r="B2128" s="9" t="s">
        <v>7382</v>
      </c>
      <c r="C2128" s="11" t="s">
        <v>28</v>
      </c>
      <c r="D2128" s="9" t="s">
        <v>7383</v>
      </c>
      <c r="E2128" s="11" t="s">
        <v>28</v>
      </c>
      <c r="F2128" s="10" t="s">
        <v>28</v>
      </c>
      <c r="G2128" s="10">
        <v>0.1</v>
      </c>
      <c r="H2128" s="10" t="s">
        <v>28</v>
      </c>
      <c r="I2128" s="11" t="s">
        <v>28</v>
      </c>
      <c r="J2128" s="11" t="s">
        <v>28</v>
      </c>
      <c r="K2128" s="11" t="s">
        <v>28</v>
      </c>
      <c r="L2128" s="11" t="s">
        <v>28</v>
      </c>
      <c r="M2128" s="11" t="s">
        <v>28</v>
      </c>
      <c r="N2128" s="8">
        <v>44957</v>
      </c>
      <c r="O2128" s="9" t="s">
        <v>52</v>
      </c>
      <c r="P2128" s="12" t="s">
        <v>7384</v>
      </c>
      <c r="Q2128" s="9" t="s">
        <v>37</v>
      </c>
      <c r="R2128" s="14" t="str">
        <f>HYPERLINK("https://my.pitchbook.com?c=241374-52T","View Company Online")</f>
        <v>View Company Online</v>
      </c>
    </row>
    <row r="2129" spans="1:18" hidden="1" x14ac:dyDescent="0.3">
      <c r="A2129" s="15" t="s">
        <v>7385</v>
      </c>
      <c r="B2129" s="15" t="s">
        <v>2157</v>
      </c>
      <c r="C2129" s="18" t="s">
        <v>28</v>
      </c>
      <c r="D2129" s="15" t="s">
        <v>2158</v>
      </c>
      <c r="E2129" s="18" t="s">
        <v>28</v>
      </c>
      <c r="F2129" s="19" t="s">
        <v>28</v>
      </c>
      <c r="G2129" s="19">
        <v>7.4</v>
      </c>
      <c r="H2129" s="19" t="s">
        <v>28</v>
      </c>
      <c r="I2129" s="18" t="s">
        <v>28</v>
      </c>
      <c r="J2129" s="18" t="s">
        <v>28</v>
      </c>
      <c r="K2129" s="18" t="s">
        <v>28</v>
      </c>
      <c r="L2129" s="18" t="s">
        <v>28</v>
      </c>
      <c r="M2129" s="18" t="s">
        <v>28</v>
      </c>
      <c r="N2129" s="17">
        <v>44957</v>
      </c>
      <c r="O2129" s="15" t="s">
        <v>99</v>
      </c>
      <c r="P2129" s="16" t="s">
        <v>7386</v>
      </c>
      <c r="Q2129" s="15" t="s">
        <v>386</v>
      </c>
      <c r="R2129" s="13" t="str">
        <f>HYPERLINK("https://my.pitchbook.com?c=191280-52T","View Company Online")</f>
        <v>View Company Online</v>
      </c>
    </row>
    <row r="2130" spans="1:18" hidden="1" x14ac:dyDescent="0.3">
      <c r="A2130" s="9" t="s">
        <v>7387</v>
      </c>
      <c r="B2130" s="9" t="s">
        <v>7388</v>
      </c>
      <c r="C2130" s="11" t="s">
        <v>28</v>
      </c>
      <c r="D2130" s="9" t="s">
        <v>7389</v>
      </c>
      <c r="E2130" s="11" t="s">
        <v>28</v>
      </c>
      <c r="F2130" s="10" t="s">
        <v>28</v>
      </c>
      <c r="G2130" s="10" t="s">
        <v>28</v>
      </c>
      <c r="H2130" s="10" t="s">
        <v>28</v>
      </c>
      <c r="I2130" s="11" t="s">
        <v>28</v>
      </c>
      <c r="J2130" s="11" t="s">
        <v>28</v>
      </c>
      <c r="K2130" s="11" t="s">
        <v>28</v>
      </c>
      <c r="L2130" s="11" t="s">
        <v>28</v>
      </c>
      <c r="M2130" s="11" t="s">
        <v>28</v>
      </c>
      <c r="N2130" s="8">
        <v>44957</v>
      </c>
      <c r="O2130" s="9" t="s">
        <v>30</v>
      </c>
      <c r="P2130" s="12" t="s">
        <v>7390</v>
      </c>
      <c r="Q2130" s="9" t="s">
        <v>75</v>
      </c>
      <c r="R2130" s="14" t="str">
        <f>HYPERLINK("https://my.pitchbook.com?c=218343-07T","View Company Online")</f>
        <v>View Company Online</v>
      </c>
    </row>
    <row r="2131" spans="1:18" hidden="1" x14ac:dyDescent="0.3">
      <c r="A2131" s="15" t="s">
        <v>7391</v>
      </c>
      <c r="B2131" s="15" t="s">
        <v>7392</v>
      </c>
      <c r="C2131" s="18" t="s">
        <v>28</v>
      </c>
      <c r="D2131" s="15" t="s">
        <v>7393</v>
      </c>
      <c r="E2131" s="18" t="s">
        <v>28</v>
      </c>
      <c r="F2131" s="19" t="s">
        <v>28</v>
      </c>
      <c r="G2131" s="19">
        <v>0.15</v>
      </c>
      <c r="H2131" s="19" t="s">
        <v>28</v>
      </c>
      <c r="I2131" s="18" t="s">
        <v>28</v>
      </c>
      <c r="J2131" s="18" t="s">
        <v>28</v>
      </c>
      <c r="K2131" s="18" t="s">
        <v>28</v>
      </c>
      <c r="L2131" s="18" t="s">
        <v>28</v>
      </c>
      <c r="M2131" s="18" t="s">
        <v>28</v>
      </c>
      <c r="N2131" s="17">
        <v>44957</v>
      </c>
      <c r="O2131" s="15" t="s">
        <v>99</v>
      </c>
      <c r="P2131" s="16" t="s">
        <v>1964</v>
      </c>
      <c r="Q2131" s="15" t="s">
        <v>386</v>
      </c>
      <c r="R2131" s="13" t="str">
        <f>HYPERLINK("https://my.pitchbook.com?c=215520-04T","View Company Online")</f>
        <v>View Company Online</v>
      </c>
    </row>
    <row r="2132" spans="1:18" hidden="1" x14ac:dyDescent="0.3">
      <c r="A2132" s="9" t="s">
        <v>7394</v>
      </c>
      <c r="B2132" s="9" t="s">
        <v>7395</v>
      </c>
      <c r="C2132" s="11" t="s">
        <v>28</v>
      </c>
      <c r="D2132" s="9" t="s">
        <v>7396</v>
      </c>
      <c r="E2132" s="11" t="s">
        <v>28</v>
      </c>
      <c r="F2132" s="10" t="s">
        <v>28</v>
      </c>
      <c r="G2132" s="10">
        <v>0.15</v>
      </c>
      <c r="H2132" s="10" t="s">
        <v>28</v>
      </c>
      <c r="I2132" s="11" t="s">
        <v>28</v>
      </c>
      <c r="J2132" s="11" t="s">
        <v>28</v>
      </c>
      <c r="K2132" s="11" t="s">
        <v>28</v>
      </c>
      <c r="L2132" s="11" t="s">
        <v>28</v>
      </c>
      <c r="M2132" s="11" t="s">
        <v>28</v>
      </c>
      <c r="N2132" s="8">
        <v>44957</v>
      </c>
      <c r="O2132" s="9" t="s">
        <v>99</v>
      </c>
      <c r="P2132" s="12" t="s">
        <v>1964</v>
      </c>
      <c r="Q2132" s="9" t="s">
        <v>95</v>
      </c>
      <c r="R2132" s="14" t="str">
        <f>HYPERLINK("https://my.pitchbook.com?c=224644-42T","View Company Online")</f>
        <v>View Company Online</v>
      </c>
    </row>
    <row r="2133" spans="1:18" hidden="1" x14ac:dyDescent="0.3">
      <c r="A2133" s="15" t="s">
        <v>7397</v>
      </c>
      <c r="B2133" s="15" t="s">
        <v>7398</v>
      </c>
      <c r="C2133" s="18" t="s">
        <v>28</v>
      </c>
      <c r="D2133" s="15" t="s">
        <v>7399</v>
      </c>
      <c r="E2133" s="18" t="s">
        <v>28</v>
      </c>
      <c r="F2133" s="19" t="s">
        <v>28</v>
      </c>
      <c r="G2133" s="19">
        <v>0.15</v>
      </c>
      <c r="H2133" s="19" t="s">
        <v>28</v>
      </c>
      <c r="I2133" s="18" t="s">
        <v>28</v>
      </c>
      <c r="J2133" s="18" t="s">
        <v>28</v>
      </c>
      <c r="K2133" s="18" t="s">
        <v>28</v>
      </c>
      <c r="L2133" s="18" t="s">
        <v>28</v>
      </c>
      <c r="M2133" s="18" t="s">
        <v>28</v>
      </c>
      <c r="N2133" s="17">
        <v>44957</v>
      </c>
      <c r="O2133" s="15" t="s">
        <v>99</v>
      </c>
      <c r="P2133" s="16" t="s">
        <v>1964</v>
      </c>
      <c r="Q2133" s="15" t="s">
        <v>3973</v>
      </c>
      <c r="R2133" s="13" t="str">
        <f>HYPERLINK("https://my.pitchbook.com?c=224644-69T","View Company Online")</f>
        <v>View Company Online</v>
      </c>
    </row>
    <row r="2134" spans="1:18" hidden="1" x14ac:dyDescent="0.3">
      <c r="A2134" s="9" t="s">
        <v>7400</v>
      </c>
      <c r="B2134" s="9" t="s">
        <v>7401</v>
      </c>
      <c r="C2134" s="11" t="s">
        <v>28</v>
      </c>
      <c r="D2134" s="9" t="s">
        <v>7402</v>
      </c>
      <c r="E2134" s="11" t="s">
        <v>28</v>
      </c>
      <c r="F2134" s="10" t="s">
        <v>28</v>
      </c>
      <c r="G2134" s="10" t="s">
        <v>28</v>
      </c>
      <c r="H2134" s="10" t="s">
        <v>28</v>
      </c>
      <c r="I2134" s="11" t="s">
        <v>28</v>
      </c>
      <c r="J2134" s="11" t="s">
        <v>28</v>
      </c>
      <c r="K2134" s="11" t="s">
        <v>28</v>
      </c>
      <c r="L2134" s="11" t="s">
        <v>28</v>
      </c>
      <c r="M2134" s="11" t="s">
        <v>28</v>
      </c>
      <c r="N2134" s="8">
        <v>44957</v>
      </c>
      <c r="O2134" s="9" t="s">
        <v>41</v>
      </c>
      <c r="P2134" s="12" t="s">
        <v>7403</v>
      </c>
      <c r="Q2134" s="9" t="s">
        <v>75</v>
      </c>
      <c r="R2134" s="14" t="str">
        <f>HYPERLINK("https://my.pitchbook.com?c=216409-06T","View Company Online")</f>
        <v>View Company Online</v>
      </c>
    </row>
    <row r="2135" spans="1:18" hidden="1" x14ac:dyDescent="0.3">
      <c r="A2135" s="15" t="s">
        <v>7404</v>
      </c>
      <c r="B2135" s="15" t="s">
        <v>7405</v>
      </c>
      <c r="C2135" s="18" t="s">
        <v>28</v>
      </c>
      <c r="D2135" s="15" t="s">
        <v>7406</v>
      </c>
      <c r="E2135" s="18" t="s">
        <v>28</v>
      </c>
      <c r="F2135" s="19">
        <v>306.39</v>
      </c>
      <c r="G2135" s="19">
        <v>306.39</v>
      </c>
      <c r="H2135" s="19">
        <v>306.39</v>
      </c>
      <c r="I2135" s="18" t="s">
        <v>28</v>
      </c>
      <c r="J2135" s="18" t="s">
        <v>28</v>
      </c>
      <c r="K2135" s="18" t="s">
        <v>28</v>
      </c>
      <c r="L2135" s="18" t="s">
        <v>28</v>
      </c>
      <c r="M2135" s="18" t="s">
        <v>28</v>
      </c>
      <c r="N2135" s="17">
        <v>44956</v>
      </c>
      <c r="O2135" s="15" t="s">
        <v>30</v>
      </c>
      <c r="P2135" s="16" t="s">
        <v>7407</v>
      </c>
      <c r="Q2135" s="15" t="s">
        <v>226</v>
      </c>
      <c r="R2135" s="13" t="str">
        <f>HYPERLINK("https://my.pitchbook.com?c=214107-31T","View Company Online")</f>
        <v>View Company Online</v>
      </c>
    </row>
    <row r="2136" spans="1:18" hidden="1" x14ac:dyDescent="0.3">
      <c r="A2136" s="9" t="s">
        <v>7408</v>
      </c>
      <c r="B2136" s="9" t="s">
        <v>7409</v>
      </c>
      <c r="C2136" s="11" t="s">
        <v>28</v>
      </c>
      <c r="D2136" s="9" t="s">
        <v>7410</v>
      </c>
      <c r="E2136" s="11" t="s">
        <v>28</v>
      </c>
      <c r="F2136" s="10">
        <v>5.94</v>
      </c>
      <c r="G2136" s="10">
        <v>4.16</v>
      </c>
      <c r="H2136" s="10">
        <v>5.94</v>
      </c>
      <c r="I2136" s="11" t="s">
        <v>28</v>
      </c>
      <c r="J2136" s="11" t="s">
        <v>28</v>
      </c>
      <c r="K2136" s="11" t="s">
        <v>28</v>
      </c>
      <c r="L2136" s="11" t="s">
        <v>28</v>
      </c>
      <c r="M2136" s="11" t="s">
        <v>28</v>
      </c>
      <c r="N2136" s="8">
        <v>44956</v>
      </c>
      <c r="O2136" s="9" t="s">
        <v>41</v>
      </c>
      <c r="P2136" s="12" t="s">
        <v>7411</v>
      </c>
      <c r="Q2136" s="9" t="s">
        <v>1007</v>
      </c>
      <c r="R2136" s="14" t="str">
        <f>HYPERLINK("https://my.pitchbook.com?c=213967-99T","View Company Online")</f>
        <v>View Company Online</v>
      </c>
    </row>
    <row r="2137" spans="1:18" hidden="1" x14ac:dyDescent="0.3">
      <c r="A2137" s="15" t="s">
        <v>7412</v>
      </c>
      <c r="B2137" s="15" t="s">
        <v>7413</v>
      </c>
      <c r="C2137" s="18" t="s">
        <v>28</v>
      </c>
      <c r="D2137" s="15" t="s">
        <v>7414</v>
      </c>
      <c r="E2137" s="18" t="s">
        <v>28</v>
      </c>
      <c r="F2137" s="19">
        <v>6.32</v>
      </c>
      <c r="G2137" s="19">
        <v>6.32</v>
      </c>
      <c r="H2137" s="19">
        <v>6.32</v>
      </c>
      <c r="I2137" s="18" t="s">
        <v>28</v>
      </c>
      <c r="J2137" s="18" t="s">
        <v>28</v>
      </c>
      <c r="K2137" s="18" t="s">
        <v>28</v>
      </c>
      <c r="L2137" s="18" t="s">
        <v>28</v>
      </c>
      <c r="M2137" s="18" t="s">
        <v>28</v>
      </c>
      <c r="N2137" s="17">
        <v>44956</v>
      </c>
      <c r="O2137" s="15" t="s">
        <v>30</v>
      </c>
      <c r="P2137" s="16" t="s">
        <v>6228</v>
      </c>
      <c r="Q2137" s="15" t="s">
        <v>522</v>
      </c>
      <c r="R2137" s="13" t="str">
        <f>HYPERLINK("https://my.pitchbook.com?c=214194-88T","View Company Online")</f>
        <v>View Company Online</v>
      </c>
    </row>
    <row r="2138" spans="1:18" hidden="1" x14ac:dyDescent="0.3">
      <c r="A2138" s="9" t="s">
        <v>7415</v>
      </c>
      <c r="B2138" s="9" t="s">
        <v>7416</v>
      </c>
      <c r="C2138" s="11" t="s">
        <v>28</v>
      </c>
      <c r="D2138" s="9" t="s">
        <v>7417</v>
      </c>
      <c r="E2138" s="11" t="s">
        <v>28</v>
      </c>
      <c r="F2138" s="10">
        <v>1.1499999999999999</v>
      </c>
      <c r="G2138" s="10">
        <v>1.1499999999999999</v>
      </c>
      <c r="H2138" s="10">
        <v>1.1499999999999999</v>
      </c>
      <c r="I2138" s="11" t="s">
        <v>28</v>
      </c>
      <c r="J2138" s="11" t="s">
        <v>28</v>
      </c>
      <c r="K2138" s="11" t="s">
        <v>28</v>
      </c>
      <c r="L2138" s="11" t="s">
        <v>28</v>
      </c>
      <c r="M2138" s="11" t="s">
        <v>28</v>
      </c>
      <c r="N2138" s="8">
        <v>44956</v>
      </c>
      <c r="O2138" s="9" t="s">
        <v>30</v>
      </c>
      <c r="P2138" s="12" t="s">
        <v>7418</v>
      </c>
      <c r="Q2138" s="9" t="s">
        <v>1793</v>
      </c>
      <c r="R2138" s="14" t="str">
        <f>HYPERLINK("https://my.pitchbook.com?c=214069-87T","View Company Online")</f>
        <v>View Company Online</v>
      </c>
    </row>
    <row r="2139" spans="1:18" hidden="1" x14ac:dyDescent="0.3">
      <c r="A2139" s="15" t="s">
        <v>7419</v>
      </c>
      <c r="B2139" s="15" t="s">
        <v>7420</v>
      </c>
      <c r="C2139" s="18" t="s">
        <v>28</v>
      </c>
      <c r="D2139" s="15" t="s">
        <v>7421</v>
      </c>
      <c r="E2139" s="18" t="s">
        <v>28</v>
      </c>
      <c r="F2139" s="19" t="s">
        <v>28</v>
      </c>
      <c r="G2139" s="19" t="s">
        <v>28</v>
      </c>
      <c r="H2139" s="19" t="s">
        <v>28</v>
      </c>
      <c r="I2139" s="18" t="s">
        <v>28</v>
      </c>
      <c r="J2139" s="18" t="s">
        <v>28</v>
      </c>
      <c r="K2139" s="18" t="s">
        <v>28</v>
      </c>
      <c r="L2139" s="18" t="s">
        <v>28</v>
      </c>
      <c r="M2139" s="18" t="s">
        <v>28</v>
      </c>
      <c r="N2139" s="17">
        <v>44956</v>
      </c>
      <c r="O2139" s="15" t="s">
        <v>30</v>
      </c>
      <c r="P2139" s="16" t="s">
        <v>7422</v>
      </c>
      <c r="Q2139" s="15" t="s">
        <v>75</v>
      </c>
      <c r="R2139" s="13" t="str">
        <f>HYPERLINK("https://my.pitchbook.com?c=227555-11T","View Company Online")</f>
        <v>View Company Online</v>
      </c>
    </row>
    <row r="2140" spans="1:18" hidden="1" x14ac:dyDescent="0.3">
      <c r="A2140" s="9" t="s">
        <v>7423</v>
      </c>
      <c r="B2140" s="9" t="s">
        <v>7424</v>
      </c>
      <c r="C2140" s="11" t="s">
        <v>28</v>
      </c>
      <c r="D2140" s="9" t="s">
        <v>7425</v>
      </c>
      <c r="E2140" s="11" t="s">
        <v>28</v>
      </c>
      <c r="F2140" s="10" t="s">
        <v>28</v>
      </c>
      <c r="G2140" s="10">
        <v>21.06</v>
      </c>
      <c r="H2140" s="10">
        <v>147.41</v>
      </c>
      <c r="I2140" s="11" t="s">
        <v>28</v>
      </c>
      <c r="J2140" s="11" t="s">
        <v>28</v>
      </c>
      <c r="K2140" s="11" t="s">
        <v>28</v>
      </c>
      <c r="L2140" s="11" t="s">
        <v>28</v>
      </c>
      <c r="M2140" s="11" t="s">
        <v>28</v>
      </c>
      <c r="N2140" s="8">
        <v>44956</v>
      </c>
      <c r="O2140" s="9" t="s">
        <v>93</v>
      </c>
      <c r="P2140" s="12" t="s">
        <v>7426</v>
      </c>
      <c r="Q2140" s="9" t="s">
        <v>37</v>
      </c>
      <c r="R2140" s="14" t="str">
        <f>HYPERLINK("https://my.pitchbook.com?c=214645-33T","View Company Online")</f>
        <v>View Company Online</v>
      </c>
    </row>
    <row r="2141" spans="1:18" hidden="1" x14ac:dyDescent="0.3">
      <c r="A2141" s="15" t="s">
        <v>7427</v>
      </c>
      <c r="B2141" s="15" t="s">
        <v>7428</v>
      </c>
      <c r="C2141" s="18" t="s">
        <v>28</v>
      </c>
      <c r="D2141" s="15" t="s">
        <v>7429</v>
      </c>
      <c r="E2141" s="18" t="s">
        <v>28</v>
      </c>
      <c r="F2141" s="19" t="s">
        <v>28</v>
      </c>
      <c r="G2141" s="19">
        <v>8.23</v>
      </c>
      <c r="H2141" s="19" t="s">
        <v>28</v>
      </c>
      <c r="I2141" s="18" t="s">
        <v>28</v>
      </c>
      <c r="J2141" s="18" t="s">
        <v>28</v>
      </c>
      <c r="K2141" s="18" t="s">
        <v>28</v>
      </c>
      <c r="L2141" s="18" t="s">
        <v>28</v>
      </c>
      <c r="M2141" s="18" t="s">
        <v>28</v>
      </c>
      <c r="N2141" s="17">
        <v>44956</v>
      </c>
      <c r="O2141" s="15" t="s">
        <v>79</v>
      </c>
      <c r="P2141" s="16" t="s">
        <v>7430</v>
      </c>
      <c r="Q2141" s="15" t="s">
        <v>114</v>
      </c>
      <c r="R2141" s="13" t="str">
        <f>HYPERLINK("https://my.pitchbook.com?c=179936-38T","View Company Online")</f>
        <v>View Company Online</v>
      </c>
    </row>
    <row r="2142" spans="1:18" hidden="1" x14ac:dyDescent="0.3">
      <c r="A2142" s="9" t="s">
        <v>7431</v>
      </c>
      <c r="B2142" s="9" t="s">
        <v>2332</v>
      </c>
      <c r="C2142" s="11" t="s">
        <v>28</v>
      </c>
      <c r="D2142" s="9" t="s">
        <v>2333</v>
      </c>
      <c r="E2142" s="11" t="s">
        <v>28</v>
      </c>
      <c r="F2142" s="10">
        <v>47.87</v>
      </c>
      <c r="G2142" s="10">
        <v>47.87</v>
      </c>
      <c r="H2142" s="10">
        <v>47.87</v>
      </c>
      <c r="I2142" s="11" t="s">
        <v>28</v>
      </c>
      <c r="J2142" s="11" t="s">
        <v>28</v>
      </c>
      <c r="K2142" s="11" t="s">
        <v>28</v>
      </c>
      <c r="L2142" s="11" t="s">
        <v>28</v>
      </c>
      <c r="M2142" s="11" t="s">
        <v>28</v>
      </c>
      <c r="N2142" s="8">
        <v>44956</v>
      </c>
      <c r="O2142" s="9" t="s">
        <v>30</v>
      </c>
      <c r="P2142" s="12" t="s">
        <v>7432</v>
      </c>
      <c r="Q2142" s="9" t="s">
        <v>692</v>
      </c>
      <c r="R2142" s="14" t="str">
        <f>HYPERLINK("https://my.pitchbook.com?c=214085-17T","View Company Online")</f>
        <v>View Company Online</v>
      </c>
    </row>
    <row r="2143" spans="1:18" hidden="1" x14ac:dyDescent="0.3">
      <c r="A2143" s="15" t="s">
        <v>7433</v>
      </c>
      <c r="B2143" s="15" t="s">
        <v>7434</v>
      </c>
      <c r="C2143" s="18" t="s">
        <v>28</v>
      </c>
      <c r="D2143" s="15" t="s">
        <v>7435</v>
      </c>
      <c r="E2143" s="18" t="s">
        <v>28</v>
      </c>
      <c r="F2143" s="19" t="s">
        <v>28</v>
      </c>
      <c r="G2143" s="19" t="s">
        <v>28</v>
      </c>
      <c r="H2143" s="19" t="s">
        <v>28</v>
      </c>
      <c r="I2143" s="18" t="s">
        <v>28</v>
      </c>
      <c r="J2143" s="18" t="s">
        <v>28</v>
      </c>
      <c r="K2143" s="18" t="s">
        <v>28</v>
      </c>
      <c r="L2143" s="18" t="s">
        <v>28</v>
      </c>
      <c r="M2143" s="18" t="s">
        <v>28</v>
      </c>
      <c r="N2143" s="17">
        <v>44953</v>
      </c>
      <c r="O2143" s="15" t="s">
        <v>30</v>
      </c>
      <c r="P2143" s="16" t="s">
        <v>7436</v>
      </c>
      <c r="Q2143" s="15" t="s">
        <v>245</v>
      </c>
      <c r="R2143" s="13" t="str">
        <f>HYPERLINK("https://my.pitchbook.com?c=215990-56T","View Company Online")</f>
        <v>View Company Online</v>
      </c>
    </row>
    <row r="2144" spans="1:18" hidden="1" x14ac:dyDescent="0.3">
      <c r="A2144" s="9" t="s">
        <v>7437</v>
      </c>
      <c r="B2144" s="9" t="s">
        <v>7438</v>
      </c>
      <c r="C2144" s="11" t="s">
        <v>28</v>
      </c>
      <c r="D2144" s="9" t="s">
        <v>7439</v>
      </c>
      <c r="E2144" s="11" t="s">
        <v>28</v>
      </c>
      <c r="F2144" s="10" t="s">
        <v>28</v>
      </c>
      <c r="G2144" s="10">
        <v>2.0099999999999998</v>
      </c>
      <c r="H2144" s="10" t="s">
        <v>28</v>
      </c>
      <c r="I2144" s="11" t="s">
        <v>28</v>
      </c>
      <c r="J2144" s="11" t="s">
        <v>28</v>
      </c>
      <c r="K2144" s="11" t="s">
        <v>28</v>
      </c>
      <c r="L2144" s="11" t="s">
        <v>28</v>
      </c>
      <c r="M2144" s="11" t="s">
        <v>28</v>
      </c>
      <c r="N2144" s="8">
        <v>44953</v>
      </c>
      <c r="O2144" s="9" t="s">
        <v>73</v>
      </c>
      <c r="P2144" s="12" t="s">
        <v>7440</v>
      </c>
      <c r="Q2144" s="9" t="s">
        <v>1238</v>
      </c>
      <c r="R2144" s="14" t="str">
        <f>HYPERLINK("https://my.pitchbook.com?c=258380-47T","View Company Online")</f>
        <v>View Company Online</v>
      </c>
    </row>
    <row r="2145" spans="1:18" hidden="1" x14ac:dyDescent="0.3">
      <c r="A2145" s="15" t="s">
        <v>7441</v>
      </c>
      <c r="B2145" s="15" t="s">
        <v>4307</v>
      </c>
      <c r="C2145" s="18" t="s">
        <v>28</v>
      </c>
      <c r="D2145" s="15" t="s">
        <v>4308</v>
      </c>
      <c r="E2145" s="18" t="s">
        <v>28</v>
      </c>
      <c r="F2145" s="19" t="s">
        <v>28</v>
      </c>
      <c r="G2145" s="19">
        <v>1.92</v>
      </c>
      <c r="H2145" s="19" t="s">
        <v>28</v>
      </c>
      <c r="I2145" s="18" t="s">
        <v>28</v>
      </c>
      <c r="J2145" s="18" t="s">
        <v>28</v>
      </c>
      <c r="K2145" s="18" t="s">
        <v>28</v>
      </c>
      <c r="L2145" s="18" t="s">
        <v>28</v>
      </c>
      <c r="M2145" s="18" t="s">
        <v>28</v>
      </c>
      <c r="N2145" s="17">
        <v>44953</v>
      </c>
      <c r="O2145" s="15" t="s">
        <v>99</v>
      </c>
      <c r="P2145" s="16" t="s">
        <v>7442</v>
      </c>
      <c r="Q2145" s="15" t="s">
        <v>1035</v>
      </c>
      <c r="R2145" s="13" t="str">
        <f>HYPERLINK("https://my.pitchbook.com?c=213978-52T","View Company Online")</f>
        <v>View Company Online</v>
      </c>
    </row>
    <row r="2146" spans="1:18" hidden="1" x14ac:dyDescent="0.3">
      <c r="A2146" s="9" t="s">
        <v>7443</v>
      </c>
      <c r="B2146" s="9" t="s">
        <v>7444</v>
      </c>
      <c r="C2146" s="11" t="s">
        <v>28</v>
      </c>
      <c r="D2146" s="9" t="s">
        <v>7445</v>
      </c>
      <c r="E2146" s="11" t="s">
        <v>28</v>
      </c>
      <c r="F2146" s="10" t="s">
        <v>28</v>
      </c>
      <c r="G2146" s="10" t="s">
        <v>28</v>
      </c>
      <c r="H2146" s="10" t="s">
        <v>28</v>
      </c>
      <c r="I2146" s="11" t="s">
        <v>28</v>
      </c>
      <c r="J2146" s="11" t="s">
        <v>28</v>
      </c>
      <c r="K2146" s="11" t="s">
        <v>28</v>
      </c>
      <c r="L2146" s="11" t="s">
        <v>28</v>
      </c>
      <c r="M2146" s="11" t="s">
        <v>28</v>
      </c>
      <c r="N2146" s="8">
        <v>44952</v>
      </c>
      <c r="O2146" s="9" t="s">
        <v>52</v>
      </c>
      <c r="P2146" s="12" t="s">
        <v>408</v>
      </c>
      <c r="Q2146" s="9" t="s">
        <v>607</v>
      </c>
      <c r="R2146" s="14" t="str">
        <f>HYPERLINK("https://my.pitchbook.com?c=252558-91T","View Company Online")</f>
        <v>View Company Online</v>
      </c>
    </row>
    <row r="2147" spans="1:18" hidden="1" x14ac:dyDescent="0.3">
      <c r="A2147" s="15" t="s">
        <v>7446</v>
      </c>
      <c r="B2147" s="15" t="s">
        <v>7447</v>
      </c>
      <c r="C2147" s="18" t="s">
        <v>28</v>
      </c>
      <c r="D2147" s="15" t="s">
        <v>7448</v>
      </c>
      <c r="E2147" s="18" t="s">
        <v>28</v>
      </c>
      <c r="F2147" s="19" t="s">
        <v>28</v>
      </c>
      <c r="G2147" s="19" t="s">
        <v>28</v>
      </c>
      <c r="H2147" s="19" t="s">
        <v>28</v>
      </c>
      <c r="I2147" s="18" t="s">
        <v>28</v>
      </c>
      <c r="J2147" s="18" t="s">
        <v>28</v>
      </c>
      <c r="K2147" s="18" t="s">
        <v>28</v>
      </c>
      <c r="L2147" s="18" t="s">
        <v>28</v>
      </c>
      <c r="M2147" s="18" t="s">
        <v>28</v>
      </c>
      <c r="N2147" s="17">
        <v>44952</v>
      </c>
      <c r="O2147" s="15" t="s">
        <v>30</v>
      </c>
      <c r="P2147" s="16" t="s">
        <v>4961</v>
      </c>
      <c r="Q2147" s="15" t="s">
        <v>7449</v>
      </c>
      <c r="R2147" s="13" t="str">
        <f>HYPERLINK("https://my.pitchbook.com?c=213891-49T","View Company Online")</f>
        <v>View Company Online</v>
      </c>
    </row>
    <row r="2148" spans="1:18" hidden="1" x14ac:dyDescent="0.3">
      <c r="A2148" s="9" t="s">
        <v>7450</v>
      </c>
      <c r="B2148" s="9" t="s">
        <v>7451</v>
      </c>
      <c r="C2148" s="11" t="s">
        <v>28</v>
      </c>
      <c r="D2148" s="9" t="s">
        <v>7452</v>
      </c>
      <c r="E2148" s="11" t="s">
        <v>28</v>
      </c>
      <c r="F2148" s="10" t="s">
        <v>28</v>
      </c>
      <c r="G2148" s="10" t="s">
        <v>28</v>
      </c>
      <c r="H2148" s="10" t="s">
        <v>28</v>
      </c>
      <c r="I2148" s="11" t="s">
        <v>28</v>
      </c>
      <c r="J2148" s="11" t="s">
        <v>28</v>
      </c>
      <c r="K2148" s="11" t="s">
        <v>28</v>
      </c>
      <c r="L2148" s="11" t="s">
        <v>28</v>
      </c>
      <c r="M2148" s="11" t="s">
        <v>28</v>
      </c>
      <c r="N2148" s="8">
        <v>44952</v>
      </c>
      <c r="O2148" s="9" t="s">
        <v>52</v>
      </c>
      <c r="P2148" s="12" t="s">
        <v>408</v>
      </c>
      <c r="Q2148" s="9" t="s">
        <v>136</v>
      </c>
      <c r="R2148" s="14" t="str">
        <f>HYPERLINK("https://my.pitchbook.com?c=252597-16T","View Company Online")</f>
        <v>View Company Online</v>
      </c>
    </row>
    <row r="2149" spans="1:18" hidden="1" x14ac:dyDescent="0.3">
      <c r="A2149" s="15" t="s">
        <v>7453</v>
      </c>
      <c r="B2149" s="15" t="s">
        <v>7454</v>
      </c>
      <c r="C2149" s="18" t="s">
        <v>28</v>
      </c>
      <c r="D2149" s="15" t="s">
        <v>7455</v>
      </c>
      <c r="E2149" s="18" t="s">
        <v>28</v>
      </c>
      <c r="F2149" s="19" t="s">
        <v>28</v>
      </c>
      <c r="G2149" s="19" t="s">
        <v>28</v>
      </c>
      <c r="H2149" s="19" t="s">
        <v>28</v>
      </c>
      <c r="I2149" s="18" t="s">
        <v>28</v>
      </c>
      <c r="J2149" s="18" t="s">
        <v>28</v>
      </c>
      <c r="K2149" s="18" t="s">
        <v>28</v>
      </c>
      <c r="L2149" s="18" t="s">
        <v>28</v>
      </c>
      <c r="M2149" s="18" t="s">
        <v>28</v>
      </c>
      <c r="N2149" s="17">
        <v>44952</v>
      </c>
      <c r="O2149" s="15" t="s">
        <v>58</v>
      </c>
      <c r="P2149" s="16" t="s">
        <v>7456</v>
      </c>
      <c r="Q2149" s="15" t="s">
        <v>1007</v>
      </c>
      <c r="R2149" s="13" t="str">
        <f>HYPERLINK("https://my.pitchbook.com?c=213994-00T","View Company Online")</f>
        <v>View Company Online</v>
      </c>
    </row>
    <row r="2150" spans="1:18" hidden="1" x14ac:dyDescent="0.3">
      <c r="A2150" s="9" t="s">
        <v>7457</v>
      </c>
      <c r="B2150" s="9" t="s">
        <v>7458</v>
      </c>
      <c r="C2150" s="11" t="s">
        <v>28</v>
      </c>
      <c r="D2150" s="9" t="s">
        <v>7459</v>
      </c>
      <c r="E2150" s="11" t="s">
        <v>28</v>
      </c>
      <c r="F2150" s="10" t="s">
        <v>28</v>
      </c>
      <c r="G2150" s="10">
        <v>0.21</v>
      </c>
      <c r="H2150" s="10" t="s">
        <v>28</v>
      </c>
      <c r="I2150" s="11" t="s">
        <v>28</v>
      </c>
      <c r="J2150" s="11" t="s">
        <v>28</v>
      </c>
      <c r="K2150" s="11">
        <v>0.57999999999999996</v>
      </c>
      <c r="L2150" s="11" t="s">
        <v>28</v>
      </c>
      <c r="M2150" s="11" t="s">
        <v>28</v>
      </c>
      <c r="N2150" s="8">
        <v>44951</v>
      </c>
      <c r="O2150" s="9" t="s">
        <v>79</v>
      </c>
      <c r="P2150" s="12" t="s">
        <v>7460</v>
      </c>
      <c r="Q2150" s="9" t="s">
        <v>136</v>
      </c>
      <c r="R2150" s="14" t="str">
        <f>HYPERLINK("https://my.pitchbook.com?c=213805-36T","View Company Online")</f>
        <v>View Company Online</v>
      </c>
    </row>
    <row r="2151" spans="1:18" hidden="1" x14ac:dyDescent="0.3">
      <c r="A2151" s="15" t="s">
        <v>7461</v>
      </c>
      <c r="B2151" s="15" t="s">
        <v>7462</v>
      </c>
      <c r="C2151" s="18" t="s">
        <v>28</v>
      </c>
      <c r="D2151" s="15" t="s">
        <v>7463</v>
      </c>
      <c r="E2151" s="18" t="s">
        <v>28</v>
      </c>
      <c r="F2151" s="19" t="s">
        <v>28</v>
      </c>
      <c r="G2151" s="19">
        <v>1000</v>
      </c>
      <c r="H2151" s="19" t="s">
        <v>28</v>
      </c>
      <c r="I2151" s="18" t="s">
        <v>28</v>
      </c>
      <c r="J2151" s="18" t="s">
        <v>28</v>
      </c>
      <c r="K2151" s="18" t="s">
        <v>28</v>
      </c>
      <c r="L2151" s="18" t="s">
        <v>28</v>
      </c>
      <c r="M2151" s="18" t="s">
        <v>28</v>
      </c>
      <c r="N2151" s="17">
        <v>44950</v>
      </c>
      <c r="O2151" s="15" t="s">
        <v>173</v>
      </c>
      <c r="P2151" s="16" t="s">
        <v>28</v>
      </c>
      <c r="Q2151" s="15" t="s">
        <v>59</v>
      </c>
      <c r="R2151" s="13" t="str">
        <f>HYPERLINK("https://my.pitchbook.com?c=220066-12T","View Company Online")</f>
        <v>View Company Online</v>
      </c>
    </row>
    <row r="2152" spans="1:18" hidden="1" x14ac:dyDescent="0.3">
      <c r="A2152" s="9" t="s">
        <v>7464</v>
      </c>
      <c r="B2152" s="9" t="s">
        <v>7465</v>
      </c>
      <c r="C2152" s="11" t="s">
        <v>28</v>
      </c>
      <c r="D2152" s="9" t="s">
        <v>7466</v>
      </c>
      <c r="E2152" s="11" t="s">
        <v>28</v>
      </c>
      <c r="F2152" s="10" t="s">
        <v>28</v>
      </c>
      <c r="G2152" s="10">
        <v>0.38</v>
      </c>
      <c r="H2152" s="10">
        <v>4.4000000000000004</v>
      </c>
      <c r="I2152" s="11" t="s">
        <v>28</v>
      </c>
      <c r="J2152" s="11" t="s">
        <v>28</v>
      </c>
      <c r="K2152" s="11" t="s">
        <v>28</v>
      </c>
      <c r="L2152" s="11" t="s">
        <v>28</v>
      </c>
      <c r="M2152" s="11" t="s">
        <v>28</v>
      </c>
      <c r="N2152" s="8">
        <v>44950</v>
      </c>
      <c r="O2152" s="9" t="s">
        <v>99</v>
      </c>
      <c r="P2152" s="12" t="s">
        <v>7467</v>
      </c>
      <c r="Q2152" s="9" t="s">
        <v>1191</v>
      </c>
      <c r="R2152" s="14" t="str">
        <f>HYPERLINK("https://my.pitchbook.com?c=241491-97T","View Company Online")</f>
        <v>View Company Online</v>
      </c>
    </row>
    <row r="2153" spans="1:18" hidden="1" x14ac:dyDescent="0.3">
      <c r="A2153" s="15" t="s">
        <v>7468</v>
      </c>
      <c r="B2153" s="15" t="s">
        <v>7469</v>
      </c>
      <c r="C2153" s="18" t="s">
        <v>28</v>
      </c>
      <c r="D2153" s="15" t="s">
        <v>7470</v>
      </c>
      <c r="E2153" s="18" t="s">
        <v>28</v>
      </c>
      <c r="F2153" s="19" t="s">
        <v>28</v>
      </c>
      <c r="G2153" s="19" t="s">
        <v>28</v>
      </c>
      <c r="H2153" s="19" t="s">
        <v>28</v>
      </c>
      <c r="I2153" s="18" t="s">
        <v>28</v>
      </c>
      <c r="J2153" s="18" t="s">
        <v>28</v>
      </c>
      <c r="K2153" s="18" t="s">
        <v>28</v>
      </c>
      <c r="L2153" s="18" t="s">
        <v>28</v>
      </c>
      <c r="M2153" s="18" t="s">
        <v>28</v>
      </c>
      <c r="N2153" s="17">
        <v>44950</v>
      </c>
      <c r="O2153" s="15" t="s">
        <v>30</v>
      </c>
      <c r="P2153" s="16" t="s">
        <v>7471</v>
      </c>
      <c r="Q2153" s="15" t="s">
        <v>245</v>
      </c>
      <c r="R2153" s="13" t="str">
        <f>HYPERLINK("https://my.pitchbook.com?c=213715-72T","View Company Online")</f>
        <v>View Company Online</v>
      </c>
    </row>
    <row r="2154" spans="1:18" hidden="1" x14ac:dyDescent="0.3">
      <c r="A2154" s="9" t="s">
        <v>7472</v>
      </c>
      <c r="B2154" s="9" t="s">
        <v>7473</v>
      </c>
      <c r="C2154" s="11" t="s">
        <v>28</v>
      </c>
      <c r="D2154" s="9" t="s">
        <v>7474</v>
      </c>
      <c r="E2154" s="11" t="s">
        <v>28</v>
      </c>
      <c r="F2154" s="10" t="s">
        <v>28</v>
      </c>
      <c r="G2154" s="10">
        <v>5.74</v>
      </c>
      <c r="H2154" s="10" t="s">
        <v>28</v>
      </c>
      <c r="I2154" s="11" t="s">
        <v>28</v>
      </c>
      <c r="J2154" s="11" t="s">
        <v>28</v>
      </c>
      <c r="K2154" s="11" t="s">
        <v>28</v>
      </c>
      <c r="L2154" s="11" t="s">
        <v>28</v>
      </c>
      <c r="M2154" s="11" t="s">
        <v>28</v>
      </c>
      <c r="N2154" s="8">
        <v>44949</v>
      </c>
      <c r="O2154" s="9" t="s">
        <v>79</v>
      </c>
      <c r="P2154" s="12" t="s">
        <v>1132</v>
      </c>
      <c r="Q2154" s="9" t="s">
        <v>583</v>
      </c>
      <c r="R2154" s="14" t="str">
        <f>HYPERLINK("https://my.pitchbook.com?c=213818-23T","View Company Online")</f>
        <v>View Company Online</v>
      </c>
    </row>
    <row r="2155" spans="1:18" hidden="1" x14ac:dyDescent="0.3">
      <c r="A2155" s="15" t="s">
        <v>7475</v>
      </c>
      <c r="B2155" s="15" t="s">
        <v>7476</v>
      </c>
      <c r="C2155" s="18" t="s">
        <v>28</v>
      </c>
      <c r="D2155" s="15" t="s">
        <v>7477</v>
      </c>
      <c r="E2155" s="18" t="s">
        <v>28</v>
      </c>
      <c r="F2155" s="19" t="s">
        <v>28</v>
      </c>
      <c r="G2155" s="19">
        <v>15</v>
      </c>
      <c r="H2155" s="19" t="s">
        <v>28</v>
      </c>
      <c r="I2155" s="18" t="s">
        <v>28</v>
      </c>
      <c r="J2155" s="18" t="s">
        <v>28</v>
      </c>
      <c r="K2155" s="18" t="s">
        <v>28</v>
      </c>
      <c r="L2155" s="18" t="s">
        <v>28</v>
      </c>
      <c r="M2155" s="18" t="s">
        <v>28</v>
      </c>
      <c r="N2155" s="17">
        <v>44949</v>
      </c>
      <c r="O2155" s="15" t="s">
        <v>79</v>
      </c>
      <c r="P2155" s="16" t="s">
        <v>7478</v>
      </c>
      <c r="Q2155" s="15" t="s">
        <v>37</v>
      </c>
      <c r="R2155" s="13" t="str">
        <f>HYPERLINK("https://my.pitchbook.com?c=246224-71T","View Company Online")</f>
        <v>View Company Online</v>
      </c>
    </row>
    <row r="2156" spans="1:18" hidden="1" x14ac:dyDescent="0.3">
      <c r="A2156" s="9" t="s">
        <v>7479</v>
      </c>
      <c r="B2156" s="9" t="s">
        <v>3533</v>
      </c>
      <c r="C2156" s="11" t="s">
        <v>28</v>
      </c>
      <c r="D2156" s="9" t="s">
        <v>3534</v>
      </c>
      <c r="E2156" s="11" t="s">
        <v>28</v>
      </c>
      <c r="F2156" s="10" t="s">
        <v>28</v>
      </c>
      <c r="G2156" s="10">
        <v>0.67</v>
      </c>
      <c r="H2156" s="10" t="s">
        <v>28</v>
      </c>
      <c r="I2156" s="11" t="s">
        <v>28</v>
      </c>
      <c r="J2156" s="11" t="s">
        <v>28</v>
      </c>
      <c r="K2156" s="11" t="s">
        <v>28</v>
      </c>
      <c r="L2156" s="11" t="s">
        <v>28</v>
      </c>
      <c r="M2156" s="11" t="s">
        <v>28</v>
      </c>
      <c r="N2156" s="8">
        <v>44949</v>
      </c>
      <c r="O2156" s="9" t="s">
        <v>99</v>
      </c>
      <c r="P2156" s="12" t="s">
        <v>7480</v>
      </c>
      <c r="Q2156" s="9" t="s">
        <v>75</v>
      </c>
      <c r="R2156" s="14" t="str">
        <f>HYPERLINK("https://my.pitchbook.com?c=213605-47T","View Company Online")</f>
        <v>View Company Online</v>
      </c>
    </row>
    <row r="2157" spans="1:18" hidden="1" x14ac:dyDescent="0.3">
      <c r="A2157" s="15" t="s">
        <v>7481</v>
      </c>
      <c r="B2157" s="15" t="s">
        <v>3533</v>
      </c>
      <c r="C2157" s="18" t="s">
        <v>28</v>
      </c>
      <c r="D2157" s="15" t="s">
        <v>3534</v>
      </c>
      <c r="E2157" s="18" t="s">
        <v>28</v>
      </c>
      <c r="F2157" s="19" t="s">
        <v>28</v>
      </c>
      <c r="G2157" s="19" t="s">
        <v>28</v>
      </c>
      <c r="H2157" s="19" t="s">
        <v>28</v>
      </c>
      <c r="I2157" s="18" t="s">
        <v>28</v>
      </c>
      <c r="J2157" s="18" t="s">
        <v>28</v>
      </c>
      <c r="K2157" s="18" t="s">
        <v>28</v>
      </c>
      <c r="L2157" s="18" t="s">
        <v>28</v>
      </c>
      <c r="M2157" s="18" t="s">
        <v>28</v>
      </c>
      <c r="N2157" s="17">
        <v>44949</v>
      </c>
      <c r="O2157" s="15" t="s">
        <v>79</v>
      </c>
      <c r="P2157" s="16" t="s">
        <v>28</v>
      </c>
      <c r="Q2157" s="15" t="s">
        <v>75</v>
      </c>
      <c r="R2157" s="13" t="str">
        <f>HYPERLINK("https://my.pitchbook.com?c=213605-56T","View Company Online")</f>
        <v>View Company Online</v>
      </c>
    </row>
    <row r="2158" spans="1:18" hidden="1" x14ac:dyDescent="0.3">
      <c r="A2158" s="9" t="s">
        <v>7482</v>
      </c>
      <c r="B2158" s="9" t="s">
        <v>7483</v>
      </c>
      <c r="C2158" s="11" t="s">
        <v>28</v>
      </c>
      <c r="D2158" s="9" t="s">
        <v>7484</v>
      </c>
      <c r="E2158" s="11" t="s">
        <v>28</v>
      </c>
      <c r="F2158" s="10" t="s">
        <v>28</v>
      </c>
      <c r="G2158" s="10" t="s">
        <v>28</v>
      </c>
      <c r="H2158" s="10" t="s">
        <v>28</v>
      </c>
      <c r="I2158" s="11" t="s">
        <v>28</v>
      </c>
      <c r="J2158" s="11" t="s">
        <v>28</v>
      </c>
      <c r="K2158" s="11" t="s">
        <v>28</v>
      </c>
      <c r="L2158" s="11" t="s">
        <v>28</v>
      </c>
      <c r="M2158" s="11" t="s">
        <v>28</v>
      </c>
      <c r="N2158" s="8">
        <v>44946</v>
      </c>
      <c r="O2158" s="9" t="s">
        <v>52</v>
      </c>
      <c r="P2158" s="12" t="s">
        <v>7485</v>
      </c>
      <c r="Q2158" s="9" t="s">
        <v>419</v>
      </c>
      <c r="R2158" s="14" t="str">
        <f>HYPERLINK("https://my.pitchbook.com?c=279099-46T","View Company Online")</f>
        <v>View Company Online</v>
      </c>
    </row>
    <row r="2159" spans="1:18" hidden="1" x14ac:dyDescent="0.3">
      <c r="A2159" s="15" t="s">
        <v>7486</v>
      </c>
      <c r="B2159" s="15" t="s">
        <v>7487</v>
      </c>
      <c r="C2159" s="18" t="s">
        <v>28</v>
      </c>
      <c r="D2159" s="15" t="s">
        <v>7488</v>
      </c>
      <c r="E2159" s="18" t="s">
        <v>28</v>
      </c>
      <c r="F2159" s="19" t="s">
        <v>28</v>
      </c>
      <c r="G2159" s="19" t="s">
        <v>28</v>
      </c>
      <c r="H2159" s="19" t="s">
        <v>28</v>
      </c>
      <c r="I2159" s="18" t="s">
        <v>28</v>
      </c>
      <c r="J2159" s="18" t="s">
        <v>28</v>
      </c>
      <c r="K2159" s="18" t="s">
        <v>28</v>
      </c>
      <c r="L2159" s="18" t="s">
        <v>28</v>
      </c>
      <c r="M2159" s="18" t="s">
        <v>28</v>
      </c>
      <c r="N2159" s="17">
        <v>44945</v>
      </c>
      <c r="O2159" s="15" t="s">
        <v>58</v>
      </c>
      <c r="P2159" s="16" t="s">
        <v>7489</v>
      </c>
      <c r="Q2159" s="15" t="s">
        <v>832</v>
      </c>
      <c r="R2159" s="13" t="str">
        <f>HYPERLINK("https://my.pitchbook.com?c=213316-66T","View Company Online")</f>
        <v>View Company Online</v>
      </c>
    </row>
    <row r="2160" spans="1:18" hidden="1" x14ac:dyDescent="0.3">
      <c r="A2160" s="9" t="s">
        <v>7490</v>
      </c>
      <c r="B2160" s="9" t="s">
        <v>7491</v>
      </c>
      <c r="C2160" s="11" t="s">
        <v>28</v>
      </c>
      <c r="D2160" s="9" t="s">
        <v>7492</v>
      </c>
      <c r="E2160" s="11" t="s">
        <v>28</v>
      </c>
      <c r="F2160" s="10" t="s">
        <v>28</v>
      </c>
      <c r="G2160" s="10">
        <v>40</v>
      </c>
      <c r="H2160" s="10" t="s">
        <v>28</v>
      </c>
      <c r="I2160" s="11" t="s">
        <v>28</v>
      </c>
      <c r="J2160" s="11" t="s">
        <v>28</v>
      </c>
      <c r="K2160" s="11">
        <v>38.700000000000003</v>
      </c>
      <c r="L2160" s="11" t="s">
        <v>28</v>
      </c>
      <c r="M2160" s="11" t="s">
        <v>28</v>
      </c>
      <c r="N2160" s="8">
        <v>44945</v>
      </c>
      <c r="O2160" s="9" t="s">
        <v>79</v>
      </c>
      <c r="P2160" s="12" t="s">
        <v>4006</v>
      </c>
      <c r="Q2160" s="9" t="s">
        <v>75</v>
      </c>
      <c r="R2160" s="14" t="str">
        <f>HYPERLINK("https://my.pitchbook.com?c=213360-40T","View Company Online")</f>
        <v>View Company Online</v>
      </c>
    </row>
    <row r="2161" spans="1:18" hidden="1" x14ac:dyDescent="0.3">
      <c r="A2161" s="15" t="s">
        <v>7493</v>
      </c>
      <c r="B2161" s="15" t="s">
        <v>7494</v>
      </c>
      <c r="C2161" s="18" t="s">
        <v>28</v>
      </c>
      <c r="D2161" s="15" t="s">
        <v>7495</v>
      </c>
      <c r="E2161" s="18" t="s">
        <v>28</v>
      </c>
      <c r="F2161" s="19" t="s">
        <v>28</v>
      </c>
      <c r="G2161" s="19" t="s">
        <v>28</v>
      </c>
      <c r="H2161" s="19" t="s">
        <v>28</v>
      </c>
      <c r="I2161" s="18" t="s">
        <v>28</v>
      </c>
      <c r="J2161" s="18" t="s">
        <v>28</v>
      </c>
      <c r="K2161" s="18" t="s">
        <v>28</v>
      </c>
      <c r="L2161" s="18" t="s">
        <v>28</v>
      </c>
      <c r="M2161" s="18" t="s">
        <v>28</v>
      </c>
      <c r="N2161" s="17">
        <v>44945</v>
      </c>
      <c r="O2161" s="15" t="s">
        <v>30</v>
      </c>
      <c r="P2161" s="16" t="s">
        <v>7496</v>
      </c>
      <c r="Q2161" s="15" t="s">
        <v>880</v>
      </c>
      <c r="R2161" s="13" t="str">
        <f>HYPERLINK("https://my.pitchbook.com?c=213381-19T","View Company Online")</f>
        <v>View Company Online</v>
      </c>
    </row>
    <row r="2162" spans="1:18" hidden="1" x14ac:dyDescent="0.3">
      <c r="A2162" s="9" t="s">
        <v>7497</v>
      </c>
      <c r="B2162" s="9" t="s">
        <v>7498</v>
      </c>
      <c r="C2162" s="11" t="s">
        <v>28</v>
      </c>
      <c r="D2162" s="9" t="s">
        <v>7499</v>
      </c>
      <c r="E2162" s="11" t="s">
        <v>28</v>
      </c>
      <c r="F2162" s="10" t="s">
        <v>28</v>
      </c>
      <c r="G2162" s="10" t="s">
        <v>28</v>
      </c>
      <c r="H2162" s="10" t="s">
        <v>28</v>
      </c>
      <c r="I2162" s="11" t="s">
        <v>28</v>
      </c>
      <c r="J2162" s="11" t="s">
        <v>28</v>
      </c>
      <c r="K2162" s="11" t="s">
        <v>28</v>
      </c>
      <c r="L2162" s="11" t="s">
        <v>28</v>
      </c>
      <c r="M2162" s="11" t="s">
        <v>28</v>
      </c>
      <c r="N2162" s="8">
        <v>44944</v>
      </c>
      <c r="O2162" s="9" t="s">
        <v>73</v>
      </c>
      <c r="P2162" s="12" t="s">
        <v>2338</v>
      </c>
      <c r="Q2162" s="9" t="s">
        <v>1007</v>
      </c>
      <c r="R2162" s="14" t="str">
        <f>HYPERLINK("https://my.pitchbook.com?c=225006-13T","View Company Online")</f>
        <v>View Company Online</v>
      </c>
    </row>
    <row r="2163" spans="1:18" hidden="1" x14ac:dyDescent="0.3">
      <c r="A2163" s="15" t="s">
        <v>7500</v>
      </c>
      <c r="B2163" s="15" t="s">
        <v>7501</v>
      </c>
      <c r="C2163" s="18" t="s">
        <v>28</v>
      </c>
      <c r="D2163" s="15" t="s">
        <v>7502</v>
      </c>
      <c r="E2163" s="18">
        <v>472.93</v>
      </c>
      <c r="F2163" s="19" t="s">
        <v>28</v>
      </c>
      <c r="G2163" s="19">
        <v>84.13</v>
      </c>
      <c r="H2163" s="19">
        <v>1566.69</v>
      </c>
      <c r="I2163" s="18">
        <v>567.47</v>
      </c>
      <c r="J2163" s="18">
        <v>2.76</v>
      </c>
      <c r="K2163" s="18">
        <v>1841.95</v>
      </c>
      <c r="L2163" s="18">
        <v>0.85</v>
      </c>
      <c r="M2163" s="18">
        <v>245.27</v>
      </c>
      <c r="N2163" s="17">
        <v>44944</v>
      </c>
      <c r="O2163" s="15" t="s">
        <v>159</v>
      </c>
      <c r="P2163" s="16" t="s">
        <v>7503</v>
      </c>
      <c r="Q2163" s="15" t="s">
        <v>69</v>
      </c>
      <c r="R2163" s="13" t="str">
        <f>HYPERLINK("https://my.pitchbook.com?c=249714-28T","View Company Online")</f>
        <v>View Company Online</v>
      </c>
    </row>
    <row r="2164" spans="1:18" hidden="1" x14ac:dyDescent="0.3">
      <c r="A2164" s="9" t="s">
        <v>7504</v>
      </c>
      <c r="B2164" s="9" t="s">
        <v>7505</v>
      </c>
      <c r="C2164" s="11" t="s">
        <v>28</v>
      </c>
      <c r="D2164" s="9" t="s">
        <v>7506</v>
      </c>
      <c r="E2164" s="11" t="s">
        <v>28</v>
      </c>
      <c r="F2164" s="10" t="s">
        <v>28</v>
      </c>
      <c r="G2164" s="10" t="s">
        <v>28</v>
      </c>
      <c r="H2164" s="10" t="s">
        <v>28</v>
      </c>
      <c r="I2164" s="11" t="s">
        <v>28</v>
      </c>
      <c r="J2164" s="11" t="s">
        <v>28</v>
      </c>
      <c r="K2164" s="11" t="s">
        <v>28</v>
      </c>
      <c r="L2164" s="11" t="s">
        <v>28</v>
      </c>
      <c r="M2164" s="11" t="s">
        <v>28</v>
      </c>
      <c r="N2164" s="8">
        <v>44943</v>
      </c>
      <c r="O2164" s="9" t="s">
        <v>52</v>
      </c>
      <c r="P2164" s="12" t="s">
        <v>7507</v>
      </c>
      <c r="Q2164" s="9" t="s">
        <v>1035</v>
      </c>
      <c r="R2164" s="14" t="str">
        <f>HYPERLINK("https://my.pitchbook.com?c=282786-76T","View Company Online")</f>
        <v>View Company Online</v>
      </c>
    </row>
    <row r="2165" spans="1:18" hidden="1" x14ac:dyDescent="0.3">
      <c r="A2165" s="15" t="s">
        <v>7508</v>
      </c>
      <c r="B2165" s="15" t="s">
        <v>7509</v>
      </c>
      <c r="C2165" s="18" t="s">
        <v>28</v>
      </c>
      <c r="D2165" s="15" t="s">
        <v>7510</v>
      </c>
      <c r="E2165" s="18" t="s">
        <v>28</v>
      </c>
      <c r="F2165" s="19" t="s">
        <v>28</v>
      </c>
      <c r="G2165" s="19">
        <v>6</v>
      </c>
      <c r="H2165" s="19" t="s">
        <v>28</v>
      </c>
      <c r="I2165" s="18" t="s">
        <v>28</v>
      </c>
      <c r="J2165" s="18" t="s">
        <v>28</v>
      </c>
      <c r="K2165" s="18" t="s">
        <v>28</v>
      </c>
      <c r="L2165" s="18" t="s">
        <v>28</v>
      </c>
      <c r="M2165" s="18" t="s">
        <v>28</v>
      </c>
      <c r="N2165" s="17">
        <v>44943</v>
      </c>
      <c r="O2165" s="15" t="s">
        <v>99</v>
      </c>
      <c r="P2165" s="16" t="s">
        <v>7511</v>
      </c>
      <c r="Q2165" s="15" t="s">
        <v>419</v>
      </c>
      <c r="R2165" s="13" t="str">
        <f>HYPERLINK("https://my.pitchbook.com?c=218135-08T","View Company Online")</f>
        <v>View Company Online</v>
      </c>
    </row>
    <row r="2166" spans="1:18" hidden="1" x14ac:dyDescent="0.3">
      <c r="A2166" s="9" t="s">
        <v>7512</v>
      </c>
      <c r="B2166" s="9" t="s">
        <v>7513</v>
      </c>
      <c r="C2166" s="11" t="s">
        <v>28</v>
      </c>
      <c r="D2166" s="9" t="s">
        <v>7514</v>
      </c>
      <c r="E2166" s="11" t="s">
        <v>28</v>
      </c>
      <c r="F2166" s="10" t="s">
        <v>28</v>
      </c>
      <c r="G2166" s="10" t="s">
        <v>28</v>
      </c>
      <c r="H2166" s="10" t="s">
        <v>28</v>
      </c>
      <c r="I2166" s="11" t="s">
        <v>28</v>
      </c>
      <c r="J2166" s="11" t="s">
        <v>28</v>
      </c>
      <c r="K2166" s="11" t="s">
        <v>28</v>
      </c>
      <c r="L2166" s="11" t="s">
        <v>28</v>
      </c>
      <c r="M2166" s="11" t="s">
        <v>28</v>
      </c>
      <c r="N2166" s="8">
        <v>44943</v>
      </c>
      <c r="O2166" s="9" t="s">
        <v>173</v>
      </c>
      <c r="P2166" s="12" t="s">
        <v>28</v>
      </c>
      <c r="Q2166" s="9" t="s">
        <v>240</v>
      </c>
      <c r="R2166" s="14" t="str">
        <f>HYPERLINK("https://my.pitchbook.com?c=213525-91T","View Company Online")</f>
        <v>View Company Online</v>
      </c>
    </row>
    <row r="2167" spans="1:18" hidden="1" x14ac:dyDescent="0.3">
      <c r="A2167" s="15" t="s">
        <v>7515</v>
      </c>
      <c r="B2167" s="15" t="s">
        <v>7516</v>
      </c>
      <c r="C2167" s="18" t="s">
        <v>28</v>
      </c>
      <c r="D2167" s="15" t="s">
        <v>7517</v>
      </c>
      <c r="E2167" s="18" t="s">
        <v>28</v>
      </c>
      <c r="F2167" s="19" t="s">
        <v>28</v>
      </c>
      <c r="G2167" s="19" t="s">
        <v>28</v>
      </c>
      <c r="H2167" s="19" t="s">
        <v>28</v>
      </c>
      <c r="I2167" s="18" t="s">
        <v>28</v>
      </c>
      <c r="J2167" s="18" t="s">
        <v>28</v>
      </c>
      <c r="K2167" s="18">
        <v>4.26</v>
      </c>
      <c r="L2167" s="18" t="s">
        <v>28</v>
      </c>
      <c r="M2167" s="18" t="s">
        <v>28</v>
      </c>
      <c r="N2167" s="17">
        <v>44942</v>
      </c>
      <c r="O2167" s="15" t="s">
        <v>58</v>
      </c>
      <c r="P2167" s="16" t="s">
        <v>7518</v>
      </c>
      <c r="Q2167" s="15" t="s">
        <v>43</v>
      </c>
      <c r="R2167" s="13" t="str">
        <f>HYPERLINK("https://my.pitchbook.com?c=213897-52T","View Company Online")</f>
        <v>View Company Online</v>
      </c>
    </row>
    <row r="2168" spans="1:18" hidden="1" x14ac:dyDescent="0.3">
      <c r="A2168" s="9" t="s">
        <v>7519</v>
      </c>
      <c r="B2168" s="9" t="s">
        <v>7520</v>
      </c>
      <c r="C2168" s="11" t="s">
        <v>28</v>
      </c>
      <c r="D2168" s="9" t="s">
        <v>7521</v>
      </c>
      <c r="E2168" s="11" t="s">
        <v>28</v>
      </c>
      <c r="F2168" s="10" t="s">
        <v>28</v>
      </c>
      <c r="G2168" s="10">
        <v>0.51</v>
      </c>
      <c r="H2168" s="10" t="s">
        <v>28</v>
      </c>
      <c r="I2168" s="11" t="s">
        <v>28</v>
      </c>
      <c r="J2168" s="11" t="s">
        <v>28</v>
      </c>
      <c r="K2168" s="11" t="s">
        <v>28</v>
      </c>
      <c r="L2168" s="11" t="s">
        <v>28</v>
      </c>
      <c r="M2168" s="11" t="s">
        <v>28</v>
      </c>
      <c r="N2168" s="8">
        <v>44942</v>
      </c>
      <c r="O2168" s="9" t="s">
        <v>99</v>
      </c>
      <c r="P2168" s="12" t="s">
        <v>7522</v>
      </c>
      <c r="Q2168" s="9" t="s">
        <v>37</v>
      </c>
      <c r="R2168" s="14" t="str">
        <f>HYPERLINK("https://my.pitchbook.com?c=218518-21T","View Company Online")</f>
        <v>View Company Online</v>
      </c>
    </row>
    <row r="2169" spans="1:18" hidden="1" x14ac:dyDescent="0.3">
      <c r="A2169" s="15" t="s">
        <v>7523</v>
      </c>
      <c r="B2169" s="15" t="s">
        <v>7524</v>
      </c>
      <c r="C2169" s="18" t="s">
        <v>28</v>
      </c>
      <c r="D2169" s="15" t="s">
        <v>7525</v>
      </c>
      <c r="E2169" s="18" t="s">
        <v>28</v>
      </c>
      <c r="F2169" s="19" t="s">
        <v>28</v>
      </c>
      <c r="G2169" s="19">
        <v>0.5</v>
      </c>
      <c r="H2169" s="19" t="s">
        <v>28</v>
      </c>
      <c r="I2169" s="18" t="s">
        <v>28</v>
      </c>
      <c r="J2169" s="18" t="s">
        <v>28</v>
      </c>
      <c r="K2169" s="18" t="s">
        <v>28</v>
      </c>
      <c r="L2169" s="18" t="s">
        <v>28</v>
      </c>
      <c r="M2169" s="18" t="s">
        <v>28</v>
      </c>
      <c r="N2169" s="17">
        <v>44942</v>
      </c>
      <c r="O2169" s="15" t="s">
        <v>52</v>
      </c>
      <c r="P2169" s="16" t="s">
        <v>7526</v>
      </c>
      <c r="Q2169" s="15" t="s">
        <v>37</v>
      </c>
      <c r="R2169" s="13" t="str">
        <f>HYPERLINK("https://my.pitchbook.com?c=247247-20T","View Company Online")</f>
        <v>View Company Online</v>
      </c>
    </row>
    <row r="2170" spans="1:18" hidden="1" x14ac:dyDescent="0.3">
      <c r="A2170" s="9" t="s">
        <v>7527</v>
      </c>
      <c r="B2170" s="9" t="s">
        <v>7528</v>
      </c>
      <c r="C2170" s="11" t="s">
        <v>28</v>
      </c>
      <c r="D2170" s="9" t="s">
        <v>7529</v>
      </c>
      <c r="E2170" s="11" t="s">
        <v>28</v>
      </c>
      <c r="F2170" s="10" t="s">
        <v>28</v>
      </c>
      <c r="G2170" s="10" t="s">
        <v>28</v>
      </c>
      <c r="H2170" s="10" t="s">
        <v>28</v>
      </c>
      <c r="I2170" s="11" t="s">
        <v>28</v>
      </c>
      <c r="J2170" s="11" t="s">
        <v>28</v>
      </c>
      <c r="K2170" s="11" t="s">
        <v>28</v>
      </c>
      <c r="L2170" s="11" t="s">
        <v>28</v>
      </c>
      <c r="M2170" s="11" t="s">
        <v>28</v>
      </c>
      <c r="N2170" s="8">
        <v>44939</v>
      </c>
      <c r="O2170" s="9" t="s">
        <v>58</v>
      </c>
      <c r="P2170" s="12" t="s">
        <v>7530</v>
      </c>
      <c r="Q2170" s="9" t="s">
        <v>85</v>
      </c>
      <c r="R2170" s="14" t="str">
        <f>HYPERLINK("https://my.pitchbook.com?c=213944-86T","View Company Online")</f>
        <v>View Company Online</v>
      </c>
    </row>
    <row r="2171" spans="1:18" hidden="1" x14ac:dyDescent="0.3">
      <c r="A2171" s="15" t="s">
        <v>7531</v>
      </c>
      <c r="B2171" s="15" t="s">
        <v>7532</v>
      </c>
      <c r="C2171" s="18" t="s">
        <v>28</v>
      </c>
      <c r="D2171" s="15" t="s">
        <v>7533</v>
      </c>
      <c r="E2171" s="18" t="s">
        <v>28</v>
      </c>
      <c r="F2171" s="19" t="s">
        <v>28</v>
      </c>
      <c r="G2171" s="19" t="s">
        <v>28</v>
      </c>
      <c r="H2171" s="19" t="s">
        <v>28</v>
      </c>
      <c r="I2171" s="18" t="s">
        <v>28</v>
      </c>
      <c r="J2171" s="18" t="s">
        <v>28</v>
      </c>
      <c r="K2171" s="18" t="s">
        <v>28</v>
      </c>
      <c r="L2171" s="18" t="s">
        <v>28</v>
      </c>
      <c r="M2171" s="18" t="s">
        <v>28</v>
      </c>
      <c r="N2171" s="17">
        <v>44939</v>
      </c>
      <c r="O2171" s="15" t="s">
        <v>30</v>
      </c>
      <c r="P2171" s="16" t="s">
        <v>844</v>
      </c>
      <c r="Q2171" s="15" t="s">
        <v>43</v>
      </c>
      <c r="R2171" s="13" t="str">
        <f>HYPERLINK("https://my.pitchbook.com?c=213959-26T","View Company Online")</f>
        <v>View Company Online</v>
      </c>
    </row>
    <row r="2172" spans="1:18" hidden="1" x14ac:dyDescent="0.3">
      <c r="A2172" s="9" t="s">
        <v>7534</v>
      </c>
      <c r="B2172" s="9" t="s">
        <v>7535</v>
      </c>
      <c r="C2172" s="11" t="s">
        <v>28</v>
      </c>
      <c r="D2172" s="9" t="s">
        <v>7536</v>
      </c>
      <c r="E2172" s="11" t="s">
        <v>28</v>
      </c>
      <c r="F2172" s="10" t="s">
        <v>28</v>
      </c>
      <c r="G2172" s="10">
        <v>6.4</v>
      </c>
      <c r="H2172" s="10" t="s">
        <v>28</v>
      </c>
      <c r="I2172" s="11" t="s">
        <v>28</v>
      </c>
      <c r="J2172" s="11" t="s">
        <v>28</v>
      </c>
      <c r="K2172" s="11" t="s">
        <v>28</v>
      </c>
      <c r="L2172" s="11" t="s">
        <v>28</v>
      </c>
      <c r="M2172" s="11" t="s">
        <v>28</v>
      </c>
      <c r="N2172" s="8">
        <v>44938</v>
      </c>
      <c r="O2172" s="9" t="s">
        <v>79</v>
      </c>
      <c r="P2172" s="12" t="s">
        <v>7537</v>
      </c>
      <c r="Q2172" s="9" t="s">
        <v>43</v>
      </c>
      <c r="R2172" s="14" t="str">
        <f>HYPERLINK("https://my.pitchbook.com?c=212861-89T","View Company Online")</f>
        <v>View Company Online</v>
      </c>
    </row>
    <row r="2173" spans="1:18" hidden="1" x14ac:dyDescent="0.3">
      <c r="A2173" s="15" t="s">
        <v>7538</v>
      </c>
      <c r="B2173" s="15" t="s">
        <v>7539</v>
      </c>
      <c r="C2173" s="18" t="s">
        <v>28</v>
      </c>
      <c r="D2173" s="15" t="s">
        <v>7540</v>
      </c>
      <c r="E2173" s="18" t="s">
        <v>28</v>
      </c>
      <c r="F2173" s="19" t="s">
        <v>28</v>
      </c>
      <c r="G2173" s="19" t="s">
        <v>28</v>
      </c>
      <c r="H2173" s="19" t="s">
        <v>28</v>
      </c>
      <c r="I2173" s="18" t="s">
        <v>28</v>
      </c>
      <c r="J2173" s="18" t="s">
        <v>28</v>
      </c>
      <c r="K2173" s="18" t="s">
        <v>28</v>
      </c>
      <c r="L2173" s="18" t="s">
        <v>28</v>
      </c>
      <c r="M2173" s="18" t="s">
        <v>28</v>
      </c>
      <c r="N2173" s="17">
        <v>44938</v>
      </c>
      <c r="O2173" s="15" t="s">
        <v>30</v>
      </c>
      <c r="P2173" s="16" t="s">
        <v>7541</v>
      </c>
      <c r="Q2173" s="15" t="s">
        <v>240</v>
      </c>
      <c r="R2173" s="13" t="str">
        <f>HYPERLINK("https://my.pitchbook.com?c=300284-11T","View Company Online")</f>
        <v>View Company Online</v>
      </c>
    </row>
    <row r="2174" spans="1:18" hidden="1" x14ac:dyDescent="0.3">
      <c r="A2174" s="9" t="s">
        <v>7542</v>
      </c>
      <c r="B2174" s="9" t="s">
        <v>7543</v>
      </c>
      <c r="C2174" s="11" t="s">
        <v>28</v>
      </c>
      <c r="D2174" s="9" t="s">
        <v>7544</v>
      </c>
      <c r="E2174" s="11" t="s">
        <v>28</v>
      </c>
      <c r="F2174" s="10" t="s">
        <v>28</v>
      </c>
      <c r="G2174" s="10" t="s">
        <v>28</v>
      </c>
      <c r="H2174" s="10" t="s">
        <v>28</v>
      </c>
      <c r="I2174" s="11" t="s">
        <v>28</v>
      </c>
      <c r="J2174" s="11" t="s">
        <v>28</v>
      </c>
      <c r="K2174" s="11" t="s">
        <v>28</v>
      </c>
      <c r="L2174" s="11" t="s">
        <v>28</v>
      </c>
      <c r="M2174" s="11" t="s">
        <v>28</v>
      </c>
      <c r="N2174" s="8">
        <v>44938</v>
      </c>
      <c r="O2174" s="9" t="s">
        <v>52</v>
      </c>
      <c r="P2174" s="12" t="s">
        <v>7545</v>
      </c>
      <c r="Q2174" s="9" t="s">
        <v>75</v>
      </c>
      <c r="R2174" s="14" t="str">
        <f>HYPERLINK("https://my.pitchbook.com?c=254635-30T","View Company Online")</f>
        <v>View Company Online</v>
      </c>
    </row>
    <row r="2175" spans="1:18" hidden="1" x14ac:dyDescent="0.3">
      <c r="A2175" s="15" t="s">
        <v>7546</v>
      </c>
      <c r="B2175" s="15" t="s">
        <v>7547</v>
      </c>
      <c r="C2175" s="18" t="s">
        <v>28</v>
      </c>
      <c r="D2175" s="15" t="s">
        <v>7548</v>
      </c>
      <c r="E2175" s="18" t="s">
        <v>28</v>
      </c>
      <c r="F2175" s="19" t="s">
        <v>28</v>
      </c>
      <c r="G2175" s="19" t="s">
        <v>28</v>
      </c>
      <c r="H2175" s="19" t="s">
        <v>28</v>
      </c>
      <c r="I2175" s="18" t="s">
        <v>28</v>
      </c>
      <c r="J2175" s="18" t="s">
        <v>28</v>
      </c>
      <c r="K2175" s="18" t="s">
        <v>28</v>
      </c>
      <c r="L2175" s="18" t="s">
        <v>28</v>
      </c>
      <c r="M2175" s="18" t="s">
        <v>28</v>
      </c>
      <c r="N2175" s="17">
        <v>44937</v>
      </c>
      <c r="O2175" s="15" t="s">
        <v>30</v>
      </c>
      <c r="P2175" s="16" t="s">
        <v>7549</v>
      </c>
      <c r="Q2175" s="15" t="s">
        <v>566</v>
      </c>
      <c r="R2175" s="13" t="str">
        <f>HYPERLINK("https://my.pitchbook.com?c=220671-64T","View Company Online")</f>
        <v>View Company Online</v>
      </c>
    </row>
    <row r="2176" spans="1:18" hidden="1" x14ac:dyDescent="0.3">
      <c r="A2176" s="9" t="s">
        <v>7550</v>
      </c>
      <c r="B2176" s="9" t="s">
        <v>7551</v>
      </c>
      <c r="C2176" s="11" t="s">
        <v>28</v>
      </c>
      <c r="D2176" s="9" t="s">
        <v>7552</v>
      </c>
      <c r="E2176" s="11">
        <v>-6.61</v>
      </c>
      <c r="F2176" s="10" t="s">
        <v>28</v>
      </c>
      <c r="G2176" s="10">
        <v>11.94</v>
      </c>
      <c r="H2176" s="10" t="s">
        <v>28</v>
      </c>
      <c r="I2176" s="11">
        <v>-6.61</v>
      </c>
      <c r="J2176" s="11" t="s">
        <v>28</v>
      </c>
      <c r="K2176" s="11">
        <v>0.19</v>
      </c>
      <c r="L2176" s="11" t="s">
        <v>28</v>
      </c>
      <c r="M2176" s="11">
        <v>-6.61</v>
      </c>
      <c r="N2176" s="8">
        <v>44937</v>
      </c>
      <c r="O2176" s="9" t="s">
        <v>173</v>
      </c>
      <c r="P2176" s="12" t="s">
        <v>28</v>
      </c>
      <c r="Q2176" s="9" t="s">
        <v>240</v>
      </c>
      <c r="R2176" s="14" t="str">
        <f>HYPERLINK("https://my.pitchbook.com?c=213493-42T","View Company Online")</f>
        <v>View Company Online</v>
      </c>
    </row>
    <row r="2177" spans="1:18" hidden="1" x14ac:dyDescent="0.3">
      <c r="A2177" s="15" t="s">
        <v>7553</v>
      </c>
      <c r="B2177" s="15" t="s">
        <v>4024</v>
      </c>
      <c r="C2177" s="18" t="s">
        <v>28</v>
      </c>
      <c r="D2177" s="15" t="s">
        <v>4025</v>
      </c>
      <c r="E2177" s="18" t="s">
        <v>28</v>
      </c>
      <c r="F2177" s="19" t="s">
        <v>28</v>
      </c>
      <c r="G2177" s="19">
        <v>94.79</v>
      </c>
      <c r="H2177" s="19" t="s">
        <v>28</v>
      </c>
      <c r="I2177" s="18" t="s">
        <v>28</v>
      </c>
      <c r="J2177" s="18" t="s">
        <v>28</v>
      </c>
      <c r="K2177" s="18" t="s">
        <v>28</v>
      </c>
      <c r="L2177" s="18" t="s">
        <v>28</v>
      </c>
      <c r="M2177" s="18" t="s">
        <v>28</v>
      </c>
      <c r="N2177" s="17">
        <v>44937</v>
      </c>
      <c r="O2177" s="15" t="s">
        <v>93</v>
      </c>
      <c r="P2177" s="16" t="s">
        <v>7554</v>
      </c>
      <c r="Q2177" s="15" t="s">
        <v>240</v>
      </c>
      <c r="R2177" s="13" t="str">
        <f>HYPERLINK("https://my.pitchbook.com?c=213632-83T","View Company Online")</f>
        <v>View Company Online</v>
      </c>
    </row>
    <row r="2178" spans="1:18" hidden="1" x14ac:dyDescent="0.3">
      <c r="A2178" s="9" t="s">
        <v>7555</v>
      </c>
      <c r="B2178" s="9" t="s">
        <v>7556</v>
      </c>
      <c r="C2178" s="11" t="s">
        <v>28</v>
      </c>
      <c r="D2178" s="9" t="s">
        <v>7557</v>
      </c>
      <c r="E2178" s="11" t="s">
        <v>28</v>
      </c>
      <c r="F2178" s="10" t="s">
        <v>28</v>
      </c>
      <c r="G2178" s="10" t="s">
        <v>28</v>
      </c>
      <c r="H2178" s="10" t="s">
        <v>28</v>
      </c>
      <c r="I2178" s="11" t="s">
        <v>28</v>
      </c>
      <c r="J2178" s="11" t="s">
        <v>28</v>
      </c>
      <c r="K2178" s="11" t="s">
        <v>28</v>
      </c>
      <c r="L2178" s="11" t="s">
        <v>28</v>
      </c>
      <c r="M2178" s="11" t="s">
        <v>28</v>
      </c>
      <c r="N2178" s="8">
        <v>44937</v>
      </c>
      <c r="O2178" s="9" t="s">
        <v>30</v>
      </c>
      <c r="P2178" s="12" t="s">
        <v>7558</v>
      </c>
      <c r="Q2178" s="9" t="s">
        <v>409</v>
      </c>
      <c r="R2178" s="14" t="str">
        <f>HYPERLINK("https://my.pitchbook.com?c=213252-22T","View Company Online")</f>
        <v>View Company Online</v>
      </c>
    </row>
    <row r="2179" spans="1:18" hidden="1" x14ac:dyDescent="0.3">
      <c r="A2179" s="15" t="s">
        <v>7559</v>
      </c>
      <c r="B2179" s="15" t="s">
        <v>7560</v>
      </c>
      <c r="C2179" s="18" t="s">
        <v>28</v>
      </c>
      <c r="D2179" s="15" t="s">
        <v>7561</v>
      </c>
      <c r="E2179" s="18" t="s">
        <v>28</v>
      </c>
      <c r="F2179" s="19" t="s">
        <v>28</v>
      </c>
      <c r="G2179" s="19">
        <v>150</v>
      </c>
      <c r="H2179" s="19" t="s">
        <v>28</v>
      </c>
      <c r="I2179" s="18" t="s">
        <v>28</v>
      </c>
      <c r="J2179" s="18" t="s">
        <v>28</v>
      </c>
      <c r="K2179" s="18" t="s">
        <v>28</v>
      </c>
      <c r="L2179" s="18" t="s">
        <v>28</v>
      </c>
      <c r="M2179" s="18" t="s">
        <v>28</v>
      </c>
      <c r="N2179" s="17">
        <v>44937</v>
      </c>
      <c r="O2179" s="15" t="s">
        <v>93</v>
      </c>
      <c r="P2179" s="16" t="s">
        <v>7562</v>
      </c>
      <c r="Q2179" s="15" t="s">
        <v>470</v>
      </c>
      <c r="R2179" s="13" t="str">
        <f>HYPERLINK("https://my.pitchbook.com?c=212897-26T","View Company Online")</f>
        <v>View Company Online</v>
      </c>
    </row>
    <row r="2180" spans="1:18" hidden="1" x14ac:dyDescent="0.3">
      <c r="A2180" s="9" t="s">
        <v>7563</v>
      </c>
      <c r="B2180" s="9" t="s">
        <v>2949</v>
      </c>
      <c r="C2180" s="11" t="s">
        <v>28</v>
      </c>
      <c r="D2180" s="9" t="s">
        <v>2950</v>
      </c>
      <c r="E2180" s="11">
        <v>-6.12</v>
      </c>
      <c r="F2180" s="10" t="s">
        <v>28</v>
      </c>
      <c r="G2180" s="10">
        <v>4.5999999999999996</v>
      </c>
      <c r="H2180" s="10" t="s">
        <v>28</v>
      </c>
      <c r="I2180" s="11">
        <v>-6.1</v>
      </c>
      <c r="J2180" s="11" t="s">
        <v>28</v>
      </c>
      <c r="K2180" s="11">
        <v>0</v>
      </c>
      <c r="L2180" s="11" t="s">
        <v>28</v>
      </c>
      <c r="M2180" s="11">
        <v>-4.93</v>
      </c>
      <c r="N2180" s="8">
        <v>44936</v>
      </c>
      <c r="O2180" s="9" t="s">
        <v>159</v>
      </c>
      <c r="P2180" s="12" t="s">
        <v>28</v>
      </c>
      <c r="Q2180" s="9" t="s">
        <v>2620</v>
      </c>
      <c r="R2180" s="14" t="str">
        <f>HYPERLINK("https://my.pitchbook.com?c=214680-52T","View Company Online")</f>
        <v>View Company Online</v>
      </c>
    </row>
    <row r="2181" spans="1:18" hidden="1" x14ac:dyDescent="0.3">
      <c r="A2181" s="15" t="s">
        <v>7564</v>
      </c>
      <c r="B2181" s="15" t="s">
        <v>7565</v>
      </c>
      <c r="C2181" s="18" t="s">
        <v>28</v>
      </c>
      <c r="D2181" s="15" t="s">
        <v>7566</v>
      </c>
      <c r="E2181" s="18" t="s">
        <v>28</v>
      </c>
      <c r="F2181" s="19" t="s">
        <v>28</v>
      </c>
      <c r="G2181" s="19" t="s">
        <v>28</v>
      </c>
      <c r="H2181" s="19" t="s">
        <v>28</v>
      </c>
      <c r="I2181" s="18" t="s">
        <v>28</v>
      </c>
      <c r="J2181" s="18" t="s">
        <v>28</v>
      </c>
      <c r="K2181" s="18" t="s">
        <v>28</v>
      </c>
      <c r="L2181" s="18" t="s">
        <v>28</v>
      </c>
      <c r="M2181" s="18" t="s">
        <v>28</v>
      </c>
      <c r="N2181" s="17">
        <v>44936</v>
      </c>
      <c r="O2181" s="15" t="s">
        <v>30</v>
      </c>
      <c r="P2181" s="16" t="s">
        <v>7567</v>
      </c>
      <c r="Q2181" s="15" t="s">
        <v>362</v>
      </c>
      <c r="R2181" s="13" t="str">
        <f>HYPERLINK("https://my.pitchbook.com?c=209185-93T","View Company Online")</f>
        <v>View Company Online</v>
      </c>
    </row>
    <row r="2182" spans="1:18" hidden="1" x14ac:dyDescent="0.3">
      <c r="A2182" s="9" t="s">
        <v>7568</v>
      </c>
      <c r="B2182" s="9" t="s">
        <v>7569</v>
      </c>
      <c r="C2182" s="11" t="s">
        <v>28</v>
      </c>
      <c r="D2182" s="9" t="s">
        <v>7570</v>
      </c>
      <c r="E2182" s="11" t="s">
        <v>28</v>
      </c>
      <c r="F2182" s="10">
        <v>54.97</v>
      </c>
      <c r="G2182" s="10">
        <v>54.97</v>
      </c>
      <c r="H2182" s="10">
        <v>54.97</v>
      </c>
      <c r="I2182" s="11" t="s">
        <v>28</v>
      </c>
      <c r="J2182" s="11" t="s">
        <v>28</v>
      </c>
      <c r="K2182" s="11" t="s">
        <v>28</v>
      </c>
      <c r="L2182" s="11" t="s">
        <v>28</v>
      </c>
      <c r="M2182" s="11" t="s">
        <v>28</v>
      </c>
      <c r="N2182" s="8">
        <v>44935</v>
      </c>
      <c r="O2182" s="9" t="s">
        <v>30</v>
      </c>
      <c r="P2182" s="12" t="s">
        <v>3117</v>
      </c>
      <c r="Q2182" s="9" t="s">
        <v>753</v>
      </c>
      <c r="R2182" s="14" t="str">
        <f>HYPERLINK("https://my.pitchbook.com?c=213052-42T","View Company Online")</f>
        <v>View Company Online</v>
      </c>
    </row>
    <row r="2183" spans="1:18" x14ac:dyDescent="0.3">
      <c r="A2183" s="15" t="s">
        <v>7571</v>
      </c>
      <c r="B2183" s="15" t="s">
        <v>7572</v>
      </c>
      <c r="C2183" s="18">
        <v>9.43</v>
      </c>
      <c r="D2183" s="15" t="s">
        <v>7573</v>
      </c>
      <c r="E2183" s="18">
        <v>203.56</v>
      </c>
      <c r="F2183" s="19">
        <v>2044</v>
      </c>
      <c r="G2183" s="19">
        <v>1250.99</v>
      </c>
      <c r="H2183" s="19">
        <v>2269.04</v>
      </c>
      <c r="I2183" s="18">
        <v>216.73</v>
      </c>
      <c r="J2183" s="18">
        <v>10.47</v>
      </c>
      <c r="K2183" s="18">
        <v>260.41000000000003</v>
      </c>
      <c r="L2183" s="18">
        <v>8.7100000000000009</v>
      </c>
      <c r="M2183" s="18">
        <v>103.31</v>
      </c>
      <c r="N2183" s="17">
        <v>44935</v>
      </c>
      <c r="O2183" s="15" t="s">
        <v>30</v>
      </c>
      <c r="P2183" s="16" t="s">
        <v>7574</v>
      </c>
      <c r="Q2183" s="15" t="s">
        <v>959</v>
      </c>
      <c r="R2183" s="13" t="str">
        <f>HYPERLINK("https://my.pitchbook.com?c=185766-31T","View Company Online")</f>
        <v>View Company Online</v>
      </c>
    </row>
    <row r="2184" spans="1:18" x14ac:dyDescent="0.3">
      <c r="A2184" s="9" t="s">
        <v>7575</v>
      </c>
      <c r="B2184" s="9" t="s">
        <v>7576</v>
      </c>
      <c r="C2184" s="11">
        <v>90.49</v>
      </c>
      <c r="D2184" s="9" t="s">
        <v>7577</v>
      </c>
      <c r="E2184" s="11">
        <v>-0.65</v>
      </c>
      <c r="F2184" s="10">
        <v>166.32</v>
      </c>
      <c r="G2184" s="10">
        <v>178.72</v>
      </c>
      <c r="H2184" s="10">
        <v>178.72</v>
      </c>
      <c r="I2184" s="11">
        <v>1.84</v>
      </c>
      <c r="J2184" s="11">
        <v>97.24</v>
      </c>
      <c r="K2184" s="11">
        <v>63.37</v>
      </c>
      <c r="L2184" s="11">
        <v>2.82</v>
      </c>
      <c r="M2184" s="11">
        <v>-0.7</v>
      </c>
      <c r="N2184" s="8">
        <v>44935</v>
      </c>
      <c r="O2184" s="9" t="s">
        <v>30</v>
      </c>
      <c r="P2184" s="12" t="s">
        <v>7578</v>
      </c>
      <c r="Q2184" s="9" t="s">
        <v>226</v>
      </c>
      <c r="R2184" s="14" t="str">
        <f>HYPERLINK("https://my.pitchbook.com?c=192506-14T","View Company Online")</f>
        <v>View Company Online</v>
      </c>
    </row>
    <row r="2185" spans="1:18" hidden="1" x14ac:dyDescent="0.3">
      <c r="A2185" s="15" t="s">
        <v>7579</v>
      </c>
      <c r="B2185" s="15" t="s">
        <v>7580</v>
      </c>
      <c r="C2185" s="18" t="s">
        <v>28</v>
      </c>
      <c r="D2185" s="15" t="s">
        <v>7581</v>
      </c>
      <c r="E2185" s="18" t="s">
        <v>28</v>
      </c>
      <c r="F2185" s="19" t="s">
        <v>28</v>
      </c>
      <c r="G2185" s="19" t="s">
        <v>28</v>
      </c>
      <c r="H2185" s="19" t="s">
        <v>28</v>
      </c>
      <c r="I2185" s="18" t="s">
        <v>28</v>
      </c>
      <c r="J2185" s="18" t="s">
        <v>28</v>
      </c>
      <c r="K2185" s="18" t="s">
        <v>28</v>
      </c>
      <c r="L2185" s="18" t="s">
        <v>28</v>
      </c>
      <c r="M2185" s="18" t="s">
        <v>28</v>
      </c>
      <c r="N2185" s="17">
        <v>44935</v>
      </c>
      <c r="O2185" s="15" t="s">
        <v>73</v>
      </c>
      <c r="P2185" s="16" t="s">
        <v>80</v>
      </c>
      <c r="Q2185" s="15" t="s">
        <v>69</v>
      </c>
      <c r="R2185" s="13" t="str">
        <f>HYPERLINK("https://my.pitchbook.com?c=297609-76T","View Company Online")</f>
        <v>View Company Online</v>
      </c>
    </row>
    <row r="2186" spans="1:18" hidden="1" x14ac:dyDescent="0.3">
      <c r="A2186" s="9" t="s">
        <v>7582</v>
      </c>
      <c r="B2186" s="9" t="s">
        <v>7583</v>
      </c>
      <c r="C2186" s="11" t="s">
        <v>28</v>
      </c>
      <c r="D2186" s="9" t="s">
        <v>7584</v>
      </c>
      <c r="E2186" s="11" t="s">
        <v>28</v>
      </c>
      <c r="F2186" s="10" t="s">
        <v>28</v>
      </c>
      <c r="G2186" s="10">
        <v>0.02</v>
      </c>
      <c r="H2186" s="10">
        <v>0.33</v>
      </c>
      <c r="I2186" s="11" t="s">
        <v>28</v>
      </c>
      <c r="J2186" s="11" t="s">
        <v>28</v>
      </c>
      <c r="K2186" s="11" t="s">
        <v>28</v>
      </c>
      <c r="L2186" s="11" t="s">
        <v>28</v>
      </c>
      <c r="M2186" s="11" t="s">
        <v>28</v>
      </c>
      <c r="N2186" s="8">
        <v>44935</v>
      </c>
      <c r="O2186" s="9" t="s">
        <v>52</v>
      </c>
      <c r="P2186" s="12" t="s">
        <v>7585</v>
      </c>
      <c r="Q2186" s="9" t="s">
        <v>37</v>
      </c>
      <c r="R2186" s="14" t="str">
        <f>HYPERLINK("https://my.pitchbook.com?c=215893-36T","View Company Online")</f>
        <v>View Company Online</v>
      </c>
    </row>
    <row r="2187" spans="1:18" hidden="1" x14ac:dyDescent="0.3">
      <c r="A2187" s="15" t="s">
        <v>7586</v>
      </c>
      <c r="B2187" s="15" t="s">
        <v>215</v>
      </c>
      <c r="C2187" s="18" t="s">
        <v>28</v>
      </c>
      <c r="D2187" s="15" t="s">
        <v>216</v>
      </c>
      <c r="E2187" s="18" t="s">
        <v>28</v>
      </c>
      <c r="F2187" s="19" t="s">
        <v>28</v>
      </c>
      <c r="G2187" s="19">
        <v>1.33</v>
      </c>
      <c r="H2187" s="19" t="s">
        <v>28</v>
      </c>
      <c r="I2187" s="18" t="s">
        <v>28</v>
      </c>
      <c r="J2187" s="18" t="s">
        <v>28</v>
      </c>
      <c r="K2187" s="18">
        <v>3.68</v>
      </c>
      <c r="L2187" s="18" t="s">
        <v>28</v>
      </c>
      <c r="M2187" s="18" t="s">
        <v>28</v>
      </c>
      <c r="N2187" s="17">
        <v>44935</v>
      </c>
      <c r="O2187" s="15" t="s">
        <v>99</v>
      </c>
      <c r="P2187" s="16" t="s">
        <v>7587</v>
      </c>
      <c r="Q2187" s="15" t="s">
        <v>37</v>
      </c>
      <c r="R2187" s="13" t="str">
        <f>HYPERLINK("https://my.pitchbook.com?c=185983-39T","View Company Online")</f>
        <v>View Company Online</v>
      </c>
    </row>
    <row r="2188" spans="1:18" hidden="1" x14ac:dyDescent="0.3">
      <c r="A2188" s="9" t="s">
        <v>7588</v>
      </c>
      <c r="B2188" s="9" t="s">
        <v>7589</v>
      </c>
      <c r="C2188" s="11" t="s">
        <v>28</v>
      </c>
      <c r="D2188" s="9" t="s">
        <v>7590</v>
      </c>
      <c r="E2188" s="11" t="s">
        <v>28</v>
      </c>
      <c r="F2188" s="10" t="s">
        <v>28</v>
      </c>
      <c r="G2188" s="10">
        <v>3.79</v>
      </c>
      <c r="H2188" s="10">
        <v>6.16</v>
      </c>
      <c r="I2188" s="11" t="s">
        <v>28</v>
      </c>
      <c r="J2188" s="11" t="s">
        <v>28</v>
      </c>
      <c r="K2188" s="11">
        <v>1.04</v>
      </c>
      <c r="L2188" s="11">
        <v>5.91</v>
      </c>
      <c r="M2188" s="11">
        <v>0.98</v>
      </c>
      <c r="N2188" s="8">
        <v>44932</v>
      </c>
      <c r="O2188" s="9" t="s">
        <v>173</v>
      </c>
      <c r="P2188" s="12" t="s">
        <v>28</v>
      </c>
      <c r="Q2188" s="9" t="s">
        <v>240</v>
      </c>
      <c r="R2188" s="14" t="str">
        <f>HYPERLINK("https://my.pitchbook.com?c=213782-95T","View Company Online")</f>
        <v>View Company Online</v>
      </c>
    </row>
    <row r="2189" spans="1:18" hidden="1" x14ac:dyDescent="0.3">
      <c r="A2189" s="15" t="s">
        <v>7591</v>
      </c>
      <c r="B2189" s="15" t="s">
        <v>7592</v>
      </c>
      <c r="C2189" s="18" t="s">
        <v>28</v>
      </c>
      <c r="D2189" s="15" t="s">
        <v>7593</v>
      </c>
      <c r="E2189" s="18" t="s">
        <v>28</v>
      </c>
      <c r="F2189" s="19" t="s">
        <v>28</v>
      </c>
      <c r="G2189" s="19" t="s">
        <v>28</v>
      </c>
      <c r="H2189" s="19" t="s">
        <v>28</v>
      </c>
      <c r="I2189" s="18" t="s">
        <v>28</v>
      </c>
      <c r="J2189" s="18" t="s">
        <v>28</v>
      </c>
      <c r="K2189" s="18">
        <v>21.14</v>
      </c>
      <c r="L2189" s="18" t="s">
        <v>28</v>
      </c>
      <c r="M2189" s="18" t="s">
        <v>28</v>
      </c>
      <c r="N2189" s="17">
        <v>44930</v>
      </c>
      <c r="O2189" s="15" t="s">
        <v>30</v>
      </c>
      <c r="P2189" s="16" t="s">
        <v>7594</v>
      </c>
      <c r="Q2189" s="15" t="s">
        <v>280</v>
      </c>
      <c r="R2189" s="13" t="str">
        <f>HYPERLINK("https://my.pitchbook.com?c=212031-73T","View Company Online")</f>
        <v>View Company Online</v>
      </c>
    </row>
    <row r="2190" spans="1:18" hidden="1" x14ac:dyDescent="0.3">
      <c r="A2190" s="9" t="s">
        <v>7595</v>
      </c>
      <c r="B2190" s="9" t="s">
        <v>2452</v>
      </c>
      <c r="C2190" s="11" t="s">
        <v>28</v>
      </c>
      <c r="D2190" s="9" t="s">
        <v>2453</v>
      </c>
      <c r="E2190" s="11" t="s">
        <v>28</v>
      </c>
      <c r="F2190" s="10" t="s">
        <v>28</v>
      </c>
      <c r="G2190" s="10">
        <v>1.5</v>
      </c>
      <c r="H2190" s="10" t="s">
        <v>28</v>
      </c>
      <c r="I2190" s="11" t="s">
        <v>28</v>
      </c>
      <c r="J2190" s="11" t="s">
        <v>28</v>
      </c>
      <c r="K2190" s="11" t="s">
        <v>28</v>
      </c>
      <c r="L2190" s="11" t="s">
        <v>28</v>
      </c>
      <c r="M2190" s="11" t="s">
        <v>28</v>
      </c>
      <c r="N2190" s="8">
        <v>44930</v>
      </c>
      <c r="O2190" s="9" t="s">
        <v>99</v>
      </c>
      <c r="P2190" s="12" t="s">
        <v>5673</v>
      </c>
      <c r="Q2190" s="9" t="s">
        <v>692</v>
      </c>
      <c r="R2190" s="14" t="str">
        <f>HYPERLINK("https://my.pitchbook.com?c=232952-14T","View Company Online")</f>
        <v>View Company Online</v>
      </c>
    </row>
    <row r="2191" spans="1:18" hidden="1" x14ac:dyDescent="0.3">
      <c r="A2191" s="15" t="s">
        <v>7596</v>
      </c>
      <c r="B2191" s="15" t="s">
        <v>7597</v>
      </c>
      <c r="C2191" s="18" t="s">
        <v>28</v>
      </c>
      <c r="D2191" s="15" t="s">
        <v>7598</v>
      </c>
      <c r="E2191" s="18" t="s">
        <v>28</v>
      </c>
      <c r="F2191" s="19" t="s">
        <v>28</v>
      </c>
      <c r="G2191" s="19" t="s">
        <v>28</v>
      </c>
      <c r="H2191" s="19" t="s">
        <v>28</v>
      </c>
      <c r="I2191" s="18" t="s">
        <v>28</v>
      </c>
      <c r="J2191" s="18" t="s">
        <v>28</v>
      </c>
      <c r="K2191" s="18" t="s">
        <v>28</v>
      </c>
      <c r="L2191" s="18" t="s">
        <v>28</v>
      </c>
      <c r="M2191" s="18" t="s">
        <v>28</v>
      </c>
      <c r="N2191" s="17">
        <v>44930</v>
      </c>
      <c r="O2191" s="15" t="s">
        <v>30</v>
      </c>
      <c r="P2191" s="16" t="s">
        <v>7599</v>
      </c>
      <c r="Q2191" s="15" t="s">
        <v>245</v>
      </c>
      <c r="R2191" s="13" t="str">
        <f>HYPERLINK("https://my.pitchbook.com?c=248851-18T","View Company Online")</f>
        <v>View Company Online</v>
      </c>
    </row>
    <row r="2192" spans="1:18" hidden="1" x14ac:dyDescent="0.3">
      <c r="A2192" s="9" t="s">
        <v>7600</v>
      </c>
      <c r="B2192" s="9" t="s">
        <v>7601</v>
      </c>
      <c r="C2192" s="11" t="s">
        <v>28</v>
      </c>
      <c r="D2192" s="9" t="s">
        <v>7602</v>
      </c>
      <c r="E2192" s="11" t="s">
        <v>28</v>
      </c>
      <c r="F2192" s="10" t="s">
        <v>28</v>
      </c>
      <c r="G2192" s="10" t="s">
        <v>28</v>
      </c>
      <c r="H2192" s="10" t="s">
        <v>28</v>
      </c>
      <c r="I2192" s="11" t="s">
        <v>28</v>
      </c>
      <c r="J2192" s="11" t="s">
        <v>28</v>
      </c>
      <c r="K2192" s="11" t="s">
        <v>28</v>
      </c>
      <c r="L2192" s="11" t="s">
        <v>28</v>
      </c>
      <c r="M2192" s="11" t="s">
        <v>28</v>
      </c>
      <c r="N2192" s="8">
        <v>44929</v>
      </c>
      <c r="O2192" s="9" t="s">
        <v>79</v>
      </c>
      <c r="P2192" s="12" t="s">
        <v>611</v>
      </c>
      <c r="Q2192" s="9" t="s">
        <v>75</v>
      </c>
      <c r="R2192" s="14" t="str">
        <f>HYPERLINK("https://my.pitchbook.com?c=220121-29T","View Company Online")</f>
        <v>View Company Online</v>
      </c>
    </row>
    <row r="2193" spans="1:18" hidden="1" x14ac:dyDescent="0.3">
      <c r="A2193" s="15" t="s">
        <v>7603</v>
      </c>
      <c r="B2193" s="15" t="s">
        <v>7604</v>
      </c>
      <c r="C2193" s="18" t="s">
        <v>28</v>
      </c>
      <c r="D2193" s="15" t="s">
        <v>7605</v>
      </c>
      <c r="E2193" s="18" t="s">
        <v>28</v>
      </c>
      <c r="F2193" s="19" t="s">
        <v>28</v>
      </c>
      <c r="G2193" s="19" t="s">
        <v>28</v>
      </c>
      <c r="H2193" s="19" t="s">
        <v>28</v>
      </c>
      <c r="I2193" s="18" t="s">
        <v>28</v>
      </c>
      <c r="J2193" s="18" t="s">
        <v>28</v>
      </c>
      <c r="K2193" s="18" t="s">
        <v>28</v>
      </c>
      <c r="L2193" s="18" t="s">
        <v>28</v>
      </c>
      <c r="M2193" s="18" t="s">
        <v>28</v>
      </c>
      <c r="N2193" s="17">
        <v>44929</v>
      </c>
      <c r="O2193" s="15" t="s">
        <v>30</v>
      </c>
      <c r="P2193" s="16" t="s">
        <v>7606</v>
      </c>
      <c r="Q2193" s="15" t="s">
        <v>4710</v>
      </c>
      <c r="R2193" s="13" t="str">
        <f>HYPERLINK("https://my.pitchbook.com?c=211922-56T","View Company Online")</f>
        <v>View Company Online</v>
      </c>
    </row>
    <row r="2194" spans="1:18" hidden="1" x14ac:dyDescent="0.3">
      <c r="A2194" s="9" t="s">
        <v>7607</v>
      </c>
      <c r="B2194" s="9" t="s">
        <v>7608</v>
      </c>
      <c r="C2194" s="11" t="s">
        <v>28</v>
      </c>
      <c r="D2194" s="9" t="s">
        <v>7609</v>
      </c>
      <c r="E2194" s="11" t="s">
        <v>28</v>
      </c>
      <c r="F2194" s="10">
        <v>7.83</v>
      </c>
      <c r="G2194" s="10">
        <v>7.83</v>
      </c>
      <c r="H2194" s="10">
        <v>7.83</v>
      </c>
      <c r="I2194" s="11" t="s">
        <v>28</v>
      </c>
      <c r="J2194" s="11" t="s">
        <v>28</v>
      </c>
      <c r="K2194" s="11" t="s">
        <v>28</v>
      </c>
      <c r="L2194" s="11" t="s">
        <v>28</v>
      </c>
      <c r="M2194" s="11" t="s">
        <v>28</v>
      </c>
      <c r="N2194" s="8">
        <v>44929</v>
      </c>
      <c r="O2194" s="9" t="s">
        <v>30</v>
      </c>
      <c r="P2194" s="12" t="s">
        <v>3797</v>
      </c>
      <c r="Q2194" s="9" t="s">
        <v>290</v>
      </c>
      <c r="R2194" s="14" t="str">
        <f>HYPERLINK("https://my.pitchbook.com?c=211673-80T","View Company Online")</f>
        <v>View Company Online</v>
      </c>
    </row>
    <row r="2195" spans="1:18" hidden="1" x14ac:dyDescent="0.3">
      <c r="A2195" s="15" t="s">
        <v>7610</v>
      </c>
      <c r="B2195" s="15" t="s">
        <v>551</v>
      </c>
      <c r="C2195" s="18" t="s">
        <v>28</v>
      </c>
      <c r="D2195" s="15" t="s">
        <v>552</v>
      </c>
      <c r="E2195" s="18" t="s">
        <v>28</v>
      </c>
      <c r="F2195" s="19" t="s">
        <v>28</v>
      </c>
      <c r="G2195" s="19" t="s">
        <v>28</v>
      </c>
      <c r="H2195" s="19" t="s">
        <v>28</v>
      </c>
      <c r="I2195" s="18" t="s">
        <v>28</v>
      </c>
      <c r="J2195" s="18" t="s">
        <v>28</v>
      </c>
      <c r="K2195" s="18" t="s">
        <v>28</v>
      </c>
      <c r="L2195" s="18" t="s">
        <v>28</v>
      </c>
      <c r="M2195" s="18" t="s">
        <v>28</v>
      </c>
      <c r="N2195" s="17">
        <v>44928</v>
      </c>
      <c r="O2195" s="15" t="s">
        <v>41</v>
      </c>
      <c r="P2195" s="16" t="s">
        <v>7611</v>
      </c>
      <c r="Q2195" s="15" t="s">
        <v>213</v>
      </c>
      <c r="R2195" s="13" t="str">
        <f>HYPERLINK("https://my.pitchbook.com?c=211996-27T","View Company Online")</f>
        <v>View Company Online</v>
      </c>
    </row>
    <row r="2196" spans="1:18" hidden="1" x14ac:dyDescent="0.3">
      <c r="A2196" s="9" t="s">
        <v>7612</v>
      </c>
      <c r="B2196" s="9" t="s">
        <v>7613</v>
      </c>
      <c r="C2196" s="11" t="s">
        <v>28</v>
      </c>
      <c r="D2196" s="9" t="s">
        <v>7614</v>
      </c>
      <c r="E2196" s="11" t="s">
        <v>28</v>
      </c>
      <c r="F2196" s="10">
        <v>155.38</v>
      </c>
      <c r="G2196" s="10">
        <v>155.38</v>
      </c>
      <c r="H2196" s="10">
        <v>155.38</v>
      </c>
      <c r="I2196" s="11" t="s">
        <v>28</v>
      </c>
      <c r="J2196" s="11" t="s">
        <v>28</v>
      </c>
      <c r="K2196" s="11" t="s">
        <v>28</v>
      </c>
      <c r="L2196" s="11" t="s">
        <v>28</v>
      </c>
      <c r="M2196" s="11" t="s">
        <v>28</v>
      </c>
      <c r="N2196" s="8">
        <v>44928</v>
      </c>
      <c r="O2196" s="9" t="s">
        <v>30</v>
      </c>
      <c r="P2196" s="12" t="s">
        <v>7615</v>
      </c>
      <c r="Q2196" s="9" t="s">
        <v>43</v>
      </c>
      <c r="R2196" s="14" t="str">
        <f>HYPERLINK("https://my.pitchbook.com?c=209395-18T","View Company Online")</f>
        <v>View Company Online</v>
      </c>
    </row>
    <row r="2197" spans="1:18" hidden="1" x14ac:dyDescent="0.3">
      <c r="A2197" s="15" t="s">
        <v>7616</v>
      </c>
      <c r="B2197" s="15" t="s">
        <v>7617</v>
      </c>
      <c r="C2197" s="18" t="s">
        <v>28</v>
      </c>
      <c r="D2197" s="15" t="s">
        <v>7618</v>
      </c>
      <c r="E2197" s="18" t="s">
        <v>28</v>
      </c>
      <c r="F2197" s="19">
        <v>1.26</v>
      </c>
      <c r="G2197" s="19">
        <v>1.26</v>
      </c>
      <c r="H2197" s="19">
        <v>1.26</v>
      </c>
      <c r="I2197" s="18" t="s">
        <v>28</v>
      </c>
      <c r="J2197" s="18" t="s">
        <v>28</v>
      </c>
      <c r="K2197" s="18" t="s">
        <v>28</v>
      </c>
      <c r="L2197" s="18" t="s">
        <v>28</v>
      </c>
      <c r="M2197" s="18" t="s">
        <v>28</v>
      </c>
      <c r="N2197" s="17">
        <v>44928</v>
      </c>
      <c r="O2197" s="15" t="s">
        <v>30</v>
      </c>
      <c r="P2197" s="16" t="s">
        <v>3797</v>
      </c>
      <c r="Q2197" s="15" t="s">
        <v>692</v>
      </c>
      <c r="R2197" s="13" t="str">
        <f>HYPERLINK("https://my.pitchbook.com?c=212560-84T","View Company Online")</f>
        <v>View Company Online</v>
      </c>
    </row>
    <row r="2198" spans="1:18" hidden="1" x14ac:dyDescent="0.3">
      <c r="A2198" s="9" t="s">
        <v>7619</v>
      </c>
      <c r="B2198" s="9" t="s">
        <v>7620</v>
      </c>
      <c r="C2198" s="11" t="s">
        <v>28</v>
      </c>
      <c r="D2198" s="9" t="s">
        <v>7621</v>
      </c>
      <c r="E2198" s="11" t="s">
        <v>28</v>
      </c>
      <c r="F2198" s="10" t="s">
        <v>28</v>
      </c>
      <c r="G2198" s="10" t="s">
        <v>28</v>
      </c>
      <c r="H2198" s="10" t="s">
        <v>28</v>
      </c>
      <c r="I2198" s="11" t="s">
        <v>28</v>
      </c>
      <c r="J2198" s="11" t="s">
        <v>28</v>
      </c>
      <c r="K2198" s="11" t="s">
        <v>28</v>
      </c>
      <c r="L2198" s="11" t="s">
        <v>28</v>
      </c>
      <c r="M2198" s="11" t="s">
        <v>28</v>
      </c>
      <c r="N2198" s="8">
        <v>44927</v>
      </c>
      <c r="O2198" s="9" t="s">
        <v>52</v>
      </c>
      <c r="P2198" s="12" t="s">
        <v>2830</v>
      </c>
      <c r="Q2198" s="9" t="s">
        <v>75</v>
      </c>
      <c r="R2198" s="14" t="str">
        <f>HYPERLINK("https://my.pitchbook.com?c=292863-70T","View Company Online")</f>
        <v>View Company Online</v>
      </c>
    </row>
    <row r="2199" spans="1:18" hidden="1" x14ac:dyDescent="0.3">
      <c r="A2199" s="15" t="s">
        <v>7622</v>
      </c>
      <c r="B2199" s="15" t="s">
        <v>827</v>
      </c>
      <c r="C2199" s="18" t="s">
        <v>28</v>
      </c>
      <c r="D2199" s="15" t="s">
        <v>828</v>
      </c>
      <c r="E2199" s="18" t="s">
        <v>28</v>
      </c>
      <c r="F2199" s="19" t="s">
        <v>28</v>
      </c>
      <c r="G2199" s="19" t="s">
        <v>28</v>
      </c>
      <c r="H2199" s="19" t="s">
        <v>28</v>
      </c>
      <c r="I2199" s="18" t="s">
        <v>28</v>
      </c>
      <c r="J2199" s="18" t="s">
        <v>28</v>
      </c>
      <c r="K2199" s="18" t="s">
        <v>28</v>
      </c>
      <c r="L2199" s="18" t="s">
        <v>28</v>
      </c>
      <c r="M2199" s="18" t="s">
        <v>28</v>
      </c>
      <c r="N2199" s="17">
        <v>44927</v>
      </c>
      <c r="O2199" s="15" t="s">
        <v>52</v>
      </c>
      <c r="P2199" s="16" t="s">
        <v>2442</v>
      </c>
      <c r="Q2199" s="15" t="s">
        <v>245</v>
      </c>
      <c r="R2199" s="13" t="str">
        <f>HYPERLINK("https://my.pitchbook.com?c=261617-23T","View Company Online")</f>
        <v>View Company Online</v>
      </c>
    </row>
    <row r="2200" spans="1:18" hidden="1" x14ac:dyDescent="0.3">
      <c r="A2200" s="9" t="s">
        <v>7623</v>
      </c>
      <c r="B2200" s="9" t="s">
        <v>7624</v>
      </c>
      <c r="C2200" s="11" t="s">
        <v>28</v>
      </c>
      <c r="D2200" s="9" t="s">
        <v>7625</v>
      </c>
      <c r="E2200" s="11" t="s">
        <v>28</v>
      </c>
      <c r="F2200" s="10" t="s">
        <v>28</v>
      </c>
      <c r="G2200" s="10" t="s">
        <v>28</v>
      </c>
      <c r="H2200" s="10" t="s">
        <v>28</v>
      </c>
      <c r="I2200" s="11" t="s">
        <v>28</v>
      </c>
      <c r="J2200" s="11" t="s">
        <v>28</v>
      </c>
      <c r="K2200" s="11" t="s">
        <v>28</v>
      </c>
      <c r="L2200" s="11" t="s">
        <v>28</v>
      </c>
      <c r="M2200" s="11" t="s">
        <v>28</v>
      </c>
      <c r="N2200" s="8">
        <v>44927</v>
      </c>
      <c r="O2200" s="9" t="s">
        <v>52</v>
      </c>
      <c r="P2200" s="12" t="s">
        <v>2442</v>
      </c>
      <c r="Q2200" s="9" t="s">
        <v>75</v>
      </c>
      <c r="R2200" s="14" t="str">
        <f>HYPERLINK("https://my.pitchbook.com?c=258989-77T","View Company Online")</f>
        <v>View Company Online</v>
      </c>
    </row>
    <row r="2201" spans="1:18" hidden="1" x14ac:dyDescent="0.3">
      <c r="A2201" s="15" t="s">
        <v>7626</v>
      </c>
      <c r="B2201" s="15" t="s">
        <v>3799</v>
      </c>
      <c r="C2201" s="18" t="s">
        <v>28</v>
      </c>
      <c r="D2201" s="15" t="s">
        <v>3800</v>
      </c>
      <c r="E2201" s="18" t="s">
        <v>28</v>
      </c>
      <c r="F2201" s="19" t="s">
        <v>28</v>
      </c>
      <c r="G2201" s="19" t="s">
        <v>28</v>
      </c>
      <c r="H2201" s="19" t="s">
        <v>28</v>
      </c>
      <c r="I2201" s="18" t="s">
        <v>28</v>
      </c>
      <c r="J2201" s="18" t="s">
        <v>28</v>
      </c>
      <c r="K2201" s="18" t="s">
        <v>28</v>
      </c>
      <c r="L2201" s="18" t="s">
        <v>28</v>
      </c>
      <c r="M2201" s="18" t="s">
        <v>28</v>
      </c>
      <c r="N2201" s="17">
        <v>44927</v>
      </c>
      <c r="O2201" s="15" t="s">
        <v>52</v>
      </c>
      <c r="P2201" s="16" t="s">
        <v>1880</v>
      </c>
      <c r="Q2201" s="15" t="s">
        <v>419</v>
      </c>
      <c r="R2201" s="13" t="str">
        <f>HYPERLINK("https://my.pitchbook.com?c=295942-15T","View Company Online")</f>
        <v>View Company Online</v>
      </c>
    </row>
    <row r="2202" spans="1:18" hidden="1" x14ac:dyDescent="0.3">
      <c r="A2202" s="9" t="s">
        <v>7627</v>
      </c>
      <c r="B2202" s="9" t="s">
        <v>7628</v>
      </c>
      <c r="C2202" s="11" t="s">
        <v>28</v>
      </c>
      <c r="D2202" s="9" t="s">
        <v>7629</v>
      </c>
      <c r="E2202" s="11" t="s">
        <v>28</v>
      </c>
      <c r="F2202" s="10" t="s">
        <v>28</v>
      </c>
      <c r="G2202" s="10" t="s">
        <v>28</v>
      </c>
      <c r="H2202" s="10" t="s">
        <v>28</v>
      </c>
      <c r="I2202" s="11" t="s">
        <v>28</v>
      </c>
      <c r="J2202" s="11" t="s">
        <v>28</v>
      </c>
      <c r="K2202" s="11" t="s">
        <v>28</v>
      </c>
      <c r="L2202" s="11" t="s">
        <v>28</v>
      </c>
      <c r="M2202" s="11" t="s">
        <v>28</v>
      </c>
      <c r="N2202" s="8">
        <v>44927</v>
      </c>
      <c r="O2202" s="9" t="s">
        <v>52</v>
      </c>
      <c r="P2202" s="12" t="s">
        <v>1970</v>
      </c>
      <c r="Q2202" s="9" t="s">
        <v>362</v>
      </c>
      <c r="R2202" s="14" t="str">
        <f>HYPERLINK("https://my.pitchbook.com?c=295395-22T","View Company Online")</f>
        <v>View Company Online</v>
      </c>
    </row>
    <row r="2203" spans="1:18" hidden="1" x14ac:dyDescent="0.3">
      <c r="A2203" s="15" t="s">
        <v>7630</v>
      </c>
      <c r="B2203" s="15" t="s">
        <v>7631</v>
      </c>
      <c r="C2203" s="18" t="s">
        <v>28</v>
      </c>
      <c r="D2203" s="15" t="s">
        <v>7632</v>
      </c>
      <c r="E2203" s="18" t="s">
        <v>28</v>
      </c>
      <c r="F2203" s="19" t="s">
        <v>28</v>
      </c>
      <c r="G2203" s="19" t="s">
        <v>28</v>
      </c>
      <c r="H2203" s="19" t="s">
        <v>28</v>
      </c>
      <c r="I2203" s="18" t="s">
        <v>28</v>
      </c>
      <c r="J2203" s="18" t="s">
        <v>28</v>
      </c>
      <c r="K2203" s="18" t="s">
        <v>28</v>
      </c>
      <c r="L2203" s="18" t="s">
        <v>28</v>
      </c>
      <c r="M2203" s="18" t="s">
        <v>28</v>
      </c>
      <c r="N2203" s="17">
        <v>44927</v>
      </c>
      <c r="O2203" s="15" t="s">
        <v>30</v>
      </c>
      <c r="P2203" s="16" t="s">
        <v>28</v>
      </c>
      <c r="Q2203" s="15" t="s">
        <v>245</v>
      </c>
      <c r="R2203" s="13" t="str">
        <f>HYPERLINK("https://my.pitchbook.com?c=216445-24T","View Company Online")</f>
        <v>View Company Online</v>
      </c>
    </row>
    <row r="2204" spans="1:18" hidden="1" x14ac:dyDescent="0.3">
      <c r="A2204" s="9" t="s">
        <v>7633</v>
      </c>
      <c r="B2204" s="9" t="s">
        <v>1952</v>
      </c>
      <c r="C2204" s="11" t="s">
        <v>28</v>
      </c>
      <c r="D2204" s="9" t="s">
        <v>1953</v>
      </c>
      <c r="E2204" s="11" t="s">
        <v>28</v>
      </c>
      <c r="F2204" s="10" t="s">
        <v>28</v>
      </c>
      <c r="G2204" s="10" t="s">
        <v>28</v>
      </c>
      <c r="H2204" s="10" t="s">
        <v>28</v>
      </c>
      <c r="I2204" s="11" t="s">
        <v>28</v>
      </c>
      <c r="J2204" s="11" t="s">
        <v>28</v>
      </c>
      <c r="K2204" s="11" t="s">
        <v>28</v>
      </c>
      <c r="L2204" s="11" t="s">
        <v>28</v>
      </c>
      <c r="M2204" s="11" t="s">
        <v>28</v>
      </c>
      <c r="N2204" s="8">
        <v>44927</v>
      </c>
      <c r="O2204" s="9" t="s">
        <v>52</v>
      </c>
      <c r="P2204" s="12" t="s">
        <v>1662</v>
      </c>
      <c r="Q2204" s="9" t="s">
        <v>75</v>
      </c>
      <c r="R2204" s="14" t="str">
        <f>HYPERLINK("https://my.pitchbook.com?c=234891-73T","View Company Online")</f>
        <v>View Company Online</v>
      </c>
    </row>
    <row r="2205" spans="1:18" hidden="1" x14ac:dyDescent="0.3">
      <c r="A2205" s="15" t="s">
        <v>7634</v>
      </c>
      <c r="B2205" s="15" t="s">
        <v>7069</v>
      </c>
      <c r="C2205" s="18" t="s">
        <v>28</v>
      </c>
      <c r="D2205" s="15" t="s">
        <v>7070</v>
      </c>
      <c r="E2205" s="18" t="s">
        <v>28</v>
      </c>
      <c r="F2205" s="19" t="s">
        <v>28</v>
      </c>
      <c r="G2205" s="19">
        <v>8.5</v>
      </c>
      <c r="H2205" s="19" t="s">
        <v>28</v>
      </c>
      <c r="I2205" s="18" t="s">
        <v>28</v>
      </c>
      <c r="J2205" s="18" t="s">
        <v>28</v>
      </c>
      <c r="K2205" s="18" t="s">
        <v>28</v>
      </c>
      <c r="L2205" s="18" t="s">
        <v>28</v>
      </c>
      <c r="M2205" s="18" t="s">
        <v>28</v>
      </c>
      <c r="N2205" s="17">
        <v>44927</v>
      </c>
      <c r="O2205" s="15" t="s">
        <v>73</v>
      </c>
      <c r="P2205" s="16" t="s">
        <v>7635</v>
      </c>
      <c r="Q2205" s="15" t="s">
        <v>37</v>
      </c>
      <c r="R2205" s="13" t="str">
        <f>HYPERLINK("https://my.pitchbook.com?c=232987-24T","View Company Online")</f>
        <v>View Company Online</v>
      </c>
    </row>
    <row r="2206" spans="1:18" hidden="1" x14ac:dyDescent="0.3">
      <c r="A2206" s="9" t="s">
        <v>7636</v>
      </c>
      <c r="B2206" s="9" t="s">
        <v>7637</v>
      </c>
      <c r="C2206" s="11" t="s">
        <v>28</v>
      </c>
      <c r="D2206" s="9" t="s">
        <v>7638</v>
      </c>
      <c r="E2206" s="11" t="s">
        <v>28</v>
      </c>
      <c r="F2206" s="10" t="s">
        <v>28</v>
      </c>
      <c r="G2206" s="10" t="s">
        <v>28</v>
      </c>
      <c r="H2206" s="10" t="s">
        <v>28</v>
      </c>
      <c r="I2206" s="11" t="s">
        <v>28</v>
      </c>
      <c r="J2206" s="11" t="s">
        <v>28</v>
      </c>
      <c r="K2206" s="11" t="s">
        <v>28</v>
      </c>
      <c r="L2206" s="11" t="s">
        <v>28</v>
      </c>
      <c r="M2206" s="11" t="s">
        <v>28</v>
      </c>
      <c r="N2206" s="8">
        <v>44927</v>
      </c>
      <c r="O2206" s="9" t="s">
        <v>79</v>
      </c>
      <c r="P2206" s="12" t="s">
        <v>7639</v>
      </c>
      <c r="Q2206" s="9" t="s">
        <v>75</v>
      </c>
      <c r="R2206" s="14" t="str">
        <f>HYPERLINK("https://my.pitchbook.com?c=300907-72T","View Company Online")</f>
        <v>View Company Online</v>
      </c>
    </row>
    <row r="2207" spans="1:18" hidden="1" x14ac:dyDescent="0.3">
      <c r="A2207" s="15" t="s">
        <v>7640</v>
      </c>
      <c r="B2207" s="15" t="s">
        <v>4104</v>
      </c>
      <c r="C2207" s="18" t="s">
        <v>28</v>
      </c>
      <c r="D2207" s="15" t="s">
        <v>4105</v>
      </c>
      <c r="E2207" s="18" t="s">
        <v>28</v>
      </c>
      <c r="F2207" s="19" t="s">
        <v>28</v>
      </c>
      <c r="G2207" s="19" t="s">
        <v>28</v>
      </c>
      <c r="H2207" s="19" t="s">
        <v>28</v>
      </c>
      <c r="I2207" s="18" t="s">
        <v>28</v>
      </c>
      <c r="J2207" s="18" t="s">
        <v>28</v>
      </c>
      <c r="K2207" s="18" t="s">
        <v>28</v>
      </c>
      <c r="L2207" s="18" t="s">
        <v>28</v>
      </c>
      <c r="M2207" s="18" t="s">
        <v>28</v>
      </c>
      <c r="N2207" s="17">
        <v>44927</v>
      </c>
      <c r="O2207" s="15" t="s">
        <v>52</v>
      </c>
      <c r="P2207" s="16" t="s">
        <v>1970</v>
      </c>
      <c r="Q2207" s="15" t="s">
        <v>75</v>
      </c>
      <c r="R2207" s="13" t="str">
        <f>HYPERLINK("https://my.pitchbook.com?c=295748-92T","View Company Online")</f>
        <v>View Company Online</v>
      </c>
    </row>
    <row r="2208" spans="1:18" hidden="1" x14ac:dyDescent="0.3">
      <c r="A2208" s="9" t="s">
        <v>7641</v>
      </c>
      <c r="B2208" s="9" t="s">
        <v>5542</v>
      </c>
      <c r="C2208" s="11" t="s">
        <v>28</v>
      </c>
      <c r="D2208" s="9" t="s">
        <v>5543</v>
      </c>
      <c r="E2208" s="11" t="s">
        <v>28</v>
      </c>
      <c r="F2208" s="10" t="s">
        <v>28</v>
      </c>
      <c r="G2208" s="10" t="s">
        <v>28</v>
      </c>
      <c r="H2208" s="10" t="s">
        <v>28</v>
      </c>
      <c r="I2208" s="11" t="s">
        <v>28</v>
      </c>
      <c r="J2208" s="11" t="s">
        <v>28</v>
      </c>
      <c r="K2208" s="11" t="s">
        <v>28</v>
      </c>
      <c r="L2208" s="11" t="s">
        <v>28</v>
      </c>
      <c r="M2208" s="11" t="s">
        <v>28</v>
      </c>
      <c r="N2208" s="8">
        <v>44927</v>
      </c>
      <c r="O2208" s="9" t="s">
        <v>52</v>
      </c>
      <c r="P2208" s="12" t="s">
        <v>1662</v>
      </c>
      <c r="Q2208" s="9" t="s">
        <v>75</v>
      </c>
      <c r="R2208" s="14" t="str">
        <f>HYPERLINK("https://my.pitchbook.com?c=234893-89T","View Company Online")</f>
        <v>View Company Online</v>
      </c>
    </row>
    <row r="2209" spans="1:18" hidden="1" x14ac:dyDescent="0.3">
      <c r="A2209" s="15" t="s">
        <v>7642</v>
      </c>
      <c r="B2209" s="15" t="s">
        <v>7643</v>
      </c>
      <c r="C2209" s="18" t="s">
        <v>28</v>
      </c>
      <c r="D2209" s="15" t="s">
        <v>7644</v>
      </c>
      <c r="E2209" s="18" t="s">
        <v>28</v>
      </c>
      <c r="F2209" s="19" t="s">
        <v>28</v>
      </c>
      <c r="G2209" s="19" t="s">
        <v>28</v>
      </c>
      <c r="H2209" s="19" t="s">
        <v>28</v>
      </c>
      <c r="I2209" s="18" t="s">
        <v>28</v>
      </c>
      <c r="J2209" s="18" t="s">
        <v>28</v>
      </c>
      <c r="K2209" s="18" t="s">
        <v>28</v>
      </c>
      <c r="L2209" s="18" t="s">
        <v>28</v>
      </c>
      <c r="M2209" s="18" t="s">
        <v>28</v>
      </c>
      <c r="N2209" s="17">
        <v>44927</v>
      </c>
      <c r="O2209" s="15" t="s">
        <v>79</v>
      </c>
      <c r="P2209" s="16" t="s">
        <v>7645</v>
      </c>
      <c r="Q2209" s="15" t="s">
        <v>607</v>
      </c>
      <c r="R2209" s="13" t="str">
        <f>HYPERLINK("https://my.pitchbook.com?c=244122-49T","View Company Online")</f>
        <v>View Company Online</v>
      </c>
    </row>
    <row r="2210" spans="1:18" hidden="1" x14ac:dyDescent="0.3">
      <c r="A2210" s="9" t="s">
        <v>7646</v>
      </c>
      <c r="B2210" s="9" t="s">
        <v>7647</v>
      </c>
      <c r="C2210" s="11" t="s">
        <v>28</v>
      </c>
      <c r="D2210" s="9" t="s">
        <v>7648</v>
      </c>
      <c r="E2210" s="11" t="s">
        <v>28</v>
      </c>
      <c r="F2210" s="10" t="s">
        <v>28</v>
      </c>
      <c r="G2210" s="10" t="s">
        <v>28</v>
      </c>
      <c r="H2210" s="10" t="s">
        <v>28</v>
      </c>
      <c r="I2210" s="11" t="s">
        <v>28</v>
      </c>
      <c r="J2210" s="11" t="s">
        <v>28</v>
      </c>
      <c r="K2210" s="11" t="s">
        <v>28</v>
      </c>
      <c r="L2210" s="11" t="s">
        <v>28</v>
      </c>
      <c r="M2210" s="11" t="s">
        <v>28</v>
      </c>
      <c r="N2210" s="8">
        <v>44927</v>
      </c>
      <c r="O2210" s="9" t="s">
        <v>52</v>
      </c>
      <c r="P2210" s="12" t="s">
        <v>1970</v>
      </c>
      <c r="Q2210" s="9" t="s">
        <v>75</v>
      </c>
      <c r="R2210" s="14" t="str">
        <f>HYPERLINK("https://my.pitchbook.com?c=292041-37T","View Company Online")</f>
        <v>View Company Online</v>
      </c>
    </row>
    <row r="2211" spans="1:18" hidden="1" x14ac:dyDescent="0.3">
      <c r="A2211" s="15" t="s">
        <v>7649</v>
      </c>
      <c r="B2211" s="15" t="s">
        <v>7650</v>
      </c>
      <c r="C2211" s="18" t="s">
        <v>28</v>
      </c>
      <c r="D2211" s="15" t="s">
        <v>7651</v>
      </c>
      <c r="E2211" s="18" t="s">
        <v>28</v>
      </c>
      <c r="F2211" s="19" t="s">
        <v>28</v>
      </c>
      <c r="G2211" s="19" t="s">
        <v>28</v>
      </c>
      <c r="H2211" s="19" t="s">
        <v>28</v>
      </c>
      <c r="I2211" s="18" t="s">
        <v>28</v>
      </c>
      <c r="J2211" s="18" t="s">
        <v>28</v>
      </c>
      <c r="K2211" s="18" t="s">
        <v>28</v>
      </c>
      <c r="L2211" s="18" t="s">
        <v>28</v>
      </c>
      <c r="M2211" s="18" t="s">
        <v>28</v>
      </c>
      <c r="N2211" s="17">
        <v>44927</v>
      </c>
      <c r="O2211" s="15" t="s">
        <v>52</v>
      </c>
      <c r="P2211" s="16" t="s">
        <v>1970</v>
      </c>
      <c r="Q2211" s="15" t="s">
        <v>1793</v>
      </c>
      <c r="R2211" s="13" t="str">
        <f>HYPERLINK("https://my.pitchbook.com?c=295738-21T","View Company Online")</f>
        <v>View Company Online</v>
      </c>
    </row>
    <row r="2212" spans="1:18" hidden="1" x14ac:dyDescent="0.3">
      <c r="A2212" s="9" t="s">
        <v>7652</v>
      </c>
      <c r="B2212" s="9" t="s">
        <v>7653</v>
      </c>
      <c r="C2212" s="11" t="s">
        <v>28</v>
      </c>
      <c r="D2212" s="9" t="s">
        <v>7654</v>
      </c>
      <c r="E2212" s="11" t="s">
        <v>28</v>
      </c>
      <c r="F2212" s="10" t="s">
        <v>28</v>
      </c>
      <c r="G2212" s="10" t="s">
        <v>28</v>
      </c>
      <c r="H2212" s="10" t="s">
        <v>28</v>
      </c>
      <c r="I2212" s="11" t="s">
        <v>28</v>
      </c>
      <c r="J2212" s="11" t="s">
        <v>28</v>
      </c>
      <c r="K2212" s="11" t="s">
        <v>28</v>
      </c>
      <c r="L2212" s="11" t="s">
        <v>28</v>
      </c>
      <c r="M2212" s="11" t="s">
        <v>28</v>
      </c>
      <c r="N2212" s="8">
        <v>44927</v>
      </c>
      <c r="O2212" s="9" t="s">
        <v>30</v>
      </c>
      <c r="P2212" s="12" t="s">
        <v>7655</v>
      </c>
      <c r="Q2212" s="9" t="s">
        <v>169</v>
      </c>
      <c r="R2212" s="14" t="str">
        <f>HYPERLINK("https://my.pitchbook.com?c=292167-01T","View Company Online")</f>
        <v>View Company Online</v>
      </c>
    </row>
    <row r="2213" spans="1:18" hidden="1" x14ac:dyDescent="0.3">
      <c r="A2213" s="15" t="s">
        <v>7656</v>
      </c>
      <c r="B2213" s="15" t="s">
        <v>7657</v>
      </c>
      <c r="C2213" s="18" t="s">
        <v>28</v>
      </c>
      <c r="D2213" s="15" t="s">
        <v>7658</v>
      </c>
      <c r="E2213" s="18" t="s">
        <v>28</v>
      </c>
      <c r="F2213" s="19" t="s">
        <v>28</v>
      </c>
      <c r="G2213" s="19" t="s">
        <v>28</v>
      </c>
      <c r="H2213" s="19" t="s">
        <v>28</v>
      </c>
      <c r="I2213" s="18" t="s">
        <v>28</v>
      </c>
      <c r="J2213" s="18" t="s">
        <v>28</v>
      </c>
      <c r="K2213" s="18" t="s">
        <v>28</v>
      </c>
      <c r="L2213" s="18" t="s">
        <v>28</v>
      </c>
      <c r="M2213" s="18" t="s">
        <v>28</v>
      </c>
      <c r="N2213" s="17">
        <v>44927</v>
      </c>
      <c r="O2213" s="15" t="s">
        <v>52</v>
      </c>
      <c r="P2213" s="16" t="s">
        <v>2830</v>
      </c>
      <c r="Q2213" s="15" t="s">
        <v>75</v>
      </c>
      <c r="R2213" s="13" t="str">
        <f>HYPERLINK("https://my.pitchbook.com?c=292805-65T","View Company Online")</f>
        <v>View Company Online</v>
      </c>
    </row>
    <row r="2214" spans="1:18" hidden="1" x14ac:dyDescent="0.3">
      <c r="A2214" s="9" t="s">
        <v>7659</v>
      </c>
      <c r="B2214" s="9" t="s">
        <v>7660</v>
      </c>
      <c r="C2214" s="11" t="s">
        <v>28</v>
      </c>
      <c r="D2214" s="9" t="s">
        <v>7661</v>
      </c>
      <c r="E2214" s="11" t="s">
        <v>28</v>
      </c>
      <c r="F2214" s="10" t="s">
        <v>28</v>
      </c>
      <c r="G2214" s="10" t="s">
        <v>28</v>
      </c>
      <c r="H2214" s="10" t="s">
        <v>28</v>
      </c>
      <c r="I2214" s="11" t="s">
        <v>28</v>
      </c>
      <c r="J2214" s="11" t="s">
        <v>28</v>
      </c>
      <c r="K2214" s="11" t="s">
        <v>28</v>
      </c>
      <c r="L2214" s="11" t="s">
        <v>28</v>
      </c>
      <c r="M2214" s="11" t="s">
        <v>28</v>
      </c>
      <c r="N2214" s="8">
        <v>44927</v>
      </c>
      <c r="O2214" s="9" t="s">
        <v>52</v>
      </c>
      <c r="P2214" s="12" t="s">
        <v>1662</v>
      </c>
      <c r="Q2214" s="9" t="s">
        <v>75</v>
      </c>
      <c r="R2214" s="14" t="str">
        <f>HYPERLINK("https://my.pitchbook.com?c=278921-53T","View Company Online")</f>
        <v>View Company Online</v>
      </c>
    </row>
    <row r="2215" spans="1:18" hidden="1" x14ac:dyDescent="0.3">
      <c r="A2215" s="15" t="s">
        <v>7662</v>
      </c>
      <c r="B2215" s="15" t="s">
        <v>7663</v>
      </c>
      <c r="C2215" s="18" t="s">
        <v>28</v>
      </c>
      <c r="D2215" s="15" t="s">
        <v>7664</v>
      </c>
      <c r="E2215" s="18" t="s">
        <v>28</v>
      </c>
      <c r="F2215" s="19" t="s">
        <v>28</v>
      </c>
      <c r="G2215" s="19" t="s">
        <v>28</v>
      </c>
      <c r="H2215" s="19" t="s">
        <v>28</v>
      </c>
      <c r="I2215" s="18" t="s">
        <v>28</v>
      </c>
      <c r="J2215" s="18" t="s">
        <v>28</v>
      </c>
      <c r="K2215" s="18" t="s">
        <v>28</v>
      </c>
      <c r="L2215" s="18" t="s">
        <v>28</v>
      </c>
      <c r="M2215" s="18" t="s">
        <v>28</v>
      </c>
      <c r="N2215" s="17">
        <v>44927</v>
      </c>
      <c r="O2215" s="15" t="s">
        <v>52</v>
      </c>
      <c r="P2215" s="16" t="s">
        <v>1970</v>
      </c>
      <c r="Q2215" s="15" t="s">
        <v>75</v>
      </c>
      <c r="R2215" s="13" t="str">
        <f>HYPERLINK("https://my.pitchbook.com?c=295761-43T","View Company Online")</f>
        <v>View Company Online</v>
      </c>
    </row>
    <row r="2216" spans="1:18" hidden="1" x14ac:dyDescent="0.3">
      <c r="A2216" s="9" t="s">
        <v>7665</v>
      </c>
      <c r="B2216" s="9" t="s">
        <v>7666</v>
      </c>
      <c r="C2216" s="11" t="s">
        <v>28</v>
      </c>
      <c r="D2216" s="9" t="s">
        <v>7667</v>
      </c>
      <c r="E2216" s="11" t="s">
        <v>28</v>
      </c>
      <c r="F2216" s="10" t="s">
        <v>28</v>
      </c>
      <c r="G2216" s="10" t="s">
        <v>28</v>
      </c>
      <c r="H2216" s="10" t="s">
        <v>28</v>
      </c>
      <c r="I2216" s="11" t="s">
        <v>28</v>
      </c>
      <c r="J2216" s="11" t="s">
        <v>28</v>
      </c>
      <c r="K2216" s="11" t="s">
        <v>28</v>
      </c>
      <c r="L2216" s="11" t="s">
        <v>28</v>
      </c>
      <c r="M2216" s="11" t="s">
        <v>28</v>
      </c>
      <c r="N2216" s="8">
        <v>44927</v>
      </c>
      <c r="O2216" s="9" t="s">
        <v>52</v>
      </c>
      <c r="P2216" s="12" t="s">
        <v>1970</v>
      </c>
      <c r="Q2216" s="9" t="s">
        <v>419</v>
      </c>
      <c r="R2216" s="14" t="str">
        <f>HYPERLINK("https://my.pitchbook.com?c=295420-69T","View Company Online")</f>
        <v>View Company Online</v>
      </c>
    </row>
    <row r="2217" spans="1:18" hidden="1" x14ac:dyDescent="0.3">
      <c r="A2217" s="15" t="s">
        <v>7668</v>
      </c>
      <c r="B2217" s="15" t="s">
        <v>7669</v>
      </c>
      <c r="C2217" s="18" t="s">
        <v>28</v>
      </c>
      <c r="D2217" s="15" t="s">
        <v>7670</v>
      </c>
      <c r="E2217" s="18" t="s">
        <v>28</v>
      </c>
      <c r="F2217" s="19" t="s">
        <v>28</v>
      </c>
      <c r="G2217" s="19" t="s">
        <v>28</v>
      </c>
      <c r="H2217" s="19" t="s">
        <v>28</v>
      </c>
      <c r="I2217" s="18" t="s">
        <v>28</v>
      </c>
      <c r="J2217" s="18" t="s">
        <v>28</v>
      </c>
      <c r="K2217" s="18" t="s">
        <v>28</v>
      </c>
      <c r="L2217" s="18" t="s">
        <v>28</v>
      </c>
      <c r="M2217" s="18" t="s">
        <v>28</v>
      </c>
      <c r="N2217" s="17">
        <v>44927</v>
      </c>
      <c r="O2217" s="15" t="s">
        <v>52</v>
      </c>
      <c r="P2217" s="16" t="s">
        <v>1970</v>
      </c>
      <c r="Q2217" s="15" t="s">
        <v>75</v>
      </c>
      <c r="R2217" s="13" t="str">
        <f>HYPERLINK("https://my.pitchbook.com?c=295314-04T","View Company Online")</f>
        <v>View Company Online</v>
      </c>
    </row>
    <row r="2218" spans="1:18" hidden="1" x14ac:dyDescent="0.3">
      <c r="A2218" s="9" t="s">
        <v>7671</v>
      </c>
      <c r="B2218" s="9" t="s">
        <v>776</v>
      </c>
      <c r="C2218" s="11" t="s">
        <v>28</v>
      </c>
      <c r="D2218" s="9" t="s">
        <v>777</v>
      </c>
      <c r="E2218" s="11" t="s">
        <v>28</v>
      </c>
      <c r="F2218" s="10" t="s">
        <v>28</v>
      </c>
      <c r="G2218" s="10">
        <v>0.38</v>
      </c>
      <c r="H2218" s="10" t="s">
        <v>28</v>
      </c>
      <c r="I2218" s="11" t="s">
        <v>28</v>
      </c>
      <c r="J2218" s="11" t="s">
        <v>28</v>
      </c>
      <c r="K2218" s="11" t="s">
        <v>28</v>
      </c>
      <c r="L2218" s="11" t="s">
        <v>28</v>
      </c>
      <c r="M2218" s="11" t="s">
        <v>28</v>
      </c>
      <c r="N2218" s="8">
        <v>44927</v>
      </c>
      <c r="O2218" s="9" t="s">
        <v>58</v>
      </c>
      <c r="P2218" s="12" t="s">
        <v>2398</v>
      </c>
      <c r="Q2218" s="9" t="s">
        <v>245</v>
      </c>
      <c r="R2218" s="14" t="str">
        <f>HYPERLINK("https://my.pitchbook.com?c=256804-39T","View Company Online")</f>
        <v>View Company Online</v>
      </c>
    </row>
    <row r="2219" spans="1:18" hidden="1" x14ac:dyDescent="0.3">
      <c r="A2219" s="15" t="s">
        <v>7672</v>
      </c>
      <c r="B2219" s="15" t="s">
        <v>7673</v>
      </c>
      <c r="C2219" s="18" t="s">
        <v>28</v>
      </c>
      <c r="D2219" s="15" t="s">
        <v>7674</v>
      </c>
      <c r="E2219" s="18" t="s">
        <v>28</v>
      </c>
      <c r="F2219" s="19" t="s">
        <v>28</v>
      </c>
      <c r="G2219" s="19">
        <v>0.5</v>
      </c>
      <c r="H2219" s="19" t="s">
        <v>28</v>
      </c>
      <c r="I2219" s="18" t="s">
        <v>28</v>
      </c>
      <c r="J2219" s="18" t="s">
        <v>28</v>
      </c>
      <c r="K2219" s="18" t="s">
        <v>28</v>
      </c>
      <c r="L2219" s="18" t="s">
        <v>28</v>
      </c>
      <c r="M2219" s="18" t="s">
        <v>28</v>
      </c>
      <c r="N2219" s="17">
        <v>44927</v>
      </c>
      <c r="O2219" s="15" t="s">
        <v>379</v>
      </c>
      <c r="P2219" s="16" t="s">
        <v>28</v>
      </c>
      <c r="Q2219" s="15" t="s">
        <v>43</v>
      </c>
      <c r="R2219" s="13" t="str">
        <f>HYPERLINK("https://my.pitchbook.com?c=217893-79T","View Company Online")</f>
        <v>View Company Online</v>
      </c>
    </row>
    <row r="2220" spans="1:18" hidden="1" x14ac:dyDescent="0.3">
      <c r="A2220" s="9" t="s">
        <v>7675</v>
      </c>
      <c r="B2220" s="9" t="s">
        <v>7676</v>
      </c>
      <c r="C2220" s="11" t="s">
        <v>28</v>
      </c>
      <c r="D2220" s="9" t="s">
        <v>7677</v>
      </c>
      <c r="E2220" s="11" t="s">
        <v>28</v>
      </c>
      <c r="F2220" s="10" t="s">
        <v>28</v>
      </c>
      <c r="G2220" s="10" t="s">
        <v>28</v>
      </c>
      <c r="H2220" s="10" t="s">
        <v>28</v>
      </c>
      <c r="I2220" s="11" t="s">
        <v>28</v>
      </c>
      <c r="J2220" s="11" t="s">
        <v>28</v>
      </c>
      <c r="K2220" s="11" t="s">
        <v>28</v>
      </c>
      <c r="L2220" s="11" t="s">
        <v>28</v>
      </c>
      <c r="M2220" s="11" t="s">
        <v>28</v>
      </c>
      <c r="N2220" s="8">
        <v>44927</v>
      </c>
      <c r="O2220" s="9" t="s">
        <v>73</v>
      </c>
      <c r="P2220" s="12" t="s">
        <v>7678</v>
      </c>
      <c r="Q2220" s="9" t="s">
        <v>37</v>
      </c>
      <c r="R2220" s="14" t="str">
        <f>HYPERLINK("https://my.pitchbook.com?c=211810-60T","View Company Online")</f>
        <v>View Company Online</v>
      </c>
    </row>
    <row r="2221" spans="1:18" hidden="1" x14ac:dyDescent="0.3">
      <c r="A2221" s="15" t="s">
        <v>7679</v>
      </c>
      <c r="B2221" s="15" t="s">
        <v>7680</v>
      </c>
      <c r="C2221" s="18" t="s">
        <v>28</v>
      </c>
      <c r="D2221" s="15" t="s">
        <v>7681</v>
      </c>
      <c r="E2221" s="18" t="s">
        <v>28</v>
      </c>
      <c r="F2221" s="19" t="s">
        <v>28</v>
      </c>
      <c r="G2221" s="19" t="s">
        <v>28</v>
      </c>
      <c r="H2221" s="19" t="s">
        <v>28</v>
      </c>
      <c r="I2221" s="18" t="s">
        <v>28</v>
      </c>
      <c r="J2221" s="18" t="s">
        <v>28</v>
      </c>
      <c r="K2221" s="18" t="s">
        <v>28</v>
      </c>
      <c r="L2221" s="18" t="s">
        <v>28</v>
      </c>
      <c r="M2221" s="18" t="s">
        <v>28</v>
      </c>
      <c r="N2221" s="17">
        <v>44927</v>
      </c>
      <c r="O2221" s="15" t="s">
        <v>52</v>
      </c>
      <c r="P2221" s="16" t="s">
        <v>1970</v>
      </c>
      <c r="Q2221" s="15" t="s">
        <v>75</v>
      </c>
      <c r="R2221" s="13" t="str">
        <f>HYPERLINK("https://my.pitchbook.com?c=295521-85T","View Company Online")</f>
        <v>View Company Online</v>
      </c>
    </row>
    <row r="2222" spans="1:18" hidden="1" x14ac:dyDescent="0.3">
      <c r="A2222" s="9" t="s">
        <v>7682</v>
      </c>
      <c r="B2222" s="9" t="s">
        <v>7683</v>
      </c>
      <c r="C2222" s="11" t="s">
        <v>28</v>
      </c>
      <c r="D2222" s="9" t="s">
        <v>7684</v>
      </c>
      <c r="E2222" s="11" t="s">
        <v>28</v>
      </c>
      <c r="F2222" s="10" t="s">
        <v>28</v>
      </c>
      <c r="G2222" s="10" t="s">
        <v>28</v>
      </c>
      <c r="H2222" s="10" t="s">
        <v>28</v>
      </c>
      <c r="I2222" s="11" t="s">
        <v>28</v>
      </c>
      <c r="J2222" s="11" t="s">
        <v>28</v>
      </c>
      <c r="K2222" s="11" t="s">
        <v>28</v>
      </c>
      <c r="L2222" s="11" t="s">
        <v>28</v>
      </c>
      <c r="M2222" s="11" t="s">
        <v>28</v>
      </c>
      <c r="N2222" s="8">
        <v>44927</v>
      </c>
      <c r="O2222" s="9" t="s">
        <v>79</v>
      </c>
      <c r="P2222" s="12" t="s">
        <v>611</v>
      </c>
      <c r="Q2222" s="9" t="s">
        <v>75</v>
      </c>
      <c r="R2222" s="14" t="str">
        <f>HYPERLINK("https://my.pitchbook.com?c=215844-94T","View Company Online")</f>
        <v>View Company Online</v>
      </c>
    </row>
    <row r="2223" spans="1:18" hidden="1" x14ac:dyDescent="0.3">
      <c r="A2223" s="15" t="s">
        <v>7685</v>
      </c>
      <c r="B2223" s="15" t="s">
        <v>7686</v>
      </c>
      <c r="C2223" s="18" t="s">
        <v>28</v>
      </c>
      <c r="D2223" s="15" t="s">
        <v>7687</v>
      </c>
      <c r="E2223" s="18" t="s">
        <v>28</v>
      </c>
      <c r="F2223" s="19" t="s">
        <v>28</v>
      </c>
      <c r="G2223" s="19" t="s">
        <v>28</v>
      </c>
      <c r="H2223" s="19" t="s">
        <v>28</v>
      </c>
      <c r="I2223" s="18" t="s">
        <v>28</v>
      </c>
      <c r="J2223" s="18" t="s">
        <v>28</v>
      </c>
      <c r="K2223" s="18" t="s">
        <v>28</v>
      </c>
      <c r="L2223" s="18" t="s">
        <v>28</v>
      </c>
      <c r="M2223" s="18" t="s">
        <v>28</v>
      </c>
      <c r="N2223" s="17">
        <v>44927</v>
      </c>
      <c r="O2223" s="15" t="s">
        <v>52</v>
      </c>
      <c r="P2223" s="16" t="s">
        <v>1970</v>
      </c>
      <c r="Q2223" s="15" t="s">
        <v>583</v>
      </c>
      <c r="R2223" s="13" t="str">
        <f>HYPERLINK("https://my.pitchbook.com?c=295503-94T","View Company Online")</f>
        <v>View Company Online</v>
      </c>
    </row>
    <row r="2224" spans="1:18" hidden="1" x14ac:dyDescent="0.3">
      <c r="A2224" s="9" t="s">
        <v>7688</v>
      </c>
      <c r="B2224" s="9" t="s">
        <v>7689</v>
      </c>
      <c r="C2224" s="11" t="s">
        <v>28</v>
      </c>
      <c r="D2224" s="9" t="s">
        <v>7690</v>
      </c>
      <c r="E2224" s="11" t="s">
        <v>28</v>
      </c>
      <c r="F2224" s="10" t="s">
        <v>28</v>
      </c>
      <c r="G2224" s="10" t="s">
        <v>28</v>
      </c>
      <c r="H2224" s="10" t="s">
        <v>28</v>
      </c>
      <c r="I2224" s="11" t="s">
        <v>28</v>
      </c>
      <c r="J2224" s="11" t="s">
        <v>28</v>
      </c>
      <c r="K2224" s="11" t="s">
        <v>28</v>
      </c>
      <c r="L2224" s="11" t="s">
        <v>28</v>
      </c>
      <c r="M2224" s="11" t="s">
        <v>28</v>
      </c>
      <c r="N2224" s="8">
        <v>44927</v>
      </c>
      <c r="O2224" s="9" t="s">
        <v>52</v>
      </c>
      <c r="P2224" s="12" t="s">
        <v>1970</v>
      </c>
      <c r="Q2224" s="9" t="s">
        <v>75</v>
      </c>
      <c r="R2224" s="14" t="str">
        <f>HYPERLINK("https://my.pitchbook.com?c=295495-84T","View Company Online")</f>
        <v>View Company Online</v>
      </c>
    </row>
    <row r="2225" spans="1:18" hidden="1" x14ac:dyDescent="0.3">
      <c r="A2225" s="15" t="s">
        <v>7691</v>
      </c>
      <c r="B2225" s="15" t="s">
        <v>5501</v>
      </c>
      <c r="C2225" s="18" t="s">
        <v>28</v>
      </c>
      <c r="D2225" s="15" t="s">
        <v>5502</v>
      </c>
      <c r="E2225" s="18" t="s">
        <v>28</v>
      </c>
      <c r="F2225" s="19" t="s">
        <v>28</v>
      </c>
      <c r="G2225" s="19">
        <v>0.01</v>
      </c>
      <c r="H2225" s="19" t="s">
        <v>28</v>
      </c>
      <c r="I2225" s="18" t="s">
        <v>28</v>
      </c>
      <c r="J2225" s="18" t="s">
        <v>28</v>
      </c>
      <c r="K2225" s="18" t="s">
        <v>28</v>
      </c>
      <c r="L2225" s="18" t="s">
        <v>28</v>
      </c>
      <c r="M2225" s="18" t="s">
        <v>28</v>
      </c>
      <c r="N2225" s="17">
        <v>44927</v>
      </c>
      <c r="O2225" s="15" t="s">
        <v>47</v>
      </c>
      <c r="P2225" s="16" t="s">
        <v>7692</v>
      </c>
      <c r="Q2225" s="15" t="s">
        <v>419</v>
      </c>
      <c r="R2225" s="13" t="str">
        <f>HYPERLINK("https://my.pitchbook.com?c=226703-89T","View Company Online")</f>
        <v>View Company Online</v>
      </c>
    </row>
    <row r="2226" spans="1:18" hidden="1" x14ac:dyDescent="0.3">
      <c r="A2226" s="9" t="s">
        <v>7693</v>
      </c>
      <c r="B2226" s="9" t="s">
        <v>7694</v>
      </c>
      <c r="C2226" s="11" t="s">
        <v>28</v>
      </c>
      <c r="D2226" s="9" t="s">
        <v>7695</v>
      </c>
      <c r="E2226" s="11" t="s">
        <v>28</v>
      </c>
      <c r="F2226" s="10" t="s">
        <v>28</v>
      </c>
      <c r="G2226" s="10" t="s">
        <v>28</v>
      </c>
      <c r="H2226" s="10" t="s">
        <v>28</v>
      </c>
      <c r="I2226" s="11" t="s">
        <v>28</v>
      </c>
      <c r="J2226" s="11" t="s">
        <v>28</v>
      </c>
      <c r="K2226" s="11" t="s">
        <v>28</v>
      </c>
      <c r="L2226" s="11" t="s">
        <v>28</v>
      </c>
      <c r="M2226" s="11" t="s">
        <v>28</v>
      </c>
      <c r="N2226" s="8">
        <v>44927</v>
      </c>
      <c r="O2226" s="9" t="s">
        <v>52</v>
      </c>
      <c r="P2226" s="12" t="s">
        <v>1970</v>
      </c>
      <c r="Q2226" s="9" t="s">
        <v>37</v>
      </c>
      <c r="R2226" s="14" t="str">
        <f>HYPERLINK("https://my.pitchbook.com?c=295530-85T","View Company Online")</f>
        <v>View Company Online</v>
      </c>
    </row>
    <row r="2227" spans="1:18" hidden="1" x14ac:dyDescent="0.3">
      <c r="A2227" s="15" t="s">
        <v>7696</v>
      </c>
      <c r="B2227" s="15" t="s">
        <v>7697</v>
      </c>
      <c r="C2227" s="18" t="s">
        <v>28</v>
      </c>
      <c r="D2227" s="15" t="s">
        <v>7698</v>
      </c>
      <c r="E2227" s="18" t="s">
        <v>28</v>
      </c>
      <c r="F2227" s="19" t="s">
        <v>28</v>
      </c>
      <c r="G2227" s="19" t="s">
        <v>28</v>
      </c>
      <c r="H2227" s="19" t="s">
        <v>28</v>
      </c>
      <c r="I2227" s="18" t="s">
        <v>28</v>
      </c>
      <c r="J2227" s="18" t="s">
        <v>28</v>
      </c>
      <c r="K2227" s="18" t="s">
        <v>28</v>
      </c>
      <c r="L2227" s="18" t="s">
        <v>28</v>
      </c>
      <c r="M2227" s="18" t="s">
        <v>28</v>
      </c>
      <c r="N2227" s="17">
        <v>44927</v>
      </c>
      <c r="O2227" s="15" t="s">
        <v>52</v>
      </c>
      <c r="P2227" s="16" t="s">
        <v>1970</v>
      </c>
      <c r="Q2227" s="15" t="s">
        <v>75</v>
      </c>
      <c r="R2227" s="13" t="str">
        <f>HYPERLINK("https://my.pitchbook.com?c=295709-50T","View Company Online")</f>
        <v>View Company Online</v>
      </c>
    </row>
    <row r="2228" spans="1:18" hidden="1" x14ac:dyDescent="0.3">
      <c r="A2228" s="9" t="s">
        <v>7699</v>
      </c>
      <c r="B2228" s="9" t="s">
        <v>7700</v>
      </c>
      <c r="C2228" s="11" t="s">
        <v>28</v>
      </c>
      <c r="D2228" s="9" t="s">
        <v>7701</v>
      </c>
      <c r="E2228" s="11" t="s">
        <v>28</v>
      </c>
      <c r="F2228" s="10" t="s">
        <v>28</v>
      </c>
      <c r="G2228" s="10">
        <v>0.5</v>
      </c>
      <c r="H2228" s="10" t="s">
        <v>28</v>
      </c>
      <c r="I2228" s="11" t="s">
        <v>28</v>
      </c>
      <c r="J2228" s="11" t="s">
        <v>28</v>
      </c>
      <c r="K2228" s="11" t="s">
        <v>28</v>
      </c>
      <c r="L2228" s="11" t="s">
        <v>28</v>
      </c>
      <c r="M2228" s="11" t="s">
        <v>28</v>
      </c>
      <c r="N2228" s="8">
        <v>44927</v>
      </c>
      <c r="O2228" s="9" t="s">
        <v>52</v>
      </c>
      <c r="P2228" s="12" t="s">
        <v>3944</v>
      </c>
      <c r="Q2228" s="9" t="s">
        <v>75</v>
      </c>
      <c r="R2228" s="14" t="str">
        <f>HYPERLINK("https://my.pitchbook.com?c=234556-66T","View Company Online")</f>
        <v>View Company Online</v>
      </c>
    </row>
    <row r="2229" spans="1:18" hidden="1" x14ac:dyDescent="0.3">
      <c r="A2229" s="15" t="s">
        <v>7702</v>
      </c>
      <c r="B2229" s="15" t="s">
        <v>7703</v>
      </c>
      <c r="C2229" s="18" t="s">
        <v>28</v>
      </c>
      <c r="D2229" s="15" t="s">
        <v>7704</v>
      </c>
      <c r="E2229" s="18" t="s">
        <v>28</v>
      </c>
      <c r="F2229" s="19" t="s">
        <v>28</v>
      </c>
      <c r="G2229" s="19" t="s">
        <v>28</v>
      </c>
      <c r="H2229" s="19" t="s">
        <v>28</v>
      </c>
      <c r="I2229" s="18" t="s">
        <v>28</v>
      </c>
      <c r="J2229" s="18" t="s">
        <v>28</v>
      </c>
      <c r="K2229" s="18" t="s">
        <v>28</v>
      </c>
      <c r="L2229" s="18" t="s">
        <v>28</v>
      </c>
      <c r="M2229" s="18" t="s">
        <v>28</v>
      </c>
      <c r="N2229" s="17">
        <v>44927</v>
      </c>
      <c r="O2229" s="15" t="s">
        <v>52</v>
      </c>
      <c r="P2229" s="16" t="s">
        <v>1970</v>
      </c>
      <c r="Q2229" s="15" t="s">
        <v>75</v>
      </c>
      <c r="R2229" s="13" t="str">
        <f>HYPERLINK("https://my.pitchbook.com?c=265672-72T","View Company Online")</f>
        <v>View Company Online</v>
      </c>
    </row>
    <row r="2230" spans="1:18" hidden="1" x14ac:dyDescent="0.3">
      <c r="A2230" s="9" t="s">
        <v>7705</v>
      </c>
      <c r="B2230" s="9" t="s">
        <v>7706</v>
      </c>
      <c r="C2230" s="11" t="s">
        <v>28</v>
      </c>
      <c r="D2230" s="9" t="s">
        <v>7707</v>
      </c>
      <c r="E2230" s="11" t="s">
        <v>28</v>
      </c>
      <c r="F2230" s="10" t="s">
        <v>28</v>
      </c>
      <c r="G2230" s="10" t="s">
        <v>28</v>
      </c>
      <c r="H2230" s="10" t="s">
        <v>28</v>
      </c>
      <c r="I2230" s="11" t="s">
        <v>28</v>
      </c>
      <c r="J2230" s="11" t="s">
        <v>28</v>
      </c>
      <c r="K2230" s="11" t="s">
        <v>28</v>
      </c>
      <c r="L2230" s="11" t="s">
        <v>28</v>
      </c>
      <c r="M2230" s="11" t="s">
        <v>28</v>
      </c>
      <c r="N2230" s="8">
        <v>44927</v>
      </c>
      <c r="O2230" s="9" t="s">
        <v>73</v>
      </c>
      <c r="P2230" s="12" t="s">
        <v>6829</v>
      </c>
      <c r="Q2230" s="9" t="s">
        <v>37</v>
      </c>
      <c r="R2230" s="14" t="str">
        <f>HYPERLINK("https://my.pitchbook.com?c=219786-94T","View Company Online")</f>
        <v>View Company Online</v>
      </c>
    </row>
    <row r="2231" spans="1:18" hidden="1" x14ac:dyDescent="0.3">
      <c r="A2231" s="15" t="s">
        <v>7708</v>
      </c>
      <c r="B2231" s="15" t="s">
        <v>7709</v>
      </c>
      <c r="C2231" s="18" t="s">
        <v>28</v>
      </c>
      <c r="D2231" s="15" t="s">
        <v>7710</v>
      </c>
      <c r="E2231" s="18" t="s">
        <v>28</v>
      </c>
      <c r="F2231" s="19" t="s">
        <v>28</v>
      </c>
      <c r="G2231" s="19" t="s">
        <v>28</v>
      </c>
      <c r="H2231" s="19" t="s">
        <v>28</v>
      </c>
      <c r="I2231" s="18" t="s">
        <v>28</v>
      </c>
      <c r="J2231" s="18" t="s">
        <v>28</v>
      </c>
      <c r="K2231" s="18" t="s">
        <v>28</v>
      </c>
      <c r="L2231" s="18" t="s">
        <v>28</v>
      </c>
      <c r="M2231" s="18" t="s">
        <v>28</v>
      </c>
      <c r="N2231" s="17">
        <v>44927</v>
      </c>
      <c r="O2231" s="15" t="s">
        <v>52</v>
      </c>
      <c r="P2231" s="16" t="s">
        <v>1970</v>
      </c>
      <c r="Q2231" s="15" t="s">
        <v>75</v>
      </c>
      <c r="R2231" s="13" t="str">
        <f>HYPERLINK("https://my.pitchbook.com?c=292140-55T","View Company Online")</f>
        <v>View Company Online</v>
      </c>
    </row>
    <row r="2232" spans="1:18" hidden="1" x14ac:dyDescent="0.3">
      <c r="A2232" s="9" t="s">
        <v>7711</v>
      </c>
      <c r="B2232" s="9" t="s">
        <v>5203</v>
      </c>
      <c r="C2232" s="11" t="s">
        <v>28</v>
      </c>
      <c r="D2232" s="9" t="s">
        <v>5204</v>
      </c>
      <c r="E2232" s="11" t="s">
        <v>28</v>
      </c>
      <c r="F2232" s="10" t="s">
        <v>28</v>
      </c>
      <c r="G2232" s="10" t="s">
        <v>28</v>
      </c>
      <c r="H2232" s="10" t="s">
        <v>28</v>
      </c>
      <c r="I2232" s="11" t="s">
        <v>28</v>
      </c>
      <c r="J2232" s="11" t="s">
        <v>28</v>
      </c>
      <c r="K2232" s="11" t="s">
        <v>28</v>
      </c>
      <c r="L2232" s="11" t="s">
        <v>28</v>
      </c>
      <c r="M2232" s="11" t="s">
        <v>28</v>
      </c>
      <c r="N2232" s="8">
        <v>44927</v>
      </c>
      <c r="O2232" s="9" t="s">
        <v>52</v>
      </c>
      <c r="P2232" s="12" t="s">
        <v>1970</v>
      </c>
      <c r="Q2232" s="9" t="s">
        <v>95</v>
      </c>
      <c r="R2232" s="14" t="str">
        <f>HYPERLINK("https://my.pitchbook.com?c=295568-47T","View Company Online")</f>
        <v>View Company Online</v>
      </c>
    </row>
    <row r="2233" spans="1:18" hidden="1" x14ac:dyDescent="0.3">
      <c r="A2233" s="15" t="s">
        <v>7712</v>
      </c>
      <c r="B2233" s="15" t="s">
        <v>7713</v>
      </c>
      <c r="C2233" s="18" t="s">
        <v>28</v>
      </c>
      <c r="D2233" s="15" t="s">
        <v>7714</v>
      </c>
      <c r="E2233" s="18" t="s">
        <v>28</v>
      </c>
      <c r="F2233" s="19" t="s">
        <v>28</v>
      </c>
      <c r="G2233" s="19" t="s">
        <v>28</v>
      </c>
      <c r="H2233" s="19" t="s">
        <v>28</v>
      </c>
      <c r="I2233" s="18" t="s">
        <v>28</v>
      </c>
      <c r="J2233" s="18" t="s">
        <v>28</v>
      </c>
      <c r="K2233" s="18" t="s">
        <v>28</v>
      </c>
      <c r="L2233" s="18" t="s">
        <v>28</v>
      </c>
      <c r="M2233" s="18" t="s">
        <v>28</v>
      </c>
      <c r="N2233" s="17">
        <v>44927</v>
      </c>
      <c r="O2233" s="15" t="s">
        <v>52</v>
      </c>
      <c r="P2233" s="16" t="s">
        <v>1970</v>
      </c>
      <c r="Q2233" s="15" t="s">
        <v>75</v>
      </c>
      <c r="R2233" s="13" t="str">
        <f>HYPERLINK("https://my.pitchbook.com?c=295935-22T","View Company Online")</f>
        <v>View Company Online</v>
      </c>
    </row>
    <row r="2234" spans="1:18" hidden="1" x14ac:dyDescent="0.3">
      <c r="A2234" s="9" t="s">
        <v>7715</v>
      </c>
      <c r="B2234" s="9" t="s">
        <v>7716</v>
      </c>
      <c r="C2234" s="11" t="s">
        <v>28</v>
      </c>
      <c r="D2234" s="9" t="s">
        <v>7717</v>
      </c>
      <c r="E2234" s="11" t="s">
        <v>28</v>
      </c>
      <c r="F2234" s="10" t="s">
        <v>28</v>
      </c>
      <c r="G2234" s="10" t="s">
        <v>28</v>
      </c>
      <c r="H2234" s="10" t="s">
        <v>28</v>
      </c>
      <c r="I2234" s="11" t="s">
        <v>28</v>
      </c>
      <c r="J2234" s="11" t="s">
        <v>28</v>
      </c>
      <c r="K2234" s="11" t="s">
        <v>28</v>
      </c>
      <c r="L2234" s="11" t="s">
        <v>28</v>
      </c>
      <c r="M2234" s="11" t="s">
        <v>28</v>
      </c>
      <c r="N2234" s="8">
        <v>44927</v>
      </c>
      <c r="O2234" s="9" t="s">
        <v>52</v>
      </c>
      <c r="P2234" s="12" t="s">
        <v>1970</v>
      </c>
      <c r="Q2234" s="9" t="s">
        <v>583</v>
      </c>
      <c r="R2234" s="14" t="str">
        <f>HYPERLINK("https://my.pitchbook.com?c=295299-01T","View Company Online")</f>
        <v>View Company Online</v>
      </c>
    </row>
    <row r="2235" spans="1:18" hidden="1" x14ac:dyDescent="0.3">
      <c r="A2235" s="15" t="s">
        <v>7718</v>
      </c>
      <c r="B2235" s="15" t="s">
        <v>7719</v>
      </c>
      <c r="C2235" s="18" t="s">
        <v>28</v>
      </c>
      <c r="D2235" s="15" t="s">
        <v>7720</v>
      </c>
      <c r="E2235" s="18" t="s">
        <v>28</v>
      </c>
      <c r="F2235" s="19" t="s">
        <v>28</v>
      </c>
      <c r="G2235" s="19" t="s">
        <v>28</v>
      </c>
      <c r="H2235" s="19" t="s">
        <v>28</v>
      </c>
      <c r="I2235" s="18" t="s">
        <v>28</v>
      </c>
      <c r="J2235" s="18" t="s">
        <v>28</v>
      </c>
      <c r="K2235" s="18" t="s">
        <v>28</v>
      </c>
      <c r="L2235" s="18" t="s">
        <v>28</v>
      </c>
      <c r="M2235" s="18" t="s">
        <v>28</v>
      </c>
      <c r="N2235" s="17">
        <v>44927</v>
      </c>
      <c r="O2235" s="15" t="s">
        <v>52</v>
      </c>
      <c r="P2235" s="16" t="s">
        <v>1970</v>
      </c>
      <c r="Q2235" s="15" t="s">
        <v>855</v>
      </c>
      <c r="R2235" s="13" t="str">
        <f>HYPERLINK("https://my.pitchbook.com?c=295279-57T","View Company Online")</f>
        <v>View Company Online</v>
      </c>
    </row>
    <row r="2236" spans="1:18" hidden="1" x14ac:dyDescent="0.3">
      <c r="A2236" s="9" t="s">
        <v>7721</v>
      </c>
      <c r="B2236" s="9" t="s">
        <v>7722</v>
      </c>
      <c r="C2236" s="11" t="s">
        <v>28</v>
      </c>
      <c r="D2236" s="9" t="s">
        <v>7723</v>
      </c>
      <c r="E2236" s="11" t="s">
        <v>28</v>
      </c>
      <c r="F2236" s="10" t="s">
        <v>28</v>
      </c>
      <c r="G2236" s="10" t="s">
        <v>28</v>
      </c>
      <c r="H2236" s="10" t="s">
        <v>28</v>
      </c>
      <c r="I2236" s="11" t="s">
        <v>28</v>
      </c>
      <c r="J2236" s="11" t="s">
        <v>28</v>
      </c>
      <c r="K2236" s="11" t="s">
        <v>28</v>
      </c>
      <c r="L2236" s="11" t="s">
        <v>28</v>
      </c>
      <c r="M2236" s="11" t="s">
        <v>28</v>
      </c>
      <c r="N2236" s="8">
        <v>44927</v>
      </c>
      <c r="O2236" s="9" t="s">
        <v>52</v>
      </c>
      <c r="P2236" s="12" t="s">
        <v>1970</v>
      </c>
      <c r="Q2236" s="9" t="s">
        <v>1793</v>
      </c>
      <c r="R2236" s="14" t="str">
        <f>HYPERLINK("https://my.pitchbook.com?c=295765-66T","View Company Online")</f>
        <v>View Company Online</v>
      </c>
    </row>
    <row r="2237" spans="1:18" hidden="1" x14ac:dyDescent="0.3">
      <c r="A2237" s="15" t="s">
        <v>7724</v>
      </c>
      <c r="B2237" s="15" t="s">
        <v>3512</v>
      </c>
      <c r="C2237" s="18" t="s">
        <v>28</v>
      </c>
      <c r="D2237" s="15" t="s">
        <v>3513</v>
      </c>
      <c r="E2237" s="18" t="s">
        <v>28</v>
      </c>
      <c r="F2237" s="19" t="s">
        <v>28</v>
      </c>
      <c r="G2237" s="19" t="s">
        <v>28</v>
      </c>
      <c r="H2237" s="19" t="s">
        <v>28</v>
      </c>
      <c r="I2237" s="18" t="s">
        <v>28</v>
      </c>
      <c r="J2237" s="18" t="s">
        <v>28</v>
      </c>
      <c r="K2237" s="18" t="s">
        <v>28</v>
      </c>
      <c r="L2237" s="18" t="s">
        <v>28</v>
      </c>
      <c r="M2237" s="18" t="s">
        <v>28</v>
      </c>
      <c r="N2237" s="17">
        <v>44927</v>
      </c>
      <c r="O2237" s="15" t="s">
        <v>52</v>
      </c>
      <c r="P2237" s="16" t="s">
        <v>2830</v>
      </c>
      <c r="Q2237" s="15" t="s">
        <v>75</v>
      </c>
      <c r="R2237" s="13" t="str">
        <f>HYPERLINK("https://my.pitchbook.com?c=264203-11T","View Company Online")</f>
        <v>View Company Online</v>
      </c>
    </row>
    <row r="2238" spans="1:18" hidden="1" x14ac:dyDescent="0.3">
      <c r="A2238" s="9" t="s">
        <v>7725</v>
      </c>
      <c r="B2238" s="9" t="s">
        <v>7726</v>
      </c>
      <c r="C2238" s="11" t="s">
        <v>28</v>
      </c>
      <c r="D2238" s="9" t="s">
        <v>7727</v>
      </c>
      <c r="E2238" s="11" t="s">
        <v>28</v>
      </c>
      <c r="F2238" s="10" t="s">
        <v>28</v>
      </c>
      <c r="G2238" s="10" t="s">
        <v>28</v>
      </c>
      <c r="H2238" s="10" t="s">
        <v>28</v>
      </c>
      <c r="I2238" s="11" t="s">
        <v>28</v>
      </c>
      <c r="J2238" s="11" t="s">
        <v>28</v>
      </c>
      <c r="K2238" s="11" t="s">
        <v>28</v>
      </c>
      <c r="L2238" s="11" t="s">
        <v>28</v>
      </c>
      <c r="M2238" s="11" t="s">
        <v>28</v>
      </c>
      <c r="N2238" s="8">
        <v>44927</v>
      </c>
      <c r="O2238" s="9" t="s">
        <v>52</v>
      </c>
      <c r="P2238" s="12" t="s">
        <v>1970</v>
      </c>
      <c r="Q2238" s="9" t="s">
        <v>1361</v>
      </c>
      <c r="R2238" s="14" t="str">
        <f>HYPERLINK("https://my.pitchbook.com?c=295929-01T","View Company Online")</f>
        <v>View Company Online</v>
      </c>
    </row>
    <row r="2239" spans="1:18" hidden="1" x14ac:dyDescent="0.3">
      <c r="A2239" s="15" t="s">
        <v>7728</v>
      </c>
      <c r="B2239" s="15" t="s">
        <v>7729</v>
      </c>
      <c r="C2239" s="18" t="s">
        <v>28</v>
      </c>
      <c r="D2239" s="15" t="s">
        <v>7730</v>
      </c>
      <c r="E2239" s="18" t="s">
        <v>28</v>
      </c>
      <c r="F2239" s="19" t="s">
        <v>28</v>
      </c>
      <c r="G2239" s="19" t="s">
        <v>28</v>
      </c>
      <c r="H2239" s="19" t="s">
        <v>28</v>
      </c>
      <c r="I2239" s="18" t="s">
        <v>28</v>
      </c>
      <c r="J2239" s="18" t="s">
        <v>28</v>
      </c>
      <c r="K2239" s="18" t="s">
        <v>28</v>
      </c>
      <c r="L2239" s="18" t="s">
        <v>28</v>
      </c>
      <c r="M2239" s="18" t="s">
        <v>28</v>
      </c>
      <c r="N2239" s="17">
        <v>44927</v>
      </c>
      <c r="O2239" s="15" t="s">
        <v>52</v>
      </c>
      <c r="P2239" s="16" t="s">
        <v>28</v>
      </c>
      <c r="Q2239" s="15" t="s">
        <v>37</v>
      </c>
      <c r="R2239" s="13" t="str">
        <f>HYPERLINK("https://my.pitchbook.com?c=295336-54T","View Company Online")</f>
        <v>View Company Online</v>
      </c>
    </row>
    <row r="2240" spans="1:18" hidden="1" x14ac:dyDescent="0.3">
      <c r="A2240" s="9" t="s">
        <v>7731</v>
      </c>
      <c r="B2240" s="9" t="s">
        <v>7732</v>
      </c>
      <c r="C2240" s="11" t="s">
        <v>28</v>
      </c>
      <c r="D2240" s="9" t="s">
        <v>7733</v>
      </c>
      <c r="E2240" s="11" t="s">
        <v>28</v>
      </c>
      <c r="F2240" s="10" t="s">
        <v>28</v>
      </c>
      <c r="G2240" s="10" t="s">
        <v>28</v>
      </c>
      <c r="H2240" s="10" t="s">
        <v>28</v>
      </c>
      <c r="I2240" s="11" t="s">
        <v>28</v>
      </c>
      <c r="J2240" s="11" t="s">
        <v>28</v>
      </c>
      <c r="K2240" s="11" t="s">
        <v>28</v>
      </c>
      <c r="L2240" s="11" t="s">
        <v>28</v>
      </c>
      <c r="M2240" s="11" t="s">
        <v>28</v>
      </c>
      <c r="N2240" s="8">
        <v>44927</v>
      </c>
      <c r="O2240" s="9" t="s">
        <v>52</v>
      </c>
      <c r="P2240" s="12" t="s">
        <v>1970</v>
      </c>
      <c r="Q2240" s="9" t="s">
        <v>37</v>
      </c>
      <c r="R2240" s="14" t="str">
        <f>HYPERLINK("https://my.pitchbook.com?c=295328-62T","View Company Online")</f>
        <v>View Company Online</v>
      </c>
    </row>
    <row r="2241" spans="1:18" hidden="1" x14ac:dyDescent="0.3">
      <c r="A2241" s="15" t="s">
        <v>7734</v>
      </c>
      <c r="B2241" s="15" t="s">
        <v>7735</v>
      </c>
      <c r="C2241" s="18" t="s">
        <v>28</v>
      </c>
      <c r="D2241" s="15" t="s">
        <v>7736</v>
      </c>
      <c r="E2241" s="18" t="s">
        <v>28</v>
      </c>
      <c r="F2241" s="19" t="s">
        <v>28</v>
      </c>
      <c r="G2241" s="19">
        <v>1.52</v>
      </c>
      <c r="H2241" s="19">
        <v>10.09</v>
      </c>
      <c r="I2241" s="18" t="s">
        <v>28</v>
      </c>
      <c r="J2241" s="18" t="s">
        <v>28</v>
      </c>
      <c r="K2241" s="18" t="s">
        <v>28</v>
      </c>
      <c r="L2241" s="18" t="s">
        <v>28</v>
      </c>
      <c r="M2241" s="18" t="s">
        <v>28</v>
      </c>
      <c r="N2241" s="17">
        <v>44927</v>
      </c>
      <c r="O2241" s="15" t="s">
        <v>99</v>
      </c>
      <c r="P2241" s="16" t="s">
        <v>7737</v>
      </c>
      <c r="Q2241" s="15" t="s">
        <v>75</v>
      </c>
      <c r="R2241" s="13" t="str">
        <f>HYPERLINK("https://my.pitchbook.com?c=242156-44T","View Company Online")</f>
        <v>View Company Online</v>
      </c>
    </row>
    <row r="2242" spans="1:18" hidden="1" x14ac:dyDescent="0.3">
      <c r="A2242" s="9" t="s">
        <v>7738</v>
      </c>
      <c r="B2242" s="9" t="s">
        <v>7739</v>
      </c>
      <c r="C2242" s="11" t="s">
        <v>28</v>
      </c>
      <c r="D2242" s="9" t="s">
        <v>7740</v>
      </c>
      <c r="E2242" s="11" t="s">
        <v>28</v>
      </c>
      <c r="F2242" s="10" t="s">
        <v>28</v>
      </c>
      <c r="G2242" s="10" t="s">
        <v>28</v>
      </c>
      <c r="H2242" s="10" t="s">
        <v>28</v>
      </c>
      <c r="I2242" s="11" t="s">
        <v>28</v>
      </c>
      <c r="J2242" s="11" t="s">
        <v>28</v>
      </c>
      <c r="K2242" s="11" t="s">
        <v>28</v>
      </c>
      <c r="L2242" s="11" t="s">
        <v>28</v>
      </c>
      <c r="M2242" s="11" t="s">
        <v>28</v>
      </c>
      <c r="N2242" s="8">
        <v>44927</v>
      </c>
      <c r="O2242" s="9" t="s">
        <v>52</v>
      </c>
      <c r="P2242" s="12" t="s">
        <v>1970</v>
      </c>
      <c r="Q2242" s="9" t="s">
        <v>75</v>
      </c>
      <c r="R2242" s="14" t="str">
        <f>HYPERLINK("https://my.pitchbook.com?c=295753-24T","View Company Online")</f>
        <v>View Company Online</v>
      </c>
    </row>
    <row r="2243" spans="1:18" hidden="1" x14ac:dyDescent="0.3">
      <c r="A2243" s="15" t="s">
        <v>7741</v>
      </c>
      <c r="B2243" s="15" t="s">
        <v>7742</v>
      </c>
      <c r="C2243" s="18" t="s">
        <v>28</v>
      </c>
      <c r="D2243" s="15" t="s">
        <v>7743</v>
      </c>
      <c r="E2243" s="18" t="s">
        <v>28</v>
      </c>
      <c r="F2243" s="19" t="s">
        <v>28</v>
      </c>
      <c r="G2243" s="19" t="s">
        <v>28</v>
      </c>
      <c r="H2243" s="19" t="s">
        <v>28</v>
      </c>
      <c r="I2243" s="18" t="s">
        <v>28</v>
      </c>
      <c r="J2243" s="18" t="s">
        <v>28</v>
      </c>
      <c r="K2243" s="18" t="s">
        <v>28</v>
      </c>
      <c r="L2243" s="18" t="s">
        <v>28</v>
      </c>
      <c r="M2243" s="18" t="s">
        <v>28</v>
      </c>
      <c r="N2243" s="17">
        <v>44927</v>
      </c>
      <c r="O2243" s="15" t="s">
        <v>52</v>
      </c>
      <c r="P2243" s="16" t="s">
        <v>1970</v>
      </c>
      <c r="Q2243" s="15" t="s">
        <v>75</v>
      </c>
      <c r="R2243" s="13" t="str">
        <f>HYPERLINK("https://my.pitchbook.com?c=295285-24T","View Company Online")</f>
        <v>View Company Online</v>
      </c>
    </row>
    <row r="2244" spans="1:18" hidden="1" x14ac:dyDescent="0.3">
      <c r="A2244" s="9" t="s">
        <v>7744</v>
      </c>
      <c r="B2244" s="9" t="s">
        <v>7745</v>
      </c>
      <c r="C2244" s="11" t="s">
        <v>28</v>
      </c>
      <c r="D2244" s="9" t="s">
        <v>7746</v>
      </c>
      <c r="E2244" s="11" t="s">
        <v>28</v>
      </c>
      <c r="F2244" s="10" t="s">
        <v>28</v>
      </c>
      <c r="G2244" s="10" t="s">
        <v>28</v>
      </c>
      <c r="H2244" s="10" t="s">
        <v>28</v>
      </c>
      <c r="I2244" s="11" t="s">
        <v>28</v>
      </c>
      <c r="J2244" s="11" t="s">
        <v>28</v>
      </c>
      <c r="K2244" s="11" t="s">
        <v>28</v>
      </c>
      <c r="L2244" s="11" t="s">
        <v>28</v>
      </c>
      <c r="M2244" s="11" t="s">
        <v>28</v>
      </c>
      <c r="N2244" s="8">
        <v>44927</v>
      </c>
      <c r="O2244" s="9" t="s">
        <v>30</v>
      </c>
      <c r="P2244" s="12" t="s">
        <v>7747</v>
      </c>
      <c r="Q2244" s="9" t="s">
        <v>169</v>
      </c>
      <c r="R2244" s="14" t="str">
        <f>HYPERLINK("https://my.pitchbook.com?c=265647-25T","View Company Online")</f>
        <v>View Company Online</v>
      </c>
    </row>
    <row r="2245" spans="1:18" hidden="1" x14ac:dyDescent="0.3">
      <c r="A2245" s="15" t="s">
        <v>7748</v>
      </c>
      <c r="B2245" s="15" t="s">
        <v>7749</v>
      </c>
      <c r="C2245" s="18" t="s">
        <v>28</v>
      </c>
      <c r="D2245" s="15" t="s">
        <v>7674</v>
      </c>
      <c r="E2245" s="18" t="s">
        <v>28</v>
      </c>
      <c r="F2245" s="19" t="s">
        <v>28</v>
      </c>
      <c r="G2245" s="19" t="s">
        <v>28</v>
      </c>
      <c r="H2245" s="19" t="s">
        <v>28</v>
      </c>
      <c r="I2245" s="18" t="s">
        <v>28</v>
      </c>
      <c r="J2245" s="18" t="s">
        <v>28</v>
      </c>
      <c r="K2245" s="18" t="s">
        <v>28</v>
      </c>
      <c r="L2245" s="18" t="s">
        <v>28</v>
      </c>
      <c r="M2245" s="18" t="s">
        <v>28</v>
      </c>
      <c r="N2245" s="17">
        <v>44927</v>
      </c>
      <c r="O2245" s="15" t="s">
        <v>52</v>
      </c>
      <c r="P2245" s="16" t="s">
        <v>1970</v>
      </c>
      <c r="Q2245" s="15" t="s">
        <v>114</v>
      </c>
      <c r="R2245" s="13" t="str">
        <f>HYPERLINK("https://my.pitchbook.com?c=295271-11T","View Company Online")</f>
        <v>View Company Online</v>
      </c>
    </row>
    <row r="2246" spans="1:18" hidden="1" x14ac:dyDescent="0.3">
      <c r="A2246" s="9" t="s">
        <v>7750</v>
      </c>
      <c r="B2246" s="9" t="s">
        <v>7751</v>
      </c>
      <c r="C2246" s="11" t="s">
        <v>28</v>
      </c>
      <c r="D2246" s="9" t="s">
        <v>7752</v>
      </c>
      <c r="E2246" s="11" t="s">
        <v>28</v>
      </c>
      <c r="F2246" s="10" t="s">
        <v>28</v>
      </c>
      <c r="G2246" s="10" t="s">
        <v>28</v>
      </c>
      <c r="H2246" s="10" t="s">
        <v>28</v>
      </c>
      <c r="I2246" s="11" t="s">
        <v>28</v>
      </c>
      <c r="J2246" s="11" t="s">
        <v>28</v>
      </c>
      <c r="K2246" s="11" t="s">
        <v>28</v>
      </c>
      <c r="L2246" s="11" t="s">
        <v>28</v>
      </c>
      <c r="M2246" s="11" t="s">
        <v>28</v>
      </c>
      <c r="N2246" s="8">
        <v>44927</v>
      </c>
      <c r="O2246" s="9" t="s">
        <v>52</v>
      </c>
      <c r="P2246" s="12" t="s">
        <v>1662</v>
      </c>
      <c r="Q2246" s="9" t="s">
        <v>583</v>
      </c>
      <c r="R2246" s="14" t="str">
        <f>HYPERLINK("https://my.pitchbook.com?c=234896-95T","View Company Online")</f>
        <v>View Company Online</v>
      </c>
    </row>
    <row r="2247" spans="1:18" hidden="1" x14ac:dyDescent="0.3">
      <c r="A2247" s="15" t="s">
        <v>7753</v>
      </c>
      <c r="B2247" s="15" t="s">
        <v>7754</v>
      </c>
      <c r="C2247" s="18" t="s">
        <v>28</v>
      </c>
      <c r="D2247" s="15" t="s">
        <v>7755</v>
      </c>
      <c r="E2247" s="18" t="s">
        <v>28</v>
      </c>
      <c r="F2247" s="19" t="s">
        <v>28</v>
      </c>
      <c r="G2247" s="19" t="s">
        <v>28</v>
      </c>
      <c r="H2247" s="19" t="s">
        <v>28</v>
      </c>
      <c r="I2247" s="18" t="s">
        <v>28</v>
      </c>
      <c r="J2247" s="18" t="s">
        <v>28</v>
      </c>
      <c r="K2247" s="18" t="s">
        <v>28</v>
      </c>
      <c r="L2247" s="18" t="s">
        <v>28</v>
      </c>
      <c r="M2247" s="18" t="s">
        <v>28</v>
      </c>
      <c r="N2247" s="17">
        <v>44927</v>
      </c>
      <c r="O2247" s="15" t="s">
        <v>52</v>
      </c>
      <c r="P2247" s="16" t="s">
        <v>1970</v>
      </c>
      <c r="Q2247" s="15" t="s">
        <v>1793</v>
      </c>
      <c r="R2247" s="13" t="str">
        <f>HYPERLINK("https://my.pitchbook.com?c=295759-45T","View Company Online")</f>
        <v>View Company Online</v>
      </c>
    </row>
    <row r="2248" spans="1:18" hidden="1" x14ac:dyDescent="0.3">
      <c r="A2248" s="9" t="s">
        <v>7756</v>
      </c>
      <c r="B2248" s="9" t="s">
        <v>3167</v>
      </c>
      <c r="C2248" s="11" t="s">
        <v>28</v>
      </c>
      <c r="D2248" s="9" t="s">
        <v>3168</v>
      </c>
      <c r="E2248" s="11" t="s">
        <v>28</v>
      </c>
      <c r="F2248" s="10" t="s">
        <v>28</v>
      </c>
      <c r="G2248" s="10" t="s">
        <v>28</v>
      </c>
      <c r="H2248" s="10" t="s">
        <v>28</v>
      </c>
      <c r="I2248" s="11" t="s">
        <v>28</v>
      </c>
      <c r="J2248" s="11" t="s">
        <v>28</v>
      </c>
      <c r="K2248" s="11" t="s">
        <v>28</v>
      </c>
      <c r="L2248" s="11" t="s">
        <v>28</v>
      </c>
      <c r="M2248" s="11" t="s">
        <v>28</v>
      </c>
      <c r="N2248" s="8">
        <v>44927</v>
      </c>
      <c r="O2248" s="9" t="s">
        <v>52</v>
      </c>
      <c r="P2248" s="12" t="s">
        <v>2830</v>
      </c>
      <c r="Q2248" s="9" t="s">
        <v>75</v>
      </c>
      <c r="R2248" s="14" t="str">
        <f>HYPERLINK("https://my.pitchbook.com?c=266463-55T","View Company Online")</f>
        <v>View Company Online</v>
      </c>
    </row>
    <row r="2249" spans="1:18" hidden="1" x14ac:dyDescent="0.3">
      <c r="A2249" s="15" t="s">
        <v>7757</v>
      </c>
      <c r="B2249" s="15" t="s">
        <v>7758</v>
      </c>
      <c r="C2249" s="18" t="s">
        <v>28</v>
      </c>
      <c r="D2249" s="15" t="s">
        <v>7759</v>
      </c>
      <c r="E2249" s="18" t="s">
        <v>28</v>
      </c>
      <c r="F2249" s="19" t="s">
        <v>28</v>
      </c>
      <c r="G2249" s="19" t="s">
        <v>28</v>
      </c>
      <c r="H2249" s="19" t="s">
        <v>28</v>
      </c>
      <c r="I2249" s="18" t="s">
        <v>28</v>
      </c>
      <c r="J2249" s="18" t="s">
        <v>28</v>
      </c>
      <c r="K2249" s="18" t="s">
        <v>28</v>
      </c>
      <c r="L2249" s="18" t="s">
        <v>28</v>
      </c>
      <c r="M2249" s="18" t="s">
        <v>28</v>
      </c>
      <c r="N2249" s="17">
        <v>44927</v>
      </c>
      <c r="O2249" s="15" t="s">
        <v>52</v>
      </c>
      <c r="P2249" s="16" t="s">
        <v>7760</v>
      </c>
      <c r="Q2249" s="15" t="s">
        <v>5347</v>
      </c>
      <c r="R2249" s="13" t="str">
        <f>HYPERLINK("https://my.pitchbook.com?c=273392-92T","View Company Online")</f>
        <v>View Company Online</v>
      </c>
    </row>
    <row r="2250" spans="1:18" hidden="1" x14ac:dyDescent="0.3">
      <c r="A2250" s="9" t="s">
        <v>7761</v>
      </c>
      <c r="B2250" s="9" t="s">
        <v>7762</v>
      </c>
      <c r="C2250" s="11" t="s">
        <v>28</v>
      </c>
      <c r="D2250" s="9" t="s">
        <v>7763</v>
      </c>
      <c r="E2250" s="11" t="s">
        <v>28</v>
      </c>
      <c r="F2250" s="10" t="s">
        <v>28</v>
      </c>
      <c r="G2250" s="10" t="s">
        <v>28</v>
      </c>
      <c r="H2250" s="10" t="s">
        <v>28</v>
      </c>
      <c r="I2250" s="11" t="s">
        <v>28</v>
      </c>
      <c r="J2250" s="11" t="s">
        <v>28</v>
      </c>
      <c r="K2250" s="11" t="s">
        <v>28</v>
      </c>
      <c r="L2250" s="11" t="s">
        <v>28</v>
      </c>
      <c r="M2250" s="11" t="s">
        <v>28</v>
      </c>
      <c r="N2250" s="8">
        <v>44927</v>
      </c>
      <c r="O2250" s="9" t="s">
        <v>52</v>
      </c>
      <c r="P2250" s="12" t="s">
        <v>1970</v>
      </c>
      <c r="Q2250" s="9" t="s">
        <v>566</v>
      </c>
      <c r="R2250" s="14" t="str">
        <f>HYPERLINK("https://my.pitchbook.com?c=295267-33T","View Company Online")</f>
        <v>View Company Online</v>
      </c>
    </row>
    <row r="2251" spans="1:18" hidden="1" x14ac:dyDescent="0.3">
      <c r="A2251" s="15" t="s">
        <v>7764</v>
      </c>
      <c r="B2251" s="15" t="s">
        <v>7765</v>
      </c>
      <c r="C2251" s="18" t="s">
        <v>28</v>
      </c>
      <c r="D2251" s="15" t="s">
        <v>7766</v>
      </c>
      <c r="E2251" s="18" t="s">
        <v>28</v>
      </c>
      <c r="F2251" s="19" t="s">
        <v>28</v>
      </c>
      <c r="G2251" s="19" t="s">
        <v>28</v>
      </c>
      <c r="H2251" s="19" t="s">
        <v>28</v>
      </c>
      <c r="I2251" s="18" t="s">
        <v>28</v>
      </c>
      <c r="J2251" s="18" t="s">
        <v>28</v>
      </c>
      <c r="K2251" s="18" t="s">
        <v>28</v>
      </c>
      <c r="L2251" s="18" t="s">
        <v>28</v>
      </c>
      <c r="M2251" s="18" t="s">
        <v>28</v>
      </c>
      <c r="N2251" s="17">
        <v>44927</v>
      </c>
      <c r="O2251" s="15" t="s">
        <v>52</v>
      </c>
      <c r="P2251" s="16" t="s">
        <v>1970</v>
      </c>
      <c r="Q2251" s="15" t="s">
        <v>75</v>
      </c>
      <c r="R2251" s="13" t="str">
        <f>HYPERLINK("https://my.pitchbook.com?c=295765-48T","View Company Online")</f>
        <v>View Company Online</v>
      </c>
    </row>
    <row r="2252" spans="1:18" hidden="1" x14ac:dyDescent="0.3">
      <c r="A2252" s="9" t="s">
        <v>7767</v>
      </c>
      <c r="B2252" s="9" t="s">
        <v>7768</v>
      </c>
      <c r="C2252" s="11" t="s">
        <v>28</v>
      </c>
      <c r="D2252" s="9" t="s">
        <v>7769</v>
      </c>
      <c r="E2252" s="11" t="s">
        <v>28</v>
      </c>
      <c r="F2252" s="10" t="s">
        <v>28</v>
      </c>
      <c r="G2252" s="10" t="s">
        <v>28</v>
      </c>
      <c r="H2252" s="10" t="s">
        <v>28</v>
      </c>
      <c r="I2252" s="11" t="s">
        <v>28</v>
      </c>
      <c r="J2252" s="11" t="s">
        <v>28</v>
      </c>
      <c r="K2252" s="11" t="s">
        <v>28</v>
      </c>
      <c r="L2252" s="11" t="s">
        <v>28</v>
      </c>
      <c r="M2252" s="11" t="s">
        <v>28</v>
      </c>
      <c r="N2252" s="8">
        <v>44927</v>
      </c>
      <c r="O2252" s="9" t="s">
        <v>52</v>
      </c>
      <c r="P2252" s="12" t="s">
        <v>1970</v>
      </c>
      <c r="Q2252" s="9" t="s">
        <v>1191</v>
      </c>
      <c r="R2252" s="14" t="str">
        <f>HYPERLINK("https://my.pitchbook.com?c=295274-08T","View Company Online")</f>
        <v>View Company Online</v>
      </c>
    </row>
    <row r="2253" spans="1:18" hidden="1" x14ac:dyDescent="0.3">
      <c r="A2253" s="15" t="s">
        <v>7770</v>
      </c>
      <c r="B2253" s="15" t="s">
        <v>4842</v>
      </c>
      <c r="C2253" s="18" t="s">
        <v>28</v>
      </c>
      <c r="D2253" s="15" t="s">
        <v>4843</v>
      </c>
      <c r="E2253" s="18" t="s">
        <v>28</v>
      </c>
      <c r="F2253" s="19" t="s">
        <v>28</v>
      </c>
      <c r="G2253" s="19" t="s">
        <v>28</v>
      </c>
      <c r="H2253" s="19" t="s">
        <v>28</v>
      </c>
      <c r="I2253" s="18" t="s">
        <v>28</v>
      </c>
      <c r="J2253" s="18" t="s">
        <v>28</v>
      </c>
      <c r="K2253" s="18" t="s">
        <v>28</v>
      </c>
      <c r="L2253" s="18" t="s">
        <v>28</v>
      </c>
      <c r="M2253" s="18" t="s">
        <v>28</v>
      </c>
      <c r="N2253" s="17">
        <v>44927</v>
      </c>
      <c r="O2253" s="15" t="s">
        <v>52</v>
      </c>
      <c r="P2253" s="16" t="s">
        <v>28</v>
      </c>
      <c r="Q2253" s="15" t="s">
        <v>75</v>
      </c>
      <c r="R2253" s="13" t="str">
        <f>HYPERLINK("https://my.pitchbook.com?c=257616-28T","View Company Online")</f>
        <v>View Company Online</v>
      </c>
    </row>
    <row r="2254" spans="1:18" hidden="1" x14ac:dyDescent="0.3">
      <c r="A2254" s="9" t="s">
        <v>7771</v>
      </c>
      <c r="B2254" s="9" t="s">
        <v>2712</v>
      </c>
      <c r="C2254" s="11" t="s">
        <v>28</v>
      </c>
      <c r="D2254" s="9" t="s">
        <v>2713</v>
      </c>
      <c r="E2254" s="11" t="s">
        <v>28</v>
      </c>
      <c r="F2254" s="10" t="s">
        <v>28</v>
      </c>
      <c r="G2254" s="10" t="s">
        <v>28</v>
      </c>
      <c r="H2254" s="10" t="s">
        <v>28</v>
      </c>
      <c r="I2254" s="11" t="s">
        <v>28</v>
      </c>
      <c r="J2254" s="11" t="s">
        <v>28</v>
      </c>
      <c r="K2254" s="11" t="s">
        <v>28</v>
      </c>
      <c r="L2254" s="11" t="s">
        <v>28</v>
      </c>
      <c r="M2254" s="11" t="s">
        <v>28</v>
      </c>
      <c r="N2254" s="8">
        <v>44927</v>
      </c>
      <c r="O2254" s="9" t="s">
        <v>52</v>
      </c>
      <c r="P2254" s="12" t="s">
        <v>1970</v>
      </c>
      <c r="Q2254" s="9" t="s">
        <v>37</v>
      </c>
      <c r="R2254" s="14" t="str">
        <f>HYPERLINK("https://my.pitchbook.com?c=267494-59T","View Company Online")</f>
        <v>View Company Online</v>
      </c>
    </row>
    <row r="2255" spans="1:18" hidden="1" x14ac:dyDescent="0.3">
      <c r="A2255" s="15" t="s">
        <v>7772</v>
      </c>
      <c r="B2255" s="15" t="s">
        <v>7773</v>
      </c>
      <c r="C2255" s="18" t="s">
        <v>28</v>
      </c>
      <c r="D2255" s="15" t="s">
        <v>7774</v>
      </c>
      <c r="E2255" s="18" t="s">
        <v>28</v>
      </c>
      <c r="F2255" s="19" t="s">
        <v>28</v>
      </c>
      <c r="G2255" s="19" t="s">
        <v>28</v>
      </c>
      <c r="H2255" s="19" t="s">
        <v>28</v>
      </c>
      <c r="I2255" s="18" t="s">
        <v>28</v>
      </c>
      <c r="J2255" s="18" t="s">
        <v>28</v>
      </c>
      <c r="K2255" s="18" t="s">
        <v>28</v>
      </c>
      <c r="L2255" s="18" t="s">
        <v>28</v>
      </c>
      <c r="M2255" s="18" t="s">
        <v>28</v>
      </c>
      <c r="N2255" s="17">
        <v>44927</v>
      </c>
      <c r="O2255" s="15" t="s">
        <v>52</v>
      </c>
      <c r="P2255" s="16" t="s">
        <v>2830</v>
      </c>
      <c r="Q2255" s="15" t="s">
        <v>75</v>
      </c>
      <c r="R2255" s="13" t="str">
        <f>HYPERLINK("https://my.pitchbook.com?c=293660-11T","View Company Online")</f>
        <v>View Company Online</v>
      </c>
    </row>
    <row r="2256" spans="1:18" hidden="1" x14ac:dyDescent="0.3">
      <c r="A2256" s="9" t="s">
        <v>7775</v>
      </c>
      <c r="B2256" s="9" t="s">
        <v>2646</v>
      </c>
      <c r="C2256" s="11" t="s">
        <v>28</v>
      </c>
      <c r="D2256" s="9" t="s">
        <v>2647</v>
      </c>
      <c r="E2256" s="11" t="s">
        <v>28</v>
      </c>
      <c r="F2256" s="10" t="s">
        <v>28</v>
      </c>
      <c r="G2256" s="10">
        <v>0.62</v>
      </c>
      <c r="H2256" s="10" t="s">
        <v>28</v>
      </c>
      <c r="I2256" s="11" t="s">
        <v>28</v>
      </c>
      <c r="J2256" s="11" t="s">
        <v>28</v>
      </c>
      <c r="K2256" s="11" t="s">
        <v>28</v>
      </c>
      <c r="L2256" s="11" t="s">
        <v>28</v>
      </c>
      <c r="M2256" s="11" t="s">
        <v>28</v>
      </c>
      <c r="N2256" s="8">
        <v>44927</v>
      </c>
      <c r="O2256" s="9" t="s">
        <v>99</v>
      </c>
      <c r="P2256" s="12" t="s">
        <v>28</v>
      </c>
      <c r="Q2256" s="9" t="s">
        <v>75</v>
      </c>
      <c r="R2256" s="14" t="str">
        <f>HYPERLINK("https://my.pitchbook.com?c=277167-97T","View Company Online")</f>
        <v>View Company Online</v>
      </c>
    </row>
    <row r="2257" spans="1:18" hidden="1" x14ac:dyDescent="0.3">
      <c r="A2257" s="15" t="s">
        <v>7776</v>
      </c>
      <c r="B2257" s="15" t="s">
        <v>7777</v>
      </c>
      <c r="C2257" s="18" t="s">
        <v>28</v>
      </c>
      <c r="D2257" s="15" t="s">
        <v>7778</v>
      </c>
      <c r="E2257" s="18" t="s">
        <v>28</v>
      </c>
      <c r="F2257" s="19" t="s">
        <v>28</v>
      </c>
      <c r="G2257" s="19" t="s">
        <v>28</v>
      </c>
      <c r="H2257" s="19" t="s">
        <v>28</v>
      </c>
      <c r="I2257" s="18" t="s">
        <v>28</v>
      </c>
      <c r="J2257" s="18" t="s">
        <v>28</v>
      </c>
      <c r="K2257" s="18" t="s">
        <v>28</v>
      </c>
      <c r="L2257" s="18" t="s">
        <v>28</v>
      </c>
      <c r="M2257" s="18" t="s">
        <v>28</v>
      </c>
      <c r="N2257" s="17">
        <v>44927</v>
      </c>
      <c r="O2257" s="15" t="s">
        <v>52</v>
      </c>
      <c r="P2257" s="16" t="s">
        <v>3375</v>
      </c>
      <c r="Q2257" s="15" t="s">
        <v>75</v>
      </c>
      <c r="R2257" s="13" t="str">
        <f>HYPERLINK("https://my.pitchbook.com?c=286834-24T","View Company Online")</f>
        <v>View Company Online</v>
      </c>
    </row>
    <row r="2258" spans="1:18" hidden="1" x14ac:dyDescent="0.3">
      <c r="A2258" s="9" t="s">
        <v>7779</v>
      </c>
      <c r="B2258" s="9" t="s">
        <v>4336</v>
      </c>
      <c r="C2258" s="11" t="s">
        <v>28</v>
      </c>
      <c r="D2258" s="9" t="s">
        <v>4337</v>
      </c>
      <c r="E2258" s="11" t="s">
        <v>28</v>
      </c>
      <c r="F2258" s="10" t="s">
        <v>28</v>
      </c>
      <c r="G2258" s="10" t="s">
        <v>28</v>
      </c>
      <c r="H2258" s="10" t="s">
        <v>28</v>
      </c>
      <c r="I2258" s="11" t="s">
        <v>28</v>
      </c>
      <c r="J2258" s="11" t="s">
        <v>28</v>
      </c>
      <c r="K2258" s="11" t="s">
        <v>28</v>
      </c>
      <c r="L2258" s="11" t="s">
        <v>28</v>
      </c>
      <c r="M2258" s="11" t="s">
        <v>28</v>
      </c>
      <c r="N2258" s="8">
        <v>44927</v>
      </c>
      <c r="O2258" s="9" t="s">
        <v>52</v>
      </c>
      <c r="P2258" s="12" t="s">
        <v>1970</v>
      </c>
      <c r="Q2258" s="9" t="s">
        <v>37</v>
      </c>
      <c r="R2258" s="14" t="str">
        <f>HYPERLINK("https://my.pitchbook.com?c=295317-64T","View Company Online")</f>
        <v>View Company Online</v>
      </c>
    </row>
    <row r="2259" spans="1:18" hidden="1" x14ac:dyDescent="0.3">
      <c r="A2259" s="15" t="s">
        <v>7780</v>
      </c>
      <c r="B2259" s="15" t="s">
        <v>7781</v>
      </c>
      <c r="C2259" s="18" t="s">
        <v>28</v>
      </c>
      <c r="D2259" s="15" t="s">
        <v>7782</v>
      </c>
      <c r="E2259" s="18" t="s">
        <v>28</v>
      </c>
      <c r="F2259" s="19" t="s">
        <v>28</v>
      </c>
      <c r="G2259" s="19" t="s">
        <v>28</v>
      </c>
      <c r="H2259" s="19" t="s">
        <v>28</v>
      </c>
      <c r="I2259" s="18" t="s">
        <v>28</v>
      </c>
      <c r="J2259" s="18" t="s">
        <v>28</v>
      </c>
      <c r="K2259" s="18" t="s">
        <v>28</v>
      </c>
      <c r="L2259" s="18" t="s">
        <v>28</v>
      </c>
      <c r="M2259" s="18" t="s">
        <v>28</v>
      </c>
      <c r="N2259" s="17">
        <v>44927</v>
      </c>
      <c r="O2259" s="15" t="s">
        <v>52</v>
      </c>
      <c r="P2259" s="16" t="s">
        <v>1970</v>
      </c>
      <c r="Q2259" s="15" t="s">
        <v>959</v>
      </c>
      <c r="R2259" s="13" t="str">
        <f>HYPERLINK("https://my.pitchbook.com?c=295313-50T","View Company Online")</f>
        <v>View Company Online</v>
      </c>
    </row>
    <row r="2260" spans="1:18" hidden="1" x14ac:dyDescent="0.3">
      <c r="A2260" s="9" t="s">
        <v>7783</v>
      </c>
      <c r="B2260" s="9" t="s">
        <v>7784</v>
      </c>
      <c r="C2260" s="11" t="s">
        <v>28</v>
      </c>
      <c r="D2260" s="9" t="s">
        <v>7785</v>
      </c>
      <c r="E2260" s="11" t="s">
        <v>28</v>
      </c>
      <c r="F2260" s="10" t="s">
        <v>28</v>
      </c>
      <c r="G2260" s="10" t="s">
        <v>28</v>
      </c>
      <c r="H2260" s="10" t="s">
        <v>28</v>
      </c>
      <c r="I2260" s="11" t="s">
        <v>28</v>
      </c>
      <c r="J2260" s="11" t="s">
        <v>28</v>
      </c>
      <c r="K2260" s="11" t="s">
        <v>28</v>
      </c>
      <c r="L2260" s="11" t="s">
        <v>28</v>
      </c>
      <c r="M2260" s="11" t="s">
        <v>28</v>
      </c>
      <c r="N2260" s="8">
        <v>44927</v>
      </c>
      <c r="O2260" s="9" t="s">
        <v>52</v>
      </c>
      <c r="P2260" s="12" t="s">
        <v>3869</v>
      </c>
      <c r="Q2260" s="9" t="s">
        <v>75</v>
      </c>
      <c r="R2260" s="14" t="str">
        <f>HYPERLINK("https://my.pitchbook.com?c=263990-89T","View Company Online")</f>
        <v>View Company Online</v>
      </c>
    </row>
    <row r="2261" spans="1:18" hidden="1" x14ac:dyDescent="0.3">
      <c r="A2261" s="15" t="s">
        <v>7786</v>
      </c>
      <c r="B2261" s="15" t="s">
        <v>4361</v>
      </c>
      <c r="C2261" s="18" t="s">
        <v>28</v>
      </c>
      <c r="D2261" s="15" t="s">
        <v>4362</v>
      </c>
      <c r="E2261" s="18" t="s">
        <v>28</v>
      </c>
      <c r="F2261" s="19" t="s">
        <v>28</v>
      </c>
      <c r="G2261" s="19" t="s">
        <v>28</v>
      </c>
      <c r="H2261" s="19" t="s">
        <v>28</v>
      </c>
      <c r="I2261" s="18" t="s">
        <v>28</v>
      </c>
      <c r="J2261" s="18" t="s">
        <v>28</v>
      </c>
      <c r="K2261" s="18" t="s">
        <v>28</v>
      </c>
      <c r="L2261" s="18" t="s">
        <v>28</v>
      </c>
      <c r="M2261" s="18" t="s">
        <v>28</v>
      </c>
      <c r="N2261" s="17">
        <v>44927</v>
      </c>
      <c r="O2261" s="15" t="s">
        <v>52</v>
      </c>
      <c r="P2261" s="16" t="s">
        <v>28</v>
      </c>
      <c r="Q2261" s="15" t="s">
        <v>75</v>
      </c>
      <c r="R2261" s="13" t="str">
        <f>HYPERLINK("https://my.pitchbook.com?c=299380-78T","View Company Online")</f>
        <v>View Company Online</v>
      </c>
    </row>
    <row r="2262" spans="1:18" hidden="1" x14ac:dyDescent="0.3">
      <c r="A2262" s="9" t="s">
        <v>7787</v>
      </c>
      <c r="B2262" s="9" t="s">
        <v>7788</v>
      </c>
      <c r="C2262" s="11" t="s">
        <v>28</v>
      </c>
      <c r="D2262" s="9" t="s">
        <v>7789</v>
      </c>
      <c r="E2262" s="11" t="s">
        <v>28</v>
      </c>
      <c r="F2262" s="10" t="s">
        <v>28</v>
      </c>
      <c r="G2262" s="10" t="s">
        <v>28</v>
      </c>
      <c r="H2262" s="10" t="s">
        <v>28</v>
      </c>
      <c r="I2262" s="11" t="s">
        <v>28</v>
      </c>
      <c r="J2262" s="11" t="s">
        <v>28</v>
      </c>
      <c r="K2262" s="11" t="s">
        <v>28</v>
      </c>
      <c r="L2262" s="11" t="s">
        <v>28</v>
      </c>
      <c r="M2262" s="11" t="s">
        <v>28</v>
      </c>
      <c r="N2262" s="8">
        <v>44927</v>
      </c>
      <c r="O2262" s="9" t="s">
        <v>52</v>
      </c>
      <c r="P2262" s="12" t="s">
        <v>1970</v>
      </c>
      <c r="Q2262" s="9" t="s">
        <v>43</v>
      </c>
      <c r="R2262" s="14" t="str">
        <f>HYPERLINK("https://my.pitchbook.com?c=295563-70T","View Company Online")</f>
        <v>View Company Online</v>
      </c>
    </row>
    <row r="2263" spans="1:18" hidden="1" x14ac:dyDescent="0.3">
      <c r="A2263" s="15" t="s">
        <v>7790</v>
      </c>
      <c r="B2263" s="15" t="s">
        <v>7791</v>
      </c>
      <c r="C2263" s="18" t="s">
        <v>28</v>
      </c>
      <c r="D2263" s="15" t="s">
        <v>7792</v>
      </c>
      <c r="E2263" s="18" t="s">
        <v>28</v>
      </c>
      <c r="F2263" s="19" t="s">
        <v>28</v>
      </c>
      <c r="G2263" s="19" t="s">
        <v>28</v>
      </c>
      <c r="H2263" s="19" t="s">
        <v>28</v>
      </c>
      <c r="I2263" s="18" t="s">
        <v>28</v>
      </c>
      <c r="J2263" s="18" t="s">
        <v>28</v>
      </c>
      <c r="K2263" s="18" t="s">
        <v>28</v>
      </c>
      <c r="L2263" s="18" t="s">
        <v>28</v>
      </c>
      <c r="M2263" s="18" t="s">
        <v>28</v>
      </c>
      <c r="N2263" s="17">
        <v>44927</v>
      </c>
      <c r="O2263" s="15" t="s">
        <v>52</v>
      </c>
      <c r="P2263" s="16" t="s">
        <v>1970</v>
      </c>
      <c r="Q2263" s="15" t="s">
        <v>43</v>
      </c>
      <c r="R2263" s="13" t="str">
        <f>HYPERLINK("https://my.pitchbook.com?c=295557-58T","View Company Online")</f>
        <v>View Company Online</v>
      </c>
    </row>
    <row r="2264" spans="1:18" hidden="1" x14ac:dyDescent="0.3">
      <c r="A2264" s="9" t="s">
        <v>7793</v>
      </c>
      <c r="B2264" s="9" t="s">
        <v>7794</v>
      </c>
      <c r="C2264" s="11" t="s">
        <v>28</v>
      </c>
      <c r="D2264" s="9" t="s">
        <v>7795</v>
      </c>
      <c r="E2264" s="11" t="s">
        <v>28</v>
      </c>
      <c r="F2264" s="10" t="s">
        <v>28</v>
      </c>
      <c r="G2264" s="10" t="s">
        <v>28</v>
      </c>
      <c r="H2264" s="10" t="s">
        <v>28</v>
      </c>
      <c r="I2264" s="11" t="s">
        <v>28</v>
      </c>
      <c r="J2264" s="11" t="s">
        <v>28</v>
      </c>
      <c r="K2264" s="11" t="s">
        <v>28</v>
      </c>
      <c r="L2264" s="11" t="s">
        <v>28</v>
      </c>
      <c r="M2264" s="11" t="s">
        <v>28</v>
      </c>
      <c r="N2264" s="8">
        <v>44927</v>
      </c>
      <c r="O2264" s="9" t="s">
        <v>52</v>
      </c>
      <c r="P2264" s="12" t="s">
        <v>28</v>
      </c>
      <c r="Q2264" s="9" t="s">
        <v>1793</v>
      </c>
      <c r="R2264" s="14" t="str">
        <f>HYPERLINK("https://my.pitchbook.com?c=295931-08T","View Company Online")</f>
        <v>View Company Online</v>
      </c>
    </row>
    <row r="2265" spans="1:18" hidden="1" x14ac:dyDescent="0.3">
      <c r="A2265" s="15" t="s">
        <v>7796</v>
      </c>
      <c r="B2265" s="15" t="s">
        <v>7797</v>
      </c>
      <c r="C2265" s="18" t="s">
        <v>28</v>
      </c>
      <c r="D2265" s="15" t="s">
        <v>7798</v>
      </c>
      <c r="E2265" s="18" t="s">
        <v>28</v>
      </c>
      <c r="F2265" s="19" t="s">
        <v>28</v>
      </c>
      <c r="G2265" s="19" t="s">
        <v>28</v>
      </c>
      <c r="H2265" s="19" t="s">
        <v>28</v>
      </c>
      <c r="I2265" s="18" t="s">
        <v>28</v>
      </c>
      <c r="J2265" s="18" t="s">
        <v>28</v>
      </c>
      <c r="K2265" s="18" t="s">
        <v>28</v>
      </c>
      <c r="L2265" s="18" t="s">
        <v>28</v>
      </c>
      <c r="M2265" s="18" t="s">
        <v>28</v>
      </c>
      <c r="N2265" s="17">
        <v>44927</v>
      </c>
      <c r="O2265" s="15" t="s">
        <v>52</v>
      </c>
      <c r="P2265" s="16" t="s">
        <v>2830</v>
      </c>
      <c r="Q2265" s="15" t="s">
        <v>245</v>
      </c>
      <c r="R2265" s="13" t="str">
        <f>HYPERLINK("https://my.pitchbook.com?c=298756-09T","View Company Online")</f>
        <v>View Company Online</v>
      </c>
    </row>
    <row r="2266" spans="1:18" hidden="1" x14ac:dyDescent="0.3">
      <c r="A2266" s="9" t="s">
        <v>7799</v>
      </c>
      <c r="B2266" s="9" t="s">
        <v>7800</v>
      </c>
      <c r="C2266" s="11" t="s">
        <v>28</v>
      </c>
      <c r="D2266" s="9" t="s">
        <v>7801</v>
      </c>
      <c r="E2266" s="11" t="s">
        <v>28</v>
      </c>
      <c r="F2266" s="10" t="s">
        <v>28</v>
      </c>
      <c r="G2266" s="10" t="s">
        <v>28</v>
      </c>
      <c r="H2266" s="10" t="s">
        <v>28</v>
      </c>
      <c r="I2266" s="11" t="s">
        <v>28</v>
      </c>
      <c r="J2266" s="11" t="s">
        <v>28</v>
      </c>
      <c r="K2266" s="11" t="s">
        <v>28</v>
      </c>
      <c r="L2266" s="11" t="s">
        <v>28</v>
      </c>
      <c r="M2266" s="11" t="s">
        <v>28</v>
      </c>
      <c r="N2266" s="8">
        <v>44927</v>
      </c>
      <c r="O2266" s="9" t="s">
        <v>73</v>
      </c>
      <c r="P2266" s="12" t="s">
        <v>7802</v>
      </c>
      <c r="Q2266" s="9" t="s">
        <v>285</v>
      </c>
      <c r="R2266" s="14" t="str">
        <f>HYPERLINK("https://my.pitchbook.com?c=234014-05T","View Company Online")</f>
        <v>View Company Online</v>
      </c>
    </row>
    <row r="2267" spans="1:18" hidden="1" x14ac:dyDescent="0.3">
      <c r="A2267" s="15" t="s">
        <v>7803</v>
      </c>
      <c r="B2267" s="15" t="s">
        <v>7804</v>
      </c>
      <c r="C2267" s="18" t="s">
        <v>28</v>
      </c>
      <c r="D2267" s="15" t="s">
        <v>7805</v>
      </c>
      <c r="E2267" s="18" t="s">
        <v>28</v>
      </c>
      <c r="F2267" s="19" t="s">
        <v>28</v>
      </c>
      <c r="G2267" s="19" t="s">
        <v>28</v>
      </c>
      <c r="H2267" s="19" t="s">
        <v>28</v>
      </c>
      <c r="I2267" s="18" t="s">
        <v>28</v>
      </c>
      <c r="J2267" s="18" t="s">
        <v>28</v>
      </c>
      <c r="K2267" s="18" t="s">
        <v>28</v>
      </c>
      <c r="L2267" s="18" t="s">
        <v>28</v>
      </c>
      <c r="M2267" s="18" t="s">
        <v>28</v>
      </c>
      <c r="N2267" s="17">
        <v>44927</v>
      </c>
      <c r="O2267" s="15" t="s">
        <v>52</v>
      </c>
      <c r="P2267" s="16" t="s">
        <v>1970</v>
      </c>
      <c r="Q2267" s="15" t="s">
        <v>386</v>
      </c>
      <c r="R2267" s="13" t="str">
        <f>HYPERLINK("https://my.pitchbook.com?c=295391-35T","View Company Online")</f>
        <v>View Company Online</v>
      </c>
    </row>
    <row r="2268" spans="1:18" hidden="1" x14ac:dyDescent="0.3">
      <c r="A2268" s="9" t="s">
        <v>7806</v>
      </c>
      <c r="B2268" s="9" t="s">
        <v>7807</v>
      </c>
      <c r="C2268" s="11" t="s">
        <v>28</v>
      </c>
      <c r="D2268" s="9" t="s">
        <v>7808</v>
      </c>
      <c r="E2268" s="11" t="s">
        <v>28</v>
      </c>
      <c r="F2268" s="10" t="s">
        <v>28</v>
      </c>
      <c r="G2268" s="10" t="s">
        <v>28</v>
      </c>
      <c r="H2268" s="10" t="s">
        <v>28</v>
      </c>
      <c r="I2268" s="11" t="s">
        <v>28</v>
      </c>
      <c r="J2268" s="11" t="s">
        <v>28</v>
      </c>
      <c r="K2268" s="11" t="s">
        <v>28</v>
      </c>
      <c r="L2268" s="11" t="s">
        <v>28</v>
      </c>
      <c r="M2268" s="11" t="s">
        <v>28</v>
      </c>
      <c r="N2268" s="8">
        <v>44927</v>
      </c>
      <c r="O2268" s="9" t="s">
        <v>52</v>
      </c>
      <c r="P2268" s="12" t="s">
        <v>1970</v>
      </c>
      <c r="Q2268" s="9" t="s">
        <v>75</v>
      </c>
      <c r="R2268" s="14" t="str">
        <f>HYPERLINK("https://my.pitchbook.com?c=295493-32T","View Company Online")</f>
        <v>View Company Online</v>
      </c>
    </row>
    <row r="2269" spans="1:18" hidden="1" x14ac:dyDescent="0.3">
      <c r="A2269" s="15" t="s">
        <v>7809</v>
      </c>
      <c r="B2269" s="15" t="s">
        <v>7810</v>
      </c>
      <c r="C2269" s="18" t="s">
        <v>28</v>
      </c>
      <c r="D2269" s="15" t="s">
        <v>7811</v>
      </c>
      <c r="E2269" s="18" t="s">
        <v>28</v>
      </c>
      <c r="F2269" s="19" t="s">
        <v>28</v>
      </c>
      <c r="G2269" s="19" t="s">
        <v>28</v>
      </c>
      <c r="H2269" s="19" t="s">
        <v>28</v>
      </c>
      <c r="I2269" s="18">
        <v>11.32</v>
      </c>
      <c r="J2269" s="18" t="s">
        <v>28</v>
      </c>
      <c r="K2269" s="18" t="s">
        <v>28</v>
      </c>
      <c r="L2269" s="18" t="s">
        <v>28</v>
      </c>
      <c r="M2269" s="18" t="s">
        <v>28</v>
      </c>
      <c r="N2269" s="17">
        <v>44927</v>
      </c>
      <c r="O2269" s="15" t="s">
        <v>30</v>
      </c>
      <c r="P2269" s="16" t="s">
        <v>7812</v>
      </c>
      <c r="Q2269" s="15" t="s">
        <v>290</v>
      </c>
      <c r="R2269" s="13" t="str">
        <f>HYPERLINK("https://my.pitchbook.com?c=210122-83T","View Company Online")</f>
        <v>View Company Online</v>
      </c>
    </row>
    <row r="2270" spans="1:18" hidden="1" x14ac:dyDescent="0.3">
      <c r="A2270" s="9" t="s">
        <v>7813</v>
      </c>
      <c r="B2270" s="9" t="s">
        <v>7814</v>
      </c>
      <c r="C2270" s="11" t="s">
        <v>28</v>
      </c>
      <c r="D2270" s="9" t="s">
        <v>7815</v>
      </c>
      <c r="E2270" s="11" t="s">
        <v>28</v>
      </c>
      <c r="F2270" s="10" t="s">
        <v>28</v>
      </c>
      <c r="G2270" s="10" t="s">
        <v>28</v>
      </c>
      <c r="H2270" s="10" t="s">
        <v>28</v>
      </c>
      <c r="I2270" s="11" t="s">
        <v>28</v>
      </c>
      <c r="J2270" s="11" t="s">
        <v>28</v>
      </c>
      <c r="K2270" s="11" t="s">
        <v>28</v>
      </c>
      <c r="L2270" s="11" t="s">
        <v>28</v>
      </c>
      <c r="M2270" s="11" t="s">
        <v>28</v>
      </c>
      <c r="N2270" s="8">
        <v>44927</v>
      </c>
      <c r="O2270" s="9" t="s">
        <v>52</v>
      </c>
      <c r="P2270" s="12" t="s">
        <v>1970</v>
      </c>
      <c r="Q2270" s="9" t="s">
        <v>386</v>
      </c>
      <c r="R2270" s="14" t="str">
        <f>HYPERLINK("https://my.pitchbook.com?c=295484-86T","View Company Online")</f>
        <v>View Company Online</v>
      </c>
    </row>
    <row r="2271" spans="1:18" hidden="1" x14ac:dyDescent="0.3">
      <c r="A2271" s="15" t="s">
        <v>7816</v>
      </c>
      <c r="B2271" s="15" t="s">
        <v>7817</v>
      </c>
      <c r="C2271" s="18" t="s">
        <v>28</v>
      </c>
      <c r="D2271" s="15" t="s">
        <v>7818</v>
      </c>
      <c r="E2271" s="18" t="s">
        <v>28</v>
      </c>
      <c r="F2271" s="19" t="s">
        <v>28</v>
      </c>
      <c r="G2271" s="19">
        <v>0.19</v>
      </c>
      <c r="H2271" s="19">
        <v>6.35</v>
      </c>
      <c r="I2271" s="18" t="s">
        <v>28</v>
      </c>
      <c r="J2271" s="18" t="s">
        <v>28</v>
      </c>
      <c r="K2271" s="18" t="s">
        <v>28</v>
      </c>
      <c r="L2271" s="18" t="s">
        <v>28</v>
      </c>
      <c r="M2271" s="18" t="s">
        <v>28</v>
      </c>
      <c r="N2271" s="17">
        <v>44927</v>
      </c>
      <c r="O2271" s="15" t="s">
        <v>52</v>
      </c>
      <c r="P2271" s="16" t="s">
        <v>3869</v>
      </c>
      <c r="Q2271" s="15" t="s">
        <v>75</v>
      </c>
      <c r="R2271" s="13" t="str">
        <f>HYPERLINK("https://my.pitchbook.com?c=263286-91T","View Company Online")</f>
        <v>View Company Online</v>
      </c>
    </row>
    <row r="2272" spans="1:18" hidden="1" x14ac:dyDescent="0.3">
      <c r="A2272" s="9" t="s">
        <v>7819</v>
      </c>
      <c r="B2272" s="9" t="s">
        <v>7820</v>
      </c>
      <c r="C2272" s="11" t="s">
        <v>28</v>
      </c>
      <c r="D2272" s="9" t="s">
        <v>7821</v>
      </c>
      <c r="E2272" s="11" t="s">
        <v>28</v>
      </c>
      <c r="F2272" s="10" t="s">
        <v>28</v>
      </c>
      <c r="G2272" s="10" t="s">
        <v>28</v>
      </c>
      <c r="H2272" s="10" t="s">
        <v>28</v>
      </c>
      <c r="I2272" s="11" t="s">
        <v>28</v>
      </c>
      <c r="J2272" s="11" t="s">
        <v>28</v>
      </c>
      <c r="K2272" s="11" t="s">
        <v>28</v>
      </c>
      <c r="L2272" s="11" t="s">
        <v>28</v>
      </c>
      <c r="M2272" s="11" t="s">
        <v>28</v>
      </c>
      <c r="N2272" s="8">
        <v>44927</v>
      </c>
      <c r="O2272" s="9" t="s">
        <v>52</v>
      </c>
      <c r="P2272" s="12" t="s">
        <v>1970</v>
      </c>
      <c r="Q2272" s="9" t="s">
        <v>75</v>
      </c>
      <c r="R2272" s="14" t="str">
        <f>HYPERLINK("https://my.pitchbook.com?c=295747-84T","View Company Online")</f>
        <v>View Company Online</v>
      </c>
    </row>
    <row r="2273" spans="1:18" hidden="1" x14ac:dyDescent="0.3">
      <c r="A2273" s="15" t="s">
        <v>7822</v>
      </c>
      <c r="B2273" s="15" t="s">
        <v>7820</v>
      </c>
      <c r="C2273" s="18" t="s">
        <v>28</v>
      </c>
      <c r="D2273" s="15" t="s">
        <v>7821</v>
      </c>
      <c r="E2273" s="18" t="s">
        <v>28</v>
      </c>
      <c r="F2273" s="19" t="s">
        <v>28</v>
      </c>
      <c r="G2273" s="19" t="s">
        <v>28</v>
      </c>
      <c r="H2273" s="19" t="s">
        <v>28</v>
      </c>
      <c r="I2273" s="18" t="s">
        <v>28</v>
      </c>
      <c r="J2273" s="18" t="s">
        <v>28</v>
      </c>
      <c r="K2273" s="18" t="s">
        <v>28</v>
      </c>
      <c r="L2273" s="18" t="s">
        <v>28</v>
      </c>
      <c r="M2273" s="18" t="s">
        <v>28</v>
      </c>
      <c r="N2273" s="17">
        <v>44927</v>
      </c>
      <c r="O2273" s="15" t="s">
        <v>52</v>
      </c>
      <c r="P2273" s="16" t="s">
        <v>7823</v>
      </c>
      <c r="Q2273" s="15" t="s">
        <v>75</v>
      </c>
      <c r="R2273" s="13" t="str">
        <f>HYPERLINK("https://my.pitchbook.com?c=295752-97T","View Company Online")</f>
        <v>View Company Online</v>
      </c>
    </row>
    <row r="2274" spans="1:18" hidden="1" x14ac:dyDescent="0.3">
      <c r="A2274" s="9" t="s">
        <v>7824</v>
      </c>
      <c r="B2274" s="9" t="s">
        <v>834</v>
      </c>
      <c r="C2274" s="11" t="s">
        <v>28</v>
      </c>
      <c r="D2274" s="9" t="s">
        <v>835</v>
      </c>
      <c r="E2274" s="11" t="s">
        <v>28</v>
      </c>
      <c r="F2274" s="10" t="s">
        <v>28</v>
      </c>
      <c r="G2274" s="10" t="s">
        <v>28</v>
      </c>
      <c r="H2274" s="10" t="s">
        <v>28</v>
      </c>
      <c r="I2274" s="11" t="s">
        <v>28</v>
      </c>
      <c r="J2274" s="11" t="s">
        <v>28</v>
      </c>
      <c r="K2274" s="11" t="s">
        <v>28</v>
      </c>
      <c r="L2274" s="11" t="s">
        <v>28</v>
      </c>
      <c r="M2274" s="11" t="s">
        <v>28</v>
      </c>
      <c r="N2274" s="8">
        <v>44927</v>
      </c>
      <c r="O2274" s="9" t="s">
        <v>52</v>
      </c>
      <c r="P2274" s="12" t="s">
        <v>1662</v>
      </c>
      <c r="Q2274" s="9" t="s">
        <v>75</v>
      </c>
      <c r="R2274" s="14" t="str">
        <f>HYPERLINK("https://my.pitchbook.com?c=270462-07T","View Company Online")</f>
        <v>View Company Online</v>
      </c>
    </row>
    <row r="2275" spans="1:18" hidden="1" x14ac:dyDescent="0.3">
      <c r="A2275" s="15" t="s">
        <v>7825</v>
      </c>
      <c r="B2275" s="15" t="s">
        <v>7826</v>
      </c>
      <c r="C2275" s="18" t="s">
        <v>28</v>
      </c>
      <c r="D2275" s="15" t="s">
        <v>7827</v>
      </c>
      <c r="E2275" s="18" t="s">
        <v>28</v>
      </c>
      <c r="F2275" s="19" t="s">
        <v>28</v>
      </c>
      <c r="G2275" s="19" t="s">
        <v>28</v>
      </c>
      <c r="H2275" s="19" t="s">
        <v>28</v>
      </c>
      <c r="I2275" s="18" t="s">
        <v>28</v>
      </c>
      <c r="J2275" s="18" t="s">
        <v>28</v>
      </c>
      <c r="K2275" s="18" t="s">
        <v>28</v>
      </c>
      <c r="L2275" s="18" t="s">
        <v>28</v>
      </c>
      <c r="M2275" s="18" t="s">
        <v>28</v>
      </c>
      <c r="N2275" s="17">
        <v>44927</v>
      </c>
      <c r="O2275" s="15" t="s">
        <v>52</v>
      </c>
      <c r="P2275" s="16" t="s">
        <v>1970</v>
      </c>
      <c r="Q2275" s="15" t="s">
        <v>37</v>
      </c>
      <c r="R2275" s="13" t="str">
        <f>HYPERLINK("https://my.pitchbook.com?c=295708-06T","View Company Online")</f>
        <v>View Company Online</v>
      </c>
    </row>
    <row r="2276" spans="1:18" hidden="1" x14ac:dyDescent="0.3">
      <c r="A2276" s="9" t="s">
        <v>7828</v>
      </c>
      <c r="B2276" s="9" t="s">
        <v>7829</v>
      </c>
      <c r="C2276" s="11" t="s">
        <v>28</v>
      </c>
      <c r="D2276" s="9" t="s">
        <v>7830</v>
      </c>
      <c r="E2276" s="11" t="s">
        <v>28</v>
      </c>
      <c r="F2276" s="10" t="s">
        <v>28</v>
      </c>
      <c r="G2276" s="10" t="s">
        <v>28</v>
      </c>
      <c r="H2276" s="10" t="s">
        <v>28</v>
      </c>
      <c r="I2276" s="11" t="s">
        <v>28</v>
      </c>
      <c r="J2276" s="11" t="s">
        <v>28</v>
      </c>
      <c r="K2276" s="11" t="s">
        <v>28</v>
      </c>
      <c r="L2276" s="11" t="s">
        <v>28</v>
      </c>
      <c r="M2276" s="11" t="s">
        <v>28</v>
      </c>
      <c r="N2276" s="8">
        <v>44927</v>
      </c>
      <c r="O2276" s="9" t="s">
        <v>30</v>
      </c>
      <c r="P2276" s="12" t="s">
        <v>7831</v>
      </c>
      <c r="Q2276" s="9" t="s">
        <v>245</v>
      </c>
      <c r="R2276" s="14" t="str">
        <f>HYPERLINK("https://my.pitchbook.com?c=234297-10T","View Company Online")</f>
        <v>View Company Online</v>
      </c>
    </row>
    <row r="2277" spans="1:18" hidden="1" x14ac:dyDescent="0.3">
      <c r="A2277" s="15" t="s">
        <v>7832</v>
      </c>
      <c r="B2277" s="15" t="s">
        <v>7833</v>
      </c>
      <c r="C2277" s="18" t="s">
        <v>28</v>
      </c>
      <c r="D2277" s="15" t="s">
        <v>7834</v>
      </c>
      <c r="E2277" s="18" t="s">
        <v>28</v>
      </c>
      <c r="F2277" s="19" t="s">
        <v>28</v>
      </c>
      <c r="G2277" s="19" t="s">
        <v>28</v>
      </c>
      <c r="H2277" s="19" t="s">
        <v>28</v>
      </c>
      <c r="I2277" s="18" t="s">
        <v>28</v>
      </c>
      <c r="J2277" s="18" t="s">
        <v>28</v>
      </c>
      <c r="K2277" s="18" t="s">
        <v>28</v>
      </c>
      <c r="L2277" s="18" t="s">
        <v>28</v>
      </c>
      <c r="M2277" s="18" t="s">
        <v>28</v>
      </c>
      <c r="N2277" s="17">
        <v>44927</v>
      </c>
      <c r="O2277" s="15" t="s">
        <v>52</v>
      </c>
      <c r="P2277" s="16" t="s">
        <v>1970</v>
      </c>
      <c r="Q2277" s="15" t="s">
        <v>1179</v>
      </c>
      <c r="R2277" s="13" t="str">
        <f>HYPERLINK("https://my.pitchbook.com?c=295564-15T","View Company Online")</f>
        <v>View Company Online</v>
      </c>
    </row>
    <row r="2278" spans="1:18" hidden="1" x14ac:dyDescent="0.3">
      <c r="A2278" s="9" t="s">
        <v>7835</v>
      </c>
      <c r="B2278" s="9" t="s">
        <v>7836</v>
      </c>
      <c r="C2278" s="11" t="s">
        <v>28</v>
      </c>
      <c r="D2278" s="9" t="s">
        <v>7837</v>
      </c>
      <c r="E2278" s="11" t="s">
        <v>28</v>
      </c>
      <c r="F2278" s="10" t="s">
        <v>28</v>
      </c>
      <c r="G2278" s="10" t="s">
        <v>28</v>
      </c>
      <c r="H2278" s="10" t="s">
        <v>28</v>
      </c>
      <c r="I2278" s="11" t="s">
        <v>28</v>
      </c>
      <c r="J2278" s="11" t="s">
        <v>28</v>
      </c>
      <c r="K2278" s="11" t="s">
        <v>28</v>
      </c>
      <c r="L2278" s="11" t="s">
        <v>28</v>
      </c>
      <c r="M2278" s="11" t="s">
        <v>28</v>
      </c>
      <c r="N2278" s="8">
        <v>44927</v>
      </c>
      <c r="O2278" s="9" t="s">
        <v>52</v>
      </c>
      <c r="P2278" s="12" t="s">
        <v>1651</v>
      </c>
      <c r="Q2278" s="9" t="s">
        <v>75</v>
      </c>
      <c r="R2278" s="14" t="str">
        <f>HYPERLINK("https://my.pitchbook.com?c=301061-08T","View Company Online")</f>
        <v>View Company Online</v>
      </c>
    </row>
    <row r="2279" spans="1:18" hidden="1" x14ac:dyDescent="0.3">
      <c r="A2279" s="15" t="s">
        <v>7838</v>
      </c>
      <c r="B2279" s="15" t="s">
        <v>7839</v>
      </c>
      <c r="C2279" s="18" t="s">
        <v>28</v>
      </c>
      <c r="D2279" s="15" t="s">
        <v>7840</v>
      </c>
      <c r="E2279" s="18" t="s">
        <v>28</v>
      </c>
      <c r="F2279" s="19" t="s">
        <v>28</v>
      </c>
      <c r="G2279" s="19" t="s">
        <v>28</v>
      </c>
      <c r="H2279" s="19" t="s">
        <v>28</v>
      </c>
      <c r="I2279" s="18" t="s">
        <v>28</v>
      </c>
      <c r="J2279" s="18" t="s">
        <v>28</v>
      </c>
      <c r="K2279" s="18" t="s">
        <v>28</v>
      </c>
      <c r="L2279" s="18" t="s">
        <v>28</v>
      </c>
      <c r="M2279" s="18" t="s">
        <v>28</v>
      </c>
      <c r="N2279" s="17">
        <v>44927</v>
      </c>
      <c r="O2279" s="15" t="s">
        <v>52</v>
      </c>
      <c r="P2279" s="16" t="s">
        <v>1970</v>
      </c>
      <c r="Q2279" s="15" t="s">
        <v>880</v>
      </c>
      <c r="R2279" s="13" t="str">
        <f>HYPERLINK("https://my.pitchbook.com?c=295941-61T","View Company Online")</f>
        <v>View Company Online</v>
      </c>
    </row>
    <row r="2280" spans="1:18" hidden="1" x14ac:dyDescent="0.3">
      <c r="A2280" s="9" t="s">
        <v>7841</v>
      </c>
      <c r="B2280" s="9" t="s">
        <v>7842</v>
      </c>
      <c r="C2280" s="11" t="s">
        <v>28</v>
      </c>
      <c r="D2280" s="9" t="s">
        <v>7843</v>
      </c>
      <c r="E2280" s="11" t="s">
        <v>28</v>
      </c>
      <c r="F2280" s="10" t="s">
        <v>28</v>
      </c>
      <c r="G2280" s="10" t="s">
        <v>28</v>
      </c>
      <c r="H2280" s="10" t="s">
        <v>28</v>
      </c>
      <c r="I2280" s="11" t="s">
        <v>28</v>
      </c>
      <c r="J2280" s="11" t="s">
        <v>28</v>
      </c>
      <c r="K2280" s="11" t="s">
        <v>28</v>
      </c>
      <c r="L2280" s="11" t="s">
        <v>28</v>
      </c>
      <c r="M2280" s="11" t="s">
        <v>28</v>
      </c>
      <c r="N2280" s="8">
        <v>44927</v>
      </c>
      <c r="O2280" s="9" t="s">
        <v>52</v>
      </c>
      <c r="P2280" s="12" t="s">
        <v>2830</v>
      </c>
      <c r="Q2280" s="9" t="s">
        <v>75</v>
      </c>
      <c r="R2280" s="14" t="str">
        <f>HYPERLINK("https://my.pitchbook.com?c=292853-89T","View Company Online")</f>
        <v>View Company Online</v>
      </c>
    </row>
    <row r="2281" spans="1:18" hidden="1" x14ac:dyDescent="0.3">
      <c r="A2281" s="15" t="s">
        <v>7844</v>
      </c>
      <c r="B2281" s="15" t="s">
        <v>7845</v>
      </c>
      <c r="C2281" s="18" t="s">
        <v>28</v>
      </c>
      <c r="D2281" s="15" t="s">
        <v>7846</v>
      </c>
      <c r="E2281" s="18" t="s">
        <v>28</v>
      </c>
      <c r="F2281" s="19" t="s">
        <v>28</v>
      </c>
      <c r="G2281" s="19" t="s">
        <v>28</v>
      </c>
      <c r="H2281" s="19" t="s">
        <v>28</v>
      </c>
      <c r="I2281" s="18" t="s">
        <v>28</v>
      </c>
      <c r="J2281" s="18" t="s">
        <v>28</v>
      </c>
      <c r="K2281" s="18" t="s">
        <v>28</v>
      </c>
      <c r="L2281" s="18" t="s">
        <v>28</v>
      </c>
      <c r="M2281" s="18" t="s">
        <v>28</v>
      </c>
      <c r="N2281" s="17">
        <v>44927</v>
      </c>
      <c r="O2281" s="15" t="s">
        <v>79</v>
      </c>
      <c r="P2281" s="16" t="s">
        <v>7847</v>
      </c>
      <c r="Q2281" s="15" t="s">
        <v>583</v>
      </c>
      <c r="R2281" s="13" t="str">
        <f>HYPERLINK("https://my.pitchbook.com?c=285696-46T","View Company Online")</f>
        <v>View Company Online</v>
      </c>
    </row>
    <row r="2282" spans="1:18" hidden="1" x14ac:dyDescent="0.3">
      <c r="A2282" s="9" t="s">
        <v>7848</v>
      </c>
      <c r="B2282" s="9" t="s">
        <v>7849</v>
      </c>
      <c r="C2282" s="11" t="s">
        <v>28</v>
      </c>
      <c r="D2282" s="9" t="s">
        <v>7850</v>
      </c>
      <c r="E2282" s="11" t="s">
        <v>28</v>
      </c>
      <c r="F2282" s="10" t="s">
        <v>28</v>
      </c>
      <c r="G2282" s="10" t="s">
        <v>28</v>
      </c>
      <c r="H2282" s="10" t="s">
        <v>28</v>
      </c>
      <c r="I2282" s="11" t="s">
        <v>28</v>
      </c>
      <c r="J2282" s="11" t="s">
        <v>28</v>
      </c>
      <c r="K2282" s="11" t="s">
        <v>28</v>
      </c>
      <c r="L2282" s="11" t="s">
        <v>28</v>
      </c>
      <c r="M2282" s="11" t="s">
        <v>28</v>
      </c>
      <c r="N2282" s="8">
        <v>44927</v>
      </c>
      <c r="O2282" s="9" t="s">
        <v>52</v>
      </c>
      <c r="P2282" s="12" t="s">
        <v>2830</v>
      </c>
      <c r="Q2282" s="9" t="s">
        <v>316</v>
      </c>
      <c r="R2282" s="14" t="str">
        <f>HYPERLINK("https://my.pitchbook.com?c=292724-83T","View Company Online")</f>
        <v>View Company Online</v>
      </c>
    </row>
    <row r="2283" spans="1:18" hidden="1" x14ac:dyDescent="0.3">
      <c r="A2283" s="15" t="s">
        <v>7851</v>
      </c>
      <c r="B2283" s="15" t="s">
        <v>488</v>
      </c>
      <c r="C2283" s="18" t="s">
        <v>28</v>
      </c>
      <c r="D2283" s="15" t="s">
        <v>489</v>
      </c>
      <c r="E2283" s="18" t="s">
        <v>28</v>
      </c>
      <c r="F2283" s="19" t="s">
        <v>28</v>
      </c>
      <c r="G2283" s="19" t="s">
        <v>28</v>
      </c>
      <c r="H2283" s="19" t="s">
        <v>28</v>
      </c>
      <c r="I2283" s="18" t="s">
        <v>28</v>
      </c>
      <c r="J2283" s="18" t="s">
        <v>28</v>
      </c>
      <c r="K2283" s="18" t="s">
        <v>28</v>
      </c>
      <c r="L2283" s="18" t="s">
        <v>28</v>
      </c>
      <c r="M2283" s="18" t="s">
        <v>28</v>
      </c>
      <c r="N2283" s="17">
        <v>44927</v>
      </c>
      <c r="O2283" s="15" t="s">
        <v>52</v>
      </c>
      <c r="P2283" s="16" t="s">
        <v>1970</v>
      </c>
      <c r="Q2283" s="15" t="s">
        <v>386</v>
      </c>
      <c r="R2283" s="13" t="str">
        <f>HYPERLINK("https://my.pitchbook.com?c=261529-84T","View Company Online")</f>
        <v>View Company Online</v>
      </c>
    </row>
    <row r="2284" spans="1:18" hidden="1" x14ac:dyDescent="0.3">
      <c r="A2284" s="9" t="s">
        <v>7852</v>
      </c>
      <c r="B2284" s="9" t="s">
        <v>7853</v>
      </c>
      <c r="C2284" s="11" t="s">
        <v>28</v>
      </c>
      <c r="D2284" s="9" t="s">
        <v>7854</v>
      </c>
      <c r="E2284" s="11" t="s">
        <v>28</v>
      </c>
      <c r="F2284" s="10" t="s">
        <v>28</v>
      </c>
      <c r="G2284" s="10" t="s">
        <v>28</v>
      </c>
      <c r="H2284" s="10" t="s">
        <v>28</v>
      </c>
      <c r="I2284" s="11" t="s">
        <v>28</v>
      </c>
      <c r="J2284" s="11" t="s">
        <v>28</v>
      </c>
      <c r="K2284" s="11" t="s">
        <v>28</v>
      </c>
      <c r="L2284" s="11" t="s">
        <v>28</v>
      </c>
      <c r="M2284" s="11" t="s">
        <v>28</v>
      </c>
      <c r="N2284" s="8">
        <v>44927</v>
      </c>
      <c r="O2284" s="9" t="s">
        <v>41</v>
      </c>
      <c r="P2284" s="12" t="s">
        <v>7855</v>
      </c>
      <c r="Q2284" s="9" t="s">
        <v>114</v>
      </c>
      <c r="R2284" s="14" t="str">
        <f>HYPERLINK("https://my.pitchbook.com?c=219016-72T","View Company Online")</f>
        <v>View Company Online</v>
      </c>
    </row>
    <row r="2285" spans="1:18" hidden="1" x14ac:dyDescent="0.3">
      <c r="A2285" s="15" t="s">
        <v>7856</v>
      </c>
      <c r="B2285" s="15" t="s">
        <v>7857</v>
      </c>
      <c r="C2285" s="18" t="s">
        <v>28</v>
      </c>
      <c r="D2285" s="15" t="s">
        <v>7858</v>
      </c>
      <c r="E2285" s="18" t="s">
        <v>28</v>
      </c>
      <c r="F2285" s="19" t="s">
        <v>28</v>
      </c>
      <c r="G2285" s="19" t="s">
        <v>28</v>
      </c>
      <c r="H2285" s="19" t="s">
        <v>28</v>
      </c>
      <c r="I2285" s="18" t="s">
        <v>28</v>
      </c>
      <c r="J2285" s="18" t="s">
        <v>28</v>
      </c>
      <c r="K2285" s="18" t="s">
        <v>28</v>
      </c>
      <c r="L2285" s="18" t="s">
        <v>28</v>
      </c>
      <c r="M2285" s="18" t="s">
        <v>28</v>
      </c>
      <c r="N2285" s="17">
        <v>44927</v>
      </c>
      <c r="O2285" s="15" t="s">
        <v>79</v>
      </c>
      <c r="P2285" s="16" t="s">
        <v>7859</v>
      </c>
      <c r="Q2285" s="15" t="s">
        <v>583</v>
      </c>
      <c r="R2285" s="13" t="str">
        <f>HYPERLINK("https://my.pitchbook.com?c=215615-44T","View Company Online")</f>
        <v>View Company Online</v>
      </c>
    </row>
    <row r="2286" spans="1:18" hidden="1" x14ac:dyDescent="0.3">
      <c r="A2286" s="9" t="s">
        <v>7860</v>
      </c>
      <c r="B2286" s="9" t="s">
        <v>7861</v>
      </c>
      <c r="C2286" s="11" t="s">
        <v>28</v>
      </c>
      <c r="D2286" s="9" t="s">
        <v>7862</v>
      </c>
      <c r="E2286" s="11" t="s">
        <v>28</v>
      </c>
      <c r="F2286" s="10" t="s">
        <v>28</v>
      </c>
      <c r="G2286" s="10" t="s">
        <v>28</v>
      </c>
      <c r="H2286" s="10" t="s">
        <v>28</v>
      </c>
      <c r="I2286" s="11" t="s">
        <v>28</v>
      </c>
      <c r="J2286" s="11" t="s">
        <v>28</v>
      </c>
      <c r="K2286" s="11" t="s">
        <v>28</v>
      </c>
      <c r="L2286" s="11" t="s">
        <v>28</v>
      </c>
      <c r="M2286" s="11" t="s">
        <v>28</v>
      </c>
      <c r="N2286" s="8">
        <v>44927</v>
      </c>
      <c r="O2286" s="9" t="s">
        <v>52</v>
      </c>
      <c r="P2286" s="12" t="s">
        <v>1970</v>
      </c>
      <c r="Q2286" s="9" t="s">
        <v>880</v>
      </c>
      <c r="R2286" s="14" t="str">
        <f>HYPERLINK("https://my.pitchbook.com?c=295939-81T","View Company Online")</f>
        <v>View Company Online</v>
      </c>
    </row>
    <row r="2287" spans="1:18" hidden="1" x14ac:dyDescent="0.3">
      <c r="A2287" s="15" t="s">
        <v>7863</v>
      </c>
      <c r="B2287" s="15" t="s">
        <v>7864</v>
      </c>
      <c r="C2287" s="18" t="s">
        <v>28</v>
      </c>
      <c r="D2287" s="15" t="s">
        <v>7865</v>
      </c>
      <c r="E2287" s="18" t="s">
        <v>28</v>
      </c>
      <c r="F2287" s="19" t="s">
        <v>28</v>
      </c>
      <c r="G2287" s="19" t="s">
        <v>28</v>
      </c>
      <c r="H2287" s="19" t="s">
        <v>28</v>
      </c>
      <c r="I2287" s="18" t="s">
        <v>28</v>
      </c>
      <c r="J2287" s="18" t="s">
        <v>28</v>
      </c>
      <c r="K2287" s="18" t="s">
        <v>28</v>
      </c>
      <c r="L2287" s="18" t="s">
        <v>28</v>
      </c>
      <c r="M2287" s="18" t="s">
        <v>28</v>
      </c>
      <c r="N2287" s="17">
        <v>44927</v>
      </c>
      <c r="O2287" s="15" t="s">
        <v>52</v>
      </c>
      <c r="P2287" s="16" t="s">
        <v>28</v>
      </c>
      <c r="Q2287" s="15" t="s">
        <v>95</v>
      </c>
      <c r="R2287" s="13" t="str">
        <f>HYPERLINK("https://my.pitchbook.com?c=295291-36T","View Company Online")</f>
        <v>View Company Online</v>
      </c>
    </row>
    <row r="2288" spans="1:18" hidden="1" x14ac:dyDescent="0.3">
      <c r="A2288" s="9" t="s">
        <v>7866</v>
      </c>
      <c r="B2288" s="9" t="s">
        <v>7867</v>
      </c>
      <c r="C2288" s="11" t="s">
        <v>28</v>
      </c>
      <c r="D2288" s="9" t="s">
        <v>7868</v>
      </c>
      <c r="E2288" s="11" t="s">
        <v>28</v>
      </c>
      <c r="F2288" s="10" t="s">
        <v>28</v>
      </c>
      <c r="G2288" s="10" t="s">
        <v>28</v>
      </c>
      <c r="H2288" s="10" t="s">
        <v>28</v>
      </c>
      <c r="I2288" s="11" t="s">
        <v>28</v>
      </c>
      <c r="J2288" s="11" t="s">
        <v>28</v>
      </c>
      <c r="K2288" s="11" t="s">
        <v>28</v>
      </c>
      <c r="L2288" s="11" t="s">
        <v>28</v>
      </c>
      <c r="M2288" s="11" t="s">
        <v>28</v>
      </c>
      <c r="N2288" s="8">
        <v>44927</v>
      </c>
      <c r="O2288" s="9" t="s">
        <v>79</v>
      </c>
      <c r="P2288" s="12" t="s">
        <v>7869</v>
      </c>
      <c r="Q2288" s="9" t="s">
        <v>75</v>
      </c>
      <c r="R2288" s="14" t="str">
        <f>HYPERLINK("https://my.pitchbook.com?c=250995-43T","View Company Online")</f>
        <v>View Company Online</v>
      </c>
    </row>
    <row r="2289" spans="1:18" hidden="1" x14ac:dyDescent="0.3">
      <c r="A2289" s="15" t="s">
        <v>7870</v>
      </c>
      <c r="B2289" s="15" t="s">
        <v>2775</v>
      </c>
      <c r="C2289" s="18" t="s">
        <v>28</v>
      </c>
      <c r="D2289" s="15" t="s">
        <v>2776</v>
      </c>
      <c r="E2289" s="18" t="s">
        <v>28</v>
      </c>
      <c r="F2289" s="19" t="s">
        <v>28</v>
      </c>
      <c r="G2289" s="19" t="s">
        <v>28</v>
      </c>
      <c r="H2289" s="19" t="s">
        <v>28</v>
      </c>
      <c r="I2289" s="18" t="s">
        <v>28</v>
      </c>
      <c r="J2289" s="18" t="s">
        <v>28</v>
      </c>
      <c r="K2289" s="18" t="s">
        <v>28</v>
      </c>
      <c r="L2289" s="18" t="s">
        <v>28</v>
      </c>
      <c r="M2289" s="18" t="s">
        <v>28</v>
      </c>
      <c r="N2289" s="17">
        <v>44927</v>
      </c>
      <c r="O2289" s="15" t="s">
        <v>41</v>
      </c>
      <c r="P2289" s="16" t="s">
        <v>7871</v>
      </c>
      <c r="Q2289" s="15" t="s">
        <v>54</v>
      </c>
      <c r="R2289" s="13" t="str">
        <f>HYPERLINK("https://my.pitchbook.com?c=234283-96T","View Company Online")</f>
        <v>View Company Online</v>
      </c>
    </row>
    <row r="2290" spans="1:18" hidden="1" x14ac:dyDescent="0.3">
      <c r="A2290" s="9" t="s">
        <v>7872</v>
      </c>
      <c r="B2290" s="9" t="s">
        <v>7873</v>
      </c>
      <c r="C2290" s="11" t="s">
        <v>28</v>
      </c>
      <c r="D2290" s="9" t="s">
        <v>7874</v>
      </c>
      <c r="E2290" s="11" t="s">
        <v>28</v>
      </c>
      <c r="F2290" s="10" t="s">
        <v>28</v>
      </c>
      <c r="G2290" s="10" t="s">
        <v>28</v>
      </c>
      <c r="H2290" s="10" t="s">
        <v>28</v>
      </c>
      <c r="I2290" s="11" t="s">
        <v>28</v>
      </c>
      <c r="J2290" s="11" t="s">
        <v>28</v>
      </c>
      <c r="K2290" s="11" t="s">
        <v>28</v>
      </c>
      <c r="L2290" s="11" t="s">
        <v>28</v>
      </c>
      <c r="M2290" s="11" t="s">
        <v>28</v>
      </c>
      <c r="N2290" s="8">
        <v>44927</v>
      </c>
      <c r="O2290" s="9" t="s">
        <v>52</v>
      </c>
      <c r="P2290" s="12" t="s">
        <v>1970</v>
      </c>
      <c r="Q2290" s="9" t="s">
        <v>362</v>
      </c>
      <c r="R2290" s="14" t="str">
        <f>HYPERLINK("https://my.pitchbook.com?c=295337-80T","View Company Online")</f>
        <v>View Company Online</v>
      </c>
    </row>
    <row r="2291" spans="1:18" hidden="1" x14ac:dyDescent="0.3">
      <c r="A2291" s="15" t="s">
        <v>7875</v>
      </c>
      <c r="B2291" s="15" t="s">
        <v>7876</v>
      </c>
      <c r="C2291" s="18" t="s">
        <v>28</v>
      </c>
      <c r="D2291" s="15" t="s">
        <v>7877</v>
      </c>
      <c r="E2291" s="18" t="s">
        <v>28</v>
      </c>
      <c r="F2291" s="19" t="s">
        <v>28</v>
      </c>
      <c r="G2291" s="19" t="s">
        <v>28</v>
      </c>
      <c r="H2291" s="19" t="s">
        <v>28</v>
      </c>
      <c r="I2291" s="18" t="s">
        <v>28</v>
      </c>
      <c r="J2291" s="18" t="s">
        <v>28</v>
      </c>
      <c r="K2291" s="18" t="s">
        <v>28</v>
      </c>
      <c r="L2291" s="18" t="s">
        <v>28</v>
      </c>
      <c r="M2291" s="18" t="s">
        <v>28</v>
      </c>
      <c r="N2291" s="17">
        <v>44927</v>
      </c>
      <c r="O2291" s="15" t="s">
        <v>73</v>
      </c>
      <c r="P2291" s="16" t="s">
        <v>7878</v>
      </c>
      <c r="Q2291" s="15" t="s">
        <v>740</v>
      </c>
      <c r="R2291" s="13" t="str">
        <f>HYPERLINK("https://my.pitchbook.com?c=224706-61T","View Company Online")</f>
        <v>View Company Online</v>
      </c>
    </row>
    <row r="2292" spans="1:18" hidden="1" x14ac:dyDescent="0.3">
      <c r="A2292" s="9" t="s">
        <v>7879</v>
      </c>
      <c r="B2292" s="9" t="s">
        <v>7880</v>
      </c>
      <c r="C2292" s="11" t="s">
        <v>28</v>
      </c>
      <c r="D2292" s="9" t="s">
        <v>7881</v>
      </c>
      <c r="E2292" s="11" t="s">
        <v>28</v>
      </c>
      <c r="F2292" s="10" t="s">
        <v>28</v>
      </c>
      <c r="G2292" s="10" t="s">
        <v>28</v>
      </c>
      <c r="H2292" s="10" t="s">
        <v>28</v>
      </c>
      <c r="I2292" s="11" t="s">
        <v>28</v>
      </c>
      <c r="J2292" s="11" t="s">
        <v>28</v>
      </c>
      <c r="K2292" s="11" t="s">
        <v>28</v>
      </c>
      <c r="L2292" s="11" t="s">
        <v>28</v>
      </c>
      <c r="M2292" s="11" t="s">
        <v>28</v>
      </c>
      <c r="N2292" s="8">
        <v>44927</v>
      </c>
      <c r="O2292" s="9" t="s">
        <v>52</v>
      </c>
      <c r="P2292" s="12" t="s">
        <v>1970</v>
      </c>
      <c r="Q2292" s="9" t="s">
        <v>75</v>
      </c>
      <c r="R2292" s="14" t="str">
        <f>HYPERLINK("https://my.pitchbook.com?c=295294-96T","View Company Online")</f>
        <v>View Company Online</v>
      </c>
    </row>
    <row r="2293" spans="1:18" hidden="1" x14ac:dyDescent="0.3">
      <c r="A2293" s="15" t="s">
        <v>7882</v>
      </c>
      <c r="B2293" s="15" t="s">
        <v>1211</v>
      </c>
      <c r="C2293" s="18" t="s">
        <v>28</v>
      </c>
      <c r="D2293" s="15" t="s">
        <v>1212</v>
      </c>
      <c r="E2293" s="18" t="s">
        <v>28</v>
      </c>
      <c r="F2293" s="19" t="s">
        <v>28</v>
      </c>
      <c r="G2293" s="19" t="s">
        <v>28</v>
      </c>
      <c r="H2293" s="19" t="s">
        <v>28</v>
      </c>
      <c r="I2293" s="18" t="s">
        <v>28</v>
      </c>
      <c r="J2293" s="18" t="s">
        <v>28</v>
      </c>
      <c r="K2293" s="18" t="s">
        <v>28</v>
      </c>
      <c r="L2293" s="18" t="s">
        <v>28</v>
      </c>
      <c r="M2293" s="18" t="s">
        <v>28</v>
      </c>
      <c r="N2293" s="17">
        <v>44927</v>
      </c>
      <c r="O2293" s="15" t="s">
        <v>52</v>
      </c>
      <c r="P2293" s="16" t="s">
        <v>1662</v>
      </c>
      <c r="Q2293" s="15" t="s">
        <v>1213</v>
      </c>
      <c r="R2293" s="13" t="str">
        <f>HYPERLINK("https://my.pitchbook.com?c=269781-13T","View Company Online")</f>
        <v>View Company Online</v>
      </c>
    </row>
    <row r="2294" spans="1:18" hidden="1" x14ac:dyDescent="0.3">
      <c r="A2294" s="9" t="s">
        <v>7883</v>
      </c>
      <c r="B2294" s="9" t="s">
        <v>491</v>
      </c>
      <c r="C2294" s="11" t="s">
        <v>28</v>
      </c>
      <c r="D2294" s="9" t="s">
        <v>492</v>
      </c>
      <c r="E2294" s="11" t="s">
        <v>28</v>
      </c>
      <c r="F2294" s="10" t="s">
        <v>28</v>
      </c>
      <c r="G2294" s="10" t="s">
        <v>28</v>
      </c>
      <c r="H2294" s="10" t="s">
        <v>28</v>
      </c>
      <c r="I2294" s="11" t="s">
        <v>28</v>
      </c>
      <c r="J2294" s="11" t="s">
        <v>28</v>
      </c>
      <c r="K2294" s="11" t="s">
        <v>28</v>
      </c>
      <c r="L2294" s="11" t="s">
        <v>28</v>
      </c>
      <c r="M2294" s="11" t="s">
        <v>28</v>
      </c>
      <c r="N2294" s="8">
        <v>44927</v>
      </c>
      <c r="O2294" s="9" t="s">
        <v>379</v>
      </c>
      <c r="P2294" s="12" t="s">
        <v>7884</v>
      </c>
      <c r="Q2294" s="9" t="s">
        <v>75</v>
      </c>
      <c r="R2294" s="14" t="str">
        <f>HYPERLINK("https://my.pitchbook.com?c=279070-03T","View Company Online")</f>
        <v>View Company Online</v>
      </c>
    </row>
    <row r="2295" spans="1:18" hidden="1" x14ac:dyDescent="0.3">
      <c r="A2295" s="15" t="s">
        <v>7885</v>
      </c>
      <c r="B2295" s="15" t="s">
        <v>7886</v>
      </c>
      <c r="C2295" s="18" t="s">
        <v>28</v>
      </c>
      <c r="D2295" s="15" t="s">
        <v>7887</v>
      </c>
      <c r="E2295" s="18" t="s">
        <v>28</v>
      </c>
      <c r="F2295" s="19" t="s">
        <v>28</v>
      </c>
      <c r="G2295" s="19" t="s">
        <v>28</v>
      </c>
      <c r="H2295" s="19" t="s">
        <v>28</v>
      </c>
      <c r="I2295" s="18" t="s">
        <v>28</v>
      </c>
      <c r="J2295" s="18" t="s">
        <v>28</v>
      </c>
      <c r="K2295" s="18" t="s">
        <v>28</v>
      </c>
      <c r="L2295" s="18" t="s">
        <v>28</v>
      </c>
      <c r="M2295" s="18" t="s">
        <v>28</v>
      </c>
      <c r="N2295" s="17">
        <v>44927</v>
      </c>
      <c r="O2295" s="15" t="s">
        <v>52</v>
      </c>
      <c r="P2295" s="16" t="s">
        <v>1970</v>
      </c>
      <c r="Q2295" s="15" t="s">
        <v>419</v>
      </c>
      <c r="R2295" s="13" t="str">
        <f>HYPERLINK("https://my.pitchbook.com?c=295749-91T","View Company Online")</f>
        <v>View Company Online</v>
      </c>
    </row>
    <row r="2296" spans="1:18" hidden="1" x14ac:dyDescent="0.3">
      <c r="A2296" s="9" t="s">
        <v>7888</v>
      </c>
      <c r="B2296" s="9" t="s">
        <v>7889</v>
      </c>
      <c r="C2296" s="11" t="s">
        <v>28</v>
      </c>
      <c r="D2296" s="9" t="s">
        <v>7890</v>
      </c>
      <c r="E2296" s="11" t="s">
        <v>28</v>
      </c>
      <c r="F2296" s="10" t="s">
        <v>28</v>
      </c>
      <c r="G2296" s="10" t="s">
        <v>28</v>
      </c>
      <c r="H2296" s="10" t="s">
        <v>28</v>
      </c>
      <c r="I2296" s="11" t="s">
        <v>28</v>
      </c>
      <c r="J2296" s="11" t="s">
        <v>28</v>
      </c>
      <c r="K2296" s="11" t="s">
        <v>28</v>
      </c>
      <c r="L2296" s="11" t="s">
        <v>28</v>
      </c>
      <c r="M2296" s="11" t="s">
        <v>28</v>
      </c>
      <c r="N2296" s="8">
        <v>44927</v>
      </c>
      <c r="O2296" s="9" t="s">
        <v>52</v>
      </c>
      <c r="P2296" s="12" t="s">
        <v>1970</v>
      </c>
      <c r="Q2296" s="9" t="s">
        <v>75</v>
      </c>
      <c r="R2296" s="14" t="str">
        <f>HYPERLINK("https://my.pitchbook.com?c=265663-90T","View Company Online")</f>
        <v>View Company Online</v>
      </c>
    </row>
    <row r="2297" spans="1:18" hidden="1" x14ac:dyDescent="0.3">
      <c r="A2297" s="15" t="s">
        <v>7891</v>
      </c>
      <c r="B2297" s="15" t="s">
        <v>7892</v>
      </c>
      <c r="C2297" s="18" t="s">
        <v>28</v>
      </c>
      <c r="D2297" s="15" t="s">
        <v>7893</v>
      </c>
      <c r="E2297" s="18" t="s">
        <v>28</v>
      </c>
      <c r="F2297" s="19" t="s">
        <v>28</v>
      </c>
      <c r="G2297" s="19" t="s">
        <v>28</v>
      </c>
      <c r="H2297" s="19" t="s">
        <v>28</v>
      </c>
      <c r="I2297" s="18" t="s">
        <v>28</v>
      </c>
      <c r="J2297" s="18" t="s">
        <v>28</v>
      </c>
      <c r="K2297" s="18" t="s">
        <v>28</v>
      </c>
      <c r="L2297" s="18" t="s">
        <v>28</v>
      </c>
      <c r="M2297" s="18" t="s">
        <v>28</v>
      </c>
      <c r="N2297" s="17">
        <v>44927</v>
      </c>
      <c r="O2297" s="15" t="s">
        <v>52</v>
      </c>
      <c r="P2297" s="16" t="s">
        <v>7894</v>
      </c>
      <c r="Q2297" s="15" t="s">
        <v>855</v>
      </c>
      <c r="R2297" s="13" t="str">
        <f>HYPERLINK("https://my.pitchbook.com?c=278100-46T","View Company Online")</f>
        <v>View Company Online</v>
      </c>
    </row>
    <row r="2298" spans="1:18" hidden="1" x14ac:dyDescent="0.3">
      <c r="A2298" s="9" t="s">
        <v>7895</v>
      </c>
      <c r="B2298" s="9" t="s">
        <v>5989</v>
      </c>
      <c r="C2298" s="11" t="s">
        <v>28</v>
      </c>
      <c r="D2298" s="9" t="s">
        <v>5990</v>
      </c>
      <c r="E2298" s="11" t="s">
        <v>28</v>
      </c>
      <c r="F2298" s="10" t="s">
        <v>28</v>
      </c>
      <c r="G2298" s="10" t="s">
        <v>28</v>
      </c>
      <c r="H2298" s="10" t="s">
        <v>28</v>
      </c>
      <c r="I2298" s="11" t="s">
        <v>28</v>
      </c>
      <c r="J2298" s="11" t="s">
        <v>28</v>
      </c>
      <c r="K2298" s="11" t="s">
        <v>28</v>
      </c>
      <c r="L2298" s="11" t="s">
        <v>28</v>
      </c>
      <c r="M2298" s="11" t="s">
        <v>28</v>
      </c>
      <c r="N2298" s="8">
        <v>44927</v>
      </c>
      <c r="O2298" s="9" t="s">
        <v>52</v>
      </c>
      <c r="P2298" s="12" t="s">
        <v>1662</v>
      </c>
      <c r="Q2298" s="9" t="s">
        <v>75</v>
      </c>
      <c r="R2298" s="14" t="str">
        <f>HYPERLINK("https://my.pitchbook.com?c=270536-59T","View Company Online")</f>
        <v>View Company Online</v>
      </c>
    </row>
    <row r="2299" spans="1:18" hidden="1" x14ac:dyDescent="0.3">
      <c r="A2299" s="15" t="s">
        <v>7896</v>
      </c>
      <c r="B2299" s="15" t="s">
        <v>7897</v>
      </c>
      <c r="C2299" s="18" t="s">
        <v>28</v>
      </c>
      <c r="D2299" s="15" t="s">
        <v>7898</v>
      </c>
      <c r="E2299" s="18" t="s">
        <v>28</v>
      </c>
      <c r="F2299" s="19" t="s">
        <v>28</v>
      </c>
      <c r="G2299" s="19" t="s">
        <v>28</v>
      </c>
      <c r="H2299" s="19" t="s">
        <v>28</v>
      </c>
      <c r="I2299" s="18" t="s">
        <v>28</v>
      </c>
      <c r="J2299" s="18" t="s">
        <v>28</v>
      </c>
      <c r="K2299" s="18" t="s">
        <v>28</v>
      </c>
      <c r="L2299" s="18" t="s">
        <v>28</v>
      </c>
      <c r="M2299" s="18" t="s">
        <v>28</v>
      </c>
      <c r="N2299" s="17">
        <v>44927</v>
      </c>
      <c r="O2299" s="15" t="s">
        <v>52</v>
      </c>
      <c r="P2299" s="16" t="s">
        <v>1970</v>
      </c>
      <c r="Q2299" s="15" t="s">
        <v>75</v>
      </c>
      <c r="R2299" s="13" t="str">
        <f>HYPERLINK("https://my.pitchbook.com?c=295339-51T","View Company Online")</f>
        <v>View Company Online</v>
      </c>
    </row>
    <row r="2300" spans="1:18" hidden="1" x14ac:dyDescent="0.3">
      <c r="A2300" s="9" t="s">
        <v>7899</v>
      </c>
      <c r="B2300" s="9" t="s">
        <v>7900</v>
      </c>
      <c r="C2300" s="11" t="s">
        <v>28</v>
      </c>
      <c r="D2300" s="9" t="s">
        <v>7901</v>
      </c>
      <c r="E2300" s="11" t="s">
        <v>28</v>
      </c>
      <c r="F2300" s="10" t="s">
        <v>28</v>
      </c>
      <c r="G2300" s="10" t="s">
        <v>28</v>
      </c>
      <c r="H2300" s="10" t="s">
        <v>28</v>
      </c>
      <c r="I2300" s="11" t="s">
        <v>28</v>
      </c>
      <c r="J2300" s="11" t="s">
        <v>28</v>
      </c>
      <c r="K2300" s="11" t="s">
        <v>28</v>
      </c>
      <c r="L2300" s="11" t="s">
        <v>28</v>
      </c>
      <c r="M2300" s="11" t="s">
        <v>28</v>
      </c>
      <c r="N2300" s="8">
        <v>44927</v>
      </c>
      <c r="O2300" s="9" t="s">
        <v>52</v>
      </c>
      <c r="P2300" s="12" t="s">
        <v>1970</v>
      </c>
      <c r="Q2300" s="9" t="s">
        <v>75</v>
      </c>
      <c r="R2300" s="14" t="str">
        <f>HYPERLINK("https://my.pitchbook.com?c=265539-07T","View Company Online")</f>
        <v>View Company Online</v>
      </c>
    </row>
    <row r="2301" spans="1:18" hidden="1" x14ac:dyDescent="0.3">
      <c r="A2301" s="15" t="s">
        <v>7902</v>
      </c>
      <c r="B2301" s="15" t="s">
        <v>7903</v>
      </c>
      <c r="C2301" s="18" t="s">
        <v>28</v>
      </c>
      <c r="D2301" s="15" t="s">
        <v>7904</v>
      </c>
      <c r="E2301" s="18" t="s">
        <v>28</v>
      </c>
      <c r="F2301" s="19" t="s">
        <v>28</v>
      </c>
      <c r="G2301" s="19" t="s">
        <v>28</v>
      </c>
      <c r="H2301" s="19" t="s">
        <v>28</v>
      </c>
      <c r="I2301" s="18" t="s">
        <v>28</v>
      </c>
      <c r="J2301" s="18" t="s">
        <v>28</v>
      </c>
      <c r="K2301" s="18" t="s">
        <v>28</v>
      </c>
      <c r="L2301" s="18" t="s">
        <v>28</v>
      </c>
      <c r="M2301" s="18" t="s">
        <v>28</v>
      </c>
      <c r="N2301" s="17">
        <v>44927</v>
      </c>
      <c r="O2301" s="15" t="s">
        <v>52</v>
      </c>
      <c r="P2301" s="16" t="s">
        <v>1970</v>
      </c>
      <c r="Q2301" s="15" t="s">
        <v>119</v>
      </c>
      <c r="R2301" s="13" t="str">
        <f>HYPERLINK("https://my.pitchbook.com?c=295317-28T","View Company Online")</f>
        <v>View Company Online</v>
      </c>
    </row>
    <row r="2302" spans="1:18" hidden="1" x14ac:dyDescent="0.3">
      <c r="A2302" s="9" t="s">
        <v>7905</v>
      </c>
      <c r="B2302" s="9" t="s">
        <v>7231</v>
      </c>
      <c r="C2302" s="11" t="s">
        <v>28</v>
      </c>
      <c r="D2302" s="9" t="s">
        <v>7232</v>
      </c>
      <c r="E2302" s="11" t="s">
        <v>28</v>
      </c>
      <c r="F2302" s="10" t="s">
        <v>28</v>
      </c>
      <c r="G2302" s="10" t="s">
        <v>28</v>
      </c>
      <c r="H2302" s="10" t="s">
        <v>28</v>
      </c>
      <c r="I2302" s="11" t="s">
        <v>28</v>
      </c>
      <c r="J2302" s="11" t="s">
        <v>28</v>
      </c>
      <c r="K2302" s="11" t="s">
        <v>28</v>
      </c>
      <c r="L2302" s="11" t="s">
        <v>28</v>
      </c>
      <c r="M2302" s="11" t="s">
        <v>28</v>
      </c>
      <c r="N2302" s="8">
        <v>44927</v>
      </c>
      <c r="O2302" s="9" t="s">
        <v>52</v>
      </c>
      <c r="P2302" s="12" t="s">
        <v>2830</v>
      </c>
      <c r="Q2302" s="9" t="s">
        <v>114</v>
      </c>
      <c r="R2302" s="14" t="str">
        <f>HYPERLINK("https://my.pitchbook.com?c=264211-93T","View Company Online")</f>
        <v>View Company Online</v>
      </c>
    </row>
    <row r="2303" spans="1:18" hidden="1" x14ac:dyDescent="0.3">
      <c r="A2303" s="15" t="s">
        <v>7906</v>
      </c>
      <c r="B2303" s="15" t="s">
        <v>7907</v>
      </c>
      <c r="C2303" s="18" t="s">
        <v>28</v>
      </c>
      <c r="D2303" s="15" t="s">
        <v>7908</v>
      </c>
      <c r="E2303" s="18" t="s">
        <v>28</v>
      </c>
      <c r="F2303" s="19" t="s">
        <v>28</v>
      </c>
      <c r="G2303" s="19" t="s">
        <v>28</v>
      </c>
      <c r="H2303" s="19" t="s">
        <v>28</v>
      </c>
      <c r="I2303" s="18" t="s">
        <v>28</v>
      </c>
      <c r="J2303" s="18" t="s">
        <v>28</v>
      </c>
      <c r="K2303" s="18" t="s">
        <v>28</v>
      </c>
      <c r="L2303" s="18" t="s">
        <v>28</v>
      </c>
      <c r="M2303" s="18" t="s">
        <v>28</v>
      </c>
      <c r="N2303" s="17">
        <v>44927</v>
      </c>
      <c r="O2303" s="15" t="s">
        <v>52</v>
      </c>
      <c r="P2303" s="16" t="s">
        <v>2830</v>
      </c>
      <c r="Q2303" s="15" t="s">
        <v>75</v>
      </c>
      <c r="R2303" s="13" t="str">
        <f>HYPERLINK("https://my.pitchbook.com?c=278217-10T","View Company Online")</f>
        <v>View Company Online</v>
      </c>
    </row>
    <row r="2304" spans="1:18" hidden="1" x14ac:dyDescent="0.3">
      <c r="A2304" s="9" t="s">
        <v>7909</v>
      </c>
      <c r="B2304" s="9" t="s">
        <v>7910</v>
      </c>
      <c r="C2304" s="11" t="s">
        <v>28</v>
      </c>
      <c r="D2304" s="9" t="s">
        <v>7911</v>
      </c>
      <c r="E2304" s="11" t="s">
        <v>28</v>
      </c>
      <c r="F2304" s="10" t="s">
        <v>28</v>
      </c>
      <c r="G2304" s="10" t="s">
        <v>28</v>
      </c>
      <c r="H2304" s="10" t="s">
        <v>28</v>
      </c>
      <c r="I2304" s="11" t="s">
        <v>28</v>
      </c>
      <c r="J2304" s="11" t="s">
        <v>28</v>
      </c>
      <c r="K2304" s="11" t="s">
        <v>28</v>
      </c>
      <c r="L2304" s="11" t="s">
        <v>28</v>
      </c>
      <c r="M2304" s="11" t="s">
        <v>28</v>
      </c>
      <c r="N2304" s="8">
        <v>44927</v>
      </c>
      <c r="O2304" s="9" t="s">
        <v>30</v>
      </c>
      <c r="P2304" s="12" t="s">
        <v>7912</v>
      </c>
      <c r="Q2304" s="9" t="s">
        <v>7913</v>
      </c>
      <c r="R2304" s="14" t="str">
        <f>HYPERLINK("https://my.pitchbook.com?c=247031-92T","View Company Online")</f>
        <v>View Company Online</v>
      </c>
    </row>
    <row r="2305" spans="1:18" hidden="1" x14ac:dyDescent="0.3">
      <c r="A2305" s="15" t="s">
        <v>7914</v>
      </c>
      <c r="B2305" s="15" t="s">
        <v>7915</v>
      </c>
      <c r="C2305" s="18" t="s">
        <v>28</v>
      </c>
      <c r="D2305" s="15" t="s">
        <v>7916</v>
      </c>
      <c r="E2305" s="18" t="s">
        <v>28</v>
      </c>
      <c r="F2305" s="19" t="s">
        <v>28</v>
      </c>
      <c r="G2305" s="19" t="s">
        <v>28</v>
      </c>
      <c r="H2305" s="19" t="s">
        <v>28</v>
      </c>
      <c r="I2305" s="18" t="s">
        <v>28</v>
      </c>
      <c r="J2305" s="18" t="s">
        <v>28</v>
      </c>
      <c r="K2305" s="18" t="s">
        <v>28</v>
      </c>
      <c r="L2305" s="18" t="s">
        <v>28</v>
      </c>
      <c r="M2305" s="18" t="s">
        <v>28</v>
      </c>
      <c r="N2305" s="17">
        <v>44927</v>
      </c>
      <c r="O2305" s="15" t="s">
        <v>52</v>
      </c>
      <c r="P2305" s="16" t="s">
        <v>1970</v>
      </c>
      <c r="Q2305" s="15" t="s">
        <v>583</v>
      </c>
      <c r="R2305" s="13" t="str">
        <f>HYPERLINK("https://my.pitchbook.com?c=295335-46T","View Company Online")</f>
        <v>View Company Online</v>
      </c>
    </row>
    <row r="2306" spans="1:18" hidden="1" x14ac:dyDescent="0.3">
      <c r="A2306" s="9" t="s">
        <v>7917</v>
      </c>
      <c r="B2306" s="9" t="s">
        <v>247</v>
      </c>
      <c r="C2306" s="11" t="s">
        <v>28</v>
      </c>
      <c r="D2306" s="9" t="s">
        <v>248</v>
      </c>
      <c r="E2306" s="11" t="s">
        <v>28</v>
      </c>
      <c r="F2306" s="10" t="s">
        <v>28</v>
      </c>
      <c r="G2306" s="10" t="s">
        <v>28</v>
      </c>
      <c r="H2306" s="10" t="s">
        <v>28</v>
      </c>
      <c r="I2306" s="11" t="s">
        <v>28</v>
      </c>
      <c r="J2306" s="11" t="s">
        <v>28</v>
      </c>
      <c r="K2306" s="11" t="s">
        <v>28</v>
      </c>
      <c r="L2306" s="11" t="s">
        <v>28</v>
      </c>
      <c r="M2306" s="11" t="s">
        <v>28</v>
      </c>
      <c r="N2306" s="8">
        <v>44927</v>
      </c>
      <c r="O2306" s="9" t="s">
        <v>52</v>
      </c>
      <c r="P2306" s="12" t="s">
        <v>2830</v>
      </c>
      <c r="Q2306" s="9" t="s">
        <v>249</v>
      </c>
      <c r="R2306" s="14" t="str">
        <f>HYPERLINK("https://my.pitchbook.com?c=266487-04T","View Company Online")</f>
        <v>View Company Online</v>
      </c>
    </row>
    <row r="2307" spans="1:18" hidden="1" x14ac:dyDescent="0.3">
      <c r="A2307" s="15" t="s">
        <v>7918</v>
      </c>
      <c r="B2307" s="15" t="s">
        <v>4976</v>
      </c>
      <c r="C2307" s="18" t="s">
        <v>28</v>
      </c>
      <c r="D2307" s="15" t="s">
        <v>4977</v>
      </c>
      <c r="E2307" s="18" t="s">
        <v>28</v>
      </c>
      <c r="F2307" s="19" t="s">
        <v>28</v>
      </c>
      <c r="G2307" s="19" t="s">
        <v>28</v>
      </c>
      <c r="H2307" s="19" t="s">
        <v>28</v>
      </c>
      <c r="I2307" s="18" t="s">
        <v>28</v>
      </c>
      <c r="J2307" s="18" t="s">
        <v>28</v>
      </c>
      <c r="K2307" s="18" t="s">
        <v>28</v>
      </c>
      <c r="L2307" s="18" t="s">
        <v>28</v>
      </c>
      <c r="M2307" s="18" t="s">
        <v>28</v>
      </c>
      <c r="N2307" s="17">
        <v>44927</v>
      </c>
      <c r="O2307" s="15" t="s">
        <v>52</v>
      </c>
      <c r="P2307" s="16" t="s">
        <v>2830</v>
      </c>
      <c r="Q2307" s="15" t="s">
        <v>75</v>
      </c>
      <c r="R2307" s="13" t="str">
        <f>HYPERLINK("https://my.pitchbook.com?c=260424-91T","View Company Online")</f>
        <v>View Company Online</v>
      </c>
    </row>
    <row r="2308" spans="1:18" hidden="1" x14ac:dyDescent="0.3">
      <c r="A2308" s="9" t="s">
        <v>7919</v>
      </c>
      <c r="B2308" s="9" t="s">
        <v>4976</v>
      </c>
      <c r="C2308" s="11" t="s">
        <v>28</v>
      </c>
      <c r="D2308" s="9" t="s">
        <v>4977</v>
      </c>
      <c r="E2308" s="11" t="s">
        <v>28</v>
      </c>
      <c r="F2308" s="10" t="s">
        <v>28</v>
      </c>
      <c r="G2308" s="10" t="s">
        <v>28</v>
      </c>
      <c r="H2308" s="10" t="s">
        <v>28</v>
      </c>
      <c r="I2308" s="11" t="s">
        <v>28</v>
      </c>
      <c r="J2308" s="11" t="s">
        <v>28</v>
      </c>
      <c r="K2308" s="11" t="s">
        <v>28</v>
      </c>
      <c r="L2308" s="11" t="s">
        <v>28</v>
      </c>
      <c r="M2308" s="11" t="s">
        <v>28</v>
      </c>
      <c r="N2308" s="8">
        <v>44927</v>
      </c>
      <c r="O2308" s="9" t="s">
        <v>52</v>
      </c>
      <c r="P2308" s="12" t="s">
        <v>1662</v>
      </c>
      <c r="Q2308" s="9" t="s">
        <v>75</v>
      </c>
      <c r="R2308" s="14" t="str">
        <f>HYPERLINK("https://my.pitchbook.com?c=264117-88T","View Company Online")</f>
        <v>View Company Online</v>
      </c>
    </row>
    <row r="2309" spans="1:18" hidden="1" x14ac:dyDescent="0.3">
      <c r="A2309" s="15" t="s">
        <v>7920</v>
      </c>
      <c r="B2309" s="15" t="s">
        <v>7921</v>
      </c>
      <c r="C2309" s="18" t="s">
        <v>28</v>
      </c>
      <c r="D2309" s="15" t="s">
        <v>7922</v>
      </c>
      <c r="E2309" s="18" t="s">
        <v>28</v>
      </c>
      <c r="F2309" s="19" t="s">
        <v>28</v>
      </c>
      <c r="G2309" s="19" t="s">
        <v>28</v>
      </c>
      <c r="H2309" s="19" t="s">
        <v>28</v>
      </c>
      <c r="I2309" s="18" t="s">
        <v>28</v>
      </c>
      <c r="J2309" s="18" t="s">
        <v>28</v>
      </c>
      <c r="K2309" s="18" t="s">
        <v>28</v>
      </c>
      <c r="L2309" s="18" t="s">
        <v>28</v>
      </c>
      <c r="M2309" s="18" t="s">
        <v>28</v>
      </c>
      <c r="N2309" s="17">
        <v>44927</v>
      </c>
      <c r="O2309" s="15" t="s">
        <v>52</v>
      </c>
      <c r="P2309" s="16" t="s">
        <v>1970</v>
      </c>
      <c r="Q2309" s="15" t="s">
        <v>75</v>
      </c>
      <c r="R2309" s="13" t="str">
        <f>HYPERLINK("https://my.pitchbook.com?c=295534-54T","View Company Online")</f>
        <v>View Company Online</v>
      </c>
    </row>
    <row r="2310" spans="1:18" hidden="1" x14ac:dyDescent="0.3">
      <c r="A2310" s="9" t="s">
        <v>7923</v>
      </c>
      <c r="B2310" s="9" t="s">
        <v>7382</v>
      </c>
      <c r="C2310" s="11" t="s">
        <v>28</v>
      </c>
      <c r="D2310" s="9" t="s">
        <v>7383</v>
      </c>
      <c r="E2310" s="11" t="s">
        <v>28</v>
      </c>
      <c r="F2310" s="10" t="s">
        <v>28</v>
      </c>
      <c r="G2310" s="10" t="s">
        <v>28</v>
      </c>
      <c r="H2310" s="10" t="s">
        <v>28</v>
      </c>
      <c r="I2310" s="11" t="s">
        <v>28</v>
      </c>
      <c r="J2310" s="11" t="s">
        <v>28</v>
      </c>
      <c r="K2310" s="11" t="s">
        <v>28</v>
      </c>
      <c r="L2310" s="11" t="s">
        <v>28</v>
      </c>
      <c r="M2310" s="11" t="s">
        <v>28</v>
      </c>
      <c r="N2310" s="8">
        <v>44927</v>
      </c>
      <c r="O2310" s="9" t="s">
        <v>52</v>
      </c>
      <c r="P2310" s="12" t="s">
        <v>2442</v>
      </c>
      <c r="Q2310" s="9" t="s">
        <v>37</v>
      </c>
      <c r="R2310" s="14" t="str">
        <f>HYPERLINK("https://my.pitchbook.com?c=266738-23T","View Company Online")</f>
        <v>View Company Online</v>
      </c>
    </row>
    <row r="2311" spans="1:18" hidden="1" x14ac:dyDescent="0.3">
      <c r="A2311" s="15" t="s">
        <v>7924</v>
      </c>
      <c r="B2311" s="15" t="s">
        <v>7925</v>
      </c>
      <c r="C2311" s="18" t="s">
        <v>28</v>
      </c>
      <c r="D2311" s="15" t="s">
        <v>7926</v>
      </c>
      <c r="E2311" s="18" t="s">
        <v>28</v>
      </c>
      <c r="F2311" s="19" t="s">
        <v>28</v>
      </c>
      <c r="G2311" s="19">
        <v>0.5</v>
      </c>
      <c r="H2311" s="19" t="s">
        <v>28</v>
      </c>
      <c r="I2311" s="18" t="s">
        <v>28</v>
      </c>
      <c r="J2311" s="18" t="s">
        <v>28</v>
      </c>
      <c r="K2311" s="18" t="s">
        <v>28</v>
      </c>
      <c r="L2311" s="18" t="s">
        <v>28</v>
      </c>
      <c r="M2311" s="18" t="s">
        <v>28</v>
      </c>
      <c r="N2311" s="17">
        <v>44927</v>
      </c>
      <c r="O2311" s="15" t="s">
        <v>379</v>
      </c>
      <c r="P2311" s="16" t="s">
        <v>28</v>
      </c>
      <c r="Q2311" s="15" t="s">
        <v>37</v>
      </c>
      <c r="R2311" s="13" t="str">
        <f>HYPERLINK("https://my.pitchbook.com?c=273712-96T","View Company Online")</f>
        <v>View Company Online</v>
      </c>
    </row>
    <row r="2312" spans="1:18" hidden="1" x14ac:dyDescent="0.3">
      <c r="A2312" s="9" t="s">
        <v>7927</v>
      </c>
      <c r="B2312" s="9" t="s">
        <v>7928</v>
      </c>
      <c r="C2312" s="11" t="s">
        <v>28</v>
      </c>
      <c r="D2312" s="9" t="s">
        <v>7929</v>
      </c>
      <c r="E2312" s="11" t="s">
        <v>28</v>
      </c>
      <c r="F2312" s="10" t="s">
        <v>28</v>
      </c>
      <c r="G2312" s="10" t="s">
        <v>28</v>
      </c>
      <c r="H2312" s="10" t="s">
        <v>28</v>
      </c>
      <c r="I2312" s="11" t="s">
        <v>28</v>
      </c>
      <c r="J2312" s="11" t="s">
        <v>28</v>
      </c>
      <c r="K2312" s="11" t="s">
        <v>28</v>
      </c>
      <c r="L2312" s="11" t="s">
        <v>28</v>
      </c>
      <c r="M2312" s="11" t="s">
        <v>28</v>
      </c>
      <c r="N2312" s="8">
        <v>44927</v>
      </c>
      <c r="O2312" s="9" t="s">
        <v>52</v>
      </c>
      <c r="P2312" s="12" t="s">
        <v>2830</v>
      </c>
      <c r="Q2312" s="9" t="s">
        <v>75</v>
      </c>
      <c r="R2312" s="14" t="str">
        <f>HYPERLINK("https://my.pitchbook.com?c=262857-88T","View Company Online")</f>
        <v>View Company Online</v>
      </c>
    </row>
    <row r="2313" spans="1:18" hidden="1" x14ac:dyDescent="0.3">
      <c r="A2313" s="15" t="s">
        <v>7930</v>
      </c>
      <c r="B2313" s="15" t="s">
        <v>7931</v>
      </c>
      <c r="C2313" s="18" t="s">
        <v>28</v>
      </c>
      <c r="D2313" s="15" t="s">
        <v>7932</v>
      </c>
      <c r="E2313" s="18" t="s">
        <v>28</v>
      </c>
      <c r="F2313" s="19" t="s">
        <v>28</v>
      </c>
      <c r="G2313" s="19" t="s">
        <v>28</v>
      </c>
      <c r="H2313" s="19" t="s">
        <v>28</v>
      </c>
      <c r="I2313" s="18" t="s">
        <v>28</v>
      </c>
      <c r="J2313" s="18" t="s">
        <v>28</v>
      </c>
      <c r="K2313" s="18" t="s">
        <v>28</v>
      </c>
      <c r="L2313" s="18" t="s">
        <v>28</v>
      </c>
      <c r="M2313" s="18" t="s">
        <v>28</v>
      </c>
      <c r="N2313" s="17">
        <v>44927</v>
      </c>
      <c r="O2313" s="15" t="s">
        <v>52</v>
      </c>
      <c r="P2313" s="16" t="s">
        <v>1970</v>
      </c>
      <c r="Q2313" s="15" t="s">
        <v>263</v>
      </c>
      <c r="R2313" s="13" t="str">
        <f>HYPERLINK("https://my.pitchbook.com?c=295766-65T","View Company Online")</f>
        <v>View Company Online</v>
      </c>
    </row>
    <row r="2314" spans="1:18" hidden="1" x14ac:dyDescent="0.3">
      <c r="A2314" s="9" t="s">
        <v>7933</v>
      </c>
      <c r="B2314" s="9" t="s">
        <v>7934</v>
      </c>
      <c r="C2314" s="11" t="s">
        <v>28</v>
      </c>
      <c r="D2314" s="9" t="s">
        <v>7935</v>
      </c>
      <c r="E2314" s="11" t="s">
        <v>28</v>
      </c>
      <c r="F2314" s="10" t="s">
        <v>28</v>
      </c>
      <c r="G2314" s="10">
        <v>0.3</v>
      </c>
      <c r="H2314" s="10" t="s">
        <v>28</v>
      </c>
      <c r="I2314" s="11">
        <v>-0.02</v>
      </c>
      <c r="J2314" s="11" t="s">
        <v>28</v>
      </c>
      <c r="K2314" s="11">
        <v>0.02</v>
      </c>
      <c r="L2314" s="11" t="s">
        <v>28</v>
      </c>
      <c r="M2314" s="11">
        <v>-0.02</v>
      </c>
      <c r="N2314" s="8">
        <v>44927</v>
      </c>
      <c r="O2314" s="9" t="s">
        <v>99</v>
      </c>
      <c r="P2314" s="12" t="s">
        <v>7936</v>
      </c>
      <c r="Q2314" s="9" t="s">
        <v>43</v>
      </c>
      <c r="R2314" s="14" t="str">
        <f>HYPERLINK("https://my.pitchbook.com?c=215045-92T","View Company Online")</f>
        <v>View Company Online</v>
      </c>
    </row>
    <row r="2315" spans="1:18" hidden="1" x14ac:dyDescent="0.3">
      <c r="A2315" s="15" t="s">
        <v>7937</v>
      </c>
      <c r="B2315" s="15" t="s">
        <v>7938</v>
      </c>
      <c r="C2315" s="18" t="s">
        <v>28</v>
      </c>
      <c r="D2315" s="15" t="s">
        <v>7939</v>
      </c>
      <c r="E2315" s="18" t="s">
        <v>28</v>
      </c>
      <c r="F2315" s="19" t="s">
        <v>28</v>
      </c>
      <c r="G2315" s="19" t="s">
        <v>28</v>
      </c>
      <c r="H2315" s="19" t="s">
        <v>28</v>
      </c>
      <c r="I2315" s="18" t="s">
        <v>28</v>
      </c>
      <c r="J2315" s="18" t="s">
        <v>28</v>
      </c>
      <c r="K2315" s="18" t="s">
        <v>28</v>
      </c>
      <c r="L2315" s="18" t="s">
        <v>28</v>
      </c>
      <c r="M2315" s="18" t="s">
        <v>28</v>
      </c>
      <c r="N2315" s="17">
        <v>44927</v>
      </c>
      <c r="O2315" s="15" t="s">
        <v>52</v>
      </c>
      <c r="P2315" s="16" t="s">
        <v>1970</v>
      </c>
      <c r="Q2315" s="15" t="s">
        <v>583</v>
      </c>
      <c r="R2315" s="13" t="str">
        <f>HYPERLINK("https://my.pitchbook.com?c=295767-19T","View Company Online")</f>
        <v>View Company Online</v>
      </c>
    </row>
    <row r="2316" spans="1:18" hidden="1" x14ac:dyDescent="0.3">
      <c r="A2316" s="9" t="s">
        <v>7940</v>
      </c>
      <c r="B2316" s="9" t="s">
        <v>7941</v>
      </c>
      <c r="C2316" s="11" t="s">
        <v>28</v>
      </c>
      <c r="D2316" s="9" t="s">
        <v>7942</v>
      </c>
      <c r="E2316" s="11" t="s">
        <v>28</v>
      </c>
      <c r="F2316" s="10" t="s">
        <v>28</v>
      </c>
      <c r="G2316" s="10">
        <v>2.2999999999999998</v>
      </c>
      <c r="H2316" s="10" t="s">
        <v>28</v>
      </c>
      <c r="I2316" s="11" t="s">
        <v>28</v>
      </c>
      <c r="J2316" s="11" t="s">
        <v>28</v>
      </c>
      <c r="K2316" s="11" t="s">
        <v>28</v>
      </c>
      <c r="L2316" s="11" t="s">
        <v>28</v>
      </c>
      <c r="M2316" s="11" t="s">
        <v>28</v>
      </c>
      <c r="N2316" s="8">
        <v>44927</v>
      </c>
      <c r="O2316" s="9" t="s">
        <v>73</v>
      </c>
      <c r="P2316" s="12" t="s">
        <v>5429</v>
      </c>
      <c r="Q2316" s="9" t="s">
        <v>75</v>
      </c>
      <c r="R2316" s="14" t="str">
        <f>HYPERLINK("https://my.pitchbook.com?c=201317-23T","View Company Online")</f>
        <v>View Company Online</v>
      </c>
    </row>
    <row r="2317" spans="1:18" hidden="1" x14ac:dyDescent="0.3">
      <c r="A2317" s="15" t="s">
        <v>7943</v>
      </c>
      <c r="B2317" s="15" t="s">
        <v>3667</v>
      </c>
      <c r="C2317" s="18" t="s">
        <v>28</v>
      </c>
      <c r="D2317" s="15" t="s">
        <v>3668</v>
      </c>
      <c r="E2317" s="18" t="s">
        <v>28</v>
      </c>
      <c r="F2317" s="19" t="s">
        <v>28</v>
      </c>
      <c r="G2317" s="19" t="s">
        <v>28</v>
      </c>
      <c r="H2317" s="19" t="s">
        <v>28</v>
      </c>
      <c r="I2317" s="18" t="s">
        <v>28</v>
      </c>
      <c r="J2317" s="18" t="s">
        <v>28</v>
      </c>
      <c r="K2317" s="18" t="s">
        <v>28</v>
      </c>
      <c r="L2317" s="18" t="s">
        <v>28</v>
      </c>
      <c r="M2317" s="18" t="s">
        <v>28</v>
      </c>
      <c r="N2317" s="17">
        <v>44927</v>
      </c>
      <c r="O2317" s="15" t="s">
        <v>52</v>
      </c>
      <c r="P2317" s="16" t="s">
        <v>3869</v>
      </c>
      <c r="Q2317" s="15" t="s">
        <v>75</v>
      </c>
      <c r="R2317" s="13" t="str">
        <f>HYPERLINK("https://my.pitchbook.com?c=263985-13T","View Company Online")</f>
        <v>View Company Online</v>
      </c>
    </row>
    <row r="2318" spans="1:18" hidden="1" x14ac:dyDescent="0.3">
      <c r="A2318" s="9" t="s">
        <v>7944</v>
      </c>
      <c r="B2318" s="9" t="s">
        <v>7945</v>
      </c>
      <c r="C2318" s="11" t="s">
        <v>28</v>
      </c>
      <c r="D2318" s="9" t="s">
        <v>7946</v>
      </c>
      <c r="E2318" s="11" t="s">
        <v>28</v>
      </c>
      <c r="F2318" s="10" t="s">
        <v>28</v>
      </c>
      <c r="G2318" s="10" t="s">
        <v>28</v>
      </c>
      <c r="H2318" s="10" t="s">
        <v>28</v>
      </c>
      <c r="I2318" s="11" t="s">
        <v>28</v>
      </c>
      <c r="J2318" s="11" t="s">
        <v>28</v>
      </c>
      <c r="K2318" s="11" t="s">
        <v>28</v>
      </c>
      <c r="L2318" s="11" t="s">
        <v>28</v>
      </c>
      <c r="M2318" s="11" t="s">
        <v>28</v>
      </c>
      <c r="N2318" s="8">
        <v>44927</v>
      </c>
      <c r="O2318" s="9" t="s">
        <v>52</v>
      </c>
      <c r="P2318" s="12" t="s">
        <v>1970</v>
      </c>
      <c r="Q2318" s="9" t="s">
        <v>75</v>
      </c>
      <c r="R2318" s="14" t="str">
        <f>HYPERLINK("https://my.pitchbook.com?c=295760-89T","View Company Online")</f>
        <v>View Company Online</v>
      </c>
    </row>
    <row r="2319" spans="1:18" hidden="1" x14ac:dyDescent="0.3">
      <c r="A2319" s="15" t="s">
        <v>7947</v>
      </c>
      <c r="B2319" s="15" t="s">
        <v>4207</v>
      </c>
      <c r="C2319" s="18" t="s">
        <v>28</v>
      </c>
      <c r="D2319" s="15" t="s">
        <v>4208</v>
      </c>
      <c r="E2319" s="18" t="s">
        <v>28</v>
      </c>
      <c r="F2319" s="19" t="s">
        <v>28</v>
      </c>
      <c r="G2319" s="19">
        <v>0.97</v>
      </c>
      <c r="H2319" s="19" t="s">
        <v>28</v>
      </c>
      <c r="I2319" s="18" t="s">
        <v>28</v>
      </c>
      <c r="J2319" s="18" t="s">
        <v>28</v>
      </c>
      <c r="K2319" s="18" t="s">
        <v>28</v>
      </c>
      <c r="L2319" s="18" t="s">
        <v>28</v>
      </c>
      <c r="M2319" s="18" t="s">
        <v>28</v>
      </c>
      <c r="N2319" s="17">
        <v>44927</v>
      </c>
      <c r="O2319" s="15" t="s">
        <v>47</v>
      </c>
      <c r="P2319" s="16" t="s">
        <v>7948</v>
      </c>
      <c r="Q2319" s="15" t="s">
        <v>43</v>
      </c>
      <c r="R2319" s="13" t="str">
        <f>HYPERLINK("https://my.pitchbook.com?c=245322-46T","View Company Online")</f>
        <v>View Company Online</v>
      </c>
    </row>
    <row r="2320" spans="1:18" hidden="1" x14ac:dyDescent="0.3">
      <c r="A2320" s="9" t="s">
        <v>7949</v>
      </c>
      <c r="B2320" s="9" t="s">
        <v>7950</v>
      </c>
      <c r="C2320" s="11" t="s">
        <v>28</v>
      </c>
      <c r="D2320" s="9" t="s">
        <v>7951</v>
      </c>
      <c r="E2320" s="11" t="s">
        <v>28</v>
      </c>
      <c r="F2320" s="10" t="s">
        <v>28</v>
      </c>
      <c r="G2320" s="10" t="s">
        <v>28</v>
      </c>
      <c r="H2320" s="10" t="s">
        <v>28</v>
      </c>
      <c r="I2320" s="11" t="s">
        <v>28</v>
      </c>
      <c r="J2320" s="11" t="s">
        <v>28</v>
      </c>
      <c r="K2320" s="11" t="s">
        <v>28</v>
      </c>
      <c r="L2320" s="11" t="s">
        <v>28</v>
      </c>
      <c r="M2320" s="11" t="s">
        <v>28</v>
      </c>
      <c r="N2320" s="8">
        <v>44927</v>
      </c>
      <c r="O2320" s="9" t="s">
        <v>52</v>
      </c>
      <c r="P2320" s="12" t="s">
        <v>1970</v>
      </c>
      <c r="Q2320" s="9" t="s">
        <v>75</v>
      </c>
      <c r="R2320" s="14" t="str">
        <f>HYPERLINK("https://my.pitchbook.com?c=295323-76T","View Company Online")</f>
        <v>View Company Online</v>
      </c>
    </row>
    <row r="2321" spans="1:18" hidden="1" x14ac:dyDescent="0.3">
      <c r="A2321" s="15" t="s">
        <v>7952</v>
      </c>
      <c r="B2321" s="15" t="s">
        <v>7953</v>
      </c>
      <c r="C2321" s="18" t="s">
        <v>28</v>
      </c>
      <c r="D2321" s="15" t="s">
        <v>7954</v>
      </c>
      <c r="E2321" s="18" t="s">
        <v>28</v>
      </c>
      <c r="F2321" s="19" t="s">
        <v>28</v>
      </c>
      <c r="G2321" s="19" t="s">
        <v>28</v>
      </c>
      <c r="H2321" s="19" t="s">
        <v>28</v>
      </c>
      <c r="I2321" s="18" t="s">
        <v>28</v>
      </c>
      <c r="J2321" s="18" t="s">
        <v>28</v>
      </c>
      <c r="K2321" s="18" t="s">
        <v>28</v>
      </c>
      <c r="L2321" s="18" t="s">
        <v>28</v>
      </c>
      <c r="M2321" s="18" t="s">
        <v>28</v>
      </c>
      <c r="N2321" s="17">
        <v>44927</v>
      </c>
      <c r="O2321" s="15" t="s">
        <v>52</v>
      </c>
      <c r="P2321" s="16" t="s">
        <v>1970</v>
      </c>
      <c r="Q2321" s="15" t="s">
        <v>607</v>
      </c>
      <c r="R2321" s="13" t="str">
        <f>HYPERLINK("https://my.pitchbook.com?c=265603-78T","View Company Online")</f>
        <v>View Company Online</v>
      </c>
    </row>
    <row r="2322" spans="1:18" hidden="1" x14ac:dyDescent="0.3">
      <c r="A2322" s="9" t="s">
        <v>7955</v>
      </c>
      <c r="B2322" s="9" t="s">
        <v>7956</v>
      </c>
      <c r="C2322" s="11" t="s">
        <v>28</v>
      </c>
      <c r="D2322" s="9" t="s">
        <v>7957</v>
      </c>
      <c r="E2322" s="11" t="s">
        <v>28</v>
      </c>
      <c r="F2322" s="10" t="s">
        <v>28</v>
      </c>
      <c r="G2322" s="10" t="s">
        <v>28</v>
      </c>
      <c r="H2322" s="10" t="s">
        <v>28</v>
      </c>
      <c r="I2322" s="11" t="s">
        <v>28</v>
      </c>
      <c r="J2322" s="11" t="s">
        <v>28</v>
      </c>
      <c r="K2322" s="11" t="s">
        <v>28</v>
      </c>
      <c r="L2322" s="11" t="s">
        <v>28</v>
      </c>
      <c r="M2322" s="11" t="s">
        <v>28</v>
      </c>
      <c r="N2322" s="8">
        <v>44927</v>
      </c>
      <c r="O2322" s="9" t="s">
        <v>52</v>
      </c>
      <c r="P2322" s="12" t="s">
        <v>2830</v>
      </c>
      <c r="Q2322" s="9" t="s">
        <v>75</v>
      </c>
      <c r="R2322" s="14" t="str">
        <f>HYPERLINK("https://my.pitchbook.com?c=292811-23T","View Company Online")</f>
        <v>View Company Online</v>
      </c>
    </row>
    <row r="2323" spans="1:18" hidden="1" x14ac:dyDescent="0.3">
      <c r="A2323" s="15" t="s">
        <v>7958</v>
      </c>
      <c r="B2323" s="15" t="s">
        <v>7959</v>
      </c>
      <c r="C2323" s="18" t="s">
        <v>28</v>
      </c>
      <c r="D2323" s="15" t="s">
        <v>7960</v>
      </c>
      <c r="E2323" s="18" t="s">
        <v>28</v>
      </c>
      <c r="F2323" s="19" t="s">
        <v>28</v>
      </c>
      <c r="G2323" s="19" t="s">
        <v>28</v>
      </c>
      <c r="H2323" s="19" t="s">
        <v>28</v>
      </c>
      <c r="I2323" s="18" t="s">
        <v>28</v>
      </c>
      <c r="J2323" s="18" t="s">
        <v>28</v>
      </c>
      <c r="K2323" s="18" t="s">
        <v>28</v>
      </c>
      <c r="L2323" s="18" t="s">
        <v>28</v>
      </c>
      <c r="M2323" s="18" t="s">
        <v>28</v>
      </c>
      <c r="N2323" s="17">
        <v>44927</v>
      </c>
      <c r="O2323" s="15" t="s">
        <v>52</v>
      </c>
      <c r="P2323" s="16" t="s">
        <v>1970</v>
      </c>
      <c r="Q2323" s="15" t="s">
        <v>136</v>
      </c>
      <c r="R2323" s="13" t="str">
        <f>HYPERLINK("https://my.pitchbook.com?c=292138-57T","View Company Online")</f>
        <v>View Company Online</v>
      </c>
    </row>
    <row r="2324" spans="1:18" hidden="1" x14ac:dyDescent="0.3">
      <c r="A2324" s="9" t="s">
        <v>7961</v>
      </c>
      <c r="B2324" s="9" t="s">
        <v>7962</v>
      </c>
      <c r="C2324" s="11" t="s">
        <v>28</v>
      </c>
      <c r="D2324" s="9" t="s">
        <v>7963</v>
      </c>
      <c r="E2324" s="11" t="s">
        <v>28</v>
      </c>
      <c r="F2324" s="10" t="s">
        <v>28</v>
      </c>
      <c r="G2324" s="10" t="s">
        <v>28</v>
      </c>
      <c r="H2324" s="10" t="s">
        <v>28</v>
      </c>
      <c r="I2324" s="11" t="s">
        <v>28</v>
      </c>
      <c r="J2324" s="11" t="s">
        <v>28</v>
      </c>
      <c r="K2324" s="11" t="s">
        <v>28</v>
      </c>
      <c r="L2324" s="11" t="s">
        <v>28</v>
      </c>
      <c r="M2324" s="11" t="s">
        <v>28</v>
      </c>
      <c r="N2324" s="8">
        <v>44927</v>
      </c>
      <c r="O2324" s="9" t="s">
        <v>52</v>
      </c>
      <c r="P2324" s="12" t="s">
        <v>1662</v>
      </c>
      <c r="Q2324" s="9" t="s">
        <v>5628</v>
      </c>
      <c r="R2324" s="14" t="str">
        <f>HYPERLINK("https://my.pitchbook.com?c=264117-25T","View Company Online")</f>
        <v>View Company Online</v>
      </c>
    </row>
    <row r="2325" spans="1:18" hidden="1" x14ac:dyDescent="0.3">
      <c r="A2325" s="15" t="s">
        <v>7964</v>
      </c>
      <c r="B2325" s="15" t="s">
        <v>7965</v>
      </c>
      <c r="C2325" s="18" t="s">
        <v>28</v>
      </c>
      <c r="D2325" s="15" t="s">
        <v>7966</v>
      </c>
      <c r="E2325" s="18" t="s">
        <v>28</v>
      </c>
      <c r="F2325" s="19" t="s">
        <v>28</v>
      </c>
      <c r="G2325" s="19" t="s">
        <v>28</v>
      </c>
      <c r="H2325" s="19" t="s">
        <v>28</v>
      </c>
      <c r="I2325" s="18" t="s">
        <v>28</v>
      </c>
      <c r="J2325" s="18" t="s">
        <v>28</v>
      </c>
      <c r="K2325" s="18" t="s">
        <v>28</v>
      </c>
      <c r="L2325" s="18" t="s">
        <v>28</v>
      </c>
      <c r="M2325" s="18" t="s">
        <v>28</v>
      </c>
      <c r="N2325" s="17">
        <v>44927</v>
      </c>
      <c r="O2325" s="15" t="s">
        <v>52</v>
      </c>
      <c r="P2325" s="16" t="s">
        <v>1970</v>
      </c>
      <c r="Q2325" s="15" t="s">
        <v>75</v>
      </c>
      <c r="R2325" s="13" t="str">
        <f>HYPERLINK("https://my.pitchbook.com?c=295282-90T","View Company Online")</f>
        <v>View Company Online</v>
      </c>
    </row>
    <row r="2326" spans="1:18" hidden="1" x14ac:dyDescent="0.3">
      <c r="A2326" s="9" t="s">
        <v>7967</v>
      </c>
      <c r="B2326" s="9" t="s">
        <v>7968</v>
      </c>
      <c r="C2326" s="11" t="s">
        <v>28</v>
      </c>
      <c r="D2326" s="9" t="s">
        <v>7969</v>
      </c>
      <c r="E2326" s="11" t="s">
        <v>28</v>
      </c>
      <c r="F2326" s="10" t="s">
        <v>28</v>
      </c>
      <c r="G2326" s="10" t="s">
        <v>28</v>
      </c>
      <c r="H2326" s="10" t="s">
        <v>28</v>
      </c>
      <c r="I2326" s="11" t="s">
        <v>28</v>
      </c>
      <c r="J2326" s="11" t="s">
        <v>28</v>
      </c>
      <c r="K2326" s="11" t="s">
        <v>28</v>
      </c>
      <c r="L2326" s="11" t="s">
        <v>28</v>
      </c>
      <c r="M2326" s="11" t="s">
        <v>28</v>
      </c>
      <c r="N2326" s="8">
        <v>44927</v>
      </c>
      <c r="O2326" s="9" t="s">
        <v>52</v>
      </c>
      <c r="P2326" s="12" t="s">
        <v>1651</v>
      </c>
      <c r="Q2326" s="9" t="s">
        <v>75</v>
      </c>
      <c r="R2326" s="14" t="str">
        <f>HYPERLINK("https://my.pitchbook.com?c=260681-32T","View Company Online")</f>
        <v>View Company Online</v>
      </c>
    </row>
    <row r="2327" spans="1:18" hidden="1" x14ac:dyDescent="0.3">
      <c r="A2327" s="15" t="s">
        <v>7970</v>
      </c>
      <c r="B2327" s="15" t="s">
        <v>5341</v>
      </c>
      <c r="C2327" s="18" t="s">
        <v>28</v>
      </c>
      <c r="D2327" s="15" t="s">
        <v>5342</v>
      </c>
      <c r="E2327" s="18" t="s">
        <v>28</v>
      </c>
      <c r="F2327" s="19" t="s">
        <v>28</v>
      </c>
      <c r="G2327" s="19" t="s">
        <v>28</v>
      </c>
      <c r="H2327" s="19" t="s">
        <v>28</v>
      </c>
      <c r="I2327" s="18" t="s">
        <v>28</v>
      </c>
      <c r="J2327" s="18" t="s">
        <v>28</v>
      </c>
      <c r="K2327" s="18" t="s">
        <v>28</v>
      </c>
      <c r="L2327" s="18" t="s">
        <v>28</v>
      </c>
      <c r="M2327" s="18" t="s">
        <v>28</v>
      </c>
      <c r="N2327" s="17">
        <v>44927</v>
      </c>
      <c r="O2327" s="15" t="s">
        <v>52</v>
      </c>
      <c r="P2327" s="16" t="s">
        <v>1662</v>
      </c>
      <c r="Q2327" s="15" t="s">
        <v>75</v>
      </c>
      <c r="R2327" s="13" t="str">
        <f>HYPERLINK("https://my.pitchbook.com?c=264117-79T","View Company Online")</f>
        <v>View Company Online</v>
      </c>
    </row>
    <row r="2328" spans="1:18" hidden="1" x14ac:dyDescent="0.3">
      <c r="A2328" s="9" t="s">
        <v>7971</v>
      </c>
      <c r="B2328" s="9" t="s">
        <v>7972</v>
      </c>
      <c r="C2328" s="11" t="s">
        <v>28</v>
      </c>
      <c r="D2328" s="9" t="s">
        <v>7973</v>
      </c>
      <c r="E2328" s="11" t="s">
        <v>28</v>
      </c>
      <c r="F2328" s="10" t="s">
        <v>28</v>
      </c>
      <c r="G2328" s="10" t="s">
        <v>28</v>
      </c>
      <c r="H2328" s="10" t="s">
        <v>28</v>
      </c>
      <c r="I2328" s="11" t="s">
        <v>28</v>
      </c>
      <c r="J2328" s="11" t="s">
        <v>28</v>
      </c>
      <c r="K2328" s="11" t="s">
        <v>28</v>
      </c>
      <c r="L2328" s="11" t="s">
        <v>28</v>
      </c>
      <c r="M2328" s="11" t="s">
        <v>28</v>
      </c>
      <c r="N2328" s="8">
        <v>44927</v>
      </c>
      <c r="O2328" s="9" t="s">
        <v>79</v>
      </c>
      <c r="P2328" s="12" t="s">
        <v>7974</v>
      </c>
      <c r="Q2328" s="9" t="s">
        <v>75</v>
      </c>
      <c r="R2328" s="14" t="str">
        <f>HYPERLINK("https://my.pitchbook.com?c=267332-14T","View Company Online")</f>
        <v>View Company Online</v>
      </c>
    </row>
    <row r="2329" spans="1:18" hidden="1" x14ac:dyDescent="0.3">
      <c r="A2329" s="15" t="s">
        <v>7975</v>
      </c>
      <c r="B2329" s="15" t="s">
        <v>1782</v>
      </c>
      <c r="C2329" s="18" t="s">
        <v>28</v>
      </c>
      <c r="D2329" s="15" t="s">
        <v>1783</v>
      </c>
      <c r="E2329" s="18" t="s">
        <v>28</v>
      </c>
      <c r="F2329" s="19" t="s">
        <v>28</v>
      </c>
      <c r="G2329" s="19" t="s">
        <v>28</v>
      </c>
      <c r="H2329" s="19" t="s">
        <v>28</v>
      </c>
      <c r="I2329" s="18" t="s">
        <v>28</v>
      </c>
      <c r="J2329" s="18" t="s">
        <v>28</v>
      </c>
      <c r="K2329" s="18" t="s">
        <v>28</v>
      </c>
      <c r="L2329" s="18" t="s">
        <v>28</v>
      </c>
      <c r="M2329" s="18" t="s">
        <v>28</v>
      </c>
      <c r="N2329" s="17">
        <v>44927</v>
      </c>
      <c r="O2329" s="15" t="s">
        <v>52</v>
      </c>
      <c r="P2329" s="16" t="s">
        <v>1970</v>
      </c>
      <c r="Q2329" s="15" t="s">
        <v>119</v>
      </c>
      <c r="R2329" s="13" t="str">
        <f>HYPERLINK("https://my.pitchbook.com?c=263304-10T","View Company Online")</f>
        <v>View Company Online</v>
      </c>
    </row>
    <row r="2330" spans="1:18" hidden="1" x14ac:dyDescent="0.3">
      <c r="A2330" s="9" t="s">
        <v>7976</v>
      </c>
      <c r="B2330" s="9" t="s">
        <v>7977</v>
      </c>
      <c r="C2330" s="11" t="s">
        <v>28</v>
      </c>
      <c r="D2330" s="9" t="s">
        <v>7978</v>
      </c>
      <c r="E2330" s="11" t="s">
        <v>28</v>
      </c>
      <c r="F2330" s="10" t="s">
        <v>28</v>
      </c>
      <c r="G2330" s="10" t="s">
        <v>28</v>
      </c>
      <c r="H2330" s="10" t="s">
        <v>28</v>
      </c>
      <c r="I2330" s="11" t="s">
        <v>28</v>
      </c>
      <c r="J2330" s="11" t="s">
        <v>28</v>
      </c>
      <c r="K2330" s="11" t="s">
        <v>28</v>
      </c>
      <c r="L2330" s="11" t="s">
        <v>28</v>
      </c>
      <c r="M2330" s="11" t="s">
        <v>28</v>
      </c>
      <c r="N2330" s="8">
        <v>44927</v>
      </c>
      <c r="O2330" s="9" t="s">
        <v>52</v>
      </c>
      <c r="P2330" s="12" t="s">
        <v>1970</v>
      </c>
      <c r="Q2330" s="9" t="s">
        <v>855</v>
      </c>
      <c r="R2330" s="14" t="str">
        <f>HYPERLINK("https://my.pitchbook.com?c=295414-48T","View Company Online")</f>
        <v>View Company Online</v>
      </c>
    </row>
    <row r="2331" spans="1:18" hidden="1" x14ac:dyDescent="0.3">
      <c r="A2331" s="15" t="s">
        <v>7979</v>
      </c>
      <c r="B2331" s="15" t="s">
        <v>7980</v>
      </c>
      <c r="C2331" s="18" t="s">
        <v>28</v>
      </c>
      <c r="D2331" s="15" t="s">
        <v>7981</v>
      </c>
      <c r="E2331" s="18" t="s">
        <v>28</v>
      </c>
      <c r="F2331" s="19" t="s">
        <v>28</v>
      </c>
      <c r="G2331" s="19" t="s">
        <v>28</v>
      </c>
      <c r="H2331" s="19" t="s">
        <v>28</v>
      </c>
      <c r="I2331" s="18" t="s">
        <v>28</v>
      </c>
      <c r="J2331" s="18" t="s">
        <v>28</v>
      </c>
      <c r="K2331" s="18" t="s">
        <v>28</v>
      </c>
      <c r="L2331" s="18" t="s">
        <v>28</v>
      </c>
      <c r="M2331" s="18" t="s">
        <v>28</v>
      </c>
      <c r="N2331" s="17">
        <v>44927</v>
      </c>
      <c r="O2331" s="15" t="s">
        <v>52</v>
      </c>
      <c r="P2331" s="16" t="s">
        <v>1970</v>
      </c>
      <c r="Q2331" s="15" t="s">
        <v>85</v>
      </c>
      <c r="R2331" s="13" t="str">
        <f>HYPERLINK("https://my.pitchbook.com?c=265451-68T","View Company Online")</f>
        <v>View Company Online</v>
      </c>
    </row>
    <row r="2332" spans="1:18" hidden="1" x14ac:dyDescent="0.3">
      <c r="A2332" s="9" t="s">
        <v>7982</v>
      </c>
      <c r="B2332" s="9" t="s">
        <v>7983</v>
      </c>
      <c r="C2332" s="11" t="s">
        <v>28</v>
      </c>
      <c r="D2332" s="9" t="s">
        <v>7984</v>
      </c>
      <c r="E2332" s="11" t="s">
        <v>28</v>
      </c>
      <c r="F2332" s="10" t="s">
        <v>28</v>
      </c>
      <c r="G2332" s="10" t="s">
        <v>28</v>
      </c>
      <c r="H2332" s="10" t="s">
        <v>28</v>
      </c>
      <c r="I2332" s="11" t="s">
        <v>28</v>
      </c>
      <c r="J2332" s="11" t="s">
        <v>28</v>
      </c>
      <c r="K2332" s="11" t="s">
        <v>28</v>
      </c>
      <c r="L2332" s="11" t="s">
        <v>28</v>
      </c>
      <c r="M2332" s="11" t="s">
        <v>28</v>
      </c>
      <c r="N2332" s="8">
        <v>44927</v>
      </c>
      <c r="O2332" s="9" t="s">
        <v>52</v>
      </c>
      <c r="P2332" s="12" t="s">
        <v>1970</v>
      </c>
      <c r="Q2332" s="9" t="s">
        <v>37</v>
      </c>
      <c r="R2332" s="14" t="str">
        <f>HYPERLINK("https://my.pitchbook.com?c=295416-73T","View Company Online")</f>
        <v>View Company Online</v>
      </c>
    </row>
    <row r="2333" spans="1:18" hidden="1" x14ac:dyDescent="0.3">
      <c r="A2333" s="15" t="s">
        <v>7985</v>
      </c>
      <c r="B2333" s="15" t="s">
        <v>7986</v>
      </c>
      <c r="C2333" s="18" t="s">
        <v>28</v>
      </c>
      <c r="D2333" s="15" t="s">
        <v>7987</v>
      </c>
      <c r="E2333" s="18" t="s">
        <v>28</v>
      </c>
      <c r="F2333" s="19" t="s">
        <v>28</v>
      </c>
      <c r="G2333" s="19" t="s">
        <v>28</v>
      </c>
      <c r="H2333" s="19" t="s">
        <v>28</v>
      </c>
      <c r="I2333" s="18" t="s">
        <v>28</v>
      </c>
      <c r="J2333" s="18" t="s">
        <v>28</v>
      </c>
      <c r="K2333" s="18" t="s">
        <v>28</v>
      </c>
      <c r="L2333" s="18" t="s">
        <v>28</v>
      </c>
      <c r="M2333" s="18" t="s">
        <v>28</v>
      </c>
      <c r="N2333" s="17">
        <v>44927</v>
      </c>
      <c r="O2333" s="15" t="s">
        <v>52</v>
      </c>
      <c r="P2333" s="16" t="s">
        <v>2830</v>
      </c>
      <c r="Q2333" s="15" t="s">
        <v>75</v>
      </c>
      <c r="R2333" s="13" t="str">
        <f>HYPERLINK("https://my.pitchbook.com?c=266482-00T","View Company Online")</f>
        <v>View Company Online</v>
      </c>
    </row>
    <row r="2334" spans="1:18" hidden="1" x14ac:dyDescent="0.3">
      <c r="A2334" s="9" t="s">
        <v>7988</v>
      </c>
      <c r="B2334" s="9" t="s">
        <v>7989</v>
      </c>
      <c r="C2334" s="11" t="s">
        <v>28</v>
      </c>
      <c r="D2334" s="9" t="s">
        <v>7990</v>
      </c>
      <c r="E2334" s="11" t="s">
        <v>28</v>
      </c>
      <c r="F2334" s="10" t="s">
        <v>28</v>
      </c>
      <c r="G2334" s="10" t="s">
        <v>28</v>
      </c>
      <c r="H2334" s="10" t="s">
        <v>28</v>
      </c>
      <c r="I2334" s="11" t="s">
        <v>28</v>
      </c>
      <c r="J2334" s="11" t="s">
        <v>28</v>
      </c>
      <c r="K2334" s="11" t="s">
        <v>28</v>
      </c>
      <c r="L2334" s="11" t="s">
        <v>28</v>
      </c>
      <c r="M2334" s="11" t="s">
        <v>28</v>
      </c>
      <c r="N2334" s="8">
        <v>44927</v>
      </c>
      <c r="O2334" s="9" t="s">
        <v>52</v>
      </c>
      <c r="P2334" s="12" t="s">
        <v>2830</v>
      </c>
      <c r="Q2334" s="9" t="s">
        <v>75</v>
      </c>
      <c r="R2334" s="14" t="str">
        <f>HYPERLINK("https://my.pitchbook.com?c=293634-10T","View Company Online")</f>
        <v>View Company Online</v>
      </c>
    </row>
    <row r="2335" spans="1:18" hidden="1" x14ac:dyDescent="0.3">
      <c r="A2335" s="15" t="s">
        <v>7991</v>
      </c>
      <c r="B2335" s="15" t="s">
        <v>7992</v>
      </c>
      <c r="C2335" s="18" t="s">
        <v>28</v>
      </c>
      <c r="D2335" s="15" t="s">
        <v>7993</v>
      </c>
      <c r="E2335" s="18" t="s">
        <v>28</v>
      </c>
      <c r="F2335" s="19" t="s">
        <v>28</v>
      </c>
      <c r="G2335" s="19" t="s">
        <v>28</v>
      </c>
      <c r="H2335" s="19" t="s">
        <v>28</v>
      </c>
      <c r="I2335" s="18" t="s">
        <v>28</v>
      </c>
      <c r="J2335" s="18" t="s">
        <v>28</v>
      </c>
      <c r="K2335" s="18" t="s">
        <v>28</v>
      </c>
      <c r="L2335" s="18" t="s">
        <v>28</v>
      </c>
      <c r="M2335" s="18" t="s">
        <v>28</v>
      </c>
      <c r="N2335" s="17">
        <v>44927</v>
      </c>
      <c r="O2335" s="15" t="s">
        <v>52</v>
      </c>
      <c r="P2335" s="16" t="s">
        <v>1970</v>
      </c>
      <c r="Q2335" s="15" t="s">
        <v>285</v>
      </c>
      <c r="R2335" s="13" t="str">
        <f>HYPERLINK("https://my.pitchbook.com?c=295726-24T","View Company Online")</f>
        <v>View Company Online</v>
      </c>
    </row>
    <row r="2336" spans="1:18" hidden="1" x14ac:dyDescent="0.3">
      <c r="A2336" s="9" t="s">
        <v>7994</v>
      </c>
      <c r="B2336" s="9" t="s">
        <v>5692</v>
      </c>
      <c r="C2336" s="11" t="s">
        <v>28</v>
      </c>
      <c r="D2336" s="9" t="s">
        <v>5693</v>
      </c>
      <c r="E2336" s="11" t="s">
        <v>28</v>
      </c>
      <c r="F2336" s="10" t="s">
        <v>28</v>
      </c>
      <c r="G2336" s="10" t="s">
        <v>28</v>
      </c>
      <c r="H2336" s="10" t="s">
        <v>28</v>
      </c>
      <c r="I2336" s="11" t="s">
        <v>28</v>
      </c>
      <c r="J2336" s="11" t="s">
        <v>28</v>
      </c>
      <c r="K2336" s="11" t="s">
        <v>28</v>
      </c>
      <c r="L2336" s="11" t="s">
        <v>28</v>
      </c>
      <c r="M2336" s="11" t="s">
        <v>28</v>
      </c>
      <c r="N2336" s="8">
        <v>44927</v>
      </c>
      <c r="O2336" s="9" t="s">
        <v>52</v>
      </c>
      <c r="P2336" s="12" t="s">
        <v>1662</v>
      </c>
      <c r="Q2336" s="9" t="s">
        <v>75</v>
      </c>
      <c r="R2336" s="14" t="str">
        <f>HYPERLINK("https://my.pitchbook.com?c=264125-62T","View Company Online")</f>
        <v>View Company Online</v>
      </c>
    </row>
    <row r="2337" spans="1:18" hidden="1" x14ac:dyDescent="0.3">
      <c r="A2337" s="15" t="s">
        <v>7995</v>
      </c>
      <c r="B2337" s="15" t="s">
        <v>7996</v>
      </c>
      <c r="C2337" s="18" t="s">
        <v>28</v>
      </c>
      <c r="D2337" s="15" t="s">
        <v>7997</v>
      </c>
      <c r="E2337" s="18" t="s">
        <v>28</v>
      </c>
      <c r="F2337" s="19" t="s">
        <v>28</v>
      </c>
      <c r="G2337" s="19" t="s">
        <v>28</v>
      </c>
      <c r="H2337" s="19" t="s">
        <v>28</v>
      </c>
      <c r="I2337" s="18" t="s">
        <v>28</v>
      </c>
      <c r="J2337" s="18" t="s">
        <v>28</v>
      </c>
      <c r="K2337" s="18" t="s">
        <v>28</v>
      </c>
      <c r="L2337" s="18" t="s">
        <v>28</v>
      </c>
      <c r="M2337" s="18" t="s">
        <v>28</v>
      </c>
      <c r="N2337" s="17">
        <v>44927</v>
      </c>
      <c r="O2337" s="15" t="s">
        <v>52</v>
      </c>
      <c r="P2337" s="16" t="s">
        <v>1970</v>
      </c>
      <c r="Q2337" s="15" t="s">
        <v>37</v>
      </c>
      <c r="R2337" s="13" t="str">
        <f>HYPERLINK("https://my.pitchbook.com?c=295566-76T","View Company Online")</f>
        <v>View Company Online</v>
      </c>
    </row>
    <row r="2338" spans="1:18" hidden="1" x14ac:dyDescent="0.3">
      <c r="A2338" s="9" t="s">
        <v>7998</v>
      </c>
      <c r="B2338" s="9" t="s">
        <v>7999</v>
      </c>
      <c r="C2338" s="11" t="s">
        <v>28</v>
      </c>
      <c r="D2338" s="9" t="s">
        <v>8000</v>
      </c>
      <c r="E2338" s="11" t="s">
        <v>28</v>
      </c>
      <c r="F2338" s="10" t="s">
        <v>28</v>
      </c>
      <c r="G2338" s="10" t="s">
        <v>28</v>
      </c>
      <c r="H2338" s="10" t="s">
        <v>28</v>
      </c>
      <c r="I2338" s="11" t="s">
        <v>28</v>
      </c>
      <c r="J2338" s="11" t="s">
        <v>28</v>
      </c>
      <c r="K2338" s="11" t="s">
        <v>28</v>
      </c>
      <c r="L2338" s="11" t="s">
        <v>28</v>
      </c>
      <c r="M2338" s="11" t="s">
        <v>28</v>
      </c>
      <c r="N2338" s="8">
        <v>44927</v>
      </c>
      <c r="O2338" s="9" t="s">
        <v>52</v>
      </c>
      <c r="P2338" s="12" t="s">
        <v>1970</v>
      </c>
      <c r="Q2338" s="9" t="s">
        <v>75</v>
      </c>
      <c r="R2338" s="14" t="str">
        <f>HYPERLINK("https://my.pitchbook.com?c=295569-55T","View Company Online")</f>
        <v>View Company Online</v>
      </c>
    </row>
    <row r="2339" spans="1:18" hidden="1" x14ac:dyDescent="0.3">
      <c r="A2339" s="15" t="s">
        <v>8001</v>
      </c>
      <c r="B2339" s="15" t="s">
        <v>8002</v>
      </c>
      <c r="C2339" s="18" t="s">
        <v>28</v>
      </c>
      <c r="D2339" s="15" t="s">
        <v>8003</v>
      </c>
      <c r="E2339" s="18" t="s">
        <v>28</v>
      </c>
      <c r="F2339" s="19" t="s">
        <v>28</v>
      </c>
      <c r="G2339" s="19" t="s">
        <v>28</v>
      </c>
      <c r="H2339" s="19" t="s">
        <v>28</v>
      </c>
      <c r="I2339" s="18" t="s">
        <v>28</v>
      </c>
      <c r="J2339" s="18" t="s">
        <v>28</v>
      </c>
      <c r="K2339" s="18" t="s">
        <v>28</v>
      </c>
      <c r="L2339" s="18" t="s">
        <v>28</v>
      </c>
      <c r="M2339" s="18" t="s">
        <v>28</v>
      </c>
      <c r="N2339" s="17">
        <v>44927</v>
      </c>
      <c r="O2339" s="15" t="s">
        <v>52</v>
      </c>
      <c r="P2339" s="16" t="s">
        <v>2442</v>
      </c>
      <c r="Q2339" s="15" t="s">
        <v>75</v>
      </c>
      <c r="R2339" s="13" t="str">
        <f>HYPERLINK("https://my.pitchbook.com?c=265154-86T","View Company Online")</f>
        <v>View Company Online</v>
      </c>
    </row>
    <row r="2340" spans="1:18" hidden="1" x14ac:dyDescent="0.3">
      <c r="A2340" s="9" t="s">
        <v>8004</v>
      </c>
      <c r="B2340" s="9" t="s">
        <v>5037</v>
      </c>
      <c r="C2340" s="11" t="s">
        <v>28</v>
      </c>
      <c r="D2340" s="9" t="s">
        <v>5038</v>
      </c>
      <c r="E2340" s="11" t="s">
        <v>28</v>
      </c>
      <c r="F2340" s="10" t="s">
        <v>28</v>
      </c>
      <c r="G2340" s="10" t="s">
        <v>28</v>
      </c>
      <c r="H2340" s="10" t="s">
        <v>28</v>
      </c>
      <c r="I2340" s="11" t="s">
        <v>28</v>
      </c>
      <c r="J2340" s="11" t="s">
        <v>28</v>
      </c>
      <c r="K2340" s="11" t="s">
        <v>28</v>
      </c>
      <c r="L2340" s="11" t="s">
        <v>28</v>
      </c>
      <c r="M2340" s="11" t="s">
        <v>28</v>
      </c>
      <c r="N2340" s="8">
        <v>44927</v>
      </c>
      <c r="O2340" s="9" t="s">
        <v>52</v>
      </c>
      <c r="P2340" s="12" t="s">
        <v>2830</v>
      </c>
      <c r="Q2340" s="9" t="s">
        <v>75</v>
      </c>
      <c r="R2340" s="14" t="str">
        <f>HYPERLINK("https://my.pitchbook.com?c=266464-72T","View Company Online")</f>
        <v>View Company Online</v>
      </c>
    </row>
    <row r="2341" spans="1:18" hidden="1" x14ac:dyDescent="0.3">
      <c r="A2341" s="15" t="s">
        <v>8005</v>
      </c>
      <c r="B2341" s="15" t="s">
        <v>8006</v>
      </c>
      <c r="C2341" s="18" t="s">
        <v>28</v>
      </c>
      <c r="D2341" s="15" t="s">
        <v>8007</v>
      </c>
      <c r="E2341" s="18" t="s">
        <v>28</v>
      </c>
      <c r="F2341" s="19" t="s">
        <v>28</v>
      </c>
      <c r="G2341" s="19" t="s">
        <v>28</v>
      </c>
      <c r="H2341" s="19" t="s">
        <v>28</v>
      </c>
      <c r="I2341" s="18" t="s">
        <v>28</v>
      </c>
      <c r="J2341" s="18" t="s">
        <v>28</v>
      </c>
      <c r="K2341" s="18" t="s">
        <v>28</v>
      </c>
      <c r="L2341" s="18" t="s">
        <v>28</v>
      </c>
      <c r="M2341" s="18" t="s">
        <v>28</v>
      </c>
      <c r="N2341" s="17">
        <v>44927</v>
      </c>
      <c r="O2341" s="15" t="s">
        <v>52</v>
      </c>
      <c r="P2341" s="16" t="s">
        <v>8008</v>
      </c>
      <c r="Q2341" s="15" t="s">
        <v>105</v>
      </c>
      <c r="R2341" s="13" t="str">
        <f>HYPERLINK("https://my.pitchbook.com?c=288589-24T","View Company Online")</f>
        <v>View Company Online</v>
      </c>
    </row>
    <row r="2342" spans="1:18" hidden="1" x14ac:dyDescent="0.3">
      <c r="A2342" s="9" t="s">
        <v>8009</v>
      </c>
      <c r="B2342" s="9" t="s">
        <v>8010</v>
      </c>
      <c r="C2342" s="11" t="s">
        <v>28</v>
      </c>
      <c r="D2342" s="9" t="s">
        <v>8011</v>
      </c>
      <c r="E2342" s="11" t="s">
        <v>28</v>
      </c>
      <c r="F2342" s="10" t="s">
        <v>28</v>
      </c>
      <c r="G2342" s="10" t="s">
        <v>28</v>
      </c>
      <c r="H2342" s="10" t="s">
        <v>28</v>
      </c>
      <c r="I2342" s="11" t="s">
        <v>28</v>
      </c>
      <c r="J2342" s="11" t="s">
        <v>28</v>
      </c>
      <c r="K2342" s="11" t="s">
        <v>28</v>
      </c>
      <c r="L2342" s="11" t="s">
        <v>28</v>
      </c>
      <c r="M2342" s="11" t="s">
        <v>28</v>
      </c>
      <c r="N2342" s="8">
        <v>44927</v>
      </c>
      <c r="O2342" s="9" t="s">
        <v>52</v>
      </c>
      <c r="P2342" s="12" t="s">
        <v>2830</v>
      </c>
      <c r="Q2342" s="9" t="s">
        <v>75</v>
      </c>
      <c r="R2342" s="14" t="str">
        <f>HYPERLINK("https://my.pitchbook.com?c=292813-21T","View Company Online")</f>
        <v>View Company Online</v>
      </c>
    </row>
    <row r="2343" spans="1:18" hidden="1" x14ac:dyDescent="0.3">
      <c r="A2343" s="15" t="s">
        <v>8012</v>
      </c>
      <c r="B2343" s="15" t="s">
        <v>1559</v>
      </c>
      <c r="C2343" s="18" t="s">
        <v>28</v>
      </c>
      <c r="D2343" s="15" t="s">
        <v>1560</v>
      </c>
      <c r="E2343" s="18" t="s">
        <v>28</v>
      </c>
      <c r="F2343" s="19" t="s">
        <v>28</v>
      </c>
      <c r="G2343" s="19" t="s">
        <v>28</v>
      </c>
      <c r="H2343" s="19" t="s">
        <v>28</v>
      </c>
      <c r="I2343" s="18" t="s">
        <v>28</v>
      </c>
      <c r="J2343" s="18" t="s">
        <v>28</v>
      </c>
      <c r="K2343" s="18" t="s">
        <v>28</v>
      </c>
      <c r="L2343" s="18" t="s">
        <v>28</v>
      </c>
      <c r="M2343" s="18" t="s">
        <v>28</v>
      </c>
      <c r="N2343" s="17">
        <v>44927</v>
      </c>
      <c r="O2343" s="15" t="s">
        <v>52</v>
      </c>
      <c r="P2343" s="16" t="s">
        <v>8013</v>
      </c>
      <c r="Q2343" s="15" t="s">
        <v>213</v>
      </c>
      <c r="R2343" s="13" t="str">
        <f>HYPERLINK("https://my.pitchbook.com?c=281306-62T","View Company Online")</f>
        <v>View Company Online</v>
      </c>
    </row>
    <row r="2344" spans="1:18" hidden="1" x14ac:dyDescent="0.3">
      <c r="A2344" s="9" t="s">
        <v>8014</v>
      </c>
      <c r="B2344" s="9" t="s">
        <v>8015</v>
      </c>
      <c r="C2344" s="11" t="s">
        <v>28</v>
      </c>
      <c r="D2344" s="9" t="s">
        <v>8016</v>
      </c>
      <c r="E2344" s="11" t="s">
        <v>28</v>
      </c>
      <c r="F2344" s="10" t="s">
        <v>28</v>
      </c>
      <c r="G2344" s="10" t="s">
        <v>28</v>
      </c>
      <c r="H2344" s="10" t="s">
        <v>28</v>
      </c>
      <c r="I2344" s="11" t="s">
        <v>28</v>
      </c>
      <c r="J2344" s="11" t="s">
        <v>28</v>
      </c>
      <c r="K2344" s="11" t="s">
        <v>28</v>
      </c>
      <c r="L2344" s="11" t="s">
        <v>28</v>
      </c>
      <c r="M2344" s="11" t="s">
        <v>28</v>
      </c>
      <c r="N2344" s="8">
        <v>44927</v>
      </c>
      <c r="O2344" s="9" t="s">
        <v>52</v>
      </c>
      <c r="P2344" s="12" t="s">
        <v>1970</v>
      </c>
      <c r="Q2344" s="9" t="s">
        <v>43</v>
      </c>
      <c r="R2344" s="14" t="str">
        <f>HYPERLINK("https://my.pitchbook.com?c=295716-34T","View Company Online")</f>
        <v>View Company Online</v>
      </c>
    </row>
    <row r="2345" spans="1:18" hidden="1" x14ac:dyDescent="0.3">
      <c r="A2345" s="15" t="s">
        <v>8017</v>
      </c>
      <c r="B2345" s="15" t="s">
        <v>8018</v>
      </c>
      <c r="C2345" s="18" t="s">
        <v>28</v>
      </c>
      <c r="D2345" s="15" t="s">
        <v>8019</v>
      </c>
      <c r="E2345" s="18" t="s">
        <v>28</v>
      </c>
      <c r="F2345" s="19" t="s">
        <v>28</v>
      </c>
      <c r="G2345" s="19">
        <v>8</v>
      </c>
      <c r="H2345" s="19">
        <v>25</v>
      </c>
      <c r="I2345" s="18" t="s">
        <v>28</v>
      </c>
      <c r="J2345" s="18" t="s">
        <v>28</v>
      </c>
      <c r="K2345" s="18" t="s">
        <v>28</v>
      </c>
      <c r="L2345" s="18" t="s">
        <v>28</v>
      </c>
      <c r="M2345" s="18" t="s">
        <v>28</v>
      </c>
      <c r="N2345" s="17">
        <v>44927</v>
      </c>
      <c r="O2345" s="15" t="s">
        <v>93</v>
      </c>
      <c r="P2345" s="16" t="s">
        <v>8020</v>
      </c>
      <c r="Q2345" s="15" t="s">
        <v>2988</v>
      </c>
      <c r="R2345" s="13" t="str">
        <f>HYPERLINK("https://my.pitchbook.com?c=215155-81T","View Company Online")</f>
        <v>View Company Online</v>
      </c>
    </row>
    <row r="2346" spans="1:18" hidden="1" x14ac:dyDescent="0.3">
      <c r="A2346" s="9" t="s">
        <v>8021</v>
      </c>
      <c r="B2346" s="9" t="s">
        <v>8022</v>
      </c>
      <c r="C2346" s="11" t="s">
        <v>28</v>
      </c>
      <c r="D2346" s="9" t="s">
        <v>8023</v>
      </c>
      <c r="E2346" s="11" t="s">
        <v>28</v>
      </c>
      <c r="F2346" s="10" t="s">
        <v>28</v>
      </c>
      <c r="G2346" s="10" t="s">
        <v>28</v>
      </c>
      <c r="H2346" s="10" t="s">
        <v>28</v>
      </c>
      <c r="I2346" s="11" t="s">
        <v>28</v>
      </c>
      <c r="J2346" s="11" t="s">
        <v>28</v>
      </c>
      <c r="K2346" s="11" t="s">
        <v>28</v>
      </c>
      <c r="L2346" s="11" t="s">
        <v>28</v>
      </c>
      <c r="M2346" s="11" t="s">
        <v>28</v>
      </c>
      <c r="N2346" s="8">
        <v>44927</v>
      </c>
      <c r="O2346" s="9" t="s">
        <v>52</v>
      </c>
      <c r="P2346" s="12" t="s">
        <v>1970</v>
      </c>
      <c r="Q2346" s="9" t="s">
        <v>3912</v>
      </c>
      <c r="R2346" s="14" t="str">
        <f>HYPERLINK("https://my.pitchbook.com?c=295319-26T","View Company Online")</f>
        <v>View Company Online</v>
      </c>
    </row>
    <row r="2347" spans="1:18" hidden="1" x14ac:dyDescent="0.3">
      <c r="A2347" s="15" t="s">
        <v>8024</v>
      </c>
      <c r="B2347" s="15" t="s">
        <v>8025</v>
      </c>
      <c r="C2347" s="18" t="s">
        <v>28</v>
      </c>
      <c r="D2347" s="15" t="s">
        <v>8026</v>
      </c>
      <c r="E2347" s="18" t="s">
        <v>28</v>
      </c>
      <c r="F2347" s="19" t="s">
        <v>28</v>
      </c>
      <c r="G2347" s="19" t="s">
        <v>28</v>
      </c>
      <c r="H2347" s="19" t="s">
        <v>28</v>
      </c>
      <c r="I2347" s="18" t="s">
        <v>28</v>
      </c>
      <c r="J2347" s="18" t="s">
        <v>28</v>
      </c>
      <c r="K2347" s="18" t="s">
        <v>28</v>
      </c>
      <c r="L2347" s="18" t="s">
        <v>28</v>
      </c>
      <c r="M2347" s="18" t="s">
        <v>28</v>
      </c>
      <c r="N2347" s="17">
        <v>44927</v>
      </c>
      <c r="O2347" s="15" t="s">
        <v>379</v>
      </c>
      <c r="P2347" s="16" t="s">
        <v>8027</v>
      </c>
      <c r="Q2347" s="15" t="s">
        <v>245</v>
      </c>
      <c r="R2347" s="13" t="str">
        <f>HYPERLINK("https://my.pitchbook.com?c=272758-87T","View Company Online")</f>
        <v>View Company Online</v>
      </c>
    </row>
    <row r="2348" spans="1:18" hidden="1" x14ac:dyDescent="0.3">
      <c r="A2348" s="9" t="s">
        <v>8028</v>
      </c>
      <c r="B2348" s="9" t="s">
        <v>8029</v>
      </c>
      <c r="C2348" s="11" t="s">
        <v>28</v>
      </c>
      <c r="D2348" s="9" t="s">
        <v>8030</v>
      </c>
      <c r="E2348" s="11" t="s">
        <v>28</v>
      </c>
      <c r="F2348" s="10" t="s">
        <v>28</v>
      </c>
      <c r="G2348" s="10" t="s">
        <v>28</v>
      </c>
      <c r="H2348" s="10" t="s">
        <v>28</v>
      </c>
      <c r="I2348" s="11" t="s">
        <v>28</v>
      </c>
      <c r="J2348" s="11" t="s">
        <v>28</v>
      </c>
      <c r="K2348" s="11" t="s">
        <v>28</v>
      </c>
      <c r="L2348" s="11" t="s">
        <v>28</v>
      </c>
      <c r="M2348" s="11" t="s">
        <v>28</v>
      </c>
      <c r="N2348" s="8">
        <v>44927</v>
      </c>
      <c r="O2348" s="9" t="s">
        <v>30</v>
      </c>
      <c r="P2348" s="12" t="s">
        <v>8031</v>
      </c>
      <c r="Q2348" s="9" t="s">
        <v>362</v>
      </c>
      <c r="R2348" s="14" t="str">
        <f>HYPERLINK("https://my.pitchbook.com?c=268182-46T","View Company Online")</f>
        <v>View Company Online</v>
      </c>
    </row>
    <row r="2349" spans="1:18" hidden="1" x14ac:dyDescent="0.3">
      <c r="A2349" s="15" t="s">
        <v>8032</v>
      </c>
      <c r="B2349" s="15" t="s">
        <v>8033</v>
      </c>
      <c r="C2349" s="18" t="s">
        <v>28</v>
      </c>
      <c r="D2349" s="15" t="s">
        <v>8034</v>
      </c>
      <c r="E2349" s="18" t="s">
        <v>28</v>
      </c>
      <c r="F2349" s="19" t="s">
        <v>28</v>
      </c>
      <c r="G2349" s="19" t="s">
        <v>28</v>
      </c>
      <c r="H2349" s="19" t="s">
        <v>28</v>
      </c>
      <c r="I2349" s="18" t="s">
        <v>28</v>
      </c>
      <c r="J2349" s="18" t="s">
        <v>28</v>
      </c>
      <c r="K2349" s="18" t="s">
        <v>28</v>
      </c>
      <c r="L2349" s="18" t="s">
        <v>28</v>
      </c>
      <c r="M2349" s="18" t="s">
        <v>28</v>
      </c>
      <c r="N2349" s="17">
        <v>44927</v>
      </c>
      <c r="O2349" s="15" t="s">
        <v>52</v>
      </c>
      <c r="P2349" s="16" t="s">
        <v>1970</v>
      </c>
      <c r="Q2349" s="15" t="s">
        <v>8035</v>
      </c>
      <c r="R2349" s="13" t="str">
        <f>HYPERLINK("https://my.pitchbook.com?c=241728-31T","View Company Online")</f>
        <v>View Company Online</v>
      </c>
    </row>
    <row r="2350" spans="1:18" hidden="1" x14ac:dyDescent="0.3">
      <c r="A2350" s="9" t="s">
        <v>8036</v>
      </c>
      <c r="B2350" s="9" t="s">
        <v>8037</v>
      </c>
      <c r="C2350" s="11" t="s">
        <v>28</v>
      </c>
      <c r="D2350" s="9" t="s">
        <v>8038</v>
      </c>
      <c r="E2350" s="11" t="s">
        <v>28</v>
      </c>
      <c r="F2350" s="10" t="s">
        <v>28</v>
      </c>
      <c r="G2350" s="10" t="s">
        <v>28</v>
      </c>
      <c r="H2350" s="10" t="s">
        <v>28</v>
      </c>
      <c r="I2350" s="11" t="s">
        <v>28</v>
      </c>
      <c r="J2350" s="11" t="s">
        <v>28</v>
      </c>
      <c r="K2350" s="11" t="s">
        <v>28</v>
      </c>
      <c r="L2350" s="11" t="s">
        <v>28</v>
      </c>
      <c r="M2350" s="11" t="s">
        <v>28</v>
      </c>
      <c r="N2350" s="8">
        <v>44927</v>
      </c>
      <c r="O2350" s="9" t="s">
        <v>73</v>
      </c>
      <c r="P2350" s="12" t="s">
        <v>8039</v>
      </c>
      <c r="Q2350" s="9" t="s">
        <v>75</v>
      </c>
      <c r="R2350" s="14" t="str">
        <f>HYPERLINK("https://my.pitchbook.com?c=242208-10T","View Company Online")</f>
        <v>View Company Online</v>
      </c>
    </row>
    <row r="2351" spans="1:18" hidden="1" x14ac:dyDescent="0.3">
      <c r="A2351" s="15" t="s">
        <v>8040</v>
      </c>
      <c r="B2351" s="15" t="s">
        <v>4681</v>
      </c>
      <c r="C2351" s="18" t="s">
        <v>28</v>
      </c>
      <c r="D2351" s="15" t="s">
        <v>4682</v>
      </c>
      <c r="E2351" s="18" t="s">
        <v>28</v>
      </c>
      <c r="F2351" s="19" t="s">
        <v>28</v>
      </c>
      <c r="G2351" s="19" t="s">
        <v>28</v>
      </c>
      <c r="H2351" s="19" t="s">
        <v>28</v>
      </c>
      <c r="I2351" s="18" t="s">
        <v>28</v>
      </c>
      <c r="J2351" s="18" t="s">
        <v>28</v>
      </c>
      <c r="K2351" s="18" t="s">
        <v>28</v>
      </c>
      <c r="L2351" s="18" t="s">
        <v>28</v>
      </c>
      <c r="M2351" s="18" t="s">
        <v>28</v>
      </c>
      <c r="N2351" s="17">
        <v>44927</v>
      </c>
      <c r="O2351" s="15" t="s">
        <v>52</v>
      </c>
      <c r="P2351" s="16" t="s">
        <v>1662</v>
      </c>
      <c r="Q2351" s="15" t="s">
        <v>75</v>
      </c>
      <c r="R2351" s="13" t="str">
        <f>HYPERLINK("https://my.pitchbook.com?c=264120-40T","View Company Online")</f>
        <v>View Company Online</v>
      </c>
    </row>
    <row r="2352" spans="1:18" hidden="1" x14ac:dyDescent="0.3">
      <c r="A2352" s="9" t="s">
        <v>8041</v>
      </c>
      <c r="B2352" s="9" t="s">
        <v>8042</v>
      </c>
      <c r="C2352" s="11" t="s">
        <v>28</v>
      </c>
      <c r="D2352" s="9" t="s">
        <v>8043</v>
      </c>
      <c r="E2352" s="11" t="s">
        <v>28</v>
      </c>
      <c r="F2352" s="10" t="s">
        <v>28</v>
      </c>
      <c r="G2352" s="10" t="s">
        <v>28</v>
      </c>
      <c r="H2352" s="10" t="s">
        <v>28</v>
      </c>
      <c r="I2352" s="11" t="s">
        <v>28</v>
      </c>
      <c r="J2352" s="11" t="s">
        <v>28</v>
      </c>
      <c r="K2352" s="11" t="s">
        <v>28</v>
      </c>
      <c r="L2352" s="11" t="s">
        <v>28</v>
      </c>
      <c r="M2352" s="11" t="s">
        <v>28</v>
      </c>
      <c r="N2352" s="8">
        <v>44927</v>
      </c>
      <c r="O2352" s="9" t="s">
        <v>52</v>
      </c>
      <c r="P2352" s="12" t="s">
        <v>1880</v>
      </c>
      <c r="Q2352" s="9" t="s">
        <v>75</v>
      </c>
      <c r="R2352" s="14" t="str">
        <f>HYPERLINK("https://my.pitchbook.com?c=261287-56T","View Company Online")</f>
        <v>View Company Online</v>
      </c>
    </row>
    <row r="2353" spans="1:18" hidden="1" x14ac:dyDescent="0.3">
      <c r="A2353" s="15" t="s">
        <v>8044</v>
      </c>
      <c r="B2353" s="15" t="s">
        <v>8042</v>
      </c>
      <c r="C2353" s="18" t="s">
        <v>28</v>
      </c>
      <c r="D2353" s="15" t="s">
        <v>8043</v>
      </c>
      <c r="E2353" s="18" t="s">
        <v>28</v>
      </c>
      <c r="F2353" s="19" t="s">
        <v>28</v>
      </c>
      <c r="G2353" s="19" t="s">
        <v>28</v>
      </c>
      <c r="H2353" s="19" t="s">
        <v>28</v>
      </c>
      <c r="I2353" s="18" t="s">
        <v>28</v>
      </c>
      <c r="J2353" s="18" t="s">
        <v>28</v>
      </c>
      <c r="K2353" s="18" t="s">
        <v>28</v>
      </c>
      <c r="L2353" s="18" t="s">
        <v>28</v>
      </c>
      <c r="M2353" s="18" t="s">
        <v>28</v>
      </c>
      <c r="N2353" s="17">
        <v>44927</v>
      </c>
      <c r="O2353" s="15" t="s">
        <v>52</v>
      </c>
      <c r="P2353" s="16" t="s">
        <v>8045</v>
      </c>
      <c r="Q2353" s="15" t="s">
        <v>75</v>
      </c>
      <c r="R2353" s="13" t="str">
        <f>HYPERLINK("https://my.pitchbook.com?c=261295-48T","View Company Online")</f>
        <v>View Company Online</v>
      </c>
    </row>
    <row r="2354" spans="1:18" hidden="1" x14ac:dyDescent="0.3">
      <c r="A2354" s="9" t="s">
        <v>8046</v>
      </c>
      <c r="B2354" s="9" t="s">
        <v>8047</v>
      </c>
      <c r="C2354" s="11" t="s">
        <v>28</v>
      </c>
      <c r="D2354" s="9" t="s">
        <v>8048</v>
      </c>
      <c r="E2354" s="11" t="s">
        <v>28</v>
      </c>
      <c r="F2354" s="10" t="s">
        <v>28</v>
      </c>
      <c r="G2354" s="10" t="s">
        <v>28</v>
      </c>
      <c r="H2354" s="10" t="s">
        <v>28</v>
      </c>
      <c r="I2354" s="11" t="s">
        <v>28</v>
      </c>
      <c r="J2354" s="11" t="s">
        <v>28</v>
      </c>
      <c r="K2354" s="11" t="s">
        <v>28</v>
      </c>
      <c r="L2354" s="11" t="s">
        <v>28</v>
      </c>
      <c r="M2354" s="11" t="s">
        <v>28</v>
      </c>
      <c r="N2354" s="8">
        <v>44927</v>
      </c>
      <c r="O2354" s="9" t="s">
        <v>52</v>
      </c>
      <c r="P2354" s="12" t="s">
        <v>1662</v>
      </c>
      <c r="Q2354" s="9" t="s">
        <v>37</v>
      </c>
      <c r="R2354" s="14" t="str">
        <f>HYPERLINK("https://my.pitchbook.com?c=264121-21T","View Company Online")</f>
        <v>View Company Online</v>
      </c>
    </row>
    <row r="2355" spans="1:18" hidden="1" x14ac:dyDescent="0.3">
      <c r="A2355" s="15" t="s">
        <v>8049</v>
      </c>
      <c r="B2355" s="15" t="s">
        <v>3211</v>
      </c>
      <c r="C2355" s="18" t="s">
        <v>28</v>
      </c>
      <c r="D2355" s="15" t="s">
        <v>3212</v>
      </c>
      <c r="E2355" s="18" t="s">
        <v>28</v>
      </c>
      <c r="F2355" s="19" t="s">
        <v>28</v>
      </c>
      <c r="G2355" s="19" t="s">
        <v>28</v>
      </c>
      <c r="H2355" s="19" t="s">
        <v>28</v>
      </c>
      <c r="I2355" s="18" t="s">
        <v>28</v>
      </c>
      <c r="J2355" s="18" t="s">
        <v>28</v>
      </c>
      <c r="K2355" s="18" t="s">
        <v>28</v>
      </c>
      <c r="L2355" s="18" t="s">
        <v>28</v>
      </c>
      <c r="M2355" s="18" t="s">
        <v>28</v>
      </c>
      <c r="N2355" s="17">
        <v>44927</v>
      </c>
      <c r="O2355" s="15" t="s">
        <v>52</v>
      </c>
      <c r="P2355" s="16" t="s">
        <v>1970</v>
      </c>
      <c r="Q2355" s="15" t="s">
        <v>75</v>
      </c>
      <c r="R2355" s="13" t="str">
        <f>HYPERLINK("https://my.pitchbook.com?c=292139-47T","View Company Online")</f>
        <v>View Company Online</v>
      </c>
    </row>
    <row r="2356" spans="1:18" hidden="1" x14ac:dyDescent="0.3">
      <c r="A2356" s="9" t="s">
        <v>8050</v>
      </c>
      <c r="B2356" s="9" t="s">
        <v>5977</v>
      </c>
      <c r="C2356" s="11" t="s">
        <v>28</v>
      </c>
      <c r="D2356" s="9" t="s">
        <v>5978</v>
      </c>
      <c r="E2356" s="11" t="s">
        <v>28</v>
      </c>
      <c r="F2356" s="10" t="s">
        <v>28</v>
      </c>
      <c r="G2356" s="10" t="s">
        <v>28</v>
      </c>
      <c r="H2356" s="10" t="s">
        <v>28</v>
      </c>
      <c r="I2356" s="11" t="s">
        <v>28</v>
      </c>
      <c r="J2356" s="11" t="s">
        <v>28</v>
      </c>
      <c r="K2356" s="11" t="s">
        <v>28</v>
      </c>
      <c r="L2356" s="11" t="s">
        <v>28</v>
      </c>
      <c r="M2356" s="11" t="s">
        <v>28</v>
      </c>
      <c r="N2356" s="8">
        <v>44927</v>
      </c>
      <c r="O2356" s="9" t="s">
        <v>52</v>
      </c>
      <c r="P2356" s="12" t="s">
        <v>1662</v>
      </c>
      <c r="Q2356" s="9" t="s">
        <v>75</v>
      </c>
      <c r="R2356" s="14" t="str">
        <f>HYPERLINK("https://my.pitchbook.com?c=264121-39T","View Company Online")</f>
        <v>View Company Online</v>
      </c>
    </row>
    <row r="2357" spans="1:18" hidden="1" x14ac:dyDescent="0.3">
      <c r="A2357" s="15" t="s">
        <v>8051</v>
      </c>
      <c r="B2357" s="15" t="s">
        <v>8052</v>
      </c>
      <c r="C2357" s="18" t="s">
        <v>28</v>
      </c>
      <c r="D2357" s="15" t="s">
        <v>8053</v>
      </c>
      <c r="E2357" s="18" t="s">
        <v>28</v>
      </c>
      <c r="F2357" s="19" t="s">
        <v>28</v>
      </c>
      <c r="G2357" s="19" t="s">
        <v>28</v>
      </c>
      <c r="H2357" s="19" t="s">
        <v>28</v>
      </c>
      <c r="I2357" s="18" t="s">
        <v>28</v>
      </c>
      <c r="J2357" s="18" t="s">
        <v>28</v>
      </c>
      <c r="K2357" s="18" t="s">
        <v>28</v>
      </c>
      <c r="L2357" s="18" t="s">
        <v>28</v>
      </c>
      <c r="M2357" s="18" t="s">
        <v>28</v>
      </c>
      <c r="N2357" s="17">
        <v>44927</v>
      </c>
      <c r="O2357" s="15" t="s">
        <v>52</v>
      </c>
      <c r="P2357" s="16" t="s">
        <v>1970</v>
      </c>
      <c r="Q2357" s="15" t="s">
        <v>3912</v>
      </c>
      <c r="R2357" s="13" t="str">
        <f>HYPERLINK("https://my.pitchbook.com?c=295931-62T","View Company Online")</f>
        <v>View Company Online</v>
      </c>
    </row>
    <row r="2358" spans="1:18" hidden="1" x14ac:dyDescent="0.3">
      <c r="A2358" s="9" t="s">
        <v>8054</v>
      </c>
      <c r="B2358" s="9" t="s">
        <v>8055</v>
      </c>
      <c r="C2358" s="11" t="s">
        <v>28</v>
      </c>
      <c r="D2358" s="9" t="s">
        <v>8056</v>
      </c>
      <c r="E2358" s="11" t="s">
        <v>28</v>
      </c>
      <c r="F2358" s="10" t="s">
        <v>28</v>
      </c>
      <c r="G2358" s="10" t="s">
        <v>28</v>
      </c>
      <c r="H2358" s="10" t="s">
        <v>28</v>
      </c>
      <c r="I2358" s="11" t="s">
        <v>28</v>
      </c>
      <c r="J2358" s="11" t="s">
        <v>28</v>
      </c>
      <c r="K2358" s="11" t="s">
        <v>28</v>
      </c>
      <c r="L2358" s="11" t="s">
        <v>28</v>
      </c>
      <c r="M2358" s="11" t="s">
        <v>28</v>
      </c>
      <c r="N2358" s="8">
        <v>44927</v>
      </c>
      <c r="O2358" s="9" t="s">
        <v>379</v>
      </c>
      <c r="P2358" s="12" t="s">
        <v>28</v>
      </c>
      <c r="Q2358" s="9" t="s">
        <v>399</v>
      </c>
      <c r="R2358" s="14" t="str">
        <f>HYPERLINK("https://my.pitchbook.com?c=293572-72T","View Company Online")</f>
        <v>View Company Online</v>
      </c>
    </row>
    <row r="2359" spans="1:18" hidden="1" x14ac:dyDescent="0.3">
      <c r="A2359" s="15" t="s">
        <v>8057</v>
      </c>
      <c r="B2359" s="15" t="s">
        <v>8058</v>
      </c>
      <c r="C2359" s="18" t="s">
        <v>28</v>
      </c>
      <c r="D2359" s="15" t="s">
        <v>8059</v>
      </c>
      <c r="E2359" s="18" t="s">
        <v>28</v>
      </c>
      <c r="F2359" s="19" t="s">
        <v>28</v>
      </c>
      <c r="G2359" s="19" t="s">
        <v>28</v>
      </c>
      <c r="H2359" s="19" t="s">
        <v>28</v>
      </c>
      <c r="I2359" s="18" t="s">
        <v>28</v>
      </c>
      <c r="J2359" s="18" t="s">
        <v>28</v>
      </c>
      <c r="K2359" s="18" t="s">
        <v>28</v>
      </c>
      <c r="L2359" s="18" t="s">
        <v>28</v>
      </c>
      <c r="M2359" s="18" t="s">
        <v>28</v>
      </c>
      <c r="N2359" s="17">
        <v>44927</v>
      </c>
      <c r="O2359" s="15" t="s">
        <v>52</v>
      </c>
      <c r="P2359" s="16" t="s">
        <v>1970</v>
      </c>
      <c r="Q2359" s="15" t="s">
        <v>75</v>
      </c>
      <c r="R2359" s="13" t="str">
        <f>HYPERLINK("https://my.pitchbook.com?c=295768-72T","View Company Online")</f>
        <v>View Company Online</v>
      </c>
    </row>
    <row r="2360" spans="1:18" hidden="1" x14ac:dyDescent="0.3">
      <c r="A2360" s="9" t="s">
        <v>8060</v>
      </c>
      <c r="B2360" s="9" t="s">
        <v>8061</v>
      </c>
      <c r="C2360" s="11" t="s">
        <v>28</v>
      </c>
      <c r="D2360" s="9" t="s">
        <v>8062</v>
      </c>
      <c r="E2360" s="11" t="s">
        <v>28</v>
      </c>
      <c r="F2360" s="10" t="s">
        <v>28</v>
      </c>
      <c r="G2360" s="10" t="s">
        <v>28</v>
      </c>
      <c r="H2360" s="10" t="s">
        <v>28</v>
      </c>
      <c r="I2360" s="11" t="s">
        <v>28</v>
      </c>
      <c r="J2360" s="11" t="s">
        <v>28</v>
      </c>
      <c r="K2360" s="11" t="s">
        <v>28</v>
      </c>
      <c r="L2360" s="11" t="s">
        <v>28</v>
      </c>
      <c r="M2360" s="11" t="s">
        <v>28</v>
      </c>
      <c r="N2360" s="8">
        <v>44927</v>
      </c>
      <c r="O2360" s="9" t="s">
        <v>52</v>
      </c>
      <c r="P2360" s="12" t="s">
        <v>1970</v>
      </c>
      <c r="Q2360" s="9" t="s">
        <v>75</v>
      </c>
      <c r="R2360" s="14" t="str">
        <f>HYPERLINK("https://my.pitchbook.com?c=295294-15T","View Company Online")</f>
        <v>View Company Online</v>
      </c>
    </row>
    <row r="2361" spans="1:18" hidden="1" x14ac:dyDescent="0.3">
      <c r="A2361" s="15" t="s">
        <v>8063</v>
      </c>
      <c r="B2361" s="15" t="s">
        <v>8064</v>
      </c>
      <c r="C2361" s="18" t="s">
        <v>28</v>
      </c>
      <c r="D2361" s="15" t="s">
        <v>8065</v>
      </c>
      <c r="E2361" s="18" t="s">
        <v>28</v>
      </c>
      <c r="F2361" s="19" t="s">
        <v>28</v>
      </c>
      <c r="G2361" s="19" t="s">
        <v>28</v>
      </c>
      <c r="H2361" s="19" t="s">
        <v>28</v>
      </c>
      <c r="I2361" s="18" t="s">
        <v>28</v>
      </c>
      <c r="J2361" s="18" t="s">
        <v>28</v>
      </c>
      <c r="K2361" s="18" t="s">
        <v>28</v>
      </c>
      <c r="L2361" s="18" t="s">
        <v>28</v>
      </c>
      <c r="M2361" s="18" t="s">
        <v>28</v>
      </c>
      <c r="N2361" s="17">
        <v>44927</v>
      </c>
      <c r="O2361" s="15" t="s">
        <v>52</v>
      </c>
      <c r="P2361" s="16" t="s">
        <v>1970</v>
      </c>
      <c r="Q2361" s="15" t="s">
        <v>43</v>
      </c>
      <c r="R2361" s="13" t="str">
        <f>HYPERLINK("https://my.pitchbook.com?c=295733-35T","View Company Online")</f>
        <v>View Company Online</v>
      </c>
    </row>
    <row r="2362" spans="1:18" hidden="1" x14ac:dyDescent="0.3">
      <c r="A2362" s="9" t="s">
        <v>8066</v>
      </c>
      <c r="B2362" s="9" t="s">
        <v>1358</v>
      </c>
      <c r="C2362" s="11" t="s">
        <v>28</v>
      </c>
      <c r="D2362" s="9" t="s">
        <v>1359</v>
      </c>
      <c r="E2362" s="11" t="s">
        <v>28</v>
      </c>
      <c r="F2362" s="10" t="s">
        <v>28</v>
      </c>
      <c r="G2362" s="10" t="s">
        <v>28</v>
      </c>
      <c r="H2362" s="10" t="s">
        <v>28</v>
      </c>
      <c r="I2362" s="11" t="s">
        <v>28</v>
      </c>
      <c r="J2362" s="11" t="s">
        <v>28</v>
      </c>
      <c r="K2362" s="11" t="s">
        <v>28</v>
      </c>
      <c r="L2362" s="11" t="s">
        <v>28</v>
      </c>
      <c r="M2362" s="11" t="s">
        <v>28</v>
      </c>
      <c r="N2362" s="8">
        <v>44927</v>
      </c>
      <c r="O2362" s="9" t="s">
        <v>73</v>
      </c>
      <c r="P2362" s="12" t="s">
        <v>8067</v>
      </c>
      <c r="Q2362" s="9" t="s">
        <v>1361</v>
      </c>
      <c r="R2362" s="14" t="str">
        <f>HYPERLINK("https://my.pitchbook.com?c=218488-42T","View Company Online")</f>
        <v>View Company Online</v>
      </c>
    </row>
    <row r="2363" spans="1:18" hidden="1" x14ac:dyDescent="0.3">
      <c r="A2363" s="15" t="s">
        <v>8068</v>
      </c>
      <c r="B2363" s="15" t="s">
        <v>8069</v>
      </c>
      <c r="C2363" s="18" t="s">
        <v>28</v>
      </c>
      <c r="D2363" s="15" t="s">
        <v>8070</v>
      </c>
      <c r="E2363" s="18" t="s">
        <v>28</v>
      </c>
      <c r="F2363" s="19" t="s">
        <v>28</v>
      </c>
      <c r="G2363" s="19" t="s">
        <v>28</v>
      </c>
      <c r="H2363" s="19" t="s">
        <v>28</v>
      </c>
      <c r="I2363" s="18" t="s">
        <v>28</v>
      </c>
      <c r="J2363" s="18" t="s">
        <v>28</v>
      </c>
      <c r="K2363" s="18" t="s">
        <v>28</v>
      </c>
      <c r="L2363" s="18" t="s">
        <v>28</v>
      </c>
      <c r="M2363" s="18" t="s">
        <v>28</v>
      </c>
      <c r="N2363" s="17">
        <v>44927</v>
      </c>
      <c r="O2363" s="15" t="s">
        <v>52</v>
      </c>
      <c r="P2363" s="16" t="s">
        <v>1970</v>
      </c>
      <c r="Q2363" s="15" t="s">
        <v>362</v>
      </c>
      <c r="R2363" s="13" t="str">
        <f>HYPERLINK("https://my.pitchbook.com?c=264045-16T","View Company Online")</f>
        <v>View Company Online</v>
      </c>
    </row>
    <row r="2364" spans="1:18" hidden="1" x14ac:dyDescent="0.3">
      <c r="A2364" s="9" t="s">
        <v>8071</v>
      </c>
      <c r="B2364" s="9" t="s">
        <v>8072</v>
      </c>
      <c r="C2364" s="11" t="s">
        <v>28</v>
      </c>
      <c r="D2364" s="9" t="s">
        <v>8073</v>
      </c>
      <c r="E2364" s="11" t="s">
        <v>28</v>
      </c>
      <c r="F2364" s="10" t="s">
        <v>28</v>
      </c>
      <c r="G2364" s="10" t="s">
        <v>28</v>
      </c>
      <c r="H2364" s="10" t="s">
        <v>28</v>
      </c>
      <c r="I2364" s="11" t="s">
        <v>28</v>
      </c>
      <c r="J2364" s="11" t="s">
        <v>28</v>
      </c>
      <c r="K2364" s="11">
        <v>5.81</v>
      </c>
      <c r="L2364" s="11" t="s">
        <v>28</v>
      </c>
      <c r="M2364" s="11" t="s">
        <v>28</v>
      </c>
      <c r="N2364" s="8">
        <v>44927</v>
      </c>
      <c r="O2364" s="9" t="s">
        <v>52</v>
      </c>
      <c r="P2364" s="12" t="s">
        <v>3955</v>
      </c>
      <c r="Q2364" s="9" t="s">
        <v>37</v>
      </c>
      <c r="R2364" s="14" t="str">
        <f>HYPERLINK("https://my.pitchbook.com?c=261601-30T","View Company Online")</f>
        <v>View Company Online</v>
      </c>
    </row>
    <row r="2365" spans="1:18" hidden="1" x14ac:dyDescent="0.3">
      <c r="A2365" s="15" t="s">
        <v>8074</v>
      </c>
      <c r="B2365" s="15" t="s">
        <v>8075</v>
      </c>
      <c r="C2365" s="18" t="s">
        <v>28</v>
      </c>
      <c r="D2365" s="15" t="s">
        <v>8076</v>
      </c>
      <c r="E2365" s="18" t="s">
        <v>28</v>
      </c>
      <c r="F2365" s="19" t="s">
        <v>28</v>
      </c>
      <c r="G2365" s="19" t="s">
        <v>28</v>
      </c>
      <c r="H2365" s="19" t="s">
        <v>28</v>
      </c>
      <c r="I2365" s="18" t="s">
        <v>28</v>
      </c>
      <c r="J2365" s="18" t="s">
        <v>28</v>
      </c>
      <c r="K2365" s="18" t="s">
        <v>28</v>
      </c>
      <c r="L2365" s="18" t="s">
        <v>28</v>
      </c>
      <c r="M2365" s="18" t="s">
        <v>28</v>
      </c>
      <c r="N2365" s="17">
        <v>44927</v>
      </c>
      <c r="O2365" s="15" t="s">
        <v>52</v>
      </c>
      <c r="P2365" s="16" t="s">
        <v>1970</v>
      </c>
      <c r="Q2365" s="15" t="s">
        <v>43</v>
      </c>
      <c r="R2365" s="13" t="str">
        <f>HYPERLINK("https://my.pitchbook.com?c=295303-51T","View Company Online")</f>
        <v>View Company Online</v>
      </c>
    </row>
    <row r="2366" spans="1:18" hidden="1" x14ac:dyDescent="0.3">
      <c r="A2366" s="9" t="s">
        <v>8077</v>
      </c>
      <c r="B2366" s="9" t="s">
        <v>8078</v>
      </c>
      <c r="C2366" s="11" t="s">
        <v>28</v>
      </c>
      <c r="D2366" s="9" t="s">
        <v>8079</v>
      </c>
      <c r="E2366" s="11" t="s">
        <v>28</v>
      </c>
      <c r="F2366" s="10" t="s">
        <v>28</v>
      </c>
      <c r="G2366" s="10" t="s">
        <v>28</v>
      </c>
      <c r="H2366" s="10" t="s">
        <v>28</v>
      </c>
      <c r="I2366" s="11" t="s">
        <v>28</v>
      </c>
      <c r="J2366" s="11" t="s">
        <v>28</v>
      </c>
      <c r="K2366" s="11" t="s">
        <v>28</v>
      </c>
      <c r="L2366" s="11" t="s">
        <v>28</v>
      </c>
      <c r="M2366" s="11" t="s">
        <v>28</v>
      </c>
      <c r="N2366" s="8">
        <v>44927</v>
      </c>
      <c r="O2366" s="9" t="s">
        <v>52</v>
      </c>
      <c r="P2366" s="12" t="s">
        <v>1970</v>
      </c>
      <c r="Q2366" s="9" t="s">
        <v>1179</v>
      </c>
      <c r="R2366" s="14" t="str">
        <f>HYPERLINK("https://my.pitchbook.com?c=295525-09T","View Company Online")</f>
        <v>View Company Online</v>
      </c>
    </row>
    <row r="2367" spans="1:18" hidden="1" x14ac:dyDescent="0.3">
      <c r="A2367" s="15" t="s">
        <v>8080</v>
      </c>
      <c r="B2367" s="15" t="s">
        <v>8081</v>
      </c>
      <c r="C2367" s="18" t="s">
        <v>28</v>
      </c>
      <c r="D2367" s="15" t="s">
        <v>8082</v>
      </c>
      <c r="E2367" s="18" t="s">
        <v>28</v>
      </c>
      <c r="F2367" s="19" t="s">
        <v>28</v>
      </c>
      <c r="G2367" s="19" t="s">
        <v>28</v>
      </c>
      <c r="H2367" s="19" t="s">
        <v>28</v>
      </c>
      <c r="I2367" s="18" t="s">
        <v>28</v>
      </c>
      <c r="J2367" s="18" t="s">
        <v>28</v>
      </c>
      <c r="K2367" s="18" t="s">
        <v>28</v>
      </c>
      <c r="L2367" s="18" t="s">
        <v>28</v>
      </c>
      <c r="M2367" s="18" t="s">
        <v>28</v>
      </c>
      <c r="N2367" s="17">
        <v>44927</v>
      </c>
      <c r="O2367" s="15" t="s">
        <v>52</v>
      </c>
      <c r="P2367" s="16" t="s">
        <v>1970</v>
      </c>
      <c r="Q2367" s="15" t="s">
        <v>75</v>
      </c>
      <c r="R2367" s="13" t="str">
        <f>HYPERLINK("https://my.pitchbook.com?c=295273-45T","View Company Online")</f>
        <v>View Company Online</v>
      </c>
    </row>
    <row r="2368" spans="1:18" hidden="1" x14ac:dyDescent="0.3">
      <c r="A2368" s="9" t="s">
        <v>8083</v>
      </c>
      <c r="B2368" s="9" t="s">
        <v>8084</v>
      </c>
      <c r="C2368" s="11" t="s">
        <v>28</v>
      </c>
      <c r="D2368" s="9" t="s">
        <v>8085</v>
      </c>
      <c r="E2368" s="11" t="s">
        <v>28</v>
      </c>
      <c r="F2368" s="10" t="s">
        <v>28</v>
      </c>
      <c r="G2368" s="10" t="s">
        <v>28</v>
      </c>
      <c r="H2368" s="10" t="s">
        <v>28</v>
      </c>
      <c r="I2368" s="11" t="s">
        <v>28</v>
      </c>
      <c r="J2368" s="11" t="s">
        <v>28</v>
      </c>
      <c r="K2368" s="11" t="s">
        <v>28</v>
      </c>
      <c r="L2368" s="11" t="s">
        <v>28</v>
      </c>
      <c r="M2368" s="11" t="s">
        <v>28</v>
      </c>
      <c r="N2368" s="8">
        <v>44927</v>
      </c>
      <c r="O2368" s="9" t="s">
        <v>52</v>
      </c>
      <c r="P2368" s="12" t="s">
        <v>1970</v>
      </c>
      <c r="Q2368" s="9" t="s">
        <v>75</v>
      </c>
      <c r="R2368" s="14" t="str">
        <f>HYPERLINK("https://my.pitchbook.com?c=295280-02T","View Company Online")</f>
        <v>View Company Online</v>
      </c>
    </row>
    <row r="2369" spans="1:18" hidden="1" x14ac:dyDescent="0.3">
      <c r="A2369" s="15" t="s">
        <v>8086</v>
      </c>
      <c r="B2369" s="15" t="s">
        <v>8087</v>
      </c>
      <c r="C2369" s="18" t="s">
        <v>28</v>
      </c>
      <c r="D2369" s="15" t="s">
        <v>8088</v>
      </c>
      <c r="E2369" s="18" t="s">
        <v>28</v>
      </c>
      <c r="F2369" s="19" t="s">
        <v>28</v>
      </c>
      <c r="G2369" s="19" t="s">
        <v>28</v>
      </c>
      <c r="H2369" s="19" t="s">
        <v>28</v>
      </c>
      <c r="I2369" s="18" t="s">
        <v>28</v>
      </c>
      <c r="J2369" s="18" t="s">
        <v>28</v>
      </c>
      <c r="K2369" s="18" t="s">
        <v>28</v>
      </c>
      <c r="L2369" s="18" t="s">
        <v>28</v>
      </c>
      <c r="M2369" s="18" t="s">
        <v>28</v>
      </c>
      <c r="N2369" s="17">
        <v>44927</v>
      </c>
      <c r="O2369" s="15" t="s">
        <v>52</v>
      </c>
      <c r="P2369" s="16" t="s">
        <v>1970</v>
      </c>
      <c r="Q2369" s="15" t="s">
        <v>119</v>
      </c>
      <c r="R2369" s="13" t="str">
        <f>HYPERLINK("https://my.pitchbook.com?c=265663-00T","View Company Online")</f>
        <v>View Company Online</v>
      </c>
    </row>
    <row r="2370" spans="1:18" hidden="1" x14ac:dyDescent="0.3">
      <c r="A2370" s="9" t="s">
        <v>8089</v>
      </c>
      <c r="B2370" s="9" t="s">
        <v>8090</v>
      </c>
      <c r="C2370" s="11" t="s">
        <v>28</v>
      </c>
      <c r="D2370" s="9" t="s">
        <v>8091</v>
      </c>
      <c r="E2370" s="11" t="s">
        <v>28</v>
      </c>
      <c r="F2370" s="10" t="s">
        <v>28</v>
      </c>
      <c r="G2370" s="10" t="s">
        <v>28</v>
      </c>
      <c r="H2370" s="10" t="s">
        <v>28</v>
      </c>
      <c r="I2370" s="11" t="s">
        <v>28</v>
      </c>
      <c r="J2370" s="11" t="s">
        <v>28</v>
      </c>
      <c r="K2370" s="11" t="s">
        <v>28</v>
      </c>
      <c r="L2370" s="11" t="s">
        <v>28</v>
      </c>
      <c r="M2370" s="11" t="s">
        <v>28</v>
      </c>
      <c r="N2370" s="8">
        <v>44927</v>
      </c>
      <c r="O2370" s="9" t="s">
        <v>52</v>
      </c>
      <c r="P2370" s="12" t="s">
        <v>8092</v>
      </c>
      <c r="Q2370" s="9" t="s">
        <v>95</v>
      </c>
      <c r="R2370" s="14" t="str">
        <f>HYPERLINK("https://my.pitchbook.com?c=264169-45T","View Company Online")</f>
        <v>View Company Online</v>
      </c>
    </row>
    <row r="2371" spans="1:18" hidden="1" x14ac:dyDescent="0.3">
      <c r="A2371" s="15" t="s">
        <v>8093</v>
      </c>
      <c r="B2371" s="15" t="s">
        <v>8094</v>
      </c>
      <c r="C2371" s="18" t="s">
        <v>28</v>
      </c>
      <c r="D2371" s="15" t="s">
        <v>8095</v>
      </c>
      <c r="E2371" s="18" t="s">
        <v>28</v>
      </c>
      <c r="F2371" s="19" t="s">
        <v>28</v>
      </c>
      <c r="G2371" s="19" t="s">
        <v>28</v>
      </c>
      <c r="H2371" s="19" t="s">
        <v>28</v>
      </c>
      <c r="I2371" s="18" t="s">
        <v>28</v>
      </c>
      <c r="J2371" s="18" t="s">
        <v>28</v>
      </c>
      <c r="K2371" s="18" t="s">
        <v>28</v>
      </c>
      <c r="L2371" s="18" t="s">
        <v>28</v>
      </c>
      <c r="M2371" s="18" t="s">
        <v>28</v>
      </c>
      <c r="N2371" s="17">
        <v>44927</v>
      </c>
      <c r="O2371" s="15" t="s">
        <v>52</v>
      </c>
      <c r="P2371" s="16" t="s">
        <v>1970</v>
      </c>
      <c r="Q2371" s="15" t="s">
        <v>583</v>
      </c>
      <c r="R2371" s="13" t="str">
        <f>HYPERLINK("https://my.pitchbook.com?c=295566-31T","View Company Online")</f>
        <v>View Company Online</v>
      </c>
    </row>
    <row r="2372" spans="1:18" hidden="1" x14ac:dyDescent="0.3">
      <c r="A2372" s="9" t="s">
        <v>8096</v>
      </c>
      <c r="B2372" s="9" t="s">
        <v>601</v>
      </c>
      <c r="C2372" s="11" t="s">
        <v>28</v>
      </c>
      <c r="D2372" s="9" t="s">
        <v>602</v>
      </c>
      <c r="E2372" s="11" t="s">
        <v>28</v>
      </c>
      <c r="F2372" s="10" t="s">
        <v>28</v>
      </c>
      <c r="G2372" s="10">
        <v>0.5</v>
      </c>
      <c r="H2372" s="10" t="s">
        <v>28</v>
      </c>
      <c r="I2372" s="11" t="s">
        <v>28</v>
      </c>
      <c r="J2372" s="11" t="s">
        <v>28</v>
      </c>
      <c r="K2372" s="11" t="s">
        <v>28</v>
      </c>
      <c r="L2372" s="11" t="s">
        <v>28</v>
      </c>
      <c r="M2372" s="11" t="s">
        <v>28</v>
      </c>
      <c r="N2372" s="8">
        <v>44927</v>
      </c>
      <c r="O2372" s="9" t="s">
        <v>379</v>
      </c>
      <c r="P2372" s="12" t="s">
        <v>8097</v>
      </c>
      <c r="Q2372" s="9" t="s">
        <v>85</v>
      </c>
      <c r="R2372" s="14" t="str">
        <f>HYPERLINK("https://my.pitchbook.com?c=275904-46T","View Company Online")</f>
        <v>View Company Online</v>
      </c>
    </row>
    <row r="2373" spans="1:18" hidden="1" x14ac:dyDescent="0.3">
      <c r="A2373" s="15" t="s">
        <v>8098</v>
      </c>
      <c r="B2373" s="15" t="s">
        <v>8099</v>
      </c>
      <c r="C2373" s="18" t="s">
        <v>28</v>
      </c>
      <c r="D2373" s="15" t="s">
        <v>8100</v>
      </c>
      <c r="E2373" s="18" t="s">
        <v>28</v>
      </c>
      <c r="F2373" s="19" t="s">
        <v>28</v>
      </c>
      <c r="G2373" s="19" t="s">
        <v>28</v>
      </c>
      <c r="H2373" s="19" t="s">
        <v>28</v>
      </c>
      <c r="I2373" s="18" t="s">
        <v>28</v>
      </c>
      <c r="J2373" s="18" t="s">
        <v>28</v>
      </c>
      <c r="K2373" s="18" t="s">
        <v>28</v>
      </c>
      <c r="L2373" s="18" t="s">
        <v>28</v>
      </c>
      <c r="M2373" s="18" t="s">
        <v>28</v>
      </c>
      <c r="N2373" s="17">
        <v>44927</v>
      </c>
      <c r="O2373" s="15" t="s">
        <v>79</v>
      </c>
      <c r="P2373" s="16" t="s">
        <v>8101</v>
      </c>
      <c r="Q2373" s="15" t="s">
        <v>37</v>
      </c>
      <c r="R2373" s="13" t="str">
        <f>HYPERLINK("https://my.pitchbook.com?c=284555-62T","View Company Online")</f>
        <v>View Company Online</v>
      </c>
    </row>
    <row r="2374" spans="1:18" hidden="1" x14ac:dyDescent="0.3">
      <c r="A2374" s="9" t="s">
        <v>8102</v>
      </c>
      <c r="B2374" s="9" t="s">
        <v>8103</v>
      </c>
      <c r="C2374" s="11" t="s">
        <v>28</v>
      </c>
      <c r="D2374" s="9" t="s">
        <v>8104</v>
      </c>
      <c r="E2374" s="11" t="s">
        <v>28</v>
      </c>
      <c r="F2374" s="10" t="s">
        <v>28</v>
      </c>
      <c r="G2374" s="10" t="s">
        <v>28</v>
      </c>
      <c r="H2374" s="10" t="s">
        <v>28</v>
      </c>
      <c r="I2374" s="11" t="s">
        <v>28</v>
      </c>
      <c r="J2374" s="11" t="s">
        <v>28</v>
      </c>
      <c r="K2374" s="11" t="s">
        <v>28</v>
      </c>
      <c r="L2374" s="11" t="s">
        <v>28</v>
      </c>
      <c r="M2374" s="11" t="s">
        <v>28</v>
      </c>
      <c r="N2374" s="8">
        <v>44927</v>
      </c>
      <c r="O2374" s="9" t="s">
        <v>52</v>
      </c>
      <c r="P2374" s="12" t="s">
        <v>1970</v>
      </c>
      <c r="Q2374" s="9" t="s">
        <v>75</v>
      </c>
      <c r="R2374" s="14" t="str">
        <f>HYPERLINK("https://my.pitchbook.com?c=295270-66T","View Company Online")</f>
        <v>View Company Online</v>
      </c>
    </row>
    <row r="2375" spans="1:18" hidden="1" x14ac:dyDescent="0.3">
      <c r="A2375" s="15" t="s">
        <v>8105</v>
      </c>
      <c r="B2375" s="15" t="s">
        <v>3257</v>
      </c>
      <c r="C2375" s="18" t="s">
        <v>28</v>
      </c>
      <c r="D2375" s="15" t="s">
        <v>3258</v>
      </c>
      <c r="E2375" s="18" t="s">
        <v>28</v>
      </c>
      <c r="F2375" s="19" t="s">
        <v>28</v>
      </c>
      <c r="G2375" s="19" t="s">
        <v>28</v>
      </c>
      <c r="H2375" s="19" t="s">
        <v>28</v>
      </c>
      <c r="I2375" s="18" t="s">
        <v>28</v>
      </c>
      <c r="J2375" s="18" t="s">
        <v>28</v>
      </c>
      <c r="K2375" s="18" t="s">
        <v>28</v>
      </c>
      <c r="L2375" s="18" t="s">
        <v>28</v>
      </c>
      <c r="M2375" s="18" t="s">
        <v>28</v>
      </c>
      <c r="N2375" s="17">
        <v>44927</v>
      </c>
      <c r="O2375" s="15" t="s">
        <v>52</v>
      </c>
      <c r="P2375" s="16" t="s">
        <v>1970</v>
      </c>
      <c r="Q2375" s="15" t="s">
        <v>880</v>
      </c>
      <c r="R2375" s="13" t="str">
        <f>HYPERLINK("https://my.pitchbook.com?c=295708-33T","View Company Online")</f>
        <v>View Company Online</v>
      </c>
    </row>
    <row r="2376" spans="1:18" hidden="1" x14ac:dyDescent="0.3">
      <c r="A2376" s="9" t="s">
        <v>8106</v>
      </c>
      <c r="B2376" s="9" t="s">
        <v>8107</v>
      </c>
      <c r="C2376" s="11" t="s">
        <v>28</v>
      </c>
      <c r="D2376" s="9" t="s">
        <v>8108</v>
      </c>
      <c r="E2376" s="11" t="s">
        <v>28</v>
      </c>
      <c r="F2376" s="10" t="s">
        <v>28</v>
      </c>
      <c r="G2376" s="10" t="s">
        <v>28</v>
      </c>
      <c r="H2376" s="10" t="s">
        <v>28</v>
      </c>
      <c r="I2376" s="11" t="s">
        <v>28</v>
      </c>
      <c r="J2376" s="11" t="s">
        <v>28</v>
      </c>
      <c r="K2376" s="11" t="s">
        <v>28</v>
      </c>
      <c r="L2376" s="11" t="s">
        <v>28</v>
      </c>
      <c r="M2376" s="11" t="s">
        <v>28</v>
      </c>
      <c r="N2376" s="8">
        <v>44927</v>
      </c>
      <c r="O2376" s="9" t="s">
        <v>52</v>
      </c>
      <c r="P2376" s="12" t="s">
        <v>1970</v>
      </c>
      <c r="Q2376" s="9" t="s">
        <v>37</v>
      </c>
      <c r="R2376" s="14" t="str">
        <f>HYPERLINK("https://my.pitchbook.com?c=265542-04T","View Company Online")</f>
        <v>View Company Online</v>
      </c>
    </row>
    <row r="2377" spans="1:18" hidden="1" x14ac:dyDescent="0.3">
      <c r="A2377" s="15" t="s">
        <v>8109</v>
      </c>
      <c r="B2377" s="15" t="s">
        <v>8110</v>
      </c>
      <c r="C2377" s="18" t="s">
        <v>28</v>
      </c>
      <c r="D2377" s="15" t="s">
        <v>8111</v>
      </c>
      <c r="E2377" s="18" t="s">
        <v>28</v>
      </c>
      <c r="F2377" s="19" t="s">
        <v>28</v>
      </c>
      <c r="G2377" s="19" t="s">
        <v>28</v>
      </c>
      <c r="H2377" s="19" t="s">
        <v>28</v>
      </c>
      <c r="I2377" s="18" t="s">
        <v>28</v>
      </c>
      <c r="J2377" s="18" t="s">
        <v>28</v>
      </c>
      <c r="K2377" s="18" t="s">
        <v>28</v>
      </c>
      <c r="L2377" s="18" t="s">
        <v>28</v>
      </c>
      <c r="M2377" s="18" t="s">
        <v>28</v>
      </c>
      <c r="N2377" s="17">
        <v>44927</v>
      </c>
      <c r="O2377" s="15" t="s">
        <v>30</v>
      </c>
      <c r="P2377" s="16" t="s">
        <v>8112</v>
      </c>
      <c r="Q2377" s="15" t="s">
        <v>692</v>
      </c>
      <c r="R2377" s="13" t="str">
        <f>HYPERLINK("https://my.pitchbook.com?c=264461-32T","View Company Online")</f>
        <v>View Company Online</v>
      </c>
    </row>
    <row r="2378" spans="1:18" hidden="1" x14ac:dyDescent="0.3">
      <c r="A2378" s="9" t="s">
        <v>8113</v>
      </c>
      <c r="B2378" s="9" t="s">
        <v>8114</v>
      </c>
      <c r="C2378" s="11" t="s">
        <v>28</v>
      </c>
      <c r="D2378" s="9" t="s">
        <v>8115</v>
      </c>
      <c r="E2378" s="11" t="s">
        <v>28</v>
      </c>
      <c r="F2378" s="10" t="s">
        <v>28</v>
      </c>
      <c r="G2378" s="10" t="s">
        <v>28</v>
      </c>
      <c r="H2378" s="10" t="s">
        <v>28</v>
      </c>
      <c r="I2378" s="11" t="s">
        <v>28</v>
      </c>
      <c r="J2378" s="11" t="s">
        <v>28</v>
      </c>
      <c r="K2378" s="11" t="s">
        <v>28</v>
      </c>
      <c r="L2378" s="11" t="s">
        <v>28</v>
      </c>
      <c r="M2378" s="11" t="s">
        <v>28</v>
      </c>
      <c r="N2378" s="8">
        <v>44927</v>
      </c>
      <c r="O2378" s="9" t="s">
        <v>73</v>
      </c>
      <c r="P2378" s="12" t="s">
        <v>8116</v>
      </c>
      <c r="Q2378" s="9" t="s">
        <v>3912</v>
      </c>
      <c r="R2378" s="14" t="str">
        <f>HYPERLINK("https://my.pitchbook.com?c=219448-81T","View Company Online")</f>
        <v>View Company Online</v>
      </c>
    </row>
    <row r="2379" spans="1:18" hidden="1" x14ac:dyDescent="0.3">
      <c r="A2379" s="15" t="s">
        <v>8117</v>
      </c>
      <c r="B2379" s="15" t="s">
        <v>6174</v>
      </c>
      <c r="C2379" s="18" t="s">
        <v>28</v>
      </c>
      <c r="D2379" s="15" t="s">
        <v>6175</v>
      </c>
      <c r="E2379" s="18" t="s">
        <v>28</v>
      </c>
      <c r="F2379" s="19" t="s">
        <v>28</v>
      </c>
      <c r="G2379" s="19" t="s">
        <v>28</v>
      </c>
      <c r="H2379" s="19" t="s">
        <v>28</v>
      </c>
      <c r="I2379" s="18" t="s">
        <v>28</v>
      </c>
      <c r="J2379" s="18" t="s">
        <v>28</v>
      </c>
      <c r="K2379" s="18" t="s">
        <v>28</v>
      </c>
      <c r="L2379" s="18" t="s">
        <v>28</v>
      </c>
      <c r="M2379" s="18" t="s">
        <v>28</v>
      </c>
      <c r="N2379" s="17">
        <v>44927</v>
      </c>
      <c r="O2379" s="15" t="s">
        <v>99</v>
      </c>
      <c r="P2379" s="16" t="s">
        <v>8118</v>
      </c>
      <c r="Q2379" s="15" t="s">
        <v>404</v>
      </c>
      <c r="R2379" s="13" t="str">
        <f>HYPERLINK("https://my.pitchbook.com?c=297193-24T","View Company Online")</f>
        <v>View Company Online</v>
      </c>
    </row>
    <row r="2380" spans="1:18" hidden="1" x14ac:dyDescent="0.3">
      <c r="A2380" s="9" t="s">
        <v>8119</v>
      </c>
      <c r="B2380" s="9" t="s">
        <v>8120</v>
      </c>
      <c r="C2380" s="11" t="s">
        <v>28</v>
      </c>
      <c r="D2380" s="9" t="s">
        <v>8121</v>
      </c>
      <c r="E2380" s="11" t="s">
        <v>28</v>
      </c>
      <c r="F2380" s="10" t="s">
        <v>28</v>
      </c>
      <c r="G2380" s="10" t="s">
        <v>28</v>
      </c>
      <c r="H2380" s="10" t="s">
        <v>28</v>
      </c>
      <c r="I2380" s="11" t="s">
        <v>28</v>
      </c>
      <c r="J2380" s="11" t="s">
        <v>28</v>
      </c>
      <c r="K2380" s="11" t="s">
        <v>28</v>
      </c>
      <c r="L2380" s="11" t="s">
        <v>28</v>
      </c>
      <c r="M2380" s="11" t="s">
        <v>28</v>
      </c>
      <c r="N2380" s="8">
        <v>44927</v>
      </c>
      <c r="O2380" s="9" t="s">
        <v>52</v>
      </c>
      <c r="P2380" s="12" t="s">
        <v>2830</v>
      </c>
      <c r="Q2380" s="9" t="s">
        <v>75</v>
      </c>
      <c r="R2380" s="14" t="str">
        <f>HYPERLINK("https://my.pitchbook.com?c=264265-75T","View Company Online")</f>
        <v>View Company Online</v>
      </c>
    </row>
    <row r="2381" spans="1:18" hidden="1" x14ac:dyDescent="0.3">
      <c r="A2381" s="15" t="s">
        <v>8122</v>
      </c>
      <c r="B2381" s="15" t="s">
        <v>8123</v>
      </c>
      <c r="C2381" s="18" t="s">
        <v>28</v>
      </c>
      <c r="D2381" s="15" t="s">
        <v>8124</v>
      </c>
      <c r="E2381" s="18" t="s">
        <v>28</v>
      </c>
      <c r="F2381" s="19" t="s">
        <v>28</v>
      </c>
      <c r="G2381" s="19" t="s">
        <v>28</v>
      </c>
      <c r="H2381" s="19" t="s">
        <v>28</v>
      </c>
      <c r="I2381" s="18" t="s">
        <v>28</v>
      </c>
      <c r="J2381" s="18" t="s">
        <v>28</v>
      </c>
      <c r="K2381" s="18" t="s">
        <v>28</v>
      </c>
      <c r="L2381" s="18" t="s">
        <v>28</v>
      </c>
      <c r="M2381" s="18" t="s">
        <v>28</v>
      </c>
      <c r="N2381" s="17">
        <v>44927</v>
      </c>
      <c r="O2381" s="15" t="s">
        <v>52</v>
      </c>
      <c r="P2381" s="16" t="s">
        <v>1970</v>
      </c>
      <c r="Q2381" s="15" t="s">
        <v>75</v>
      </c>
      <c r="R2381" s="13" t="str">
        <f>HYPERLINK("https://my.pitchbook.com?c=265539-52T","View Company Online")</f>
        <v>View Company Online</v>
      </c>
    </row>
    <row r="2382" spans="1:18" hidden="1" x14ac:dyDescent="0.3">
      <c r="A2382" s="9" t="s">
        <v>8125</v>
      </c>
      <c r="B2382" s="9" t="s">
        <v>8126</v>
      </c>
      <c r="C2382" s="11" t="s">
        <v>28</v>
      </c>
      <c r="D2382" s="9" t="s">
        <v>8127</v>
      </c>
      <c r="E2382" s="11" t="s">
        <v>28</v>
      </c>
      <c r="F2382" s="10" t="s">
        <v>28</v>
      </c>
      <c r="G2382" s="10" t="s">
        <v>28</v>
      </c>
      <c r="H2382" s="10" t="s">
        <v>28</v>
      </c>
      <c r="I2382" s="11" t="s">
        <v>28</v>
      </c>
      <c r="J2382" s="11" t="s">
        <v>28</v>
      </c>
      <c r="K2382" s="11" t="s">
        <v>28</v>
      </c>
      <c r="L2382" s="11" t="s">
        <v>28</v>
      </c>
      <c r="M2382" s="11" t="s">
        <v>28</v>
      </c>
      <c r="N2382" s="8">
        <v>44927</v>
      </c>
      <c r="O2382" s="9" t="s">
        <v>52</v>
      </c>
      <c r="P2382" s="12" t="s">
        <v>1970</v>
      </c>
      <c r="Q2382" s="9" t="s">
        <v>249</v>
      </c>
      <c r="R2382" s="14" t="str">
        <f>HYPERLINK("https://my.pitchbook.com?c=295303-42T","View Company Online")</f>
        <v>View Company Online</v>
      </c>
    </row>
    <row r="2383" spans="1:18" hidden="1" x14ac:dyDescent="0.3">
      <c r="A2383" s="15" t="s">
        <v>8128</v>
      </c>
      <c r="B2383" s="15" t="s">
        <v>8129</v>
      </c>
      <c r="C2383" s="18" t="s">
        <v>28</v>
      </c>
      <c r="D2383" s="15" t="s">
        <v>8130</v>
      </c>
      <c r="E2383" s="18" t="s">
        <v>28</v>
      </c>
      <c r="F2383" s="19" t="s">
        <v>28</v>
      </c>
      <c r="G2383" s="19" t="s">
        <v>28</v>
      </c>
      <c r="H2383" s="19" t="s">
        <v>28</v>
      </c>
      <c r="I2383" s="18" t="s">
        <v>28</v>
      </c>
      <c r="J2383" s="18" t="s">
        <v>28</v>
      </c>
      <c r="K2383" s="18" t="s">
        <v>28</v>
      </c>
      <c r="L2383" s="18" t="s">
        <v>28</v>
      </c>
      <c r="M2383" s="18" t="s">
        <v>28</v>
      </c>
      <c r="N2383" s="17">
        <v>44927</v>
      </c>
      <c r="O2383" s="15" t="s">
        <v>52</v>
      </c>
      <c r="P2383" s="16" t="s">
        <v>1970</v>
      </c>
      <c r="Q2383" s="15" t="s">
        <v>5347</v>
      </c>
      <c r="R2383" s="13" t="str">
        <f>HYPERLINK("https://my.pitchbook.com?c=295292-44T","View Company Online")</f>
        <v>View Company Online</v>
      </c>
    </row>
    <row r="2384" spans="1:18" hidden="1" x14ac:dyDescent="0.3">
      <c r="A2384" s="9" t="s">
        <v>8131</v>
      </c>
      <c r="B2384" s="9" t="s">
        <v>8132</v>
      </c>
      <c r="C2384" s="11" t="s">
        <v>28</v>
      </c>
      <c r="D2384" s="9" t="s">
        <v>8133</v>
      </c>
      <c r="E2384" s="11" t="s">
        <v>28</v>
      </c>
      <c r="F2384" s="10" t="s">
        <v>28</v>
      </c>
      <c r="G2384" s="10" t="s">
        <v>28</v>
      </c>
      <c r="H2384" s="10" t="s">
        <v>28</v>
      </c>
      <c r="I2384" s="11" t="s">
        <v>28</v>
      </c>
      <c r="J2384" s="11" t="s">
        <v>28</v>
      </c>
      <c r="K2384" s="11" t="s">
        <v>28</v>
      </c>
      <c r="L2384" s="11" t="s">
        <v>28</v>
      </c>
      <c r="M2384" s="11" t="s">
        <v>28</v>
      </c>
      <c r="N2384" s="8">
        <v>44927</v>
      </c>
      <c r="O2384" s="9" t="s">
        <v>52</v>
      </c>
      <c r="P2384" s="12" t="s">
        <v>1970</v>
      </c>
      <c r="Q2384" s="9" t="s">
        <v>75</v>
      </c>
      <c r="R2384" s="14" t="str">
        <f>HYPERLINK("https://my.pitchbook.com?c=295560-01T","View Company Online")</f>
        <v>View Company Online</v>
      </c>
    </row>
    <row r="2385" spans="1:18" hidden="1" x14ac:dyDescent="0.3">
      <c r="A2385" s="15" t="s">
        <v>8134</v>
      </c>
      <c r="B2385" s="15" t="s">
        <v>8135</v>
      </c>
      <c r="C2385" s="18" t="s">
        <v>28</v>
      </c>
      <c r="D2385" s="15" t="s">
        <v>8136</v>
      </c>
      <c r="E2385" s="18" t="s">
        <v>28</v>
      </c>
      <c r="F2385" s="19" t="s">
        <v>28</v>
      </c>
      <c r="G2385" s="19" t="s">
        <v>28</v>
      </c>
      <c r="H2385" s="19" t="s">
        <v>28</v>
      </c>
      <c r="I2385" s="18" t="s">
        <v>28</v>
      </c>
      <c r="J2385" s="18" t="s">
        <v>28</v>
      </c>
      <c r="K2385" s="18" t="s">
        <v>28</v>
      </c>
      <c r="L2385" s="18" t="s">
        <v>28</v>
      </c>
      <c r="M2385" s="18" t="s">
        <v>28</v>
      </c>
      <c r="N2385" s="17">
        <v>44927</v>
      </c>
      <c r="O2385" s="15" t="s">
        <v>30</v>
      </c>
      <c r="P2385" s="16" t="s">
        <v>28</v>
      </c>
      <c r="Q2385" s="15" t="s">
        <v>169</v>
      </c>
      <c r="R2385" s="13" t="str">
        <f>HYPERLINK("https://my.pitchbook.com?c=260931-16T","View Company Online")</f>
        <v>View Company Online</v>
      </c>
    </row>
    <row r="2386" spans="1:18" hidden="1" x14ac:dyDescent="0.3">
      <c r="A2386" s="9" t="s">
        <v>8137</v>
      </c>
      <c r="B2386" s="9" t="s">
        <v>528</v>
      </c>
      <c r="C2386" s="11" t="s">
        <v>28</v>
      </c>
      <c r="D2386" s="9" t="s">
        <v>529</v>
      </c>
      <c r="E2386" s="11" t="s">
        <v>28</v>
      </c>
      <c r="F2386" s="10" t="s">
        <v>28</v>
      </c>
      <c r="G2386" s="10" t="s">
        <v>28</v>
      </c>
      <c r="H2386" s="10" t="s">
        <v>28</v>
      </c>
      <c r="I2386" s="11" t="s">
        <v>28</v>
      </c>
      <c r="J2386" s="11" t="s">
        <v>28</v>
      </c>
      <c r="K2386" s="11" t="s">
        <v>28</v>
      </c>
      <c r="L2386" s="11" t="s">
        <v>28</v>
      </c>
      <c r="M2386" s="11" t="s">
        <v>28</v>
      </c>
      <c r="N2386" s="8">
        <v>44927</v>
      </c>
      <c r="O2386" s="9" t="s">
        <v>52</v>
      </c>
      <c r="P2386" s="12" t="s">
        <v>8138</v>
      </c>
      <c r="Q2386" s="9" t="s">
        <v>75</v>
      </c>
      <c r="R2386" s="14" t="str">
        <f>HYPERLINK("https://my.pitchbook.com?c=274311-19T","View Company Online")</f>
        <v>View Company Online</v>
      </c>
    </row>
    <row r="2387" spans="1:18" hidden="1" x14ac:dyDescent="0.3">
      <c r="A2387" s="15" t="s">
        <v>8139</v>
      </c>
      <c r="B2387" s="15" t="s">
        <v>8140</v>
      </c>
      <c r="C2387" s="18" t="s">
        <v>28</v>
      </c>
      <c r="D2387" s="15" t="s">
        <v>8141</v>
      </c>
      <c r="E2387" s="18" t="s">
        <v>28</v>
      </c>
      <c r="F2387" s="19" t="s">
        <v>28</v>
      </c>
      <c r="G2387" s="19">
        <v>0.19</v>
      </c>
      <c r="H2387" s="19">
        <v>6.35</v>
      </c>
      <c r="I2387" s="18" t="s">
        <v>28</v>
      </c>
      <c r="J2387" s="18" t="s">
        <v>28</v>
      </c>
      <c r="K2387" s="18" t="s">
        <v>28</v>
      </c>
      <c r="L2387" s="18" t="s">
        <v>28</v>
      </c>
      <c r="M2387" s="18" t="s">
        <v>28</v>
      </c>
      <c r="N2387" s="17">
        <v>44927</v>
      </c>
      <c r="O2387" s="15" t="s">
        <v>52</v>
      </c>
      <c r="P2387" s="16" t="s">
        <v>3869</v>
      </c>
      <c r="Q2387" s="15" t="s">
        <v>3912</v>
      </c>
      <c r="R2387" s="13" t="str">
        <f>HYPERLINK("https://my.pitchbook.com?c=263987-92T","View Company Online")</f>
        <v>View Company Online</v>
      </c>
    </row>
    <row r="2388" spans="1:18" hidden="1" x14ac:dyDescent="0.3">
      <c r="A2388" s="9" t="s">
        <v>8142</v>
      </c>
      <c r="B2388" s="9" t="s">
        <v>8143</v>
      </c>
      <c r="C2388" s="11" t="s">
        <v>28</v>
      </c>
      <c r="D2388" s="9" t="s">
        <v>8144</v>
      </c>
      <c r="E2388" s="11" t="s">
        <v>28</v>
      </c>
      <c r="F2388" s="10" t="s">
        <v>28</v>
      </c>
      <c r="G2388" s="10" t="s">
        <v>28</v>
      </c>
      <c r="H2388" s="10" t="s">
        <v>28</v>
      </c>
      <c r="I2388" s="11" t="s">
        <v>28</v>
      </c>
      <c r="J2388" s="11" t="s">
        <v>28</v>
      </c>
      <c r="K2388" s="11" t="s">
        <v>28</v>
      </c>
      <c r="L2388" s="11" t="s">
        <v>28</v>
      </c>
      <c r="M2388" s="11" t="s">
        <v>28</v>
      </c>
      <c r="N2388" s="8">
        <v>44927</v>
      </c>
      <c r="O2388" s="9" t="s">
        <v>52</v>
      </c>
      <c r="P2388" s="12" t="s">
        <v>1970</v>
      </c>
      <c r="Q2388" s="9" t="s">
        <v>119</v>
      </c>
      <c r="R2388" s="14" t="str">
        <f>HYPERLINK("https://my.pitchbook.com?c=295764-13T","View Company Online")</f>
        <v>View Company Online</v>
      </c>
    </row>
    <row r="2389" spans="1:18" hidden="1" x14ac:dyDescent="0.3">
      <c r="A2389" s="15" t="s">
        <v>8145</v>
      </c>
      <c r="B2389" s="15" t="s">
        <v>846</v>
      </c>
      <c r="C2389" s="18" t="s">
        <v>28</v>
      </c>
      <c r="D2389" s="15" t="s">
        <v>847</v>
      </c>
      <c r="E2389" s="18" t="s">
        <v>28</v>
      </c>
      <c r="F2389" s="19" t="s">
        <v>28</v>
      </c>
      <c r="G2389" s="19" t="s">
        <v>28</v>
      </c>
      <c r="H2389" s="19" t="s">
        <v>28</v>
      </c>
      <c r="I2389" s="18" t="s">
        <v>28</v>
      </c>
      <c r="J2389" s="18" t="s">
        <v>28</v>
      </c>
      <c r="K2389" s="18" t="s">
        <v>28</v>
      </c>
      <c r="L2389" s="18" t="s">
        <v>28</v>
      </c>
      <c r="M2389" s="18" t="s">
        <v>28</v>
      </c>
      <c r="N2389" s="17">
        <v>44927</v>
      </c>
      <c r="O2389" s="15" t="s">
        <v>52</v>
      </c>
      <c r="P2389" s="16" t="s">
        <v>68</v>
      </c>
      <c r="Q2389" s="15" t="s">
        <v>75</v>
      </c>
      <c r="R2389" s="13" t="str">
        <f>HYPERLINK("https://my.pitchbook.com?c=295562-17T","View Company Online")</f>
        <v>View Company Online</v>
      </c>
    </row>
    <row r="2390" spans="1:18" hidden="1" x14ac:dyDescent="0.3">
      <c r="A2390" s="9" t="s">
        <v>8146</v>
      </c>
      <c r="B2390" s="9" t="s">
        <v>846</v>
      </c>
      <c r="C2390" s="11" t="s">
        <v>28</v>
      </c>
      <c r="D2390" s="9" t="s">
        <v>847</v>
      </c>
      <c r="E2390" s="11" t="s">
        <v>28</v>
      </c>
      <c r="F2390" s="10" t="s">
        <v>28</v>
      </c>
      <c r="G2390" s="10" t="s">
        <v>28</v>
      </c>
      <c r="H2390" s="10" t="s">
        <v>28</v>
      </c>
      <c r="I2390" s="11" t="s">
        <v>28</v>
      </c>
      <c r="J2390" s="11" t="s">
        <v>28</v>
      </c>
      <c r="K2390" s="11" t="s">
        <v>28</v>
      </c>
      <c r="L2390" s="11" t="s">
        <v>28</v>
      </c>
      <c r="M2390" s="11" t="s">
        <v>28</v>
      </c>
      <c r="N2390" s="8">
        <v>44927</v>
      </c>
      <c r="O2390" s="9" t="s">
        <v>52</v>
      </c>
      <c r="P2390" s="12" t="s">
        <v>1970</v>
      </c>
      <c r="Q2390" s="9" t="s">
        <v>75</v>
      </c>
      <c r="R2390" s="14" t="str">
        <f>HYPERLINK("https://my.pitchbook.com?c=295562-26T","View Company Online")</f>
        <v>View Company Online</v>
      </c>
    </row>
    <row r="2391" spans="1:18" hidden="1" x14ac:dyDescent="0.3">
      <c r="A2391" s="15" t="s">
        <v>8147</v>
      </c>
      <c r="B2391" s="15" t="s">
        <v>8148</v>
      </c>
      <c r="C2391" s="18" t="s">
        <v>28</v>
      </c>
      <c r="D2391" s="15" t="s">
        <v>8149</v>
      </c>
      <c r="E2391" s="18" t="s">
        <v>28</v>
      </c>
      <c r="F2391" s="19" t="s">
        <v>28</v>
      </c>
      <c r="G2391" s="19" t="s">
        <v>28</v>
      </c>
      <c r="H2391" s="19" t="s">
        <v>28</v>
      </c>
      <c r="I2391" s="18" t="s">
        <v>28</v>
      </c>
      <c r="J2391" s="18" t="s">
        <v>28</v>
      </c>
      <c r="K2391" s="18" t="s">
        <v>28</v>
      </c>
      <c r="L2391" s="18" t="s">
        <v>28</v>
      </c>
      <c r="M2391" s="18" t="s">
        <v>28</v>
      </c>
      <c r="N2391" s="17">
        <v>44927</v>
      </c>
      <c r="O2391" s="15" t="s">
        <v>52</v>
      </c>
      <c r="P2391" s="16" t="s">
        <v>1970</v>
      </c>
      <c r="Q2391" s="15" t="s">
        <v>75</v>
      </c>
      <c r="R2391" s="13" t="str">
        <f>HYPERLINK("https://my.pitchbook.com?c=295290-28T","View Company Online")</f>
        <v>View Company Online</v>
      </c>
    </row>
    <row r="2392" spans="1:18" hidden="1" x14ac:dyDescent="0.3">
      <c r="A2392" s="9" t="s">
        <v>8150</v>
      </c>
      <c r="B2392" s="9" t="s">
        <v>8151</v>
      </c>
      <c r="C2392" s="11" t="s">
        <v>28</v>
      </c>
      <c r="D2392" s="9" t="s">
        <v>8152</v>
      </c>
      <c r="E2392" s="11" t="s">
        <v>28</v>
      </c>
      <c r="F2392" s="10" t="s">
        <v>28</v>
      </c>
      <c r="G2392" s="10" t="s">
        <v>28</v>
      </c>
      <c r="H2392" s="10" t="s">
        <v>28</v>
      </c>
      <c r="I2392" s="11" t="s">
        <v>28</v>
      </c>
      <c r="J2392" s="11" t="s">
        <v>28</v>
      </c>
      <c r="K2392" s="11" t="s">
        <v>28</v>
      </c>
      <c r="L2392" s="11" t="s">
        <v>28</v>
      </c>
      <c r="M2392" s="11" t="s">
        <v>28</v>
      </c>
      <c r="N2392" s="8">
        <v>44927</v>
      </c>
      <c r="O2392" s="9" t="s">
        <v>52</v>
      </c>
      <c r="P2392" s="12" t="s">
        <v>2235</v>
      </c>
      <c r="Q2392" s="9" t="s">
        <v>75</v>
      </c>
      <c r="R2392" s="14" t="str">
        <f>HYPERLINK("https://my.pitchbook.com?c=257982-04T","View Company Online")</f>
        <v>View Company Online</v>
      </c>
    </row>
    <row r="2393" spans="1:18" hidden="1" x14ac:dyDescent="0.3">
      <c r="A2393" s="15" t="s">
        <v>8153</v>
      </c>
      <c r="B2393" s="15" t="s">
        <v>8154</v>
      </c>
      <c r="C2393" s="18" t="s">
        <v>28</v>
      </c>
      <c r="D2393" s="15" t="s">
        <v>8155</v>
      </c>
      <c r="E2393" s="18" t="s">
        <v>28</v>
      </c>
      <c r="F2393" s="19" t="s">
        <v>28</v>
      </c>
      <c r="G2393" s="19" t="s">
        <v>28</v>
      </c>
      <c r="H2393" s="19" t="s">
        <v>28</v>
      </c>
      <c r="I2393" s="18" t="s">
        <v>28</v>
      </c>
      <c r="J2393" s="18" t="s">
        <v>28</v>
      </c>
      <c r="K2393" s="18" t="s">
        <v>28</v>
      </c>
      <c r="L2393" s="18" t="s">
        <v>28</v>
      </c>
      <c r="M2393" s="18" t="s">
        <v>28</v>
      </c>
      <c r="N2393" s="17">
        <v>44927</v>
      </c>
      <c r="O2393" s="15" t="s">
        <v>30</v>
      </c>
      <c r="P2393" s="16" t="s">
        <v>8156</v>
      </c>
      <c r="Q2393" s="15" t="s">
        <v>119</v>
      </c>
      <c r="R2393" s="13" t="str">
        <f>HYPERLINK("https://my.pitchbook.com?c=208629-82T","View Company Online")</f>
        <v>View Company Online</v>
      </c>
    </row>
    <row r="2394" spans="1:18" hidden="1" x14ac:dyDescent="0.3">
      <c r="A2394" s="9" t="s">
        <v>8157</v>
      </c>
      <c r="B2394" s="9" t="s">
        <v>8158</v>
      </c>
      <c r="C2394" s="11" t="s">
        <v>28</v>
      </c>
      <c r="D2394" s="9" t="s">
        <v>8159</v>
      </c>
      <c r="E2394" s="11" t="s">
        <v>28</v>
      </c>
      <c r="F2394" s="10" t="s">
        <v>28</v>
      </c>
      <c r="G2394" s="10" t="s">
        <v>28</v>
      </c>
      <c r="H2394" s="10" t="s">
        <v>28</v>
      </c>
      <c r="I2394" s="11" t="s">
        <v>28</v>
      </c>
      <c r="J2394" s="11" t="s">
        <v>28</v>
      </c>
      <c r="K2394" s="11" t="s">
        <v>28</v>
      </c>
      <c r="L2394" s="11" t="s">
        <v>28</v>
      </c>
      <c r="M2394" s="11" t="s">
        <v>28</v>
      </c>
      <c r="N2394" s="8">
        <v>44927</v>
      </c>
      <c r="O2394" s="9" t="s">
        <v>52</v>
      </c>
      <c r="P2394" s="12" t="s">
        <v>1970</v>
      </c>
      <c r="Q2394" s="9" t="s">
        <v>43</v>
      </c>
      <c r="R2394" s="14" t="str">
        <f>HYPERLINK("https://my.pitchbook.com?c=295928-29T","View Company Online")</f>
        <v>View Company Online</v>
      </c>
    </row>
    <row r="2395" spans="1:18" hidden="1" x14ac:dyDescent="0.3">
      <c r="A2395" s="15" t="s">
        <v>8160</v>
      </c>
      <c r="B2395" s="15" t="s">
        <v>8161</v>
      </c>
      <c r="C2395" s="18" t="s">
        <v>28</v>
      </c>
      <c r="D2395" s="15" t="s">
        <v>8162</v>
      </c>
      <c r="E2395" s="18" t="s">
        <v>28</v>
      </c>
      <c r="F2395" s="19" t="s">
        <v>28</v>
      </c>
      <c r="G2395" s="19" t="s">
        <v>28</v>
      </c>
      <c r="H2395" s="19" t="s">
        <v>28</v>
      </c>
      <c r="I2395" s="18" t="s">
        <v>28</v>
      </c>
      <c r="J2395" s="18" t="s">
        <v>28</v>
      </c>
      <c r="K2395" s="18" t="s">
        <v>28</v>
      </c>
      <c r="L2395" s="18" t="s">
        <v>28</v>
      </c>
      <c r="M2395" s="18" t="s">
        <v>28</v>
      </c>
      <c r="N2395" s="17">
        <v>44927</v>
      </c>
      <c r="O2395" s="15" t="s">
        <v>52</v>
      </c>
      <c r="P2395" s="16" t="s">
        <v>1970</v>
      </c>
      <c r="Q2395" s="15" t="s">
        <v>404</v>
      </c>
      <c r="R2395" s="13" t="str">
        <f>HYPERLINK("https://my.pitchbook.com?c=295493-77T","View Company Online")</f>
        <v>View Company Online</v>
      </c>
    </row>
    <row r="2396" spans="1:18" hidden="1" x14ac:dyDescent="0.3">
      <c r="A2396" s="9" t="s">
        <v>8163</v>
      </c>
      <c r="B2396" s="9" t="s">
        <v>8164</v>
      </c>
      <c r="C2396" s="11" t="s">
        <v>28</v>
      </c>
      <c r="D2396" s="9" t="s">
        <v>8165</v>
      </c>
      <c r="E2396" s="11" t="s">
        <v>28</v>
      </c>
      <c r="F2396" s="10" t="s">
        <v>28</v>
      </c>
      <c r="G2396" s="10" t="s">
        <v>28</v>
      </c>
      <c r="H2396" s="10" t="s">
        <v>28</v>
      </c>
      <c r="I2396" s="11" t="s">
        <v>28</v>
      </c>
      <c r="J2396" s="11" t="s">
        <v>28</v>
      </c>
      <c r="K2396" s="11" t="s">
        <v>28</v>
      </c>
      <c r="L2396" s="11" t="s">
        <v>28</v>
      </c>
      <c r="M2396" s="11" t="s">
        <v>28</v>
      </c>
      <c r="N2396" s="8">
        <v>44927</v>
      </c>
      <c r="O2396" s="9" t="s">
        <v>52</v>
      </c>
      <c r="P2396" s="12" t="s">
        <v>1970</v>
      </c>
      <c r="Q2396" s="9" t="s">
        <v>75</v>
      </c>
      <c r="R2396" s="14" t="str">
        <f>HYPERLINK("https://my.pitchbook.com?c=295305-22T","View Company Online")</f>
        <v>View Company Online</v>
      </c>
    </row>
    <row r="2397" spans="1:18" hidden="1" x14ac:dyDescent="0.3">
      <c r="A2397" s="15" t="s">
        <v>8166</v>
      </c>
      <c r="B2397" s="15" t="s">
        <v>8167</v>
      </c>
      <c r="C2397" s="18" t="s">
        <v>28</v>
      </c>
      <c r="D2397" s="15" t="s">
        <v>8168</v>
      </c>
      <c r="E2397" s="18" t="s">
        <v>28</v>
      </c>
      <c r="F2397" s="19" t="s">
        <v>28</v>
      </c>
      <c r="G2397" s="19" t="s">
        <v>28</v>
      </c>
      <c r="H2397" s="19" t="s">
        <v>28</v>
      </c>
      <c r="I2397" s="18" t="s">
        <v>28</v>
      </c>
      <c r="J2397" s="18" t="s">
        <v>28</v>
      </c>
      <c r="K2397" s="18" t="s">
        <v>28</v>
      </c>
      <c r="L2397" s="18" t="s">
        <v>28</v>
      </c>
      <c r="M2397" s="18" t="s">
        <v>28</v>
      </c>
      <c r="N2397" s="17">
        <v>44927</v>
      </c>
      <c r="O2397" s="15" t="s">
        <v>52</v>
      </c>
      <c r="P2397" s="16" t="s">
        <v>1970</v>
      </c>
      <c r="Q2397" s="15" t="s">
        <v>855</v>
      </c>
      <c r="R2397" s="13" t="str">
        <f>HYPERLINK("https://my.pitchbook.com?c=295558-93T","View Company Online")</f>
        <v>View Company Online</v>
      </c>
    </row>
    <row r="2398" spans="1:18" hidden="1" x14ac:dyDescent="0.3">
      <c r="A2398" s="9" t="s">
        <v>8169</v>
      </c>
      <c r="B2398" s="9" t="s">
        <v>6008</v>
      </c>
      <c r="C2398" s="11" t="s">
        <v>28</v>
      </c>
      <c r="D2398" s="9" t="s">
        <v>6009</v>
      </c>
      <c r="E2398" s="11" t="s">
        <v>28</v>
      </c>
      <c r="F2398" s="10" t="s">
        <v>28</v>
      </c>
      <c r="G2398" s="10" t="s">
        <v>28</v>
      </c>
      <c r="H2398" s="10" t="s">
        <v>28</v>
      </c>
      <c r="I2398" s="11" t="s">
        <v>28</v>
      </c>
      <c r="J2398" s="11" t="s">
        <v>28</v>
      </c>
      <c r="K2398" s="11" t="s">
        <v>28</v>
      </c>
      <c r="L2398" s="11" t="s">
        <v>28</v>
      </c>
      <c r="M2398" s="11" t="s">
        <v>28</v>
      </c>
      <c r="N2398" s="8">
        <v>44927</v>
      </c>
      <c r="O2398" s="9" t="s">
        <v>73</v>
      </c>
      <c r="P2398" s="12" t="s">
        <v>8170</v>
      </c>
      <c r="Q2398" s="9" t="s">
        <v>136</v>
      </c>
      <c r="R2398" s="14" t="str">
        <f>HYPERLINK("https://my.pitchbook.com?c=158404-78T","View Company Online")</f>
        <v>View Company Online</v>
      </c>
    </row>
    <row r="2399" spans="1:18" hidden="1" x14ac:dyDescent="0.3">
      <c r="A2399" s="15" t="s">
        <v>8171</v>
      </c>
      <c r="B2399" s="15" t="s">
        <v>3778</v>
      </c>
      <c r="C2399" s="18" t="s">
        <v>28</v>
      </c>
      <c r="D2399" s="15" t="s">
        <v>3779</v>
      </c>
      <c r="E2399" s="18" t="s">
        <v>28</v>
      </c>
      <c r="F2399" s="19" t="s">
        <v>28</v>
      </c>
      <c r="G2399" s="19" t="s">
        <v>28</v>
      </c>
      <c r="H2399" s="19" t="s">
        <v>28</v>
      </c>
      <c r="I2399" s="18" t="s">
        <v>28</v>
      </c>
      <c r="J2399" s="18" t="s">
        <v>28</v>
      </c>
      <c r="K2399" s="18" t="s">
        <v>28</v>
      </c>
      <c r="L2399" s="18" t="s">
        <v>28</v>
      </c>
      <c r="M2399" s="18" t="s">
        <v>28</v>
      </c>
      <c r="N2399" s="17">
        <v>44927</v>
      </c>
      <c r="O2399" s="15" t="s">
        <v>52</v>
      </c>
      <c r="P2399" s="16" t="s">
        <v>2830</v>
      </c>
      <c r="Q2399" s="15" t="s">
        <v>75</v>
      </c>
      <c r="R2399" s="13" t="str">
        <f>HYPERLINK("https://my.pitchbook.com?c=266705-38T","View Company Online")</f>
        <v>View Company Online</v>
      </c>
    </row>
    <row r="2400" spans="1:18" hidden="1" x14ac:dyDescent="0.3">
      <c r="A2400" s="9" t="s">
        <v>8172</v>
      </c>
      <c r="B2400" s="9" t="s">
        <v>8173</v>
      </c>
      <c r="C2400" s="11" t="s">
        <v>28</v>
      </c>
      <c r="D2400" s="9" t="s">
        <v>8174</v>
      </c>
      <c r="E2400" s="11" t="s">
        <v>28</v>
      </c>
      <c r="F2400" s="10" t="s">
        <v>28</v>
      </c>
      <c r="G2400" s="10" t="s">
        <v>28</v>
      </c>
      <c r="H2400" s="10" t="s">
        <v>28</v>
      </c>
      <c r="I2400" s="11" t="s">
        <v>28</v>
      </c>
      <c r="J2400" s="11" t="s">
        <v>28</v>
      </c>
      <c r="K2400" s="11" t="s">
        <v>28</v>
      </c>
      <c r="L2400" s="11" t="s">
        <v>28</v>
      </c>
      <c r="M2400" s="11" t="s">
        <v>28</v>
      </c>
      <c r="N2400" s="8">
        <v>44927</v>
      </c>
      <c r="O2400" s="9" t="s">
        <v>52</v>
      </c>
      <c r="P2400" s="12" t="s">
        <v>2830</v>
      </c>
      <c r="Q2400" s="9" t="s">
        <v>75</v>
      </c>
      <c r="R2400" s="14" t="str">
        <f>HYPERLINK("https://my.pitchbook.com?c=262862-02T","View Company Online")</f>
        <v>View Company Online</v>
      </c>
    </row>
    <row r="2401" spans="1:18" hidden="1" x14ac:dyDescent="0.3">
      <c r="A2401" s="15" t="s">
        <v>8175</v>
      </c>
      <c r="B2401" s="15" t="s">
        <v>8176</v>
      </c>
      <c r="C2401" s="18" t="s">
        <v>28</v>
      </c>
      <c r="D2401" s="15" t="s">
        <v>8177</v>
      </c>
      <c r="E2401" s="18" t="s">
        <v>28</v>
      </c>
      <c r="F2401" s="19" t="s">
        <v>28</v>
      </c>
      <c r="G2401" s="19" t="s">
        <v>28</v>
      </c>
      <c r="H2401" s="19" t="s">
        <v>28</v>
      </c>
      <c r="I2401" s="18" t="s">
        <v>28</v>
      </c>
      <c r="J2401" s="18" t="s">
        <v>28</v>
      </c>
      <c r="K2401" s="18" t="s">
        <v>28</v>
      </c>
      <c r="L2401" s="18" t="s">
        <v>28</v>
      </c>
      <c r="M2401" s="18" t="s">
        <v>28</v>
      </c>
      <c r="N2401" s="17">
        <v>44927</v>
      </c>
      <c r="O2401" s="15" t="s">
        <v>52</v>
      </c>
      <c r="P2401" s="16" t="s">
        <v>2830</v>
      </c>
      <c r="Q2401" s="15" t="s">
        <v>245</v>
      </c>
      <c r="R2401" s="13" t="str">
        <f>HYPERLINK("https://my.pitchbook.com?c=292809-88T","View Company Online")</f>
        <v>View Company Online</v>
      </c>
    </row>
    <row r="2402" spans="1:18" hidden="1" x14ac:dyDescent="0.3">
      <c r="A2402" s="9" t="s">
        <v>8178</v>
      </c>
      <c r="B2402" s="9" t="s">
        <v>8179</v>
      </c>
      <c r="C2402" s="11" t="s">
        <v>28</v>
      </c>
      <c r="D2402" s="9" t="s">
        <v>8180</v>
      </c>
      <c r="E2402" s="11" t="s">
        <v>28</v>
      </c>
      <c r="F2402" s="10" t="s">
        <v>28</v>
      </c>
      <c r="G2402" s="10" t="s">
        <v>28</v>
      </c>
      <c r="H2402" s="10" t="s">
        <v>28</v>
      </c>
      <c r="I2402" s="11" t="s">
        <v>28</v>
      </c>
      <c r="J2402" s="11" t="s">
        <v>28</v>
      </c>
      <c r="K2402" s="11" t="s">
        <v>28</v>
      </c>
      <c r="L2402" s="11" t="s">
        <v>28</v>
      </c>
      <c r="M2402" s="11" t="s">
        <v>28</v>
      </c>
      <c r="N2402" s="8">
        <v>44927</v>
      </c>
      <c r="O2402" s="9" t="s">
        <v>52</v>
      </c>
      <c r="P2402" s="12" t="s">
        <v>1970</v>
      </c>
      <c r="Q2402" s="9" t="s">
        <v>449</v>
      </c>
      <c r="R2402" s="14" t="str">
        <f>HYPERLINK("https://my.pitchbook.com?c=295326-73T","View Company Online")</f>
        <v>View Company Online</v>
      </c>
    </row>
    <row r="2403" spans="1:18" hidden="1" x14ac:dyDescent="0.3">
      <c r="A2403" s="15" t="s">
        <v>8181</v>
      </c>
      <c r="B2403" s="15" t="s">
        <v>5709</v>
      </c>
      <c r="C2403" s="18" t="s">
        <v>28</v>
      </c>
      <c r="D2403" s="15" t="s">
        <v>5710</v>
      </c>
      <c r="E2403" s="18" t="s">
        <v>28</v>
      </c>
      <c r="F2403" s="19" t="s">
        <v>28</v>
      </c>
      <c r="G2403" s="19" t="s">
        <v>28</v>
      </c>
      <c r="H2403" s="19" t="s">
        <v>28</v>
      </c>
      <c r="I2403" s="18" t="s">
        <v>28</v>
      </c>
      <c r="J2403" s="18" t="s">
        <v>28</v>
      </c>
      <c r="K2403" s="18" t="s">
        <v>28</v>
      </c>
      <c r="L2403" s="18" t="s">
        <v>28</v>
      </c>
      <c r="M2403" s="18" t="s">
        <v>28</v>
      </c>
      <c r="N2403" s="17">
        <v>44927</v>
      </c>
      <c r="O2403" s="15" t="s">
        <v>52</v>
      </c>
      <c r="P2403" s="16" t="s">
        <v>2442</v>
      </c>
      <c r="Q2403" s="15" t="s">
        <v>414</v>
      </c>
      <c r="R2403" s="13" t="str">
        <f>HYPERLINK("https://my.pitchbook.com?c=265197-16T","View Company Online")</f>
        <v>View Company Online</v>
      </c>
    </row>
    <row r="2404" spans="1:18" hidden="1" x14ac:dyDescent="0.3">
      <c r="A2404" s="9" t="s">
        <v>8182</v>
      </c>
      <c r="B2404" s="9" t="s">
        <v>1677</v>
      </c>
      <c r="C2404" s="11" t="s">
        <v>28</v>
      </c>
      <c r="D2404" s="9" t="s">
        <v>1678</v>
      </c>
      <c r="E2404" s="11" t="s">
        <v>28</v>
      </c>
      <c r="F2404" s="10" t="s">
        <v>28</v>
      </c>
      <c r="G2404" s="10" t="s">
        <v>28</v>
      </c>
      <c r="H2404" s="10" t="s">
        <v>28</v>
      </c>
      <c r="I2404" s="11" t="s">
        <v>28</v>
      </c>
      <c r="J2404" s="11" t="s">
        <v>28</v>
      </c>
      <c r="K2404" s="11" t="s">
        <v>28</v>
      </c>
      <c r="L2404" s="11" t="s">
        <v>28</v>
      </c>
      <c r="M2404" s="11" t="s">
        <v>28</v>
      </c>
      <c r="N2404" s="8">
        <v>44927</v>
      </c>
      <c r="O2404" s="9" t="s">
        <v>73</v>
      </c>
      <c r="P2404" s="12" t="s">
        <v>8183</v>
      </c>
      <c r="Q2404" s="9" t="s">
        <v>75</v>
      </c>
      <c r="R2404" s="14" t="str">
        <f>HYPERLINK("https://my.pitchbook.com?c=247701-79T","View Company Online")</f>
        <v>View Company Online</v>
      </c>
    </row>
    <row r="2405" spans="1:18" hidden="1" x14ac:dyDescent="0.3">
      <c r="A2405" s="15" t="s">
        <v>8184</v>
      </c>
      <c r="B2405" s="15" t="s">
        <v>4447</v>
      </c>
      <c r="C2405" s="18" t="s">
        <v>28</v>
      </c>
      <c r="D2405" s="15" t="s">
        <v>4448</v>
      </c>
      <c r="E2405" s="18" t="s">
        <v>28</v>
      </c>
      <c r="F2405" s="19" t="s">
        <v>28</v>
      </c>
      <c r="G2405" s="19" t="s">
        <v>28</v>
      </c>
      <c r="H2405" s="19" t="s">
        <v>28</v>
      </c>
      <c r="I2405" s="18" t="s">
        <v>28</v>
      </c>
      <c r="J2405" s="18" t="s">
        <v>28</v>
      </c>
      <c r="K2405" s="18" t="s">
        <v>28</v>
      </c>
      <c r="L2405" s="18" t="s">
        <v>28</v>
      </c>
      <c r="M2405" s="18" t="s">
        <v>28</v>
      </c>
      <c r="N2405" s="17">
        <v>44927</v>
      </c>
      <c r="O2405" s="15" t="s">
        <v>52</v>
      </c>
      <c r="P2405" s="16" t="s">
        <v>2442</v>
      </c>
      <c r="Q2405" s="15" t="s">
        <v>75</v>
      </c>
      <c r="R2405" s="13" t="str">
        <f>HYPERLINK("https://my.pitchbook.com?c=264449-80T","View Company Online")</f>
        <v>View Company Online</v>
      </c>
    </row>
    <row r="2406" spans="1:18" hidden="1" x14ac:dyDescent="0.3">
      <c r="A2406" s="9" t="s">
        <v>8185</v>
      </c>
      <c r="B2406" s="9" t="s">
        <v>8186</v>
      </c>
      <c r="C2406" s="11" t="s">
        <v>28</v>
      </c>
      <c r="D2406" s="9" t="s">
        <v>8187</v>
      </c>
      <c r="E2406" s="11" t="s">
        <v>28</v>
      </c>
      <c r="F2406" s="10" t="s">
        <v>28</v>
      </c>
      <c r="G2406" s="10" t="s">
        <v>28</v>
      </c>
      <c r="H2406" s="10" t="s">
        <v>28</v>
      </c>
      <c r="I2406" s="11" t="s">
        <v>28</v>
      </c>
      <c r="J2406" s="11" t="s">
        <v>28</v>
      </c>
      <c r="K2406" s="11" t="s">
        <v>28</v>
      </c>
      <c r="L2406" s="11" t="s">
        <v>28</v>
      </c>
      <c r="M2406" s="11" t="s">
        <v>28</v>
      </c>
      <c r="N2406" s="8">
        <v>44927</v>
      </c>
      <c r="O2406" s="9" t="s">
        <v>41</v>
      </c>
      <c r="P2406" s="12" t="s">
        <v>8188</v>
      </c>
      <c r="Q2406" s="9" t="s">
        <v>114</v>
      </c>
      <c r="R2406" s="14" t="str">
        <f>HYPERLINK("https://my.pitchbook.com?c=244090-36T","View Company Online")</f>
        <v>View Company Online</v>
      </c>
    </row>
    <row r="2407" spans="1:18" hidden="1" x14ac:dyDescent="0.3">
      <c r="A2407" s="15" t="s">
        <v>8189</v>
      </c>
      <c r="B2407" s="15" t="s">
        <v>8190</v>
      </c>
      <c r="C2407" s="18" t="s">
        <v>28</v>
      </c>
      <c r="D2407" s="15" t="s">
        <v>8191</v>
      </c>
      <c r="E2407" s="18" t="s">
        <v>28</v>
      </c>
      <c r="F2407" s="19" t="s">
        <v>28</v>
      </c>
      <c r="G2407" s="19" t="s">
        <v>28</v>
      </c>
      <c r="H2407" s="19" t="s">
        <v>28</v>
      </c>
      <c r="I2407" s="18" t="s">
        <v>28</v>
      </c>
      <c r="J2407" s="18" t="s">
        <v>28</v>
      </c>
      <c r="K2407" s="18" t="s">
        <v>28</v>
      </c>
      <c r="L2407" s="18" t="s">
        <v>28</v>
      </c>
      <c r="M2407" s="18" t="s">
        <v>28</v>
      </c>
      <c r="N2407" s="17">
        <v>44927</v>
      </c>
      <c r="O2407" s="15" t="s">
        <v>52</v>
      </c>
      <c r="P2407" s="16" t="s">
        <v>1970</v>
      </c>
      <c r="Q2407" s="15" t="s">
        <v>37</v>
      </c>
      <c r="R2407" s="13" t="str">
        <f>HYPERLINK("https://my.pitchbook.com?c=295748-65T","View Company Online")</f>
        <v>View Company Online</v>
      </c>
    </row>
    <row r="2408" spans="1:18" hidden="1" x14ac:dyDescent="0.3">
      <c r="A2408" s="9" t="s">
        <v>8192</v>
      </c>
      <c r="B2408" s="9" t="s">
        <v>1806</v>
      </c>
      <c r="C2408" s="11" t="s">
        <v>28</v>
      </c>
      <c r="D2408" s="9" t="s">
        <v>1807</v>
      </c>
      <c r="E2408" s="11" t="s">
        <v>28</v>
      </c>
      <c r="F2408" s="10" t="s">
        <v>28</v>
      </c>
      <c r="G2408" s="10">
        <v>30</v>
      </c>
      <c r="H2408" s="10" t="s">
        <v>28</v>
      </c>
      <c r="I2408" s="11" t="s">
        <v>28</v>
      </c>
      <c r="J2408" s="11" t="s">
        <v>28</v>
      </c>
      <c r="K2408" s="11" t="s">
        <v>28</v>
      </c>
      <c r="L2408" s="11" t="s">
        <v>28</v>
      </c>
      <c r="M2408" s="11" t="s">
        <v>28</v>
      </c>
      <c r="N2408" s="8">
        <v>44927</v>
      </c>
      <c r="O2408" s="9" t="s">
        <v>73</v>
      </c>
      <c r="P2408" s="12" t="s">
        <v>8193</v>
      </c>
      <c r="Q2408" s="9" t="s">
        <v>85</v>
      </c>
      <c r="R2408" s="14" t="str">
        <f>HYPERLINK("https://my.pitchbook.com?c=247357-63T","View Company Online")</f>
        <v>View Company Online</v>
      </c>
    </row>
    <row r="2409" spans="1:18" hidden="1" x14ac:dyDescent="0.3">
      <c r="A2409" s="15" t="s">
        <v>8194</v>
      </c>
      <c r="B2409" s="15" t="s">
        <v>8195</v>
      </c>
      <c r="C2409" s="18" t="s">
        <v>28</v>
      </c>
      <c r="D2409" s="15" t="s">
        <v>8196</v>
      </c>
      <c r="E2409" s="18" t="s">
        <v>28</v>
      </c>
      <c r="F2409" s="19" t="s">
        <v>28</v>
      </c>
      <c r="G2409" s="19" t="s">
        <v>28</v>
      </c>
      <c r="H2409" s="19" t="s">
        <v>28</v>
      </c>
      <c r="I2409" s="18" t="s">
        <v>28</v>
      </c>
      <c r="J2409" s="18" t="s">
        <v>28</v>
      </c>
      <c r="K2409" s="18" t="s">
        <v>28</v>
      </c>
      <c r="L2409" s="18" t="s">
        <v>28</v>
      </c>
      <c r="M2409" s="18" t="s">
        <v>28</v>
      </c>
      <c r="N2409" s="17">
        <v>44927</v>
      </c>
      <c r="O2409" s="15" t="s">
        <v>52</v>
      </c>
      <c r="P2409" s="16" t="s">
        <v>1970</v>
      </c>
      <c r="Q2409" s="15" t="s">
        <v>8197</v>
      </c>
      <c r="R2409" s="13" t="str">
        <f>HYPERLINK("https://my.pitchbook.com?c=295769-08T","View Company Online")</f>
        <v>View Company Online</v>
      </c>
    </row>
    <row r="2410" spans="1:18" hidden="1" x14ac:dyDescent="0.3">
      <c r="A2410" s="9" t="s">
        <v>8198</v>
      </c>
      <c r="B2410" s="9" t="s">
        <v>8199</v>
      </c>
      <c r="C2410" s="11" t="s">
        <v>28</v>
      </c>
      <c r="D2410" s="9" t="s">
        <v>8200</v>
      </c>
      <c r="E2410" s="11" t="s">
        <v>28</v>
      </c>
      <c r="F2410" s="10" t="s">
        <v>28</v>
      </c>
      <c r="G2410" s="10" t="s">
        <v>28</v>
      </c>
      <c r="H2410" s="10" t="s">
        <v>28</v>
      </c>
      <c r="I2410" s="11" t="s">
        <v>28</v>
      </c>
      <c r="J2410" s="11" t="s">
        <v>28</v>
      </c>
      <c r="K2410" s="11" t="s">
        <v>28</v>
      </c>
      <c r="L2410" s="11" t="s">
        <v>28</v>
      </c>
      <c r="M2410" s="11" t="s">
        <v>28</v>
      </c>
      <c r="N2410" s="8">
        <v>44927</v>
      </c>
      <c r="O2410" s="9" t="s">
        <v>52</v>
      </c>
      <c r="P2410" s="12" t="s">
        <v>1970</v>
      </c>
      <c r="Q2410" s="9" t="s">
        <v>1007</v>
      </c>
      <c r="R2410" s="14" t="str">
        <f>HYPERLINK("https://my.pitchbook.com?c=295515-82T","View Company Online")</f>
        <v>View Company Online</v>
      </c>
    </row>
    <row r="2411" spans="1:18" hidden="1" x14ac:dyDescent="0.3">
      <c r="A2411" s="15" t="s">
        <v>8201</v>
      </c>
      <c r="B2411" s="15" t="s">
        <v>8202</v>
      </c>
      <c r="C2411" s="18" t="s">
        <v>28</v>
      </c>
      <c r="D2411" s="15" t="s">
        <v>8203</v>
      </c>
      <c r="E2411" s="18" t="s">
        <v>28</v>
      </c>
      <c r="F2411" s="19" t="s">
        <v>28</v>
      </c>
      <c r="G2411" s="19" t="s">
        <v>28</v>
      </c>
      <c r="H2411" s="19" t="s">
        <v>28</v>
      </c>
      <c r="I2411" s="18" t="s">
        <v>28</v>
      </c>
      <c r="J2411" s="18" t="s">
        <v>28</v>
      </c>
      <c r="K2411" s="18" t="s">
        <v>28</v>
      </c>
      <c r="L2411" s="18" t="s">
        <v>28</v>
      </c>
      <c r="M2411" s="18" t="s">
        <v>28</v>
      </c>
      <c r="N2411" s="17">
        <v>44927</v>
      </c>
      <c r="O2411" s="15" t="s">
        <v>52</v>
      </c>
      <c r="P2411" s="16" t="s">
        <v>2830</v>
      </c>
      <c r="Q2411" s="15" t="s">
        <v>245</v>
      </c>
      <c r="R2411" s="13" t="str">
        <f>HYPERLINK("https://my.pitchbook.com?c=293651-02T","View Company Online")</f>
        <v>View Company Online</v>
      </c>
    </row>
    <row r="2412" spans="1:18" hidden="1" x14ac:dyDescent="0.3">
      <c r="A2412" s="9" t="s">
        <v>8204</v>
      </c>
      <c r="B2412" s="9" t="s">
        <v>8205</v>
      </c>
      <c r="C2412" s="11" t="s">
        <v>28</v>
      </c>
      <c r="D2412" s="9" t="s">
        <v>8206</v>
      </c>
      <c r="E2412" s="11" t="s">
        <v>28</v>
      </c>
      <c r="F2412" s="10" t="s">
        <v>28</v>
      </c>
      <c r="G2412" s="10" t="s">
        <v>28</v>
      </c>
      <c r="H2412" s="10" t="s">
        <v>28</v>
      </c>
      <c r="I2412" s="11" t="s">
        <v>28</v>
      </c>
      <c r="J2412" s="11" t="s">
        <v>28</v>
      </c>
      <c r="K2412" s="11" t="s">
        <v>28</v>
      </c>
      <c r="L2412" s="11" t="s">
        <v>28</v>
      </c>
      <c r="M2412" s="11" t="s">
        <v>28</v>
      </c>
      <c r="N2412" s="8">
        <v>44927</v>
      </c>
      <c r="O2412" s="9" t="s">
        <v>52</v>
      </c>
      <c r="P2412" s="12" t="s">
        <v>2830</v>
      </c>
      <c r="Q2412" s="9" t="s">
        <v>75</v>
      </c>
      <c r="R2412" s="14" t="str">
        <f>HYPERLINK("https://my.pitchbook.com?c=292610-71T","View Company Online")</f>
        <v>View Company Online</v>
      </c>
    </row>
    <row r="2413" spans="1:18" hidden="1" x14ac:dyDescent="0.3">
      <c r="A2413" s="15" t="s">
        <v>8207</v>
      </c>
      <c r="B2413" s="15" t="s">
        <v>8208</v>
      </c>
      <c r="C2413" s="18" t="s">
        <v>28</v>
      </c>
      <c r="D2413" s="15" t="s">
        <v>8209</v>
      </c>
      <c r="E2413" s="18" t="s">
        <v>28</v>
      </c>
      <c r="F2413" s="19" t="s">
        <v>28</v>
      </c>
      <c r="G2413" s="19" t="s">
        <v>28</v>
      </c>
      <c r="H2413" s="19" t="s">
        <v>28</v>
      </c>
      <c r="I2413" s="18" t="s">
        <v>28</v>
      </c>
      <c r="J2413" s="18" t="s">
        <v>28</v>
      </c>
      <c r="K2413" s="18" t="s">
        <v>28</v>
      </c>
      <c r="L2413" s="18" t="s">
        <v>28</v>
      </c>
      <c r="M2413" s="18" t="s">
        <v>28</v>
      </c>
      <c r="N2413" s="17">
        <v>44927</v>
      </c>
      <c r="O2413" s="15" t="s">
        <v>52</v>
      </c>
      <c r="P2413" s="16" t="s">
        <v>1970</v>
      </c>
      <c r="Q2413" s="15" t="s">
        <v>290</v>
      </c>
      <c r="R2413" s="13" t="str">
        <f>HYPERLINK("https://my.pitchbook.com?c=295338-43T","View Company Online")</f>
        <v>View Company Online</v>
      </c>
    </row>
    <row r="2414" spans="1:18" hidden="1" x14ac:dyDescent="0.3">
      <c r="A2414" s="9" t="s">
        <v>8210</v>
      </c>
      <c r="B2414" s="9" t="s">
        <v>8211</v>
      </c>
      <c r="C2414" s="11" t="s">
        <v>28</v>
      </c>
      <c r="D2414" s="9" t="s">
        <v>8212</v>
      </c>
      <c r="E2414" s="11" t="s">
        <v>28</v>
      </c>
      <c r="F2414" s="10" t="s">
        <v>28</v>
      </c>
      <c r="G2414" s="10" t="s">
        <v>28</v>
      </c>
      <c r="H2414" s="10" t="s">
        <v>28</v>
      </c>
      <c r="I2414" s="11" t="s">
        <v>28</v>
      </c>
      <c r="J2414" s="11" t="s">
        <v>28</v>
      </c>
      <c r="K2414" s="11" t="s">
        <v>28</v>
      </c>
      <c r="L2414" s="11" t="s">
        <v>28</v>
      </c>
      <c r="M2414" s="11" t="s">
        <v>28</v>
      </c>
      <c r="N2414" s="8">
        <v>44927</v>
      </c>
      <c r="O2414" s="9" t="s">
        <v>30</v>
      </c>
      <c r="P2414" s="12" t="s">
        <v>2351</v>
      </c>
      <c r="Q2414" s="9" t="s">
        <v>75</v>
      </c>
      <c r="R2414" s="14" t="str">
        <f>HYPERLINK("https://my.pitchbook.com?c=267669-64T","View Company Online")</f>
        <v>View Company Online</v>
      </c>
    </row>
    <row r="2415" spans="1:18" hidden="1" x14ac:dyDescent="0.3">
      <c r="A2415" s="15" t="s">
        <v>8213</v>
      </c>
      <c r="B2415" s="15" t="s">
        <v>8214</v>
      </c>
      <c r="C2415" s="18" t="s">
        <v>28</v>
      </c>
      <c r="D2415" s="15" t="s">
        <v>8215</v>
      </c>
      <c r="E2415" s="18" t="s">
        <v>28</v>
      </c>
      <c r="F2415" s="19" t="s">
        <v>28</v>
      </c>
      <c r="G2415" s="19" t="s">
        <v>28</v>
      </c>
      <c r="H2415" s="19" t="s">
        <v>28</v>
      </c>
      <c r="I2415" s="18" t="s">
        <v>28</v>
      </c>
      <c r="J2415" s="18" t="s">
        <v>28</v>
      </c>
      <c r="K2415" s="18" t="s">
        <v>28</v>
      </c>
      <c r="L2415" s="18" t="s">
        <v>28</v>
      </c>
      <c r="M2415" s="18" t="s">
        <v>28</v>
      </c>
      <c r="N2415" s="17">
        <v>44927</v>
      </c>
      <c r="O2415" s="15" t="s">
        <v>52</v>
      </c>
      <c r="P2415" s="16" t="s">
        <v>1970</v>
      </c>
      <c r="Q2415" s="15" t="s">
        <v>75</v>
      </c>
      <c r="R2415" s="13" t="str">
        <f>HYPERLINK("https://my.pitchbook.com?c=295757-56T","View Company Online")</f>
        <v>View Company Online</v>
      </c>
    </row>
    <row r="2416" spans="1:18" hidden="1" x14ac:dyDescent="0.3">
      <c r="A2416" s="9" t="s">
        <v>8216</v>
      </c>
      <c r="B2416" s="9" t="s">
        <v>8217</v>
      </c>
      <c r="C2416" s="11" t="s">
        <v>28</v>
      </c>
      <c r="D2416" s="9" t="s">
        <v>8218</v>
      </c>
      <c r="E2416" s="11" t="s">
        <v>28</v>
      </c>
      <c r="F2416" s="10" t="s">
        <v>28</v>
      </c>
      <c r="G2416" s="10" t="s">
        <v>28</v>
      </c>
      <c r="H2416" s="10" t="s">
        <v>28</v>
      </c>
      <c r="I2416" s="11" t="s">
        <v>28</v>
      </c>
      <c r="J2416" s="11" t="s">
        <v>28</v>
      </c>
      <c r="K2416" s="11" t="s">
        <v>28</v>
      </c>
      <c r="L2416" s="11" t="s">
        <v>28</v>
      </c>
      <c r="M2416" s="11" t="s">
        <v>28</v>
      </c>
      <c r="N2416" s="8">
        <v>44926</v>
      </c>
      <c r="O2416" s="9" t="s">
        <v>30</v>
      </c>
      <c r="P2416" s="12" t="s">
        <v>3797</v>
      </c>
      <c r="Q2416" s="9" t="s">
        <v>290</v>
      </c>
      <c r="R2416" s="14" t="str">
        <f>HYPERLINK("https://my.pitchbook.com?c=212559-40T","View Company Online")</f>
        <v>View Company Online</v>
      </c>
    </row>
    <row r="2417" spans="1:18" hidden="1" x14ac:dyDescent="0.3">
      <c r="A2417" s="15" t="s">
        <v>8219</v>
      </c>
      <c r="B2417" s="15" t="s">
        <v>8220</v>
      </c>
      <c r="C2417" s="18" t="s">
        <v>28</v>
      </c>
      <c r="D2417" s="15" t="s">
        <v>8221</v>
      </c>
      <c r="E2417" s="18" t="s">
        <v>28</v>
      </c>
      <c r="F2417" s="19">
        <v>0.53</v>
      </c>
      <c r="G2417" s="19">
        <v>0.53</v>
      </c>
      <c r="H2417" s="19">
        <v>0.53</v>
      </c>
      <c r="I2417" s="18" t="s">
        <v>28</v>
      </c>
      <c r="J2417" s="18" t="s">
        <v>28</v>
      </c>
      <c r="K2417" s="18" t="s">
        <v>28</v>
      </c>
      <c r="L2417" s="18" t="s">
        <v>28</v>
      </c>
      <c r="M2417" s="18" t="s">
        <v>28</v>
      </c>
      <c r="N2417" s="17">
        <v>44925</v>
      </c>
      <c r="O2417" s="15" t="s">
        <v>30</v>
      </c>
      <c r="P2417" s="16" t="s">
        <v>1720</v>
      </c>
      <c r="Q2417" s="15" t="s">
        <v>404</v>
      </c>
      <c r="R2417" s="13" t="str">
        <f>HYPERLINK("https://my.pitchbook.com?c=214754-32T","View Company Online")</f>
        <v>View Company Online</v>
      </c>
    </row>
    <row r="2418" spans="1:18" hidden="1" x14ac:dyDescent="0.3">
      <c r="A2418" s="9" t="s">
        <v>8222</v>
      </c>
      <c r="B2418" s="9" t="s">
        <v>8223</v>
      </c>
      <c r="C2418" s="11" t="s">
        <v>28</v>
      </c>
      <c r="D2418" s="9" t="s">
        <v>8224</v>
      </c>
      <c r="E2418" s="11" t="s">
        <v>28</v>
      </c>
      <c r="F2418" s="10">
        <v>3.81</v>
      </c>
      <c r="G2418" s="10">
        <v>3.81</v>
      </c>
      <c r="H2418" s="10">
        <v>3.81</v>
      </c>
      <c r="I2418" s="11" t="s">
        <v>28</v>
      </c>
      <c r="J2418" s="11" t="s">
        <v>28</v>
      </c>
      <c r="K2418" s="11" t="s">
        <v>28</v>
      </c>
      <c r="L2418" s="11" t="s">
        <v>28</v>
      </c>
      <c r="M2418" s="11" t="s">
        <v>28</v>
      </c>
      <c r="N2418" s="8">
        <v>44925</v>
      </c>
      <c r="O2418" s="9" t="s">
        <v>30</v>
      </c>
      <c r="P2418" s="12" t="s">
        <v>5646</v>
      </c>
      <c r="Q2418" s="9" t="s">
        <v>290</v>
      </c>
      <c r="R2418" s="14" t="str">
        <f>HYPERLINK("https://my.pitchbook.com?c=212558-14T","View Company Online")</f>
        <v>View Company Online</v>
      </c>
    </row>
    <row r="2419" spans="1:18" hidden="1" x14ac:dyDescent="0.3">
      <c r="A2419" s="15" t="s">
        <v>8225</v>
      </c>
      <c r="B2419" s="15" t="s">
        <v>4659</v>
      </c>
      <c r="C2419" s="18" t="s">
        <v>28</v>
      </c>
      <c r="D2419" s="15" t="s">
        <v>4660</v>
      </c>
      <c r="E2419" s="18" t="s">
        <v>28</v>
      </c>
      <c r="F2419" s="19" t="s">
        <v>28</v>
      </c>
      <c r="G2419" s="19">
        <v>7.5</v>
      </c>
      <c r="H2419" s="19" t="s">
        <v>28</v>
      </c>
      <c r="I2419" s="18" t="s">
        <v>28</v>
      </c>
      <c r="J2419" s="18" t="s">
        <v>28</v>
      </c>
      <c r="K2419" s="18" t="s">
        <v>28</v>
      </c>
      <c r="L2419" s="18" t="s">
        <v>28</v>
      </c>
      <c r="M2419" s="18" t="s">
        <v>28</v>
      </c>
      <c r="N2419" s="17">
        <v>44925</v>
      </c>
      <c r="O2419" s="15" t="s">
        <v>73</v>
      </c>
      <c r="P2419" s="16" t="s">
        <v>8226</v>
      </c>
      <c r="Q2419" s="15" t="s">
        <v>169</v>
      </c>
      <c r="R2419" s="13" t="str">
        <f>HYPERLINK("https://my.pitchbook.com?c=211837-42T","View Company Online")</f>
        <v>View Company Online</v>
      </c>
    </row>
    <row r="2420" spans="1:18" hidden="1" x14ac:dyDescent="0.3">
      <c r="A2420" s="9" t="s">
        <v>8227</v>
      </c>
      <c r="B2420" s="9" t="s">
        <v>8228</v>
      </c>
      <c r="C2420" s="11" t="s">
        <v>28</v>
      </c>
      <c r="D2420" s="9" t="s">
        <v>8229</v>
      </c>
      <c r="E2420" s="11" t="s">
        <v>28</v>
      </c>
      <c r="F2420" s="10" t="s">
        <v>28</v>
      </c>
      <c r="G2420" s="10" t="s">
        <v>28</v>
      </c>
      <c r="H2420" s="10" t="s">
        <v>28</v>
      </c>
      <c r="I2420" s="11" t="s">
        <v>28</v>
      </c>
      <c r="J2420" s="11" t="s">
        <v>28</v>
      </c>
      <c r="K2420" s="11">
        <v>0.01</v>
      </c>
      <c r="L2420" s="11" t="s">
        <v>28</v>
      </c>
      <c r="M2420" s="11" t="s">
        <v>28</v>
      </c>
      <c r="N2420" s="8">
        <v>44924</v>
      </c>
      <c r="O2420" s="9" t="s">
        <v>99</v>
      </c>
      <c r="P2420" s="12" t="s">
        <v>8230</v>
      </c>
      <c r="Q2420" s="9" t="s">
        <v>75</v>
      </c>
      <c r="R2420" s="14" t="str">
        <f>HYPERLINK("https://my.pitchbook.com?c=211750-84T","View Company Online")</f>
        <v>View Company Online</v>
      </c>
    </row>
    <row r="2421" spans="1:18" hidden="1" x14ac:dyDescent="0.3">
      <c r="A2421" s="15" t="s">
        <v>8231</v>
      </c>
      <c r="B2421" s="15" t="s">
        <v>589</v>
      </c>
      <c r="C2421" s="18" t="s">
        <v>28</v>
      </c>
      <c r="D2421" s="15" t="s">
        <v>590</v>
      </c>
      <c r="E2421" s="18" t="s">
        <v>28</v>
      </c>
      <c r="F2421" s="19">
        <v>6.49</v>
      </c>
      <c r="G2421" s="19">
        <v>6.49</v>
      </c>
      <c r="H2421" s="19">
        <v>6.49</v>
      </c>
      <c r="I2421" s="18" t="s">
        <v>28</v>
      </c>
      <c r="J2421" s="18" t="s">
        <v>28</v>
      </c>
      <c r="K2421" s="18" t="s">
        <v>28</v>
      </c>
      <c r="L2421" s="18" t="s">
        <v>28</v>
      </c>
      <c r="M2421" s="18" t="s">
        <v>28</v>
      </c>
      <c r="N2421" s="17">
        <v>44924</v>
      </c>
      <c r="O2421" s="15" t="s">
        <v>30</v>
      </c>
      <c r="P2421" s="16" t="s">
        <v>8232</v>
      </c>
      <c r="Q2421" s="15" t="s">
        <v>37</v>
      </c>
      <c r="R2421" s="13" t="str">
        <f>HYPERLINK("https://my.pitchbook.com?c=211860-64T","View Company Online")</f>
        <v>View Company Online</v>
      </c>
    </row>
    <row r="2422" spans="1:18" hidden="1" x14ac:dyDescent="0.3">
      <c r="A2422" s="9" t="s">
        <v>8233</v>
      </c>
      <c r="B2422" s="9" t="s">
        <v>8234</v>
      </c>
      <c r="C2422" s="11" t="s">
        <v>28</v>
      </c>
      <c r="D2422" s="9" t="s">
        <v>8235</v>
      </c>
      <c r="E2422" s="11" t="s">
        <v>28</v>
      </c>
      <c r="F2422" s="10" t="s">
        <v>28</v>
      </c>
      <c r="G2422" s="10" t="s">
        <v>28</v>
      </c>
      <c r="H2422" s="10" t="s">
        <v>28</v>
      </c>
      <c r="I2422" s="11" t="s">
        <v>28</v>
      </c>
      <c r="J2422" s="11" t="s">
        <v>28</v>
      </c>
      <c r="K2422" s="11" t="s">
        <v>28</v>
      </c>
      <c r="L2422" s="11" t="s">
        <v>28</v>
      </c>
      <c r="M2422" s="11" t="s">
        <v>28</v>
      </c>
      <c r="N2422" s="8">
        <v>44923</v>
      </c>
      <c r="O2422" s="9" t="s">
        <v>79</v>
      </c>
      <c r="P2422" s="12" t="s">
        <v>28</v>
      </c>
      <c r="Q2422" s="9" t="s">
        <v>75</v>
      </c>
      <c r="R2422" s="14" t="str">
        <f>HYPERLINK("https://my.pitchbook.com?c=233164-00T","View Company Online")</f>
        <v>View Company Online</v>
      </c>
    </row>
    <row r="2423" spans="1:18" hidden="1" x14ac:dyDescent="0.3">
      <c r="A2423" s="15" t="s">
        <v>8236</v>
      </c>
      <c r="B2423" s="15" t="s">
        <v>8237</v>
      </c>
      <c r="C2423" s="18" t="s">
        <v>28</v>
      </c>
      <c r="D2423" s="15" t="s">
        <v>8238</v>
      </c>
      <c r="E2423" s="18" t="s">
        <v>28</v>
      </c>
      <c r="F2423" s="19" t="s">
        <v>28</v>
      </c>
      <c r="G2423" s="19" t="s">
        <v>28</v>
      </c>
      <c r="H2423" s="19" t="s">
        <v>28</v>
      </c>
      <c r="I2423" s="18" t="s">
        <v>28</v>
      </c>
      <c r="J2423" s="18" t="s">
        <v>28</v>
      </c>
      <c r="K2423" s="18" t="s">
        <v>28</v>
      </c>
      <c r="L2423" s="18" t="s">
        <v>28</v>
      </c>
      <c r="M2423" s="18" t="s">
        <v>28</v>
      </c>
      <c r="N2423" s="17">
        <v>44923</v>
      </c>
      <c r="O2423" s="15" t="s">
        <v>79</v>
      </c>
      <c r="P2423" s="16" t="s">
        <v>8239</v>
      </c>
      <c r="Q2423" s="15" t="s">
        <v>75</v>
      </c>
      <c r="R2423" s="13" t="str">
        <f>HYPERLINK("https://my.pitchbook.com?c=215700-49T","View Company Online")</f>
        <v>View Company Online</v>
      </c>
    </row>
    <row r="2424" spans="1:18" hidden="1" x14ac:dyDescent="0.3">
      <c r="A2424" s="9" t="s">
        <v>8240</v>
      </c>
      <c r="B2424" s="9" t="s">
        <v>1614</v>
      </c>
      <c r="C2424" s="11" t="s">
        <v>28</v>
      </c>
      <c r="D2424" s="9" t="s">
        <v>1615</v>
      </c>
      <c r="E2424" s="11" t="s">
        <v>28</v>
      </c>
      <c r="F2424" s="10" t="s">
        <v>28</v>
      </c>
      <c r="G2424" s="10" t="s">
        <v>28</v>
      </c>
      <c r="H2424" s="10" t="s">
        <v>28</v>
      </c>
      <c r="I2424" s="11" t="s">
        <v>28</v>
      </c>
      <c r="J2424" s="11" t="s">
        <v>28</v>
      </c>
      <c r="K2424" s="11" t="s">
        <v>28</v>
      </c>
      <c r="L2424" s="11" t="s">
        <v>28</v>
      </c>
      <c r="M2424" s="11" t="s">
        <v>28</v>
      </c>
      <c r="N2424" s="8">
        <v>44923</v>
      </c>
      <c r="O2424" s="9" t="s">
        <v>99</v>
      </c>
      <c r="P2424" s="12" t="s">
        <v>5429</v>
      </c>
      <c r="Q2424" s="9" t="s">
        <v>37</v>
      </c>
      <c r="R2424" s="14" t="str">
        <f>HYPERLINK("https://my.pitchbook.com?c=249307-12T","View Company Online")</f>
        <v>View Company Online</v>
      </c>
    </row>
    <row r="2425" spans="1:18" hidden="1" x14ac:dyDescent="0.3">
      <c r="A2425" s="15" t="s">
        <v>8241</v>
      </c>
      <c r="B2425" s="15" t="s">
        <v>8242</v>
      </c>
      <c r="C2425" s="18" t="s">
        <v>28</v>
      </c>
      <c r="D2425" s="15" t="s">
        <v>8243</v>
      </c>
      <c r="E2425" s="18" t="s">
        <v>28</v>
      </c>
      <c r="F2425" s="19" t="s">
        <v>28</v>
      </c>
      <c r="G2425" s="19" t="s">
        <v>28</v>
      </c>
      <c r="H2425" s="19" t="s">
        <v>28</v>
      </c>
      <c r="I2425" s="18" t="s">
        <v>28</v>
      </c>
      <c r="J2425" s="18" t="s">
        <v>28</v>
      </c>
      <c r="K2425" s="18" t="s">
        <v>28</v>
      </c>
      <c r="L2425" s="18" t="s">
        <v>28</v>
      </c>
      <c r="M2425" s="18" t="s">
        <v>28</v>
      </c>
      <c r="N2425" s="17">
        <v>44921</v>
      </c>
      <c r="O2425" s="15" t="s">
        <v>30</v>
      </c>
      <c r="P2425" s="16" t="s">
        <v>5437</v>
      </c>
      <c r="Q2425" s="15" t="s">
        <v>37</v>
      </c>
      <c r="R2425" s="13" t="str">
        <f>HYPERLINK("https://my.pitchbook.com?c=211703-68T","View Company Online")</f>
        <v>View Company Online</v>
      </c>
    </row>
    <row r="2426" spans="1:18" hidden="1" x14ac:dyDescent="0.3">
      <c r="A2426" s="9" t="s">
        <v>8244</v>
      </c>
      <c r="B2426" s="9" t="s">
        <v>8245</v>
      </c>
      <c r="C2426" s="11" t="s">
        <v>28</v>
      </c>
      <c r="D2426" s="9" t="s">
        <v>8246</v>
      </c>
      <c r="E2426" s="11" t="s">
        <v>28</v>
      </c>
      <c r="F2426" s="10" t="s">
        <v>28</v>
      </c>
      <c r="G2426" s="10" t="s">
        <v>28</v>
      </c>
      <c r="H2426" s="10" t="s">
        <v>28</v>
      </c>
      <c r="I2426" s="11" t="s">
        <v>28</v>
      </c>
      <c r="J2426" s="11" t="s">
        <v>28</v>
      </c>
      <c r="K2426" s="11" t="s">
        <v>28</v>
      </c>
      <c r="L2426" s="11" t="s">
        <v>28</v>
      </c>
      <c r="M2426" s="11" t="s">
        <v>28</v>
      </c>
      <c r="N2426" s="8">
        <v>44918</v>
      </c>
      <c r="O2426" s="9" t="s">
        <v>30</v>
      </c>
      <c r="P2426" s="12" t="s">
        <v>769</v>
      </c>
      <c r="Q2426" s="9" t="s">
        <v>188</v>
      </c>
      <c r="R2426" s="14" t="str">
        <f>HYPERLINK("https://my.pitchbook.com?c=211496-86T","View Company Online")</f>
        <v>View Company Online</v>
      </c>
    </row>
    <row r="2427" spans="1:18" hidden="1" x14ac:dyDescent="0.3">
      <c r="A2427" s="15" t="s">
        <v>8247</v>
      </c>
      <c r="B2427" s="15" t="s">
        <v>8248</v>
      </c>
      <c r="C2427" s="18" t="s">
        <v>28</v>
      </c>
      <c r="D2427" s="15" t="s">
        <v>8249</v>
      </c>
      <c r="E2427" s="18">
        <v>1165.3399999999999</v>
      </c>
      <c r="F2427" s="19" t="s">
        <v>28</v>
      </c>
      <c r="G2427" s="19">
        <v>757.33</v>
      </c>
      <c r="H2427" s="19">
        <v>3292.72</v>
      </c>
      <c r="I2427" s="18">
        <v>1756.55</v>
      </c>
      <c r="J2427" s="18">
        <v>1.87</v>
      </c>
      <c r="K2427" s="18">
        <v>7035.03</v>
      </c>
      <c r="L2427" s="18">
        <v>0.47</v>
      </c>
      <c r="M2427" s="18">
        <v>349.91</v>
      </c>
      <c r="N2427" s="17">
        <v>44918</v>
      </c>
      <c r="O2427" s="15" t="s">
        <v>159</v>
      </c>
      <c r="P2427" s="16" t="s">
        <v>6286</v>
      </c>
      <c r="Q2427" s="15" t="s">
        <v>5347</v>
      </c>
      <c r="R2427" s="13" t="str">
        <f>HYPERLINK("https://my.pitchbook.com?c=211933-00T","View Company Online")</f>
        <v>View Company Online</v>
      </c>
    </row>
    <row r="2428" spans="1:18" hidden="1" x14ac:dyDescent="0.3">
      <c r="A2428" s="9" t="s">
        <v>8250</v>
      </c>
      <c r="B2428" s="9" t="s">
        <v>8251</v>
      </c>
      <c r="C2428" s="11" t="s">
        <v>28</v>
      </c>
      <c r="D2428" s="9" t="s">
        <v>8252</v>
      </c>
      <c r="E2428" s="11" t="s">
        <v>28</v>
      </c>
      <c r="F2428" s="10" t="s">
        <v>28</v>
      </c>
      <c r="G2428" s="10" t="s">
        <v>28</v>
      </c>
      <c r="H2428" s="10">
        <v>18.93</v>
      </c>
      <c r="I2428" s="11" t="s">
        <v>28</v>
      </c>
      <c r="J2428" s="11" t="s">
        <v>28</v>
      </c>
      <c r="K2428" s="11" t="s">
        <v>28</v>
      </c>
      <c r="L2428" s="11" t="s">
        <v>28</v>
      </c>
      <c r="M2428" s="11" t="s">
        <v>28</v>
      </c>
      <c r="N2428" s="8">
        <v>44918</v>
      </c>
      <c r="O2428" s="9" t="s">
        <v>73</v>
      </c>
      <c r="P2428" s="12" t="s">
        <v>8253</v>
      </c>
      <c r="Q2428" s="9" t="s">
        <v>362</v>
      </c>
      <c r="R2428" s="14" t="str">
        <f>HYPERLINK("https://my.pitchbook.com?c=243426-52T","View Company Online")</f>
        <v>View Company Online</v>
      </c>
    </row>
    <row r="2429" spans="1:18" hidden="1" x14ac:dyDescent="0.3">
      <c r="A2429" s="15" t="s">
        <v>8254</v>
      </c>
      <c r="B2429" s="15" t="s">
        <v>8255</v>
      </c>
      <c r="C2429" s="18" t="s">
        <v>28</v>
      </c>
      <c r="D2429" s="15" t="s">
        <v>8256</v>
      </c>
      <c r="E2429" s="18" t="s">
        <v>28</v>
      </c>
      <c r="F2429" s="19" t="s">
        <v>28</v>
      </c>
      <c r="G2429" s="19">
        <v>3.45</v>
      </c>
      <c r="H2429" s="19">
        <v>3.45</v>
      </c>
      <c r="I2429" s="18" t="s">
        <v>28</v>
      </c>
      <c r="J2429" s="18" t="s">
        <v>28</v>
      </c>
      <c r="K2429" s="18" t="s">
        <v>28</v>
      </c>
      <c r="L2429" s="18" t="s">
        <v>28</v>
      </c>
      <c r="M2429" s="18" t="s">
        <v>28</v>
      </c>
      <c r="N2429" s="17">
        <v>44918</v>
      </c>
      <c r="O2429" s="15" t="s">
        <v>30</v>
      </c>
      <c r="P2429" s="16" t="s">
        <v>8257</v>
      </c>
      <c r="Q2429" s="15" t="s">
        <v>1341</v>
      </c>
      <c r="R2429" s="13" t="str">
        <f>HYPERLINK("https://my.pitchbook.com?c=211288-51T","View Company Online")</f>
        <v>View Company Online</v>
      </c>
    </row>
    <row r="2430" spans="1:18" hidden="1" x14ac:dyDescent="0.3">
      <c r="A2430" s="9" t="s">
        <v>8258</v>
      </c>
      <c r="B2430" s="9" t="s">
        <v>8259</v>
      </c>
      <c r="C2430" s="11" t="s">
        <v>28</v>
      </c>
      <c r="D2430" s="9" t="s">
        <v>8260</v>
      </c>
      <c r="E2430" s="11" t="s">
        <v>28</v>
      </c>
      <c r="F2430" s="10" t="s">
        <v>28</v>
      </c>
      <c r="G2430" s="10">
        <v>0.09</v>
      </c>
      <c r="H2430" s="10" t="s">
        <v>28</v>
      </c>
      <c r="I2430" s="11" t="s">
        <v>28</v>
      </c>
      <c r="J2430" s="11" t="s">
        <v>28</v>
      </c>
      <c r="K2430" s="11" t="s">
        <v>28</v>
      </c>
      <c r="L2430" s="11" t="s">
        <v>28</v>
      </c>
      <c r="M2430" s="11" t="s">
        <v>28</v>
      </c>
      <c r="N2430" s="8">
        <v>44918</v>
      </c>
      <c r="O2430" s="9" t="s">
        <v>99</v>
      </c>
      <c r="P2430" s="12" t="s">
        <v>8261</v>
      </c>
      <c r="Q2430" s="9" t="s">
        <v>37</v>
      </c>
      <c r="R2430" s="14" t="str">
        <f>HYPERLINK("https://my.pitchbook.com?c=212255-38T","View Company Online")</f>
        <v>View Company Online</v>
      </c>
    </row>
    <row r="2431" spans="1:18" hidden="1" x14ac:dyDescent="0.3">
      <c r="A2431" s="15" t="s">
        <v>8262</v>
      </c>
      <c r="B2431" s="15" t="s">
        <v>8263</v>
      </c>
      <c r="C2431" s="18" t="s">
        <v>28</v>
      </c>
      <c r="D2431" s="15" t="s">
        <v>8264</v>
      </c>
      <c r="E2431" s="18" t="s">
        <v>28</v>
      </c>
      <c r="F2431" s="19">
        <v>0.56999999999999995</v>
      </c>
      <c r="G2431" s="19">
        <v>0.56999999999999995</v>
      </c>
      <c r="H2431" s="19">
        <v>0.56999999999999995</v>
      </c>
      <c r="I2431" s="18" t="s">
        <v>28</v>
      </c>
      <c r="J2431" s="18" t="s">
        <v>28</v>
      </c>
      <c r="K2431" s="18" t="s">
        <v>28</v>
      </c>
      <c r="L2431" s="18" t="s">
        <v>28</v>
      </c>
      <c r="M2431" s="18" t="s">
        <v>28</v>
      </c>
      <c r="N2431" s="17">
        <v>44917</v>
      </c>
      <c r="O2431" s="15" t="s">
        <v>30</v>
      </c>
      <c r="P2431" s="16" t="s">
        <v>8265</v>
      </c>
      <c r="Q2431" s="15" t="s">
        <v>245</v>
      </c>
      <c r="R2431" s="13" t="str">
        <f>HYPERLINK("https://my.pitchbook.com?c=244709-56T","View Company Online")</f>
        <v>View Company Online</v>
      </c>
    </row>
    <row r="2432" spans="1:18" hidden="1" x14ac:dyDescent="0.3">
      <c r="A2432" s="9" t="s">
        <v>8266</v>
      </c>
      <c r="B2432" s="9" t="s">
        <v>4451</v>
      </c>
      <c r="C2432" s="11" t="s">
        <v>28</v>
      </c>
      <c r="D2432" s="9" t="s">
        <v>4452</v>
      </c>
      <c r="E2432" s="11" t="s">
        <v>28</v>
      </c>
      <c r="F2432" s="10" t="s">
        <v>28</v>
      </c>
      <c r="G2432" s="10">
        <v>0.06</v>
      </c>
      <c r="H2432" s="10" t="s">
        <v>28</v>
      </c>
      <c r="I2432" s="11" t="s">
        <v>28</v>
      </c>
      <c r="J2432" s="11" t="s">
        <v>28</v>
      </c>
      <c r="K2432" s="11" t="s">
        <v>28</v>
      </c>
      <c r="L2432" s="11" t="s">
        <v>28</v>
      </c>
      <c r="M2432" s="11" t="s">
        <v>28</v>
      </c>
      <c r="N2432" s="8">
        <v>44917</v>
      </c>
      <c r="O2432" s="9" t="s">
        <v>52</v>
      </c>
      <c r="P2432" s="12" t="s">
        <v>8267</v>
      </c>
      <c r="Q2432" s="9" t="s">
        <v>855</v>
      </c>
      <c r="R2432" s="14" t="str">
        <f>HYPERLINK("https://my.pitchbook.com?c=234437-05T","View Company Online")</f>
        <v>View Company Online</v>
      </c>
    </row>
    <row r="2433" spans="1:18" hidden="1" x14ac:dyDescent="0.3">
      <c r="A2433" s="15" t="s">
        <v>8268</v>
      </c>
      <c r="B2433" s="15" t="s">
        <v>8269</v>
      </c>
      <c r="C2433" s="18" t="s">
        <v>28</v>
      </c>
      <c r="D2433" s="15" t="s">
        <v>8270</v>
      </c>
      <c r="E2433" s="18" t="s">
        <v>28</v>
      </c>
      <c r="F2433" s="19" t="s">
        <v>28</v>
      </c>
      <c r="G2433" s="19">
        <v>0.62</v>
      </c>
      <c r="H2433" s="19" t="s">
        <v>28</v>
      </c>
      <c r="I2433" s="18" t="s">
        <v>28</v>
      </c>
      <c r="J2433" s="18" t="s">
        <v>28</v>
      </c>
      <c r="K2433" s="18" t="s">
        <v>28</v>
      </c>
      <c r="L2433" s="18" t="s">
        <v>28</v>
      </c>
      <c r="M2433" s="18" t="s">
        <v>28</v>
      </c>
      <c r="N2433" s="17">
        <v>44917</v>
      </c>
      <c r="O2433" s="15" t="s">
        <v>73</v>
      </c>
      <c r="P2433" s="16" t="s">
        <v>8271</v>
      </c>
      <c r="Q2433" s="15" t="s">
        <v>37</v>
      </c>
      <c r="R2433" s="13" t="str">
        <f>HYPERLINK("https://my.pitchbook.com?c=220122-55T","View Company Online")</f>
        <v>View Company Online</v>
      </c>
    </row>
    <row r="2434" spans="1:18" hidden="1" x14ac:dyDescent="0.3">
      <c r="A2434" s="9" t="s">
        <v>8272</v>
      </c>
      <c r="B2434" s="9" t="s">
        <v>6189</v>
      </c>
      <c r="C2434" s="11" t="s">
        <v>28</v>
      </c>
      <c r="D2434" s="9" t="s">
        <v>6190</v>
      </c>
      <c r="E2434" s="11" t="s">
        <v>28</v>
      </c>
      <c r="F2434" s="10" t="s">
        <v>28</v>
      </c>
      <c r="G2434" s="10">
        <v>1.1299999999999999</v>
      </c>
      <c r="H2434" s="10" t="s">
        <v>28</v>
      </c>
      <c r="I2434" s="11" t="s">
        <v>28</v>
      </c>
      <c r="J2434" s="11" t="s">
        <v>28</v>
      </c>
      <c r="K2434" s="11" t="s">
        <v>28</v>
      </c>
      <c r="L2434" s="11" t="s">
        <v>28</v>
      </c>
      <c r="M2434" s="11" t="s">
        <v>28</v>
      </c>
      <c r="N2434" s="8">
        <v>44917</v>
      </c>
      <c r="O2434" s="9" t="s">
        <v>99</v>
      </c>
      <c r="P2434" s="12" t="s">
        <v>8273</v>
      </c>
      <c r="Q2434" s="9" t="s">
        <v>1793</v>
      </c>
      <c r="R2434" s="14" t="str">
        <f>HYPERLINK("https://my.pitchbook.com?c=211200-13T","View Company Online")</f>
        <v>View Company Online</v>
      </c>
    </row>
    <row r="2435" spans="1:18" hidden="1" x14ac:dyDescent="0.3">
      <c r="A2435" s="15" t="s">
        <v>8274</v>
      </c>
      <c r="B2435" s="15" t="s">
        <v>3149</v>
      </c>
      <c r="C2435" s="18" t="s">
        <v>28</v>
      </c>
      <c r="D2435" s="15" t="s">
        <v>3150</v>
      </c>
      <c r="E2435" s="18" t="s">
        <v>28</v>
      </c>
      <c r="F2435" s="19" t="s">
        <v>28</v>
      </c>
      <c r="G2435" s="19" t="s">
        <v>28</v>
      </c>
      <c r="H2435" s="19" t="s">
        <v>28</v>
      </c>
      <c r="I2435" s="18" t="s">
        <v>28</v>
      </c>
      <c r="J2435" s="18" t="s">
        <v>28</v>
      </c>
      <c r="K2435" s="18" t="s">
        <v>28</v>
      </c>
      <c r="L2435" s="18" t="s">
        <v>28</v>
      </c>
      <c r="M2435" s="18" t="s">
        <v>28</v>
      </c>
      <c r="N2435" s="17">
        <v>44917</v>
      </c>
      <c r="O2435" s="15" t="s">
        <v>52</v>
      </c>
      <c r="P2435" s="16" t="s">
        <v>4500</v>
      </c>
      <c r="Q2435" s="15" t="s">
        <v>114</v>
      </c>
      <c r="R2435" s="13" t="str">
        <f>HYPERLINK("https://my.pitchbook.com?c=250964-83T","View Company Online")</f>
        <v>View Company Online</v>
      </c>
    </row>
    <row r="2436" spans="1:18" hidden="1" x14ac:dyDescent="0.3">
      <c r="A2436" s="9" t="s">
        <v>8275</v>
      </c>
      <c r="B2436" s="9" t="s">
        <v>4920</v>
      </c>
      <c r="C2436" s="11" t="s">
        <v>28</v>
      </c>
      <c r="D2436" s="9" t="s">
        <v>4921</v>
      </c>
      <c r="E2436" s="11" t="s">
        <v>28</v>
      </c>
      <c r="F2436" s="10" t="s">
        <v>28</v>
      </c>
      <c r="G2436" s="10" t="s">
        <v>28</v>
      </c>
      <c r="H2436" s="10" t="s">
        <v>28</v>
      </c>
      <c r="I2436" s="11" t="s">
        <v>28</v>
      </c>
      <c r="J2436" s="11" t="s">
        <v>28</v>
      </c>
      <c r="K2436" s="11" t="s">
        <v>28</v>
      </c>
      <c r="L2436" s="11" t="s">
        <v>28</v>
      </c>
      <c r="M2436" s="11" t="s">
        <v>28</v>
      </c>
      <c r="N2436" s="8">
        <v>44917</v>
      </c>
      <c r="O2436" s="9" t="s">
        <v>52</v>
      </c>
      <c r="P2436" s="12" t="s">
        <v>4500</v>
      </c>
      <c r="Q2436" s="9" t="s">
        <v>75</v>
      </c>
      <c r="R2436" s="14" t="str">
        <f>HYPERLINK("https://my.pitchbook.com?c=250963-84T","View Company Online")</f>
        <v>View Company Online</v>
      </c>
    </row>
    <row r="2437" spans="1:18" hidden="1" x14ac:dyDescent="0.3">
      <c r="A2437" s="15" t="s">
        <v>8276</v>
      </c>
      <c r="B2437" s="15" t="s">
        <v>8277</v>
      </c>
      <c r="C2437" s="18" t="s">
        <v>28</v>
      </c>
      <c r="D2437" s="15" t="s">
        <v>8278</v>
      </c>
      <c r="E2437" s="18" t="s">
        <v>28</v>
      </c>
      <c r="F2437" s="19" t="s">
        <v>28</v>
      </c>
      <c r="G2437" s="19" t="s">
        <v>28</v>
      </c>
      <c r="H2437" s="19" t="s">
        <v>28</v>
      </c>
      <c r="I2437" s="18" t="s">
        <v>28</v>
      </c>
      <c r="J2437" s="18" t="s">
        <v>28</v>
      </c>
      <c r="K2437" s="18" t="s">
        <v>28</v>
      </c>
      <c r="L2437" s="18" t="s">
        <v>28</v>
      </c>
      <c r="M2437" s="18" t="s">
        <v>28</v>
      </c>
      <c r="N2437" s="17">
        <v>44916</v>
      </c>
      <c r="O2437" s="15" t="s">
        <v>30</v>
      </c>
      <c r="P2437" s="16" t="s">
        <v>28</v>
      </c>
      <c r="Q2437" s="15" t="s">
        <v>299</v>
      </c>
      <c r="R2437" s="13" t="str">
        <f>HYPERLINK("https://my.pitchbook.com?c=227161-72T","View Company Online")</f>
        <v>View Company Online</v>
      </c>
    </row>
    <row r="2438" spans="1:18" hidden="1" x14ac:dyDescent="0.3">
      <c r="A2438" s="9" t="s">
        <v>8279</v>
      </c>
      <c r="B2438" s="9" t="s">
        <v>8280</v>
      </c>
      <c r="C2438" s="11" t="s">
        <v>28</v>
      </c>
      <c r="D2438" s="9" t="s">
        <v>8281</v>
      </c>
      <c r="E2438" s="11" t="s">
        <v>28</v>
      </c>
      <c r="F2438" s="10" t="s">
        <v>28</v>
      </c>
      <c r="G2438" s="10">
        <v>566.79999999999995</v>
      </c>
      <c r="H2438" s="10" t="s">
        <v>28</v>
      </c>
      <c r="I2438" s="11" t="s">
        <v>28</v>
      </c>
      <c r="J2438" s="11" t="s">
        <v>28</v>
      </c>
      <c r="K2438" s="11" t="s">
        <v>28</v>
      </c>
      <c r="L2438" s="11" t="s">
        <v>28</v>
      </c>
      <c r="M2438" s="11" t="s">
        <v>28</v>
      </c>
      <c r="N2438" s="8">
        <v>44916</v>
      </c>
      <c r="O2438" s="9" t="s">
        <v>173</v>
      </c>
      <c r="P2438" s="12" t="s">
        <v>28</v>
      </c>
      <c r="Q2438" s="9" t="s">
        <v>1088</v>
      </c>
      <c r="R2438" s="14" t="str">
        <f>HYPERLINK("https://my.pitchbook.com?c=177182-74T","View Company Online")</f>
        <v>View Company Online</v>
      </c>
    </row>
    <row r="2439" spans="1:18" hidden="1" x14ac:dyDescent="0.3">
      <c r="A2439" s="15" t="s">
        <v>8282</v>
      </c>
      <c r="B2439" s="15" t="s">
        <v>8283</v>
      </c>
      <c r="C2439" s="18" t="s">
        <v>28</v>
      </c>
      <c r="D2439" s="15" t="s">
        <v>8284</v>
      </c>
      <c r="E2439" s="18" t="s">
        <v>28</v>
      </c>
      <c r="F2439" s="19" t="s">
        <v>28</v>
      </c>
      <c r="G2439" s="19" t="s">
        <v>28</v>
      </c>
      <c r="H2439" s="19" t="s">
        <v>28</v>
      </c>
      <c r="I2439" s="18" t="s">
        <v>28</v>
      </c>
      <c r="J2439" s="18" t="s">
        <v>28</v>
      </c>
      <c r="K2439" s="18" t="s">
        <v>28</v>
      </c>
      <c r="L2439" s="18" t="s">
        <v>28</v>
      </c>
      <c r="M2439" s="18" t="s">
        <v>28</v>
      </c>
      <c r="N2439" s="17">
        <v>44916</v>
      </c>
      <c r="O2439" s="15" t="s">
        <v>30</v>
      </c>
      <c r="P2439" s="16" t="s">
        <v>8285</v>
      </c>
      <c r="Q2439" s="15" t="s">
        <v>188</v>
      </c>
      <c r="R2439" s="13" t="str">
        <f>HYPERLINK("https://my.pitchbook.com?c=211108-87T","View Company Online")</f>
        <v>View Company Online</v>
      </c>
    </row>
    <row r="2440" spans="1:18" hidden="1" x14ac:dyDescent="0.3">
      <c r="A2440" s="9" t="s">
        <v>8286</v>
      </c>
      <c r="B2440" s="9" t="s">
        <v>8287</v>
      </c>
      <c r="C2440" s="11" t="s">
        <v>28</v>
      </c>
      <c r="D2440" s="9" t="s">
        <v>8288</v>
      </c>
      <c r="E2440" s="11" t="s">
        <v>28</v>
      </c>
      <c r="F2440" s="10" t="s">
        <v>28</v>
      </c>
      <c r="G2440" s="10">
        <v>0.14000000000000001</v>
      </c>
      <c r="H2440" s="10" t="s">
        <v>28</v>
      </c>
      <c r="I2440" s="11" t="s">
        <v>28</v>
      </c>
      <c r="J2440" s="11" t="s">
        <v>28</v>
      </c>
      <c r="K2440" s="11" t="s">
        <v>28</v>
      </c>
      <c r="L2440" s="11" t="s">
        <v>28</v>
      </c>
      <c r="M2440" s="11" t="s">
        <v>28</v>
      </c>
      <c r="N2440" s="8">
        <v>44916</v>
      </c>
      <c r="O2440" s="9" t="s">
        <v>99</v>
      </c>
      <c r="P2440" s="12" t="s">
        <v>8289</v>
      </c>
      <c r="Q2440" s="9" t="s">
        <v>75</v>
      </c>
      <c r="R2440" s="14" t="str">
        <f>HYPERLINK("https://my.pitchbook.com?c=207074-71T","View Company Online")</f>
        <v>View Company Online</v>
      </c>
    </row>
    <row r="2441" spans="1:18" hidden="1" x14ac:dyDescent="0.3">
      <c r="A2441" s="15" t="s">
        <v>8290</v>
      </c>
      <c r="B2441" s="15" t="s">
        <v>8291</v>
      </c>
      <c r="C2441" s="18" t="s">
        <v>28</v>
      </c>
      <c r="D2441" s="15" t="s">
        <v>8292</v>
      </c>
      <c r="E2441" s="18" t="s">
        <v>28</v>
      </c>
      <c r="F2441" s="19" t="s">
        <v>28</v>
      </c>
      <c r="G2441" s="19" t="s">
        <v>28</v>
      </c>
      <c r="H2441" s="19" t="s">
        <v>28</v>
      </c>
      <c r="I2441" s="18" t="s">
        <v>28</v>
      </c>
      <c r="J2441" s="18" t="s">
        <v>28</v>
      </c>
      <c r="K2441" s="18" t="s">
        <v>28</v>
      </c>
      <c r="L2441" s="18" t="s">
        <v>28</v>
      </c>
      <c r="M2441" s="18" t="s">
        <v>28</v>
      </c>
      <c r="N2441" s="17">
        <v>44916</v>
      </c>
      <c r="O2441" s="15" t="s">
        <v>73</v>
      </c>
      <c r="P2441" s="16" t="s">
        <v>8293</v>
      </c>
      <c r="Q2441" s="15" t="s">
        <v>1336</v>
      </c>
      <c r="R2441" s="13" t="str">
        <f>HYPERLINK("https://my.pitchbook.com?c=215654-86T","View Company Online")</f>
        <v>View Company Online</v>
      </c>
    </row>
    <row r="2442" spans="1:18" hidden="1" x14ac:dyDescent="0.3">
      <c r="A2442" s="9" t="s">
        <v>8294</v>
      </c>
      <c r="B2442" s="9" t="s">
        <v>8295</v>
      </c>
      <c r="C2442" s="11" t="s">
        <v>28</v>
      </c>
      <c r="D2442" s="9" t="s">
        <v>8296</v>
      </c>
      <c r="E2442" s="11" t="s">
        <v>28</v>
      </c>
      <c r="F2442" s="10" t="s">
        <v>28</v>
      </c>
      <c r="G2442" s="10" t="s">
        <v>28</v>
      </c>
      <c r="H2442" s="10" t="s">
        <v>28</v>
      </c>
      <c r="I2442" s="11" t="s">
        <v>28</v>
      </c>
      <c r="J2442" s="11" t="s">
        <v>28</v>
      </c>
      <c r="K2442" s="11" t="s">
        <v>28</v>
      </c>
      <c r="L2442" s="11" t="s">
        <v>28</v>
      </c>
      <c r="M2442" s="11" t="s">
        <v>28</v>
      </c>
      <c r="N2442" s="8">
        <v>44916</v>
      </c>
      <c r="O2442" s="9" t="s">
        <v>41</v>
      </c>
      <c r="P2442" s="12" t="s">
        <v>8297</v>
      </c>
      <c r="Q2442" s="9" t="s">
        <v>183</v>
      </c>
      <c r="R2442" s="14" t="str">
        <f>HYPERLINK("https://my.pitchbook.com?c=213218-38T","View Company Online")</f>
        <v>View Company Online</v>
      </c>
    </row>
    <row r="2443" spans="1:18" hidden="1" x14ac:dyDescent="0.3">
      <c r="A2443" s="15" t="s">
        <v>8298</v>
      </c>
      <c r="B2443" s="15" t="s">
        <v>8299</v>
      </c>
      <c r="C2443" s="18" t="s">
        <v>28</v>
      </c>
      <c r="D2443" s="15" t="s">
        <v>8300</v>
      </c>
      <c r="E2443" s="18" t="s">
        <v>28</v>
      </c>
      <c r="F2443" s="19" t="s">
        <v>28</v>
      </c>
      <c r="G2443" s="19">
        <v>0.06</v>
      </c>
      <c r="H2443" s="19" t="s">
        <v>28</v>
      </c>
      <c r="I2443" s="18" t="s">
        <v>28</v>
      </c>
      <c r="J2443" s="18" t="s">
        <v>28</v>
      </c>
      <c r="K2443" s="18" t="s">
        <v>28</v>
      </c>
      <c r="L2443" s="18" t="s">
        <v>28</v>
      </c>
      <c r="M2443" s="18" t="s">
        <v>28</v>
      </c>
      <c r="N2443" s="17">
        <v>44916</v>
      </c>
      <c r="O2443" s="15" t="s">
        <v>379</v>
      </c>
      <c r="P2443" s="16" t="s">
        <v>8301</v>
      </c>
      <c r="Q2443" s="15" t="s">
        <v>43</v>
      </c>
      <c r="R2443" s="13" t="str">
        <f>HYPERLINK("https://my.pitchbook.com?c=211348-45T","View Company Online")</f>
        <v>View Company Online</v>
      </c>
    </row>
    <row r="2444" spans="1:18" hidden="1" x14ac:dyDescent="0.3">
      <c r="A2444" s="9" t="s">
        <v>8302</v>
      </c>
      <c r="B2444" s="9" t="s">
        <v>5254</v>
      </c>
      <c r="C2444" s="11" t="s">
        <v>28</v>
      </c>
      <c r="D2444" s="9" t="s">
        <v>5255</v>
      </c>
      <c r="E2444" s="11" t="s">
        <v>28</v>
      </c>
      <c r="F2444" s="10" t="s">
        <v>28</v>
      </c>
      <c r="G2444" s="10">
        <v>0.19</v>
      </c>
      <c r="H2444" s="10" t="s">
        <v>28</v>
      </c>
      <c r="I2444" s="11" t="s">
        <v>28</v>
      </c>
      <c r="J2444" s="11" t="s">
        <v>28</v>
      </c>
      <c r="K2444" s="11" t="s">
        <v>28</v>
      </c>
      <c r="L2444" s="11" t="s">
        <v>28</v>
      </c>
      <c r="M2444" s="11" t="s">
        <v>28</v>
      </c>
      <c r="N2444" s="8">
        <v>44916</v>
      </c>
      <c r="O2444" s="9" t="s">
        <v>52</v>
      </c>
      <c r="P2444" s="12" t="s">
        <v>8303</v>
      </c>
      <c r="Q2444" s="9" t="s">
        <v>263</v>
      </c>
      <c r="R2444" s="14" t="str">
        <f>HYPERLINK("https://my.pitchbook.com?c=216017-20T","View Company Online")</f>
        <v>View Company Online</v>
      </c>
    </row>
    <row r="2445" spans="1:18" hidden="1" x14ac:dyDescent="0.3">
      <c r="A2445" s="15" t="s">
        <v>8304</v>
      </c>
      <c r="B2445" s="15" t="s">
        <v>8305</v>
      </c>
      <c r="C2445" s="18" t="s">
        <v>28</v>
      </c>
      <c r="D2445" s="15" t="s">
        <v>8306</v>
      </c>
      <c r="E2445" s="18" t="s">
        <v>28</v>
      </c>
      <c r="F2445" s="19" t="s">
        <v>28</v>
      </c>
      <c r="G2445" s="19" t="s">
        <v>28</v>
      </c>
      <c r="H2445" s="19" t="s">
        <v>28</v>
      </c>
      <c r="I2445" s="18" t="s">
        <v>28</v>
      </c>
      <c r="J2445" s="18" t="s">
        <v>28</v>
      </c>
      <c r="K2445" s="18" t="s">
        <v>28</v>
      </c>
      <c r="L2445" s="18" t="s">
        <v>28</v>
      </c>
      <c r="M2445" s="18" t="s">
        <v>28</v>
      </c>
      <c r="N2445" s="17">
        <v>44915</v>
      </c>
      <c r="O2445" s="15" t="s">
        <v>30</v>
      </c>
      <c r="P2445" s="16" t="s">
        <v>8307</v>
      </c>
      <c r="Q2445" s="15" t="s">
        <v>5347</v>
      </c>
      <c r="R2445" s="13" t="str">
        <f>HYPERLINK("https://my.pitchbook.com?c=218599-84T","View Company Online")</f>
        <v>View Company Online</v>
      </c>
    </row>
    <row r="2446" spans="1:18" hidden="1" x14ac:dyDescent="0.3">
      <c r="A2446" s="9" t="s">
        <v>8308</v>
      </c>
      <c r="B2446" s="9" t="s">
        <v>8309</v>
      </c>
      <c r="C2446" s="11" t="s">
        <v>28</v>
      </c>
      <c r="D2446" s="9" t="s">
        <v>8310</v>
      </c>
      <c r="E2446" s="11" t="s">
        <v>28</v>
      </c>
      <c r="F2446" s="10" t="s">
        <v>28</v>
      </c>
      <c r="G2446" s="10" t="s">
        <v>28</v>
      </c>
      <c r="H2446" s="10" t="s">
        <v>28</v>
      </c>
      <c r="I2446" s="11" t="s">
        <v>28</v>
      </c>
      <c r="J2446" s="11" t="s">
        <v>28</v>
      </c>
      <c r="K2446" s="11" t="s">
        <v>28</v>
      </c>
      <c r="L2446" s="11" t="s">
        <v>28</v>
      </c>
      <c r="M2446" s="11" t="s">
        <v>28</v>
      </c>
      <c r="N2446" s="8">
        <v>44915</v>
      </c>
      <c r="O2446" s="9" t="s">
        <v>30</v>
      </c>
      <c r="P2446" s="12" t="s">
        <v>8311</v>
      </c>
      <c r="Q2446" s="9" t="s">
        <v>37</v>
      </c>
      <c r="R2446" s="14" t="str">
        <f>HYPERLINK("https://my.pitchbook.com?c=211025-53T","View Company Online")</f>
        <v>View Company Online</v>
      </c>
    </row>
    <row r="2447" spans="1:18" hidden="1" x14ac:dyDescent="0.3">
      <c r="A2447" s="15" t="s">
        <v>8312</v>
      </c>
      <c r="B2447" s="15" t="s">
        <v>8313</v>
      </c>
      <c r="C2447" s="18" t="s">
        <v>28</v>
      </c>
      <c r="D2447" s="15" t="s">
        <v>8314</v>
      </c>
      <c r="E2447" s="18" t="s">
        <v>28</v>
      </c>
      <c r="F2447" s="19" t="s">
        <v>28</v>
      </c>
      <c r="G2447" s="19">
        <v>1.3</v>
      </c>
      <c r="H2447" s="19" t="s">
        <v>28</v>
      </c>
      <c r="I2447" s="18" t="s">
        <v>28</v>
      </c>
      <c r="J2447" s="18" t="s">
        <v>28</v>
      </c>
      <c r="K2447" s="18" t="s">
        <v>28</v>
      </c>
      <c r="L2447" s="18" t="s">
        <v>28</v>
      </c>
      <c r="M2447" s="18" t="s">
        <v>28</v>
      </c>
      <c r="N2447" s="17">
        <v>44915</v>
      </c>
      <c r="O2447" s="15" t="s">
        <v>99</v>
      </c>
      <c r="P2447" s="16" t="s">
        <v>8315</v>
      </c>
      <c r="Q2447" s="15" t="s">
        <v>75</v>
      </c>
      <c r="R2447" s="13" t="str">
        <f>HYPERLINK("https://my.pitchbook.com?c=244158-85T","View Company Online")</f>
        <v>View Company Online</v>
      </c>
    </row>
    <row r="2448" spans="1:18" hidden="1" x14ac:dyDescent="0.3">
      <c r="A2448" s="9" t="s">
        <v>8316</v>
      </c>
      <c r="B2448" s="9" t="s">
        <v>8317</v>
      </c>
      <c r="C2448" s="11" t="s">
        <v>28</v>
      </c>
      <c r="D2448" s="9" t="s">
        <v>8318</v>
      </c>
      <c r="E2448" s="11" t="s">
        <v>28</v>
      </c>
      <c r="F2448" s="10">
        <v>27.7</v>
      </c>
      <c r="G2448" s="10">
        <v>27.7</v>
      </c>
      <c r="H2448" s="10">
        <v>27.7</v>
      </c>
      <c r="I2448" s="11" t="s">
        <v>28</v>
      </c>
      <c r="J2448" s="11" t="s">
        <v>28</v>
      </c>
      <c r="K2448" s="11">
        <v>28.83</v>
      </c>
      <c r="L2448" s="11">
        <v>0.96</v>
      </c>
      <c r="M2448" s="11" t="s">
        <v>28</v>
      </c>
      <c r="N2448" s="8">
        <v>44915</v>
      </c>
      <c r="O2448" s="9" t="s">
        <v>41</v>
      </c>
      <c r="P2448" s="12" t="s">
        <v>8319</v>
      </c>
      <c r="Q2448" s="9" t="s">
        <v>409</v>
      </c>
      <c r="R2448" s="14" t="str">
        <f>HYPERLINK("https://my.pitchbook.com?c=212024-71T","View Company Online")</f>
        <v>View Company Online</v>
      </c>
    </row>
    <row r="2449" spans="1:18" hidden="1" x14ac:dyDescent="0.3">
      <c r="A2449" s="15" t="s">
        <v>8320</v>
      </c>
      <c r="B2449" s="15" t="s">
        <v>8321</v>
      </c>
      <c r="C2449" s="18" t="s">
        <v>28</v>
      </c>
      <c r="D2449" s="15" t="s">
        <v>8322</v>
      </c>
      <c r="E2449" s="18" t="s">
        <v>28</v>
      </c>
      <c r="F2449" s="19" t="s">
        <v>28</v>
      </c>
      <c r="G2449" s="19">
        <v>0.06</v>
      </c>
      <c r="H2449" s="19" t="s">
        <v>28</v>
      </c>
      <c r="I2449" s="18" t="s">
        <v>28</v>
      </c>
      <c r="J2449" s="18" t="s">
        <v>28</v>
      </c>
      <c r="K2449" s="18" t="s">
        <v>28</v>
      </c>
      <c r="L2449" s="18" t="s">
        <v>28</v>
      </c>
      <c r="M2449" s="18" t="s">
        <v>28</v>
      </c>
      <c r="N2449" s="17">
        <v>44915</v>
      </c>
      <c r="O2449" s="15" t="s">
        <v>379</v>
      </c>
      <c r="P2449" s="16" t="s">
        <v>8323</v>
      </c>
      <c r="Q2449" s="15" t="s">
        <v>114</v>
      </c>
      <c r="R2449" s="13" t="str">
        <f>HYPERLINK("https://my.pitchbook.com?c=211035-25T","View Company Online")</f>
        <v>View Company Online</v>
      </c>
    </row>
    <row r="2450" spans="1:18" hidden="1" x14ac:dyDescent="0.3">
      <c r="A2450" s="9" t="s">
        <v>8324</v>
      </c>
      <c r="B2450" s="9" t="s">
        <v>3383</v>
      </c>
      <c r="C2450" s="11" t="s">
        <v>28</v>
      </c>
      <c r="D2450" s="9" t="s">
        <v>3384</v>
      </c>
      <c r="E2450" s="11" t="s">
        <v>28</v>
      </c>
      <c r="F2450" s="10" t="s">
        <v>28</v>
      </c>
      <c r="G2450" s="10">
        <v>4.38</v>
      </c>
      <c r="H2450" s="10" t="s">
        <v>28</v>
      </c>
      <c r="I2450" s="11" t="s">
        <v>28</v>
      </c>
      <c r="J2450" s="11" t="s">
        <v>28</v>
      </c>
      <c r="K2450" s="11" t="s">
        <v>28</v>
      </c>
      <c r="L2450" s="11" t="s">
        <v>28</v>
      </c>
      <c r="M2450" s="11" t="s">
        <v>28</v>
      </c>
      <c r="N2450" s="8">
        <v>44914</v>
      </c>
      <c r="O2450" s="9" t="s">
        <v>99</v>
      </c>
      <c r="P2450" s="12" t="s">
        <v>8325</v>
      </c>
      <c r="Q2450" s="9" t="s">
        <v>43</v>
      </c>
      <c r="R2450" s="14" t="str">
        <f>HYPERLINK("https://my.pitchbook.com?c=210925-09T","View Company Online")</f>
        <v>View Company Online</v>
      </c>
    </row>
    <row r="2451" spans="1:18" hidden="1" x14ac:dyDescent="0.3">
      <c r="A2451" s="15" t="s">
        <v>8326</v>
      </c>
      <c r="B2451" s="15" t="s">
        <v>8327</v>
      </c>
      <c r="C2451" s="18" t="s">
        <v>28</v>
      </c>
      <c r="D2451" s="15" t="s">
        <v>8328</v>
      </c>
      <c r="E2451" s="18" t="s">
        <v>28</v>
      </c>
      <c r="F2451" s="19" t="s">
        <v>28</v>
      </c>
      <c r="G2451" s="19">
        <v>5.6</v>
      </c>
      <c r="H2451" s="19" t="s">
        <v>28</v>
      </c>
      <c r="I2451" s="18" t="s">
        <v>28</v>
      </c>
      <c r="J2451" s="18" t="s">
        <v>28</v>
      </c>
      <c r="K2451" s="18" t="s">
        <v>28</v>
      </c>
      <c r="L2451" s="18" t="s">
        <v>28</v>
      </c>
      <c r="M2451" s="18" t="s">
        <v>28</v>
      </c>
      <c r="N2451" s="17">
        <v>44914</v>
      </c>
      <c r="O2451" s="15" t="s">
        <v>99</v>
      </c>
      <c r="P2451" s="16" t="s">
        <v>8329</v>
      </c>
      <c r="Q2451" s="15" t="s">
        <v>37</v>
      </c>
      <c r="R2451" s="13" t="str">
        <f>HYPERLINK("https://my.pitchbook.com?c=191844-64T","View Company Online")</f>
        <v>View Company Online</v>
      </c>
    </row>
    <row r="2452" spans="1:18" hidden="1" x14ac:dyDescent="0.3">
      <c r="A2452" s="9" t="s">
        <v>8330</v>
      </c>
      <c r="B2452" s="9" t="s">
        <v>8331</v>
      </c>
      <c r="C2452" s="11" t="s">
        <v>28</v>
      </c>
      <c r="D2452" s="9" t="s">
        <v>8332</v>
      </c>
      <c r="E2452" s="11" t="s">
        <v>28</v>
      </c>
      <c r="F2452" s="10" t="s">
        <v>28</v>
      </c>
      <c r="G2452" s="10" t="s">
        <v>28</v>
      </c>
      <c r="H2452" s="10" t="s">
        <v>28</v>
      </c>
      <c r="I2452" s="11" t="s">
        <v>28</v>
      </c>
      <c r="J2452" s="11" t="s">
        <v>28</v>
      </c>
      <c r="K2452" s="11" t="s">
        <v>28</v>
      </c>
      <c r="L2452" s="11" t="s">
        <v>28</v>
      </c>
      <c r="M2452" s="11" t="s">
        <v>28</v>
      </c>
      <c r="N2452" s="8">
        <v>44914</v>
      </c>
      <c r="O2452" s="9" t="s">
        <v>79</v>
      </c>
      <c r="P2452" s="12" t="s">
        <v>8333</v>
      </c>
      <c r="Q2452" s="9" t="s">
        <v>249</v>
      </c>
      <c r="R2452" s="14" t="str">
        <f>HYPERLINK("https://my.pitchbook.com?c=259554-16T","View Company Online")</f>
        <v>View Company Online</v>
      </c>
    </row>
    <row r="2453" spans="1:18" hidden="1" x14ac:dyDescent="0.3">
      <c r="A2453" s="15" t="s">
        <v>8334</v>
      </c>
      <c r="B2453" s="15" t="s">
        <v>451</v>
      </c>
      <c r="C2453" s="18" t="s">
        <v>28</v>
      </c>
      <c r="D2453" s="15" t="s">
        <v>452</v>
      </c>
      <c r="E2453" s="18" t="s">
        <v>28</v>
      </c>
      <c r="F2453" s="19" t="s">
        <v>28</v>
      </c>
      <c r="G2453" s="19">
        <v>5.66</v>
      </c>
      <c r="H2453" s="19" t="s">
        <v>28</v>
      </c>
      <c r="I2453" s="18" t="s">
        <v>28</v>
      </c>
      <c r="J2453" s="18" t="s">
        <v>28</v>
      </c>
      <c r="K2453" s="18" t="s">
        <v>28</v>
      </c>
      <c r="L2453" s="18" t="s">
        <v>28</v>
      </c>
      <c r="M2453" s="18" t="s">
        <v>28</v>
      </c>
      <c r="N2453" s="17">
        <v>44914</v>
      </c>
      <c r="O2453" s="15" t="s">
        <v>73</v>
      </c>
      <c r="P2453" s="16" t="s">
        <v>8335</v>
      </c>
      <c r="Q2453" s="15" t="s">
        <v>114</v>
      </c>
      <c r="R2453" s="13" t="str">
        <f>HYPERLINK("https://my.pitchbook.com?c=211199-77T","View Company Online")</f>
        <v>View Company Online</v>
      </c>
    </row>
    <row r="2454" spans="1:18" hidden="1" x14ac:dyDescent="0.3">
      <c r="A2454" s="9" t="s">
        <v>8336</v>
      </c>
      <c r="B2454" s="9" t="s">
        <v>8337</v>
      </c>
      <c r="C2454" s="11" t="s">
        <v>28</v>
      </c>
      <c r="D2454" s="9" t="s">
        <v>8338</v>
      </c>
      <c r="E2454" s="11" t="s">
        <v>28</v>
      </c>
      <c r="F2454" s="10" t="s">
        <v>28</v>
      </c>
      <c r="G2454" s="10">
        <v>0.28000000000000003</v>
      </c>
      <c r="H2454" s="10" t="s">
        <v>28</v>
      </c>
      <c r="I2454" s="11" t="s">
        <v>28</v>
      </c>
      <c r="J2454" s="11" t="s">
        <v>28</v>
      </c>
      <c r="K2454" s="11">
        <v>0.57999999999999996</v>
      </c>
      <c r="L2454" s="11" t="s">
        <v>28</v>
      </c>
      <c r="M2454" s="11" t="s">
        <v>28</v>
      </c>
      <c r="N2454" s="8">
        <v>44914</v>
      </c>
      <c r="O2454" s="9" t="s">
        <v>47</v>
      </c>
      <c r="P2454" s="12" t="s">
        <v>8339</v>
      </c>
      <c r="Q2454" s="9" t="s">
        <v>75</v>
      </c>
      <c r="R2454" s="14" t="str">
        <f>HYPERLINK("https://my.pitchbook.com?c=210978-01T","View Company Online")</f>
        <v>View Company Online</v>
      </c>
    </row>
    <row r="2455" spans="1:18" hidden="1" x14ac:dyDescent="0.3">
      <c r="A2455" s="15" t="s">
        <v>8340</v>
      </c>
      <c r="B2455" s="15" t="s">
        <v>2194</v>
      </c>
      <c r="C2455" s="18" t="s">
        <v>28</v>
      </c>
      <c r="D2455" s="15" t="s">
        <v>2195</v>
      </c>
      <c r="E2455" s="18" t="s">
        <v>28</v>
      </c>
      <c r="F2455" s="19" t="s">
        <v>28</v>
      </c>
      <c r="G2455" s="19" t="s">
        <v>28</v>
      </c>
      <c r="H2455" s="19" t="s">
        <v>28</v>
      </c>
      <c r="I2455" s="18" t="s">
        <v>28</v>
      </c>
      <c r="J2455" s="18" t="s">
        <v>28</v>
      </c>
      <c r="K2455" s="18" t="s">
        <v>28</v>
      </c>
      <c r="L2455" s="18" t="s">
        <v>28</v>
      </c>
      <c r="M2455" s="18" t="s">
        <v>28</v>
      </c>
      <c r="N2455" s="17">
        <v>44914</v>
      </c>
      <c r="O2455" s="15" t="s">
        <v>79</v>
      </c>
      <c r="P2455" s="16" t="s">
        <v>611</v>
      </c>
      <c r="Q2455" s="15" t="s">
        <v>75</v>
      </c>
      <c r="R2455" s="13" t="str">
        <f>HYPERLINK("https://my.pitchbook.com?c=210912-04T","View Company Online")</f>
        <v>View Company Online</v>
      </c>
    </row>
    <row r="2456" spans="1:18" hidden="1" x14ac:dyDescent="0.3">
      <c r="A2456" s="9" t="s">
        <v>8341</v>
      </c>
      <c r="B2456" s="9" t="s">
        <v>4778</v>
      </c>
      <c r="C2456" s="11" t="s">
        <v>28</v>
      </c>
      <c r="D2456" s="9" t="s">
        <v>4779</v>
      </c>
      <c r="E2456" s="11" t="s">
        <v>28</v>
      </c>
      <c r="F2456" s="10" t="s">
        <v>28</v>
      </c>
      <c r="G2456" s="10">
        <v>0.28000000000000003</v>
      </c>
      <c r="H2456" s="10" t="s">
        <v>28</v>
      </c>
      <c r="I2456" s="11" t="s">
        <v>28</v>
      </c>
      <c r="J2456" s="11" t="s">
        <v>28</v>
      </c>
      <c r="K2456" s="11" t="s">
        <v>28</v>
      </c>
      <c r="L2456" s="11" t="s">
        <v>28</v>
      </c>
      <c r="M2456" s="11" t="s">
        <v>28</v>
      </c>
      <c r="N2456" s="8">
        <v>44911</v>
      </c>
      <c r="O2456" s="9" t="s">
        <v>1639</v>
      </c>
      <c r="P2456" s="12" t="s">
        <v>28</v>
      </c>
      <c r="Q2456" s="9" t="s">
        <v>4710</v>
      </c>
      <c r="R2456" s="14" t="str">
        <f>HYPERLINK("https://my.pitchbook.com?c=200551-69T","View Company Online")</f>
        <v>View Company Online</v>
      </c>
    </row>
    <row r="2457" spans="1:18" hidden="1" x14ac:dyDescent="0.3">
      <c r="A2457" s="15" t="s">
        <v>8342</v>
      </c>
      <c r="B2457" s="15" t="s">
        <v>8343</v>
      </c>
      <c r="C2457" s="18" t="s">
        <v>28</v>
      </c>
      <c r="D2457" s="15" t="s">
        <v>8344</v>
      </c>
      <c r="E2457" s="18" t="s">
        <v>28</v>
      </c>
      <c r="F2457" s="19">
        <v>8.57</v>
      </c>
      <c r="G2457" s="19">
        <v>4.37</v>
      </c>
      <c r="H2457" s="19">
        <v>8.57</v>
      </c>
      <c r="I2457" s="18" t="s">
        <v>28</v>
      </c>
      <c r="J2457" s="18" t="s">
        <v>28</v>
      </c>
      <c r="K2457" s="18" t="s">
        <v>28</v>
      </c>
      <c r="L2457" s="18" t="s">
        <v>28</v>
      </c>
      <c r="M2457" s="18" t="s">
        <v>28</v>
      </c>
      <c r="N2457" s="17">
        <v>44911</v>
      </c>
      <c r="O2457" s="15" t="s">
        <v>30</v>
      </c>
      <c r="P2457" s="16" t="s">
        <v>8345</v>
      </c>
      <c r="Q2457" s="15" t="s">
        <v>245</v>
      </c>
      <c r="R2457" s="13" t="str">
        <f>HYPERLINK("https://my.pitchbook.com?c=223265-26T","View Company Online")</f>
        <v>View Company Online</v>
      </c>
    </row>
    <row r="2458" spans="1:18" hidden="1" x14ac:dyDescent="0.3">
      <c r="A2458" s="9" t="s">
        <v>8346</v>
      </c>
      <c r="B2458" s="9" t="s">
        <v>2149</v>
      </c>
      <c r="C2458" s="11" t="s">
        <v>28</v>
      </c>
      <c r="D2458" s="9" t="s">
        <v>2150</v>
      </c>
      <c r="E2458" s="11" t="s">
        <v>28</v>
      </c>
      <c r="F2458" s="10" t="s">
        <v>28</v>
      </c>
      <c r="G2458" s="10">
        <v>0.2</v>
      </c>
      <c r="H2458" s="10" t="s">
        <v>28</v>
      </c>
      <c r="I2458" s="11" t="s">
        <v>28</v>
      </c>
      <c r="J2458" s="11" t="s">
        <v>28</v>
      </c>
      <c r="K2458" s="11" t="s">
        <v>28</v>
      </c>
      <c r="L2458" s="11" t="s">
        <v>28</v>
      </c>
      <c r="M2458" s="11" t="s">
        <v>28</v>
      </c>
      <c r="N2458" s="8">
        <v>44911</v>
      </c>
      <c r="O2458" s="9" t="s">
        <v>58</v>
      </c>
      <c r="P2458" s="12" t="s">
        <v>8347</v>
      </c>
      <c r="Q2458" s="9" t="s">
        <v>37</v>
      </c>
      <c r="R2458" s="14" t="str">
        <f>HYPERLINK("https://my.pitchbook.com?c=222952-15T","View Company Online")</f>
        <v>View Company Online</v>
      </c>
    </row>
    <row r="2459" spans="1:18" hidden="1" x14ac:dyDescent="0.3">
      <c r="A2459" s="15" t="s">
        <v>8348</v>
      </c>
      <c r="B2459" s="15" t="s">
        <v>2252</v>
      </c>
      <c r="C2459" s="18" t="s">
        <v>28</v>
      </c>
      <c r="D2459" s="15" t="s">
        <v>2253</v>
      </c>
      <c r="E2459" s="18" t="s">
        <v>28</v>
      </c>
      <c r="F2459" s="19" t="s">
        <v>28</v>
      </c>
      <c r="G2459" s="19">
        <v>0.15</v>
      </c>
      <c r="H2459" s="19">
        <v>5</v>
      </c>
      <c r="I2459" s="18" t="s">
        <v>28</v>
      </c>
      <c r="J2459" s="18" t="s">
        <v>28</v>
      </c>
      <c r="K2459" s="18" t="s">
        <v>28</v>
      </c>
      <c r="L2459" s="18" t="s">
        <v>28</v>
      </c>
      <c r="M2459" s="18" t="s">
        <v>28</v>
      </c>
      <c r="N2459" s="17">
        <v>44911</v>
      </c>
      <c r="O2459" s="15" t="s">
        <v>99</v>
      </c>
      <c r="P2459" s="16" t="s">
        <v>5242</v>
      </c>
      <c r="Q2459" s="15" t="s">
        <v>2255</v>
      </c>
      <c r="R2459" s="13" t="str">
        <f>HYPERLINK("https://my.pitchbook.com?c=224643-52T","View Company Online")</f>
        <v>View Company Online</v>
      </c>
    </row>
    <row r="2460" spans="1:18" hidden="1" x14ac:dyDescent="0.3">
      <c r="A2460" s="9" t="s">
        <v>8349</v>
      </c>
      <c r="B2460" s="9" t="s">
        <v>3788</v>
      </c>
      <c r="C2460" s="11" t="s">
        <v>28</v>
      </c>
      <c r="D2460" s="9" t="s">
        <v>3789</v>
      </c>
      <c r="E2460" s="11" t="s">
        <v>28</v>
      </c>
      <c r="F2460" s="10" t="s">
        <v>28</v>
      </c>
      <c r="G2460" s="10">
        <v>0.28000000000000003</v>
      </c>
      <c r="H2460" s="10" t="s">
        <v>28</v>
      </c>
      <c r="I2460" s="11" t="s">
        <v>28</v>
      </c>
      <c r="J2460" s="11" t="s">
        <v>28</v>
      </c>
      <c r="K2460" s="11" t="s">
        <v>28</v>
      </c>
      <c r="L2460" s="11" t="s">
        <v>28</v>
      </c>
      <c r="M2460" s="11" t="s">
        <v>28</v>
      </c>
      <c r="N2460" s="8">
        <v>44911</v>
      </c>
      <c r="O2460" s="9" t="s">
        <v>73</v>
      </c>
      <c r="P2460" s="12" t="s">
        <v>28</v>
      </c>
      <c r="Q2460" s="9" t="s">
        <v>692</v>
      </c>
      <c r="R2460" s="14" t="str">
        <f>HYPERLINK("https://my.pitchbook.com?c=215422-66T","View Company Online")</f>
        <v>View Company Online</v>
      </c>
    </row>
    <row r="2461" spans="1:18" hidden="1" x14ac:dyDescent="0.3">
      <c r="A2461" s="15" t="s">
        <v>8350</v>
      </c>
      <c r="B2461" s="15" t="s">
        <v>8351</v>
      </c>
      <c r="C2461" s="18" t="s">
        <v>28</v>
      </c>
      <c r="D2461" s="15" t="s">
        <v>8352</v>
      </c>
      <c r="E2461" s="18" t="s">
        <v>28</v>
      </c>
      <c r="F2461" s="19" t="s">
        <v>28</v>
      </c>
      <c r="G2461" s="19" t="s">
        <v>28</v>
      </c>
      <c r="H2461" s="19" t="s">
        <v>28</v>
      </c>
      <c r="I2461" s="18" t="s">
        <v>28</v>
      </c>
      <c r="J2461" s="18" t="s">
        <v>28</v>
      </c>
      <c r="K2461" s="18" t="s">
        <v>28</v>
      </c>
      <c r="L2461" s="18" t="s">
        <v>28</v>
      </c>
      <c r="M2461" s="18" t="s">
        <v>28</v>
      </c>
      <c r="N2461" s="17">
        <v>44911</v>
      </c>
      <c r="O2461" s="15" t="s">
        <v>73</v>
      </c>
      <c r="P2461" s="16" t="s">
        <v>8353</v>
      </c>
      <c r="Q2461" s="15" t="s">
        <v>399</v>
      </c>
      <c r="R2461" s="13" t="str">
        <f>HYPERLINK("https://my.pitchbook.com?c=215358-04T","View Company Online")</f>
        <v>View Company Online</v>
      </c>
    </row>
    <row r="2462" spans="1:18" hidden="1" x14ac:dyDescent="0.3">
      <c r="A2462" s="9" t="s">
        <v>8354</v>
      </c>
      <c r="B2462" s="9" t="s">
        <v>8355</v>
      </c>
      <c r="C2462" s="11" t="s">
        <v>28</v>
      </c>
      <c r="D2462" s="9" t="s">
        <v>8356</v>
      </c>
      <c r="E2462" s="11" t="s">
        <v>28</v>
      </c>
      <c r="F2462" s="10" t="s">
        <v>28</v>
      </c>
      <c r="G2462" s="10" t="s">
        <v>28</v>
      </c>
      <c r="H2462" s="10" t="s">
        <v>28</v>
      </c>
      <c r="I2462" s="11" t="s">
        <v>28</v>
      </c>
      <c r="J2462" s="11" t="s">
        <v>28</v>
      </c>
      <c r="K2462" s="11" t="s">
        <v>28</v>
      </c>
      <c r="L2462" s="11" t="s">
        <v>28</v>
      </c>
      <c r="M2462" s="11" t="s">
        <v>28</v>
      </c>
      <c r="N2462" s="8">
        <v>44910</v>
      </c>
      <c r="O2462" s="9" t="s">
        <v>73</v>
      </c>
      <c r="P2462" s="12" t="s">
        <v>8333</v>
      </c>
      <c r="Q2462" s="9" t="s">
        <v>75</v>
      </c>
      <c r="R2462" s="14" t="str">
        <f>HYPERLINK("https://my.pitchbook.com?c=259530-85T","View Company Online")</f>
        <v>View Company Online</v>
      </c>
    </row>
    <row r="2463" spans="1:18" hidden="1" x14ac:dyDescent="0.3">
      <c r="A2463" s="15" t="s">
        <v>8357</v>
      </c>
      <c r="B2463" s="15" t="s">
        <v>8358</v>
      </c>
      <c r="C2463" s="18" t="s">
        <v>28</v>
      </c>
      <c r="D2463" s="15" t="s">
        <v>8359</v>
      </c>
      <c r="E2463" s="18" t="s">
        <v>28</v>
      </c>
      <c r="F2463" s="19" t="s">
        <v>28</v>
      </c>
      <c r="G2463" s="19" t="s">
        <v>28</v>
      </c>
      <c r="H2463" s="19" t="s">
        <v>28</v>
      </c>
      <c r="I2463" s="18" t="s">
        <v>28</v>
      </c>
      <c r="J2463" s="18" t="s">
        <v>28</v>
      </c>
      <c r="K2463" s="18" t="s">
        <v>28</v>
      </c>
      <c r="L2463" s="18" t="s">
        <v>28</v>
      </c>
      <c r="M2463" s="18" t="s">
        <v>28</v>
      </c>
      <c r="N2463" s="17">
        <v>44910</v>
      </c>
      <c r="O2463" s="15" t="s">
        <v>30</v>
      </c>
      <c r="P2463" s="16" t="s">
        <v>5772</v>
      </c>
      <c r="Q2463" s="15" t="s">
        <v>37</v>
      </c>
      <c r="R2463" s="13" t="str">
        <f>HYPERLINK("https://my.pitchbook.com?c=210686-68T","View Company Online")</f>
        <v>View Company Online</v>
      </c>
    </row>
    <row r="2464" spans="1:18" hidden="1" x14ac:dyDescent="0.3">
      <c r="A2464" s="9" t="s">
        <v>8360</v>
      </c>
      <c r="B2464" s="9" t="s">
        <v>8361</v>
      </c>
      <c r="C2464" s="11" t="s">
        <v>28</v>
      </c>
      <c r="D2464" s="9" t="s">
        <v>8362</v>
      </c>
      <c r="E2464" s="11" t="s">
        <v>28</v>
      </c>
      <c r="F2464" s="10" t="s">
        <v>28</v>
      </c>
      <c r="G2464" s="10">
        <v>0.43</v>
      </c>
      <c r="H2464" s="10" t="s">
        <v>28</v>
      </c>
      <c r="I2464" s="11" t="s">
        <v>28</v>
      </c>
      <c r="J2464" s="11" t="s">
        <v>28</v>
      </c>
      <c r="K2464" s="11" t="s">
        <v>28</v>
      </c>
      <c r="L2464" s="11" t="s">
        <v>28</v>
      </c>
      <c r="M2464" s="11" t="s">
        <v>28</v>
      </c>
      <c r="N2464" s="8">
        <v>44910</v>
      </c>
      <c r="O2464" s="9" t="s">
        <v>99</v>
      </c>
      <c r="P2464" s="12" t="s">
        <v>8363</v>
      </c>
      <c r="Q2464" s="9" t="s">
        <v>1035</v>
      </c>
      <c r="R2464" s="14" t="str">
        <f>HYPERLINK("https://my.pitchbook.com?c=259539-31T","View Company Online")</f>
        <v>View Company Online</v>
      </c>
    </row>
    <row r="2465" spans="1:18" hidden="1" x14ac:dyDescent="0.3">
      <c r="A2465" s="15" t="s">
        <v>8364</v>
      </c>
      <c r="B2465" s="15" t="s">
        <v>5309</v>
      </c>
      <c r="C2465" s="18" t="s">
        <v>28</v>
      </c>
      <c r="D2465" s="15" t="s">
        <v>5310</v>
      </c>
      <c r="E2465" s="18" t="s">
        <v>28</v>
      </c>
      <c r="F2465" s="19" t="s">
        <v>28</v>
      </c>
      <c r="G2465" s="19">
        <v>0.28000000000000003</v>
      </c>
      <c r="H2465" s="19" t="s">
        <v>28</v>
      </c>
      <c r="I2465" s="18" t="s">
        <v>28</v>
      </c>
      <c r="J2465" s="18" t="s">
        <v>28</v>
      </c>
      <c r="K2465" s="18" t="s">
        <v>28</v>
      </c>
      <c r="L2465" s="18" t="s">
        <v>28</v>
      </c>
      <c r="M2465" s="18" t="s">
        <v>28</v>
      </c>
      <c r="N2465" s="17">
        <v>44910</v>
      </c>
      <c r="O2465" s="15" t="s">
        <v>99</v>
      </c>
      <c r="P2465" s="16" t="s">
        <v>28</v>
      </c>
      <c r="Q2465" s="15" t="s">
        <v>37</v>
      </c>
      <c r="R2465" s="13" t="str">
        <f>HYPERLINK("https://my.pitchbook.com?c=210793-15T","View Company Online")</f>
        <v>View Company Online</v>
      </c>
    </row>
    <row r="2466" spans="1:18" hidden="1" x14ac:dyDescent="0.3">
      <c r="A2466" s="9" t="s">
        <v>8365</v>
      </c>
      <c r="B2466" s="9" t="s">
        <v>5479</v>
      </c>
      <c r="C2466" s="11" t="s">
        <v>28</v>
      </c>
      <c r="D2466" s="9" t="s">
        <v>5480</v>
      </c>
      <c r="E2466" s="11" t="s">
        <v>28</v>
      </c>
      <c r="F2466" s="10" t="s">
        <v>28</v>
      </c>
      <c r="G2466" s="10">
        <v>18.89</v>
      </c>
      <c r="H2466" s="10" t="s">
        <v>28</v>
      </c>
      <c r="I2466" s="11" t="s">
        <v>28</v>
      </c>
      <c r="J2466" s="11" t="s">
        <v>28</v>
      </c>
      <c r="K2466" s="11" t="s">
        <v>28</v>
      </c>
      <c r="L2466" s="11" t="s">
        <v>28</v>
      </c>
      <c r="M2466" s="11" t="s">
        <v>28</v>
      </c>
      <c r="N2466" s="8">
        <v>44910</v>
      </c>
      <c r="O2466" s="9" t="s">
        <v>73</v>
      </c>
      <c r="P2466" s="12" t="s">
        <v>8366</v>
      </c>
      <c r="Q2466" s="9" t="s">
        <v>1088</v>
      </c>
      <c r="R2466" s="14" t="str">
        <f>HYPERLINK("https://my.pitchbook.com?c=212738-86T","View Company Online")</f>
        <v>View Company Online</v>
      </c>
    </row>
    <row r="2467" spans="1:18" hidden="1" x14ac:dyDescent="0.3">
      <c r="A2467" s="15" t="s">
        <v>8367</v>
      </c>
      <c r="B2467" s="15" t="s">
        <v>8368</v>
      </c>
      <c r="C2467" s="18" t="s">
        <v>28</v>
      </c>
      <c r="D2467" s="15" t="s">
        <v>8369</v>
      </c>
      <c r="E2467" s="18" t="s">
        <v>28</v>
      </c>
      <c r="F2467" s="19" t="s">
        <v>28</v>
      </c>
      <c r="G2467" s="19" t="s">
        <v>28</v>
      </c>
      <c r="H2467" s="19" t="s">
        <v>28</v>
      </c>
      <c r="I2467" s="18" t="s">
        <v>28</v>
      </c>
      <c r="J2467" s="18" t="s">
        <v>28</v>
      </c>
      <c r="K2467" s="18" t="s">
        <v>28</v>
      </c>
      <c r="L2467" s="18" t="s">
        <v>28</v>
      </c>
      <c r="M2467" s="18" t="s">
        <v>28</v>
      </c>
      <c r="N2467" s="17">
        <v>44910</v>
      </c>
      <c r="O2467" s="15" t="s">
        <v>79</v>
      </c>
      <c r="P2467" s="16" t="s">
        <v>8370</v>
      </c>
      <c r="Q2467" s="15" t="s">
        <v>37</v>
      </c>
      <c r="R2467" s="13" t="str">
        <f>HYPERLINK("https://my.pitchbook.com?c=183158-11T","View Company Online")</f>
        <v>View Company Online</v>
      </c>
    </row>
    <row r="2468" spans="1:18" hidden="1" x14ac:dyDescent="0.3">
      <c r="A2468" s="9" t="s">
        <v>8371</v>
      </c>
      <c r="B2468" s="9" t="s">
        <v>8372</v>
      </c>
      <c r="C2468" s="11" t="s">
        <v>28</v>
      </c>
      <c r="D2468" s="9" t="s">
        <v>8373</v>
      </c>
      <c r="E2468" s="11" t="s">
        <v>28</v>
      </c>
      <c r="F2468" s="10" t="s">
        <v>28</v>
      </c>
      <c r="G2468" s="10" t="s">
        <v>28</v>
      </c>
      <c r="H2468" s="10" t="s">
        <v>28</v>
      </c>
      <c r="I2468" s="11" t="s">
        <v>28</v>
      </c>
      <c r="J2468" s="11" t="s">
        <v>28</v>
      </c>
      <c r="K2468" s="11" t="s">
        <v>28</v>
      </c>
      <c r="L2468" s="11" t="s">
        <v>28</v>
      </c>
      <c r="M2468" s="11" t="s">
        <v>28</v>
      </c>
      <c r="N2468" s="8">
        <v>44909</v>
      </c>
      <c r="O2468" s="9" t="s">
        <v>30</v>
      </c>
      <c r="P2468" s="12" t="s">
        <v>8374</v>
      </c>
      <c r="Q2468" s="9" t="s">
        <v>1007</v>
      </c>
      <c r="R2468" s="14" t="str">
        <f>HYPERLINK("https://my.pitchbook.com?c=212532-94T","View Company Online")</f>
        <v>View Company Online</v>
      </c>
    </row>
    <row r="2469" spans="1:18" hidden="1" x14ac:dyDescent="0.3">
      <c r="A2469" s="15" t="s">
        <v>8375</v>
      </c>
      <c r="B2469" s="15" t="s">
        <v>8376</v>
      </c>
      <c r="C2469" s="18" t="s">
        <v>28</v>
      </c>
      <c r="D2469" s="15" t="s">
        <v>8377</v>
      </c>
      <c r="E2469" s="18" t="s">
        <v>28</v>
      </c>
      <c r="F2469" s="19" t="s">
        <v>28</v>
      </c>
      <c r="G2469" s="19">
        <v>16.05</v>
      </c>
      <c r="H2469" s="19" t="s">
        <v>28</v>
      </c>
      <c r="I2469" s="18" t="s">
        <v>28</v>
      </c>
      <c r="J2469" s="18" t="s">
        <v>28</v>
      </c>
      <c r="K2469" s="18" t="s">
        <v>28</v>
      </c>
      <c r="L2469" s="18" t="s">
        <v>28</v>
      </c>
      <c r="M2469" s="18" t="s">
        <v>28</v>
      </c>
      <c r="N2469" s="17">
        <v>44909</v>
      </c>
      <c r="O2469" s="15" t="s">
        <v>173</v>
      </c>
      <c r="P2469" s="16" t="s">
        <v>28</v>
      </c>
      <c r="Q2469" s="15" t="s">
        <v>240</v>
      </c>
      <c r="R2469" s="13" t="str">
        <f>HYPERLINK("https://my.pitchbook.com?c=213032-26T","View Company Online")</f>
        <v>View Company Online</v>
      </c>
    </row>
    <row r="2470" spans="1:18" hidden="1" x14ac:dyDescent="0.3">
      <c r="A2470" s="9" t="s">
        <v>8378</v>
      </c>
      <c r="B2470" s="9" t="s">
        <v>8379</v>
      </c>
      <c r="C2470" s="11" t="s">
        <v>28</v>
      </c>
      <c r="D2470" s="9" t="s">
        <v>8380</v>
      </c>
      <c r="E2470" s="11" t="s">
        <v>28</v>
      </c>
      <c r="F2470" s="10">
        <v>11.3</v>
      </c>
      <c r="G2470" s="10">
        <v>11.3</v>
      </c>
      <c r="H2470" s="10">
        <v>11.3</v>
      </c>
      <c r="I2470" s="11" t="s">
        <v>28</v>
      </c>
      <c r="J2470" s="11" t="s">
        <v>28</v>
      </c>
      <c r="K2470" s="11" t="s">
        <v>28</v>
      </c>
      <c r="L2470" s="11" t="s">
        <v>28</v>
      </c>
      <c r="M2470" s="11" t="s">
        <v>28</v>
      </c>
      <c r="N2470" s="8">
        <v>44909</v>
      </c>
      <c r="O2470" s="9" t="s">
        <v>30</v>
      </c>
      <c r="P2470" s="12" t="s">
        <v>8381</v>
      </c>
      <c r="Q2470" s="9" t="s">
        <v>449</v>
      </c>
      <c r="R2470" s="14" t="str">
        <f>HYPERLINK("https://my.pitchbook.com?c=210633-40T","View Company Online")</f>
        <v>View Company Online</v>
      </c>
    </row>
    <row r="2471" spans="1:18" hidden="1" x14ac:dyDescent="0.3">
      <c r="A2471" s="15" t="s">
        <v>8382</v>
      </c>
      <c r="B2471" s="15" t="s">
        <v>8383</v>
      </c>
      <c r="C2471" s="18" t="s">
        <v>28</v>
      </c>
      <c r="D2471" s="15" t="s">
        <v>8384</v>
      </c>
      <c r="E2471" s="18" t="s">
        <v>28</v>
      </c>
      <c r="F2471" s="19" t="s">
        <v>28</v>
      </c>
      <c r="G2471" s="19">
        <v>6.73</v>
      </c>
      <c r="H2471" s="19" t="s">
        <v>28</v>
      </c>
      <c r="I2471" s="18" t="s">
        <v>28</v>
      </c>
      <c r="J2471" s="18" t="s">
        <v>28</v>
      </c>
      <c r="K2471" s="18" t="s">
        <v>28</v>
      </c>
      <c r="L2471" s="18" t="s">
        <v>28</v>
      </c>
      <c r="M2471" s="18" t="s">
        <v>28</v>
      </c>
      <c r="N2471" s="17">
        <v>44909</v>
      </c>
      <c r="O2471" s="15" t="s">
        <v>73</v>
      </c>
      <c r="P2471" s="16" t="s">
        <v>8385</v>
      </c>
      <c r="Q2471" s="15" t="s">
        <v>37</v>
      </c>
      <c r="R2471" s="13" t="str">
        <f>HYPERLINK("https://my.pitchbook.com?c=202676-77T","View Company Online")</f>
        <v>View Company Online</v>
      </c>
    </row>
    <row r="2472" spans="1:18" hidden="1" x14ac:dyDescent="0.3">
      <c r="A2472" s="9" t="s">
        <v>8386</v>
      </c>
      <c r="B2472" s="9" t="s">
        <v>8387</v>
      </c>
      <c r="C2472" s="11" t="s">
        <v>28</v>
      </c>
      <c r="D2472" s="9" t="s">
        <v>8388</v>
      </c>
      <c r="E2472" s="11" t="s">
        <v>28</v>
      </c>
      <c r="F2472" s="10" t="s">
        <v>28</v>
      </c>
      <c r="G2472" s="10" t="s">
        <v>28</v>
      </c>
      <c r="H2472" s="10" t="s">
        <v>28</v>
      </c>
      <c r="I2472" s="11" t="s">
        <v>28</v>
      </c>
      <c r="J2472" s="11" t="s">
        <v>28</v>
      </c>
      <c r="K2472" s="11" t="s">
        <v>28</v>
      </c>
      <c r="L2472" s="11" t="s">
        <v>28</v>
      </c>
      <c r="M2472" s="11" t="s">
        <v>28</v>
      </c>
      <c r="N2472" s="8">
        <v>44908</v>
      </c>
      <c r="O2472" s="9" t="s">
        <v>73</v>
      </c>
      <c r="P2472" s="12" t="s">
        <v>7291</v>
      </c>
      <c r="Q2472" s="9" t="s">
        <v>75</v>
      </c>
      <c r="R2472" s="14" t="str">
        <f>HYPERLINK("https://my.pitchbook.com?c=215948-89T","View Company Online")</f>
        <v>View Company Online</v>
      </c>
    </row>
    <row r="2473" spans="1:18" hidden="1" x14ac:dyDescent="0.3">
      <c r="A2473" s="15" t="s">
        <v>8389</v>
      </c>
      <c r="B2473" s="15" t="s">
        <v>8390</v>
      </c>
      <c r="C2473" s="18" t="s">
        <v>28</v>
      </c>
      <c r="D2473" s="15" t="s">
        <v>8391</v>
      </c>
      <c r="E2473" s="18" t="s">
        <v>28</v>
      </c>
      <c r="F2473" s="19" t="s">
        <v>28</v>
      </c>
      <c r="G2473" s="19" t="s">
        <v>28</v>
      </c>
      <c r="H2473" s="19" t="s">
        <v>28</v>
      </c>
      <c r="I2473" s="18" t="s">
        <v>28</v>
      </c>
      <c r="J2473" s="18" t="s">
        <v>28</v>
      </c>
      <c r="K2473" s="18" t="s">
        <v>28</v>
      </c>
      <c r="L2473" s="18" t="s">
        <v>28</v>
      </c>
      <c r="M2473" s="18" t="s">
        <v>28</v>
      </c>
      <c r="N2473" s="17">
        <v>44908</v>
      </c>
      <c r="O2473" s="15" t="s">
        <v>30</v>
      </c>
      <c r="P2473" s="16" t="s">
        <v>8392</v>
      </c>
      <c r="Q2473" s="15" t="s">
        <v>245</v>
      </c>
      <c r="R2473" s="13" t="str">
        <f>HYPERLINK("https://my.pitchbook.com?c=210647-44T","View Company Online")</f>
        <v>View Company Online</v>
      </c>
    </row>
    <row r="2474" spans="1:18" hidden="1" x14ac:dyDescent="0.3">
      <c r="A2474" s="9" t="s">
        <v>8393</v>
      </c>
      <c r="B2474" s="9" t="s">
        <v>8394</v>
      </c>
      <c r="C2474" s="11" t="s">
        <v>28</v>
      </c>
      <c r="D2474" s="9" t="s">
        <v>8395</v>
      </c>
      <c r="E2474" s="11" t="s">
        <v>28</v>
      </c>
      <c r="F2474" s="10" t="s">
        <v>28</v>
      </c>
      <c r="G2474" s="10" t="s">
        <v>28</v>
      </c>
      <c r="H2474" s="10" t="s">
        <v>28</v>
      </c>
      <c r="I2474" s="11" t="s">
        <v>28</v>
      </c>
      <c r="J2474" s="11" t="s">
        <v>28</v>
      </c>
      <c r="K2474" s="11" t="s">
        <v>28</v>
      </c>
      <c r="L2474" s="11" t="s">
        <v>28</v>
      </c>
      <c r="M2474" s="11" t="s">
        <v>28</v>
      </c>
      <c r="N2474" s="8">
        <v>44907</v>
      </c>
      <c r="O2474" s="9" t="s">
        <v>30</v>
      </c>
      <c r="P2474" s="12" t="s">
        <v>8396</v>
      </c>
      <c r="Q2474" s="9" t="s">
        <v>75</v>
      </c>
      <c r="R2474" s="14" t="str">
        <f>HYPERLINK("https://my.pitchbook.com?c=210462-04T","View Company Online")</f>
        <v>View Company Online</v>
      </c>
    </row>
    <row r="2475" spans="1:18" hidden="1" x14ac:dyDescent="0.3">
      <c r="A2475" s="15" t="s">
        <v>8397</v>
      </c>
      <c r="B2475" s="15" t="s">
        <v>8398</v>
      </c>
      <c r="C2475" s="18" t="s">
        <v>28</v>
      </c>
      <c r="D2475" s="15" t="s">
        <v>8399</v>
      </c>
      <c r="E2475" s="18" t="s">
        <v>28</v>
      </c>
      <c r="F2475" s="19" t="s">
        <v>28</v>
      </c>
      <c r="G2475" s="19">
        <v>0.12</v>
      </c>
      <c r="H2475" s="19" t="s">
        <v>28</v>
      </c>
      <c r="I2475" s="18" t="s">
        <v>28</v>
      </c>
      <c r="J2475" s="18" t="s">
        <v>28</v>
      </c>
      <c r="K2475" s="18" t="s">
        <v>28</v>
      </c>
      <c r="L2475" s="18" t="s">
        <v>28</v>
      </c>
      <c r="M2475" s="18" t="s">
        <v>28</v>
      </c>
      <c r="N2475" s="17">
        <v>44907</v>
      </c>
      <c r="O2475" s="15" t="s">
        <v>52</v>
      </c>
      <c r="P2475" s="16" t="s">
        <v>1662</v>
      </c>
      <c r="Q2475" s="15" t="s">
        <v>75</v>
      </c>
      <c r="R2475" s="13" t="str">
        <f>HYPERLINK("https://my.pitchbook.com?c=239431-69T","View Company Online")</f>
        <v>View Company Online</v>
      </c>
    </row>
    <row r="2476" spans="1:18" hidden="1" x14ac:dyDescent="0.3">
      <c r="A2476" s="9" t="s">
        <v>8400</v>
      </c>
      <c r="B2476" s="9" t="s">
        <v>8401</v>
      </c>
      <c r="C2476" s="11" t="s">
        <v>28</v>
      </c>
      <c r="D2476" s="9" t="s">
        <v>8402</v>
      </c>
      <c r="E2476" s="11" t="s">
        <v>28</v>
      </c>
      <c r="F2476" s="10" t="s">
        <v>28</v>
      </c>
      <c r="G2476" s="10" t="s">
        <v>28</v>
      </c>
      <c r="H2476" s="10" t="s">
        <v>28</v>
      </c>
      <c r="I2476" s="11" t="s">
        <v>28</v>
      </c>
      <c r="J2476" s="11" t="s">
        <v>28</v>
      </c>
      <c r="K2476" s="11" t="s">
        <v>28</v>
      </c>
      <c r="L2476" s="11" t="s">
        <v>28</v>
      </c>
      <c r="M2476" s="11" t="s">
        <v>28</v>
      </c>
      <c r="N2476" s="8">
        <v>44907</v>
      </c>
      <c r="O2476" s="9" t="s">
        <v>73</v>
      </c>
      <c r="P2476" s="12" t="s">
        <v>1547</v>
      </c>
      <c r="Q2476" s="9" t="s">
        <v>114</v>
      </c>
      <c r="R2476" s="14" t="str">
        <f>HYPERLINK("https://my.pitchbook.com?c=293642-83T","View Company Online")</f>
        <v>View Company Online</v>
      </c>
    </row>
    <row r="2477" spans="1:18" hidden="1" x14ac:dyDescent="0.3">
      <c r="A2477" s="15" t="s">
        <v>8403</v>
      </c>
      <c r="B2477" s="15" t="s">
        <v>8404</v>
      </c>
      <c r="C2477" s="18" t="s">
        <v>28</v>
      </c>
      <c r="D2477" s="15" t="s">
        <v>8405</v>
      </c>
      <c r="E2477" s="18" t="s">
        <v>28</v>
      </c>
      <c r="F2477" s="19" t="s">
        <v>28</v>
      </c>
      <c r="G2477" s="19" t="s">
        <v>28</v>
      </c>
      <c r="H2477" s="19" t="s">
        <v>28</v>
      </c>
      <c r="I2477" s="18" t="s">
        <v>28</v>
      </c>
      <c r="J2477" s="18" t="s">
        <v>28</v>
      </c>
      <c r="K2477" s="18" t="s">
        <v>28</v>
      </c>
      <c r="L2477" s="18" t="s">
        <v>28</v>
      </c>
      <c r="M2477" s="18" t="s">
        <v>28</v>
      </c>
      <c r="N2477" s="17">
        <v>44907</v>
      </c>
      <c r="O2477" s="15" t="s">
        <v>30</v>
      </c>
      <c r="P2477" s="16" t="s">
        <v>357</v>
      </c>
      <c r="Q2477" s="15" t="s">
        <v>1853</v>
      </c>
      <c r="R2477" s="13" t="str">
        <f>HYPERLINK("https://my.pitchbook.com?c=210463-39T","View Company Online")</f>
        <v>View Company Online</v>
      </c>
    </row>
    <row r="2478" spans="1:18" hidden="1" x14ac:dyDescent="0.3">
      <c r="A2478" s="9" t="s">
        <v>8406</v>
      </c>
      <c r="B2478" s="9" t="s">
        <v>8407</v>
      </c>
      <c r="C2478" s="11" t="s">
        <v>28</v>
      </c>
      <c r="D2478" s="9" t="s">
        <v>8408</v>
      </c>
      <c r="E2478" s="11" t="s">
        <v>28</v>
      </c>
      <c r="F2478" s="10" t="s">
        <v>28</v>
      </c>
      <c r="G2478" s="10" t="s">
        <v>28</v>
      </c>
      <c r="H2478" s="10" t="s">
        <v>28</v>
      </c>
      <c r="I2478" s="11" t="s">
        <v>28</v>
      </c>
      <c r="J2478" s="11" t="s">
        <v>28</v>
      </c>
      <c r="K2478" s="11" t="s">
        <v>28</v>
      </c>
      <c r="L2478" s="11" t="s">
        <v>28</v>
      </c>
      <c r="M2478" s="11" t="s">
        <v>28</v>
      </c>
      <c r="N2478" s="8">
        <v>44907</v>
      </c>
      <c r="O2478" s="9" t="s">
        <v>52</v>
      </c>
      <c r="P2478" s="12" t="s">
        <v>8409</v>
      </c>
      <c r="Q2478" s="9" t="s">
        <v>37</v>
      </c>
      <c r="R2478" s="14" t="str">
        <f>HYPERLINK("https://my.pitchbook.com?c=264704-68T","View Company Online")</f>
        <v>View Company Online</v>
      </c>
    </row>
    <row r="2479" spans="1:18" hidden="1" x14ac:dyDescent="0.3">
      <c r="A2479" s="15" t="s">
        <v>8410</v>
      </c>
      <c r="B2479" s="15" t="s">
        <v>8411</v>
      </c>
      <c r="C2479" s="18" t="s">
        <v>28</v>
      </c>
      <c r="D2479" s="15" t="s">
        <v>28</v>
      </c>
      <c r="E2479" s="18" t="s">
        <v>28</v>
      </c>
      <c r="F2479" s="19" t="s">
        <v>28</v>
      </c>
      <c r="G2479" s="19" t="s">
        <v>28</v>
      </c>
      <c r="H2479" s="19" t="s">
        <v>28</v>
      </c>
      <c r="I2479" s="18" t="s">
        <v>28</v>
      </c>
      <c r="J2479" s="18" t="s">
        <v>28</v>
      </c>
      <c r="K2479" s="18" t="s">
        <v>28</v>
      </c>
      <c r="L2479" s="18" t="s">
        <v>28</v>
      </c>
      <c r="M2479" s="18" t="s">
        <v>28</v>
      </c>
      <c r="N2479" s="17">
        <v>44906</v>
      </c>
      <c r="O2479" s="15" t="s">
        <v>30</v>
      </c>
      <c r="P2479" s="16" t="s">
        <v>8412</v>
      </c>
      <c r="Q2479" s="15" t="s">
        <v>43</v>
      </c>
      <c r="R2479" s="13" t="str">
        <f>HYPERLINK("https://my.pitchbook.com?c=210300-76T","View Company Online")</f>
        <v>View Company Online</v>
      </c>
    </row>
    <row r="2480" spans="1:18" hidden="1" x14ac:dyDescent="0.3">
      <c r="A2480" s="9" t="s">
        <v>8413</v>
      </c>
      <c r="B2480" s="9" t="s">
        <v>8414</v>
      </c>
      <c r="C2480" s="11" t="s">
        <v>28</v>
      </c>
      <c r="D2480" s="9" t="s">
        <v>8415</v>
      </c>
      <c r="E2480" s="11" t="s">
        <v>28</v>
      </c>
      <c r="F2480" s="10" t="s">
        <v>28</v>
      </c>
      <c r="G2480" s="10">
        <v>3.58</v>
      </c>
      <c r="H2480" s="10" t="s">
        <v>28</v>
      </c>
      <c r="I2480" s="11" t="s">
        <v>28</v>
      </c>
      <c r="J2480" s="11" t="s">
        <v>28</v>
      </c>
      <c r="K2480" s="11" t="s">
        <v>28</v>
      </c>
      <c r="L2480" s="11" t="s">
        <v>28</v>
      </c>
      <c r="M2480" s="11" t="s">
        <v>28</v>
      </c>
      <c r="N2480" s="8">
        <v>44904</v>
      </c>
      <c r="O2480" s="9" t="s">
        <v>99</v>
      </c>
      <c r="P2480" s="12" t="s">
        <v>8416</v>
      </c>
      <c r="Q2480" s="9" t="s">
        <v>37</v>
      </c>
      <c r="R2480" s="14" t="str">
        <f>HYPERLINK("https://my.pitchbook.com?c=207545-23T","View Company Online")</f>
        <v>View Company Online</v>
      </c>
    </row>
    <row r="2481" spans="1:18" hidden="1" x14ac:dyDescent="0.3">
      <c r="A2481" s="15" t="s">
        <v>8417</v>
      </c>
      <c r="B2481" s="15" t="s">
        <v>8418</v>
      </c>
      <c r="C2481" s="18" t="s">
        <v>28</v>
      </c>
      <c r="D2481" s="15" t="s">
        <v>8419</v>
      </c>
      <c r="E2481" s="18" t="s">
        <v>28</v>
      </c>
      <c r="F2481" s="19" t="s">
        <v>28</v>
      </c>
      <c r="G2481" s="19">
        <v>0.03</v>
      </c>
      <c r="H2481" s="19" t="s">
        <v>28</v>
      </c>
      <c r="I2481" s="18" t="s">
        <v>28</v>
      </c>
      <c r="J2481" s="18" t="s">
        <v>28</v>
      </c>
      <c r="K2481" s="18" t="s">
        <v>28</v>
      </c>
      <c r="L2481" s="18" t="s">
        <v>28</v>
      </c>
      <c r="M2481" s="18" t="s">
        <v>28</v>
      </c>
      <c r="N2481" s="17">
        <v>44903</v>
      </c>
      <c r="O2481" s="15" t="s">
        <v>8420</v>
      </c>
      <c r="P2481" s="16" t="s">
        <v>28</v>
      </c>
      <c r="Q2481" s="15" t="s">
        <v>419</v>
      </c>
      <c r="R2481" s="13" t="str">
        <f>HYPERLINK("https://my.pitchbook.com?c=214442-56T","View Company Online")</f>
        <v>View Company Online</v>
      </c>
    </row>
    <row r="2482" spans="1:18" hidden="1" x14ac:dyDescent="0.3">
      <c r="A2482" s="9" t="s">
        <v>8421</v>
      </c>
      <c r="B2482" s="9" t="s">
        <v>8422</v>
      </c>
      <c r="C2482" s="11" t="s">
        <v>28</v>
      </c>
      <c r="D2482" s="9" t="s">
        <v>8423</v>
      </c>
      <c r="E2482" s="11" t="s">
        <v>28</v>
      </c>
      <c r="F2482" s="10" t="s">
        <v>28</v>
      </c>
      <c r="G2482" s="10" t="s">
        <v>28</v>
      </c>
      <c r="H2482" s="10">
        <v>32.97</v>
      </c>
      <c r="I2482" s="11" t="s">
        <v>28</v>
      </c>
      <c r="J2482" s="11" t="s">
        <v>28</v>
      </c>
      <c r="K2482" s="11" t="s">
        <v>28</v>
      </c>
      <c r="L2482" s="11" t="s">
        <v>28</v>
      </c>
      <c r="M2482" s="11" t="s">
        <v>28</v>
      </c>
      <c r="N2482" s="8">
        <v>44903</v>
      </c>
      <c r="O2482" s="9" t="s">
        <v>73</v>
      </c>
      <c r="P2482" s="12" t="s">
        <v>8424</v>
      </c>
      <c r="Q2482" s="9" t="s">
        <v>37</v>
      </c>
      <c r="R2482" s="14" t="str">
        <f>HYPERLINK("https://my.pitchbook.com?c=210280-78T","View Company Online")</f>
        <v>View Company Online</v>
      </c>
    </row>
    <row r="2483" spans="1:18" hidden="1" x14ac:dyDescent="0.3">
      <c r="A2483" s="15" t="s">
        <v>8425</v>
      </c>
      <c r="B2483" s="15" t="s">
        <v>8426</v>
      </c>
      <c r="C2483" s="18" t="s">
        <v>28</v>
      </c>
      <c r="D2483" s="15" t="s">
        <v>8427</v>
      </c>
      <c r="E2483" s="18" t="s">
        <v>28</v>
      </c>
      <c r="F2483" s="19" t="s">
        <v>28</v>
      </c>
      <c r="G2483" s="19" t="s">
        <v>28</v>
      </c>
      <c r="H2483" s="19" t="s">
        <v>28</v>
      </c>
      <c r="I2483" s="18" t="s">
        <v>28</v>
      </c>
      <c r="J2483" s="18" t="s">
        <v>28</v>
      </c>
      <c r="K2483" s="18" t="s">
        <v>28</v>
      </c>
      <c r="L2483" s="18" t="s">
        <v>28</v>
      </c>
      <c r="M2483" s="18" t="s">
        <v>28</v>
      </c>
      <c r="N2483" s="17">
        <v>44902</v>
      </c>
      <c r="O2483" s="15" t="s">
        <v>30</v>
      </c>
      <c r="P2483" s="16" t="s">
        <v>8428</v>
      </c>
      <c r="Q2483" s="15" t="s">
        <v>43</v>
      </c>
      <c r="R2483" s="13" t="str">
        <f>HYPERLINK("https://my.pitchbook.com?c=300285-64T","View Company Online")</f>
        <v>View Company Online</v>
      </c>
    </row>
    <row r="2484" spans="1:18" hidden="1" x14ac:dyDescent="0.3">
      <c r="A2484" s="9" t="s">
        <v>8429</v>
      </c>
      <c r="B2484" s="9" t="s">
        <v>8430</v>
      </c>
      <c r="C2484" s="11" t="s">
        <v>28</v>
      </c>
      <c r="D2484" s="9" t="s">
        <v>8431</v>
      </c>
      <c r="E2484" s="11" t="s">
        <v>28</v>
      </c>
      <c r="F2484" s="10" t="s">
        <v>28</v>
      </c>
      <c r="G2484" s="10" t="s">
        <v>28</v>
      </c>
      <c r="H2484" s="10" t="s">
        <v>28</v>
      </c>
      <c r="I2484" s="11" t="s">
        <v>28</v>
      </c>
      <c r="J2484" s="11" t="s">
        <v>28</v>
      </c>
      <c r="K2484" s="11" t="s">
        <v>28</v>
      </c>
      <c r="L2484" s="11" t="s">
        <v>28</v>
      </c>
      <c r="M2484" s="11" t="s">
        <v>28</v>
      </c>
      <c r="N2484" s="8">
        <v>44902</v>
      </c>
      <c r="O2484" s="9" t="s">
        <v>30</v>
      </c>
      <c r="P2484" s="12" t="s">
        <v>8432</v>
      </c>
      <c r="Q2484" s="9" t="s">
        <v>245</v>
      </c>
      <c r="R2484" s="14" t="str">
        <f>HYPERLINK("https://my.pitchbook.com?c=210142-36T","View Company Online")</f>
        <v>View Company Online</v>
      </c>
    </row>
    <row r="2485" spans="1:18" hidden="1" x14ac:dyDescent="0.3">
      <c r="A2485" s="15" t="s">
        <v>8433</v>
      </c>
      <c r="B2485" s="15" t="s">
        <v>8434</v>
      </c>
      <c r="C2485" s="18" t="s">
        <v>28</v>
      </c>
      <c r="D2485" s="15" t="s">
        <v>8435</v>
      </c>
      <c r="E2485" s="18" t="s">
        <v>28</v>
      </c>
      <c r="F2485" s="19" t="s">
        <v>28</v>
      </c>
      <c r="G2485" s="19" t="s">
        <v>28</v>
      </c>
      <c r="H2485" s="19" t="s">
        <v>28</v>
      </c>
      <c r="I2485" s="18" t="s">
        <v>28</v>
      </c>
      <c r="J2485" s="18" t="s">
        <v>28</v>
      </c>
      <c r="K2485" s="18" t="s">
        <v>28</v>
      </c>
      <c r="L2485" s="18" t="s">
        <v>28</v>
      </c>
      <c r="M2485" s="18" t="s">
        <v>28</v>
      </c>
      <c r="N2485" s="17">
        <v>44902</v>
      </c>
      <c r="O2485" s="15" t="s">
        <v>30</v>
      </c>
      <c r="P2485" s="16" t="s">
        <v>8436</v>
      </c>
      <c r="Q2485" s="15" t="s">
        <v>85</v>
      </c>
      <c r="R2485" s="13" t="str">
        <f>HYPERLINK("https://my.pitchbook.com?c=210014-38T","View Company Online")</f>
        <v>View Company Online</v>
      </c>
    </row>
    <row r="2486" spans="1:18" hidden="1" x14ac:dyDescent="0.3">
      <c r="A2486" s="9" t="s">
        <v>8437</v>
      </c>
      <c r="B2486" s="9" t="s">
        <v>8438</v>
      </c>
      <c r="C2486" s="11" t="s">
        <v>28</v>
      </c>
      <c r="D2486" s="9" t="s">
        <v>8439</v>
      </c>
      <c r="E2486" s="11" t="s">
        <v>28</v>
      </c>
      <c r="F2486" s="10" t="s">
        <v>28</v>
      </c>
      <c r="G2486" s="10" t="s">
        <v>28</v>
      </c>
      <c r="H2486" s="10" t="s">
        <v>28</v>
      </c>
      <c r="I2486" s="11" t="s">
        <v>28</v>
      </c>
      <c r="J2486" s="11" t="s">
        <v>28</v>
      </c>
      <c r="K2486" s="11" t="s">
        <v>28</v>
      </c>
      <c r="L2486" s="11" t="s">
        <v>28</v>
      </c>
      <c r="M2486" s="11" t="s">
        <v>28</v>
      </c>
      <c r="N2486" s="8">
        <v>44902</v>
      </c>
      <c r="O2486" s="9" t="s">
        <v>41</v>
      </c>
      <c r="P2486" s="12" t="s">
        <v>1237</v>
      </c>
      <c r="Q2486" s="9" t="s">
        <v>75</v>
      </c>
      <c r="R2486" s="14" t="str">
        <f>HYPERLINK("https://my.pitchbook.com?c=210159-19T","View Company Online")</f>
        <v>View Company Online</v>
      </c>
    </row>
    <row r="2487" spans="1:18" hidden="1" x14ac:dyDescent="0.3">
      <c r="A2487" s="15" t="s">
        <v>8440</v>
      </c>
      <c r="B2487" s="15" t="s">
        <v>6913</v>
      </c>
      <c r="C2487" s="18" t="s">
        <v>28</v>
      </c>
      <c r="D2487" s="15" t="s">
        <v>8441</v>
      </c>
      <c r="E2487" s="18" t="s">
        <v>28</v>
      </c>
      <c r="F2487" s="19" t="s">
        <v>28</v>
      </c>
      <c r="G2487" s="19">
        <v>16.5</v>
      </c>
      <c r="H2487" s="19" t="s">
        <v>28</v>
      </c>
      <c r="I2487" s="18" t="s">
        <v>28</v>
      </c>
      <c r="J2487" s="18" t="s">
        <v>28</v>
      </c>
      <c r="K2487" s="18" t="s">
        <v>28</v>
      </c>
      <c r="L2487" s="18" t="s">
        <v>28</v>
      </c>
      <c r="M2487" s="18" t="s">
        <v>28</v>
      </c>
      <c r="N2487" s="17">
        <v>44902</v>
      </c>
      <c r="O2487" s="15" t="s">
        <v>79</v>
      </c>
      <c r="P2487" s="16" t="s">
        <v>8442</v>
      </c>
      <c r="Q2487" s="15" t="s">
        <v>75</v>
      </c>
      <c r="R2487" s="13" t="str">
        <f>HYPERLINK("https://my.pitchbook.com?c=207562-96T","View Company Online")</f>
        <v>View Company Online</v>
      </c>
    </row>
    <row r="2488" spans="1:18" hidden="1" x14ac:dyDescent="0.3">
      <c r="A2488" s="9" t="s">
        <v>8443</v>
      </c>
      <c r="B2488" s="9" t="s">
        <v>8444</v>
      </c>
      <c r="C2488" s="11" t="s">
        <v>28</v>
      </c>
      <c r="D2488" s="9" t="s">
        <v>8445</v>
      </c>
      <c r="E2488" s="11" t="s">
        <v>28</v>
      </c>
      <c r="F2488" s="10" t="s">
        <v>28</v>
      </c>
      <c r="G2488" s="10" t="s">
        <v>28</v>
      </c>
      <c r="H2488" s="10" t="s">
        <v>28</v>
      </c>
      <c r="I2488" s="11" t="s">
        <v>28</v>
      </c>
      <c r="J2488" s="11" t="s">
        <v>28</v>
      </c>
      <c r="K2488" s="11" t="s">
        <v>28</v>
      </c>
      <c r="L2488" s="11" t="s">
        <v>28</v>
      </c>
      <c r="M2488" s="11" t="s">
        <v>28</v>
      </c>
      <c r="N2488" s="8">
        <v>44901</v>
      </c>
      <c r="O2488" s="9" t="s">
        <v>41</v>
      </c>
      <c r="P2488" s="12" t="s">
        <v>8446</v>
      </c>
      <c r="Q2488" s="9" t="s">
        <v>449</v>
      </c>
      <c r="R2488" s="14" t="str">
        <f>HYPERLINK("https://my.pitchbook.com?c=210087-91T","View Company Online")</f>
        <v>View Company Online</v>
      </c>
    </row>
    <row r="2489" spans="1:18" hidden="1" x14ac:dyDescent="0.3">
      <c r="A2489" s="15" t="s">
        <v>8447</v>
      </c>
      <c r="B2489" s="15" t="s">
        <v>8448</v>
      </c>
      <c r="C2489" s="18" t="s">
        <v>28</v>
      </c>
      <c r="D2489" s="15" t="s">
        <v>8449</v>
      </c>
      <c r="E2489" s="18" t="s">
        <v>28</v>
      </c>
      <c r="F2489" s="19" t="s">
        <v>28</v>
      </c>
      <c r="G2489" s="19" t="s">
        <v>28</v>
      </c>
      <c r="H2489" s="19" t="s">
        <v>28</v>
      </c>
      <c r="I2489" s="18" t="s">
        <v>28</v>
      </c>
      <c r="J2489" s="18" t="s">
        <v>28</v>
      </c>
      <c r="K2489" s="18" t="s">
        <v>28</v>
      </c>
      <c r="L2489" s="18" t="s">
        <v>28</v>
      </c>
      <c r="M2489" s="18" t="s">
        <v>28</v>
      </c>
      <c r="N2489" s="17">
        <v>44901</v>
      </c>
      <c r="O2489" s="15" t="s">
        <v>30</v>
      </c>
      <c r="P2489" s="16" t="s">
        <v>8450</v>
      </c>
      <c r="Q2489" s="15" t="s">
        <v>136</v>
      </c>
      <c r="R2489" s="13" t="str">
        <f>HYPERLINK("https://my.pitchbook.com?c=210049-12T","View Company Online")</f>
        <v>View Company Online</v>
      </c>
    </row>
    <row r="2490" spans="1:18" hidden="1" x14ac:dyDescent="0.3">
      <c r="A2490" s="9" t="s">
        <v>8451</v>
      </c>
      <c r="B2490" s="9" t="s">
        <v>8452</v>
      </c>
      <c r="C2490" s="11" t="s">
        <v>28</v>
      </c>
      <c r="D2490" s="9" t="s">
        <v>8453</v>
      </c>
      <c r="E2490" s="11" t="s">
        <v>28</v>
      </c>
      <c r="F2490" s="10" t="s">
        <v>28</v>
      </c>
      <c r="G2490" s="10" t="s">
        <v>28</v>
      </c>
      <c r="H2490" s="10" t="s">
        <v>28</v>
      </c>
      <c r="I2490" s="11" t="s">
        <v>28</v>
      </c>
      <c r="J2490" s="11" t="s">
        <v>28</v>
      </c>
      <c r="K2490" s="11" t="s">
        <v>28</v>
      </c>
      <c r="L2490" s="11" t="s">
        <v>28</v>
      </c>
      <c r="M2490" s="11" t="s">
        <v>28</v>
      </c>
      <c r="N2490" s="8">
        <v>44901</v>
      </c>
      <c r="O2490" s="9" t="s">
        <v>30</v>
      </c>
      <c r="P2490" s="12" t="s">
        <v>8454</v>
      </c>
      <c r="Q2490" s="9" t="s">
        <v>692</v>
      </c>
      <c r="R2490" s="14" t="str">
        <f>HYPERLINK("https://my.pitchbook.com?c=210012-04T","View Company Online")</f>
        <v>View Company Online</v>
      </c>
    </row>
    <row r="2491" spans="1:18" hidden="1" x14ac:dyDescent="0.3">
      <c r="A2491" s="15" t="s">
        <v>8455</v>
      </c>
      <c r="B2491" s="15" t="s">
        <v>8456</v>
      </c>
      <c r="C2491" s="18" t="s">
        <v>28</v>
      </c>
      <c r="D2491" s="15" t="s">
        <v>8457</v>
      </c>
      <c r="E2491" s="18" t="s">
        <v>28</v>
      </c>
      <c r="F2491" s="19" t="s">
        <v>28</v>
      </c>
      <c r="G2491" s="19">
        <v>13</v>
      </c>
      <c r="H2491" s="19" t="s">
        <v>28</v>
      </c>
      <c r="I2491" s="18" t="s">
        <v>28</v>
      </c>
      <c r="J2491" s="18" t="s">
        <v>28</v>
      </c>
      <c r="K2491" s="18" t="s">
        <v>28</v>
      </c>
      <c r="L2491" s="18" t="s">
        <v>28</v>
      </c>
      <c r="M2491" s="18" t="s">
        <v>28</v>
      </c>
      <c r="N2491" s="17">
        <v>44901</v>
      </c>
      <c r="O2491" s="15" t="s">
        <v>79</v>
      </c>
      <c r="P2491" s="16" t="s">
        <v>8458</v>
      </c>
      <c r="Q2491" s="15" t="s">
        <v>414</v>
      </c>
      <c r="R2491" s="13" t="str">
        <f>HYPERLINK("https://my.pitchbook.com?c=205065-10T","View Company Online")</f>
        <v>View Company Online</v>
      </c>
    </row>
    <row r="2492" spans="1:18" hidden="1" x14ac:dyDescent="0.3">
      <c r="A2492" s="9" t="s">
        <v>8459</v>
      </c>
      <c r="B2492" s="9" t="s">
        <v>8460</v>
      </c>
      <c r="C2492" s="11" t="s">
        <v>28</v>
      </c>
      <c r="D2492" s="9" t="s">
        <v>8461</v>
      </c>
      <c r="E2492" s="11" t="s">
        <v>28</v>
      </c>
      <c r="F2492" s="10" t="s">
        <v>28</v>
      </c>
      <c r="G2492" s="10">
        <v>20.79</v>
      </c>
      <c r="H2492" s="10">
        <v>87.1</v>
      </c>
      <c r="I2492" s="11" t="s">
        <v>28</v>
      </c>
      <c r="J2492" s="11" t="s">
        <v>28</v>
      </c>
      <c r="K2492" s="11">
        <v>7.74</v>
      </c>
      <c r="L2492" s="11">
        <v>11.25</v>
      </c>
      <c r="M2492" s="11" t="s">
        <v>28</v>
      </c>
      <c r="N2492" s="8">
        <v>44900</v>
      </c>
      <c r="O2492" s="9" t="s">
        <v>79</v>
      </c>
      <c r="P2492" s="12" t="s">
        <v>8462</v>
      </c>
      <c r="Q2492" s="9" t="s">
        <v>75</v>
      </c>
      <c r="R2492" s="14" t="str">
        <f>HYPERLINK("https://my.pitchbook.com?c=209961-46T","View Company Online")</f>
        <v>View Company Online</v>
      </c>
    </row>
    <row r="2493" spans="1:18" hidden="1" x14ac:dyDescent="0.3">
      <c r="A2493" s="15" t="s">
        <v>8463</v>
      </c>
      <c r="B2493" s="15" t="s">
        <v>3253</v>
      </c>
      <c r="C2493" s="18" t="s">
        <v>28</v>
      </c>
      <c r="D2493" s="15" t="s">
        <v>3254</v>
      </c>
      <c r="E2493" s="18" t="s">
        <v>28</v>
      </c>
      <c r="F2493" s="19" t="s">
        <v>28</v>
      </c>
      <c r="G2493" s="19">
        <v>4</v>
      </c>
      <c r="H2493" s="19">
        <v>15</v>
      </c>
      <c r="I2493" s="18" t="s">
        <v>28</v>
      </c>
      <c r="J2493" s="18" t="s">
        <v>28</v>
      </c>
      <c r="K2493" s="18" t="s">
        <v>28</v>
      </c>
      <c r="L2493" s="18" t="s">
        <v>28</v>
      </c>
      <c r="M2493" s="18" t="s">
        <v>28</v>
      </c>
      <c r="N2493" s="17">
        <v>44900</v>
      </c>
      <c r="O2493" s="15" t="s">
        <v>99</v>
      </c>
      <c r="P2493" s="16" t="s">
        <v>8464</v>
      </c>
      <c r="Q2493" s="15" t="s">
        <v>37</v>
      </c>
      <c r="R2493" s="13" t="str">
        <f>HYPERLINK("https://my.pitchbook.com?c=224126-02T","View Company Online")</f>
        <v>View Company Online</v>
      </c>
    </row>
    <row r="2494" spans="1:18" hidden="1" x14ac:dyDescent="0.3">
      <c r="A2494" s="9" t="s">
        <v>8465</v>
      </c>
      <c r="B2494" s="9" t="s">
        <v>8069</v>
      </c>
      <c r="C2494" s="11" t="s">
        <v>28</v>
      </c>
      <c r="D2494" s="9" t="s">
        <v>8070</v>
      </c>
      <c r="E2494" s="11" t="s">
        <v>28</v>
      </c>
      <c r="F2494" s="10" t="s">
        <v>28</v>
      </c>
      <c r="G2494" s="10" t="s">
        <v>28</v>
      </c>
      <c r="H2494" s="10" t="s">
        <v>28</v>
      </c>
      <c r="I2494" s="11" t="s">
        <v>28</v>
      </c>
      <c r="J2494" s="11" t="s">
        <v>28</v>
      </c>
      <c r="K2494" s="11" t="s">
        <v>28</v>
      </c>
      <c r="L2494" s="11" t="s">
        <v>28</v>
      </c>
      <c r="M2494" s="11" t="s">
        <v>28</v>
      </c>
      <c r="N2494" s="8">
        <v>44900</v>
      </c>
      <c r="O2494" s="9" t="s">
        <v>52</v>
      </c>
      <c r="P2494" s="12" t="s">
        <v>8466</v>
      </c>
      <c r="Q2494" s="9" t="s">
        <v>362</v>
      </c>
      <c r="R2494" s="14" t="str">
        <f>HYPERLINK("https://my.pitchbook.com?c=264045-97T","View Company Online")</f>
        <v>View Company Online</v>
      </c>
    </row>
    <row r="2495" spans="1:18" hidden="1" x14ac:dyDescent="0.3">
      <c r="A2495" s="15" t="s">
        <v>8467</v>
      </c>
      <c r="B2495" s="15" t="s">
        <v>8468</v>
      </c>
      <c r="C2495" s="18" t="s">
        <v>28</v>
      </c>
      <c r="D2495" s="15" t="s">
        <v>8469</v>
      </c>
      <c r="E2495" s="18">
        <v>33.08</v>
      </c>
      <c r="F2495" s="19" t="s">
        <v>28</v>
      </c>
      <c r="G2495" s="19">
        <v>61.7</v>
      </c>
      <c r="H2495" s="19" t="s">
        <v>28</v>
      </c>
      <c r="I2495" s="18">
        <v>54.56</v>
      </c>
      <c r="J2495" s="18" t="s">
        <v>28</v>
      </c>
      <c r="K2495" s="18">
        <v>200.56</v>
      </c>
      <c r="L2495" s="18" t="s">
        <v>28</v>
      </c>
      <c r="M2495" s="18">
        <v>21.17</v>
      </c>
      <c r="N2495" s="17">
        <v>44900</v>
      </c>
      <c r="O2495" s="15" t="s">
        <v>159</v>
      </c>
      <c r="P2495" s="16" t="s">
        <v>1612</v>
      </c>
      <c r="Q2495" s="15" t="s">
        <v>43</v>
      </c>
      <c r="R2495" s="13" t="str">
        <f>HYPERLINK("https://my.pitchbook.com?c=242875-90T","View Company Online")</f>
        <v>View Company Online</v>
      </c>
    </row>
    <row r="2496" spans="1:18" hidden="1" x14ac:dyDescent="0.3">
      <c r="A2496" s="9" t="s">
        <v>8470</v>
      </c>
      <c r="B2496" s="9" t="s">
        <v>8471</v>
      </c>
      <c r="C2496" s="11" t="s">
        <v>28</v>
      </c>
      <c r="D2496" s="9" t="s">
        <v>8472</v>
      </c>
      <c r="E2496" s="11" t="s">
        <v>28</v>
      </c>
      <c r="F2496" s="10" t="s">
        <v>28</v>
      </c>
      <c r="G2496" s="10">
        <v>3.9</v>
      </c>
      <c r="H2496" s="10" t="s">
        <v>28</v>
      </c>
      <c r="I2496" s="11" t="s">
        <v>28</v>
      </c>
      <c r="J2496" s="11" t="s">
        <v>28</v>
      </c>
      <c r="K2496" s="11" t="s">
        <v>28</v>
      </c>
      <c r="L2496" s="11" t="s">
        <v>28</v>
      </c>
      <c r="M2496" s="11" t="s">
        <v>28</v>
      </c>
      <c r="N2496" s="8">
        <v>44897</v>
      </c>
      <c r="O2496" s="9" t="s">
        <v>99</v>
      </c>
      <c r="P2496" s="12" t="s">
        <v>8473</v>
      </c>
      <c r="Q2496" s="9" t="s">
        <v>119</v>
      </c>
      <c r="R2496" s="14" t="str">
        <f>HYPERLINK("https://my.pitchbook.com?c=192571-75T","View Company Online")</f>
        <v>View Company Online</v>
      </c>
    </row>
    <row r="2497" spans="1:18" hidden="1" x14ac:dyDescent="0.3">
      <c r="A2497" s="15" t="s">
        <v>8474</v>
      </c>
      <c r="B2497" s="15" t="s">
        <v>8475</v>
      </c>
      <c r="C2497" s="18" t="s">
        <v>28</v>
      </c>
      <c r="D2497" s="15" t="s">
        <v>8476</v>
      </c>
      <c r="E2497" s="18" t="s">
        <v>28</v>
      </c>
      <c r="F2497" s="19" t="s">
        <v>28</v>
      </c>
      <c r="G2497" s="19">
        <v>1.71</v>
      </c>
      <c r="H2497" s="19" t="s">
        <v>28</v>
      </c>
      <c r="I2497" s="18" t="s">
        <v>28</v>
      </c>
      <c r="J2497" s="18" t="s">
        <v>28</v>
      </c>
      <c r="K2497" s="18" t="s">
        <v>28</v>
      </c>
      <c r="L2497" s="18" t="s">
        <v>28</v>
      </c>
      <c r="M2497" s="18" t="s">
        <v>28</v>
      </c>
      <c r="N2497" s="17">
        <v>44897</v>
      </c>
      <c r="O2497" s="15" t="s">
        <v>73</v>
      </c>
      <c r="P2497" s="16" t="s">
        <v>8477</v>
      </c>
      <c r="Q2497" s="15" t="s">
        <v>37</v>
      </c>
      <c r="R2497" s="13" t="str">
        <f>HYPERLINK("https://my.pitchbook.com?c=209725-66T","View Company Online")</f>
        <v>View Company Online</v>
      </c>
    </row>
    <row r="2498" spans="1:18" hidden="1" x14ac:dyDescent="0.3">
      <c r="A2498" s="9" t="s">
        <v>8478</v>
      </c>
      <c r="B2498" s="9" t="s">
        <v>8479</v>
      </c>
      <c r="C2498" s="11" t="s">
        <v>28</v>
      </c>
      <c r="D2498" s="9" t="s">
        <v>8480</v>
      </c>
      <c r="E2498" s="11" t="s">
        <v>28</v>
      </c>
      <c r="F2498" s="10" t="s">
        <v>28</v>
      </c>
      <c r="G2498" s="10">
        <v>15.36</v>
      </c>
      <c r="H2498" s="10" t="s">
        <v>28</v>
      </c>
      <c r="I2498" s="11" t="s">
        <v>28</v>
      </c>
      <c r="J2498" s="11" t="s">
        <v>28</v>
      </c>
      <c r="K2498" s="11" t="s">
        <v>28</v>
      </c>
      <c r="L2498" s="11" t="s">
        <v>28</v>
      </c>
      <c r="M2498" s="11" t="s">
        <v>28</v>
      </c>
      <c r="N2498" s="8">
        <v>44897</v>
      </c>
      <c r="O2498" s="9" t="s">
        <v>173</v>
      </c>
      <c r="P2498" s="12" t="s">
        <v>28</v>
      </c>
      <c r="Q2498" s="9" t="s">
        <v>119</v>
      </c>
      <c r="R2498" s="14" t="str">
        <f>HYPERLINK("https://my.pitchbook.com?c=213541-48T","View Company Online")</f>
        <v>View Company Online</v>
      </c>
    </row>
    <row r="2499" spans="1:18" hidden="1" x14ac:dyDescent="0.3">
      <c r="A2499" s="15" t="s">
        <v>8481</v>
      </c>
      <c r="B2499" s="15" t="s">
        <v>8482</v>
      </c>
      <c r="C2499" s="18" t="s">
        <v>28</v>
      </c>
      <c r="D2499" s="15" t="s">
        <v>8483</v>
      </c>
      <c r="E2499" s="18" t="s">
        <v>28</v>
      </c>
      <c r="F2499" s="19" t="s">
        <v>28</v>
      </c>
      <c r="G2499" s="19" t="s">
        <v>28</v>
      </c>
      <c r="H2499" s="19" t="s">
        <v>28</v>
      </c>
      <c r="I2499" s="18" t="s">
        <v>28</v>
      </c>
      <c r="J2499" s="18" t="s">
        <v>28</v>
      </c>
      <c r="K2499" s="18" t="s">
        <v>28</v>
      </c>
      <c r="L2499" s="18" t="s">
        <v>28</v>
      </c>
      <c r="M2499" s="18" t="s">
        <v>28</v>
      </c>
      <c r="N2499" s="17">
        <v>44897</v>
      </c>
      <c r="O2499" s="15" t="s">
        <v>30</v>
      </c>
      <c r="P2499" s="16" t="s">
        <v>8484</v>
      </c>
      <c r="Q2499" s="15" t="s">
        <v>37</v>
      </c>
      <c r="R2499" s="13" t="str">
        <f>HYPERLINK("https://my.pitchbook.com?c=209947-78T","View Company Online")</f>
        <v>View Company Online</v>
      </c>
    </row>
    <row r="2500" spans="1:18" hidden="1" x14ac:dyDescent="0.3">
      <c r="A2500" s="9" t="s">
        <v>8485</v>
      </c>
      <c r="B2500" s="9" t="s">
        <v>8486</v>
      </c>
      <c r="C2500" s="11" t="s">
        <v>28</v>
      </c>
      <c r="D2500" s="9" t="s">
        <v>8487</v>
      </c>
      <c r="E2500" s="11" t="s">
        <v>28</v>
      </c>
      <c r="F2500" s="10" t="s">
        <v>28</v>
      </c>
      <c r="G2500" s="10" t="s">
        <v>28</v>
      </c>
      <c r="H2500" s="10" t="s">
        <v>28</v>
      </c>
      <c r="I2500" s="11" t="s">
        <v>28</v>
      </c>
      <c r="J2500" s="11" t="s">
        <v>28</v>
      </c>
      <c r="K2500" s="11" t="s">
        <v>28</v>
      </c>
      <c r="L2500" s="11" t="s">
        <v>28</v>
      </c>
      <c r="M2500" s="11" t="s">
        <v>28</v>
      </c>
      <c r="N2500" s="8">
        <v>44896</v>
      </c>
      <c r="O2500" s="9" t="s">
        <v>30</v>
      </c>
      <c r="P2500" s="12" t="s">
        <v>28</v>
      </c>
      <c r="Q2500" s="9" t="s">
        <v>43</v>
      </c>
      <c r="R2500" s="14" t="str">
        <f>HYPERLINK("https://my.pitchbook.com?c=225534-70T","View Company Online")</f>
        <v>View Company Online</v>
      </c>
    </row>
    <row r="2501" spans="1:18" hidden="1" x14ac:dyDescent="0.3">
      <c r="A2501" s="15" t="s">
        <v>8488</v>
      </c>
      <c r="B2501" s="15" t="s">
        <v>8489</v>
      </c>
      <c r="C2501" s="18" t="s">
        <v>28</v>
      </c>
      <c r="D2501" s="15" t="s">
        <v>8490</v>
      </c>
      <c r="E2501" s="18" t="s">
        <v>28</v>
      </c>
      <c r="F2501" s="19" t="s">
        <v>28</v>
      </c>
      <c r="G2501" s="19">
        <v>6.81</v>
      </c>
      <c r="H2501" s="19">
        <v>6.81</v>
      </c>
      <c r="I2501" s="18" t="s">
        <v>28</v>
      </c>
      <c r="J2501" s="18" t="s">
        <v>28</v>
      </c>
      <c r="K2501" s="18" t="s">
        <v>28</v>
      </c>
      <c r="L2501" s="18" t="s">
        <v>28</v>
      </c>
      <c r="M2501" s="18" t="s">
        <v>28</v>
      </c>
      <c r="N2501" s="17">
        <v>44896</v>
      </c>
      <c r="O2501" s="15" t="s">
        <v>30</v>
      </c>
      <c r="P2501" s="16" t="s">
        <v>8491</v>
      </c>
      <c r="Q2501" s="15" t="s">
        <v>188</v>
      </c>
      <c r="R2501" s="13" t="str">
        <f>HYPERLINK("https://my.pitchbook.com?c=209957-23T","View Company Online")</f>
        <v>View Company Online</v>
      </c>
    </row>
    <row r="2502" spans="1:18" hidden="1" x14ac:dyDescent="0.3">
      <c r="A2502" s="9" t="s">
        <v>8492</v>
      </c>
      <c r="B2502" s="9" t="s">
        <v>8493</v>
      </c>
      <c r="C2502" s="11" t="s">
        <v>28</v>
      </c>
      <c r="D2502" s="9" t="s">
        <v>8494</v>
      </c>
      <c r="E2502" s="11" t="s">
        <v>28</v>
      </c>
      <c r="F2502" s="10" t="s">
        <v>28</v>
      </c>
      <c r="G2502" s="10" t="s">
        <v>28</v>
      </c>
      <c r="H2502" s="10" t="s">
        <v>28</v>
      </c>
      <c r="I2502" s="11" t="s">
        <v>28</v>
      </c>
      <c r="J2502" s="11" t="s">
        <v>28</v>
      </c>
      <c r="K2502" s="11" t="s">
        <v>28</v>
      </c>
      <c r="L2502" s="11" t="s">
        <v>28</v>
      </c>
      <c r="M2502" s="11" t="s">
        <v>28</v>
      </c>
      <c r="N2502" s="8">
        <v>44896</v>
      </c>
      <c r="O2502" s="9" t="s">
        <v>52</v>
      </c>
      <c r="P2502" s="12" t="s">
        <v>8495</v>
      </c>
      <c r="Q2502" s="9" t="s">
        <v>75</v>
      </c>
      <c r="R2502" s="14" t="str">
        <f>HYPERLINK("https://my.pitchbook.com?c=284396-68T","View Company Online")</f>
        <v>View Company Online</v>
      </c>
    </row>
    <row r="2503" spans="1:18" hidden="1" x14ac:dyDescent="0.3">
      <c r="A2503" s="15" t="s">
        <v>8496</v>
      </c>
      <c r="B2503" s="15" t="s">
        <v>1420</v>
      </c>
      <c r="C2503" s="18" t="s">
        <v>28</v>
      </c>
      <c r="D2503" s="15" t="s">
        <v>8497</v>
      </c>
      <c r="E2503" s="18" t="s">
        <v>28</v>
      </c>
      <c r="F2503" s="19" t="s">
        <v>28</v>
      </c>
      <c r="G2503" s="19" t="s">
        <v>28</v>
      </c>
      <c r="H2503" s="19" t="s">
        <v>28</v>
      </c>
      <c r="I2503" s="18" t="s">
        <v>28</v>
      </c>
      <c r="J2503" s="18" t="s">
        <v>28</v>
      </c>
      <c r="K2503" s="18" t="s">
        <v>28</v>
      </c>
      <c r="L2503" s="18" t="s">
        <v>28</v>
      </c>
      <c r="M2503" s="18" t="s">
        <v>28</v>
      </c>
      <c r="N2503" s="17">
        <v>44896</v>
      </c>
      <c r="O2503" s="15" t="s">
        <v>30</v>
      </c>
      <c r="P2503" s="16" t="s">
        <v>8498</v>
      </c>
      <c r="Q2503" s="15" t="s">
        <v>240</v>
      </c>
      <c r="R2503" s="13" t="str">
        <f>HYPERLINK("https://my.pitchbook.com?c=209676-43T","View Company Online")</f>
        <v>View Company Online</v>
      </c>
    </row>
    <row r="2504" spans="1:18" hidden="1" x14ac:dyDescent="0.3">
      <c r="A2504" s="9" t="s">
        <v>8499</v>
      </c>
      <c r="B2504" s="9" t="s">
        <v>8500</v>
      </c>
      <c r="C2504" s="11" t="s">
        <v>28</v>
      </c>
      <c r="D2504" s="9" t="s">
        <v>8501</v>
      </c>
      <c r="E2504" s="11" t="s">
        <v>28</v>
      </c>
      <c r="F2504" s="10" t="s">
        <v>28</v>
      </c>
      <c r="G2504" s="10" t="s">
        <v>28</v>
      </c>
      <c r="H2504" s="10" t="s">
        <v>28</v>
      </c>
      <c r="I2504" s="11" t="s">
        <v>28</v>
      </c>
      <c r="J2504" s="11" t="s">
        <v>28</v>
      </c>
      <c r="K2504" s="11" t="s">
        <v>28</v>
      </c>
      <c r="L2504" s="11" t="s">
        <v>28</v>
      </c>
      <c r="M2504" s="11" t="s">
        <v>28</v>
      </c>
      <c r="N2504" s="8">
        <v>44896</v>
      </c>
      <c r="O2504" s="9" t="s">
        <v>73</v>
      </c>
      <c r="P2504" s="12" t="s">
        <v>8502</v>
      </c>
      <c r="Q2504" s="9" t="s">
        <v>114</v>
      </c>
      <c r="R2504" s="14" t="str">
        <f>HYPERLINK("https://my.pitchbook.com?c=210441-79T","View Company Online")</f>
        <v>View Company Online</v>
      </c>
    </row>
    <row r="2505" spans="1:18" hidden="1" x14ac:dyDescent="0.3">
      <c r="A2505" s="15" t="s">
        <v>8503</v>
      </c>
      <c r="B2505" s="15" t="s">
        <v>8504</v>
      </c>
      <c r="C2505" s="18" t="s">
        <v>28</v>
      </c>
      <c r="D2505" s="15" t="s">
        <v>8505</v>
      </c>
      <c r="E2505" s="18" t="s">
        <v>28</v>
      </c>
      <c r="F2505" s="19" t="s">
        <v>28</v>
      </c>
      <c r="G2505" s="19" t="s">
        <v>28</v>
      </c>
      <c r="H2505" s="19" t="s">
        <v>28</v>
      </c>
      <c r="I2505" s="18" t="s">
        <v>28</v>
      </c>
      <c r="J2505" s="18" t="s">
        <v>28</v>
      </c>
      <c r="K2505" s="18" t="s">
        <v>28</v>
      </c>
      <c r="L2505" s="18" t="s">
        <v>28</v>
      </c>
      <c r="M2505" s="18" t="s">
        <v>28</v>
      </c>
      <c r="N2505" s="17">
        <v>44896</v>
      </c>
      <c r="O2505" s="15" t="s">
        <v>79</v>
      </c>
      <c r="P2505" s="16" t="s">
        <v>123</v>
      </c>
      <c r="Q2505" s="15" t="s">
        <v>37</v>
      </c>
      <c r="R2505" s="13" t="str">
        <f>HYPERLINK("https://my.pitchbook.com?c=211133-80T","View Company Online")</f>
        <v>View Company Online</v>
      </c>
    </row>
    <row r="2506" spans="1:18" hidden="1" x14ac:dyDescent="0.3">
      <c r="A2506" s="9" t="s">
        <v>8506</v>
      </c>
      <c r="B2506" s="9" t="s">
        <v>8507</v>
      </c>
      <c r="C2506" s="11" t="s">
        <v>28</v>
      </c>
      <c r="D2506" s="9" t="s">
        <v>8508</v>
      </c>
      <c r="E2506" s="11" t="s">
        <v>28</v>
      </c>
      <c r="F2506" s="10">
        <v>11.17</v>
      </c>
      <c r="G2506" s="10">
        <v>11.17</v>
      </c>
      <c r="H2506" s="10">
        <v>11.17</v>
      </c>
      <c r="I2506" s="11" t="s">
        <v>28</v>
      </c>
      <c r="J2506" s="11" t="s">
        <v>28</v>
      </c>
      <c r="K2506" s="11" t="s">
        <v>28</v>
      </c>
      <c r="L2506" s="11" t="s">
        <v>28</v>
      </c>
      <c r="M2506" s="11" t="s">
        <v>28</v>
      </c>
      <c r="N2506" s="8">
        <v>44896</v>
      </c>
      <c r="O2506" s="9" t="s">
        <v>30</v>
      </c>
      <c r="P2506" s="12" t="s">
        <v>28</v>
      </c>
      <c r="Q2506" s="9" t="s">
        <v>85</v>
      </c>
      <c r="R2506" s="14" t="str">
        <f>HYPERLINK("https://my.pitchbook.com?c=216048-61T","View Company Online")</f>
        <v>View Company Online</v>
      </c>
    </row>
    <row r="2507" spans="1:18" hidden="1" x14ac:dyDescent="0.3">
      <c r="A2507" s="15" t="s">
        <v>8509</v>
      </c>
      <c r="B2507" s="15" t="s">
        <v>8510</v>
      </c>
      <c r="C2507" s="18" t="s">
        <v>28</v>
      </c>
      <c r="D2507" s="15" t="s">
        <v>8511</v>
      </c>
      <c r="E2507" s="18" t="s">
        <v>28</v>
      </c>
      <c r="F2507" s="19" t="s">
        <v>28</v>
      </c>
      <c r="G2507" s="19" t="s">
        <v>28</v>
      </c>
      <c r="H2507" s="19" t="s">
        <v>28</v>
      </c>
      <c r="I2507" s="18" t="s">
        <v>28</v>
      </c>
      <c r="J2507" s="18" t="s">
        <v>28</v>
      </c>
      <c r="K2507" s="18" t="s">
        <v>28</v>
      </c>
      <c r="L2507" s="18" t="s">
        <v>28</v>
      </c>
      <c r="M2507" s="18" t="s">
        <v>28</v>
      </c>
      <c r="N2507" s="17">
        <v>44896</v>
      </c>
      <c r="O2507" s="15" t="s">
        <v>58</v>
      </c>
      <c r="P2507" s="16" t="s">
        <v>3467</v>
      </c>
      <c r="Q2507" s="15" t="s">
        <v>692</v>
      </c>
      <c r="R2507" s="13" t="str">
        <f>HYPERLINK("https://my.pitchbook.com?c=276587-56T","View Company Online")</f>
        <v>View Company Online</v>
      </c>
    </row>
    <row r="2508" spans="1:18" hidden="1" x14ac:dyDescent="0.3">
      <c r="A2508" s="9" t="s">
        <v>8512</v>
      </c>
      <c r="B2508" s="9" t="s">
        <v>8513</v>
      </c>
      <c r="C2508" s="11" t="s">
        <v>28</v>
      </c>
      <c r="D2508" s="9" t="s">
        <v>8514</v>
      </c>
      <c r="E2508" s="11" t="s">
        <v>28</v>
      </c>
      <c r="F2508" s="10" t="s">
        <v>28</v>
      </c>
      <c r="G2508" s="10" t="s">
        <v>28</v>
      </c>
      <c r="H2508" s="10" t="s">
        <v>28</v>
      </c>
      <c r="I2508" s="11" t="s">
        <v>28</v>
      </c>
      <c r="J2508" s="11" t="s">
        <v>28</v>
      </c>
      <c r="K2508" s="11" t="s">
        <v>28</v>
      </c>
      <c r="L2508" s="11" t="s">
        <v>28</v>
      </c>
      <c r="M2508" s="11" t="s">
        <v>28</v>
      </c>
      <c r="N2508" s="8">
        <v>44896</v>
      </c>
      <c r="O2508" s="9" t="s">
        <v>30</v>
      </c>
      <c r="P2508" s="12" t="s">
        <v>8515</v>
      </c>
      <c r="Q2508" s="9" t="s">
        <v>75</v>
      </c>
      <c r="R2508" s="14" t="str">
        <f>HYPERLINK("https://my.pitchbook.com?c=215138-53T","View Company Online")</f>
        <v>View Company Online</v>
      </c>
    </row>
    <row r="2509" spans="1:18" hidden="1" x14ac:dyDescent="0.3">
      <c r="A2509" s="15" t="s">
        <v>8516</v>
      </c>
      <c r="B2509" s="15" t="s">
        <v>8517</v>
      </c>
      <c r="C2509" s="18" t="s">
        <v>28</v>
      </c>
      <c r="D2509" s="15" t="s">
        <v>8518</v>
      </c>
      <c r="E2509" s="18" t="s">
        <v>28</v>
      </c>
      <c r="F2509" s="19" t="s">
        <v>28</v>
      </c>
      <c r="G2509" s="19">
        <v>4.7</v>
      </c>
      <c r="H2509" s="19" t="s">
        <v>28</v>
      </c>
      <c r="I2509" s="18" t="s">
        <v>28</v>
      </c>
      <c r="J2509" s="18" t="s">
        <v>28</v>
      </c>
      <c r="K2509" s="18" t="s">
        <v>28</v>
      </c>
      <c r="L2509" s="18" t="s">
        <v>28</v>
      </c>
      <c r="M2509" s="18" t="s">
        <v>28</v>
      </c>
      <c r="N2509" s="17">
        <v>44896</v>
      </c>
      <c r="O2509" s="15" t="s">
        <v>73</v>
      </c>
      <c r="P2509" s="16" t="s">
        <v>8519</v>
      </c>
      <c r="Q2509" s="15" t="s">
        <v>353</v>
      </c>
      <c r="R2509" s="13" t="str">
        <f>HYPERLINK("https://my.pitchbook.com?c=211883-05T","View Company Online")</f>
        <v>View Company Online</v>
      </c>
    </row>
    <row r="2510" spans="1:18" hidden="1" x14ac:dyDescent="0.3">
      <c r="A2510" s="9" t="s">
        <v>8520</v>
      </c>
      <c r="B2510" s="9" t="s">
        <v>8521</v>
      </c>
      <c r="C2510" s="11" t="s">
        <v>28</v>
      </c>
      <c r="D2510" s="9" t="s">
        <v>8522</v>
      </c>
      <c r="E2510" s="11" t="s">
        <v>28</v>
      </c>
      <c r="F2510" s="10" t="s">
        <v>28</v>
      </c>
      <c r="G2510" s="10" t="s">
        <v>28</v>
      </c>
      <c r="H2510" s="10" t="s">
        <v>28</v>
      </c>
      <c r="I2510" s="11" t="s">
        <v>28</v>
      </c>
      <c r="J2510" s="11" t="s">
        <v>28</v>
      </c>
      <c r="K2510" s="11" t="s">
        <v>28</v>
      </c>
      <c r="L2510" s="11" t="s">
        <v>28</v>
      </c>
      <c r="M2510" s="11" t="s">
        <v>28</v>
      </c>
      <c r="N2510" s="8">
        <v>44896</v>
      </c>
      <c r="O2510" s="9" t="s">
        <v>30</v>
      </c>
      <c r="P2510" s="12" t="s">
        <v>239</v>
      </c>
      <c r="Q2510" s="9" t="s">
        <v>240</v>
      </c>
      <c r="R2510" s="14" t="str">
        <f>HYPERLINK("https://my.pitchbook.com?c=216165-16T","View Company Online")</f>
        <v>View Company Online</v>
      </c>
    </row>
    <row r="2511" spans="1:18" hidden="1" x14ac:dyDescent="0.3">
      <c r="A2511" s="15" t="s">
        <v>8523</v>
      </c>
      <c r="B2511" s="15" t="s">
        <v>8524</v>
      </c>
      <c r="C2511" s="18" t="s">
        <v>28</v>
      </c>
      <c r="D2511" s="15" t="s">
        <v>8525</v>
      </c>
      <c r="E2511" s="18" t="s">
        <v>28</v>
      </c>
      <c r="F2511" s="19" t="s">
        <v>28</v>
      </c>
      <c r="G2511" s="19">
        <v>5.77</v>
      </c>
      <c r="H2511" s="19" t="s">
        <v>28</v>
      </c>
      <c r="I2511" s="18" t="s">
        <v>28</v>
      </c>
      <c r="J2511" s="18" t="s">
        <v>28</v>
      </c>
      <c r="K2511" s="18" t="s">
        <v>28</v>
      </c>
      <c r="L2511" s="18" t="s">
        <v>28</v>
      </c>
      <c r="M2511" s="18" t="s">
        <v>28</v>
      </c>
      <c r="N2511" s="17">
        <v>44896</v>
      </c>
      <c r="O2511" s="15" t="s">
        <v>73</v>
      </c>
      <c r="P2511" s="16" t="s">
        <v>8526</v>
      </c>
      <c r="Q2511" s="15" t="s">
        <v>109</v>
      </c>
      <c r="R2511" s="13" t="str">
        <f>HYPERLINK("https://my.pitchbook.com?c=209681-02T","View Company Online")</f>
        <v>View Company Online</v>
      </c>
    </row>
    <row r="2512" spans="1:18" hidden="1" x14ac:dyDescent="0.3">
      <c r="A2512" s="9" t="s">
        <v>8527</v>
      </c>
      <c r="B2512" s="9" t="s">
        <v>2277</v>
      </c>
      <c r="C2512" s="11" t="s">
        <v>28</v>
      </c>
      <c r="D2512" s="9" t="s">
        <v>2278</v>
      </c>
      <c r="E2512" s="11" t="s">
        <v>28</v>
      </c>
      <c r="F2512" s="10" t="s">
        <v>28</v>
      </c>
      <c r="G2512" s="10">
        <v>0.03</v>
      </c>
      <c r="H2512" s="10">
        <v>1.32</v>
      </c>
      <c r="I2512" s="11" t="s">
        <v>28</v>
      </c>
      <c r="J2512" s="11" t="s">
        <v>28</v>
      </c>
      <c r="K2512" s="11" t="s">
        <v>28</v>
      </c>
      <c r="L2512" s="11" t="s">
        <v>28</v>
      </c>
      <c r="M2512" s="11" t="s">
        <v>28</v>
      </c>
      <c r="N2512" s="8">
        <v>44896</v>
      </c>
      <c r="O2512" s="9" t="s">
        <v>73</v>
      </c>
      <c r="P2512" s="12" t="s">
        <v>8528</v>
      </c>
      <c r="Q2512" s="9" t="s">
        <v>37</v>
      </c>
      <c r="R2512" s="14" t="str">
        <f>HYPERLINK("https://my.pitchbook.com?c=208572-58T","View Company Online")</f>
        <v>View Company Online</v>
      </c>
    </row>
    <row r="2513" spans="1:18" hidden="1" x14ac:dyDescent="0.3">
      <c r="A2513" s="15" t="s">
        <v>8529</v>
      </c>
      <c r="B2513" s="15" t="s">
        <v>8530</v>
      </c>
      <c r="C2513" s="18" t="s">
        <v>28</v>
      </c>
      <c r="D2513" s="15" t="s">
        <v>8531</v>
      </c>
      <c r="E2513" s="18" t="s">
        <v>28</v>
      </c>
      <c r="F2513" s="19" t="s">
        <v>28</v>
      </c>
      <c r="G2513" s="19" t="s">
        <v>28</v>
      </c>
      <c r="H2513" s="19" t="s">
        <v>28</v>
      </c>
      <c r="I2513" s="18" t="s">
        <v>28</v>
      </c>
      <c r="J2513" s="18" t="s">
        <v>28</v>
      </c>
      <c r="K2513" s="18" t="s">
        <v>28</v>
      </c>
      <c r="L2513" s="18" t="s">
        <v>28</v>
      </c>
      <c r="M2513" s="18" t="s">
        <v>28</v>
      </c>
      <c r="N2513" s="17">
        <v>44895</v>
      </c>
      <c r="O2513" s="15" t="s">
        <v>30</v>
      </c>
      <c r="P2513" s="16" t="s">
        <v>28</v>
      </c>
      <c r="Q2513" s="15" t="s">
        <v>95</v>
      </c>
      <c r="R2513" s="13" t="str">
        <f>HYPERLINK("https://my.pitchbook.com?c=209495-17T","View Company Online")</f>
        <v>View Company Online</v>
      </c>
    </row>
    <row r="2514" spans="1:18" hidden="1" x14ac:dyDescent="0.3">
      <c r="A2514" s="9" t="s">
        <v>8532</v>
      </c>
      <c r="B2514" s="9" t="s">
        <v>8533</v>
      </c>
      <c r="C2514" s="11" t="s">
        <v>28</v>
      </c>
      <c r="D2514" s="9" t="s">
        <v>8534</v>
      </c>
      <c r="E2514" s="11" t="s">
        <v>28</v>
      </c>
      <c r="F2514" s="10" t="s">
        <v>28</v>
      </c>
      <c r="G2514" s="10">
        <v>1.33</v>
      </c>
      <c r="H2514" s="10" t="s">
        <v>28</v>
      </c>
      <c r="I2514" s="11" t="s">
        <v>28</v>
      </c>
      <c r="J2514" s="11" t="s">
        <v>28</v>
      </c>
      <c r="K2514" s="11" t="s">
        <v>28</v>
      </c>
      <c r="L2514" s="11" t="s">
        <v>28</v>
      </c>
      <c r="M2514" s="11" t="s">
        <v>28</v>
      </c>
      <c r="N2514" s="8">
        <v>44895</v>
      </c>
      <c r="O2514" s="9" t="s">
        <v>379</v>
      </c>
      <c r="P2514" s="12" t="s">
        <v>8535</v>
      </c>
      <c r="Q2514" s="9" t="s">
        <v>583</v>
      </c>
      <c r="R2514" s="14" t="str">
        <f>HYPERLINK("https://my.pitchbook.com?c=209592-55T","View Company Online")</f>
        <v>View Company Online</v>
      </c>
    </row>
    <row r="2515" spans="1:18" hidden="1" x14ac:dyDescent="0.3">
      <c r="A2515" s="15" t="s">
        <v>8536</v>
      </c>
      <c r="B2515" s="15" t="s">
        <v>8537</v>
      </c>
      <c r="C2515" s="18" t="s">
        <v>28</v>
      </c>
      <c r="D2515" s="15" t="s">
        <v>8538</v>
      </c>
      <c r="E2515" s="18" t="s">
        <v>28</v>
      </c>
      <c r="F2515" s="19" t="s">
        <v>28</v>
      </c>
      <c r="G2515" s="19" t="s">
        <v>28</v>
      </c>
      <c r="H2515" s="19" t="s">
        <v>28</v>
      </c>
      <c r="I2515" s="18" t="s">
        <v>28</v>
      </c>
      <c r="J2515" s="18" t="s">
        <v>28</v>
      </c>
      <c r="K2515" s="18" t="s">
        <v>28</v>
      </c>
      <c r="L2515" s="18" t="s">
        <v>28</v>
      </c>
      <c r="M2515" s="18" t="s">
        <v>28</v>
      </c>
      <c r="N2515" s="17">
        <v>44895</v>
      </c>
      <c r="O2515" s="15" t="s">
        <v>41</v>
      </c>
      <c r="P2515" s="16" t="s">
        <v>8539</v>
      </c>
      <c r="Q2515" s="15" t="s">
        <v>69</v>
      </c>
      <c r="R2515" s="13" t="str">
        <f>HYPERLINK("https://my.pitchbook.com?c=220116-34T","View Company Online")</f>
        <v>View Company Online</v>
      </c>
    </row>
    <row r="2516" spans="1:18" hidden="1" x14ac:dyDescent="0.3">
      <c r="A2516" s="9" t="s">
        <v>8540</v>
      </c>
      <c r="B2516" s="9" t="s">
        <v>499</v>
      </c>
      <c r="C2516" s="11" t="s">
        <v>28</v>
      </c>
      <c r="D2516" s="9" t="s">
        <v>500</v>
      </c>
      <c r="E2516" s="11" t="s">
        <v>28</v>
      </c>
      <c r="F2516" s="10" t="s">
        <v>28</v>
      </c>
      <c r="G2516" s="10">
        <v>0.76</v>
      </c>
      <c r="H2516" s="10" t="s">
        <v>28</v>
      </c>
      <c r="I2516" s="11" t="s">
        <v>28</v>
      </c>
      <c r="J2516" s="11" t="s">
        <v>28</v>
      </c>
      <c r="K2516" s="11" t="s">
        <v>28</v>
      </c>
      <c r="L2516" s="11" t="s">
        <v>28</v>
      </c>
      <c r="M2516" s="11" t="s">
        <v>28</v>
      </c>
      <c r="N2516" s="8">
        <v>44895</v>
      </c>
      <c r="O2516" s="9" t="s">
        <v>99</v>
      </c>
      <c r="P2516" s="12" t="s">
        <v>8541</v>
      </c>
      <c r="Q2516" s="9" t="s">
        <v>136</v>
      </c>
      <c r="R2516" s="14" t="str">
        <f>HYPERLINK("https://my.pitchbook.com?c=196156-72T","View Company Online")</f>
        <v>View Company Online</v>
      </c>
    </row>
    <row r="2517" spans="1:18" hidden="1" x14ac:dyDescent="0.3">
      <c r="A2517" s="15" t="s">
        <v>8542</v>
      </c>
      <c r="B2517" s="15" t="s">
        <v>8543</v>
      </c>
      <c r="C2517" s="18" t="s">
        <v>28</v>
      </c>
      <c r="D2517" s="15" t="s">
        <v>8544</v>
      </c>
      <c r="E2517" s="18" t="s">
        <v>28</v>
      </c>
      <c r="F2517" s="19" t="s">
        <v>28</v>
      </c>
      <c r="G2517" s="19">
        <v>0.19</v>
      </c>
      <c r="H2517" s="19" t="s">
        <v>28</v>
      </c>
      <c r="I2517" s="18" t="s">
        <v>28</v>
      </c>
      <c r="J2517" s="18" t="s">
        <v>28</v>
      </c>
      <c r="K2517" s="18" t="s">
        <v>28</v>
      </c>
      <c r="L2517" s="18" t="s">
        <v>28</v>
      </c>
      <c r="M2517" s="18" t="s">
        <v>28</v>
      </c>
      <c r="N2517" s="17">
        <v>44894</v>
      </c>
      <c r="O2517" s="15" t="s">
        <v>99</v>
      </c>
      <c r="P2517" s="16" t="s">
        <v>8545</v>
      </c>
      <c r="Q2517" s="15" t="s">
        <v>362</v>
      </c>
      <c r="R2517" s="13" t="str">
        <f>HYPERLINK("https://my.pitchbook.com?c=195891-76T","View Company Online")</f>
        <v>View Company Online</v>
      </c>
    </row>
    <row r="2518" spans="1:18" hidden="1" x14ac:dyDescent="0.3">
      <c r="A2518" s="9" t="s">
        <v>8546</v>
      </c>
      <c r="B2518" s="9" t="s">
        <v>7248</v>
      </c>
      <c r="C2518" s="11" t="s">
        <v>28</v>
      </c>
      <c r="D2518" s="9" t="s">
        <v>7249</v>
      </c>
      <c r="E2518" s="11" t="s">
        <v>28</v>
      </c>
      <c r="F2518" s="10" t="s">
        <v>28</v>
      </c>
      <c r="G2518" s="10">
        <v>0.08</v>
      </c>
      <c r="H2518" s="10" t="s">
        <v>28</v>
      </c>
      <c r="I2518" s="11" t="s">
        <v>28</v>
      </c>
      <c r="J2518" s="11" t="s">
        <v>28</v>
      </c>
      <c r="K2518" s="11" t="s">
        <v>28</v>
      </c>
      <c r="L2518" s="11" t="s">
        <v>28</v>
      </c>
      <c r="M2518" s="11" t="s">
        <v>28</v>
      </c>
      <c r="N2518" s="8">
        <v>44894</v>
      </c>
      <c r="O2518" s="9" t="s">
        <v>52</v>
      </c>
      <c r="P2518" s="12" t="s">
        <v>221</v>
      </c>
      <c r="Q2518" s="9" t="s">
        <v>75</v>
      </c>
      <c r="R2518" s="14" t="str">
        <f>HYPERLINK("https://my.pitchbook.com?c=215694-10T","View Company Online")</f>
        <v>View Company Online</v>
      </c>
    </row>
    <row r="2519" spans="1:18" x14ac:dyDescent="0.3">
      <c r="A2519" s="15" t="s">
        <v>8547</v>
      </c>
      <c r="B2519" s="15" t="s">
        <v>8548</v>
      </c>
      <c r="C2519" s="18">
        <v>5.0599999999999996</v>
      </c>
      <c r="D2519" s="15" t="s">
        <v>8549</v>
      </c>
      <c r="E2519" s="18" t="s">
        <v>28</v>
      </c>
      <c r="F2519" s="19">
        <v>3.2</v>
      </c>
      <c r="G2519" s="19">
        <v>3.2</v>
      </c>
      <c r="H2519" s="19">
        <v>3.2</v>
      </c>
      <c r="I2519" s="18">
        <v>0.63</v>
      </c>
      <c r="J2519" s="18">
        <v>5.0599999999999996</v>
      </c>
      <c r="K2519" s="18">
        <v>2.57</v>
      </c>
      <c r="L2519" s="18">
        <v>1.25</v>
      </c>
      <c r="M2519" s="18" t="s">
        <v>28</v>
      </c>
      <c r="N2519" s="17">
        <v>44894</v>
      </c>
      <c r="O2519" s="15" t="s">
        <v>30</v>
      </c>
      <c r="P2519" s="16" t="s">
        <v>8550</v>
      </c>
      <c r="Q2519" s="15" t="s">
        <v>136</v>
      </c>
      <c r="R2519" s="13" t="str">
        <f>HYPERLINK("https://my.pitchbook.com?c=209620-00T","View Company Online")</f>
        <v>View Company Online</v>
      </c>
    </row>
    <row r="2520" spans="1:18" hidden="1" x14ac:dyDescent="0.3">
      <c r="A2520" s="9" t="s">
        <v>8551</v>
      </c>
      <c r="B2520" s="9" t="s">
        <v>8552</v>
      </c>
      <c r="C2520" s="11" t="s">
        <v>28</v>
      </c>
      <c r="D2520" s="9" t="s">
        <v>8553</v>
      </c>
      <c r="E2520" s="11" t="s">
        <v>28</v>
      </c>
      <c r="F2520" s="10" t="s">
        <v>28</v>
      </c>
      <c r="G2520" s="10">
        <v>1.89</v>
      </c>
      <c r="H2520" s="10" t="s">
        <v>28</v>
      </c>
      <c r="I2520" s="11" t="s">
        <v>28</v>
      </c>
      <c r="J2520" s="11" t="s">
        <v>28</v>
      </c>
      <c r="K2520" s="11" t="s">
        <v>28</v>
      </c>
      <c r="L2520" s="11" t="s">
        <v>28</v>
      </c>
      <c r="M2520" s="11" t="s">
        <v>28</v>
      </c>
      <c r="N2520" s="8">
        <v>44893</v>
      </c>
      <c r="O2520" s="9" t="s">
        <v>79</v>
      </c>
      <c r="P2520" s="12" t="s">
        <v>8554</v>
      </c>
      <c r="Q2520" s="9" t="s">
        <v>4710</v>
      </c>
      <c r="R2520" s="14" t="str">
        <f>HYPERLINK("https://my.pitchbook.com?c=223453-81T","View Company Online")</f>
        <v>View Company Online</v>
      </c>
    </row>
    <row r="2521" spans="1:18" hidden="1" x14ac:dyDescent="0.3">
      <c r="A2521" s="15" t="s">
        <v>8555</v>
      </c>
      <c r="B2521" s="15" t="s">
        <v>8556</v>
      </c>
      <c r="C2521" s="18" t="s">
        <v>28</v>
      </c>
      <c r="D2521" s="15" t="s">
        <v>8557</v>
      </c>
      <c r="E2521" s="18" t="s">
        <v>28</v>
      </c>
      <c r="F2521" s="19" t="s">
        <v>28</v>
      </c>
      <c r="G2521" s="19">
        <v>0.08</v>
      </c>
      <c r="H2521" s="19" t="s">
        <v>28</v>
      </c>
      <c r="I2521" s="18" t="s">
        <v>28</v>
      </c>
      <c r="J2521" s="18" t="s">
        <v>28</v>
      </c>
      <c r="K2521" s="18">
        <v>0.54</v>
      </c>
      <c r="L2521" s="18" t="s">
        <v>28</v>
      </c>
      <c r="M2521" s="18" t="s">
        <v>28</v>
      </c>
      <c r="N2521" s="17">
        <v>44893</v>
      </c>
      <c r="O2521" s="15" t="s">
        <v>73</v>
      </c>
      <c r="P2521" s="16" t="s">
        <v>8558</v>
      </c>
      <c r="Q2521" s="15" t="s">
        <v>75</v>
      </c>
      <c r="R2521" s="13" t="str">
        <f>HYPERLINK("https://my.pitchbook.com?c=232348-15T","View Company Online")</f>
        <v>View Company Online</v>
      </c>
    </row>
    <row r="2522" spans="1:18" hidden="1" x14ac:dyDescent="0.3">
      <c r="A2522" s="9" t="s">
        <v>8559</v>
      </c>
      <c r="B2522" s="9" t="s">
        <v>8560</v>
      </c>
      <c r="C2522" s="11" t="s">
        <v>28</v>
      </c>
      <c r="D2522" s="9" t="s">
        <v>8561</v>
      </c>
      <c r="E2522" s="11" t="s">
        <v>28</v>
      </c>
      <c r="F2522" s="10" t="s">
        <v>28</v>
      </c>
      <c r="G2522" s="10" t="s">
        <v>28</v>
      </c>
      <c r="H2522" s="10" t="s">
        <v>28</v>
      </c>
      <c r="I2522" s="11" t="s">
        <v>28</v>
      </c>
      <c r="J2522" s="11" t="s">
        <v>28</v>
      </c>
      <c r="K2522" s="11" t="s">
        <v>28</v>
      </c>
      <c r="L2522" s="11" t="s">
        <v>28</v>
      </c>
      <c r="M2522" s="11" t="s">
        <v>28</v>
      </c>
      <c r="N2522" s="8">
        <v>44891</v>
      </c>
      <c r="O2522" s="9" t="s">
        <v>30</v>
      </c>
      <c r="P2522" s="12" t="s">
        <v>8562</v>
      </c>
      <c r="Q2522" s="9" t="s">
        <v>362</v>
      </c>
      <c r="R2522" s="14" t="str">
        <f>HYPERLINK("https://my.pitchbook.com?c=209394-73T","View Company Online")</f>
        <v>View Company Online</v>
      </c>
    </row>
    <row r="2523" spans="1:18" hidden="1" x14ac:dyDescent="0.3">
      <c r="A2523" s="15" t="s">
        <v>8563</v>
      </c>
      <c r="B2523" s="15" t="s">
        <v>8564</v>
      </c>
      <c r="C2523" s="18" t="s">
        <v>28</v>
      </c>
      <c r="D2523" s="15" t="s">
        <v>8565</v>
      </c>
      <c r="E2523" s="18" t="s">
        <v>28</v>
      </c>
      <c r="F2523" s="19" t="s">
        <v>28</v>
      </c>
      <c r="G2523" s="19" t="s">
        <v>28</v>
      </c>
      <c r="H2523" s="19" t="s">
        <v>28</v>
      </c>
      <c r="I2523" s="18" t="s">
        <v>28</v>
      </c>
      <c r="J2523" s="18" t="s">
        <v>28</v>
      </c>
      <c r="K2523" s="18" t="s">
        <v>28</v>
      </c>
      <c r="L2523" s="18" t="s">
        <v>28</v>
      </c>
      <c r="M2523" s="18" t="s">
        <v>28</v>
      </c>
      <c r="N2523" s="17">
        <v>44890</v>
      </c>
      <c r="O2523" s="15" t="s">
        <v>30</v>
      </c>
      <c r="P2523" s="16" t="s">
        <v>7606</v>
      </c>
      <c r="Q2523" s="15" t="s">
        <v>1035</v>
      </c>
      <c r="R2523" s="13" t="str">
        <f>HYPERLINK("https://my.pitchbook.com?c=209231-38T","View Company Online")</f>
        <v>View Company Online</v>
      </c>
    </row>
    <row r="2524" spans="1:18" hidden="1" x14ac:dyDescent="0.3">
      <c r="A2524" s="9" t="s">
        <v>8566</v>
      </c>
      <c r="B2524" s="9" t="s">
        <v>8567</v>
      </c>
      <c r="C2524" s="11" t="s">
        <v>28</v>
      </c>
      <c r="D2524" s="9" t="s">
        <v>8568</v>
      </c>
      <c r="E2524" s="11" t="s">
        <v>28</v>
      </c>
      <c r="F2524" s="10" t="s">
        <v>28</v>
      </c>
      <c r="G2524" s="10" t="s">
        <v>28</v>
      </c>
      <c r="H2524" s="10" t="s">
        <v>28</v>
      </c>
      <c r="I2524" s="11" t="s">
        <v>28</v>
      </c>
      <c r="J2524" s="11" t="s">
        <v>28</v>
      </c>
      <c r="K2524" s="11" t="s">
        <v>28</v>
      </c>
      <c r="L2524" s="11" t="s">
        <v>28</v>
      </c>
      <c r="M2524" s="11" t="s">
        <v>28</v>
      </c>
      <c r="N2524" s="8">
        <v>44890</v>
      </c>
      <c r="O2524" s="9" t="s">
        <v>73</v>
      </c>
      <c r="P2524" s="12" t="s">
        <v>8569</v>
      </c>
      <c r="Q2524" s="9" t="s">
        <v>37</v>
      </c>
      <c r="R2524" s="14" t="str">
        <f>HYPERLINK("https://my.pitchbook.com?c=209178-28T","View Company Online")</f>
        <v>View Company Online</v>
      </c>
    </row>
    <row r="2525" spans="1:18" hidden="1" x14ac:dyDescent="0.3">
      <c r="A2525" s="15" t="s">
        <v>8570</v>
      </c>
      <c r="B2525" s="15" t="s">
        <v>7382</v>
      </c>
      <c r="C2525" s="18" t="s">
        <v>28</v>
      </c>
      <c r="D2525" s="15" t="s">
        <v>7383</v>
      </c>
      <c r="E2525" s="18" t="s">
        <v>28</v>
      </c>
      <c r="F2525" s="19" t="s">
        <v>28</v>
      </c>
      <c r="G2525" s="19" t="s">
        <v>28</v>
      </c>
      <c r="H2525" s="19" t="s">
        <v>28</v>
      </c>
      <c r="I2525" s="18" t="s">
        <v>28</v>
      </c>
      <c r="J2525" s="18" t="s">
        <v>28</v>
      </c>
      <c r="K2525" s="18" t="s">
        <v>28</v>
      </c>
      <c r="L2525" s="18" t="s">
        <v>28</v>
      </c>
      <c r="M2525" s="18" t="s">
        <v>28</v>
      </c>
      <c r="N2525" s="17">
        <v>44890</v>
      </c>
      <c r="O2525" s="15" t="s">
        <v>58</v>
      </c>
      <c r="P2525" s="16" t="s">
        <v>503</v>
      </c>
      <c r="Q2525" s="15" t="s">
        <v>37</v>
      </c>
      <c r="R2525" s="13" t="str">
        <f>HYPERLINK("https://my.pitchbook.com?c=210753-10T","View Company Online")</f>
        <v>View Company Online</v>
      </c>
    </row>
    <row r="2526" spans="1:18" hidden="1" x14ac:dyDescent="0.3">
      <c r="A2526" s="9" t="s">
        <v>8571</v>
      </c>
      <c r="B2526" s="9" t="s">
        <v>8572</v>
      </c>
      <c r="C2526" s="11" t="s">
        <v>28</v>
      </c>
      <c r="D2526" s="9" t="s">
        <v>8573</v>
      </c>
      <c r="E2526" s="11" t="s">
        <v>28</v>
      </c>
      <c r="F2526" s="10" t="s">
        <v>28</v>
      </c>
      <c r="G2526" s="10" t="s">
        <v>28</v>
      </c>
      <c r="H2526" s="10" t="s">
        <v>28</v>
      </c>
      <c r="I2526" s="11" t="s">
        <v>28</v>
      </c>
      <c r="J2526" s="11" t="s">
        <v>28</v>
      </c>
      <c r="K2526" s="11" t="s">
        <v>28</v>
      </c>
      <c r="L2526" s="11" t="s">
        <v>28</v>
      </c>
      <c r="M2526" s="11" t="s">
        <v>28</v>
      </c>
      <c r="N2526" s="8">
        <v>44890</v>
      </c>
      <c r="O2526" s="9" t="s">
        <v>41</v>
      </c>
      <c r="P2526" s="12" t="s">
        <v>8574</v>
      </c>
      <c r="Q2526" s="9" t="s">
        <v>1361</v>
      </c>
      <c r="R2526" s="14" t="str">
        <f>HYPERLINK("https://my.pitchbook.com?c=214772-77T","View Company Online")</f>
        <v>View Company Online</v>
      </c>
    </row>
    <row r="2527" spans="1:18" hidden="1" x14ac:dyDescent="0.3">
      <c r="A2527" s="15" t="s">
        <v>8575</v>
      </c>
      <c r="B2527" s="15" t="s">
        <v>8576</v>
      </c>
      <c r="C2527" s="18" t="s">
        <v>28</v>
      </c>
      <c r="D2527" s="15" t="s">
        <v>8577</v>
      </c>
      <c r="E2527" s="18" t="s">
        <v>28</v>
      </c>
      <c r="F2527" s="19" t="s">
        <v>28</v>
      </c>
      <c r="G2527" s="19" t="s">
        <v>28</v>
      </c>
      <c r="H2527" s="19" t="s">
        <v>28</v>
      </c>
      <c r="I2527" s="18" t="s">
        <v>28</v>
      </c>
      <c r="J2527" s="18" t="s">
        <v>28</v>
      </c>
      <c r="K2527" s="18" t="s">
        <v>28</v>
      </c>
      <c r="L2527" s="18" t="s">
        <v>28</v>
      </c>
      <c r="M2527" s="18" t="s">
        <v>28</v>
      </c>
      <c r="N2527" s="17">
        <v>44890</v>
      </c>
      <c r="O2527" s="15" t="s">
        <v>30</v>
      </c>
      <c r="P2527" s="16" t="s">
        <v>8578</v>
      </c>
      <c r="Q2527" s="15" t="s">
        <v>607</v>
      </c>
      <c r="R2527" s="13" t="str">
        <f>HYPERLINK("https://my.pitchbook.com?c=209393-29T","View Company Online")</f>
        <v>View Company Online</v>
      </c>
    </row>
    <row r="2528" spans="1:18" hidden="1" x14ac:dyDescent="0.3">
      <c r="A2528" s="9" t="s">
        <v>8579</v>
      </c>
      <c r="B2528" s="9" t="s">
        <v>8580</v>
      </c>
      <c r="C2528" s="11" t="s">
        <v>28</v>
      </c>
      <c r="D2528" s="9" t="s">
        <v>8581</v>
      </c>
      <c r="E2528" s="11" t="s">
        <v>28</v>
      </c>
      <c r="F2528" s="10">
        <v>149.19</v>
      </c>
      <c r="G2528" s="10">
        <v>192</v>
      </c>
      <c r="H2528" s="10">
        <v>192</v>
      </c>
      <c r="I2528" s="11" t="s">
        <v>28</v>
      </c>
      <c r="J2528" s="11" t="s">
        <v>28</v>
      </c>
      <c r="K2528" s="11">
        <v>113.62</v>
      </c>
      <c r="L2528" s="11">
        <v>1.69</v>
      </c>
      <c r="M2528" s="11">
        <v>22.71</v>
      </c>
      <c r="N2528" s="8">
        <v>44889</v>
      </c>
      <c r="O2528" s="9" t="s">
        <v>30</v>
      </c>
      <c r="P2528" s="12" t="s">
        <v>8582</v>
      </c>
      <c r="Q2528" s="9" t="s">
        <v>1336</v>
      </c>
      <c r="R2528" s="14" t="str">
        <f>HYPERLINK("https://my.pitchbook.com?c=204167-89T","View Company Online")</f>
        <v>View Company Online</v>
      </c>
    </row>
    <row r="2529" spans="1:18" hidden="1" x14ac:dyDescent="0.3">
      <c r="A2529" s="15" t="s">
        <v>8583</v>
      </c>
      <c r="B2529" s="15" t="s">
        <v>8584</v>
      </c>
      <c r="C2529" s="18" t="s">
        <v>28</v>
      </c>
      <c r="D2529" s="15" t="s">
        <v>8585</v>
      </c>
      <c r="E2529" s="18" t="s">
        <v>28</v>
      </c>
      <c r="F2529" s="19" t="s">
        <v>28</v>
      </c>
      <c r="G2529" s="19" t="s">
        <v>28</v>
      </c>
      <c r="H2529" s="19" t="s">
        <v>28</v>
      </c>
      <c r="I2529" s="18" t="s">
        <v>28</v>
      </c>
      <c r="J2529" s="18" t="s">
        <v>28</v>
      </c>
      <c r="K2529" s="18" t="s">
        <v>28</v>
      </c>
      <c r="L2529" s="18" t="s">
        <v>28</v>
      </c>
      <c r="M2529" s="18" t="s">
        <v>28</v>
      </c>
      <c r="N2529" s="17">
        <v>44889</v>
      </c>
      <c r="O2529" s="15" t="s">
        <v>41</v>
      </c>
      <c r="P2529" s="16" t="s">
        <v>8586</v>
      </c>
      <c r="Q2529" s="15" t="s">
        <v>290</v>
      </c>
      <c r="R2529" s="13" t="str">
        <f>HYPERLINK("https://my.pitchbook.com?c=209233-27T","View Company Online")</f>
        <v>View Company Online</v>
      </c>
    </row>
    <row r="2530" spans="1:18" hidden="1" x14ac:dyDescent="0.3">
      <c r="A2530" s="9" t="s">
        <v>8587</v>
      </c>
      <c r="B2530" s="9" t="s">
        <v>8588</v>
      </c>
      <c r="C2530" s="11" t="s">
        <v>28</v>
      </c>
      <c r="D2530" s="9" t="s">
        <v>8589</v>
      </c>
      <c r="E2530" s="11" t="s">
        <v>28</v>
      </c>
      <c r="F2530" s="10" t="s">
        <v>28</v>
      </c>
      <c r="G2530" s="10">
        <v>0.95</v>
      </c>
      <c r="H2530" s="10" t="s">
        <v>28</v>
      </c>
      <c r="I2530" s="11" t="s">
        <v>28</v>
      </c>
      <c r="J2530" s="11" t="s">
        <v>28</v>
      </c>
      <c r="K2530" s="11" t="s">
        <v>28</v>
      </c>
      <c r="L2530" s="11" t="s">
        <v>28</v>
      </c>
      <c r="M2530" s="11" t="s">
        <v>28</v>
      </c>
      <c r="N2530" s="8">
        <v>44889</v>
      </c>
      <c r="O2530" s="9" t="s">
        <v>99</v>
      </c>
      <c r="P2530" s="12" t="s">
        <v>8590</v>
      </c>
      <c r="Q2530" s="9" t="s">
        <v>607</v>
      </c>
      <c r="R2530" s="14" t="str">
        <f>HYPERLINK("https://my.pitchbook.com?c=209173-15T","View Company Online")</f>
        <v>View Company Online</v>
      </c>
    </row>
    <row r="2531" spans="1:18" hidden="1" x14ac:dyDescent="0.3">
      <c r="A2531" s="15" t="s">
        <v>8591</v>
      </c>
      <c r="B2531" s="15" t="s">
        <v>8592</v>
      </c>
      <c r="C2531" s="18" t="s">
        <v>28</v>
      </c>
      <c r="D2531" s="15" t="s">
        <v>8593</v>
      </c>
      <c r="E2531" s="18" t="s">
        <v>28</v>
      </c>
      <c r="F2531" s="19" t="s">
        <v>28</v>
      </c>
      <c r="G2531" s="19" t="s">
        <v>28</v>
      </c>
      <c r="H2531" s="19" t="s">
        <v>28</v>
      </c>
      <c r="I2531" s="18" t="s">
        <v>28</v>
      </c>
      <c r="J2531" s="18" t="s">
        <v>28</v>
      </c>
      <c r="K2531" s="18" t="s">
        <v>28</v>
      </c>
      <c r="L2531" s="18" t="s">
        <v>28</v>
      </c>
      <c r="M2531" s="18" t="s">
        <v>28</v>
      </c>
      <c r="N2531" s="17">
        <v>44888</v>
      </c>
      <c r="O2531" s="15" t="s">
        <v>30</v>
      </c>
      <c r="P2531" s="16" t="s">
        <v>8594</v>
      </c>
      <c r="Q2531" s="15" t="s">
        <v>1035</v>
      </c>
      <c r="R2531" s="13" t="str">
        <f>HYPERLINK("https://my.pitchbook.com?c=209969-38T","View Company Online")</f>
        <v>View Company Online</v>
      </c>
    </row>
    <row r="2532" spans="1:18" hidden="1" x14ac:dyDescent="0.3">
      <c r="A2532" s="9" t="s">
        <v>8595</v>
      </c>
      <c r="B2532" s="9" t="s">
        <v>8596</v>
      </c>
      <c r="C2532" s="11" t="s">
        <v>28</v>
      </c>
      <c r="D2532" s="9" t="s">
        <v>8597</v>
      </c>
      <c r="E2532" s="11" t="s">
        <v>28</v>
      </c>
      <c r="F2532" s="10" t="s">
        <v>28</v>
      </c>
      <c r="G2532" s="10" t="s">
        <v>28</v>
      </c>
      <c r="H2532" s="10" t="s">
        <v>28</v>
      </c>
      <c r="I2532" s="11" t="s">
        <v>28</v>
      </c>
      <c r="J2532" s="11" t="s">
        <v>28</v>
      </c>
      <c r="K2532" s="11" t="s">
        <v>28</v>
      </c>
      <c r="L2532" s="11" t="s">
        <v>28</v>
      </c>
      <c r="M2532" s="11" t="s">
        <v>28</v>
      </c>
      <c r="N2532" s="8">
        <v>44888</v>
      </c>
      <c r="O2532" s="9" t="s">
        <v>30</v>
      </c>
      <c r="P2532" s="12" t="s">
        <v>8598</v>
      </c>
      <c r="Q2532" s="9" t="s">
        <v>245</v>
      </c>
      <c r="R2532" s="14" t="str">
        <f>HYPERLINK("https://my.pitchbook.com?c=209073-97T","View Company Online")</f>
        <v>View Company Online</v>
      </c>
    </row>
    <row r="2533" spans="1:18" hidden="1" x14ac:dyDescent="0.3">
      <c r="A2533" s="15" t="s">
        <v>8599</v>
      </c>
      <c r="B2533" s="15" t="s">
        <v>8600</v>
      </c>
      <c r="C2533" s="18" t="s">
        <v>28</v>
      </c>
      <c r="D2533" s="15" t="s">
        <v>8601</v>
      </c>
      <c r="E2533" s="18" t="s">
        <v>28</v>
      </c>
      <c r="F2533" s="19" t="s">
        <v>28</v>
      </c>
      <c r="G2533" s="19" t="s">
        <v>28</v>
      </c>
      <c r="H2533" s="19" t="s">
        <v>28</v>
      </c>
      <c r="I2533" s="18" t="s">
        <v>28</v>
      </c>
      <c r="J2533" s="18" t="s">
        <v>28</v>
      </c>
      <c r="K2533" s="18" t="s">
        <v>28</v>
      </c>
      <c r="L2533" s="18" t="s">
        <v>28</v>
      </c>
      <c r="M2533" s="18" t="s">
        <v>28</v>
      </c>
      <c r="N2533" s="17">
        <v>44887</v>
      </c>
      <c r="O2533" s="15" t="s">
        <v>30</v>
      </c>
      <c r="P2533" s="16" t="s">
        <v>8602</v>
      </c>
      <c r="Q2533" s="15" t="s">
        <v>353</v>
      </c>
      <c r="R2533" s="13" t="str">
        <f>HYPERLINK("https://my.pitchbook.com?c=208988-11T","View Company Online")</f>
        <v>View Company Online</v>
      </c>
    </row>
    <row r="2534" spans="1:18" hidden="1" x14ac:dyDescent="0.3">
      <c r="A2534" s="9" t="s">
        <v>8603</v>
      </c>
      <c r="B2534" s="9" t="s">
        <v>8604</v>
      </c>
      <c r="C2534" s="11" t="s">
        <v>28</v>
      </c>
      <c r="D2534" s="9" t="s">
        <v>8605</v>
      </c>
      <c r="E2534" s="11" t="s">
        <v>28</v>
      </c>
      <c r="F2534" s="10" t="s">
        <v>28</v>
      </c>
      <c r="G2534" s="10" t="s">
        <v>28</v>
      </c>
      <c r="H2534" s="10" t="s">
        <v>28</v>
      </c>
      <c r="I2534" s="11" t="s">
        <v>28</v>
      </c>
      <c r="J2534" s="11" t="s">
        <v>28</v>
      </c>
      <c r="K2534" s="11" t="s">
        <v>28</v>
      </c>
      <c r="L2534" s="11" t="s">
        <v>28</v>
      </c>
      <c r="M2534" s="11" t="s">
        <v>28</v>
      </c>
      <c r="N2534" s="8">
        <v>44887</v>
      </c>
      <c r="O2534" s="9" t="s">
        <v>30</v>
      </c>
      <c r="P2534" s="12" t="s">
        <v>8606</v>
      </c>
      <c r="Q2534" s="9" t="s">
        <v>75</v>
      </c>
      <c r="R2534" s="14" t="str">
        <f>HYPERLINK("https://my.pitchbook.com?c=208997-65T","View Company Online")</f>
        <v>View Company Online</v>
      </c>
    </row>
    <row r="2535" spans="1:18" hidden="1" x14ac:dyDescent="0.3">
      <c r="A2535" s="15" t="s">
        <v>8607</v>
      </c>
      <c r="B2535" s="15" t="s">
        <v>8608</v>
      </c>
      <c r="C2535" s="18" t="s">
        <v>28</v>
      </c>
      <c r="D2535" s="15" t="s">
        <v>8609</v>
      </c>
      <c r="E2535" s="18" t="s">
        <v>28</v>
      </c>
      <c r="F2535" s="19" t="s">
        <v>28</v>
      </c>
      <c r="G2535" s="19" t="s">
        <v>28</v>
      </c>
      <c r="H2535" s="19" t="s">
        <v>28</v>
      </c>
      <c r="I2535" s="18" t="s">
        <v>28</v>
      </c>
      <c r="J2535" s="18" t="s">
        <v>28</v>
      </c>
      <c r="K2535" s="18" t="s">
        <v>28</v>
      </c>
      <c r="L2535" s="18" t="s">
        <v>28</v>
      </c>
      <c r="M2535" s="18" t="s">
        <v>28</v>
      </c>
      <c r="N2535" s="17">
        <v>44886</v>
      </c>
      <c r="O2535" s="15" t="s">
        <v>30</v>
      </c>
      <c r="P2535" s="16" t="s">
        <v>8578</v>
      </c>
      <c r="Q2535" s="15" t="s">
        <v>8610</v>
      </c>
      <c r="R2535" s="13" t="str">
        <f>HYPERLINK("https://my.pitchbook.com?c=210499-48T","View Company Online")</f>
        <v>View Company Online</v>
      </c>
    </row>
    <row r="2536" spans="1:18" hidden="1" x14ac:dyDescent="0.3">
      <c r="A2536" s="9" t="s">
        <v>8611</v>
      </c>
      <c r="B2536" s="9" t="s">
        <v>746</v>
      </c>
      <c r="C2536" s="11" t="s">
        <v>28</v>
      </c>
      <c r="D2536" s="9" t="s">
        <v>747</v>
      </c>
      <c r="E2536" s="11" t="s">
        <v>28</v>
      </c>
      <c r="F2536" s="10" t="s">
        <v>28</v>
      </c>
      <c r="G2536" s="10">
        <v>11.99</v>
      </c>
      <c r="H2536" s="10" t="s">
        <v>28</v>
      </c>
      <c r="I2536" s="11" t="s">
        <v>28</v>
      </c>
      <c r="J2536" s="11" t="s">
        <v>28</v>
      </c>
      <c r="K2536" s="11" t="s">
        <v>28</v>
      </c>
      <c r="L2536" s="11" t="s">
        <v>28</v>
      </c>
      <c r="M2536" s="11" t="s">
        <v>28</v>
      </c>
      <c r="N2536" s="8">
        <v>44886</v>
      </c>
      <c r="O2536" s="9" t="s">
        <v>73</v>
      </c>
      <c r="P2536" s="12" t="s">
        <v>8612</v>
      </c>
      <c r="Q2536" s="9" t="s">
        <v>37</v>
      </c>
      <c r="R2536" s="14" t="str">
        <f>HYPERLINK("https://my.pitchbook.com?c=205936-75T","View Company Online")</f>
        <v>View Company Online</v>
      </c>
    </row>
    <row r="2537" spans="1:18" hidden="1" x14ac:dyDescent="0.3">
      <c r="A2537" s="15" t="s">
        <v>8613</v>
      </c>
      <c r="B2537" s="15" t="s">
        <v>8614</v>
      </c>
      <c r="C2537" s="18" t="s">
        <v>28</v>
      </c>
      <c r="D2537" s="15" t="s">
        <v>8615</v>
      </c>
      <c r="E2537" s="18" t="s">
        <v>28</v>
      </c>
      <c r="F2537" s="19" t="s">
        <v>28</v>
      </c>
      <c r="G2537" s="19" t="s">
        <v>28</v>
      </c>
      <c r="H2537" s="19" t="s">
        <v>28</v>
      </c>
      <c r="I2537" s="18" t="s">
        <v>28</v>
      </c>
      <c r="J2537" s="18" t="s">
        <v>28</v>
      </c>
      <c r="K2537" s="18" t="s">
        <v>28</v>
      </c>
      <c r="L2537" s="18" t="s">
        <v>28</v>
      </c>
      <c r="M2537" s="18" t="s">
        <v>28</v>
      </c>
      <c r="N2537" s="17">
        <v>44883</v>
      </c>
      <c r="O2537" s="15" t="s">
        <v>73</v>
      </c>
      <c r="P2537" s="16" t="s">
        <v>8616</v>
      </c>
      <c r="Q2537" s="15" t="s">
        <v>37</v>
      </c>
      <c r="R2537" s="13" t="str">
        <f>HYPERLINK("https://my.pitchbook.com?c=215639-47T","View Company Online")</f>
        <v>View Company Online</v>
      </c>
    </row>
    <row r="2538" spans="1:18" hidden="1" x14ac:dyDescent="0.3">
      <c r="A2538" s="9" t="s">
        <v>8617</v>
      </c>
      <c r="B2538" s="9" t="s">
        <v>8618</v>
      </c>
      <c r="C2538" s="11" t="s">
        <v>28</v>
      </c>
      <c r="D2538" s="9" t="s">
        <v>8619</v>
      </c>
      <c r="E2538" s="11" t="s">
        <v>28</v>
      </c>
      <c r="F2538" s="10" t="s">
        <v>28</v>
      </c>
      <c r="G2538" s="10" t="s">
        <v>28</v>
      </c>
      <c r="H2538" s="10" t="s">
        <v>28</v>
      </c>
      <c r="I2538" s="11" t="s">
        <v>28</v>
      </c>
      <c r="J2538" s="11" t="s">
        <v>28</v>
      </c>
      <c r="K2538" s="11" t="s">
        <v>28</v>
      </c>
      <c r="L2538" s="11" t="s">
        <v>28</v>
      </c>
      <c r="M2538" s="11" t="s">
        <v>28</v>
      </c>
      <c r="N2538" s="8">
        <v>44882</v>
      </c>
      <c r="O2538" s="9" t="s">
        <v>52</v>
      </c>
      <c r="P2538" s="12" t="s">
        <v>8620</v>
      </c>
      <c r="Q2538" s="9" t="s">
        <v>43</v>
      </c>
      <c r="R2538" s="14" t="str">
        <f>HYPERLINK("https://my.pitchbook.com?c=269335-81T","View Company Online")</f>
        <v>View Company Online</v>
      </c>
    </row>
    <row r="2539" spans="1:18" hidden="1" x14ac:dyDescent="0.3">
      <c r="A2539" s="15" t="s">
        <v>8621</v>
      </c>
      <c r="B2539" s="15" t="s">
        <v>8622</v>
      </c>
      <c r="C2539" s="18" t="s">
        <v>28</v>
      </c>
      <c r="D2539" s="15" t="s">
        <v>8623</v>
      </c>
      <c r="E2539" s="18" t="s">
        <v>28</v>
      </c>
      <c r="F2539" s="19">
        <v>0.28000000000000003</v>
      </c>
      <c r="G2539" s="19">
        <v>0.01</v>
      </c>
      <c r="H2539" s="19">
        <v>0.28000000000000003</v>
      </c>
      <c r="I2539" s="18" t="s">
        <v>28</v>
      </c>
      <c r="J2539" s="18" t="s">
        <v>28</v>
      </c>
      <c r="K2539" s="18" t="s">
        <v>28</v>
      </c>
      <c r="L2539" s="18" t="s">
        <v>28</v>
      </c>
      <c r="M2539" s="18" t="s">
        <v>28</v>
      </c>
      <c r="N2539" s="17">
        <v>44882</v>
      </c>
      <c r="O2539" s="15" t="s">
        <v>30</v>
      </c>
      <c r="P2539" s="16" t="s">
        <v>8624</v>
      </c>
      <c r="Q2539" s="15" t="s">
        <v>348</v>
      </c>
      <c r="R2539" s="13" t="str">
        <f>HYPERLINK("https://my.pitchbook.com?c=256433-14T","View Company Online")</f>
        <v>View Company Online</v>
      </c>
    </row>
    <row r="2540" spans="1:18" hidden="1" x14ac:dyDescent="0.3">
      <c r="A2540" s="9" t="s">
        <v>8625</v>
      </c>
      <c r="B2540" s="9" t="s">
        <v>8626</v>
      </c>
      <c r="C2540" s="11" t="s">
        <v>28</v>
      </c>
      <c r="D2540" s="9" t="s">
        <v>8627</v>
      </c>
      <c r="E2540" s="11" t="s">
        <v>28</v>
      </c>
      <c r="F2540" s="10" t="s">
        <v>28</v>
      </c>
      <c r="G2540" s="10">
        <v>0.78</v>
      </c>
      <c r="H2540" s="10">
        <v>0.78</v>
      </c>
      <c r="I2540" s="11" t="s">
        <v>28</v>
      </c>
      <c r="J2540" s="11" t="s">
        <v>28</v>
      </c>
      <c r="K2540" s="11" t="s">
        <v>28</v>
      </c>
      <c r="L2540" s="11" t="s">
        <v>28</v>
      </c>
      <c r="M2540" s="11" t="s">
        <v>28</v>
      </c>
      <c r="N2540" s="8">
        <v>44882</v>
      </c>
      <c r="O2540" s="9" t="s">
        <v>30</v>
      </c>
      <c r="P2540" s="12" t="s">
        <v>8628</v>
      </c>
      <c r="Q2540" s="9" t="s">
        <v>774</v>
      </c>
      <c r="R2540" s="14" t="str">
        <f>HYPERLINK("https://my.pitchbook.com?c=209000-53T","View Company Online")</f>
        <v>View Company Online</v>
      </c>
    </row>
    <row r="2541" spans="1:18" hidden="1" x14ac:dyDescent="0.3">
      <c r="A2541" s="15" t="s">
        <v>8629</v>
      </c>
      <c r="B2541" s="15" t="s">
        <v>8630</v>
      </c>
      <c r="C2541" s="18" t="s">
        <v>28</v>
      </c>
      <c r="D2541" s="15" t="s">
        <v>8631</v>
      </c>
      <c r="E2541" s="18" t="s">
        <v>28</v>
      </c>
      <c r="F2541" s="19" t="s">
        <v>28</v>
      </c>
      <c r="G2541" s="19" t="s">
        <v>28</v>
      </c>
      <c r="H2541" s="19" t="s">
        <v>28</v>
      </c>
      <c r="I2541" s="18" t="s">
        <v>28</v>
      </c>
      <c r="J2541" s="18" t="s">
        <v>28</v>
      </c>
      <c r="K2541" s="18" t="s">
        <v>28</v>
      </c>
      <c r="L2541" s="18" t="s">
        <v>28</v>
      </c>
      <c r="M2541" s="18" t="s">
        <v>28</v>
      </c>
      <c r="N2541" s="17">
        <v>44882</v>
      </c>
      <c r="O2541" s="15" t="s">
        <v>30</v>
      </c>
      <c r="P2541" s="16" t="s">
        <v>2694</v>
      </c>
      <c r="Q2541" s="15" t="s">
        <v>37</v>
      </c>
      <c r="R2541" s="13" t="str">
        <f>HYPERLINK("https://my.pitchbook.com?c=209080-63T","View Company Online")</f>
        <v>View Company Online</v>
      </c>
    </row>
    <row r="2542" spans="1:18" hidden="1" x14ac:dyDescent="0.3">
      <c r="A2542" s="9" t="s">
        <v>8632</v>
      </c>
      <c r="B2542" s="9" t="s">
        <v>8633</v>
      </c>
      <c r="C2542" s="11" t="s">
        <v>28</v>
      </c>
      <c r="D2542" s="9" t="s">
        <v>8634</v>
      </c>
      <c r="E2542" s="11" t="s">
        <v>28</v>
      </c>
      <c r="F2542" s="10" t="s">
        <v>28</v>
      </c>
      <c r="G2542" s="10">
        <v>1.91</v>
      </c>
      <c r="H2542" s="10">
        <v>9.5399999999999991</v>
      </c>
      <c r="I2542" s="11" t="s">
        <v>28</v>
      </c>
      <c r="J2542" s="11" t="s">
        <v>28</v>
      </c>
      <c r="K2542" s="11" t="s">
        <v>28</v>
      </c>
      <c r="L2542" s="11" t="s">
        <v>28</v>
      </c>
      <c r="M2542" s="11" t="s">
        <v>28</v>
      </c>
      <c r="N2542" s="8">
        <v>44882</v>
      </c>
      <c r="O2542" s="9" t="s">
        <v>79</v>
      </c>
      <c r="P2542" s="12" t="s">
        <v>8635</v>
      </c>
      <c r="Q2542" s="9" t="s">
        <v>2168</v>
      </c>
      <c r="R2542" s="14" t="str">
        <f>HYPERLINK("https://my.pitchbook.com?c=179682-31T","View Company Online")</f>
        <v>View Company Online</v>
      </c>
    </row>
    <row r="2543" spans="1:18" hidden="1" x14ac:dyDescent="0.3">
      <c r="A2543" s="15" t="s">
        <v>8636</v>
      </c>
      <c r="B2543" s="15" t="s">
        <v>8637</v>
      </c>
      <c r="C2543" s="18" t="s">
        <v>28</v>
      </c>
      <c r="D2543" s="15" t="s">
        <v>8638</v>
      </c>
      <c r="E2543" s="18" t="s">
        <v>28</v>
      </c>
      <c r="F2543" s="19" t="s">
        <v>28</v>
      </c>
      <c r="G2543" s="19" t="s">
        <v>28</v>
      </c>
      <c r="H2543" s="19" t="s">
        <v>28</v>
      </c>
      <c r="I2543" s="18" t="s">
        <v>28</v>
      </c>
      <c r="J2543" s="18" t="s">
        <v>28</v>
      </c>
      <c r="K2543" s="18" t="s">
        <v>28</v>
      </c>
      <c r="L2543" s="18" t="s">
        <v>28</v>
      </c>
      <c r="M2543" s="18" t="s">
        <v>28</v>
      </c>
      <c r="N2543" s="17">
        <v>44882</v>
      </c>
      <c r="O2543" s="15" t="s">
        <v>79</v>
      </c>
      <c r="P2543" s="16" t="s">
        <v>8639</v>
      </c>
      <c r="Q2543" s="15" t="s">
        <v>119</v>
      </c>
      <c r="R2543" s="13" t="str">
        <f>HYPERLINK("https://my.pitchbook.com?c=209699-56T","View Company Online")</f>
        <v>View Company Online</v>
      </c>
    </row>
    <row r="2544" spans="1:18" hidden="1" x14ac:dyDescent="0.3">
      <c r="A2544" s="9" t="s">
        <v>8640</v>
      </c>
      <c r="B2544" s="9" t="s">
        <v>8641</v>
      </c>
      <c r="C2544" s="11" t="s">
        <v>28</v>
      </c>
      <c r="D2544" s="9" t="s">
        <v>8642</v>
      </c>
      <c r="E2544" s="11" t="s">
        <v>28</v>
      </c>
      <c r="F2544" s="10" t="s">
        <v>28</v>
      </c>
      <c r="G2544" s="10" t="s">
        <v>28</v>
      </c>
      <c r="H2544" s="10" t="s">
        <v>28</v>
      </c>
      <c r="I2544" s="11" t="s">
        <v>28</v>
      </c>
      <c r="J2544" s="11" t="s">
        <v>28</v>
      </c>
      <c r="K2544" s="11" t="s">
        <v>28</v>
      </c>
      <c r="L2544" s="11" t="s">
        <v>28</v>
      </c>
      <c r="M2544" s="11" t="s">
        <v>28</v>
      </c>
      <c r="N2544" s="8">
        <v>44882</v>
      </c>
      <c r="O2544" s="9" t="s">
        <v>30</v>
      </c>
      <c r="P2544" s="12" t="s">
        <v>8643</v>
      </c>
      <c r="Q2544" s="9" t="s">
        <v>114</v>
      </c>
      <c r="R2544" s="14" t="str">
        <f>HYPERLINK("https://my.pitchbook.com?c=208918-72T","View Company Online")</f>
        <v>View Company Online</v>
      </c>
    </row>
    <row r="2545" spans="1:18" hidden="1" x14ac:dyDescent="0.3">
      <c r="A2545" s="15" t="s">
        <v>8644</v>
      </c>
      <c r="B2545" s="15" t="s">
        <v>4051</v>
      </c>
      <c r="C2545" s="18" t="s">
        <v>28</v>
      </c>
      <c r="D2545" s="15" t="s">
        <v>4052</v>
      </c>
      <c r="E2545" s="18" t="s">
        <v>28</v>
      </c>
      <c r="F2545" s="19" t="s">
        <v>28</v>
      </c>
      <c r="G2545" s="19" t="s">
        <v>28</v>
      </c>
      <c r="H2545" s="19" t="s">
        <v>28</v>
      </c>
      <c r="I2545" s="18" t="s">
        <v>28</v>
      </c>
      <c r="J2545" s="18" t="s">
        <v>28</v>
      </c>
      <c r="K2545" s="18">
        <v>95.29</v>
      </c>
      <c r="L2545" s="18" t="s">
        <v>28</v>
      </c>
      <c r="M2545" s="18" t="s">
        <v>28</v>
      </c>
      <c r="N2545" s="17">
        <v>44882</v>
      </c>
      <c r="O2545" s="15" t="s">
        <v>30</v>
      </c>
      <c r="P2545" s="16" t="s">
        <v>8645</v>
      </c>
      <c r="Q2545" s="15" t="s">
        <v>169</v>
      </c>
      <c r="R2545" s="13" t="str">
        <f>HYPERLINK("https://my.pitchbook.com?c=215980-93T","View Company Online")</f>
        <v>View Company Online</v>
      </c>
    </row>
    <row r="2546" spans="1:18" hidden="1" x14ac:dyDescent="0.3">
      <c r="A2546" s="9" t="s">
        <v>8646</v>
      </c>
      <c r="B2546" s="9" t="s">
        <v>8647</v>
      </c>
      <c r="C2546" s="11" t="s">
        <v>28</v>
      </c>
      <c r="D2546" s="9" t="s">
        <v>8648</v>
      </c>
      <c r="E2546" s="11" t="s">
        <v>28</v>
      </c>
      <c r="F2546" s="10" t="s">
        <v>28</v>
      </c>
      <c r="G2546" s="10" t="s">
        <v>28</v>
      </c>
      <c r="H2546" s="10" t="s">
        <v>28</v>
      </c>
      <c r="I2546" s="11" t="s">
        <v>28</v>
      </c>
      <c r="J2546" s="11" t="s">
        <v>28</v>
      </c>
      <c r="K2546" s="11" t="s">
        <v>28</v>
      </c>
      <c r="L2546" s="11" t="s">
        <v>28</v>
      </c>
      <c r="M2546" s="11" t="s">
        <v>28</v>
      </c>
      <c r="N2546" s="8">
        <v>44881</v>
      </c>
      <c r="O2546" s="9" t="s">
        <v>93</v>
      </c>
      <c r="P2546" s="12" t="s">
        <v>168</v>
      </c>
      <c r="Q2546" s="9" t="s">
        <v>245</v>
      </c>
      <c r="R2546" s="14" t="str">
        <f>HYPERLINK("https://my.pitchbook.com?c=219009-16T","View Company Online")</f>
        <v>View Company Online</v>
      </c>
    </row>
    <row r="2547" spans="1:18" hidden="1" x14ac:dyDescent="0.3">
      <c r="A2547" s="15" t="s">
        <v>8649</v>
      </c>
      <c r="B2547" s="15" t="s">
        <v>8650</v>
      </c>
      <c r="C2547" s="18" t="s">
        <v>28</v>
      </c>
      <c r="D2547" s="15" t="s">
        <v>8651</v>
      </c>
      <c r="E2547" s="18" t="s">
        <v>28</v>
      </c>
      <c r="F2547" s="19" t="s">
        <v>28</v>
      </c>
      <c r="G2547" s="19">
        <v>27.17</v>
      </c>
      <c r="H2547" s="19" t="s">
        <v>28</v>
      </c>
      <c r="I2547" s="18" t="s">
        <v>28</v>
      </c>
      <c r="J2547" s="18" t="s">
        <v>28</v>
      </c>
      <c r="K2547" s="18" t="s">
        <v>28</v>
      </c>
      <c r="L2547" s="18" t="s">
        <v>28</v>
      </c>
      <c r="M2547" s="18" t="s">
        <v>28</v>
      </c>
      <c r="N2547" s="17">
        <v>44881</v>
      </c>
      <c r="O2547" s="15" t="s">
        <v>93</v>
      </c>
      <c r="P2547" s="16" t="s">
        <v>8652</v>
      </c>
      <c r="Q2547" s="15" t="s">
        <v>470</v>
      </c>
      <c r="R2547" s="13" t="str">
        <f>HYPERLINK("https://my.pitchbook.com?c=207536-41T","View Company Online")</f>
        <v>View Company Online</v>
      </c>
    </row>
    <row r="2548" spans="1:18" hidden="1" x14ac:dyDescent="0.3">
      <c r="A2548" s="9" t="s">
        <v>8653</v>
      </c>
      <c r="B2548" s="9" t="s">
        <v>8654</v>
      </c>
      <c r="C2548" s="11" t="s">
        <v>28</v>
      </c>
      <c r="D2548" s="9" t="s">
        <v>8655</v>
      </c>
      <c r="E2548" s="11" t="s">
        <v>28</v>
      </c>
      <c r="F2548" s="10" t="s">
        <v>28</v>
      </c>
      <c r="G2548" s="10" t="s">
        <v>28</v>
      </c>
      <c r="H2548" s="10" t="s">
        <v>28</v>
      </c>
      <c r="I2548" s="11" t="s">
        <v>28</v>
      </c>
      <c r="J2548" s="11" t="s">
        <v>28</v>
      </c>
      <c r="K2548" s="11" t="s">
        <v>28</v>
      </c>
      <c r="L2548" s="11" t="s">
        <v>28</v>
      </c>
      <c r="M2548" s="11" t="s">
        <v>28</v>
      </c>
      <c r="N2548" s="8">
        <v>44881</v>
      </c>
      <c r="O2548" s="9" t="s">
        <v>52</v>
      </c>
      <c r="P2548" s="12" t="s">
        <v>521</v>
      </c>
      <c r="Q2548" s="9" t="s">
        <v>6142</v>
      </c>
      <c r="R2548" s="14" t="str">
        <f>HYPERLINK("https://my.pitchbook.com?c=300006-28T","View Company Online")</f>
        <v>View Company Online</v>
      </c>
    </row>
    <row r="2549" spans="1:18" hidden="1" x14ac:dyDescent="0.3">
      <c r="A2549" s="15" t="s">
        <v>8656</v>
      </c>
      <c r="B2549" s="15" t="s">
        <v>8657</v>
      </c>
      <c r="C2549" s="18" t="s">
        <v>28</v>
      </c>
      <c r="D2549" s="15" t="s">
        <v>8658</v>
      </c>
      <c r="E2549" s="18" t="s">
        <v>28</v>
      </c>
      <c r="F2549" s="19" t="s">
        <v>28</v>
      </c>
      <c r="G2549" s="19" t="s">
        <v>28</v>
      </c>
      <c r="H2549" s="19" t="s">
        <v>28</v>
      </c>
      <c r="I2549" s="18" t="s">
        <v>28</v>
      </c>
      <c r="J2549" s="18" t="s">
        <v>28</v>
      </c>
      <c r="K2549" s="18" t="s">
        <v>28</v>
      </c>
      <c r="L2549" s="18" t="s">
        <v>28</v>
      </c>
      <c r="M2549" s="18" t="s">
        <v>28</v>
      </c>
      <c r="N2549" s="17">
        <v>44881</v>
      </c>
      <c r="O2549" s="15" t="s">
        <v>41</v>
      </c>
      <c r="P2549" s="16" t="s">
        <v>8659</v>
      </c>
      <c r="Q2549" s="15" t="s">
        <v>245</v>
      </c>
      <c r="R2549" s="13" t="str">
        <f>HYPERLINK("https://my.pitchbook.com?c=214769-17T","View Company Online")</f>
        <v>View Company Online</v>
      </c>
    </row>
    <row r="2550" spans="1:18" hidden="1" x14ac:dyDescent="0.3">
      <c r="A2550" s="9" t="s">
        <v>8660</v>
      </c>
      <c r="B2550" s="9" t="s">
        <v>8661</v>
      </c>
      <c r="C2550" s="11" t="s">
        <v>28</v>
      </c>
      <c r="D2550" s="9" t="s">
        <v>8662</v>
      </c>
      <c r="E2550" s="11" t="s">
        <v>28</v>
      </c>
      <c r="F2550" s="10" t="s">
        <v>28</v>
      </c>
      <c r="G2550" s="10" t="s">
        <v>28</v>
      </c>
      <c r="H2550" s="10" t="s">
        <v>28</v>
      </c>
      <c r="I2550" s="11" t="s">
        <v>28</v>
      </c>
      <c r="J2550" s="11" t="s">
        <v>28</v>
      </c>
      <c r="K2550" s="11" t="s">
        <v>28</v>
      </c>
      <c r="L2550" s="11" t="s">
        <v>28</v>
      </c>
      <c r="M2550" s="11" t="s">
        <v>28</v>
      </c>
      <c r="N2550" s="8">
        <v>44880</v>
      </c>
      <c r="O2550" s="9" t="s">
        <v>30</v>
      </c>
      <c r="P2550" s="12" t="s">
        <v>8663</v>
      </c>
      <c r="Q2550" s="9" t="s">
        <v>37</v>
      </c>
      <c r="R2550" s="14" t="str">
        <f>HYPERLINK("https://my.pitchbook.com?c=208826-74T","View Company Online")</f>
        <v>View Company Online</v>
      </c>
    </row>
    <row r="2551" spans="1:18" hidden="1" x14ac:dyDescent="0.3">
      <c r="A2551" s="15" t="s">
        <v>8664</v>
      </c>
      <c r="B2551" s="15" t="s">
        <v>8337</v>
      </c>
      <c r="C2551" s="18" t="s">
        <v>28</v>
      </c>
      <c r="D2551" s="15" t="s">
        <v>8338</v>
      </c>
      <c r="E2551" s="18" t="s">
        <v>28</v>
      </c>
      <c r="F2551" s="19" t="s">
        <v>28</v>
      </c>
      <c r="G2551" s="19">
        <v>0.55000000000000004</v>
      </c>
      <c r="H2551" s="19" t="s">
        <v>28</v>
      </c>
      <c r="I2551" s="18" t="s">
        <v>28</v>
      </c>
      <c r="J2551" s="18" t="s">
        <v>28</v>
      </c>
      <c r="K2551" s="18">
        <v>0.57999999999999996</v>
      </c>
      <c r="L2551" s="18" t="s">
        <v>28</v>
      </c>
      <c r="M2551" s="18" t="s">
        <v>28</v>
      </c>
      <c r="N2551" s="17">
        <v>44880</v>
      </c>
      <c r="O2551" s="15" t="s">
        <v>99</v>
      </c>
      <c r="P2551" s="16" t="s">
        <v>8665</v>
      </c>
      <c r="Q2551" s="15" t="s">
        <v>75</v>
      </c>
      <c r="R2551" s="13" t="str">
        <f>HYPERLINK("https://my.pitchbook.com?c=210980-80T","View Company Online")</f>
        <v>View Company Online</v>
      </c>
    </row>
    <row r="2552" spans="1:18" hidden="1" x14ac:dyDescent="0.3">
      <c r="A2552" s="9" t="s">
        <v>8666</v>
      </c>
      <c r="B2552" s="9" t="s">
        <v>8667</v>
      </c>
      <c r="C2552" s="11" t="s">
        <v>28</v>
      </c>
      <c r="D2552" s="9" t="s">
        <v>8668</v>
      </c>
      <c r="E2552" s="11" t="s">
        <v>28</v>
      </c>
      <c r="F2552" s="10" t="s">
        <v>28</v>
      </c>
      <c r="G2552" s="10">
        <v>0.02</v>
      </c>
      <c r="H2552" s="10" t="s">
        <v>28</v>
      </c>
      <c r="I2552" s="11" t="s">
        <v>28</v>
      </c>
      <c r="J2552" s="11" t="s">
        <v>28</v>
      </c>
      <c r="K2552" s="11" t="s">
        <v>28</v>
      </c>
      <c r="L2552" s="11" t="s">
        <v>28</v>
      </c>
      <c r="M2552" s="11" t="s">
        <v>28</v>
      </c>
      <c r="N2552" s="8">
        <v>44880</v>
      </c>
      <c r="O2552" s="9" t="s">
        <v>52</v>
      </c>
      <c r="P2552" s="12" t="s">
        <v>408</v>
      </c>
      <c r="Q2552" s="9" t="s">
        <v>8669</v>
      </c>
      <c r="R2552" s="14" t="str">
        <f>HYPERLINK("https://my.pitchbook.com?c=252600-40T","View Company Online")</f>
        <v>View Company Online</v>
      </c>
    </row>
    <row r="2553" spans="1:18" hidden="1" x14ac:dyDescent="0.3">
      <c r="A2553" s="15" t="s">
        <v>8670</v>
      </c>
      <c r="B2553" s="15" t="s">
        <v>8671</v>
      </c>
      <c r="C2553" s="18" t="s">
        <v>28</v>
      </c>
      <c r="D2553" s="15" t="s">
        <v>8672</v>
      </c>
      <c r="E2553" s="18" t="s">
        <v>28</v>
      </c>
      <c r="F2553" s="19" t="s">
        <v>28</v>
      </c>
      <c r="G2553" s="19">
        <v>0.76</v>
      </c>
      <c r="H2553" s="19" t="s">
        <v>28</v>
      </c>
      <c r="I2553" s="18" t="s">
        <v>28</v>
      </c>
      <c r="J2553" s="18" t="s">
        <v>28</v>
      </c>
      <c r="K2553" s="18" t="s">
        <v>28</v>
      </c>
      <c r="L2553" s="18" t="s">
        <v>28</v>
      </c>
      <c r="M2553" s="18" t="s">
        <v>28</v>
      </c>
      <c r="N2553" s="17">
        <v>44879</v>
      </c>
      <c r="O2553" s="15" t="s">
        <v>379</v>
      </c>
      <c r="P2553" s="16" t="s">
        <v>8673</v>
      </c>
      <c r="Q2553" s="15" t="s">
        <v>299</v>
      </c>
      <c r="R2553" s="13" t="str">
        <f>HYPERLINK("https://my.pitchbook.com?c=209357-92T","View Company Online")</f>
        <v>View Company Online</v>
      </c>
    </row>
    <row r="2554" spans="1:18" hidden="1" x14ac:dyDescent="0.3">
      <c r="A2554" s="9" t="s">
        <v>8674</v>
      </c>
      <c r="B2554" s="9" t="s">
        <v>8675</v>
      </c>
      <c r="C2554" s="11" t="s">
        <v>28</v>
      </c>
      <c r="D2554" s="9" t="s">
        <v>8676</v>
      </c>
      <c r="E2554" s="11" t="s">
        <v>28</v>
      </c>
      <c r="F2554" s="10" t="s">
        <v>28</v>
      </c>
      <c r="G2554" s="10">
        <v>3.63</v>
      </c>
      <c r="H2554" s="10" t="s">
        <v>28</v>
      </c>
      <c r="I2554" s="11" t="s">
        <v>28</v>
      </c>
      <c r="J2554" s="11" t="s">
        <v>28</v>
      </c>
      <c r="K2554" s="11" t="s">
        <v>28</v>
      </c>
      <c r="L2554" s="11" t="s">
        <v>28</v>
      </c>
      <c r="M2554" s="11" t="s">
        <v>28</v>
      </c>
      <c r="N2554" s="8">
        <v>44879</v>
      </c>
      <c r="O2554" s="9" t="s">
        <v>99</v>
      </c>
      <c r="P2554" s="12" t="s">
        <v>8677</v>
      </c>
      <c r="Q2554" s="9" t="s">
        <v>386</v>
      </c>
      <c r="R2554" s="14" t="str">
        <f>HYPERLINK("https://my.pitchbook.com?c=208374-67T","View Company Online")</f>
        <v>View Company Online</v>
      </c>
    </row>
    <row r="2555" spans="1:18" hidden="1" x14ac:dyDescent="0.3">
      <c r="A2555" s="15" t="s">
        <v>8678</v>
      </c>
      <c r="B2555" s="15" t="s">
        <v>8679</v>
      </c>
      <c r="C2555" s="18" t="s">
        <v>28</v>
      </c>
      <c r="D2555" s="15" t="s">
        <v>8680</v>
      </c>
      <c r="E2555" s="18" t="s">
        <v>28</v>
      </c>
      <c r="F2555" s="19" t="s">
        <v>28</v>
      </c>
      <c r="G2555" s="19" t="s">
        <v>28</v>
      </c>
      <c r="H2555" s="19" t="s">
        <v>28</v>
      </c>
      <c r="I2555" s="18" t="s">
        <v>28</v>
      </c>
      <c r="J2555" s="18" t="s">
        <v>28</v>
      </c>
      <c r="K2555" s="18" t="s">
        <v>28</v>
      </c>
      <c r="L2555" s="18" t="s">
        <v>28</v>
      </c>
      <c r="M2555" s="18" t="s">
        <v>28</v>
      </c>
      <c r="N2555" s="17">
        <v>44876</v>
      </c>
      <c r="O2555" s="15" t="s">
        <v>41</v>
      </c>
      <c r="P2555" s="16" t="s">
        <v>8681</v>
      </c>
      <c r="Q2555" s="15" t="s">
        <v>136</v>
      </c>
      <c r="R2555" s="13" t="str">
        <f>HYPERLINK("https://my.pitchbook.com?c=244855-72T","View Company Online")</f>
        <v>View Company Online</v>
      </c>
    </row>
    <row r="2556" spans="1:18" hidden="1" x14ac:dyDescent="0.3">
      <c r="A2556" s="9" t="s">
        <v>8682</v>
      </c>
      <c r="B2556" s="9" t="s">
        <v>8683</v>
      </c>
      <c r="C2556" s="11" t="s">
        <v>28</v>
      </c>
      <c r="D2556" s="9" t="s">
        <v>8684</v>
      </c>
      <c r="E2556" s="11" t="s">
        <v>28</v>
      </c>
      <c r="F2556" s="10">
        <v>443.7</v>
      </c>
      <c r="G2556" s="10">
        <v>443.7</v>
      </c>
      <c r="H2556" s="10">
        <v>443.7</v>
      </c>
      <c r="I2556" s="11" t="s">
        <v>28</v>
      </c>
      <c r="J2556" s="11" t="s">
        <v>28</v>
      </c>
      <c r="K2556" s="11" t="s">
        <v>28</v>
      </c>
      <c r="L2556" s="11" t="s">
        <v>28</v>
      </c>
      <c r="M2556" s="11">
        <v>-85.81</v>
      </c>
      <c r="N2556" s="8">
        <v>44875</v>
      </c>
      <c r="O2556" s="9" t="s">
        <v>41</v>
      </c>
      <c r="P2556" s="12" t="s">
        <v>8685</v>
      </c>
      <c r="Q2556" s="9" t="s">
        <v>692</v>
      </c>
      <c r="R2556" s="14" t="str">
        <f>HYPERLINK("https://my.pitchbook.com?c=223461-19T","View Company Online")</f>
        <v>View Company Online</v>
      </c>
    </row>
    <row r="2557" spans="1:18" hidden="1" x14ac:dyDescent="0.3">
      <c r="A2557" s="15" t="s">
        <v>8686</v>
      </c>
      <c r="B2557" s="15" t="s">
        <v>8687</v>
      </c>
      <c r="C2557" s="18" t="s">
        <v>28</v>
      </c>
      <c r="D2557" s="15" t="s">
        <v>8688</v>
      </c>
      <c r="E2557" s="18" t="s">
        <v>28</v>
      </c>
      <c r="F2557" s="19">
        <v>16.260000000000002</v>
      </c>
      <c r="G2557" s="19">
        <v>16.260000000000002</v>
      </c>
      <c r="H2557" s="19">
        <v>16.260000000000002</v>
      </c>
      <c r="I2557" s="18" t="s">
        <v>28</v>
      </c>
      <c r="J2557" s="18" t="s">
        <v>28</v>
      </c>
      <c r="K2557" s="18" t="s">
        <v>28</v>
      </c>
      <c r="L2557" s="18" t="s">
        <v>28</v>
      </c>
      <c r="M2557" s="18" t="s">
        <v>28</v>
      </c>
      <c r="N2557" s="17">
        <v>44875</v>
      </c>
      <c r="O2557" s="15" t="s">
        <v>30</v>
      </c>
      <c r="P2557" s="16" t="s">
        <v>8689</v>
      </c>
      <c r="Q2557" s="15" t="s">
        <v>1336</v>
      </c>
      <c r="R2557" s="13" t="str">
        <f>HYPERLINK("https://my.pitchbook.com?c=209166-76T","View Company Online")</f>
        <v>View Company Online</v>
      </c>
    </row>
    <row r="2558" spans="1:18" hidden="1" x14ac:dyDescent="0.3">
      <c r="A2558" s="9" t="s">
        <v>8690</v>
      </c>
      <c r="B2558" s="9" t="s">
        <v>8691</v>
      </c>
      <c r="C2558" s="11" t="s">
        <v>28</v>
      </c>
      <c r="D2558" s="9" t="s">
        <v>8692</v>
      </c>
      <c r="E2558" s="11" t="s">
        <v>28</v>
      </c>
      <c r="F2558" s="10" t="s">
        <v>28</v>
      </c>
      <c r="G2558" s="10" t="s">
        <v>28</v>
      </c>
      <c r="H2558" s="10" t="s">
        <v>28</v>
      </c>
      <c r="I2558" s="11" t="s">
        <v>28</v>
      </c>
      <c r="J2558" s="11" t="s">
        <v>28</v>
      </c>
      <c r="K2558" s="11" t="s">
        <v>28</v>
      </c>
      <c r="L2558" s="11" t="s">
        <v>28</v>
      </c>
      <c r="M2558" s="11" t="s">
        <v>28</v>
      </c>
      <c r="N2558" s="8">
        <v>44875</v>
      </c>
      <c r="O2558" s="9" t="s">
        <v>30</v>
      </c>
      <c r="P2558" s="12" t="s">
        <v>8693</v>
      </c>
      <c r="Q2558" s="9" t="s">
        <v>37</v>
      </c>
      <c r="R2558" s="14" t="str">
        <f>HYPERLINK("https://my.pitchbook.com?c=209178-01T","View Company Online")</f>
        <v>View Company Online</v>
      </c>
    </row>
    <row r="2559" spans="1:18" hidden="1" x14ac:dyDescent="0.3">
      <c r="A2559" s="15" t="s">
        <v>8694</v>
      </c>
      <c r="B2559" s="15" t="s">
        <v>8695</v>
      </c>
      <c r="C2559" s="18" t="s">
        <v>28</v>
      </c>
      <c r="D2559" s="15" t="s">
        <v>8696</v>
      </c>
      <c r="E2559" s="18" t="s">
        <v>28</v>
      </c>
      <c r="F2559" s="19" t="s">
        <v>28</v>
      </c>
      <c r="G2559" s="19" t="s">
        <v>28</v>
      </c>
      <c r="H2559" s="19" t="s">
        <v>28</v>
      </c>
      <c r="I2559" s="18" t="s">
        <v>28</v>
      </c>
      <c r="J2559" s="18" t="s">
        <v>28</v>
      </c>
      <c r="K2559" s="18" t="s">
        <v>28</v>
      </c>
      <c r="L2559" s="18" t="s">
        <v>28</v>
      </c>
      <c r="M2559" s="18" t="s">
        <v>28</v>
      </c>
      <c r="N2559" s="17">
        <v>44875</v>
      </c>
      <c r="O2559" s="15" t="s">
        <v>41</v>
      </c>
      <c r="P2559" s="16" t="s">
        <v>8697</v>
      </c>
      <c r="Q2559" s="15" t="s">
        <v>1051</v>
      </c>
      <c r="R2559" s="13" t="str">
        <f>HYPERLINK("https://my.pitchbook.com?c=219011-50T","View Company Online")</f>
        <v>View Company Online</v>
      </c>
    </row>
    <row r="2560" spans="1:18" hidden="1" x14ac:dyDescent="0.3">
      <c r="A2560" s="9" t="s">
        <v>8698</v>
      </c>
      <c r="B2560" s="9" t="s">
        <v>8699</v>
      </c>
      <c r="C2560" s="11" t="s">
        <v>28</v>
      </c>
      <c r="D2560" s="9" t="s">
        <v>8700</v>
      </c>
      <c r="E2560" s="11" t="s">
        <v>28</v>
      </c>
      <c r="F2560" s="10">
        <v>214.85</v>
      </c>
      <c r="G2560" s="10">
        <v>214.85</v>
      </c>
      <c r="H2560" s="10">
        <v>214.85</v>
      </c>
      <c r="I2560" s="11" t="s">
        <v>28</v>
      </c>
      <c r="J2560" s="11" t="s">
        <v>28</v>
      </c>
      <c r="K2560" s="11" t="s">
        <v>28</v>
      </c>
      <c r="L2560" s="11" t="s">
        <v>28</v>
      </c>
      <c r="M2560" s="11" t="s">
        <v>28</v>
      </c>
      <c r="N2560" s="8">
        <v>44874</v>
      </c>
      <c r="O2560" s="9" t="s">
        <v>30</v>
      </c>
      <c r="P2560" s="12" t="s">
        <v>8701</v>
      </c>
      <c r="Q2560" s="9" t="s">
        <v>75</v>
      </c>
      <c r="R2560" s="14" t="str">
        <f>HYPERLINK("https://my.pitchbook.com?c=208082-53T","View Company Online")</f>
        <v>View Company Online</v>
      </c>
    </row>
    <row r="2561" spans="1:18" hidden="1" x14ac:dyDescent="0.3">
      <c r="A2561" s="15" t="s">
        <v>8702</v>
      </c>
      <c r="B2561" s="15" t="s">
        <v>8703</v>
      </c>
      <c r="C2561" s="18" t="s">
        <v>28</v>
      </c>
      <c r="D2561" s="15" t="s">
        <v>8704</v>
      </c>
      <c r="E2561" s="18" t="s">
        <v>28</v>
      </c>
      <c r="F2561" s="19" t="s">
        <v>28</v>
      </c>
      <c r="G2561" s="19">
        <v>0.77</v>
      </c>
      <c r="H2561" s="19" t="s">
        <v>28</v>
      </c>
      <c r="I2561" s="18" t="s">
        <v>28</v>
      </c>
      <c r="J2561" s="18" t="s">
        <v>28</v>
      </c>
      <c r="K2561" s="18" t="s">
        <v>28</v>
      </c>
      <c r="L2561" s="18" t="s">
        <v>28</v>
      </c>
      <c r="M2561" s="18" t="s">
        <v>28</v>
      </c>
      <c r="N2561" s="17">
        <v>44874</v>
      </c>
      <c r="O2561" s="15" t="s">
        <v>99</v>
      </c>
      <c r="P2561" s="16" t="s">
        <v>8705</v>
      </c>
      <c r="Q2561" s="15" t="s">
        <v>37</v>
      </c>
      <c r="R2561" s="13" t="str">
        <f>HYPERLINK("https://my.pitchbook.com?c=208031-05T","View Company Online")</f>
        <v>View Company Online</v>
      </c>
    </row>
    <row r="2562" spans="1:18" hidden="1" x14ac:dyDescent="0.3">
      <c r="A2562" s="9" t="s">
        <v>8706</v>
      </c>
      <c r="B2562" s="9" t="s">
        <v>8707</v>
      </c>
      <c r="C2562" s="11" t="s">
        <v>28</v>
      </c>
      <c r="D2562" s="9" t="s">
        <v>8708</v>
      </c>
      <c r="E2562" s="11" t="s">
        <v>28</v>
      </c>
      <c r="F2562" s="10" t="s">
        <v>28</v>
      </c>
      <c r="G2562" s="10">
        <v>16</v>
      </c>
      <c r="H2562" s="10" t="s">
        <v>28</v>
      </c>
      <c r="I2562" s="11" t="s">
        <v>28</v>
      </c>
      <c r="J2562" s="11" t="s">
        <v>28</v>
      </c>
      <c r="K2562" s="11" t="s">
        <v>28</v>
      </c>
      <c r="L2562" s="11" t="s">
        <v>28</v>
      </c>
      <c r="M2562" s="11" t="s">
        <v>28</v>
      </c>
      <c r="N2562" s="8">
        <v>44874</v>
      </c>
      <c r="O2562" s="9" t="s">
        <v>73</v>
      </c>
      <c r="P2562" s="12" t="s">
        <v>8709</v>
      </c>
      <c r="Q2562" s="9" t="s">
        <v>696</v>
      </c>
      <c r="R2562" s="14" t="str">
        <f>HYPERLINK("https://my.pitchbook.com?c=195729-04T","View Company Online")</f>
        <v>View Company Online</v>
      </c>
    </row>
    <row r="2563" spans="1:18" hidden="1" x14ac:dyDescent="0.3">
      <c r="A2563" s="15" t="s">
        <v>8710</v>
      </c>
      <c r="B2563" s="15" t="s">
        <v>8711</v>
      </c>
      <c r="C2563" s="18" t="s">
        <v>28</v>
      </c>
      <c r="D2563" s="15" t="s">
        <v>8712</v>
      </c>
      <c r="E2563" s="18" t="s">
        <v>28</v>
      </c>
      <c r="F2563" s="19" t="s">
        <v>28</v>
      </c>
      <c r="G2563" s="19" t="s">
        <v>28</v>
      </c>
      <c r="H2563" s="19" t="s">
        <v>28</v>
      </c>
      <c r="I2563" s="18" t="s">
        <v>28</v>
      </c>
      <c r="J2563" s="18" t="s">
        <v>28</v>
      </c>
      <c r="K2563" s="18">
        <v>16373.5</v>
      </c>
      <c r="L2563" s="18" t="s">
        <v>28</v>
      </c>
      <c r="M2563" s="18" t="s">
        <v>28</v>
      </c>
      <c r="N2563" s="17">
        <v>44873</v>
      </c>
      <c r="O2563" s="15" t="s">
        <v>30</v>
      </c>
      <c r="P2563" s="16" t="s">
        <v>8713</v>
      </c>
      <c r="Q2563" s="15" t="s">
        <v>386</v>
      </c>
      <c r="R2563" s="13" t="str">
        <f>HYPERLINK("https://my.pitchbook.com?c=202665-97T","View Company Online")</f>
        <v>View Company Online</v>
      </c>
    </row>
    <row r="2564" spans="1:18" hidden="1" x14ac:dyDescent="0.3">
      <c r="A2564" s="9" t="s">
        <v>8714</v>
      </c>
      <c r="B2564" s="9" t="s">
        <v>3045</v>
      </c>
      <c r="C2564" s="11" t="s">
        <v>28</v>
      </c>
      <c r="D2564" s="9" t="s">
        <v>3046</v>
      </c>
      <c r="E2564" s="11" t="s">
        <v>28</v>
      </c>
      <c r="F2564" s="10" t="s">
        <v>28</v>
      </c>
      <c r="G2564" s="10" t="s">
        <v>28</v>
      </c>
      <c r="H2564" s="10" t="s">
        <v>28</v>
      </c>
      <c r="I2564" s="11" t="s">
        <v>28</v>
      </c>
      <c r="J2564" s="11" t="s">
        <v>28</v>
      </c>
      <c r="K2564" s="11" t="s">
        <v>28</v>
      </c>
      <c r="L2564" s="11" t="s">
        <v>28</v>
      </c>
      <c r="M2564" s="11" t="s">
        <v>28</v>
      </c>
      <c r="N2564" s="8">
        <v>44873</v>
      </c>
      <c r="O2564" s="9" t="s">
        <v>52</v>
      </c>
      <c r="P2564" s="12" t="s">
        <v>8715</v>
      </c>
      <c r="Q2564" s="9" t="s">
        <v>3048</v>
      </c>
      <c r="R2564" s="14" t="str">
        <f>HYPERLINK("https://my.pitchbook.com?c=217164-70T","View Company Online")</f>
        <v>View Company Online</v>
      </c>
    </row>
    <row r="2565" spans="1:18" hidden="1" x14ac:dyDescent="0.3">
      <c r="A2565" s="15" t="s">
        <v>8716</v>
      </c>
      <c r="B2565" s="15" t="s">
        <v>8717</v>
      </c>
      <c r="C2565" s="18" t="s">
        <v>28</v>
      </c>
      <c r="D2565" s="15" t="s">
        <v>8718</v>
      </c>
      <c r="E2565" s="18" t="s">
        <v>28</v>
      </c>
      <c r="F2565" s="19" t="s">
        <v>28</v>
      </c>
      <c r="G2565" s="19" t="s">
        <v>28</v>
      </c>
      <c r="H2565" s="19" t="s">
        <v>28</v>
      </c>
      <c r="I2565" s="18" t="s">
        <v>28</v>
      </c>
      <c r="J2565" s="18" t="s">
        <v>28</v>
      </c>
      <c r="K2565" s="18" t="s">
        <v>28</v>
      </c>
      <c r="L2565" s="18" t="s">
        <v>28</v>
      </c>
      <c r="M2565" s="18" t="s">
        <v>28</v>
      </c>
      <c r="N2565" s="17">
        <v>44872</v>
      </c>
      <c r="O2565" s="15" t="s">
        <v>30</v>
      </c>
      <c r="P2565" s="16" t="s">
        <v>1647</v>
      </c>
      <c r="Q2565" s="15" t="s">
        <v>245</v>
      </c>
      <c r="R2565" s="13" t="str">
        <f>HYPERLINK("https://my.pitchbook.com?c=207791-11T","View Company Online")</f>
        <v>View Company Online</v>
      </c>
    </row>
    <row r="2566" spans="1:18" hidden="1" x14ac:dyDescent="0.3">
      <c r="A2566" s="9" t="s">
        <v>8719</v>
      </c>
      <c r="B2566" s="9" t="s">
        <v>8720</v>
      </c>
      <c r="C2566" s="11" t="s">
        <v>28</v>
      </c>
      <c r="D2566" s="9" t="s">
        <v>8721</v>
      </c>
      <c r="E2566" s="11" t="s">
        <v>28</v>
      </c>
      <c r="F2566" s="10" t="s">
        <v>28</v>
      </c>
      <c r="G2566" s="10">
        <v>27.72</v>
      </c>
      <c r="H2566" s="10" t="s">
        <v>28</v>
      </c>
      <c r="I2566" s="11" t="s">
        <v>28</v>
      </c>
      <c r="J2566" s="11" t="s">
        <v>28</v>
      </c>
      <c r="K2566" s="11" t="s">
        <v>28</v>
      </c>
      <c r="L2566" s="11" t="s">
        <v>28</v>
      </c>
      <c r="M2566" s="11" t="s">
        <v>28</v>
      </c>
      <c r="N2566" s="8">
        <v>44872</v>
      </c>
      <c r="O2566" s="9" t="s">
        <v>58</v>
      </c>
      <c r="P2566" s="12" t="s">
        <v>813</v>
      </c>
      <c r="Q2566" s="9" t="s">
        <v>348</v>
      </c>
      <c r="R2566" s="14" t="str">
        <f>HYPERLINK("https://my.pitchbook.com?c=207979-21T","View Company Online")</f>
        <v>View Company Online</v>
      </c>
    </row>
    <row r="2567" spans="1:18" hidden="1" x14ac:dyDescent="0.3">
      <c r="A2567" s="15" t="s">
        <v>8722</v>
      </c>
      <c r="B2567" s="15" t="s">
        <v>8002</v>
      </c>
      <c r="C2567" s="18" t="s">
        <v>28</v>
      </c>
      <c r="D2567" s="15" t="s">
        <v>8003</v>
      </c>
      <c r="E2567" s="18" t="s">
        <v>28</v>
      </c>
      <c r="F2567" s="19" t="s">
        <v>28</v>
      </c>
      <c r="G2567" s="19">
        <v>0.01</v>
      </c>
      <c r="H2567" s="19" t="s">
        <v>28</v>
      </c>
      <c r="I2567" s="18" t="s">
        <v>28</v>
      </c>
      <c r="J2567" s="18" t="s">
        <v>28</v>
      </c>
      <c r="K2567" s="18" t="s">
        <v>28</v>
      </c>
      <c r="L2567" s="18" t="s">
        <v>28</v>
      </c>
      <c r="M2567" s="18" t="s">
        <v>28</v>
      </c>
      <c r="N2567" s="17">
        <v>44872</v>
      </c>
      <c r="O2567" s="15" t="s">
        <v>52</v>
      </c>
      <c r="P2567" s="16" t="s">
        <v>6176</v>
      </c>
      <c r="Q2567" s="15" t="s">
        <v>75</v>
      </c>
      <c r="R2567" s="13" t="str">
        <f>HYPERLINK("https://my.pitchbook.com?c=257851-72T","View Company Online")</f>
        <v>View Company Online</v>
      </c>
    </row>
    <row r="2568" spans="1:18" hidden="1" x14ac:dyDescent="0.3">
      <c r="A2568" s="9" t="s">
        <v>8723</v>
      </c>
      <c r="B2568" s="9" t="s">
        <v>8724</v>
      </c>
      <c r="C2568" s="11" t="s">
        <v>28</v>
      </c>
      <c r="D2568" s="9" t="s">
        <v>8725</v>
      </c>
      <c r="E2568" s="11" t="s">
        <v>28</v>
      </c>
      <c r="F2568" s="10" t="s">
        <v>28</v>
      </c>
      <c r="G2568" s="10" t="s">
        <v>28</v>
      </c>
      <c r="H2568" s="10" t="s">
        <v>28</v>
      </c>
      <c r="I2568" s="11" t="s">
        <v>28</v>
      </c>
      <c r="J2568" s="11" t="s">
        <v>28</v>
      </c>
      <c r="K2568" s="11" t="s">
        <v>28</v>
      </c>
      <c r="L2568" s="11" t="s">
        <v>28</v>
      </c>
      <c r="M2568" s="11" t="s">
        <v>28</v>
      </c>
      <c r="N2568" s="8">
        <v>44871</v>
      </c>
      <c r="O2568" s="9" t="s">
        <v>30</v>
      </c>
      <c r="P2568" s="12" t="s">
        <v>8726</v>
      </c>
      <c r="Q2568" s="9" t="s">
        <v>188</v>
      </c>
      <c r="R2568" s="14" t="str">
        <f>HYPERLINK("https://my.pitchbook.com?c=248233-69T","View Company Online")</f>
        <v>View Company Online</v>
      </c>
    </row>
    <row r="2569" spans="1:18" hidden="1" x14ac:dyDescent="0.3">
      <c r="A2569" s="15" t="s">
        <v>8727</v>
      </c>
      <c r="B2569" s="15" t="s">
        <v>8728</v>
      </c>
      <c r="C2569" s="18" t="s">
        <v>28</v>
      </c>
      <c r="D2569" s="15" t="s">
        <v>8729</v>
      </c>
      <c r="E2569" s="18" t="s">
        <v>28</v>
      </c>
      <c r="F2569" s="19" t="s">
        <v>28</v>
      </c>
      <c r="G2569" s="19" t="s">
        <v>28</v>
      </c>
      <c r="H2569" s="19" t="s">
        <v>28</v>
      </c>
      <c r="I2569" s="18" t="s">
        <v>28</v>
      </c>
      <c r="J2569" s="18" t="s">
        <v>28</v>
      </c>
      <c r="K2569" s="18" t="s">
        <v>28</v>
      </c>
      <c r="L2569" s="18" t="s">
        <v>28</v>
      </c>
      <c r="M2569" s="18" t="s">
        <v>28</v>
      </c>
      <c r="N2569" s="17">
        <v>44869</v>
      </c>
      <c r="O2569" s="15" t="s">
        <v>30</v>
      </c>
      <c r="P2569" s="16" t="s">
        <v>8730</v>
      </c>
      <c r="Q2569" s="15" t="s">
        <v>37</v>
      </c>
      <c r="R2569" s="13" t="str">
        <f>HYPERLINK("https://my.pitchbook.com?c=207731-17T","View Company Online")</f>
        <v>View Company Online</v>
      </c>
    </row>
    <row r="2570" spans="1:18" hidden="1" x14ac:dyDescent="0.3">
      <c r="A2570" s="9" t="s">
        <v>8731</v>
      </c>
      <c r="B2570" s="9" t="s">
        <v>8732</v>
      </c>
      <c r="C2570" s="11" t="s">
        <v>28</v>
      </c>
      <c r="D2570" s="9" t="s">
        <v>8733</v>
      </c>
      <c r="E2570" s="11" t="s">
        <v>28</v>
      </c>
      <c r="F2570" s="10">
        <v>41.6</v>
      </c>
      <c r="G2570" s="10">
        <v>41.6</v>
      </c>
      <c r="H2570" s="10">
        <v>41.6</v>
      </c>
      <c r="I2570" s="11" t="s">
        <v>28</v>
      </c>
      <c r="J2570" s="11" t="s">
        <v>28</v>
      </c>
      <c r="K2570" s="11" t="s">
        <v>28</v>
      </c>
      <c r="L2570" s="11" t="s">
        <v>28</v>
      </c>
      <c r="M2570" s="11" t="s">
        <v>28</v>
      </c>
      <c r="N2570" s="8">
        <v>44869</v>
      </c>
      <c r="O2570" s="9" t="s">
        <v>30</v>
      </c>
      <c r="P2570" s="12" t="s">
        <v>8734</v>
      </c>
      <c r="Q2570" s="9" t="s">
        <v>8735</v>
      </c>
      <c r="R2570" s="14" t="str">
        <f>HYPERLINK("https://my.pitchbook.com?c=246608-29T","View Company Online")</f>
        <v>View Company Online</v>
      </c>
    </row>
    <row r="2571" spans="1:18" hidden="1" x14ac:dyDescent="0.3">
      <c r="A2571" s="15" t="s">
        <v>8736</v>
      </c>
      <c r="B2571" s="15" t="s">
        <v>1260</v>
      </c>
      <c r="C2571" s="18" t="s">
        <v>28</v>
      </c>
      <c r="D2571" s="15" t="s">
        <v>1261</v>
      </c>
      <c r="E2571" s="18" t="s">
        <v>28</v>
      </c>
      <c r="F2571" s="19" t="s">
        <v>28</v>
      </c>
      <c r="G2571" s="19" t="s">
        <v>28</v>
      </c>
      <c r="H2571" s="19" t="s">
        <v>28</v>
      </c>
      <c r="I2571" s="18" t="s">
        <v>28</v>
      </c>
      <c r="J2571" s="18" t="s">
        <v>28</v>
      </c>
      <c r="K2571" s="18">
        <v>38.119999999999997</v>
      </c>
      <c r="L2571" s="18" t="s">
        <v>28</v>
      </c>
      <c r="M2571" s="18" t="s">
        <v>28</v>
      </c>
      <c r="N2571" s="17">
        <v>44868</v>
      </c>
      <c r="O2571" s="15" t="s">
        <v>79</v>
      </c>
      <c r="P2571" s="16" t="s">
        <v>8737</v>
      </c>
      <c r="Q2571" s="15" t="s">
        <v>1263</v>
      </c>
      <c r="R2571" s="13" t="str">
        <f>HYPERLINK("https://my.pitchbook.com?c=207617-95T","View Company Online")</f>
        <v>View Company Online</v>
      </c>
    </row>
    <row r="2572" spans="1:18" hidden="1" x14ac:dyDescent="0.3">
      <c r="A2572" s="9" t="s">
        <v>8738</v>
      </c>
      <c r="B2572" s="9" t="s">
        <v>8739</v>
      </c>
      <c r="C2572" s="11" t="s">
        <v>28</v>
      </c>
      <c r="D2572" s="9" t="s">
        <v>8740</v>
      </c>
      <c r="E2572" s="11" t="s">
        <v>28</v>
      </c>
      <c r="F2572" s="10" t="s">
        <v>28</v>
      </c>
      <c r="G2572" s="10" t="s">
        <v>28</v>
      </c>
      <c r="H2572" s="10" t="s">
        <v>28</v>
      </c>
      <c r="I2572" s="11" t="s">
        <v>28</v>
      </c>
      <c r="J2572" s="11" t="s">
        <v>28</v>
      </c>
      <c r="K2572" s="11" t="s">
        <v>28</v>
      </c>
      <c r="L2572" s="11" t="s">
        <v>28</v>
      </c>
      <c r="M2572" s="11" t="s">
        <v>28</v>
      </c>
      <c r="N2572" s="8">
        <v>44868</v>
      </c>
      <c r="O2572" s="9" t="s">
        <v>30</v>
      </c>
      <c r="P2572" s="12" t="s">
        <v>8741</v>
      </c>
      <c r="Q2572" s="9" t="s">
        <v>414</v>
      </c>
      <c r="R2572" s="14" t="str">
        <f>HYPERLINK("https://my.pitchbook.com?c=209046-07T","View Company Online")</f>
        <v>View Company Online</v>
      </c>
    </row>
    <row r="2573" spans="1:18" hidden="1" x14ac:dyDescent="0.3">
      <c r="A2573" s="15" t="s">
        <v>8742</v>
      </c>
      <c r="B2573" s="15" t="s">
        <v>1577</v>
      </c>
      <c r="C2573" s="18" t="s">
        <v>28</v>
      </c>
      <c r="D2573" s="15" t="s">
        <v>1578</v>
      </c>
      <c r="E2573" s="18" t="s">
        <v>28</v>
      </c>
      <c r="F2573" s="19" t="s">
        <v>28</v>
      </c>
      <c r="G2573" s="19">
        <v>0.11</v>
      </c>
      <c r="H2573" s="19">
        <v>2.27</v>
      </c>
      <c r="I2573" s="18" t="s">
        <v>28</v>
      </c>
      <c r="J2573" s="18" t="s">
        <v>28</v>
      </c>
      <c r="K2573" s="18" t="s">
        <v>28</v>
      </c>
      <c r="L2573" s="18" t="s">
        <v>28</v>
      </c>
      <c r="M2573" s="18" t="s">
        <v>28</v>
      </c>
      <c r="N2573" s="17">
        <v>44868</v>
      </c>
      <c r="O2573" s="15" t="s">
        <v>1639</v>
      </c>
      <c r="P2573" s="16" t="s">
        <v>611</v>
      </c>
      <c r="Q2573" s="15" t="s">
        <v>1580</v>
      </c>
      <c r="R2573" s="13" t="str">
        <f>HYPERLINK("https://my.pitchbook.com?c=210541-87T","View Company Online")</f>
        <v>View Company Online</v>
      </c>
    </row>
    <row r="2574" spans="1:18" hidden="1" x14ac:dyDescent="0.3">
      <c r="A2574" s="9" t="s">
        <v>8743</v>
      </c>
      <c r="B2574" s="9" t="s">
        <v>8744</v>
      </c>
      <c r="C2574" s="11" t="s">
        <v>28</v>
      </c>
      <c r="D2574" s="9" t="s">
        <v>8745</v>
      </c>
      <c r="E2574" s="11" t="s">
        <v>28</v>
      </c>
      <c r="F2574" s="10" t="s">
        <v>28</v>
      </c>
      <c r="G2574" s="10" t="s">
        <v>28</v>
      </c>
      <c r="H2574" s="10" t="s">
        <v>28</v>
      </c>
      <c r="I2574" s="11" t="s">
        <v>28</v>
      </c>
      <c r="J2574" s="11" t="s">
        <v>28</v>
      </c>
      <c r="K2574" s="11" t="s">
        <v>28</v>
      </c>
      <c r="L2574" s="11" t="s">
        <v>28</v>
      </c>
      <c r="M2574" s="11" t="s">
        <v>28</v>
      </c>
      <c r="N2574" s="8">
        <v>44868</v>
      </c>
      <c r="O2574" s="9" t="s">
        <v>99</v>
      </c>
      <c r="P2574" s="12" t="s">
        <v>28</v>
      </c>
      <c r="Q2574" s="9" t="s">
        <v>37</v>
      </c>
      <c r="R2574" s="14" t="str">
        <f>HYPERLINK("https://my.pitchbook.com?c=207649-00T","View Company Online")</f>
        <v>View Company Online</v>
      </c>
    </row>
    <row r="2575" spans="1:18" hidden="1" x14ac:dyDescent="0.3">
      <c r="A2575" s="15" t="s">
        <v>8746</v>
      </c>
      <c r="B2575" s="15" t="s">
        <v>8747</v>
      </c>
      <c r="C2575" s="18" t="s">
        <v>28</v>
      </c>
      <c r="D2575" s="15" t="s">
        <v>8748</v>
      </c>
      <c r="E2575" s="18" t="s">
        <v>28</v>
      </c>
      <c r="F2575" s="19" t="s">
        <v>28</v>
      </c>
      <c r="G2575" s="19" t="s">
        <v>28</v>
      </c>
      <c r="H2575" s="19" t="s">
        <v>28</v>
      </c>
      <c r="I2575" s="18" t="s">
        <v>28</v>
      </c>
      <c r="J2575" s="18" t="s">
        <v>28</v>
      </c>
      <c r="K2575" s="18" t="s">
        <v>28</v>
      </c>
      <c r="L2575" s="18" t="s">
        <v>28</v>
      </c>
      <c r="M2575" s="18" t="s">
        <v>28</v>
      </c>
      <c r="N2575" s="17">
        <v>44866</v>
      </c>
      <c r="O2575" s="15" t="s">
        <v>30</v>
      </c>
      <c r="P2575" s="16" t="s">
        <v>8749</v>
      </c>
      <c r="Q2575" s="15" t="s">
        <v>1007</v>
      </c>
      <c r="R2575" s="13" t="str">
        <f>HYPERLINK("https://my.pitchbook.com?c=208972-72T","View Company Online")</f>
        <v>View Company Online</v>
      </c>
    </row>
    <row r="2576" spans="1:18" hidden="1" x14ac:dyDescent="0.3">
      <c r="A2576" s="9" t="s">
        <v>8750</v>
      </c>
      <c r="B2576" s="9" t="s">
        <v>8751</v>
      </c>
      <c r="C2576" s="11" t="s">
        <v>28</v>
      </c>
      <c r="D2576" s="9" t="s">
        <v>8752</v>
      </c>
      <c r="E2576" s="11" t="s">
        <v>28</v>
      </c>
      <c r="F2576" s="10" t="s">
        <v>28</v>
      </c>
      <c r="G2576" s="10" t="s">
        <v>28</v>
      </c>
      <c r="H2576" s="10" t="s">
        <v>28</v>
      </c>
      <c r="I2576" s="11" t="s">
        <v>28</v>
      </c>
      <c r="J2576" s="11" t="s">
        <v>28</v>
      </c>
      <c r="K2576" s="11" t="s">
        <v>28</v>
      </c>
      <c r="L2576" s="11" t="s">
        <v>28</v>
      </c>
      <c r="M2576" s="11" t="s">
        <v>28</v>
      </c>
      <c r="N2576" s="8">
        <v>44866</v>
      </c>
      <c r="O2576" s="9" t="s">
        <v>30</v>
      </c>
      <c r="P2576" s="12" t="s">
        <v>8753</v>
      </c>
      <c r="Q2576" s="9" t="s">
        <v>8754</v>
      </c>
      <c r="R2576" s="14" t="str">
        <f>HYPERLINK("https://my.pitchbook.com?c=209955-25T","View Company Online")</f>
        <v>View Company Online</v>
      </c>
    </row>
    <row r="2577" spans="1:18" hidden="1" x14ac:dyDescent="0.3">
      <c r="A2577" s="15" t="s">
        <v>8755</v>
      </c>
      <c r="B2577" s="15" t="s">
        <v>3823</v>
      </c>
      <c r="C2577" s="18" t="s">
        <v>28</v>
      </c>
      <c r="D2577" s="15" t="s">
        <v>3824</v>
      </c>
      <c r="E2577" s="18" t="s">
        <v>28</v>
      </c>
      <c r="F2577" s="19" t="s">
        <v>28</v>
      </c>
      <c r="G2577" s="19" t="s">
        <v>28</v>
      </c>
      <c r="H2577" s="19" t="s">
        <v>28</v>
      </c>
      <c r="I2577" s="18" t="s">
        <v>28</v>
      </c>
      <c r="J2577" s="18" t="s">
        <v>28</v>
      </c>
      <c r="K2577" s="18" t="s">
        <v>28</v>
      </c>
      <c r="L2577" s="18" t="s">
        <v>28</v>
      </c>
      <c r="M2577" s="18" t="s">
        <v>28</v>
      </c>
      <c r="N2577" s="17">
        <v>44866</v>
      </c>
      <c r="O2577" s="15" t="s">
        <v>99</v>
      </c>
      <c r="P2577" s="16" t="s">
        <v>8756</v>
      </c>
      <c r="Q2577" s="15" t="s">
        <v>75</v>
      </c>
      <c r="R2577" s="13" t="str">
        <f>HYPERLINK("https://my.pitchbook.com?c=208421-65T","View Company Online")</f>
        <v>View Company Online</v>
      </c>
    </row>
    <row r="2578" spans="1:18" hidden="1" x14ac:dyDescent="0.3">
      <c r="A2578" s="9" t="s">
        <v>8757</v>
      </c>
      <c r="B2578" s="9" t="s">
        <v>8758</v>
      </c>
      <c r="C2578" s="11" t="s">
        <v>28</v>
      </c>
      <c r="D2578" s="9" t="s">
        <v>8759</v>
      </c>
      <c r="E2578" s="11" t="s">
        <v>28</v>
      </c>
      <c r="F2578" s="10" t="s">
        <v>28</v>
      </c>
      <c r="G2578" s="10" t="s">
        <v>28</v>
      </c>
      <c r="H2578" s="10" t="s">
        <v>28</v>
      </c>
      <c r="I2578" s="11" t="s">
        <v>28</v>
      </c>
      <c r="J2578" s="11" t="s">
        <v>28</v>
      </c>
      <c r="K2578" s="11" t="s">
        <v>28</v>
      </c>
      <c r="L2578" s="11" t="s">
        <v>28</v>
      </c>
      <c r="M2578" s="11" t="s">
        <v>28</v>
      </c>
      <c r="N2578" s="8">
        <v>44866</v>
      </c>
      <c r="O2578" s="9" t="s">
        <v>73</v>
      </c>
      <c r="P2578" s="12" t="s">
        <v>8760</v>
      </c>
      <c r="Q2578" s="9" t="s">
        <v>75</v>
      </c>
      <c r="R2578" s="14" t="str">
        <f>HYPERLINK("https://my.pitchbook.com?c=208915-84T","View Company Online")</f>
        <v>View Company Online</v>
      </c>
    </row>
    <row r="2579" spans="1:18" hidden="1" x14ac:dyDescent="0.3">
      <c r="A2579" s="15" t="s">
        <v>8761</v>
      </c>
      <c r="B2579" s="15" t="s">
        <v>5474</v>
      </c>
      <c r="C2579" s="18" t="s">
        <v>28</v>
      </c>
      <c r="D2579" s="15" t="s">
        <v>5475</v>
      </c>
      <c r="E2579" s="18" t="s">
        <v>28</v>
      </c>
      <c r="F2579" s="19" t="s">
        <v>28</v>
      </c>
      <c r="G2579" s="19" t="s">
        <v>28</v>
      </c>
      <c r="H2579" s="19" t="s">
        <v>28</v>
      </c>
      <c r="I2579" s="18" t="s">
        <v>28</v>
      </c>
      <c r="J2579" s="18" t="s">
        <v>28</v>
      </c>
      <c r="K2579" s="18" t="s">
        <v>28</v>
      </c>
      <c r="L2579" s="18" t="s">
        <v>28</v>
      </c>
      <c r="M2579" s="18" t="s">
        <v>28</v>
      </c>
      <c r="N2579" s="17">
        <v>44866</v>
      </c>
      <c r="O2579" s="15" t="s">
        <v>52</v>
      </c>
      <c r="P2579" s="16" t="s">
        <v>1880</v>
      </c>
      <c r="Q2579" s="15" t="s">
        <v>75</v>
      </c>
      <c r="R2579" s="13" t="str">
        <f>HYPERLINK("https://my.pitchbook.com?c=251886-79T","View Company Online")</f>
        <v>View Company Online</v>
      </c>
    </row>
    <row r="2580" spans="1:18" hidden="1" x14ac:dyDescent="0.3">
      <c r="A2580" s="9" t="s">
        <v>8762</v>
      </c>
      <c r="B2580" s="9" t="s">
        <v>8763</v>
      </c>
      <c r="C2580" s="11" t="s">
        <v>28</v>
      </c>
      <c r="D2580" s="9" t="s">
        <v>8764</v>
      </c>
      <c r="E2580" s="11" t="s">
        <v>28</v>
      </c>
      <c r="F2580" s="10" t="s">
        <v>28</v>
      </c>
      <c r="G2580" s="10" t="s">
        <v>28</v>
      </c>
      <c r="H2580" s="10" t="s">
        <v>28</v>
      </c>
      <c r="I2580" s="11" t="s">
        <v>28</v>
      </c>
      <c r="J2580" s="11" t="s">
        <v>28</v>
      </c>
      <c r="K2580" s="11" t="s">
        <v>28</v>
      </c>
      <c r="L2580" s="11" t="s">
        <v>28</v>
      </c>
      <c r="M2580" s="11" t="s">
        <v>28</v>
      </c>
      <c r="N2580" s="8">
        <v>44866</v>
      </c>
      <c r="O2580" s="9" t="s">
        <v>52</v>
      </c>
      <c r="P2580" s="12" t="s">
        <v>850</v>
      </c>
      <c r="Q2580" s="9" t="s">
        <v>75</v>
      </c>
      <c r="R2580" s="14" t="str">
        <f>HYPERLINK("https://my.pitchbook.com?c=265212-55T","View Company Online")</f>
        <v>View Company Online</v>
      </c>
    </row>
    <row r="2581" spans="1:18" hidden="1" x14ac:dyDescent="0.3">
      <c r="A2581" s="15" t="s">
        <v>8765</v>
      </c>
      <c r="B2581" s="15" t="s">
        <v>8766</v>
      </c>
      <c r="C2581" s="18" t="s">
        <v>28</v>
      </c>
      <c r="D2581" s="15" t="s">
        <v>8767</v>
      </c>
      <c r="E2581" s="18" t="s">
        <v>28</v>
      </c>
      <c r="F2581" s="19" t="s">
        <v>28</v>
      </c>
      <c r="G2581" s="19" t="s">
        <v>28</v>
      </c>
      <c r="H2581" s="19" t="s">
        <v>28</v>
      </c>
      <c r="I2581" s="18" t="s">
        <v>28</v>
      </c>
      <c r="J2581" s="18" t="s">
        <v>28</v>
      </c>
      <c r="K2581" s="18" t="s">
        <v>28</v>
      </c>
      <c r="L2581" s="18" t="s">
        <v>28</v>
      </c>
      <c r="M2581" s="18" t="s">
        <v>28</v>
      </c>
      <c r="N2581" s="17">
        <v>44866</v>
      </c>
      <c r="O2581" s="15" t="s">
        <v>79</v>
      </c>
      <c r="P2581" s="16" t="s">
        <v>8768</v>
      </c>
      <c r="Q2581" s="15" t="s">
        <v>424</v>
      </c>
      <c r="R2581" s="13" t="str">
        <f>HYPERLINK("https://my.pitchbook.com?c=209623-87T","View Company Online")</f>
        <v>View Company Online</v>
      </c>
    </row>
    <row r="2582" spans="1:18" hidden="1" x14ac:dyDescent="0.3">
      <c r="A2582" s="9" t="s">
        <v>8769</v>
      </c>
      <c r="B2582" s="9" t="s">
        <v>8770</v>
      </c>
      <c r="C2582" s="11" t="s">
        <v>28</v>
      </c>
      <c r="D2582" s="9" t="s">
        <v>8771</v>
      </c>
      <c r="E2582" s="11" t="s">
        <v>28</v>
      </c>
      <c r="F2582" s="10" t="s">
        <v>28</v>
      </c>
      <c r="G2582" s="10" t="s">
        <v>28</v>
      </c>
      <c r="H2582" s="10" t="s">
        <v>28</v>
      </c>
      <c r="I2582" s="11" t="s">
        <v>28</v>
      </c>
      <c r="J2582" s="11" t="s">
        <v>28</v>
      </c>
      <c r="K2582" s="11" t="s">
        <v>28</v>
      </c>
      <c r="L2582" s="11" t="s">
        <v>28</v>
      </c>
      <c r="M2582" s="11" t="s">
        <v>28</v>
      </c>
      <c r="N2582" s="8">
        <v>44866</v>
      </c>
      <c r="O2582" s="9" t="s">
        <v>79</v>
      </c>
      <c r="P2582" s="12" t="s">
        <v>8772</v>
      </c>
      <c r="Q2582" s="9" t="s">
        <v>105</v>
      </c>
      <c r="R2582" s="14" t="str">
        <f>HYPERLINK("https://my.pitchbook.com?c=207759-97T","View Company Online")</f>
        <v>View Company Online</v>
      </c>
    </row>
    <row r="2583" spans="1:18" hidden="1" x14ac:dyDescent="0.3">
      <c r="A2583" s="15" t="s">
        <v>8773</v>
      </c>
      <c r="B2583" s="15" t="s">
        <v>8774</v>
      </c>
      <c r="C2583" s="18" t="s">
        <v>28</v>
      </c>
      <c r="D2583" s="15" t="s">
        <v>8775</v>
      </c>
      <c r="E2583" s="18" t="s">
        <v>28</v>
      </c>
      <c r="F2583" s="19">
        <v>33.619999999999997</v>
      </c>
      <c r="G2583" s="19">
        <v>33.619999999999997</v>
      </c>
      <c r="H2583" s="19">
        <v>33.619999999999997</v>
      </c>
      <c r="I2583" s="18" t="s">
        <v>28</v>
      </c>
      <c r="J2583" s="18" t="s">
        <v>28</v>
      </c>
      <c r="K2583" s="18" t="s">
        <v>28</v>
      </c>
      <c r="L2583" s="18" t="s">
        <v>28</v>
      </c>
      <c r="M2583" s="18" t="s">
        <v>28</v>
      </c>
      <c r="N2583" s="17">
        <v>44866</v>
      </c>
      <c r="O2583" s="15" t="s">
        <v>30</v>
      </c>
      <c r="P2583" s="16" t="s">
        <v>8776</v>
      </c>
      <c r="Q2583" s="15" t="s">
        <v>136</v>
      </c>
      <c r="R2583" s="13" t="str">
        <f>HYPERLINK("https://my.pitchbook.com?c=202275-37T","View Company Online")</f>
        <v>View Company Online</v>
      </c>
    </row>
    <row r="2584" spans="1:18" hidden="1" x14ac:dyDescent="0.3">
      <c r="A2584" s="9" t="s">
        <v>8777</v>
      </c>
      <c r="B2584" s="9" t="s">
        <v>8778</v>
      </c>
      <c r="C2584" s="11" t="s">
        <v>28</v>
      </c>
      <c r="D2584" s="9" t="s">
        <v>8779</v>
      </c>
      <c r="E2584" s="11" t="s">
        <v>28</v>
      </c>
      <c r="F2584" s="10" t="s">
        <v>28</v>
      </c>
      <c r="G2584" s="10" t="s">
        <v>28</v>
      </c>
      <c r="H2584" s="10" t="s">
        <v>28</v>
      </c>
      <c r="I2584" s="11" t="s">
        <v>28</v>
      </c>
      <c r="J2584" s="11" t="s">
        <v>28</v>
      </c>
      <c r="K2584" s="11" t="s">
        <v>28</v>
      </c>
      <c r="L2584" s="11" t="s">
        <v>28</v>
      </c>
      <c r="M2584" s="11" t="s">
        <v>28</v>
      </c>
      <c r="N2584" s="8">
        <v>44866</v>
      </c>
      <c r="O2584" s="9" t="s">
        <v>79</v>
      </c>
      <c r="P2584" s="12" t="s">
        <v>8780</v>
      </c>
      <c r="Q2584" s="9" t="s">
        <v>75</v>
      </c>
      <c r="R2584" s="14" t="str">
        <f>HYPERLINK("https://my.pitchbook.com?c=210799-27T","View Company Online")</f>
        <v>View Company Online</v>
      </c>
    </row>
    <row r="2585" spans="1:18" hidden="1" x14ac:dyDescent="0.3">
      <c r="A2585" s="15" t="s">
        <v>8781</v>
      </c>
      <c r="B2585" s="15" t="s">
        <v>8782</v>
      </c>
      <c r="C2585" s="18" t="s">
        <v>28</v>
      </c>
      <c r="D2585" s="15" t="s">
        <v>8783</v>
      </c>
      <c r="E2585" s="18" t="s">
        <v>28</v>
      </c>
      <c r="F2585" s="19" t="s">
        <v>28</v>
      </c>
      <c r="G2585" s="19" t="s">
        <v>28</v>
      </c>
      <c r="H2585" s="19" t="s">
        <v>28</v>
      </c>
      <c r="I2585" s="18" t="s">
        <v>28</v>
      </c>
      <c r="J2585" s="18" t="s">
        <v>28</v>
      </c>
      <c r="K2585" s="18" t="s">
        <v>28</v>
      </c>
      <c r="L2585" s="18" t="s">
        <v>28</v>
      </c>
      <c r="M2585" s="18" t="s">
        <v>28</v>
      </c>
      <c r="N2585" s="17">
        <v>44866</v>
      </c>
      <c r="O2585" s="15" t="s">
        <v>30</v>
      </c>
      <c r="P2585" s="16" t="s">
        <v>8784</v>
      </c>
      <c r="Q2585" s="15" t="s">
        <v>855</v>
      </c>
      <c r="R2585" s="13" t="str">
        <f>HYPERLINK("https://my.pitchbook.com?c=207423-91T","View Company Online")</f>
        <v>View Company Online</v>
      </c>
    </row>
    <row r="2586" spans="1:18" hidden="1" x14ac:dyDescent="0.3">
      <c r="A2586" s="9" t="s">
        <v>8785</v>
      </c>
      <c r="B2586" s="9" t="s">
        <v>8786</v>
      </c>
      <c r="C2586" s="11" t="s">
        <v>28</v>
      </c>
      <c r="D2586" s="9" t="s">
        <v>8787</v>
      </c>
      <c r="E2586" s="11" t="s">
        <v>28</v>
      </c>
      <c r="F2586" s="10" t="s">
        <v>28</v>
      </c>
      <c r="G2586" s="10" t="s">
        <v>28</v>
      </c>
      <c r="H2586" s="10" t="s">
        <v>28</v>
      </c>
      <c r="I2586" s="11" t="s">
        <v>28</v>
      </c>
      <c r="J2586" s="11" t="s">
        <v>28</v>
      </c>
      <c r="K2586" s="11" t="s">
        <v>28</v>
      </c>
      <c r="L2586" s="11" t="s">
        <v>28</v>
      </c>
      <c r="M2586" s="11" t="s">
        <v>28</v>
      </c>
      <c r="N2586" s="8">
        <v>44866</v>
      </c>
      <c r="O2586" s="9" t="s">
        <v>79</v>
      </c>
      <c r="P2586" s="12" t="s">
        <v>8788</v>
      </c>
      <c r="Q2586" s="9" t="s">
        <v>75</v>
      </c>
      <c r="R2586" s="14" t="str">
        <f>HYPERLINK("https://my.pitchbook.com?c=209624-41T","View Company Online")</f>
        <v>View Company Online</v>
      </c>
    </row>
    <row r="2587" spans="1:18" hidden="1" x14ac:dyDescent="0.3">
      <c r="A2587" s="15" t="s">
        <v>8789</v>
      </c>
      <c r="B2587" s="15" t="s">
        <v>8790</v>
      </c>
      <c r="C2587" s="18" t="s">
        <v>28</v>
      </c>
      <c r="D2587" s="15" t="s">
        <v>8791</v>
      </c>
      <c r="E2587" s="18" t="s">
        <v>28</v>
      </c>
      <c r="F2587" s="19" t="s">
        <v>28</v>
      </c>
      <c r="G2587" s="19" t="s">
        <v>28</v>
      </c>
      <c r="H2587" s="19" t="s">
        <v>28</v>
      </c>
      <c r="I2587" s="18" t="s">
        <v>28</v>
      </c>
      <c r="J2587" s="18" t="s">
        <v>28</v>
      </c>
      <c r="K2587" s="18" t="s">
        <v>28</v>
      </c>
      <c r="L2587" s="18" t="s">
        <v>28</v>
      </c>
      <c r="M2587" s="18" t="s">
        <v>28</v>
      </c>
      <c r="N2587" s="17">
        <v>44866</v>
      </c>
      <c r="O2587" s="15" t="s">
        <v>73</v>
      </c>
      <c r="P2587" s="16" t="s">
        <v>8792</v>
      </c>
      <c r="Q2587" s="15" t="s">
        <v>114</v>
      </c>
      <c r="R2587" s="13" t="str">
        <f>HYPERLINK("https://my.pitchbook.com?c=208955-89T","View Company Online")</f>
        <v>View Company Online</v>
      </c>
    </row>
    <row r="2588" spans="1:18" hidden="1" x14ac:dyDescent="0.3">
      <c r="A2588" s="9" t="s">
        <v>8793</v>
      </c>
      <c r="B2588" s="9" t="s">
        <v>5509</v>
      </c>
      <c r="C2588" s="11" t="s">
        <v>28</v>
      </c>
      <c r="D2588" s="9" t="s">
        <v>5510</v>
      </c>
      <c r="E2588" s="11" t="s">
        <v>28</v>
      </c>
      <c r="F2588" s="10" t="s">
        <v>28</v>
      </c>
      <c r="G2588" s="10">
        <v>2.85</v>
      </c>
      <c r="H2588" s="10" t="s">
        <v>28</v>
      </c>
      <c r="I2588" s="11" t="s">
        <v>28</v>
      </c>
      <c r="J2588" s="11" t="s">
        <v>28</v>
      </c>
      <c r="K2588" s="11" t="s">
        <v>28</v>
      </c>
      <c r="L2588" s="11" t="s">
        <v>28</v>
      </c>
      <c r="M2588" s="11" t="s">
        <v>28</v>
      </c>
      <c r="N2588" s="8">
        <v>44866</v>
      </c>
      <c r="O2588" s="9" t="s">
        <v>99</v>
      </c>
      <c r="P2588" s="12" t="s">
        <v>8794</v>
      </c>
      <c r="Q2588" s="9" t="s">
        <v>75</v>
      </c>
      <c r="R2588" s="14" t="str">
        <f>HYPERLINK("https://my.pitchbook.com?c=205938-19T","View Company Online")</f>
        <v>View Company Online</v>
      </c>
    </row>
    <row r="2589" spans="1:18" hidden="1" x14ac:dyDescent="0.3">
      <c r="A2589" s="15" t="s">
        <v>8795</v>
      </c>
      <c r="B2589" s="15" t="s">
        <v>8796</v>
      </c>
      <c r="C2589" s="18" t="s">
        <v>28</v>
      </c>
      <c r="D2589" s="15" t="s">
        <v>8797</v>
      </c>
      <c r="E2589" s="18" t="s">
        <v>28</v>
      </c>
      <c r="F2589" s="19" t="s">
        <v>28</v>
      </c>
      <c r="G2589" s="19" t="s">
        <v>28</v>
      </c>
      <c r="H2589" s="19" t="s">
        <v>28</v>
      </c>
      <c r="I2589" s="18" t="s">
        <v>28</v>
      </c>
      <c r="J2589" s="18" t="s">
        <v>28</v>
      </c>
      <c r="K2589" s="18" t="s">
        <v>28</v>
      </c>
      <c r="L2589" s="18" t="s">
        <v>28</v>
      </c>
      <c r="M2589" s="18" t="s">
        <v>28</v>
      </c>
      <c r="N2589" s="17">
        <v>44866</v>
      </c>
      <c r="O2589" s="15" t="s">
        <v>52</v>
      </c>
      <c r="P2589" s="16" t="s">
        <v>408</v>
      </c>
      <c r="Q2589" s="15" t="s">
        <v>43</v>
      </c>
      <c r="R2589" s="13" t="str">
        <f>HYPERLINK("https://my.pitchbook.com?c=252590-86T","View Company Online")</f>
        <v>View Company Online</v>
      </c>
    </row>
    <row r="2590" spans="1:18" hidden="1" x14ac:dyDescent="0.3">
      <c r="A2590" s="9" t="s">
        <v>8798</v>
      </c>
      <c r="B2590" s="9" t="s">
        <v>8799</v>
      </c>
      <c r="C2590" s="11" t="s">
        <v>28</v>
      </c>
      <c r="D2590" s="9" t="s">
        <v>8800</v>
      </c>
      <c r="E2590" s="11" t="s">
        <v>28</v>
      </c>
      <c r="F2590" s="10" t="s">
        <v>28</v>
      </c>
      <c r="G2590" s="10" t="s">
        <v>28</v>
      </c>
      <c r="H2590" s="10" t="s">
        <v>28</v>
      </c>
      <c r="I2590" s="11" t="s">
        <v>28</v>
      </c>
      <c r="J2590" s="11" t="s">
        <v>28</v>
      </c>
      <c r="K2590" s="11" t="s">
        <v>28</v>
      </c>
      <c r="L2590" s="11" t="s">
        <v>28</v>
      </c>
      <c r="M2590" s="11" t="s">
        <v>28</v>
      </c>
      <c r="N2590" s="8">
        <v>44866</v>
      </c>
      <c r="O2590" s="9" t="s">
        <v>79</v>
      </c>
      <c r="P2590" s="12" t="s">
        <v>8772</v>
      </c>
      <c r="Q2590" s="9" t="s">
        <v>409</v>
      </c>
      <c r="R2590" s="14" t="str">
        <f>HYPERLINK("https://my.pitchbook.com?c=207653-05T","View Company Online")</f>
        <v>View Company Online</v>
      </c>
    </row>
    <row r="2591" spans="1:18" hidden="1" x14ac:dyDescent="0.3">
      <c r="A2591" s="15" t="s">
        <v>8801</v>
      </c>
      <c r="B2591" s="15" t="s">
        <v>8802</v>
      </c>
      <c r="C2591" s="18" t="s">
        <v>28</v>
      </c>
      <c r="D2591" s="15" t="s">
        <v>8803</v>
      </c>
      <c r="E2591" s="18" t="s">
        <v>28</v>
      </c>
      <c r="F2591" s="19" t="s">
        <v>28</v>
      </c>
      <c r="G2591" s="19" t="s">
        <v>28</v>
      </c>
      <c r="H2591" s="19" t="s">
        <v>28</v>
      </c>
      <c r="I2591" s="18" t="s">
        <v>28</v>
      </c>
      <c r="J2591" s="18" t="s">
        <v>28</v>
      </c>
      <c r="K2591" s="18" t="s">
        <v>28</v>
      </c>
      <c r="L2591" s="18" t="s">
        <v>28</v>
      </c>
      <c r="M2591" s="18" t="s">
        <v>28</v>
      </c>
      <c r="N2591" s="17">
        <v>44866</v>
      </c>
      <c r="O2591" s="15" t="s">
        <v>73</v>
      </c>
      <c r="P2591" s="16" t="s">
        <v>8804</v>
      </c>
      <c r="Q2591" s="15" t="s">
        <v>75</v>
      </c>
      <c r="R2591" s="13" t="str">
        <f>HYPERLINK("https://my.pitchbook.com?c=209100-79T","View Company Online")</f>
        <v>View Company Online</v>
      </c>
    </row>
    <row r="2592" spans="1:18" hidden="1" x14ac:dyDescent="0.3">
      <c r="A2592" s="9" t="s">
        <v>8805</v>
      </c>
      <c r="B2592" s="9" t="s">
        <v>8806</v>
      </c>
      <c r="C2592" s="11" t="s">
        <v>28</v>
      </c>
      <c r="D2592" s="9" t="s">
        <v>8807</v>
      </c>
      <c r="E2592" s="11" t="s">
        <v>28</v>
      </c>
      <c r="F2592" s="10" t="s">
        <v>28</v>
      </c>
      <c r="G2592" s="10" t="s">
        <v>28</v>
      </c>
      <c r="H2592" s="10" t="s">
        <v>28</v>
      </c>
      <c r="I2592" s="11" t="s">
        <v>28</v>
      </c>
      <c r="J2592" s="11" t="s">
        <v>28</v>
      </c>
      <c r="K2592" s="11" t="s">
        <v>28</v>
      </c>
      <c r="L2592" s="11" t="s">
        <v>28</v>
      </c>
      <c r="M2592" s="11" t="s">
        <v>28</v>
      </c>
      <c r="N2592" s="8">
        <v>44866</v>
      </c>
      <c r="O2592" s="9" t="s">
        <v>79</v>
      </c>
      <c r="P2592" s="12" t="s">
        <v>8808</v>
      </c>
      <c r="Q2592" s="9" t="s">
        <v>75</v>
      </c>
      <c r="R2592" s="14" t="str">
        <f>HYPERLINK("https://my.pitchbook.com?c=208616-86T","View Company Online")</f>
        <v>View Company Online</v>
      </c>
    </row>
    <row r="2593" spans="1:18" hidden="1" x14ac:dyDescent="0.3">
      <c r="A2593" s="15" t="s">
        <v>8809</v>
      </c>
      <c r="B2593" s="15" t="s">
        <v>8810</v>
      </c>
      <c r="C2593" s="18" t="s">
        <v>28</v>
      </c>
      <c r="D2593" s="15" t="s">
        <v>8811</v>
      </c>
      <c r="E2593" s="18" t="s">
        <v>28</v>
      </c>
      <c r="F2593" s="19" t="s">
        <v>28</v>
      </c>
      <c r="G2593" s="19" t="s">
        <v>28</v>
      </c>
      <c r="H2593" s="19" t="s">
        <v>28</v>
      </c>
      <c r="I2593" s="18" t="s">
        <v>28</v>
      </c>
      <c r="J2593" s="18" t="s">
        <v>28</v>
      </c>
      <c r="K2593" s="18" t="s">
        <v>28</v>
      </c>
      <c r="L2593" s="18" t="s">
        <v>28</v>
      </c>
      <c r="M2593" s="18" t="s">
        <v>28</v>
      </c>
      <c r="N2593" s="17">
        <v>44866</v>
      </c>
      <c r="O2593" s="15" t="s">
        <v>79</v>
      </c>
      <c r="P2593" s="16" t="s">
        <v>8812</v>
      </c>
      <c r="Q2593" s="15" t="s">
        <v>75</v>
      </c>
      <c r="R2593" s="13" t="str">
        <f>HYPERLINK("https://my.pitchbook.com?c=207563-50T","View Company Online")</f>
        <v>View Company Online</v>
      </c>
    </row>
    <row r="2594" spans="1:18" hidden="1" x14ac:dyDescent="0.3">
      <c r="A2594" s="9" t="s">
        <v>8813</v>
      </c>
      <c r="B2594" s="9" t="s">
        <v>8814</v>
      </c>
      <c r="C2594" s="11" t="s">
        <v>28</v>
      </c>
      <c r="D2594" s="9" t="s">
        <v>8815</v>
      </c>
      <c r="E2594" s="11" t="s">
        <v>28</v>
      </c>
      <c r="F2594" s="10" t="s">
        <v>28</v>
      </c>
      <c r="G2594" s="10" t="s">
        <v>28</v>
      </c>
      <c r="H2594" s="10" t="s">
        <v>28</v>
      </c>
      <c r="I2594" s="11" t="s">
        <v>28</v>
      </c>
      <c r="J2594" s="11" t="s">
        <v>28</v>
      </c>
      <c r="K2594" s="11" t="s">
        <v>28</v>
      </c>
      <c r="L2594" s="11" t="s">
        <v>28</v>
      </c>
      <c r="M2594" s="11" t="s">
        <v>28</v>
      </c>
      <c r="N2594" s="8">
        <v>44866</v>
      </c>
      <c r="O2594" s="9" t="s">
        <v>41</v>
      </c>
      <c r="P2594" s="12" t="s">
        <v>8816</v>
      </c>
      <c r="Q2594" s="9" t="s">
        <v>470</v>
      </c>
      <c r="R2594" s="14" t="str">
        <f>HYPERLINK("https://my.pitchbook.com?c=292916-44T","View Company Online")</f>
        <v>View Company Online</v>
      </c>
    </row>
    <row r="2595" spans="1:18" hidden="1" x14ac:dyDescent="0.3">
      <c r="A2595" s="15" t="s">
        <v>8817</v>
      </c>
      <c r="B2595" s="15" t="s">
        <v>8818</v>
      </c>
      <c r="C2595" s="18" t="s">
        <v>28</v>
      </c>
      <c r="D2595" s="15" t="s">
        <v>8819</v>
      </c>
      <c r="E2595" s="18" t="s">
        <v>28</v>
      </c>
      <c r="F2595" s="19" t="s">
        <v>28</v>
      </c>
      <c r="G2595" s="19">
        <v>0.38</v>
      </c>
      <c r="H2595" s="19" t="s">
        <v>28</v>
      </c>
      <c r="I2595" s="18" t="s">
        <v>28</v>
      </c>
      <c r="J2595" s="18" t="s">
        <v>28</v>
      </c>
      <c r="K2595" s="18" t="s">
        <v>28</v>
      </c>
      <c r="L2595" s="18" t="s">
        <v>28</v>
      </c>
      <c r="M2595" s="18" t="s">
        <v>28</v>
      </c>
      <c r="N2595" s="17">
        <v>44866</v>
      </c>
      <c r="O2595" s="15" t="s">
        <v>73</v>
      </c>
      <c r="P2595" s="16" t="s">
        <v>8820</v>
      </c>
      <c r="Q2595" s="15" t="s">
        <v>235</v>
      </c>
      <c r="R2595" s="13" t="str">
        <f>HYPERLINK("https://my.pitchbook.com?c=209715-49T","View Company Online")</f>
        <v>View Company Online</v>
      </c>
    </row>
    <row r="2596" spans="1:18" hidden="1" x14ac:dyDescent="0.3">
      <c r="A2596" s="9" t="s">
        <v>8821</v>
      </c>
      <c r="B2596" s="9" t="s">
        <v>8822</v>
      </c>
      <c r="C2596" s="11" t="s">
        <v>28</v>
      </c>
      <c r="D2596" s="9" t="s">
        <v>8823</v>
      </c>
      <c r="E2596" s="11" t="s">
        <v>28</v>
      </c>
      <c r="F2596" s="10" t="s">
        <v>28</v>
      </c>
      <c r="G2596" s="10" t="s">
        <v>28</v>
      </c>
      <c r="H2596" s="10" t="s">
        <v>28</v>
      </c>
      <c r="I2596" s="11" t="s">
        <v>28</v>
      </c>
      <c r="J2596" s="11" t="s">
        <v>28</v>
      </c>
      <c r="K2596" s="11" t="s">
        <v>28</v>
      </c>
      <c r="L2596" s="11" t="s">
        <v>28</v>
      </c>
      <c r="M2596" s="11" t="s">
        <v>28</v>
      </c>
      <c r="N2596" s="8">
        <v>44866</v>
      </c>
      <c r="O2596" s="9" t="s">
        <v>30</v>
      </c>
      <c r="P2596" s="12" t="s">
        <v>8824</v>
      </c>
      <c r="Q2596" s="9" t="s">
        <v>399</v>
      </c>
      <c r="R2596" s="14" t="str">
        <f>HYPERLINK("https://my.pitchbook.com?c=278063-11T","View Company Online")</f>
        <v>View Company Online</v>
      </c>
    </row>
    <row r="2597" spans="1:18" hidden="1" x14ac:dyDescent="0.3">
      <c r="A2597" s="15" t="s">
        <v>8825</v>
      </c>
      <c r="B2597" s="15" t="s">
        <v>8826</v>
      </c>
      <c r="C2597" s="18" t="s">
        <v>28</v>
      </c>
      <c r="D2597" s="15" t="s">
        <v>8827</v>
      </c>
      <c r="E2597" s="18" t="s">
        <v>28</v>
      </c>
      <c r="F2597" s="19" t="s">
        <v>28</v>
      </c>
      <c r="G2597" s="19" t="s">
        <v>28</v>
      </c>
      <c r="H2597" s="19" t="s">
        <v>28</v>
      </c>
      <c r="I2597" s="18" t="s">
        <v>28</v>
      </c>
      <c r="J2597" s="18" t="s">
        <v>28</v>
      </c>
      <c r="K2597" s="18" t="s">
        <v>28</v>
      </c>
      <c r="L2597" s="18" t="s">
        <v>28</v>
      </c>
      <c r="M2597" s="18" t="s">
        <v>28</v>
      </c>
      <c r="N2597" s="17">
        <v>44866</v>
      </c>
      <c r="O2597" s="15" t="s">
        <v>30</v>
      </c>
      <c r="P2597" s="16" t="s">
        <v>28</v>
      </c>
      <c r="Q2597" s="15" t="s">
        <v>774</v>
      </c>
      <c r="R2597" s="13" t="str">
        <f>HYPERLINK("https://my.pitchbook.com?c=224981-65T","View Company Online")</f>
        <v>View Company Online</v>
      </c>
    </row>
    <row r="2598" spans="1:18" hidden="1" x14ac:dyDescent="0.3">
      <c r="A2598" s="9" t="s">
        <v>8828</v>
      </c>
      <c r="B2598" s="9" t="s">
        <v>8829</v>
      </c>
      <c r="C2598" s="11" t="s">
        <v>28</v>
      </c>
      <c r="D2598" s="9" t="s">
        <v>8830</v>
      </c>
      <c r="E2598" s="11" t="s">
        <v>28</v>
      </c>
      <c r="F2598" s="10" t="s">
        <v>28</v>
      </c>
      <c r="G2598" s="10" t="s">
        <v>28</v>
      </c>
      <c r="H2598" s="10" t="s">
        <v>28</v>
      </c>
      <c r="I2598" s="11" t="s">
        <v>28</v>
      </c>
      <c r="J2598" s="11" t="s">
        <v>28</v>
      </c>
      <c r="K2598" s="11" t="s">
        <v>28</v>
      </c>
      <c r="L2598" s="11" t="s">
        <v>28</v>
      </c>
      <c r="M2598" s="11" t="s">
        <v>28</v>
      </c>
      <c r="N2598" s="8">
        <v>44866</v>
      </c>
      <c r="O2598" s="9" t="s">
        <v>379</v>
      </c>
      <c r="P2598" s="12" t="s">
        <v>497</v>
      </c>
      <c r="Q2598" s="9" t="s">
        <v>583</v>
      </c>
      <c r="R2598" s="14" t="str">
        <f>HYPERLINK("https://my.pitchbook.com?c=215372-89T","View Company Online")</f>
        <v>View Company Online</v>
      </c>
    </row>
    <row r="2599" spans="1:18" hidden="1" x14ac:dyDescent="0.3">
      <c r="A2599" s="15" t="s">
        <v>8831</v>
      </c>
      <c r="B2599" s="15" t="s">
        <v>8832</v>
      </c>
      <c r="C2599" s="18" t="s">
        <v>28</v>
      </c>
      <c r="D2599" s="15" t="s">
        <v>8833</v>
      </c>
      <c r="E2599" s="18" t="s">
        <v>28</v>
      </c>
      <c r="F2599" s="19" t="s">
        <v>28</v>
      </c>
      <c r="G2599" s="19" t="s">
        <v>28</v>
      </c>
      <c r="H2599" s="19" t="s">
        <v>28</v>
      </c>
      <c r="I2599" s="18" t="s">
        <v>28</v>
      </c>
      <c r="J2599" s="18" t="s">
        <v>28</v>
      </c>
      <c r="K2599" s="18" t="s">
        <v>28</v>
      </c>
      <c r="L2599" s="18" t="s">
        <v>28</v>
      </c>
      <c r="M2599" s="18" t="s">
        <v>28</v>
      </c>
      <c r="N2599" s="17">
        <v>44865</v>
      </c>
      <c r="O2599" s="15" t="s">
        <v>173</v>
      </c>
      <c r="P2599" s="16" t="s">
        <v>28</v>
      </c>
      <c r="Q2599" s="15" t="s">
        <v>240</v>
      </c>
      <c r="R2599" s="13" t="str">
        <f>HYPERLINK("https://my.pitchbook.com?c=213742-00T","View Company Online")</f>
        <v>View Company Online</v>
      </c>
    </row>
    <row r="2600" spans="1:18" hidden="1" x14ac:dyDescent="0.3">
      <c r="A2600" s="9" t="s">
        <v>8834</v>
      </c>
      <c r="B2600" s="9" t="s">
        <v>8835</v>
      </c>
      <c r="C2600" s="11" t="s">
        <v>28</v>
      </c>
      <c r="D2600" s="9" t="s">
        <v>8836</v>
      </c>
      <c r="E2600" s="11" t="s">
        <v>28</v>
      </c>
      <c r="F2600" s="10" t="s">
        <v>28</v>
      </c>
      <c r="G2600" s="10" t="s">
        <v>28</v>
      </c>
      <c r="H2600" s="10" t="s">
        <v>28</v>
      </c>
      <c r="I2600" s="11" t="s">
        <v>28</v>
      </c>
      <c r="J2600" s="11" t="s">
        <v>28</v>
      </c>
      <c r="K2600" s="11" t="s">
        <v>28</v>
      </c>
      <c r="L2600" s="11" t="s">
        <v>28</v>
      </c>
      <c r="M2600" s="11" t="s">
        <v>28</v>
      </c>
      <c r="N2600" s="8">
        <v>44865</v>
      </c>
      <c r="O2600" s="9" t="s">
        <v>30</v>
      </c>
      <c r="P2600" s="12" t="s">
        <v>8837</v>
      </c>
      <c r="Q2600" s="9" t="s">
        <v>1007</v>
      </c>
      <c r="R2600" s="14" t="str">
        <f>HYPERLINK("https://my.pitchbook.com?c=207257-59T","View Company Online")</f>
        <v>View Company Online</v>
      </c>
    </row>
    <row r="2601" spans="1:18" hidden="1" x14ac:dyDescent="0.3">
      <c r="A2601" s="15" t="s">
        <v>8838</v>
      </c>
      <c r="B2601" s="15" t="s">
        <v>8839</v>
      </c>
      <c r="C2601" s="18" t="s">
        <v>28</v>
      </c>
      <c r="D2601" s="15" t="s">
        <v>8840</v>
      </c>
      <c r="E2601" s="18" t="s">
        <v>28</v>
      </c>
      <c r="F2601" s="19" t="s">
        <v>28</v>
      </c>
      <c r="G2601" s="19" t="s">
        <v>28</v>
      </c>
      <c r="H2601" s="19" t="s">
        <v>28</v>
      </c>
      <c r="I2601" s="18" t="s">
        <v>28</v>
      </c>
      <c r="J2601" s="18" t="s">
        <v>28</v>
      </c>
      <c r="K2601" s="18" t="s">
        <v>28</v>
      </c>
      <c r="L2601" s="18" t="s">
        <v>28</v>
      </c>
      <c r="M2601" s="18" t="s">
        <v>28</v>
      </c>
      <c r="N2601" s="17">
        <v>44864</v>
      </c>
      <c r="O2601" s="15" t="s">
        <v>79</v>
      </c>
      <c r="P2601" s="16" t="s">
        <v>8841</v>
      </c>
      <c r="Q2601" s="15" t="s">
        <v>386</v>
      </c>
      <c r="R2601" s="13" t="str">
        <f>HYPERLINK("https://my.pitchbook.com?c=245275-39T","View Company Online")</f>
        <v>View Company Online</v>
      </c>
    </row>
    <row r="2602" spans="1:18" hidden="1" x14ac:dyDescent="0.3">
      <c r="A2602" s="9" t="s">
        <v>8842</v>
      </c>
      <c r="B2602" s="9" t="s">
        <v>8843</v>
      </c>
      <c r="C2602" s="11" t="s">
        <v>28</v>
      </c>
      <c r="D2602" s="9" t="s">
        <v>8844</v>
      </c>
      <c r="E2602" s="11" t="s">
        <v>28</v>
      </c>
      <c r="F2602" s="10">
        <v>215.93</v>
      </c>
      <c r="G2602" s="10">
        <v>215.93</v>
      </c>
      <c r="H2602" s="10">
        <v>215.93</v>
      </c>
      <c r="I2602" s="11" t="s">
        <v>28</v>
      </c>
      <c r="J2602" s="11" t="s">
        <v>28</v>
      </c>
      <c r="K2602" s="11" t="s">
        <v>28</v>
      </c>
      <c r="L2602" s="11" t="s">
        <v>28</v>
      </c>
      <c r="M2602" s="11" t="s">
        <v>28</v>
      </c>
      <c r="N2602" s="8">
        <v>44863</v>
      </c>
      <c r="O2602" s="9" t="s">
        <v>30</v>
      </c>
      <c r="P2602" s="12" t="s">
        <v>1092</v>
      </c>
      <c r="Q2602" s="9" t="s">
        <v>362</v>
      </c>
      <c r="R2602" s="14" t="str">
        <f>HYPERLINK("https://my.pitchbook.com?c=210251-89T","View Company Online")</f>
        <v>View Company Online</v>
      </c>
    </row>
    <row r="2603" spans="1:18" hidden="1" x14ac:dyDescent="0.3">
      <c r="A2603" s="15" t="s">
        <v>8845</v>
      </c>
      <c r="B2603" s="15" t="s">
        <v>8846</v>
      </c>
      <c r="C2603" s="18" t="s">
        <v>28</v>
      </c>
      <c r="D2603" s="15" t="s">
        <v>8847</v>
      </c>
      <c r="E2603" s="18" t="s">
        <v>28</v>
      </c>
      <c r="F2603" s="19" t="s">
        <v>28</v>
      </c>
      <c r="G2603" s="19">
        <v>0.1</v>
      </c>
      <c r="H2603" s="19" t="s">
        <v>28</v>
      </c>
      <c r="I2603" s="18" t="s">
        <v>28</v>
      </c>
      <c r="J2603" s="18" t="s">
        <v>28</v>
      </c>
      <c r="K2603" s="18" t="s">
        <v>28</v>
      </c>
      <c r="L2603" s="18" t="s">
        <v>28</v>
      </c>
      <c r="M2603" s="18" t="s">
        <v>28</v>
      </c>
      <c r="N2603" s="17">
        <v>44863</v>
      </c>
      <c r="O2603" s="15" t="s">
        <v>52</v>
      </c>
      <c r="P2603" s="16" t="s">
        <v>8848</v>
      </c>
      <c r="Q2603" s="15" t="s">
        <v>245</v>
      </c>
      <c r="R2603" s="13" t="str">
        <f>HYPERLINK("https://my.pitchbook.com?c=301562-38T","View Company Online")</f>
        <v>View Company Online</v>
      </c>
    </row>
    <row r="2604" spans="1:18" hidden="1" x14ac:dyDescent="0.3">
      <c r="A2604" s="9" t="s">
        <v>8849</v>
      </c>
      <c r="B2604" s="9" t="s">
        <v>8850</v>
      </c>
      <c r="C2604" s="11" t="s">
        <v>28</v>
      </c>
      <c r="D2604" s="9" t="s">
        <v>8851</v>
      </c>
      <c r="E2604" s="11" t="s">
        <v>28</v>
      </c>
      <c r="F2604" s="10" t="s">
        <v>28</v>
      </c>
      <c r="G2604" s="10">
        <v>3.79</v>
      </c>
      <c r="H2604" s="10" t="s">
        <v>28</v>
      </c>
      <c r="I2604" s="11" t="s">
        <v>28</v>
      </c>
      <c r="J2604" s="11" t="s">
        <v>28</v>
      </c>
      <c r="K2604" s="11">
        <v>7.62</v>
      </c>
      <c r="L2604" s="11" t="s">
        <v>28</v>
      </c>
      <c r="M2604" s="11" t="s">
        <v>28</v>
      </c>
      <c r="N2604" s="8">
        <v>44863</v>
      </c>
      <c r="O2604" s="9" t="s">
        <v>79</v>
      </c>
      <c r="P2604" s="12" t="s">
        <v>8852</v>
      </c>
      <c r="Q2604" s="9" t="s">
        <v>1643</v>
      </c>
      <c r="R2604" s="14" t="str">
        <f>HYPERLINK("https://my.pitchbook.com?c=207586-00T","View Company Online")</f>
        <v>View Company Online</v>
      </c>
    </row>
    <row r="2605" spans="1:18" hidden="1" x14ac:dyDescent="0.3">
      <c r="A2605" s="15" t="s">
        <v>8853</v>
      </c>
      <c r="B2605" s="15" t="s">
        <v>8854</v>
      </c>
      <c r="C2605" s="18" t="s">
        <v>28</v>
      </c>
      <c r="D2605" s="15" t="s">
        <v>8855</v>
      </c>
      <c r="E2605" s="18" t="s">
        <v>28</v>
      </c>
      <c r="F2605" s="19" t="s">
        <v>28</v>
      </c>
      <c r="G2605" s="19">
        <v>47.43</v>
      </c>
      <c r="H2605" s="19" t="s">
        <v>28</v>
      </c>
      <c r="I2605" s="18" t="s">
        <v>28</v>
      </c>
      <c r="J2605" s="18" t="s">
        <v>28</v>
      </c>
      <c r="K2605" s="18" t="s">
        <v>28</v>
      </c>
      <c r="L2605" s="18" t="s">
        <v>28</v>
      </c>
      <c r="M2605" s="18" t="s">
        <v>28</v>
      </c>
      <c r="N2605" s="17">
        <v>44862</v>
      </c>
      <c r="O2605" s="15" t="s">
        <v>173</v>
      </c>
      <c r="P2605" s="16" t="s">
        <v>28</v>
      </c>
      <c r="Q2605" s="15" t="s">
        <v>240</v>
      </c>
      <c r="R2605" s="13" t="str">
        <f>HYPERLINK("https://my.pitchbook.com?c=214031-98T","View Company Online")</f>
        <v>View Company Online</v>
      </c>
    </row>
    <row r="2606" spans="1:18" hidden="1" x14ac:dyDescent="0.3">
      <c r="A2606" s="9" t="s">
        <v>8856</v>
      </c>
      <c r="B2606" s="9" t="s">
        <v>8857</v>
      </c>
      <c r="C2606" s="11" t="s">
        <v>28</v>
      </c>
      <c r="D2606" s="9" t="s">
        <v>8858</v>
      </c>
      <c r="E2606" s="11" t="s">
        <v>28</v>
      </c>
      <c r="F2606" s="10" t="s">
        <v>28</v>
      </c>
      <c r="G2606" s="10">
        <v>27.5</v>
      </c>
      <c r="H2606" s="10" t="s">
        <v>28</v>
      </c>
      <c r="I2606" s="11" t="s">
        <v>28</v>
      </c>
      <c r="J2606" s="11" t="s">
        <v>28</v>
      </c>
      <c r="K2606" s="11" t="s">
        <v>28</v>
      </c>
      <c r="L2606" s="11" t="s">
        <v>28</v>
      </c>
      <c r="M2606" s="11" t="s">
        <v>28</v>
      </c>
      <c r="N2606" s="8">
        <v>44861</v>
      </c>
      <c r="O2606" s="9" t="s">
        <v>73</v>
      </c>
      <c r="P2606" s="12" t="s">
        <v>8859</v>
      </c>
      <c r="Q2606" s="9" t="s">
        <v>1336</v>
      </c>
      <c r="R2606" s="14" t="str">
        <f>HYPERLINK("https://my.pitchbook.com?c=207861-49T","View Company Online")</f>
        <v>View Company Online</v>
      </c>
    </row>
    <row r="2607" spans="1:18" hidden="1" x14ac:dyDescent="0.3">
      <c r="A2607" s="15" t="s">
        <v>8860</v>
      </c>
      <c r="B2607" s="15" t="s">
        <v>2287</v>
      </c>
      <c r="C2607" s="18" t="s">
        <v>28</v>
      </c>
      <c r="D2607" s="15" t="s">
        <v>2288</v>
      </c>
      <c r="E2607" s="18" t="s">
        <v>28</v>
      </c>
      <c r="F2607" s="19" t="s">
        <v>28</v>
      </c>
      <c r="G2607" s="19">
        <v>3.24</v>
      </c>
      <c r="H2607" s="19" t="s">
        <v>28</v>
      </c>
      <c r="I2607" s="18" t="s">
        <v>28</v>
      </c>
      <c r="J2607" s="18" t="s">
        <v>28</v>
      </c>
      <c r="K2607" s="18" t="s">
        <v>28</v>
      </c>
      <c r="L2607" s="18" t="s">
        <v>28</v>
      </c>
      <c r="M2607" s="18" t="s">
        <v>28</v>
      </c>
      <c r="N2607" s="17">
        <v>44861</v>
      </c>
      <c r="O2607" s="15" t="s">
        <v>73</v>
      </c>
      <c r="P2607" s="16" t="s">
        <v>28</v>
      </c>
      <c r="Q2607" s="15" t="s">
        <v>696</v>
      </c>
      <c r="R2607" s="13" t="str">
        <f>HYPERLINK("https://my.pitchbook.com?c=207051-04T","View Company Online")</f>
        <v>View Company Online</v>
      </c>
    </row>
    <row r="2608" spans="1:18" hidden="1" x14ac:dyDescent="0.3">
      <c r="A2608" s="9" t="s">
        <v>8861</v>
      </c>
      <c r="B2608" s="9" t="s">
        <v>8862</v>
      </c>
      <c r="C2608" s="11" t="s">
        <v>28</v>
      </c>
      <c r="D2608" s="9" t="s">
        <v>8863</v>
      </c>
      <c r="E2608" s="11" t="s">
        <v>28</v>
      </c>
      <c r="F2608" s="10" t="s">
        <v>28</v>
      </c>
      <c r="G2608" s="10">
        <v>0.09</v>
      </c>
      <c r="H2608" s="10" t="s">
        <v>28</v>
      </c>
      <c r="I2608" s="11" t="s">
        <v>28</v>
      </c>
      <c r="J2608" s="11" t="s">
        <v>28</v>
      </c>
      <c r="K2608" s="11" t="s">
        <v>28</v>
      </c>
      <c r="L2608" s="11" t="s">
        <v>28</v>
      </c>
      <c r="M2608" s="11" t="s">
        <v>28</v>
      </c>
      <c r="N2608" s="8">
        <v>44861</v>
      </c>
      <c r="O2608" s="9" t="s">
        <v>1639</v>
      </c>
      <c r="P2608" s="12" t="s">
        <v>28</v>
      </c>
      <c r="Q2608" s="9" t="s">
        <v>740</v>
      </c>
      <c r="R2608" s="14" t="str">
        <f>HYPERLINK("https://my.pitchbook.com?c=223454-44T","View Company Online")</f>
        <v>View Company Online</v>
      </c>
    </row>
    <row r="2609" spans="1:18" hidden="1" x14ac:dyDescent="0.3">
      <c r="A2609" s="15" t="s">
        <v>8864</v>
      </c>
      <c r="B2609" s="15" t="s">
        <v>7020</v>
      </c>
      <c r="C2609" s="18" t="s">
        <v>28</v>
      </c>
      <c r="D2609" s="15" t="s">
        <v>7021</v>
      </c>
      <c r="E2609" s="18" t="s">
        <v>28</v>
      </c>
      <c r="F2609" s="19" t="s">
        <v>28</v>
      </c>
      <c r="G2609" s="19">
        <v>0.09</v>
      </c>
      <c r="H2609" s="19" t="s">
        <v>28</v>
      </c>
      <c r="I2609" s="18" t="s">
        <v>28</v>
      </c>
      <c r="J2609" s="18" t="s">
        <v>28</v>
      </c>
      <c r="K2609" s="18" t="s">
        <v>28</v>
      </c>
      <c r="L2609" s="18" t="s">
        <v>28</v>
      </c>
      <c r="M2609" s="18" t="s">
        <v>28</v>
      </c>
      <c r="N2609" s="17">
        <v>44861</v>
      </c>
      <c r="O2609" s="15" t="s">
        <v>73</v>
      </c>
      <c r="P2609" s="16" t="s">
        <v>3430</v>
      </c>
      <c r="Q2609" s="15" t="s">
        <v>43</v>
      </c>
      <c r="R2609" s="13" t="str">
        <f>HYPERLINK("https://my.pitchbook.com?c=224615-17T","View Company Online")</f>
        <v>View Company Online</v>
      </c>
    </row>
    <row r="2610" spans="1:18" hidden="1" x14ac:dyDescent="0.3">
      <c r="A2610" s="9" t="s">
        <v>8865</v>
      </c>
      <c r="B2610" s="9" t="s">
        <v>6611</v>
      </c>
      <c r="C2610" s="11" t="s">
        <v>28</v>
      </c>
      <c r="D2610" s="9" t="s">
        <v>6612</v>
      </c>
      <c r="E2610" s="11" t="s">
        <v>28</v>
      </c>
      <c r="F2610" s="10" t="s">
        <v>28</v>
      </c>
      <c r="G2610" s="10">
        <v>2.5</v>
      </c>
      <c r="H2610" s="10" t="s">
        <v>28</v>
      </c>
      <c r="I2610" s="11" t="s">
        <v>28</v>
      </c>
      <c r="J2610" s="11" t="s">
        <v>28</v>
      </c>
      <c r="K2610" s="11" t="s">
        <v>28</v>
      </c>
      <c r="L2610" s="11" t="s">
        <v>28</v>
      </c>
      <c r="M2610" s="11" t="s">
        <v>28</v>
      </c>
      <c r="N2610" s="8">
        <v>44861</v>
      </c>
      <c r="O2610" s="9" t="s">
        <v>99</v>
      </c>
      <c r="P2610" s="12" t="s">
        <v>8866</v>
      </c>
      <c r="Q2610" s="9" t="s">
        <v>37</v>
      </c>
      <c r="R2610" s="14" t="str">
        <f>HYPERLINK("https://my.pitchbook.com?c=204675-67T","View Company Online")</f>
        <v>View Company Online</v>
      </c>
    </row>
    <row r="2611" spans="1:18" hidden="1" x14ac:dyDescent="0.3">
      <c r="A2611" s="15" t="s">
        <v>8867</v>
      </c>
      <c r="B2611" s="15" t="s">
        <v>5719</v>
      </c>
      <c r="C2611" s="18" t="s">
        <v>28</v>
      </c>
      <c r="D2611" s="15" t="s">
        <v>5720</v>
      </c>
      <c r="E2611" s="18" t="s">
        <v>28</v>
      </c>
      <c r="F2611" s="19" t="s">
        <v>28</v>
      </c>
      <c r="G2611" s="19" t="s">
        <v>28</v>
      </c>
      <c r="H2611" s="19" t="s">
        <v>28</v>
      </c>
      <c r="I2611" s="18" t="s">
        <v>28</v>
      </c>
      <c r="J2611" s="18" t="s">
        <v>28</v>
      </c>
      <c r="K2611" s="18" t="s">
        <v>28</v>
      </c>
      <c r="L2611" s="18" t="s">
        <v>28</v>
      </c>
      <c r="M2611" s="18" t="s">
        <v>28</v>
      </c>
      <c r="N2611" s="17">
        <v>44860</v>
      </c>
      <c r="O2611" s="15" t="s">
        <v>379</v>
      </c>
      <c r="P2611" s="16" t="s">
        <v>8868</v>
      </c>
      <c r="Q2611" s="15" t="s">
        <v>37</v>
      </c>
      <c r="R2611" s="13" t="str">
        <f>HYPERLINK("https://my.pitchbook.com?c=223290-10T","View Company Online")</f>
        <v>View Company Online</v>
      </c>
    </row>
    <row r="2612" spans="1:18" hidden="1" x14ac:dyDescent="0.3">
      <c r="A2612" s="9" t="s">
        <v>8869</v>
      </c>
      <c r="B2612" s="9" t="s">
        <v>8870</v>
      </c>
      <c r="C2612" s="11" t="s">
        <v>28</v>
      </c>
      <c r="D2612" s="9" t="s">
        <v>8871</v>
      </c>
      <c r="E2612" s="11" t="s">
        <v>28</v>
      </c>
      <c r="F2612" s="10" t="s">
        <v>28</v>
      </c>
      <c r="G2612" s="10" t="s">
        <v>28</v>
      </c>
      <c r="H2612" s="10" t="s">
        <v>28</v>
      </c>
      <c r="I2612" s="11" t="s">
        <v>28</v>
      </c>
      <c r="J2612" s="11" t="s">
        <v>28</v>
      </c>
      <c r="K2612" s="11" t="s">
        <v>28</v>
      </c>
      <c r="L2612" s="11" t="s">
        <v>28</v>
      </c>
      <c r="M2612" s="11" t="s">
        <v>28</v>
      </c>
      <c r="N2612" s="8">
        <v>44860</v>
      </c>
      <c r="O2612" s="9" t="s">
        <v>173</v>
      </c>
      <c r="P2612" s="12" t="s">
        <v>28</v>
      </c>
      <c r="Q2612" s="9" t="s">
        <v>174</v>
      </c>
      <c r="R2612" s="14" t="str">
        <f>HYPERLINK("https://my.pitchbook.com?c=234047-26T","View Company Online")</f>
        <v>View Company Online</v>
      </c>
    </row>
    <row r="2613" spans="1:18" hidden="1" x14ac:dyDescent="0.3">
      <c r="A2613" s="15" t="s">
        <v>8872</v>
      </c>
      <c r="B2613" s="15" t="s">
        <v>8873</v>
      </c>
      <c r="C2613" s="18" t="s">
        <v>28</v>
      </c>
      <c r="D2613" s="15" t="s">
        <v>8874</v>
      </c>
      <c r="E2613" s="18" t="s">
        <v>28</v>
      </c>
      <c r="F2613" s="19" t="s">
        <v>28</v>
      </c>
      <c r="G2613" s="19">
        <v>1.9</v>
      </c>
      <c r="H2613" s="19" t="s">
        <v>28</v>
      </c>
      <c r="I2613" s="18" t="s">
        <v>28</v>
      </c>
      <c r="J2613" s="18" t="s">
        <v>28</v>
      </c>
      <c r="K2613" s="18" t="s">
        <v>28</v>
      </c>
      <c r="L2613" s="18" t="s">
        <v>28</v>
      </c>
      <c r="M2613" s="18" t="s">
        <v>28</v>
      </c>
      <c r="N2613" s="17">
        <v>44860</v>
      </c>
      <c r="O2613" s="15" t="s">
        <v>99</v>
      </c>
      <c r="P2613" s="16" t="s">
        <v>8875</v>
      </c>
      <c r="Q2613" s="15" t="s">
        <v>114</v>
      </c>
      <c r="R2613" s="13" t="str">
        <f>HYPERLINK("https://my.pitchbook.com?c=206946-91T","View Company Online")</f>
        <v>View Company Online</v>
      </c>
    </row>
    <row r="2614" spans="1:18" hidden="1" x14ac:dyDescent="0.3">
      <c r="A2614" s="9" t="s">
        <v>8876</v>
      </c>
      <c r="B2614" s="9" t="s">
        <v>8877</v>
      </c>
      <c r="C2614" s="11" t="s">
        <v>28</v>
      </c>
      <c r="D2614" s="9" t="s">
        <v>8878</v>
      </c>
      <c r="E2614" s="11" t="s">
        <v>28</v>
      </c>
      <c r="F2614" s="10" t="s">
        <v>28</v>
      </c>
      <c r="G2614" s="10" t="s">
        <v>28</v>
      </c>
      <c r="H2614" s="10" t="s">
        <v>28</v>
      </c>
      <c r="I2614" s="11" t="s">
        <v>28</v>
      </c>
      <c r="J2614" s="11" t="s">
        <v>28</v>
      </c>
      <c r="K2614" s="11" t="s">
        <v>28</v>
      </c>
      <c r="L2614" s="11" t="s">
        <v>28</v>
      </c>
      <c r="M2614" s="11" t="s">
        <v>28</v>
      </c>
      <c r="N2614" s="8">
        <v>44860</v>
      </c>
      <c r="O2614" s="9" t="s">
        <v>30</v>
      </c>
      <c r="P2614" s="12" t="s">
        <v>8879</v>
      </c>
      <c r="Q2614" s="9" t="s">
        <v>75</v>
      </c>
      <c r="R2614" s="14" t="str">
        <f>HYPERLINK("https://my.pitchbook.com?c=207006-49T","View Company Online")</f>
        <v>View Company Online</v>
      </c>
    </row>
    <row r="2615" spans="1:18" hidden="1" x14ac:dyDescent="0.3">
      <c r="A2615" s="15" t="s">
        <v>8880</v>
      </c>
      <c r="B2615" s="15" t="s">
        <v>2673</v>
      </c>
      <c r="C2615" s="18" t="s">
        <v>28</v>
      </c>
      <c r="D2615" s="15" t="s">
        <v>2674</v>
      </c>
      <c r="E2615" s="18" t="s">
        <v>28</v>
      </c>
      <c r="F2615" s="19" t="s">
        <v>28</v>
      </c>
      <c r="G2615" s="19">
        <v>3</v>
      </c>
      <c r="H2615" s="19" t="s">
        <v>28</v>
      </c>
      <c r="I2615" s="18" t="s">
        <v>28</v>
      </c>
      <c r="J2615" s="18" t="s">
        <v>28</v>
      </c>
      <c r="K2615" s="18" t="s">
        <v>28</v>
      </c>
      <c r="L2615" s="18" t="s">
        <v>28</v>
      </c>
      <c r="M2615" s="18" t="s">
        <v>28</v>
      </c>
      <c r="N2615" s="17">
        <v>44860</v>
      </c>
      <c r="O2615" s="15" t="s">
        <v>99</v>
      </c>
      <c r="P2615" s="16" t="s">
        <v>8881</v>
      </c>
      <c r="Q2615" s="15" t="s">
        <v>37</v>
      </c>
      <c r="R2615" s="13" t="str">
        <f>HYPERLINK("https://my.pitchbook.com?c=206947-36T","View Company Online")</f>
        <v>View Company Online</v>
      </c>
    </row>
    <row r="2616" spans="1:18" hidden="1" x14ac:dyDescent="0.3">
      <c r="A2616" s="9" t="s">
        <v>8882</v>
      </c>
      <c r="B2616" s="9" t="s">
        <v>8883</v>
      </c>
      <c r="C2616" s="11" t="s">
        <v>28</v>
      </c>
      <c r="D2616" s="9" t="s">
        <v>8884</v>
      </c>
      <c r="E2616" s="11" t="s">
        <v>28</v>
      </c>
      <c r="F2616" s="10" t="s">
        <v>28</v>
      </c>
      <c r="G2616" s="10">
        <v>4.93</v>
      </c>
      <c r="H2616" s="10" t="s">
        <v>28</v>
      </c>
      <c r="I2616" s="11" t="s">
        <v>28</v>
      </c>
      <c r="J2616" s="11" t="s">
        <v>28</v>
      </c>
      <c r="K2616" s="11" t="s">
        <v>28</v>
      </c>
      <c r="L2616" s="11" t="s">
        <v>28</v>
      </c>
      <c r="M2616" s="11" t="s">
        <v>28</v>
      </c>
      <c r="N2616" s="8">
        <v>44859</v>
      </c>
      <c r="O2616" s="9" t="s">
        <v>79</v>
      </c>
      <c r="P2616" s="12" t="s">
        <v>3329</v>
      </c>
      <c r="Q2616" s="9" t="s">
        <v>136</v>
      </c>
      <c r="R2616" s="14" t="str">
        <f>HYPERLINK("https://my.pitchbook.com?c=206870-14T","View Company Online")</f>
        <v>View Company Online</v>
      </c>
    </row>
    <row r="2617" spans="1:18" hidden="1" x14ac:dyDescent="0.3">
      <c r="A2617" s="15" t="s">
        <v>8885</v>
      </c>
      <c r="B2617" s="15" t="s">
        <v>3770</v>
      </c>
      <c r="C2617" s="18" t="s">
        <v>28</v>
      </c>
      <c r="D2617" s="15" t="s">
        <v>3771</v>
      </c>
      <c r="E2617" s="18" t="s">
        <v>28</v>
      </c>
      <c r="F2617" s="19" t="s">
        <v>28</v>
      </c>
      <c r="G2617" s="19">
        <v>3.41</v>
      </c>
      <c r="H2617" s="19" t="s">
        <v>28</v>
      </c>
      <c r="I2617" s="18" t="s">
        <v>28</v>
      </c>
      <c r="J2617" s="18" t="s">
        <v>28</v>
      </c>
      <c r="K2617" s="18" t="s">
        <v>28</v>
      </c>
      <c r="L2617" s="18" t="s">
        <v>28</v>
      </c>
      <c r="M2617" s="18" t="s">
        <v>28</v>
      </c>
      <c r="N2617" s="17">
        <v>44859</v>
      </c>
      <c r="O2617" s="15" t="s">
        <v>79</v>
      </c>
      <c r="P2617" s="16" t="s">
        <v>1096</v>
      </c>
      <c r="Q2617" s="15" t="s">
        <v>607</v>
      </c>
      <c r="R2617" s="13" t="str">
        <f>HYPERLINK("https://my.pitchbook.com?c=206905-78T","View Company Online")</f>
        <v>View Company Online</v>
      </c>
    </row>
    <row r="2618" spans="1:18" hidden="1" x14ac:dyDescent="0.3">
      <c r="A2618" s="9" t="s">
        <v>8886</v>
      </c>
      <c r="B2618" s="9" t="s">
        <v>8887</v>
      </c>
      <c r="C2618" s="11" t="s">
        <v>28</v>
      </c>
      <c r="D2618" s="9" t="s">
        <v>8888</v>
      </c>
      <c r="E2618" s="11" t="s">
        <v>28</v>
      </c>
      <c r="F2618" s="10" t="s">
        <v>28</v>
      </c>
      <c r="G2618" s="10" t="s">
        <v>28</v>
      </c>
      <c r="H2618" s="10" t="s">
        <v>28</v>
      </c>
      <c r="I2618" s="11" t="s">
        <v>28</v>
      </c>
      <c r="J2618" s="11" t="s">
        <v>28</v>
      </c>
      <c r="K2618" s="11" t="s">
        <v>28</v>
      </c>
      <c r="L2618" s="11" t="s">
        <v>28</v>
      </c>
      <c r="M2618" s="11" t="s">
        <v>28</v>
      </c>
      <c r="N2618" s="8">
        <v>44858</v>
      </c>
      <c r="O2618" s="9" t="s">
        <v>173</v>
      </c>
      <c r="P2618" s="12" t="s">
        <v>28</v>
      </c>
      <c r="Q2618" s="9" t="s">
        <v>174</v>
      </c>
      <c r="R2618" s="14" t="str">
        <f>HYPERLINK("https://my.pitchbook.com?c=207041-32T","View Company Online")</f>
        <v>View Company Online</v>
      </c>
    </row>
    <row r="2619" spans="1:18" hidden="1" x14ac:dyDescent="0.3">
      <c r="A2619" s="15" t="s">
        <v>8889</v>
      </c>
      <c r="B2619" s="15" t="s">
        <v>8890</v>
      </c>
      <c r="C2619" s="18" t="s">
        <v>28</v>
      </c>
      <c r="D2619" s="15" t="s">
        <v>8891</v>
      </c>
      <c r="E2619" s="18" t="s">
        <v>28</v>
      </c>
      <c r="F2619" s="19">
        <v>1.42</v>
      </c>
      <c r="G2619" s="19">
        <v>1.42</v>
      </c>
      <c r="H2619" s="19">
        <v>1.42</v>
      </c>
      <c r="I2619" s="18" t="s">
        <v>28</v>
      </c>
      <c r="J2619" s="18" t="s">
        <v>28</v>
      </c>
      <c r="K2619" s="18" t="s">
        <v>28</v>
      </c>
      <c r="L2619" s="18" t="s">
        <v>28</v>
      </c>
      <c r="M2619" s="18" t="s">
        <v>28</v>
      </c>
      <c r="N2619" s="17">
        <v>44856</v>
      </c>
      <c r="O2619" s="15" t="s">
        <v>30</v>
      </c>
      <c r="P2619" s="16" t="s">
        <v>5646</v>
      </c>
      <c r="Q2619" s="15" t="s">
        <v>290</v>
      </c>
      <c r="R2619" s="13" t="str">
        <f>HYPERLINK("https://my.pitchbook.com?c=211769-83T","View Company Online")</f>
        <v>View Company Online</v>
      </c>
    </row>
    <row r="2620" spans="1:18" hidden="1" x14ac:dyDescent="0.3">
      <c r="A2620" s="9" t="s">
        <v>8892</v>
      </c>
      <c r="B2620" s="9" t="s">
        <v>8893</v>
      </c>
      <c r="C2620" s="11" t="s">
        <v>28</v>
      </c>
      <c r="D2620" s="9" t="s">
        <v>8894</v>
      </c>
      <c r="E2620" s="11" t="s">
        <v>28</v>
      </c>
      <c r="F2620" s="10" t="s">
        <v>28</v>
      </c>
      <c r="G2620" s="10" t="s">
        <v>28</v>
      </c>
      <c r="H2620" s="10" t="s">
        <v>28</v>
      </c>
      <c r="I2620" s="11" t="s">
        <v>28</v>
      </c>
      <c r="J2620" s="11" t="s">
        <v>28</v>
      </c>
      <c r="K2620" s="11" t="s">
        <v>28</v>
      </c>
      <c r="L2620" s="11" t="s">
        <v>28</v>
      </c>
      <c r="M2620" s="11" t="s">
        <v>28</v>
      </c>
      <c r="N2620" s="8">
        <v>44856</v>
      </c>
      <c r="O2620" s="9" t="s">
        <v>52</v>
      </c>
      <c r="P2620" s="12" t="s">
        <v>8895</v>
      </c>
      <c r="Q2620" s="9" t="s">
        <v>1793</v>
      </c>
      <c r="R2620" s="14" t="str">
        <f>HYPERLINK("https://my.pitchbook.com?c=284587-93T","View Company Online")</f>
        <v>View Company Online</v>
      </c>
    </row>
    <row r="2621" spans="1:18" hidden="1" x14ac:dyDescent="0.3">
      <c r="A2621" s="15" t="s">
        <v>8896</v>
      </c>
      <c r="B2621" s="15" t="s">
        <v>6453</v>
      </c>
      <c r="C2621" s="18" t="s">
        <v>28</v>
      </c>
      <c r="D2621" s="15" t="s">
        <v>6454</v>
      </c>
      <c r="E2621" s="18" t="s">
        <v>28</v>
      </c>
      <c r="F2621" s="19">
        <v>176.04</v>
      </c>
      <c r="G2621" s="19">
        <v>176.04</v>
      </c>
      <c r="H2621" s="19">
        <v>176.04</v>
      </c>
      <c r="I2621" s="18" t="s">
        <v>28</v>
      </c>
      <c r="J2621" s="18" t="s">
        <v>28</v>
      </c>
      <c r="K2621" s="18" t="s">
        <v>28</v>
      </c>
      <c r="L2621" s="18" t="s">
        <v>28</v>
      </c>
      <c r="M2621" s="18" t="s">
        <v>28</v>
      </c>
      <c r="N2621" s="17">
        <v>44855</v>
      </c>
      <c r="O2621" s="15" t="s">
        <v>30</v>
      </c>
      <c r="P2621" s="16" t="s">
        <v>5140</v>
      </c>
      <c r="Q2621" s="15" t="s">
        <v>348</v>
      </c>
      <c r="R2621" s="13" t="str">
        <f>HYPERLINK("https://my.pitchbook.com?c=200693-26T","View Company Online")</f>
        <v>View Company Online</v>
      </c>
    </row>
    <row r="2622" spans="1:18" hidden="1" x14ac:dyDescent="0.3">
      <c r="A2622" s="9" t="s">
        <v>8897</v>
      </c>
      <c r="B2622" s="9" t="s">
        <v>8898</v>
      </c>
      <c r="C2622" s="11" t="s">
        <v>28</v>
      </c>
      <c r="D2622" s="9" t="s">
        <v>8899</v>
      </c>
      <c r="E2622" s="11" t="s">
        <v>28</v>
      </c>
      <c r="F2622" s="10" t="s">
        <v>28</v>
      </c>
      <c r="G2622" s="10">
        <v>0.19</v>
      </c>
      <c r="H2622" s="10" t="s">
        <v>28</v>
      </c>
      <c r="I2622" s="11" t="s">
        <v>28</v>
      </c>
      <c r="J2622" s="11" t="s">
        <v>28</v>
      </c>
      <c r="K2622" s="11" t="s">
        <v>28</v>
      </c>
      <c r="L2622" s="11" t="s">
        <v>28</v>
      </c>
      <c r="M2622" s="11" t="s">
        <v>28</v>
      </c>
      <c r="N2622" s="8">
        <v>44855</v>
      </c>
      <c r="O2622" s="9" t="s">
        <v>47</v>
      </c>
      <c r="P2622" s="12" t="s">
        <v>3097</v>
      </c>
      <c r="Q2622" s="9" t="s">
        <v>75</v>
      </c>
      <c r="R2622" s="14" t="str">
        <f>HYPERLINK("https://my.pitchbook.com?c=292868-11T","View Company Online")</f>
        <v>View Company Online</v>
      </c>
    </row>
    <row r="2623" spans="1:18" hidden="1" x14ac:dyDescent="0.3">
      <c r="A2623" s="15" t="s">
        <v>8900</v>
      </c>
      <c r="B2623" s="15" t="s">
        <v>8901</v>
      </c>
      <c r="C2623" s="18" t="s">
        <v>28</v>
      </c>
      <c r="D2623" s="15" t="s">
        <v>8902</v>
      </c>
      <c r="E2623" s="18">
        <v>2.6</v>
      </c>
      <c r="F2623" s="19" t="s">
        <v>28</v>
      </c>
      <c r="G2623" s="19" t="s">
        <v>28</v>
      </c>
      <c r="H2623" s="19" t="s">
        <v>28</v>
      </c>
      <c r="I2623" s="18">
        <v>2.6</v>
      </c>
      <c r="J2623" s="18" t="s">
        <v>28</v>
      </c>
      <c r="K2623" s="18">
        <v>0.78</v>
      </c>
      <c r="L2623" s="18" t="s">
        <v>28</v>
      </c>
      <c r="M2623" s="18">
        <v>2.6</v>
      </c>
      <c r="N2623" s="17">
        <v>44855</v>
      </c>
      <c r="O2623" s="15" t="s">
        <v>173</v>
      </c>
      <c r="P2623" s="16" t="s">
        <v>28</v>
      </c>
      <c r="Q2623" s="15" t="s">
        <v>174</v>
      </c>
      <c r="R2623" s="13" t="str">
        <f>HYPERLINK("https://my.pitchbook.com?c=207100-54T","View Company Online")</f>
        <v>View Company Online</v>
      </c>
    </row>
    <row r="2624" spans="1:18" hidden="1" x14ac:dyDescent="0.3">
      <c r="A2624" s="9" t="s">
        <v>8903</v>
      </c>
      <c r="B2624" s="9" t="s">
        <v>7069</v>
      </c>
      <c r="C2624" s="11" t="s">
        <v>28</v>
      </c>
      <c r="D2624" s="9" t="s">
        <v>7070</v>
      </c>
      <c r="E2624" s="11" t="s">
        <v>28</v>
      </c>
      <c r="F2624" s="10" t="s">
        <v>28</v>
      </c>
      <c r="G2624" s="10" t="s">
        <v>28</v>
      </c>
      <c r="H2624" s="10" t="s">
        <v>28</v>
      </c>
      <c r="I2624" s="11" t="s">
        <v>28</v>
      </c>
      <c r="J2624" s="11" t="s">
        <v>28</v>
      </c>
      <c r="K2624" s="11" t="s">
        <v>28</v>
      </c>
      <c r="L2624" s="11" t="s">
        <v>28</v>
      </c>
      <c r="M2624" s="11" t="s">
        <v>28</v>
      </c>
      <c r="N2624" s="8">
        <v>44854</v>
      </c>
      <c r="O2624" s="9" t="s">
        <v>52</v>
      </c>
      <c r="P2624" s="12" t="s">
        <v>8904</v>
      </c>
      <c r="Q2624" s="9" t="s">
        <v>37</v>
      </c>
      <c r="R2624" s="14" t="str">
        <f>HYPERLINK("https://my.pitchbook.com?c=270891-37T","View Company Online")</f>
        <v>View Company Online</v>
      </c>
    </row>
    <row r="2625" spans="1:18" hidden="1" x14ac:dyDescent="0.3">
      <c r="A2625" s="15" t="s">
        <v>8905</v>
      </c>
      <c r="B2625" s="15" t="s">
        <v>4924</v>
      </c>
      <c r="C2625" s="18" t="s">
        <v>28</v>
      </c>
      <c r="D2625" s="15" t="s">
        <v>4925</v>
      </c>
      <c r="E2625" s="18" t="s">
        <v>28</v>
      </c>
      <c r="F2625" s="19" t="s">
        <v>28</v>
      </c>
      <c r="G2625" s="19" t="s">
        <v>28</v>
      </c>
      <c r="H2625" s="19" t="s">
        <v>28</v>
      </c>
      <c r="I2625" s="18" t="s">
        <v>28</v>
      </c>
      <c r="J2625" s="18" t="s">
        <v>28</v>
      </c>
      <c r="K2625" s="18" t="s">
        <v>28</v>
      </c>
      <c r="L2625" s="18" t="s">
        <v>28</v>
      </c>
      <c r="M2625" s="18" t="s">
        <v>28</v>
      </c>
      <c r="N2625" s="17">
        <v>44854</v>
      </c>
      <c r="O2625" s="15" t="s">
        <v>52</v>
      </c>
      <c r="P2625" s="16" t="s">
        <v>8904</v>
      </c>
      <c r="Q2625" s="15" t="s">
        <v>37</v>
      </c>
      <c r="R2625" s="13" t="str">
        <f>HYPERLINK("https://my.pitchbook.com?c=270889-48T","View Company Online")</f>
        <v>View Company Online</v>
      </c>
    </row>
    <row r="2626" spans="1:18" hidden="1" x14ac:dyDescent="0.3">
      <c r="A2626" s="9" t="s">
        <v>8906</v>
      </c>
      <c r="B2626" s="9" t="s">
        <v>6269</v>
      </c>
      <c r="C2626" s="11" t="s">
        <v>28</v>
      </c>
      <c r="D2626" s="9" t="s">
        <v>6270</v>
      </c>
      <c r="E2626" s="11" t="s">
        <v>28</v>
      </c>
      <c r="F2626" s="10" t="s">
        <v>28</v>
      </c>
      <c r="G2626" s="10">
        <v>0.76</v>
      </c>
      <c r="H2626" s="10" t="s">
        <v>28</v>
      </c>
      <c r="I2626" s="11" t="s">
        <v>28</v>
      </c>
      <c r="J2626" s="11" t="s">
        <v>28</v>
      </c>
      <c r="K2626" s="11" t="s">
        <v>28</v>
      </c>
      <c r="L2626" s="11" t="s">
        <v>28</v>
      </c>
      <c r="M2626" s="11" t="s">
        <v>28</v>
      </c>
      <c r="N2626" s="8">
        <v>44854</v>
      </c>
      <c r="O2626" s="9" t="s">
        <v>73</v>
      </c>
      <c r="P2626" s="12" t="s">
        <v>8907</v>
      </c>
      <c r="Q2626" s="9" t="s">
        <v>75</v>
      </c>
      <c r="R2626" s="14" t="str">
        <f>HYPERLINK("https://my.pitchbook.com?c=206656-93T","View Company Online")</f>
        <v>View Company Online</v>
      </c>
    </row>
    <row r="2627" spans="1:18" hidden="1" x14ac:dyDescent="0.3">
      <c r="A2627" s="15" t="s">
        <v>8908</v>
      </c>
      <c r="B2627" s="15" t="s">
        <v>8909</v>
      </c>
      <c r="C2627" s="18" t="s">
        <v>28</v>
      </c>
      <c r="D2627" s="15" t="s">
        <v>8910</v>
      </c>
      <c r="E2627" s="18" t="s">
        <v>28</v>
      </c>
      <c r="F2627" s="19">
        <v>2.83</v>
      </c>
      <c r="G2627" s="19">
        <v>2.83</v>
      </c>
      <c r="H2627" s="19">
        <v>2.83</v>
      </c>
      <c r="I2627" s="18" t="s">
        <v>28</v>
      </c>
      <c r="J2627" s="18" t="s">
        <v>28</v>
      </c>
      <c r="K2627" s="18" t="s">
        <v>28</v>
      </c>
      <c r="L2627" s="18" t="s">
        <v>28</v>
      </c>
      <c r="M2627" s="18" t="s">
        <v>28</v>
      </c>
      <c r="N2627" s="17">
        <v>44853</v>
      </c>
      <c r="O2627" s="15" t="s">
        <v>30</v>
      </c>
      <c r="P2627" s="16" t="s">
        <v>8911</v>
      </c>
      <c r="Q2627" s="15" t="s">
        <v>240</v>
      </c>
      <c r="R2627" s="13" t="str">
        <f>HYPERLINK("https://my.pitchbook.com?c=201611-53T","View Company Online")</f>
        <v>View Company Online</v>
      </c>
    </row>
    <row r="2628" spans="1:18" hidden="1" x14ac:dyDescent="0.3">
      <c r="A2628" s="9" t="s">
        <v>8912</v>
      </c>
      <c r="B2628" s="9" t="s">
        <v>8913</v>
      </c>
      <c r="C2628" s="11" t="s">
        <v>28</v>
      </c>
      <c r="D2628" s="9" t="s">
        <v>8914</v>
      </c>
      <c r="E2628" s="11" t="s">
        <v>28</v>
      </c>
      <c r="F2628" s="10" t="s">
        <v>28</v>
      </c>
      <c r="G2628" s="10" t="s">
        <v>28</v>
      </c>
      <c r="H2628" s="10" t="s">
        <v>28</v>
      </c>
      <c r="I2628" s="11" t="s">
        <v>28</v>
      </c>
      <c r="J2628" s="11" t="s">
        <v>28</v>
      </c>
      <c r="K2628" s="11" t="s">
        <v>28</v>
      </c>
      <c r="L2628" s="11" t="s">
        <v>28</v>
      </c>
      <c r="M2628" s="11" t="s">
        <v>28</v>
      </c>
      <c r="N2628" s="8">
        <v>44852</v>
      </c>
      <c r="O2628" s="9" t="s">
        <v>30</v>
      </c>
      <c r="P2628" s="12" t="s">
        <v>8915</v>
      </c>
      <c r="Q2628" s="9" t="s">
        <v>1238</v>
      </c>
      <c r="R2628" s="14" t="str">
        <f>HYPERLINK("https://my.pitchbook.com?c=209218-78T","View Company Online")</f>
        <v>View Company Online</v>
      </c>
    </row>
    <row r="2629" spans="1:18" hidden="1" x14ac:dyDescent="0.3">
      <c r="A2629" s="15" t="s">
        <v>8916</v>
      </c>
      <c r="B2629" s="15" t="s">
        <v>8917</v>
      </c>
      <c r="C2629" s="18" t="s">
        <v>28</v>
      </c>
      <c r="D2629" s="15" t="s">
        <v>8918</v>
      </c>
      <c r="E2629" s="18" t="s">
        <v>28</v>
      </c>
      <c r="F2629" s="19" t="s">
        <v>28</v>
      </c>
      <c r="G2629" s="19" t="s">
        <v>28</v>
      </c>
      <c r="H2629" s="19" t="s">
        <v>28</v>
      </c>
      <c r="I2629" s="18" t="s">
        <v>28</v>
      </c>
      <c r="J2629" s="18" t="s">
        <v>28</v>
      </c>
      <c r="K2629" s="18" t="s">
        <v>28</v>
      </c>
      <c r="L2629" s="18" t="s">
        <v>28</v>
      </c>
      <c r="M2629" s="18" t="s">
        <v>28</v>
      </c>
      <c r="N2629" s="17">
        <v>44852</v>
      </c>
      <c r="O2629" s="15" t="s">
        <v>73</v>
      </c>
      <c r="P2629" s="16" t="s">
        <v>8919</v>
      </c>
      <c r="Q2629" s="15" t="s">
        <v>75</v>
      </c>
      <c r="R2629" s="13" t="str">
        <f>HYPERLINK("https://my.pitchbook.com?c=253928-62T","View Company Online")</f>
        <v>View Company Online</v>
      </c>
    </row>
    <row r="2630" spans="1:18" hidden="1" x14ac:dyDescent="0.3">
      <c r="A2630" s="9" t="s">
        <v>8920</v>
      </c>
      <c r="B2630" s="9" t="s">
        <v>8921</v>
      </c>
      <c r="C2630" s="11" t="s">
        <v>28</v>
      </c>
      <c r="D2630" s="9" t="s">
        <v>8922</v>
      </c>
      <c r="E2630" s="11" t="s">
        <v>28</v>
      </c>
      <c r="F2630" s="10" t="s">
        <v>28</v>
      </c>
      <c r="G2630" s="10" t="s">
        <v>28</v>
      </c>
      <c r="H2630" s="10" t="s">
        <v>28</v>
      </c>
      <c r="I2630" s="11" t="s">
        <v>28</v>
      </c>
      <c r="J2630" s="11" t="s">
        <v>28</v>
      </c>
      <c r="K2630" s="11" t="s">
        <v>28</v>
      </c>
      <c r="L2630" s="11" t="s">
        <v>28</v>
      </c>
      <c r="M2630" s="11" t="s">
        <v>28</v>
      </c>
      <c r="N2630" s="8">
        <v>44852</v>
      </c>
      <c r="O2630" s="9" t="s">
        <v>93</v>
      </c>
      <c r="P2630" s="12" t="s">
        <v>343</v>
      </c>
      <c r="Q2630" s="9" t="s">
        <v>119</v>
      </c>
      <c r="R2630" s="14" t="str">
        <f>HYPERLINK("https://my.pitchbook.com?c=219016-09T","View Company Online")</f>
        <v>View Company Online</v>
      </c>
    </row>
    <row r="2631" spans="1:18" hidden="1" x14ac:dyDescent="0.3">
      <c r="A2631" s="15" t="s">
        <v>8923</v>
      </c>
      <c r="B2631" s="15" t="s">
        <v>2549</v>
      </c>
      <c r="C2631" s="18" t="s">
        <v>28</v>
      </c>
      <c r="D2631" s="15" t="s">
        <v>2550</v>
      </c>
      <c r="E2631" s="18" t="s">
        <v>28</v>
      </c>
      <c r="F2631" s="19" t="s">
        <v>28</v>
      </c>
      <c r="G2631" s="19">
        <v>13.29</v>
      </c>
      <c r="H2631" s="19" t="s">
        <v>28</v>
      </c>
      <c r="I2631" s="18" t="s">
        <v>28</v>
      </c>
      <c r="J2631" s="18" t="s">
        <v>28</v>
      </c>
      <c r="K2631" s="18" t="s">
        <v>28</v>
      </c>
      <c r="L2631" s="18" t="s">
        <v>28</v>
      </c>
      <c r="M2631" s="18" t="s">
        <v>28</v>
      </c>
      <c r="N2631" s="17">
        <v>44851</v>
      </c>
      <c r="O2631" s="15" t="s">
        <v>58</v>
      </c>
      <c r="P2631" s="16" t="s">
        <v>7518</v>
      </c>
      <c r="Q2631" s="15" t="s">
        <v>43</v>
      </c>
      <c r="R2631" s="13" t="str">
        <f>HYPERLINK("https://my.pitchbook.com?c=222879-97T","View Company Online")</f>
        <v>View Company Online</v>
      </c>
    </row>
    <row r="2632" spans="1:18" hidden="1" x14ac:dyDescent="0.3">
      <c r="A2632" s="9" t="s">
        <v>8924</v>
      </c>
      <c r="B2632" s="9" t="s">
        <v>8925</v>
      </c>
      <c r="C2632" s="11" t="s">
        <v>28</v>
      </c>
      <c r="D2632" s="9" t="s">
        <v>8926</v>
      </c>
      <c r="E2632" s="11" t="s">
        <v>28</v>
      </c>
      <c r="F2632" s="10">
        <v>16.559999999999999</v>
      </c>
      <c r="G2632" s="10">
        <v>16.559999999999999</v>
      </c>
      <c r="H2632" s="10">
        <v>16.559999999999999</v>
      </c>
      <c r="I2632" s="11" t="s">
        <v>28</v>
      </c>
      <c r="J2632" s="11" t="s">
        <v>28</v>
      </c>
      <c r="K2632" s="11" t="s">
        <v>28</v>
      </c>
      <c r="L2632" s="11" t="s">
        <v>28</v>
      </c>
      <c r="M2632" s="11" t="s">
        <v>28</v>
      </c>
      <c r="N2632" s="8">
        <v>44851</v>
      </c>
      <c r="O2632" s="9" t="s">
        <v>30</v>
      </c>
      <c r="P2632" s="12" t="s">
        <v>8927</v>
      </c>
      <c r="Q2632" s="9" t="s">
        <v>37</v>
      </c>
      <c r="R2632" s="14" t="str">
        <f>HYPERLINK("https://my.pitchbook.com?c=209159-38T","View Company Online")</f>
        <v>View Company Online</v>
      </c>
    </row>
    <row r="2633" spans="1:18" hidden="1" x14ac:dyDescent="0.3">
      <c r="A2633" s="15" t="s">
        <v>8928</v>
      </c>
      <c r="B2633" s="15" t="s">
        <v>8929</v>
      </c>
      <c r="C2633" s="18" t="s">
        <v>28</v>
      </c>
      <c r="D2633" s="15" t="s">
        <v>8930</v>
      </c>
      <c r="E2633" s="18" t="s">
        <v>28</v>
      </c>
      <c r="F2633" s="19" t="s">
        <v>28</v>
      </c>
      <c r="G2633" s="19" t="s">
        <v>28</v>
      </c>
      <c r="H2633" s="19" t="s">
        <v>28</v>
      </c>
      <c r="I2633" s="18" t="s">
        <v>28</v>
      </c>
      <c r="J2633" s="18" t="s">
        <v>28</v>
      </c>
      <c r="K2633" s="18" t="s">
        <v>28</v>
      </c>
      <c r="L2633" s="18" t="s">
        <v>28</v>
      </c>
      <c r="M2633" s="18" t="s">
        <v>28</v>
      </c>
      <c r="N2633" s="17">
        <v>44851</v>
      </c>
      <c r="O2633" s="15" t="s">
        <v>79</v>
      </c>
      <c r="P2633" s="16" t="s">
        <v>8931</v>
      </c>
      <c r="Q2633" s="15" t="s">
        <v>583</v>
      </c>
      <c r="R2633" s="13" t="str">
        <f>HYPERLINK("https://my.pitchbook.com?c=206595-01T","View Company Online")</f>
        <v>View Company Online</v>
      </c>
    </row>
    <row r="2634" spans="1:18" hidden="1" x14ac:dyDescent="0.3">
      <c r="A2634" s="9" t="s">
        <v>8932</v>
      </c>
      <c r="B2634" s="9" t="s">
        <v>8933</v>
      </c>
      <c r="C2634" s="11" t="s">
        <v>28</v>
      </c>
      <c r="D2634" s="9" t="s">
        <v>8934</v>
      </c>
      <c r="E2634" s="11" t="s">
        <v>28</v>
      </c>
      <c r="F2634" s="10" t="s">
        <v>28</v>
      </c>
      <c r="G2634" s="10">
        <v>0.86</v>
      </c>
      <c r="H2634" s="10" t="s">
        <v>28</v>
      </c>
      <c r="I2634" s="11" t="s">
        <v>28</v>
      </c>
      <c r="J2634" s="11" t="s">
        <v>28</v>
      </c>
      <c r="K2634" s="11" t="s">
        <v>28</v>
      </c>
      <c r="L2634" s="11" t="s">
        <v>28</v>
      </c>
      <c r="M2634" s="11" t="s">
        <v>28</v>
      </c>
      <c r="N2634" s="8">
        <v>44850</v>
      </c>
      <c r="O2634" s="9" t="s">
        <v>99</v>
      </c>
      <c r="P2634" s="12" t="s">
        <v>8935</v>
      </c>
      <c r="Q2634" s="9" t="s">
        <v>75</v>
      </c>
      <c r="R2634" s="14" t="str">
        <f>HYPERLINK("https://my.pitchbook.com?c=208904-95T","View Company Online")</f>
        <v>View Company Online</v>
      </c>
    </row>
    <row r="2635" spans="1:18" hidden="1" x14ac:dyDescent="0.3">
      <c r="A2635" s="15" t="s">
        <v>8936</v>
      </c>
      <c r="B2635" s="15" t="s">
        <v>8937</v>
      </c>
      <c r="C2635" s="18" t="s">
        <v>28</v>
      </c>
      <c r="D2635" s="15" t="s">
        <v>8938</v>
      </c>
      <c r="E2635" s="18" t="s">
        <v>28</v>
      </c>
      <c r="F2635" s="19" t="s">
        <v>28</v>
      </c>
      <c r="G2635" s="19">
        <v>0.76</v>
      </c>
      <c r="H2635" s="19" t="s">
        <v>28</v>
      </c>
      <c r="I2635" s="18" t="s">
        <v>28</v>
      </c>
      <c r="J2635" s="18" t="s">
        <v>28</v>
      </c>
      <c r="K2635" s="18" t="s">
        <v>28</v>
      </c>
      <c r="L2635" s="18" t="s">
        <v>28</v>
      </c>
      <c r="M2635" s="18" t="s">
        <v>28</v>
      </c>
      <c r="N2635" s="17">
        <v>44848</v>
      </c>
      <c r="O2635" s="15" t="s">
        <v>73</v>
      </c>
      <c r="P2635" s="16" t="s">
        <v>8939</v>
      </c>
      <c r="Q2635" s="15" t="s">
        <v>37</v>
      </c>
      <c r="R2635" s="13" t="str">
        <f>HYPERLINK("https://my.pitchbook.com?c=203271-40T","View Company Online")</f>
        <v>View Company Online</v>
      </c>
    </row>
    <row r="2636" spans="1:18" hidden="1" x14ac:dyDescent="0.3">
      <c r="A2636" s="9" t="s">
        <v>8940</v>
      </c>
      <c r="B2636" s="9" t="s">
        <v>8941</v>
      </c>
      <c r="C2636" s="11" t="s">
        <v>28</v>
      </c>
      <c r="D2636" s="9" t="s">
        <v>8942</v>
      </c>
      <c r="E2636" s="11" t="s">
        <v>28</v>
      </c>
      <c r="F2636" s="10" t="s">
        <v>28</v>
      </c>
      <c r="G2636" s="10" t="s">
        <v>28</v>
      </c>
      <c r="H2636" s="10" t="s">
        <v>28</v>
      </c>
      <c r="I2636" s="11" t="s">
        <v>28</v>
      </c>
      <c r="J2636" s="11" t="s">
        <v>28</v>
      </c>
      <c r="K2636" s="11" t="s">
        <v>28</v>
      </c>
      <c r="L2636" s="11" t="s">
        <v>28</v>
      </c>
      <c r="M2636" s="11" t="s">
        <v>28</v>
      </c>
      <c r="N2636" s="8">
        <v>44847</v>
      </c>
      <c r="O2636" s="9" t="s">
        <v>30</v>
      </c>
      <c r="P2636" s="12" t="s">
        <v>8943</v>
      </c>
      <c r="Q2636" s="9" t="s">
        <v>75</v>
      </c>
      <c r="R2636" s="14" t="str">
        <f>HYPERLINK("https://my.pitchbook.com?c=206199-01T","View Company Online")</f>
        <v>View Company Online</v>
      </c>
    </row>
    <row r="2637" spans="1:18" hidden="1" x14ac:dyDescent="0.3">
      <c r="A2637" s="15" t="s">
        <v>8944</v>
      </c>
      <c r="B2637" s="15" t="s">
        <v>8945</v>
      </c>
      <c r="C2637" s="18" t="s">
        <v>28</v>
      </c>
      <c r="D2637" s="15" t="s">
        <v>8946</v>
      </c>
      <c r="E2637" s="18" t="s">
        <v>28</v>
      </c>
      <c r="F2637" s="19" t="s">
        <v>28</v>
      </c>
      <c r="G2637" s="19" t="s">
        <v>28</v>
      </c>
      <c r="H2637" s="19" t="s">
        <v>28</v>
      </c>
      <c r="I2637" s="18" t="s">
        <v>28</v>
      </c>
      <c r="J2637" s="18" t="s">
        <v>28</v>
      </c>
      <c r="K2637" s="18" t="s">
        <v>28</v>
      </c>
      <c r="L2637" s="18" t="s">
        <v>28</v>
      </c>
      <c r="M2637" s="18" t="s">
        <v>28</v>
      </c>
      <c r="N2637" s="17">
        <v>44847</v>
      </c>
      <c r="O2637" s="15" t="s">
        <v>30</v>
      </c>
      <c r="P2637" s="16" t="s">
        <v>7615</v>
      </c>
      <c r="Q2637" s="15" t="s">
        <v>43</v>
      </c>
      <c r="R2637" s="13" t="str">
        <f>HYPERLINK("https://my.pitchbook.com?c=209396-80T","View Company Online")</f>
        <v>View Company Online</v>
      </c>
    </row>
    <row r="2638" spans="1:18" hidden="1" x14ac:dyDescent="0.3">
      <c r="A2638" s="9" t="s">
        <v>8947</v>
      </c>
      <c r="B2638" s="9" t="s">
        <v>8948</v>
      </c>
      <c r="C2638" s="11" t="s">
        <v>28</v>
      </c>
      <c r="D2638" s="9" t="s">
        <v>8949</v>
      </c>
      <c r="E2638" s="11" t="s">
        <v>28</v>
      </c>
      <c r="F2638" s="10" t="s">
        <v>28</v>
      </c>
      <c r="G2638" s="10" t="s">
        <v>28</v>
      </c>
      <c r="H2638" s="10" t="s">
        <v>28</v>
      </c>
      <c r="I2638" s="11" t="s">
        <v>28</v>
      </c>
      <c r="J2638" s="11" t="s">
        <v>28</v>
      </c>
      <c r="K2638" s="11" t="s">
        <v>28</v>
      </c>
      <c r="L2638" s="11" t="s">
        <v>28</v>
      </c>
      <c r="M2638" s="11" t="s">
        <v>28</v>
      </c>
      <c r="N2638" s="8">
        <v>44847</v>
      </c>
      <c r="O2638" s="9" t="s">
        <v>52</v>
      </c>
      <c r="P2638" s="12" t="s">
        <v>1880</v>
      </c>
      <c r="Q2638" s="9" t="s">
        <v>75</v>
      </c>
      <c r="R2638" s="14" t="str">
        <f>HYPERLINK("https://my.pitchbook.com?c=215002-27T","View Company Online")</f>
        <v>View Company Online</v>
      </c>
    </row>
    <row r="2639" spans="1:18" hidden="1" x14ac:dyDescent="0.3">
      <c r="A2639" s="15" t="s">
        <v>8950</v>
      </c>
      <c r="B2639" s="15" t="s">
        <v>8951</v>
      </c>
      <c r="C2639" s="18" t="s">
        <v>28</v>
      </c>
      <c r="D2639" s="15" t="s">
        <v>8952</v>
      </c>
      <c r="E2639" s="18" t="s">
        <v>28</v>
      </c>
      <c r="F2639" s="19" t="s">
        <v>28</v>
      </c>
      <c r="G2639" s="19" t="s">
        <v>28</v>
      </c>
      <c r="H2639" s="19" t="s">
        <v>28</v>
      </c>
      <c r="I2639" s="18" t="s">
        <v>28</v>
      </c>
      <c r="J2639" s="18" t="s">
        <v>28</v>
      </c>
      <c r="K2639" s="18" t="s">
        <v>28</v>
      </c>
      <c r="L2639" s="18" t="s">
        <v>28</v>
      </c>
      <c r="M2639" s="18" t="s">
        <v>28</v>
      </c>
      <c r="N2639" s="17">
        <v>44847</v>
      </c>
      <c r="O2639" s="15" t="s">
        <v>30</v>
      </c>
      <c r="P2639" s="16" t="s">
        <v>8953</v>
      </c>
      <c r="Q2639" s="15" t="s">
        <v>1853</v>
      </c>
      <c r="R2639" s="13" t="str">
        <f>HYPERLINK("https://my.pitchbook.com?c=234904-33T","View Company Online")</f>
        <v>View Company Online</v>
      </c>
    </row>
    <row r="2640" spans="1:18" hidden="1" x14ac:dyDescent="0.3">
      <c r="A2640" s="9" t="s">
        <v>8954</v>
      </c>
      <c r="B2640" s="9" t="s">
        <v>8955</v>
      </c>
      <c r="C2640" s="11" t="s">
        <v>28</v>
      </c>
      <c r="D2640" s="9" t="s">
        <v>8956</v>
      </c>
      <c r="E2640" s="11" t="s">
        <v>28</v>
      </c>
      <c r="F2640" s="10" t="s">
        <v>28</v>
      </c>
      <c r="G2640" s="10">
        <v>10</v>
      </c>
      <c r="H2640" s="10" t="s">
        <v>28</v>
      </c>
      <c r="I2640" s="11" t="s">
        <v>28</v>
      </c>
      <c r="J2640" s="11" t="s">
        <v>28</v>
      </c>
      <c r="K2640" s="11" t="s">
        <v>28</v>
      </c>
      <c r="L2640" s="11" t="s">
        <v>28</v>
      </c>
      <c r="M2640" s="11" t="s">
        <v>28</v>
      </c>
      <c r="N2640" s="8">
        <v>44847</v>
      </c>
      <c r="O2640" s="9" t="s">
        <v>99</v>
      </c>
      <c r="P2640" s="12" t="s">
        <v>5336</v>
      </c>
      <c r="Q2640" s="9" t="s">
        <v>290</v>
      </c>
      <c r="R2640" s="14" t="str">
        <f>HYPERLINK("https://my.pitchbook.com?c=206169-94T","View Company Online")</f>
        <v>View Company Online</v>
      </c>
    </row>
    <row r="2641" spans="1:18" hidden="1" x14ac:dyDescent="0.3">
      <c r="A2641" s="15" t="s">
        <v>8957</v>
      </c>
      <c r="B2641" s="15" t="s">
        <v>8958</v>
      </c>
      <c r="C2641" s="18" t="s">
        <v>28</v>
      </c>
      <c r="D2641" s="15" t="s">
        <v>8959</v>
      </c>
      <c r="E2641" s="18" t="s">
        <v>28</v>
      </c>
      <c r="F2641" s="19" t="s">
        <v>28</v>
      </c>
      <c r="G2641" s="19">
        <v>3.8</v>
      </c>
      <c r="H2641" s="19" t="s">
        <v>28</v>
      </c>
      <c r="I2641" s="18" t="s">
        <v>28</v>
      </c>
      <c r="J2641" s="18" t="s">
        <v>28</v>
      </c>
      <c r="K2641" s="18" t="s">
        <v>28</v>
      </c>
      <c r="L2641" s="18" t="s">
        <v>28</v>
      </c>
      <c r="M2641" s="18" t="s">
        <v>28</v>
      </c>
      <c r="N2641" s="17">
        <v>44847</v>
      </c>
      <c r="O2641" s="15" t="s">
        <v>73</v>
      </c>
      <c r="P2641" s="16" t="s">
        <v>1600</v>
      </c>
      <c r="Q2641" s="15" t="s">
        <v>1336</v>
      </c>
      <c r="R2641" s="13" t="str">
        <f>HYPERLINK("https://my.pitchbook.com?c=233492-77T","View Company Online")</f>
        <v>View Company Online</v>
      </c>
    </row>
    <row r="2642" spans="1:18" hidden="1" x14ac:dyDescent="0.3">
      <c r="A2642" s="9" t="s">
        <v>8960</v>
      </c>
      <c r="B2642" s="9" t="s">
        <v>8961</v>
      </c>
      <c r="C2642" s="11" t="s">
        <v>28</v>
      </c>
      <c r="D2642" s="9" t="s">
        <v>8962</v>
      </c>
      <c r="E2642" s="11" t="s">
        <v>28</v>
      </c>
      <c r="F2642" s="10" t="s">
        <v>28</v>
      </c>
      <c r="G2642" s="10" t="s">
        <v>28</v>
      </c>
      <c r="H2642" s="10" t="s">
        <v>28</v>
      </c>
      <c r="I2642" s="11" t="s">
        <v>28</v>
      </c>
      <c r="J2642" s="11" t="s">
        <v>28</v>
      </c>
      <c r="K2642" s="11" t="s">
        <v>28</v>
      </c>
      <c r="L2642" s="11" t="s">
        <v>28</v>
      </c>
      <c r="M2642" s="11" t="s">
        <v>28</v>
      </c>
      <c r="N2642" s="8">
        <v>44847</v>
      </c>
      <c r="O2642" s="9" t="s">
        <v>173</v>
      </c>
      <c r="P2642" s="12" t="s">
        <v>28</v>
      </c>
      <c r="Q2642" s="9" t="s">
        <v>174</v>
      </c>
      <c r="R2642" s="14" t="str">
        <f>HYPERLINK("https://my.pitchbook.com?c=206588-98T","View Company Online")</f>
        <v>View Company Online</v>
      </c>
    </row>
    <row r="2643" spans="1:18" hidden="1" x14ac:dyDescent="0.3">
      <c r="A2643" s="15" t="s">
        <v>8963</v>
      </c>
      <c r="B2643" s="15" t="s">
        <v>8964</v>
      </c>
      <c r="C2643" s="18" t="s">
        <v>28</v>
      </c>
      <c r="D2643" s="15" t="s">
        <v>8965</v>
      </c>
      <c r="E2643" s="18" t="s">
        <v>28</v>
      </c>
      <c r="F2643" s="19" t="s">
        <v>28</v>
      </c>
      <c r="G2643" s="19" t="s">
        <v>28</v>
      </c>
      <c r="H2643" s="19" t="s">
        <v>28</v>
      </c>
      <c r="I2643" s="18" t="s">
        <v>28</v>
      </c>
      <c r="J2643" s="18" t="s">
        <v>28</v>
      </c>
      <c r="K2643" s="18" t="s">
        <v>28</v>
      </c>
      <c r="L2643" s="18" t="s">
        <v>28</v>
      </c>
      <c r="M2643" s="18" t="s">
        <v>28</v>
      </c>
      <c r="N2643" s="17">
        <v>44846</v>
      </c>
      <c r="O2643" s="15" t="s">
        <v>41</v>
      </c>
      <c r="P2643" s="16" t="s">
        <v>8586</v>
      </c>
      <c r="Q2643" s="15" t="s">
        <v>290</v>
      </c>
      <c r="R2643" s="13" t="str">
        <f>HYPERLINK("https://my.pitchbook.com?c=210206-80T","View Company Online")</f>
        <v>View Company Online</v>
      </c>
    </row>
    <row r="2644" spans="1:18" hidden="1" x14ac:dyDescent="0.3">
      <c r="A2644" s="9" t="s">
        <v>8966</v>
      </c>
      <c r="B2644" s="9" t="s">
        <v>8967</v>
      </c>
      <c r="C2644" s="11" t="s">
        <v>28</v>
      </c>
      <c r="D2644" s="9" t="s">
        <v>8968</v>
      </c>
      <c r="E2644" s="11" t="s">
        <v>28</v>
      </c>
      <c r="F2644" s="10" t="s">
        <v>28</v>
      </c>
      <c r="G2644" s="10">
        <v>2</v>
      </c>
      <c r="H2644" s="10" t="s">
        <v>28</v>
      </c>
      <c r="I2644" s="11" t="s">
        <v>28</v>
      </c>
      <c r="J2644" s="11" t="s">
        <v>28</v>
      </c>
      <c r="K2644" s="11" t="s">
        <v>28</v>
      </c>
      <c r="L2644" s="11" t="s">
        <v>28</v>
      </c>
      <c r="M2644" s="11" t="s">
        <v>28</v>
      </c>
      <c r="N2644" s="8">
        <v>44846</v>
      </c>
      <c r="O2644" s="9" t="s">
        <v>99</v>
      </c>
      <c r="P2644" s="12" t="s">
        <v>5673</v>
      </c>
      <c r="Q2644" s="9" t="s">
        <v>119</v>
      </c>
      <c r="R2644" s="14" t="str">
        <f>HYPERLINK("https://my.pitchbook.com?c=232948-72T","View Company Online")</f>
        <v>View Company Online</v>
      </c>
    </row>
    <row r="2645" spans="1:18" hidden="1" x14ac:dyDescent="0.3">
      <c r="A2645" s="15" t="s">
        <v>8969</v>
      </c>
      <c r="B2645" s="15" t="s">
        <v>8970</v>
      </c>
      <c r="C2645" s="18" t="s">
        <v>28</v>
      </c>
      <c r="D2645" s="15" t="s">
        <v>8971</v>
      </c>
      <c r="E2645" s="18" t="s">
        <v>28</v>
      </c>
      <c r="F2645" s="19" t="s">
        <v>28</v>
      </c>
      <c r="G2645" s="19" t="s">
        <v>28</v>
      </c>
      <c r="H2645" s="19" t="s">
        <v>28</v>
      </c>
      <c r="I2645" s="18" t="s">
        <v>28</v>
      </c>
      <c r="J2645" s="18" t="s">
        <v>28</v>
      </c>
      <c r="K2645" s="18" t="s">
        <v>28</v>
      </c>
      <c r="L2645" s="18" t="s">
        <v>28</v>
      </c>
      <c r="M2645" s="18" t="s">
        <v>28</v>
      </c>
      <c r="N2645" s="17">
        <v>44846</v>
      </c>
      <c r="O2645" s="15" t="s">
        <v>52</v>
      </c>
      <c r="P2645" s="16" t="s">
        <v>8972</v>
      </c>
      <c r="Q2645" s="15" t="s">
        <v>75</v>
      </c>
      <c r="R2645" s="13" t="str">
        <f>HYPERLINK("https://my.pitchbook.com?c=288558-73T","View Company Online")</f>
        <v>View Company Online</v>
      </c>
    </row>
    <row r="2646" spans="1:18" hidden="1" x14ac:dyDescent="0.3">
      <c r="A2646" s="9" t="s">
        <v>8973</v>
      </c>
      <c r="B2646" s="9" t="s">
        <v>8974</v>
      </c>
      <c r="C2646" s="11" t="s">
        <v>28</v>
      </c>
      <c r="D2646" s="9" t="s">
        <v>8975</v>
      </c>
      <c r="E2646" s="11" t="s">
        <v>28</v>
      </c>
      <c r="F2646" s="10" t="s">
        <v>28</v>
      </c>
      <c r="G2646" s="10">
        <v>3.26</v>
      </c>
      <c r="H2646" s="10">
        <v>6.66</v>
      </c>
      <c r="I2646" s="11" t="s">
        <v>28</v>
      </c>
      <c r="J2646" s="11" t="s">
        <v>28</v>
      </c>
      <c r="K2646" s="11" t="s">
        <v>28</v>
      </c>
      <c r="L2646" s="11" t="s">
        <v>28</v>
      </c>
      <c r="M2646" s="11" t="s">
        <v>28</v>
      </c>
      <c r="N2646" s="8">
        <v>44845</v>
      </c>
      <c r="O2646" s="9" t="s">
        <v>58</v>
      </c>
      <c r="P2646" s="12" t="s">
        <v>876</v>
      </c>
      <c r="Q2646" s="9" t="s">
        <v>6348</v>
      </c>
      <c r="R2646" s="14" t="str">
        <f>HYPERLINK("https://my.pitchbook.com?c=208981-72T","View Company Online")</f>
        <v>View Company Online</v>
      </c>
    </row>
    <row r="2647" spans="1:18" hidden="1" x14ac:dyDescent="0.3">
      <c r="A2647" s="15" t="s">
        <v>8976</v>
      </c>
      <c r="B2647" s="15" t="s">
        <v>8977</v>
      </c>
      <c r="C2647" s="18" t="s">
        <v>28</v>
      </c>
      <c r="D2647" s="15" t="s">
        <v>8978</v>
      </c>
      <c r="E2647" s="18" t="s">
        <v>28</v>
      </c>
      <c r="F2647" s="19" t="s">
        <v>28</v>
      </c>
      <c r="G2647" s="19" t="s">
        <v>28</v>
      </c>
      <c r="H2647" s="19" t="s">
        <v>28</v>
      </c>
      <c r="I2647" s="18" t="s">
        <v>28</v>
      </c>
      <c r="J2647" s="18" t="s">
        <v>28</v>
      </c>
      <c r="K2647" s="18" t="s">
        <v>28</v>
      </c>
      <c r="L2647" s="18" t="s">
        <v>28</v>
      </c>
      <c r="M2647" s="18" t="s">
        <v>28</v>
      </c>
      <c r="N2647" s="17">
        <v>44845</v>
      </c>
      <c r="O2647" s="15" t="s">
        <v>30</v>
      </c>
      <c r="P2647" s="16" t="s">
        <v>8979</v>
      </c>
      <c r="Q2647" s="15" t="s">
        <v>245</v>
      </c>
      <c r="R2647" s="13" t="str">
        <f>HYPERLINK("https://my.pitchbook.com?c=235950-40T","View Company Online")</f>
        <v>View Company Online</v>
      </c>
    </row>
    <row r="2648" spans="1:18" hidden="1" x14ac:dyDescent="0.3">
      <c r="A2648" s="9" t="s">
        <v>8980</v>
      </c>
      <c r="B2648" s="9" t="s">
        <v>8981</v>
      </c>
      <c r="C2648" s="11" t="s">
        <v>28</v>
      </c>
      <c r="D2648" s="9" t="s">
        <v>8982</v>
      </c>
      <c r="E2648" s="11" t="s">
        <v>28</v>
      </c>
      <c r="F2648" s="10" t="s">
        <v>28</v>
      </c>
      <c r="G2648" s="10" t="s">
        <v>28</v>
      </c>
      <c r="H2648" s="10" t="s">
        <v>28</v>
      </c>
      <c r="I2648" s="11" t="s">
        <v>28</v>
      </c>
      <c r="J2648" s="11" t="s">
        <v>28</v>
      </c>
      <c r="K2648" s="11" t="s">
        <v>28</v>
      </c>
      <c r="L2648" s="11" t="s">
        <v>28</v>
      </c>
      <c r="M2648" s="11" t="s">
        <v>28</v>
      </c>
      <c r="N2648" s="8">
        <v>44845</v>
      </c>
      <c r="O2648" s="9" t="s">
        <v>30</v>
      </c>
      <c r="P2648" s="12" t="s">
        <v>8979</v>
      </c>
      <c r="Q2648" s="9" t="s">
        <v>245</v>
      </c>
      <c r="R2648" s="14" t="str">
        <f>HYPERLINK("https://my.pitchbook.com?c=235955-08T","View Company Online")</f>
        <v>View Company Online</v>
      </c>
    </row>
    <row r="2649" spans="1:18" hidden="1" x14ac:dyDescent="0.3">
      <c r="A2649" s="15" t="s">
        <v>8983</v>
      </c>
      <c r="B2649" s="15" t="s">
        <v>3933</v>
      </c>
      <c r="C2649" s="18" t="s">
        <v>28</v>
      </c>
      <c r="D2649" s="15" t="s">
        <v>3934</v>
      </c>
      <c r="E2649" s="18" t="s">
        <v>28</v>
      </c>
      <c r="F2649" s="19" t="s">
        <v>28</v>
      </c>
      <c r="G2649" s="19" t="s">
        <v>28</v>
      </c>
      <c r="H2649" s="19" t="s">
        <v>28</v>
      </c>
      <c r="I2649" s="18" t="s">
        <v>28</v>
      </c>
      <c r="J2649" s="18" t="s">
        <v>28</v>
      </c>
      <c r="K2649" s="18" t="s">
        <v>28</v>
      </c>
      <c r="L2649" s="18" t="s">
        <v>28</v>
      </c>
      <c r="M2649" s="18" t="s">
        <v>28</v>
      </c>
      <c r="N2649" s="17">
        <v>44845</v>
      </c>
      <c r="O2649" s="15" t="s">
        <v>52</v>
      </c>
      <c r="P2649" s="16" t="s">
        <v>8984</v>
      </c>
      <c r="Q2649" s="15" t="s">
        <v>381</v>
      </c>
      <c r="R2649" s="13" t="str">
        <f>HYPERLINK("https://my.pitchbook.com?c=262495-18T","View Company Online")</f>
        <v>View Company Online</v>
      </c>
    </row>
    <row r="2650" spans="1:18" hidden="1" x14ac:dyDescent="0.3">
      <c r="A2650" s="9" t="s">
        <v>8985</v>
      </c>
      <c r="B2650" s="9" t="s">
        <v>8986</v>
      </c>
      <c r="C2650" s="11" t="s">
        <v>28</v>
      </c>
      <c r="D2650" s="9" t="s">
        <v>8987</v>
      </c>
      <c r="E2650" s="11" t="s">
        <v>28</v>
      </c>
      <c r="F2650" s="10" t="s">
        <v>28</v>
      </c>
      <c r="G2650" s="10" t="s">
        <v>28</v>
      </c>
      <c r="H2650" s="10" t="s">
        <v>28</v>
      </c>
      <c r="I2650" s="11" t="s">
        <v>28</v>
      </c>
      <c r="J2650" s="11" t="s">
        <v>28</v>
      </c>
      <c r="K2650" s="11" t="s">
        <v>28</v>
      </c>
      <c r="L2650" s="11" t="s">
        <v>28</v>
      </c>
      <c r="M2650" s="11" t="s">
        <v>28</v>
      </c>
      <c r="N2650" s="8">
        <v>44845</v>
      </c>
      <c r="O2650" s="9" t="s">
        <v>52</v>
      </c>
      <c r="P2650" s="12" t="s">
        <v>2736</v>
      </c>
      <c r="Q2650" s="9" t="s">
        <v>75</v>
      </c>
      <c r="R2650" s="14" t="str">
        <f>HYPERLINK("https://my.pitchbook.com?c=292572-19T","View Company Online")</f>
        <v>View Company Online</v>
      </c>
    </row>
    <row r="2651" spans="1:18" hidden="1" x14ac:dyDescent="0.3">
      <c r="A2651" s="15" t="s">
        <v>8988</v>
      </c>
      <c r="B2651" s="15" t="s">
        <v>8989</v>
      </c>
      <c r="C2651" s="18" t="s">
        <v>28</v>
      </c>
      <c r="D2651" s="15" t="s">
        <v>8990</v>
      </c>
      <c r="E2651" s="18" t="s">
        <v>28</v>
      </c>
      <c r="F2651" s="19" t="s">
        <v>28</v>
      </c>
      <c r="G2651" s="19" t="s">
        <v>28</v>
      </c>
      <c r="H2651" s="19" t="s">
        <v>28</v>
      </c>
      <c r="I2651" s="18" t="s">
        <v>28</v>
      </c>
      <c r="J2651" s="18" t="s">
        <v>28</v>
      </c>
      <c r="K2651" s="18" t="s">
        <v>28</v>
      </c>
      <c r="L2651" s="18" t="s">
        <v>28</v>
      </c>
      <c r="M2651" s="18" t="s">
        <v>28</v>
      </c>
      <c r="N2651" s="17">
        <v>44844</v>
      </c>
      <c r="O2651" s="15" t="s">
        <v>30</v>
      </c>
      <c r="P2651" s="16" t="s">
        <v>8991</v>
      </c>
      <c r="Q2651" s="15" t="s">
        <v>105</v>
      </c>
      <c r="R2651" s="13" t="str">
        <f>HYPERLINK("https://my.pitchbook.com?c=224917-03T","View Company Online")</f>
        <v>View Company Online</v>
      </c>
    </row>
    <row r="2652" spans="1:18" hidden="1" x14ac:dyDescent="0.3">
      <c r="A2652" s="9" t="s">
        <v>8992</v>
      </c>
      <c r="B2652" s="9" t="s">
        <v>8993</v>
      </c>
      <c r="C2652" s="11" t="s">
        <v>28</v>
      </c>
      <c r="D2652" s="9" t="s">
        <v>8994</v>
      </c>
      <c r="E2652" s="11" t="s">
        <v>28</v>
      </c>
      <c r="F2652" s="10" t="s">
        <v>28</v>
      </c>
      <c r="G2652" s="10" t="s">
        <v>28</v>
      </c>
      <c r="H2652" s="10" t="s">
        <v>28</v>
      </c>
      <c r="I2652" s="11" t="s">
        <v>28</v>
      </c>
      <c r="J2652" s="11" t="s">
        <v>28</v>
      </c>
      <c r="K2652" s="11" t="s">
        <v>28</v>
      </c>
      <c r="L2652" s="11" t="s">
        <v>28</v>
      </c>
      <c r="M2652" s="11" t="s">
        <v>28</v>
      </c>
      <c r="N2652" s="8">
        <v>44844</v>
      </c>
      <c r="O2652" s="9" t="s">
        <v>30</v>
      </c>
      <c r="P2652" s="12" t="s">
        <v>8230</v>
      </c>
      <c r="Q2652" s="9" t="s">
        <v>8995</v>
      </c>
      <c r="R2652" s="14" t="str">
        <f>HYPERLINK("https://my.pitchbook.com?c=206484-04T","View Company Online")</f>
        <v>View Company Online</v>
      </c>
    </row>
    <row r="2653" spans="1:18" hidden="1" x14ac:dyDescent="0.3">
      <c r="A2653" s="15" t="s">
        <v>8996</v>
      </c>
      <c r="B2653" s="15" t="s">
        <v>8997</v>
      </c>
      <c r="C2653" s="18" t="s">
        <v>28</v>
      </c>
      <c r="D2653" s="15" t="s">
        <v>8998</v>
      </c>
      <c r="E2653" s="18" t="s">
        <v>28</v>
      </c>
      <c r="F2653" s="19">
        <v>92.42</v>
      </c>
      <c r="G2653" s="19">
        <v>92.42</v>
      </c>
      <c r="H2653" s="19">
        <v>92.42</v>
      </c>
      <c r="I2653" s="18" t="s">
        <v>28</v>
      </c>
      <c r="J2653" s="18" t="s">
        <v>28</v>
      </c>
      <c r="K2653" s="18" t="s">
        <v>28</v>
      </c>
      <c r="L2653" s="18" t="s">
        <v>28</v>
      </c>
      <c r="M2653" s="18" t="s">
        <v>28</v>
      </c>
      <c r="N2653" s="17">
        <v>44844</v>
      </c>
      <c r="O2653" s="15" t="s">
        <v>30</v>
      </c>
      <c r="P2653" s="16" t="s">
        <v>2231</v>
      </c>
      <c r="Q2653" s="15" t="s">
        <v>8999</v>
      </c>
      <c r="R2653" s="13" t="str">
        <f>HYPERLINK("https://my.pitchbook.com?c=205741-00T","View Company Online")</f>
        <v>View Company Online</v>
      </c>
    </row>
    <row r="2654" spans="1:18" hidden="1" x14ac:dyDescent="0.3">
      <c r="A2654" s="9" t="s">
        <v>9000</v>
      </c>
      <c r="B2654" s="9" t="s">
        <v>9001</v>
      </c>
      <c r="C2654" s="11" t="s">
        <v>28</v>
      </c>
      <c r="D2654" s="9" t="s">
        <v>9002</v>
      </c>
      <c r="E2654" s="11" t="s">
        <v>28</v>
      </c>
      <c r="F2654" s="10" t="s">
        <v>28</v>
      </c>
      <c r="G2654" s="10">
        <v>9.86</v>
      </c>
      <c r="H2654" s="10" t="s">
        <v>28</v>
      </c>
      <c r="I2654" s="11" t="s">
        <v>28</v>
      </c>
      <c r="J2654" s="11" t="s">
        <v>28</v>
      </c>
      <c r="K2654" s="11" t="s">
        <v>28</v>
      </c>
      <c r="L2654" s="11" t="s">
        <v>28</v>
      </c>
      <c r="M2654" s="11" t="s">
        <v>28</v>
      </c>
      <c r="N2654" s="8">
        <v>44844</v>
      </c>
      <c r="O2654" s="9" t="s">
        <v>93</v>
      </c>
      <c r="P2654" s="12" t="s">
        <v>9003</v>
      </c>
      <c r="Q2654" s="9" t="s">
        <v>8669</v>
      </c>
      <c r="R2654" s="14" t="str">
        <f>HYPERLINK("https://my.pitchbook.com?c=205768-81T","View Company Online")</f>
        <v>View Company Online</v>
      </c>
    </row>
    <row r="2655" spans="1:18" hidden="1" x14ac:dyDescent="0.3">
      <c r="A2655" s="15" t="s">
        <v>9004</v>
      </c>
      <c r="B2655" s="15" t="s">
        <v>3421</v>
      </c>
      <c r="C2655" s="18" t="s">
        <v>28</v>
      </c>
      <c r="D2655" s="15" t="s">
        <v>3422</v>
      </c>
      <c r="E2655" s="18" t="s">
        <v>28</v>
      </c>
      <c r="F2655" s="19" t="s">
        <v>28</v>
      </c>
      <c r="G2655" s="19" t="s">
        <v>28</v>
      </c>
      <c r="H2655" s="19" t="s">
        <v>28</v>
      </c>
      <c r="I2655" s="18" t="s">
        <v>28</v>
      </c>
      <c r="J2655" s="18" t="s">
        <v>28</v>
      </c>
      <c r="K2655" s="18" t="s">
        <v>28</v>
      </c>
      <c r="L2655" s="18" t="s">
        <v>28</v>
      </c>
      <c r="M2655" s="18" t="s">
        <v>28</v>
      </c>
      <c r="N2655" s="17">
        <v>44843</v>
      </c>
      <c r="O2655" s="15" t="s">
        <v>99</v>
      </c>
      <c r="P2655" s="16" t="s">
        <v>9005</v>
      </c>
      <c r="Q2655" s="15" t="s">
        <v>235</v>
      </c>
      <c r="R2655" s="13" t="str">
        <f>HYPERLINK("https://my.pitchbook.com?c=217169-11T","View Company Online")</f>
        <v>View Company Online</v>
      </c>
    </row>
    <row r="2656" spans="1:18" hidden="1" x14ac:dyDescent="0.3">
      <c r="A2656" s="9" t="s">
        <v>9006</v>
      </c>
      <c r="B2656" s="9" t="s">
        <v>9007</v>
      </c>
      <c r="C2656" s="11" t="s">
        <v>28</v>
      </c>
      <c r="D2656" s="9" t="s">
        <v>9008</v>
      </c>
      <c r="E2656" s="11" t="s">
        <v>28</v>
      </c>
      <c r="F2656" s="10" t="s">
        <v>28</v>
      </c>
      <c r="G2656" s="10" t="s">
        <v>28</v>
      </c>
      <c r="H2656" s="10" t="s">
        <v>28</v>
      </c>
      <c r="I2656" s="11" t="s">
        <v>28</v>
      </c>
      <c r="J2656" s="11" t="s">
        <v>28</v>
      </c>
      <c r="K2656" s="11">
        <v>1161.31</v>
      </c>
      <c r="L2656" s="11" t="s">
        <v>28</v>
      </c>
      <c r="M2656" s="11">
        <v>445.09</v>
      </c>
      <c r="N2656" s="8">
        <v>44842</v>
      </c>
      <c r="O2656" s="9" t="s">
        <v>173</v>
      </c>
      <c r="P2656" s="12" t="s">
        <v>28</v>
      </c>
      <c r="Q2656" s="9" t="s">
        <v>2043</v>
      </c>
      <c r="R2656" s="14" t="str">
        <f>HYPERLINK("https://my.pitchbook.com?c=212090-23T","View Company Online")</f>
        <v>View Company Online</v>
      </c>
    </row>
    <row r="2657" spans="1:18" hidden="1" x14ac:dyDescent="0.3">
      <c r="A2657" s="15" t="s">
        <v>9009</v>
      </c>
      <c r="B2657" s="15" t="s">
        <v>6979</v>
      </c>
      <c r="C2657" s="18" t="s">
        <v>28</v>
      </c>
      <c r="D2657" s="15" t="s">
        <v>6980</v>
      </c>
      <c r="E2657" s="18" t="s">
        <v>28</v>
      </c>
      <c r="F2657" s="19" t="s">
        <v>28</v>
      </c>
      <c r="G2657" s="19">
        <v>1</v>
      </c>
      <c r="H2657" s="19">
        <v>33.33</v>
      </c>
      <c r="I2657" s="18" t="s">
        <v>28</v>
      </c>
      <c r="J2657" s="18" t="s">
        <v>28</v>
      </c>
      <c r="K2657" s="18" t="s">
        <v>28</v>
      </c>
      <c r="L2657" s="18" t="s">
        <v>28</v>
      </c>
      <c r="M2657" s="18" t="s">
        <v>28</v>
      </c>
      <c r="N2657" s="17">
        <v>44842</v>
      </c>
      <c r="O2657" s="15" t="s">
        <v>52</v>
      </c>
      <c r="P2657" s="16" t="s">
        <v>2191</v>
      </c>
      <c r="Q2657" s="15" t="s">
        <v>37</v>
      </c>
      <c r="R2657" s="13" t="str">
        <f>HYPERLINK("https://my.pitchbook.com?c=265265-83T","View Company Online")</f>
        <v>View Company Online</v>
      </c>
    </row>
    <row r="2658" spans="1:18" hidden="1" x14ac:dyDescent="0.3">
      <c r="A2658" s="9" t="s">
        <v>9010</v>
      </c>
      <c r="B2658" s="9" t="s">
        <v>9011</v>
      </c>
      <c r="C2658" s="11" t="s">
        <v>28</v>
      </c>
      <c r="D2658" s="9" t="s">
        <v>9012</v>
      </c>
      <c r="E2658" s="11" t="s">
        <v>28</v>
      </c>
      <c r="F2658" s="10" t="s">
        <v>28</v>
      </c>
      <c r="G2658" s="10" t="s">
        <v>28</v>
      </c>
      <c r="H2658" s="10" t="s">
        <v>28</v>
      </c>
      <c r="I2658" s="11" t="s">
        <v>28</v>
      </c>
      <c r="J2658" s="11" t="s">
        <v>28</v>
      </c>
      <c r="K2658" s="11" t="s">
        <v>28</v>
      </c>
      <c r="L2658" s="11" t="s">
        <v>28</v>
      </c>
      <c r="M2658" s="11" t="s">
        <v>28</v>
      </c>
      <c r="N2658" s="8">
        <v>44842</v>
      </c>
      <c r="O2658" s="9" t="s">
        <v>30</v>
      </c>
      <c r="P2658" s="12" t="s">
        <v>1483</v>
      </c>
      <c r="Q2658" s="9" t="s">
        <v>290</v>
      </c>
      <c r="R2658" s="14" t="str">
        <f>HYPERLINK("https://my.pitchbook.com?c=211776-40T","View Company Online")</f>
        <v>View Company Online</v>
      </c>
    </row>
    <row r="2659" spans="1:18" hidden="1" x14ac:dyDescent="0.3">
      <c r="A2659" s="15" t="s">
        <v>9013</v>
      </c>
      <c r="B2659" s="15" t="s">
        <v>9014</v>
      </c>
      <c r="C2659" s="18" t="s">
        <v>28</v>
      </c>
      <c r="D2659" s="15" t="s">
        <v>9015</v>
      </c>
      <c r="E2659" s="18" t="s">
        <v>28</v>
      </c>
      <c r="F2659" s="19" t="s">
        <v>28</v>
      </c>
      <c r="G2659" s="19">
        <v>76.28</v>
      </c>
      <c r="H2659" s="19" t="s">
        <v>28</v>
      </c>
      <c r="I2659" s="18" t="s">
        <v>28</v>
      </c>
      <c r="J2659" s="18" t="s">
        <v>28</v>
      </c>
      <c r="K2659" s="18" t="s">
        <v>28</v>
      </c>
      <c r="L2659" s="18" t="s">
        <v>28</v>
      </c>
      <c r="M2659" s="18" t="s">
        <v>28</v>
      </c>
      <c r="N2659" s="17">
        <v>44841</v>
      </c>
      <c r="O2659" s="15" t="s">
        <v>93</v>
      </c>
      <c r="P2659" s="16" t="s">
        <v>9016</v>
      </c>
      <c r="Q2659" s="15" t="s">
        <v>409</v>
      </c>
      <c r="R2659" s="13" t="str">
        <f>HYPERLINK("https://my.pitchbook.com?c=215912-98T","View Company Online")</f>
        <v>View Company Online</v>
      </c>
    </row>
    <row r="2660" spans="1:18" hidden="1" x14ac:dyDescent="0.3">
      <c r="A2660" s="9" t="s">
        <v>9017</v>
      </c>
      <c r="B2660" s="9" t="s">
        <v>9018</v>
      </c>
      <c r="C2660" s="11" t="s">
        <v>28</v>
      </c>
      <c r="D2660" s="9" t="s">
        <v>9019</v>
      </c>
      <c r="E2660" s="11" t="s">
        <v>28</v>
      </c>
      <c r="F2660" s="10" t="s">
        <v>28</v>
      </c>
      <c r="G2660" s="10" t="s">
        <v>28</v>
      </c>
      <c r="H2660" s="10" t="s">
        <v>28</v>
      </c>
      <c r="I2660" s="11" t="s">
        <v>28</v>
      </c>
      <c r="J2660" s="11" t="s">
        <v>28</v>
      </c>
      <c r="K2660" s="11" t="s">
        <v>28</v>
      </c>
      <c r="L2660" s="11" t="s">
        <v>28</v>
      </c>
      <c r="M2660" s="11" t="s">
        <v>28</v>
      </c>
      <c r="N2660" s="8">
        <v>44841</v>
      </c>
      <c r="O2660" s="9" t="s">
        <v>30</v>
      </c>
      <c r="P2660" s="12" t="s">
        <v>5140</v>
      </c>
      <c r="Q2660" s="9" t="s">
        <v>54</v>
      </c>
      <c r="R2660" s="14" t="str">
        <f>HYPERLINK("https://my.pitchbook.com?c=209209-87T","View Company Online")</f>
        <v>View Company Online</v>
      </c>
    </row>
    <row r="2661" spans="1:18" hidden="1" x14ac:dyDescent="0.3">
      <c r="A2661" s="15" t="s">
        <v>9020</v>
      </c>
      <c r="B2661" s="15" t="s">
        <v>9021</v>
      </c>
      <c r="C2661" s="18" t="s">
        <v>28</v>
      </c>
      <c r="D2661" s="15" t="s">
        <v>9022</v>
      </c>
      <c r="E2661" s="18" t="s">
        <v>28</v>
      </c>
      <c r="F2661" s="19" t="s">
        <v>28</v>
      </c>
      <c r="G2661" s="19" t="s">
        <v>28</v>
      </c>
      <c r="H2661" s="19" t="s">
        <v>28</v>
      </c>
      <c r="I2661" s="18" t="s">
        <v>28</v>
      </c>
      <c r="J2661" s="18" t="s">
        <v>28</v>
      </c>
      <c r="K2661" s="18" t="s">
        <v>28</v>
      </c>
      <c r="L2661" s="18" t="s">
        <v>28</v>
      </c>
      <c r="M2661" s="18" t="s">
        <v>28</v>
      </c>
      <c r="N2661" s="17">
        <v>44841</v>
      </c>
      <c r="O2661" s="15" t="s">
        <v>30</v>
      </c>
      <c r="P2661" s="16" t="s">
        <v>7567</v>
      </c>
      <c r="Q2661" s="15" t="s">
        <v>362</v>
      </c>
      <c r="R2661" s="13" t="str">
        <f>HYPERLINK("https://my.pitchbook.com?c=205704-64T","View Company Online")</f>
        <v>View Company Online</v>
      </c>
    </row>
    <row r="2662" spans="1:18" hidden="1" x14ac:dyDescent="0.3">
      <c r="A2662" s="9" t="s">
        <v>9023</v>
      </c>
      <c r="B2662" s="9" t="s">
        <v>9024</v>
      </c>
      <c r="C2662" s="11" t="s">
        <v>28</v>
      </c>
      <c r="D2662" s="9" t="s">
        <v>9025</v>
      </c>
      <c r="E2662" s="11" t="s">
        <v>28</v>
      </c>
      <c r="F2662" s="10" t="s">
        <v>28</v>
      </c>
      <c r="G2662" s="10" t="s">
        <v>28</v>
      </c>
      <c r="H2662" s="10">
        <v>1.1399999999999999</v>
      </c>
      <c r="I2662" s="11" t="s">
        <v>28</v>
      </c>
      <c r="J2662" s="11" t="s">
        <v>28</v>
      </c>
      <c r="K2662" s="11" t="s">
        <v>28</v>
      </c>
      <c r="L2662" s="11" t="s">
        <v>28</v>
      </c>
      <c r="M2662" s="11" t="s">
        <v>28</v>
      </c>
      <c r="N2662" s="8">
        <v>44841</v>
      </c>
      <c r="O2662" s="9" t="s">
        <v>73</v>
      </c>
      <c r="P2662" s="12" t="s">
        <v>9026</v>
      </c>
      <c r="Q2662" s="9" t="s">
        <v>75</v>
      </c>
      <c r="R2662" s="14" t="str">
        <f>HYPERLINK("https://my.pitchbook.com?c=205706-71T","View Company Online")</f>
        <v>View Company Online</v>
      </c>
    </row>
    <row r="2663" spans="1:18" hidden="1" x14ac:dyDescent="0.3">
      <c r="A2663" s="15" t="s">
        <v>9027</v>
      </c>
      <c r="B2663" s="15" t="s">
        <v>9028</v>
      </c>
      <c r="C2663" s="18" t="s">
        <v>28</v>
      </c>
      <c r="D2663" s="15" t="s">
        <v>9029</v>
      </c>
      <c r="E2663" s="18" t="s">
        <v>28</v>
      </c>
      <c r="F2663" s="19" t="s">
        <v>28</v>
      </c>
      <c r="G2663" s="19" t="s">
        <v>28</v>
      </c>
      <c r="H2663" s="19" t="s">
        <v>28</v>
      </c>
      <c r="I2663" s="18" t="s">
        <v>28</v>
      </c>
      <c r="J2663" s="18" t="s">
        <v>28</v>
      </c>
      <c r="K2663" s="18" t="s">
        <v>28</v>
      </c>
      <c r="L2663" s="18" t="s">
        <v>28</v>
      </c>
      <c r="M2663" s="18" t="s">
        <v>28</v>
      </c>
      <c r="N2663" s="17">
        <v>44841</v>
      </c>
      <c r="O2663" s="15" t="s">
        <v>30</v>
      </c>
      <c r="P2663" s="16" t="s">
        <v>9030</v>
      </c>
      <c r="Q2663" s="15" t="s">
        <v>7913</v>
      </c>
      <c r="R2663" s="13" t="str">
        <f>HYPERLINK("https://my.pitchbook.com?c=209089-36T","View Company Online")</f>
        <v>View Company Online</v>
      </c>
    </row>
    <row r="2664" spans="1:18" hidden="1" x14ac:dyDescent="0.3">
      <c r="A2664" s="9" t="s">
        <v>9031</v>
      </c>
      <c r="B2664" s="9" t="s">
        <v>9032</v>
      </c>
      <c r="C2664" s="11" t="s">
        <v>28</v>
      </c>
      <c r="D2664" s="9" t="s">
        <v>9033</v>
      </c>
      <c r="E2664" s="11" t="s">
        <v>28</v>
      </c>
      <c r="F2664" s="10" t="s">
        <v>28</v>
      </c>
      <c r="G2664" s="10">
        <v>0.76</v>
      </c>
      <c r="H2664" s="10" t="s">
        <v>28</v>
      </c>
      <c r="I2664" s="11" t="s">
        <v>28</v>
      </c>
      <c r="J2664" s="11" t="s">
        <v>28</v>
      </c>
      <c r="K2664" s="11" t="s">
        <v>28</v>
      </c>
      <c r="L2664" s="11" t="s">
        <v>28</v>
      </c>
      <c r="M2664" s="11" t="s">
        <v>28</v>
      </c>
      <c r="N2664" s="8">
        <v>44841</v>
      </c>
      <c r="O2664" s="9" t="s">
        <v>79</v>
      </c>
      <c r="P2664" s="12" t="s">
        <v>574</v>
      </c>
      <c r="Q2664" s="9" t="s">
        <v>75</v>
      </c>
      <c r="R2664" s="14" t="str">
        <f>HYPERLINK("https://my.pitchbook.com?c=206219-35T","View Company Online")</f>
        <v>View Company Online</v>
      </c>
    </row>
    <row r="2665" spans="1:18" hidden="1" x14ac:dyDescent="0.3">
      <c r="A2665" s="15" t="s">
        <v>9034</v>
      </c>
      <c r="B2665" s="15" t="s">
        <v>63</v>
      </c>
      <c r="C2665" s="18" t="s">
        <v>28</v>
      </c>
      <c r="D2665" s="15" t="s">
        <v>2618</v>
      </c>
      <c r="E2665" s="18">
        <v>22300</v>
      </c>
      <c r="F2665" s="19" t="s">
        <v>28</v>
      </c>
      <c r="G2665" s="19">
        <v>4400</v>
      </c>
      <c r="H2665" s="19">
        <v>89795</v>
      </c>
      <c r="I2665" s="18">
        <v>25393</v>
      </c>
      <c r="J2665" s="18">
        <v>3.54</v>
      </c>
      <c r="K2665" s="18">
        <v>45003</v>
      </c>
      <c r="L2665" s="18">
        <v>2</v>
      </c>
      <c r="M2665" s="18">
        <v>20491</v>
      </c>
      <c r="N2665" s="17">
        <v>44841</v>
      </c>
      <c r="O2665" s="15" t="s">
        <v>159</v>
      </c>
      <c r="P2665" s="16" t="s">
        <v>8248</v>
      </c>
      <c r="Q2665" s="15" t="s">
        <v>2620</v>
      </c>
      <c r="R2665" s="13" t="str">
        <f>HYPERLINK("https://my.pitchbook.com?c=206782-39T","View Company Online")</f>
        <v>View Company Online</v>
      </c>
    </row>
    <row r="2666" spans="1:18" hidden="1" x14ac:dyDescent="0.3">
      <c r="A2666" s="9" t="s">
        <v>9035</v>
      </c>
      <c r="B2666" s="9" t="s">
        <v>9036</v>
      </c>
      <c r="C2666" s="11" t="s">
        <v>28</v>
      </c>
      <c r="D2666" s="9" t="s">
        <v>9037</v>
      </c>
      <c r="E2666" s="11" t="s">
        <v>28</v>
      </c>
      <c r="F2666" s="10" t="s">
        <v>28</v>
      </c>
      <c r="G2666" s="10">
        <v>1.1299999999999999</v>
      </c>
      <c r="H2666" s="10">
        <v>6.06</v>
      </c>
      <c r="I2666" s="11" t="s">
        <v>28</v>
      </c>
      <c r="J2666" s="11" t="s">
        <v>28</v>
      </c>
      <c r="K2666" s="11" t="s">
        <v>28</v>
      </c>
      <c r="L2666" s="11" t="s">
        <v>28</v>
      </c>
      <c r="M2666" s="11" t="s">
        <v>28</v>
      </c>
      <c r="N2666" s="8">
        <v>44840</v>
      </c>
      <c r="O2666" s="9" t="s">
        <v>1639</v>
      </c>
      <c r="P2666" s="12" t="s">
        <v>28</v>
      </c>
      <c r="Q2666" s="9" t="s">
        <v>75</v>
      </c>
      <c r="R2666" s="14" t="str">
        <f>HYPERLINK("https://my.pitchbook.com?c=205669-27T","View Company Online")</f>
        <v>View Company Online</v>
      </c>
    </row>
    <row r="2667" spans="1:18" hidden="1" x14ac:dyDescent="0.3">
      <c r="A2667" s="15" t="s">
        <v>9038</v>
      </c>
      <c r="B2667" s="15" t="s">
        <v>4535</v>
      </c>
      <c r="C2667" s="18" t="s">
        <v>28</v>
      </c>
      <c r="D2667" s="15" t="s">
        <v>4536</v>
      </c>
      <c r="E2667" s="18" t="s">
        <v>28</v>
      </c>
      <c r="F2667" s="19" t="s">
        <v>28</v>
      </c>
      <c r="G2667" s="19" t="s">
        <v>28</v>
      </c>
      <c r="H2667" s="19" t="s">
        <v>28</v>
      </c>
      <c r="I2667" s="18" t="s">
        <v>28</v>
      </c>
      <c r="J2667" s="18" t="s">
        <v>28</v>
      </c>
      <c r="K2667" s="18" t="s">
        <v>28</v>
      </c>
      <c r="L2667" s="18" t="s">
        <v>28</v>
      </c>
      <c r="M2667" s="18" t="s">
        <v>28</v>
      </c>
      <c r="N2667" s="17">
        <v>44840</v>
      </c>
      <c r="O2667" s="15" t="s">
        <v>52</v>
      </c>
      <c r="P2667" s="16" t="s">
        <v>9039</v>
      </c>
      <c r="Q2667" s="15" t="s">
        <v>75</v>
      </c>
      <c r="R2667" s="13" t="str">
        <f>HYPERLINK("https://my.pitchbook.com?c=252103-15T","View Company Online")</f>
        <v>View Company Online</v>
      </c>
    </row>
    <row r="2668" spans="1:18" hidden="1" x14ac:dyDescent="0.3">
      <c r="A2668" s="9" t="s">
        <v>9040</v>
      </c>
      <c r="B2668" s="9" t="s">
        <v>9041</v>
      </c>
      <c r="C2668" s="11" t="s">
        <v>28</v>
      </c>
      <c r="D2668" s="9" t="s">
        <v>9042</v>
      </c>
      <c r="E2668" s="11" t="s">
        <v>28</v>
      </c>
      <c r="F2668" s="10" t="s">
        <v>28</v>
      </c>
      <c r="G2668" s="10" t="s">
        <v>28</v>
      </c>
      <c r="H2668" s="10" t="s">
        <v>28</v>
      </c>
      <c r="I2668" s="11" t="s">
        <v>28</v>
      </c>
      <c r="J2668" s="11" t="s">
        <v>28</v>
      </c>
      <c r="K2668" s="11" t="s">
        <v>28</v>
      </c>
      <c r="L2668" s="11" t="s">
        <v>28</v>
      </c>
      <c r="M2668" s="11" t="s">
        <v>28</v>
      </c>
      <c r="N2668" s="8">
        <v>44840</v>
      </c>
      <c r="O2668" s="9" t="s">
        <v>30</v>
      </c>
      <c r="P2668" s="12" t="s">
        <v>9043</v>
      </c>
      <c r="Q2668" s="9" t="s">
        <v>37</v>
      </c>
      <c r="R2668" s="14" t="str">
        <f>HYPERLINK("https://my.pitchbook.com?c=205666-84T","View Company Online")</f>
        <v>View Company Online</v>
      </c>
    </row>
    <row r="2669" spans="1:18" hidden="1" x14ac:dyDescent="0.3">
      <c r="A2669" s="15" t="s">
        <v>9044</v>
      </c>
      <c r="B2669" s="15" t="s">
        <v>9045</v>
      </c>
      <c r="C2669" s="18" t="s">
        <v>28</v>
      </c>
      <c r="D2669" s="15" t="s">
        <v>9046</v>
      </c>
      <c r="E2669" s="18" t="s">
        <v>28</v>
      </c>
      <c r="F2669" s="19" t="s">
        <v>28</v>
      </c>
      <c r="G2669" s="19" t="s">
        <v>28</v>
      </c>
      <c r="H2669" s="19" t="s">
        <v>28</v>
      </c>
      <c r="I2669" s="18" t="s">
        <v>28</v>
      </c>
      <c r="J2669" s="18" t="s">
        <v>28</v>
      </c>
      <c r="K2669" s="18" t="s">
        <v>28</v>
      </c>
      <c r="L2669" s="18" t="s">
        <v>28</v>
      </c>
      <c r="M2669" s="18" t="s">
        <v>28</v>
      </c>
      <c r="N2669" s="17">
        <v>44840</v>
      </c>
      <c r="O2669" s="15" t="s">
        <v>30</v>
      </c>
      <c r="P2669" s="16" t="s">
        <v>611</v>
      </c>
      <c r="Q2669" s="15" t="s">
        <v>37</v>
      </c>
      <c r="R2669" s="13" t="str">
        <f>HYPERLINK("https://my.pitchbook.com?c=209315-98T","View Company Online")</f>
        <v>View Company Online</v>
      </c>
    </row>
    <row r="2670" spans="1:18" hidden="1" x14ac:dyDescent="0.3">
      <c r="A2670" s="9" t="s">
        <v>9047</v>
      </c>
      <c r="B2670" s="9" t="s">
        <v>9048</v>
      </c>
      <c r="C2670" s="11" t="s">
        <v>28</v>
      </c>
      <c r="D2670" s="9" t="s">
        <v>9049</v>
      </c>
      <c r="E2670" s="11" t="s">
        <v>28</v>
      </c>
      <c r="F2670" s="10" t="s">
        <v>28</v>
      </c>
      <c r="G2670" s="10">
        <v>22.88</v>
      </c>
      <c r="H2670" s="10">
        <v>22.88</v>
      </c>
      <c r="I2670" s="11" t="s">
        <v>28</v>
      </c>
      <c r="J2670" s="11" t="s">
        <v>28</v>
      </c>
      <c r="K2670" s="11">
        <v>15.12</v>
      </c>
      <c r="L2670" s="11">
        <v>1.51</v>
      </c>
      <c r="M2670" s="11" t="s">
        <v>28</v>
      </c>
      <c r="N2670" s="8">
        <v>44839</v>
      </c>
      <c r="O2670" s="9" t="s">
        <v>30</v>
      </c>
      <c r="P2670" s="12" t="s">
        <v>9050</v>
      </c>
      <c r="Q2670" s="9" t="s">
        <v>9051</v>
      </c>
      <c r="R2670" s="14" t="str">
        <f>HYPERLINK("https://my.pitchbook.com?c=209397-70T","View Company Online")</f>
        <v>View Company Online</v>
      </c>
    </row>
    <row r="2671" spans="1:18" hidden="1" x14ac:dyDescent="0.3">
      <c r="A2671" s="15" t="s">
        <v>9052</v>
      </c>
      <c r="B2671" s="15" t="s">
        <v>9053</v>
      </c>
      <c r="C2671" s="18" t="s">
        <v>28</v>
      </c>
      <c r="D2671" s="15" t="s">
        <v>9054</v>
      </c>
      <c r="E2671" s="18" t="s">
        <v>28</v>
      </c>
      <c r="F2671" s="19">
        <v>22.88</v>
      </c>
      <c r="G2671" s="19">
        <v>22.88</v>
      </c>
      <c r="H2671" s="19">
        <v>22.88</v>
      </c>
      <c r="I2671" s="18" t="s">
        <v>28</v>
      </c>
      <c r="J2671" s="18" t="s">
        <v>28</v>
      </c>
      <c r="K2671" s="18">
        <v>15.07</v>
      </c>
      <c r="L2671" s="18">
        <v>1.52</v>
      </c>
      <c r="M2671" s="18" t="s">
        <v>28</v>
      </c>
      <c r="N2671" s="17">
        <v>44839</v>
      </c>
      <c r="O2671" s="15" t="s">
        <v>30</v>
      </c>
      <c r="P2671" s="16" t="s">
        <v>9055</v>
      </c>
      <c r="Q2671" s="15" t="s">
        <v>3973</v>
      </c>
      <c r="R2671" s="13" t="str">
        <f>HYPERLINK("https://my.pitchbook.com?c=209396-17T","View Company Online")</f>
        <v>View Company Online</v>
      </c>
    </row>
    <row r="2672" spans="1:18" hidden="1" x14ac:dyDescent="0.3">
      <c r="A2672" s="9" t="s">
        <v>9056</v>
      </c>
      <c r="B2672" s="9" t="s">
        <v>9057</v>
      </c>
      <c r="C2672" s="11" t="s">
        <v>28</v>
      </c>
      <c r="D2672" s="9" t="s">
        <v>9058</v>
      </c>
      <c r="E2672" s="11" t="s">
        <v>28</v>
      </c>
      <c r="F2672" s="10" t="s">
        <v>28</v>
      </c>
      <c r="G2672" s="10" t="s">
        <v>28</v>
      </c>
      <c r="H2672" s="10" t="s">
        <v>28</v>
      </c>
      <c r="I2672" s="11" t="s">
        <v>28</v>
      </c>
      <c r="J2672" s="11" t="s">
        <v>28</v>
      </c>
      <c r="K2672" s="11" t="s">
        <v>28</v>
      </c>
      <c r="L2672" s="11" t="s">
        <v>28</v>
      </c>
      <c r="M2672" s="11" t="s">
        <v>28</v>
      </c>
      <c r="N2672" s="8">
        <v>44838</v>
      </c>
      <c r="O2672" s="9" t="s">
        <v>58</v>
      </c>
      <c r="P2672" s="12" t="s">
        <v>864</v>
      </c>
      <c r="Q2672" s="9" t="s">
        <v>245</v>
      </c>
      <c r="R2672" s="14" t="str">
        <f>HYPERLINK("https://my.pitchbook.com?c=214781-05T","View Company Online")</f>
        <v>View Company Online</v>
      </c>
    </row>
    <row r="2673" spans="1:18" hidden="1" x14ac:dyDescent="0.3">
      <c r="A2673" s="15" t="s">
        <v>9059</v>
      </c>
      <c r="B2673" s="15" t="s">
        <v>7520</v>
      </c>
      <c r="C2673" s="18" t="s">
        <v>28</v>
      </c>
      <c r="D2673" s="15" t="s">
        <v>7521</v>
      </c>
      <c r="E2673" s="18" t="s">
        <v>28</v>
      </c>
      <c r="F2673" s="19" t="s">
        <v>28</v>
      </c>
      <c r="G2673" s="19" t="s">
        <v>28</v>
      </c>
      <c r="H2673" s="19" t="s">
        <v>28</v>
      </c>
      <c r="I2673" s="18" t="s">
        <v>28</v>
      </c>
      <c r="J2673" s="18" t="s">
        <v>28</v>
      </c>
      <c r="K2673" s="18" t="s">
        <v>28</v>
      </c>
      <c r="L2673" s="18" t="s">
        <v>28</v>
      </c>
      <c r="M2673" s="18" t="s">
        <v>28</v>
      </c>
      <c r="N2673" s="17">
        <v>44838</v>
      </c>
      <c r="O2673" s="15" t="s">
        <v>99</v>
      </c>
      <c r="P2673" s="16" t="s">
        <v>9060</v>
      </c>
      <c r="Q2673" s="15" t="s">
        <v>37</v>
      </c>
      <c r="R2673" s="13" t="str">
        <f>HYPERLINK("https://my.pitchbook.com?c=209072-26T","View Company Online")</f>
        <v>View Company Online</v>
      </c>
    </row>
    <row r="2674" spans="1:18" hidden="1" x14ac:dyDescent="0.3">
      <c r="A2674" s="9" t="s">
        <v>9061</v>
      </c>
      <c r="B2674" s="9" t="s">
        <v>9062</v>
      </c>
      <c r="C2674" s="11" t="s">
        <v>28</v>
      </c>
      <c r="D2674" s="9" t="s">
        <v>9063</v>
      </c>
      <c r="E2674" s="11" t="s">
        <v>28</v>
      </c>
      <c r="F2674" s="10" t="s">
        <v>28</v>
      </c>
      <c r="G2674" s="10" t="s">
        <v>28</v>
      </c>
      <c r="H2674" s="10" t="s">
        <v>28</v>
      </c>
      <c r="I2674" s="11" t="s">
        <v>28</v>
      </c>
      <c r="J2674" s="11" t="s">
        <v>28</v>
      </c>
      <c r="K2674" s="11" t="s">
        <v>28</v>
      </c>
      <c r="L2674" s="11" t="s">
        <v>28</v>
      </c>
      <c r="M2674" s="11" t="s">
        <v>28</v>
      </c>
      <c r="N2674" s="8">
        <v>44838</v>
      </c>
      <c r="O2674" s="9" t="s">
        <v>30</v>
      </c>
      <c r="P2674" s="12" t="s">
        <v>9064</v>
      </c>
      <c r="Q2674" s="9" t="s">
        <v>1527</v>
      </c>
      <c r="R2674" s="14" t="str">
        <f>HYPERLINK("https://my.pitchbook.com?c=205429-42T","View Company Online")</f>
        <v>View Company Online</v>
      </c>
    </row>
    <row r="2675" spans="1:18" hidden="1" x14ac:dyDescent="0.3">
      <c r="A2675" s="15" t="s">
        <v>9065</v>
      </c>
      <c r="B2675" s="15" t="s">
        <v>9066</v>
      </c>
      <c r="C2675" s="18" t="s">
        <v>28</v>
      </c>
      <c r="D2675" s="15" t="s">
        <v>9067</v>
      </c>
      <c r="E2675" s="18" t="s">
        <v>28</v>
      </c>
      <c r="F2675" s="19" t="s">
        <v>28</v>
      </c>
      <c r="G2675" s="19">
        <v>3</v>
      </c>
      <c r="H2675" s="19" t="s">
        <v>28</v>
      </c>
      <c r="I2675" s="18" t="s">
        <v>28</v>
      </c>
      <c r="J2675" s="18" t="s">
        <v>28</v>
      </c>
      <c r="K2675" s="18" t="s">
        <v>28</v>
      </c>
      <c r="L2675" s="18" t="s">
        <v>28</v>
      </c>
      <c r="M2675" s="18" t="s">
        <v>28</v>
      </c>
      <c r="N2675" s="17">
        <v>44838</v>
      </c>
      <c r="O2675" s="15" t="s">
        <v>99</v>
      </c>
      <c r="P2675" s="16" t="s">
        <v>9068</v>
      </c>
      <c r="Q2675" s="15" t="s">
        <v>419</v>
      </c>
      <c r="R2675" s="13" t="str">
        <f>HYPERLINK("https://my.pitchbook.com?c=205399-81T","View Company Online")</f>
        <v>View Company Online</v>
      </c>
    </row>
    <row r="2676" spans="1:18" hidden="1" x14ac:dyDescent="0.3">
      <c r="A2676" s="9" t="s">
        <v>9069</v>
      </c>
      <c r="B2676" s="9" t="s">
        <v>9070</v>
      </c>
      <c r="C2676" s="11" t="s">
        <v>28</v>
      </c>
      <c r="D2676" s="9" t="s">
        <v>9071</v>
      </c>
      <c r="E2676" s="11" t="s">
        <v>28</v>
      </c>
      <c r="F2676" s="10" t="s">
        <v>28</v>
      </c>
      <c r="G2676" s="10" t="s">
        <v>28</v>
      </c>
      <c r="H2676" s="10" t="s">
        <v>28</v>
      </c>
      <c r="I2676" s="11" t="s">
        <v>28</v>
      </c>
      <c r="J2676" s="11" t="s">
        <v>28</v>
      </c>
      <c r="K2676" s="11" t="s">
        <v>28</v>
      </c>
      <c r="L2676" s="11" t="s">
        <v>28</v>
      </c>
      <c r="M2676" s="11" t="s">
        <v>28</v>
      </c>
      <c r="N2676" s="8">
        <v>44838</v>
      </c>
      <c r="O2676" s="9" t="s">
        <v>30</v>
      </c>
      <c r="P2676" s="12" t="s">
        <v>9072</v>
      </c>
      <c r="Q2676" s="9" t="s">
        <v>9073</v>
      </c>
      <c r="R2676" s="14" t="str">
        <f>HYPERLINK("https://my.pitchbook.com?c=211777-66T","View Company Online")</f>
        <v>View Company Online</v>
      </c>
    </row>
    <row r="2677" spans="1:18" hidden="1" x14ac:dyDescent="0.3">
      <c r="A2677" s="15" t="s">
        <v>9074</v>
      </c>
      <c r="B2677" s="15" t="s">
        <v>9075</v>
      </c>
      <c r="C2677" s="18" t="s">
        <v>28</v>
      </c>
      <c r="D2677" s="15" t="s">
        <v>9076</v>
      </c>
      <c r="E2677" s="18" t="s">
        <v>28</v>
      </c>
      <c r="F2677" s="19">
        <v>22.89</v>
      </c>
      <c r="G2677" s="19">
        <v>22.89</v>
      </c>
      <c r="H2677" s="19">
        <v>22.89</v>
      </c>
      <c r="I2677" s="18" t="s">
        <v>28</v>
      </c>
      <c r="J2677" s="18" t="s">
        <v>28</v>
      </c>
      <c r="K2677" s="18" t="s">
        <v>28</v>
      </c>
      <c r="L2677" s="18" t="s">
        <v>28</v>
      </c>
      <c r="M2677" s="18" t="s">
        <v>28</v>
      </c>
      <c r="N2677" s="17">
        <v>44838</v>
      </c>
      <c r="O2677" s="15" t="s">
        <v>30</v>
      </c>
      <c r="P2677" s="16" t="s">
        <v>9077</v>
      </c>
      <c r="Q2677" s="15" t="s">
        <v>245</v>
      </c>
      <c r="R2677" s="13" t="str">
        <f>HYPERLINK("https://my.pitchbook.com?c=202853-17T","View Company Online")</f>
        <v>View Company Online</v>
      </c>
    </row>
    <row r="2678" spans="1:18" hidden="1" x14ac:dyDescent="0.3">
      <c r="A2678" s="9" t="s">
        <v>9078</v>
      </c>
      <c r="B2678" s="9" t="s">
        <v>9079</v>
      </c>
      <c r="C2678" s="11" t="s">
        <v>28</v>
      </c>
      <c r="D2678" s="9" t="s">
        <v>9080</v>
      </c>
      <c r="E2678" s="11" t="s">
        <v>28</v>
      </c>
      <c r="F2678" s="10" t="s">
        <v>28</v>
      </c>
      <c r="G2678" s="10" t="s">
        <v>28</v>
      </c>
      <c r="H2678" s="10" t="s">
        <v>28</v>
      </c>
      <c r="I2678" s="11" t="s">
        <v>28</v>
      </c>
      <c r="J2678" s="11" t="s">
        <v>28</v>
      </c>
      <c r="K2678" s="11" t="s">
        <v>28</v>
      </c>
      <c r="L2678" s="11" t="s">
        <v>28</v>
      </c>
      <c r="M2678" s="11" t="s">
        <v>28</v>
      </c>
      <c r="N2678" s="8">
        <v>44837</v>
      </c>
      <c r="O2678" s="9" t="s">
        <v>52</v>
      </c>
      <c r="P2678" s="12" t="s">
        <v>1880</v>
      </c>
      <c r="Q2678" s="9" t="s">
        <v>419</v>
      </c>
      <c r="R2678" s="14" t="str">
        <f>HYPERLINK("https://my.pitchbook.com?c=206977-33T","View Company Online")</f>
        <v>View Company Online</v>
      </c>
    </row>
    <row r="2679" spans="1:18" hidden="1" x14ac:dyDescent="0.3">
      <c r="A2679" s="15" t="s">
        <v>9081</v>
      </c>
      <c r="B2679" s="15" t="s">
        <v>5823</v>
      </c>
      <c r="C2679" s="18" t="s">
        <v>28</v>
      </c>
      <c r="D2679" s="15" t="s">
        <v>5824</v>
      </c>
      <c r="E2679" s="18">
        <v>-2.63</v>
      </c>
      <c r="F2679" s="19" t="s">
        <v>28</v>
      </c>
      <c r="G2679" s="19">
        <v>4.21</v>
      </c>
      <c r="H2679" s="19" t="s">
        <v>28</v>
      </c>
      <c r="I2679" s="18">
        <v>-2.62</v>
      </c>
      <c r="J2679" s="18" t="s">
        <v>28</v>
      </c>
      <c r="K2679" s="18">
        <v>0</v>
      </c>
      <c r="L2679" s="18" t="s">
        <v>28</v>
      </c>
      <c r="M2679" s="18">
        <v>-2.5</v>
      </c>
      <c r="N2679" s="17">
        <v>44837</v>
      </c>
      <c r="O2679" s="15" t="s">
        <v>159</v>
      </c>
      <c r="P2679" s="16" t="s">
        <v>28</v>
      </c>
      <c r="Q2679" s="15" t="s">
        <v>2620</v>
      </c>
      <c r="R2679" s="13" t="str">
        <f>HYPERLINK("https://my.pitchbook.com?c=226524-61T","View Company Online")</f>
        <v>View Company Online</v>
      </c>
    </row>
    <row r="2680" spans="1:18" hidden="1" x14ac:dyDescent="0.3">
      <c r="A2680" s="9" t="s">
        <v>9082</v>
      </c>
      <c r="B2680" s="9" t="s">
        <v>9083</v>
      </c>
      <c r="C2680" s="11" t="s">
        <v>28</v>
      </c>
      <c r="D2680" s="9" t="s">
        <v>9084</v>
      </c>
      <c r="E2680" s="11" t="s">
        <v>28</v>
      </c>
      <c r="F2680" s="10" t="s">
        <v>28</v>
      </c>
      <c r="G2680" s="10">
        <v>0.01</v>
      </c>
      <c r="H2680" s="10">
        <v>0.01</v>
      </c>
      <c r="I2680" s="11" t="s">
        <v>28</v>
      </c>
      <c r="J2680" s="11" t="s">
        <v>28</v>
      </c>
      <c r="K2680" s="11" t="s">
        <v>28</v>
      </c>
      <c r="L2680" s="11" t="s">
        <v>28</v>
      </c>
      <c r="M2680" s="11" t="s">
        <v>28</v>
      </c>
      <c r="N2680" s="8">
        <v>44837</v>
      </c>
      <c r="O2680" s="9" t="s">
        <v>30</v>
      </c>
      <c r="P2680" s="12" t="s">
        <v>421</v>
      </c>
      <c r="Q2680" s="9" t="s">
        <v>9051</v>
      </c>
      <c r="R2680" s="14" t="str">
        <f>HYPERLINK("https://my.pitchbook.com?c=209550-16T","View Company Online")</f>
        <v>View Company Online</v>
      </c>
    </row>
    <row r="2681" spans="1:18" hidden="1" x14ac:dyDescent="0.3">
      <c r="A2681" s="15" t="s">
        <v>9085</v>
      </c>
      <c r="B2681" s="15" t="s">
        <v>9086</v>
      </c>
      <c r="C2681" s="18" t="s">
        <v>28</v>
      </c>
      <c r="D2681" s="15" t="s">
        <v>9087</v>
      </c>
      <c r="E2681" s="18" t="s">
        <v>28</v>
      </c>
      <c r="F2681" s="19">
        <v>1162.77</v>
      </c>
      <c r="G2681" s="19">
        <v>1162.77</v>
      </c>
      <c r="H2681" s="19">
        <v>1162.77</v>
      </c>
      <c r="I2681" s="18" t="s">
        <v>28</v>
      </c>
      <c r="J2681" s="18" t="s">
        <v>28</v>
      </c>
      <c r="K2681" s="18" t="s">
        <v>28</v>
      </c>
      <c r="L2681" s="18" t="s">
        <v>28</v>
      </c>
      <c r="M2681" s="18" t="s">
        <v>28</v>
      </c>
      <c r="N2681" s="17">
        <v>44837</v>
      </c>
      <c r="O2681" s="15" t="s">
        <v>30</v>
      </c>
      <c r="P2681" s="16" t="s">
        <v>876</v>
      </c>
      <c r="Q2681" s="15" t="s">
        <v>348</v>
      </c>
      <c r="R2681" s="13" t="str">
        <f>HYPERLINK("https://my.pitchbook.com?c=194981-05T","View Company Online")</f>
        <v>View Company Online</v>
      </c>
    </row>
    <row r="2682" spans="1:18" hidden="1" x14ac:dyDescent="0.3">
      <c r="A2682" s="9" t="s">
        <v>9088</v>
      </c>
      <c r="B2682" s="9" t="s">
        <v>1944</v>
      </c>
      <c r="C2682" s="11" t="s">
        <v>28</v>
      </c>
      <c r="D2682" s="9" t="s">
        <v>1945</v>
      </c>
      <c r="E2682" s="11" t="s">
        <v>28</v>
      </c>
      <c r="F2682" s="10" t="s">
        <v>28</v>
      </c>
      <c r="G2682" s="10">
        <v>1.1399999999999999</v>
      </c>
      <c r="H2682" s="10" t="s">
        <v>28</v>
      </c>
      <c r="I2682" s="11" t="s">
        <v>28</v>
      </c>
      <c r="J2682" s="11" t="s">
        <v>28</v>
      </c>
      <c r="K2682" s="11" t="s">
        <v>28</v>
      </c>
      <c r="L2682" s="11" t="s">
        <v>28</v>
      </c>
      <c r="M2682" s="11" t="s">
        <v>28</v>
      </c>
      <c r="N2682" s="8">
        <v>44837</v>
      </c>
      <c r="O2682" s="9" t="s">
        <v>99</v>
      </c>
      <c r="P2682" s="12" t="s">
        <v>9089</v>
      </c>
      <c r="Q2682" s="9" t="s">
        <v>75</v>
      </c>
      <c r="R2682" s="14" t="str">
        <f>HYPERLINK("https://my.pitchbook.com?c=205327-18T","View Company Online")</f>
        <v>View Company Online</v>
      </c>
    </row>
    <row r="2683" spans="1:18" hidden="1" x14ac:dyDescent="0.3">
      <c r="A2683" s="15" t="s">
        <v>9090</v>
      </c>
      <c r="B2683" s="15" t="s">
        <v>9091</v>
      </c>
      <c r="C2683" s="18" t="s">
        <v>28</v>
      </c>
      <c r="D2683" s="15" t="s">
        <v>9092</v>
      </c>
      <c r="E2683" s="18" t="s">
        <v>28</v>
      </c>
      <c r="F2683" s="19" t="s">
        <v>28</v>
      </c>
      <c r="G2683" s="19" t="s">
        <v>28</v>
      </c>
      <c r="H2683" s="19" t="s">
        <v>28</v>
      </c>
      <c r="I2683" s="18" t="s">
        <v>28</v>
      </c>
      <c r="J2683" s="18" t="s">
        <v>28</v>
      </c>
      <c r="K2683" s="18" t="s">
        <v>28</v>
      </c>
      <c r="L2683" s="18" t="s">
        <v>28</v>
      </c>
      <c r="M2683" s="18" t="s">
        <v>28</v>
      </c>
      <c r="N2683" s="17">
        <v>44837</v>
      </c>
      <c r="O2683" s="15" t="s">
        <v>52</v>
      </c>
      <c r="P2683" s="16" t="s">
        <v>1880</v>
      </c>
      <c r="Q2683" s="15" t="s">
        <v>419</v>
      </c>
      <c r="R2683" s="13" t="str">
        <f>HYPERLINK("https://my.pitchbook.com?c=206969-77T","View Company Online")</f>
        <v>View Company Online</v>
      </c>
    </row>
    <row r="2684" spans="1:18" hidden="1" x14ac:dyDescent="0.3">
      <c r="A2684" s="9" t="s">
        <v>9093</v>
      </c>
      <c r="B2684" s="9" t="s">
        <v>9094</v>
      </c>
      <c r="C2684" s="11" t="s">
        <v>28</v>
      </c>
      <c r="D2684" s="9" t="s">
        <v>9095</v>
      </c>
      <c r="E2684" s="11" t="s">
        <v>28</v>
      </c>
      <c r="F2684" s="10">
        <v>70.540000000000006</v>
      </c>
      <c r="G2684" s="10">
        <v>70.540000000000006</v>
      </c>
      <c r="H2684" s="10">
        <v>70.540000000000006</v>
      </c>
      <c r="I2684" s="11" t="s">
        <v>28</v>
      </c>
      <c r="J2684" s="11" t="s">
        <v>28</v>
      </c>
      <c r="K2684" s="11" t="s">
        <v>28</v>
      </c>
      <c r="L2684" s="11" t="s">
        <v>28</v>
      </c>
      <c r="M2684" s="11" t="s">
        <v>28</v>
      </c>
      <c r="N2684" s="8">
        <v>44837</v>
      </c>
      <c r="O2684" s="9" t="s">
        <v>30</v>
      </c>
      <c r="P2684" s="12" t="s">
        <v>9096</v>
      </c>
      <c r="Q2684" s="9" t="s">
        <v>331</v>
      </c>
      <c r="R2684" s="14" t="str">
        <f>HYPERLINK("https://my.pitchbook.com?c=197373-52T","View Company Online")</f>
        <v>View Company Online</v>
      </c>
    </row>
    <row r="2685" spans="1:18" hidden="1" x14ac:dyDescent="0.3">
      <c r="A2685" s="15" t="s">
        <v>9097</v>
      </c>
      <c r="B2685" s="15" t="s">
        <v>2742</v>
      </c>
      <c r="C2685" s="18" t="s">
        <v>28</v>
      </c>
      <c r="D2685" s="15" t="s">
        <v>2743</v>
      </c>
      <c r="E2685" s="18" t="s">
        <v>28</v>
      </c>
      <c r="F2685" s="19" t="s">
        <v>28</v>
      </c>
      <c r="G2685" s="19">
        <v>0.02</v>
      </c>
      <c r="H2685" s="19" t="s">
        <v>28</v>
      </c>
      <c r="I2685" s="18" t="s">
        <v>28</v>
      </c>
      <c r="J2685" s="18" t="s">
        <v>28</v>
      </c>
      <c r="K2685" s="18" t="s">
        <v>28</v>
      </c>
      <c r="L2685" s="18" t="s">
        <v>28</v>
      </c>
      <c r="M2685" s="18" t="s">
        <v>28</v>
      </c>
      <c r="N2685" s="17">
        <v>44835</v>
      </c>
      <c r="O2685" s="15" t="s">
        <v>9098</v>
      </c>
      <c r="P2685" s="16" t="s">
        <v>28</v>
      </c>
      <c r="Q2685" s="15" t="s">
        <v>855</v>
      </c>
      <c r="R2685" s="13" t="str">
        <f>HYPERLINK("https://my.pitchbook.com?c=257167-63T","View Company Online")</f>
        <v>View Company Online</v>
      </c>
    </row>
    <row r="2686" spans="1:18" hidden="1" x14ac:dyDescent="0.3">
      <c r="A2686" s="9" t="s">
        <v>9099</v>
      </c>
      <c r="B2686" s="9" t="s">
        <v>9100</v>
      </c>
      <c r="C2686" s="11" t="s">
        <v>28</v>
      </c>
      <c r="D2686" s="9" t="s">
        <v>9101</v>
      </c>
      <c r="E2686" s="11" t="s">
        <v>28</v>
      </c>
      <c r="F2686" s="10" t="s">
        <v>28</v>
      </c>
      <c r="G2686" s="10" t="s">
        <v>28</v>
      </c>
      <c r="H2686" s="10" t="s">
        <v>28</v>
      </c>
      <c r="I2686" s="11" t="s">
        <v>28</v>
      </c>
      <c r="J2686" s="11" t="s">
        <v>28</v>
      </c>
      <c r="K2686" s="11" t="s">
        <v>28</v>
      </c>
      <c r="L2686" s="11" t="s">
        <v>28</v>
      </c>
      <c r="M2686" s="11" t="s">
        <v>28</v>
      </c>
      <c r="N2686" s="8">
        <v>44835</v>
      </c>
      <c r="O2686" s="9" t="s">
        <v>30</v>
      </c>
      <c r="P2686" s="12" t="s">
        <v>9102</v>
      </c>
      <c r="Q2686" s="9" t="s">
        <v>114</v>
      </c>
      <c r="R2686" s="14" t="str">
        <f>HYPERLINK("https://my.pitchbook.com?c=301212-91T","View Company Online")</f>
        <v>View Company Online</v>
      </c>
    </row>
    <row r="2687" spans="1:18" hidden="1" x14ac:dyDescent="0.3">
      <c r="A2687" s="15" t="s">
        <v>9103</v>
      </c>
      <c r="B2687" s="15" t="s">
        <v>9104</v>
      </c>
      <c r="C2687" s="18" t="s">
        <v>28</v>
      </c>
      <c r="D2687" s="15" t="s">
        <v>9105</v>
      </c>
      <c r="E2687" s="18" t="s">
        <v>28</v>
      </c>
      <c r="F2687" s="19" t="s">
        <v>28</v>
      </c>
      <c r="G2687" s="19" t="s">
        <v>28</v>
      </c>
      <c r="H2687" s="19" t="s">
        <v>28</v>
      </c>
      <c r="I2687" s="18" t="s">
        <v>28</v>
      </c>
      <c r="J2687" s="18" t="s">
        <v>28</v>
      </c>
      <c r="K2687" s="18" t="s">
        <v>28</v>
      </c>
      <c r="L2687" s="18" t="s">
        <v>28</v>
      </c>
      <c r="M2687" s="18" t="s">
        <v>28</v>
      </c>
      <c r="N2687" s="17">
        <v>44835</v>
      </c>
      <c r="O2687" s="15" t="s">
        <v>73</v>
      </c>
      <c r="P2687" s="16" t="s">
        <v>9106</v>
      </c>
      <c r="Q2687" s="15" t="s">
        <v>692</v>
      </c>
      <c r="R2687" s="13" t="str">
        <f>HYPERLINK("https://my.pitchbook.com?c=205505-65T","View Company Online")</f>
        <v>View Company Online</v>
      </c>
    </row>
    <row r="2688" spans="1:18" hidden="1" x14ac:dyDescent="0.3">
      <c r="A2688" s="9" t="s">
        <v>9107</v>
      </c>
      <c r="B2688" s="9" t="s">
        <v>9108</v>
      </c>
      <c r="C2688" s="11" t="s">
        <v>28</v>
      </c>
      <c r="D2688" s="9" t="s">
        <v>9109</v>
      </c>
      <c r="E2688" s="11" t="s">
        <v>28</v>
      </c>
      <c r="F2688" s="10" t="s">
        <v>28</v>
      </c>
      <c r="G2688" s="10" t="s">
        <v>28</v>
      </c>
      <c r="H2688" s="10" t="s">
        <v>28</v>
      </c>
      <c r="I2688" s="11" t="s">
        <v>28</v>
      </c>
      <c r="J2688" s="11" t="s">
        <v>28</v>
      </c>
      <c r="K2688" s="11" t="s">
        <v>28</v>
      </c>
      <c r="L2688" s="11" t="s">
        <v>28</v>
      </c>
      <c r="M2688" s="11" t="s">
        <v>28</v>
      </c>
      <c r="N2688" s="8">
        <v>44835</v>
      </c>
      <c r="O2688" s="9" t="s">
        <v>30</v>
      </c>
      <c r="P2688" s="12" t="s">
        <v>1950</v>
      </c>
      <c r="Q2688" s="9" t="s">
        <v>880</v>
      </c>
      <c r="R2688" s="14" t="str">
        <f>HYPERLINK("https://my.pitchbook.com?c=209256-04T","View Company Online")</f>
        <v>View Company Online</v>
      </c>
    </row>
    <row r="2689" spans="1:18" hidden="1" x14ac:dyDescent="0.3">
      <c r="A2689" s="15" t="s">
        <v>9110</v>
      </c>
      <c r="B2689" s="15" t="s">
        <v>9111</v>
      </c>
      <c r="C2689" s="18" t="s">
        <v>28</v>
      </c>
      <c r="D2689" s="15" t="s">
        <v>9112</v>
      </c>
      <c r="E2689" s="18" t="s">
        <v>28</v>
      </c>
      <c r="F2689" s="19" t="s">
        <v>28</v>
      </c>
      <c r="G2689" s="19" t="s">
        <v>28</v>
      </c>
      <c r="H2689" s="19" t="s">
        <v>28</v>
      </c>
      <c r="I2689" s="18" t="s">
        <v>28</v>
      </c>
      <c r="J2689" s="18" t="s">
        <v>28</v>
      </c>
      <c r="K2689" s="18" t="s">
        <v>28</v>
      </c>
      <c r="L2689" s="18" t="s">
        <v>28</v>
      </c>
      <c r="M2689" s="18" t="s">
        <v>28</v>
      </c>
      <c r="N2689" s="17">
        <v>44835</v>
      </c>
      <c r="O2689" s="15" t="s">
        <v>30</v>
      </c>
      <c r="P2689" s="16" t="s">
        <v>28</v>
      </c>
      <c r="Q2689" s="15" t="s">
        <v>4670</v>
      </c>
      <c r="R2689" s="13" t="str">
        <f>HYPERLINK("https://my.pitchbook.com?c=206565-49T","View Company Online")</f>
        <v>View Company Online</v>
      </c>
    </row>
    <row r="2690" spans="1:18" hidden="1" x14ac:dyDescent="0.3">
      <c r="A2690" s="9" t="s">
        <v>9113</v>
      </c>
      <c r="B2690" s="9" t="s">
        <v>9114</v>
      </c>
      <c r="C2690" s="11" t="s">
        <v>28</v>
      </c>
      <c r="D2690" s="9" t="s">
        <v>9115</v>
      </c>
      <c r="E2690" s="11" t="s">
        <v>28</v>
      </c>
      <c r="F2690" s="10" t="s">
        <v>28</v>
      </c>
      <c r="G2690" s="10" t="s">
        <v>28</v>
      </c>
      <c r="H2690" s="10" t="s">
        <v>28</v>
      </c>
      <c r="I2690" s="11" t="s">
        <v>28</v>
      </c>
      <c r="J2690" s="11" t="s">
        <v>28</v>
      </c>
      <c r="K2690" s="11" t="s">
        <v>28</v>
      </c>
      <c r="L2690" s="11" t="s">
        <v>28</v>
      </c>
      <c r="M2690" s="11" t="s">
        <v>28</v>
      </c>
      <c r="N2690" s="8">
        <v>44835</v>
      </c>
      <c r="O2690" s="9" t="s">
        <v>73</v>
      </c>
      <c r="P2690" s="12" t="s">
        <v>9116</v>
      </c>
      <c r="Q2690" s="9" t="s">
        <v>1793</v>
      </c>
      <c r="R2690" s="14" t="str">
        <f>HYPERLINK("https://my.pitchbook.com?c=207057-79T","View Company Online")</f>
        <v>View Company Online</v>
      </c>
    </row>
    <row r="2691" spans="1:18" hidden="1" x14ac:dyDescent="0.3">
      <c r="A2691" s="15" t="s">
        <v>9117</v>
      </c>
      <c r="B2691" s="15" t="s">
        <v>9118</v>
      </c>
      <c r="C2691" s="18" t="s">
        <v>28</v>
      </c>
      <c r="D2691" s="15" t="s">
        <v>9119</v>
      </c>
      <c r="E2691" s="18" t="s">
        <v>28</v>
      </c>
      <c r="F2691" s="19" t="s">
        <v>28</v>
      </c>
      <c r="G2691" s="19" t="s">
        <v>28</v>
      </c>
      <c r="H2691" s="19" t="s">
        <v>28</v>
      </c>
      <c r="I2691" s="18" t="s">
        <v>28</v>
      </c>
      <c r="J2691" s="18" t="s">
        <v>28</v>
      </c>
      <c r="K2691" s="18" t="s">
        <v>28</v>
      </c>
      <c r="L2691" s="18" t="s">
        <v>28</v>
      </c>
      <c r="M2691" s="18" t="s">
        <v>28</v>
      </c>
      <c r="N2691" s="17">
        <v>44835</v>
      </c>
      <c r="O2691" s="15" t="s">
        <v>73</v>
      </c>
      <c r="P2691" s="16" t="s">
        <v>123</v>
      </c>
      <c r="Q2691" s="15" t="s">
        <v>75</v>
      </c>
      <c r="R2691" s="13" t="str">
        <f>HYPERLINK("https://my.pitchbook.com?c=205505-20T","View Company Online")</f>
        <v>View Company Online</v>
      </c>
    </row>
    <row r="2692" spans="1:18" hidden="1" x14ac:dyDescent="0.3">
      <c r="A2692" s="9" t="s">
        <v>9120</v>
      </c>
      <c r="B2692" s="9" t="s">
        <v>9121</v>
      </c>
      <c r="C2692" s="11" t="s">
        <v>28</v>
      </c>
      <c r="D2692" s="9" t="s">
        <v>9122</v>
      </c>
      <c r="E2692" s="11" t="s">
        <v>28</v>
      </c>
      <c r="F2692" s="10" t="s">
        <v>28</v>
      </c>
      <c r="G2692" s="10" t="s">
        <v>28</v>
      </c>
      <c r="H2692" s="10" t="s">
        <v>28</v>
      </c>
      <c r="I2692" s="11" t="s">
        <v>28</v>
      </c>
      <c r="J2692" s="11" t="s">
        <v>28</v>
      </c>
      <c r="K2692" s="11" t="s">
        <v>28</v>
      </c>
      <c r="L2692" s="11" t="s">
        <v>28</v>
      </c>
      <c r="M2692" s="11" t="s">
        <v>28</v>
      </c>
      <c r="N2692" s="8">
        <v>44835</v>
      </c>
      <c r="O2692" s="9" t="s">
        <v>73</v>
      </c>
      <c r="P2692" s="12" t="s">
        <v>5679</v>
      </c>
      <c r="Q2692" s="9" t="s">
        <v>85</v>
      </c>
      <c r="R2692" s="14" t="str">
        <f>HYPERLINK("https://my.pitchbook.com?c=207577-99T","View Company Online")</f>
        <v>View Company Online</v>
      </c>
    </row>
    <row r="2693" spans="1:18" hidden="1" x14ac:dyDescent="0.3">
      <c r="A2693" s="15" t="s">
        <v>9123</v>
      </c>
      <c r="B2693" s="15" t="s">
        <v>1521</v>
      </c>
      <c r="C2693" s="18" t="s">
        <v>28</v>
      </c>
      <c r="D2693" s="15" t="s">
        <v>1522</v>
      </c>
      <c r="E2693" s="18" t="s">
        <v>28</v>
      </c>
      <c r="F2693" s="19" t="s">
        <v>28</v>
      </c>
      <c r="G2693" s="19" t="s">
        <v>28</v>
      </c>
      <c r="H2693" s="19" t="s">
        <v>28</v>
      </c>
      <c r="I2693" s="18" t="s">
        <v>28</v>
      </c>
      <c r="J2693" s="18" t="s">
        <v>28</v>
      </c>
      <c r="K2693" s="18" t="s">
        <v>28</v>
      </c>
      <c r="L2693" s="18" t="s">
        <v>28</v>
      </c>
      <c r="M2693" s="18" t="s">
        <v>28</v>
      </c>
      <c r="N2693" s="17">
        <v>44835</v>
      </c>
      <c r="O2693" s="15" t="s">
        <v>99</v>
      </c>
      <c r="P2693" s="16" t="s">
        <v>611</v>
      </c>
      <c r="Q2693" s="15" t="s">
        <v>583</v>
      </c>
      <c r="R2693" s="13" t="str">
        <f>HYPERLINK("https://my.pitchbook.com?c=215059-51T","View Company Online")</f>
        <v>View Company Online</v>
      </c>
    </row>
    <row r="2694" spans="1:18" hidden="1" x14ac:dyDescent="0.3">
      <c r="A2694" s="9" t="s">
        <v>9124</v>
      </c>
      <c r="B2694" s="9" t="s">
        <v>9125</v>
      </c>
      <c r="C2694" s="11" t="s">
        <v>28</v>
      </c>
      <c r="D2694" s="9" t="s">
        <v>9126</v>
      </c>
      <c r="E2694" s="11" t="s">
        <v>28</v>
      </c>
      <c r="F2694" s="10">
        <v>13.52</v>
      </c>
      <c r="G2694" s="10">
        <v>12.03</v>
      </c>
      <c r="H2694" s="10">
        <v>13.52</v>
      </c>
      <c r="I2694" s="11" t="s">
        <v>28</v>
      </c>
      <c r="J2694" s="11" t="s">
        <v>28</v>
      </c>
      <c r="K2694" s="11" t="s">
        <v>28</v>
      </c>
      <c r="L2694" s="11" t="s">
        <v>28</v>
      </c>
      <c r="M2694" s="11" t="s">
        <v>28</v>
      </c>
      <c r="N2694" s="8">
        <v>44835</v>
      </c>
      <c r="O2694" s="9" t="s">
        <v>30</v>
      </c>
      <c r="P2694" s="12" t="s">
        <v>9127</v>
      </c>
      <c r="Q2694" s="9" t="s">
        <v>54</v>
      </c>
      <c r="R2694" s="14" t="str">
        <f>HYPERLINK("https://my.pitchbook.com?c=204788-17T","View Company Online")</f>
        <v>View Company Online</v>
      </c>
    </row>
    <row r="2695" spans="1:18" hidden="1" x14ac:dyDescent="0.3">
      <c r="A2695" s="15" t="s">
        <v>9128</v>
      </c>
      <c r="B2695" s="15" t="s">
        <v>9129</v>
      </c>
      <c r="C2695" s="18" t="s">
        <v>28</v>
      </c>
      <c r="D2695" s="15" t="s">
        <v>9130</v>
      </c>
      <c r="E2695" s="18" t="s">
        <v>28</v>
      </c>
      <c r="F2695" s="19" t="s">
        <v>28</v>
      </c>
      <c r="G2695" s="19" t="s">
        <v>28</v>
      </c>
      <c r="H2695" s="19" t="s">
        <v>28</v>
      </c>
      <c r="I2695" s="18" t="s">
        <v>28</v>
      </c>
      <c r="J2695" s="18" t="s">
        <v>28</v>
      </c>
      <c r="K2695" s="18" t="s">
        <v>28</v>
      </c>
      <c r="L2695" s="18" t="s">
        <v>28</v>
      </c>
      <c r="M2695" s="18" t="s">
        <v>28</v>
      </c>
      <c r="N2695" s="17">
        <v>44835</v>
      </c>
      <c r="O2695" s="15" t="s">
        <v>79</v>
      </c>
      <c r="P2695" s="16" t="s">
        <v>9131</v>
      </c>
      <c r="Q2695" s="15" t="s">
        <v>75</v>
      </c>
      <c r="R2695" s="13" t="str">
        <f>HYPERLINK("https://my.pitchbook.com?c=207580-69T","View Company Online")</f>
        <v>View Company Online</v>
      </c>
    </row>
    <row r="2696" spans="1:18" hidden="1" x14ac:dyDescent="0.3">
      <c r="A2696" s="9" t="s">
        <v>9132</v>
      </c>
      <c r="B2696" s="9" t="s">
        <v>9133</v>
      </c>
      <c r="C2696" s="11" t="s">
        <v>28</v>
      </c>
      <c r="D2696" s="9" t="s">
        <v>9134</v>
      </c>
      <c r="E2696" s="11" t="s">
        <v>28</v>
      </c>
      <c r="F2696" s="10" t="s">
        <v>28</v>
      </c>
      <c r="G2696" s="10" t="s">
        <v>28</v>
      </c>
      <c r="H2696" s="10" t="s">
        <v>28</v>
      </c>
      <c r="I2696" s="11" t="s">
        <v>28</v>
      </c>
      <c r="J2696" s="11" t="s">
        <v>28</v>
      </c>
      <c r="K2696" s="11" t="s">
        <v>28</v>
      </c>
      <c r="L2696" s="11" t="s">
        <v>28</v>
      </c>
      <c r="M2696" s="11" t="s">
        <v>28</v>
      </c>
      <c r="N2696" s="8">
        <v>44835</v>
      </c>
      <c r="O2696" s="9" t="s">
        <v>73</v>
      </c>
      <c r="P2696" s="12" t="s">
        <v>9135</v>
      </c>
      <c r="Q2696" s="9" t="s">
        <v>75</v>
      </c>
      <c r="R2696" s="14" t="str">
        <f>HYPERLINK("https://my.pitchbook.com?c=215065-36T","View Company Online")</f>
        <v>View Company Online</v>
      </c>
    </row>
    <row r="2697" spans="1:18" hidden="1" x14ac:dyDescent="0.3">
      <c r="A2697" s="15" t="s">
        <v>9136</v>
      </c>
      <c r="B2697" s="15" t="s">
        <v>9137</v>
      </c>
      <c r="C2697" s="18" t="s">
        <v>28</v>
      </c>
      <c r="D2697" s="15" t="s">
        <v>9138</v>
      </c>
      <c r="E2697" s="18" t="s">
        <v>28</v>
      </c>
      <c r="F2697" s="19" t="s">
        <v>28</v>
      </c>
      <c r="G2697" s="19" t="s">
        <v>28</v>
      </c>
      <c r="H2697" s="19" t="s">
        <v>28</v>
      </c>
      <c r="I2697" s="18" t="s">
        <v>28</v>
      </c>
      <c r="J2697" s="18" t="s">
        <v>28</v>
      </c>
      <c r="K2697" s="18" t="s">
        <v>28</v>
      </c>
      <c r="L2697" s="18" t="s">
        <v>28</v>
      </c>
      <c r="M2697" s="18" t="s">
        <v>28</v>
      </c>
      <c r="N2697" s="17">
        <v>44834</v>
      </c>
      <c r="O2697" s="15" t="s">
        <v>30</v>
      </c>
      <c r="P2697" s="16" t="s">
        <v>9139</v>
      </c>
      <c r="Q2697" s="15" t="s">
        <v>280</v>
      </c>
      <c r="R2697" s="13" t="str">
        <f>HYPERLINK("https://my.pitchbook.com?c=205514-74T","View Company Online")</f>
        <v>View Company Online</v>
      </c>
    </row>
    <row r="2698" spans="1:18" hidden="1" x14ac:dyDescent="0.3">
      <c r="A2698" s="9" t="s">
        <v>9140</v>
      </c>
      <c r="B2698" s="9" t="s">
        <v>9141</v>
      </c>
      <c r="C2698" s="11" t="s">
        <v>28</v>
      </c>
      <c r="D2698" s="9" t="s">
        <v>9142</v>
      </c>
      <c r="E2698" s="11" t="s">
        <v>28</v>
      </c>
      <c r="F2698" s="10" t="s">
        <v>28</v>
      </c>
      <c r="G2698" s="10">
        <v>0.86</v>
      </c>
      <c r="H2698" s="10" t="s">
        <v>28</v>
      </c>
      <c r="I2698" s="11" t="s">
        <v>28</v>
      </c>
      <c r="J2698" s="11" t="s">
        <v>28</v>
      </c>
      <c r="K2698" s="11" t="s">
        <v>28</v>
      </c>
      <c r="L2698" s="11" t="s">
        <v>28</v>
      </c>
      <c r="M2698" s="11" t="s">
        <v>28</v>
      </c>
      <c r="N2698" s="8">
        <v>44834</v>
      </c>
      <c r="O2698" s="9" t="s">
        <v>73</v>
      </c>
      <c r="P2698" s="12" t="s">
        <v>9143</v>
      </c>
      <c r="Q2698" s="9" t="s">
        <v>740</v>
      </c>
      <c r="R2698" s="14" t="str">
        <f>HYPERLINK("https://my.pitchbook.com?c=195379-30T","View Company Online")</f>
        <v>View Company Online</v>
      </c>
    </row>
    <row r="2699" spans="1:18" hidden="1" x14ac:dyDescent="0.3">
      <c r="A2699" s="15" t="s">
        <v>9144</v>
      </c>
      <c r="B2699" s="15" t="s">
        <v>9145</v>
      </c>
      <c r="C2699" s="18" t="s">
        <v>28</v>
      </c>
      <c r="D2699" s="15" t="s">
        <v>9146</v>
      </c>
      <c r="E2699" s="18" t="s">
        <v>28</v>
      </c>
      <c r="F2699" s="19" t="s">
        <v>28</v>
      </c>
      <c r="G2699" s="19">
        <v>1.91</v>
      </c>
      <c r="H2699" s="19" t="s">
        <v>28</v>
      </c>
      <c r="I2699" s="18" t="s">
        <v>28</v>
      </c>
      <c r="J2699" s="18" t="s">
        <v>28</v>
      </c>
      <c r="K2699" s="18" t="s">
        <v>28</v>
      </c>
      <c r="L2699" s="18" t="s">
        <v>28</v>
      </c>
      <c r="M2699" s="18" t="s">
        <v>28</v>
      </c>
      <c r="N2699" s="17">
        <v>44834</v>
      </c>
      <c r="O2699" s="15" t="s">
        <v>58</v>
      </c>
      <c r="P2699" s="16" t="s">
        <v>28</v>
      </c>
      <c r="Q2699" s="15" t="s">
        <v>114</v>
      </c>
      <c r="R2699" s="13" t="str">
        <f>HYPERLINK("https://my.pitchbook.com?c=218396-08T","View Company Online")</f>
        <v>View Company Online</v>
      </c>
    </row>
    <row r="2700" spans="1:18" hidden="1" x14ac:dyDescent="0.3">
      <c r="A2700" s="9" t="s">
        <v>9147</v>
      </c>
      <c r="B2700" s="9" t="s">
        <v>9148</v>
      </c>
      <c r="C2700" s="11" t="s">
        <v>28</v>
      </c>
      <c r="D2700" s="9" t="s">
        <v>9149</v>
      </c>
      <c r="E2700" s="11" t="s">
        <v>28</v>
      </c>
      <c r="F2700" s="10" t="s">
        <v>28</v>
      </c>
      <c r="G2700" s="10">
        <v>0.03</v>
      </c>
      <c r="H2700" s="10" t="s">
        <v>28</v>
      </c>
      <c r="I2700" s="11" t="s">
        <v>28</v>
      </c>
      <c r="J2700" s="11" t="s">
        <v>28</v>
      </c>
      <c r="K2700" s="11" t="s">
        <v>28</v>
      </c>
      <c r="L2700" s="11" t="s">
        <v>28</v>
      </c>
      <c r="M2700" s="11" t="s">
        <v>28</v>
      </c>
      <c r="N2700" s="8">
        <v>44834</v>
      </c>
      <c r="O2700" s="9" t="s">
        <v>52</v>
      </c>
      <c r="P2700" s="12" t="s">
        <v>8261</v>
      </c>
      <c r="Q2700" s="9" t="s">
        <v>419</v>
      </c>
      <c r="R2700" s="14" t="str">
        <f>HYPERLINK("https://my.pitchbook.com?c=205234-57T","View Company Online")</f>
        <v>View Company Online</v>
      </c>
    </row>
    <row r="2701" spans="1:18" hidden="1" x14ac:dyDescent="0.3">
      <c r="A2701" s="15" t="s">
        <v>9150</v>
      </c>
      <c r="B2701" s="15" t="s">
        <v>9151</v>
      </c>
      <c r="C2701" s="18" t="s">
        <v>28</v>
      </c>
      <c r="D2701" s="15" t="s">
        <v>9152</v>
      </c>
      <c r="E2701" s="18" t="s">
        <v>28</v>
      </c>
      <c r="F2701" s="19" t="s">
        <v>28</v>
      </c>
      <c r="G2701" s="19">
        <v>0.08</v>
      </c>
      <c r="H2701" s="19">
        <v>1.23</v>
      </c>
      <c r="I2701" s="18" t="s">
        <v>28</v>
      </c>
      <c r="J2701" s="18" t="s">
        <v>28</v>
      </c>
      <c r="K2701" s="18" t="s">
        <v>28</v>
      </c>
      <c r="L2701" s="18" t="s">
        <v>28</v>
      </c>
      <c r="M2701" s="18" t="s">
        <v>28</v>
      </c>
      <c r="N2701" s="17">
        <v>44833</v>
      </c>
      <c r="O2701" s="15" t="s">
        <v>1639</v>
      </c>
      <c r="P2701" s="16" t="s">
        <v>9153</v>
      </c>
      <c r="Q2701" s="15" t="s">
        <v>386</v>
      </c>
      <c r="R2701" s="13" t="str">
        <f>HYPERLINK("https://my.pitchbook.com?c=205291-09T","View Company Online")</f>
        <v>View Company Online</v>
      </c>
    </row>
    <row r="2702" spans="1:18" hidden="1" x14ac:dyDescent="0.3">
      <c r="A2702" s="9" t="s">
        <v>9154</v>
      </c>
      <c r="B2702" s="9" t="s">
        <v>9155</v>
      </c>
      <c r="C2702" s="11" t="s">
        <v>28</v>
      </c>
      <c r="D2702" s="9" t="s">
        <v>9156</v>
      </c>
      <c r="E2702" s="11" t="s">
        <v>28</v>
      </c>
      <c r="F2702" s="10" t="s">
        <v>28</v>
      </c>
      <c r="G2702" s="10">
        <v>49.93</v>
      </c>
      <c r="H2702" s="10" t="s">
        <v>28</v>
      </c>
      <c r="I2702" s="11" t="s">
        <v>28</v>
      </c>
      <c r="J2702" s="11" t="s">
        <v>28</v>
      </c>
      <c r="K2702" s="11" t="s">
        <v>28</v>
      </c>
      <c r="L2702" s="11" t="s">
        <v>28</v>
      </c>
      <c r="M2702" s="11" t="s">
        <v>28</v>
      </c>
      <c r="N2702" s="8">
        <v>44832</v>
      </c>
      <c r="O2702" s="9" t="s">
        <v>79</v>
      </c>
      <c r="P2702" s="12" t="s">
        <v>9157</v>
      </c>
      <c r="Q2702" s="9" t="s">
        <v>75</v>
      </c>
      <c r="R2702" s="14" t="str">
        <f>HYPERLINK("https://my.pitchbook.com?c=205076-44T","View Company Online")</f>
        <v>View Company Online</v>
      </c>
    </row>
    <row r="2703" spans="1:18" hidden="1" x14ac:dyDescent="0.3">
      <c r="A2703" s="15" t="s">
        <v>9158</v>
      </c>
      <c r="B2703" s="15" t="s">
        <v>9159</v>
      </c>
      <c r="C2703" s="18" t="s">
        <v>28</v>
      </c>
      <c r="D2703" s="15" t="s">
        <v>9160</v>
      </c>
      <c r="E2703" s="18" t="s">
        <v>28</v>
      </c>
      <c r="F2703" s="19" t="s">
        <v>28</v>
      </c>
      <c r="G2703" s="19" t="s">
        <v>28</v>
      </c>
      <c r="H2703" s="19" t="s">
        <v>28</v>
      </c>
      <c r="I2703" s="18" t="s">
        <v>28</v>
      </c>
      <c r="J2703" s="18" t="s">
        <v>28</v>
      </c>
      <c r="K2703" s="18" t="s">
        <v>28</v>
      </c>
      <c r="L2703" s="18" t="s">
        <v>28</v>
      </c>
      <c r="M2703" s="18" t="s">
        <v>28</v>
      </c>
      <c r="N2703" s="17">
        <v>44832</v>
      </c>
      <c r="O2703" s="15" t="s">
        <v>41</v>
      </c>
      <c r="P2703" s="16" t="s">
        <v>8586</v>
      </c>
      <c r="Q2703" s="15" t="s">
        <v>290</v>
      </c>
      <c r="R2703" s="13" t="str">
        <f>HYPERLINK("https://my.pitchbook.com?c=210226-96T","View Company Online")</f>
        <v>View Company Online</v>
      </c>
    </row>
    <row r="2704" spans="1:18" hidden="1" x14ac:dyDescent="0.3">
      <c r="A2704" s="9" t="s">
        <v>9161</v>
      </c>
      <c r="B2704" s="9" t="s">
        <v>9162</v>
      </c>
      <c r="C2704" s="11" t="s">
        <v>28</v>
      </c>
      <c r="D2704" s="9" t="s">
        <v>9163</v>
      </c>
      <c r="E2704" s="11" t="s">
        <v>28</v>
      </c>
      <c r="F2704" s="10" t="s">
        <v>28</v>
      </c>
      <c r="G2704" s="10">
        <v>25.98</v>
      </c>
      <c r="H2704" s="10" t="s">
        <v>28</v>
      </c>
      <c r="I2704" s="11" t="s">
        <v>28</v>
      </c>
      <c r="J2704" s="11" t="s">
        <v>28</v>
      </c>
      <c r="K2704" s="11" t="s">
        <v>28</v>
      </c>
      <c r="L2704" s="11" t="s">
        <v>28</v>
      </c>
      <c r="M2704" s="11" t="s">
        <v>28</v>
      </c>
      <c r="N2704" s="8">
        <v>44831</v>
      </c>
      <c r="O2704" s="9" t="s">
        <v>79</v>
      </c>
      <c r="P2704" s="12" t="s">
        <v>9164</v>
      </c>
      <c r="Q2704" s="9" t="s">
        <v>696</v>
      </c>
      <c r="R2704" s="14" t="str">
        <f>HYPERLINK("https://my.pitchbook.com?c=204867-28T","View Company Online")</f>
        <v>View Company Online</v>
      </c>
    </row>
    <row r="2705" spans="1:18" hidden="1" x14ac:dyDescent="0.3">
      <c r="A2705" s="15" t="s">
        <v>9165</v>
      </c>
      <c r="B2705" s="15" t="s">
        <v>9166</v>
      </c>
      <c r="C2705" s="18" t="s">
        <v>28</v>
      </c>
      <c r="D2705" s="15" t="s">
        <v>9167</v>
      </c>
      <c r="E2705" s="18" t="s">
        <v>28</v>
      </c>
      <c r="F2705" s="19" t="s">
        <v>28</v>
      </c>
      <c r="G2705" s="19" t="s">
        <v>28</v>
      </c>
      <c r="H2705" s="19" t="s">
        <v>28</v>
      </c>
      <c r="I2705" s="18" t="s">
        <v>28</v>
      </c>
      <c r="J2705" s="18" t="s">
        <v>28</v>
      </c>
      <c r="K2705" s="18" t="s">
        <v>28</v>
      </c>
      <c r="L2705" s="18" t="s">
        <v>28</v>
      </c>
      <c r="M2705" s="18" t="s">
        <v>28</v>
      </c>
      <c r="N2705" s="17">
        <v>44831</v>
      </c>
      <c r="O2705" s="15" t="s">
        <v>73</v>
      </c>
      <c r="P2705" s="16" t="s">
        <v>9168</v>
      </c>
      <c r="Q2705" s="15" t="s">
        <v>37</v>
      </c>
      <c r="R2705" s="13" t="str">
        <f>HYPERLINK("https://my.pitchbook.com?c=218954-17T","View Company Online")</f>
        <v>View Company Online</v>
      </c>
    </row>
    <row r="2706" spans="1:18" hidden="1" x14ac:dyDescent="0.3">
      <c r="A2706" s="9" t="s">
        <v>9169</v>
      </c>
      <c r="B2706" s="9" t="s">
        <v>9170</v>
      </c>
      <c r="C2706" s="11" t="s">
        <v>28</v>
      </c>
      <c r="D2706" s="9" t="s">
        <v>9171</v>
      </c>
      <c r="E2706" s="11" t="s">
        <v>28</v>
      </c>
      <c r="F2706" s="10" t="s">
        <v>28</v>
      </c>
      <c r="G2706" s="10">
        <v>0.11</v>
      </c>
      <c r="H2706" s="10" t="s">
        <v>28</v>
      </c>
      <c r="I2706" s="11" t="s">
        <v>28</v>
      </c>
      <c r="J2706" s="11" t="s">
        <v>28</v>
      </c>
      <c r="K2706" s="11" t="s">
        <v>28</v>
      </c>
      <c r="L2706" s="11" t="s">
        <v>28</v>
      </c>
      <c r="M2706" s="11" t="s">
        <v>28</v>
      </c>
      <c r="N2706" s="8">
        <v>44831</v>
      </c>
      <c r="O2706" s="9" t="s">
        <v>1639</v>
      </c>
      <c r="P2706" s="12" t="s">
        <v>28</v>
      </c>
      <c r="Q2706" s="9" t="s">
        <v>43</v>
      </c>
      <c r="R2706" s="14" t="str">
        <f>HYPERLINK("https://my.pitchbook.com?c=215949-70T","View Company Online")</f>
        <v>View Company Online</v>
      </c>
    </row>
    <row r="2707" spans="1:18" hidden="1" x14ac:dyDescent="0.3">
      <c r="A2707" s="15" t="s">
        <v>9172</v>
      </c>
      <c r="B2707" s="15" t="s">
        <v>8468</v>
      </c>
      <c r="C2707" s="18" t="s">
        <v>28</v>
      </c>
      <c r="D2707" s="15" t="s">
        <v>8469</v>
      </c>
      <c r="E2707" s="18">
        <v>21.84</v>
      </c>
      <c r="F2707" s="19" t="s">
        <v>28</v>
      </c>
      <c r="G2707" s="19">
        <v>57.73</v>
      </c>
      <c r="H2707" s="19">
        <v>483.09</v>
      </c>
      <c r="I2707" s="18">
        <v>36.159999999999997</v>
      </c>
      <c r="J2707" s="18">
        <v>13.36</v>
      </c>
      <c r="K2707" s="18">
        <v>152.56</v>
      </c>
      <c r="L2707" s="18">
        <v>3.17</v>
      </c>
      <c r="M2707" s="18">
        <v>14.92</v>
      </c>
      <c r="N2707" s="17">
        <v>44831</v>
      </c>
      <c r="O2707" s="15" t="s">
        <v>159</v>
      </c>
      <c r="P2707" s="16" t="s">
        <v>1612</v>
      </c>
      <c r="Q2707" s="15" t="s">
        <v>43</v>
      </c>
      <c r="R2707" s="13" t="str">
        <f>HYPERLINK("https://my.pitchbook.com?c=206521-48T","View Company Online")</f>
        <v>View Company Online</v>
      </c>
    </row>
    <row r="2708" spans="1:18" hidden="1" x14ac:dyDescent="0.3">
      <c r="A2708" s="9" t="s">
        <v>9173</v>
      </c>
      <c r="B2708" s="9" t="s">
        <v>9174</v>
      </c>
      <c r="C2708" s="11" t="s">
        <v>28</v>
      </c>
      <c r="D2708" s="9" t="s">
        <v>9175</v>
      </c>
      <c r="E2708" s="11" t="s">
        <v>28</v>
      </c>
      <c r="F2708" s="10" t="s">
        <v>28</v>
      </c>
      <c r="G2708" s="10" t="s">
        <v>28</v>
      </c>
      <c r="H2708" s="10" t="s">
        <v>28</v>
      </c>
      <c r="I2708" s="11" t="s">
        <v>28</v>
      </c>
      <c r="J2708" s="11" t="s">
        <v>28</v>
      </c>
      <c r="K2708" s="11" t="s">
        <v>28</v>
      </c>
      <c r="L2708" s="11" t="s">
        <v>28</v>
      </c>
      <c r="M2708" s="11" t="s">
        <v>28</v>
      </c>
      <c r="N2708" s="8">
        <v>44830</v>
      </c>
      <c r="O2708" s="9" t="s">
        <v>173</v>
      </c>
      <c r="P2708" s="12" t="s">
        <v>28</v>
      </c>
      <c r="Q2708" s="9" t="s">
        <v>59</v>
      </c>
      <c r="R2708" s="14" t="str">
        <f>HYPERLINK("https://my.pitchbook.com?c=221259-88T","View Company Online")</f>
        <v>View Company Online</v>
      </c>
    </row>
    <row r="2709" spans="1:18" hidden="1" x14ac:dyDescent="0.3">
      <c r="A2709" s="15" t="s">
        <v>9176</v>
      </c>
      <c r="B2709" s="15" t="s">
        <v>9177</v>
      </c>
      <c r="C2709" s="18" t="s">
        <v>28</v>
      </c>
      <c r="D2709" s="15" t="s">
        <v>9178</v>
      </c>
      <c r="E2709" s="18" t="s">
        <v>28</v>
      </c>
      <c r="F2709" s="19">
        <v>1450.87</v>
      </c>
      <c r="G2709" s="19">
        <v>1450.87</v>
      </c>
      <c r="H2709" s="19">
        <v>1450.87</v>
      </c>
      <c r="I2709" s="18" t="s">
        <v>28</v>
      </c>
      <c r="J2709" s="18" t="s">
        <v>28</v>
      </c>
      <c r="K2709" s="18" t="s">
        <v>28</v>
      </c>
      <c r="L2709" s="18" t="s">
        <v>28</v>
      </c>
      <c r="M2709" s="18" t="s">
        <v>28</v>
      </c>
      <c r="N2709" s="17">
        <v>44827</v>
      </c>
      <c r="O2709" s="15" t="s">
        <v>30</v>
      </c>
      <c r="P2709" s="16" t="s">
        <v>9179</v>
      </c>
      <c r="Q2709" s="15" t="s">
        <v>348</v>
      </c>
      <c r="R2709" s="13" t="str">
        <f>HYPERLINK("https://my.pitchbook.com?c=192899-35T","View Company Online")</f>
        <v>View Company Online</v>
      </c>
    </row>
    <row r="2710" spans="1:18" hidden="1" x14ac:dyDescent="0.3">
      <c r="A2710" s="9" t="s">
        <v>9180</v>
      </c>
      <c r="B2710" s="9" t="s">
        <v>9181</v>
      </c>
      <c r="C2710" s="11" t="s">
        <v>28</v>
      </c>
      <c r="D2710" s="9" t="s">
        <v>9182</v>
      </c>
      <c r="E2710" s="11" t="s">
        <v>28</v>
      </c>
      <c r="F2710" s="10">
        <v>0.39</v>
      </c>
      <c r="G2710" s="10">
        <v>0.39</v>
      </c>
      <c r="H2710" s="10">
        <v>0.39</v>
      </c>
      <c r="I2710" s="11" t="s">
        <v>28</v>
      </c>
      <c r="J2710" s="11" t="s">
        <v>28</v>
      </c>
      <c r="K2710" s="11" t="s">
        <v>28</v>
      </c>
      <c r="L2710" s="11" t="s">
        <v>28</v>
      </c>
      <c r="M2710" s="11" t="s">
        <v>28</v>
      </c>
      <c r="N2710" s="8">
        <v>44827</v>
      </c>
      <c r="O2710" s="9" t="s">
        <v>30</v>
      </c>
      <c r="P2710" s="12" t="s">
        <v>9183</v>
      </c>
      <c r="Q2710" s="9" t="s">
        <v>9184</v>
      </c>
      <c r="R2710" s="14" t="str">
        <f>HYPERLINK("https://my.pitchbook.com?c=209473-84T","View Company Online")</f>
        <v>View Company Online</v>
      </c>
    </row>
    <row r="2711" spans="1:18" hidden="1" x14ac:dyDescent="0.3">
      <c r="A2711" s="15" t="s">
        <v>9185</v>
      </c>
      <c r="B2711" s="15" t="s">
        <v>3626</v>
      </c>
      <c r="C2711" s="18" t="s">
        <v>28</v>
      </c>
      <c r="D2711" s="15" t="s">
        <v>3627</v>
      </c>
      <c r="E2711" s="18" t="s">
        <v>28</v>
      </c>
      <c r="F2711" s="19" t="s">
        <v>28</v>
      </c>
      <c r="G2711" s="19" t="s">
        <v>28</v>
      </c>
      <c r="H2711" s="19" t="s">
        <v>28</v>
      </c>
      <c r="I2711" s="18" t="s">
        <v>28</v>
      </c>
      <c r="J2711" s="18" t="s">
        <v>28</v>
      </c>
      <c r="K2711" s="18" t="s">
        <v>28</v>
      </c>
      <c r="L2711" s="18" t="s">
        <v>28</v>
      </c>
      <c r="M2711" s="18" t="s">
        <v>28</v>
      </c>
      <c r="N2711" s="17">
        <v>44827</v>
      </c>
      <c r="O2711" s="15" t="s">
        <v>99</v>
      </c>
      <c r="P2711" s="16" t="s">
        <v>9186</v>
      </c>
      <c r="Q2711" s="15" t="s">
        <v>75</v>
      </c>
      <c r="R2711" s="13" t="str">
        <f>HYPERLINK("https://my.pitchbook.com?c=205506-64T","View Company Online")</f>
        <v>View Company Online</v>
      </c>
    </row>
    <row r="2712" spans="1:18" hidden="1" x14ac:dyDescent="0.3">
      <c r="A2712" s="9" t="s">
        <v>9187</v>
      </c>
      <c r="B2712" s="9" t="s">
        <v>9188</v>
      </c>
      <c r="C2712" s="11" t="s">
        <v>28</v>
      </c>
      <c r="D2712" s="9" t="s">
        <v>9189</v>
      </c>
      <c r="E2712" s="11" t="s">
        <v>28</v>
      </c>
      <c r="F2712" s="10" t="s">
        <v>28</v>
      </c>
      <c r="G2712" s="10">
        <v>1</v>
      </c>
      <c r="H2712" s="10" t="s">
        <v>28</v>
      </c>
      <c r="I2712" s="11" t="s">
        <v>28</v>
      </c>
      <c r="J2712" s="11" t="s">
        <v>28</v>
      </c>
      <c r="K2712" s="11" t="s">
        <v>28</v>
      </c>
      <c r="L2712" s="11" t="s">
        <v>28</v>
      </c>
      <c r="M2712" s="11" t="s">
        <v>28</v>
      </c>
      <c r="N2712" s="8">
        <v>44827</v>
      </c>
      <c r="O2712" s="9" t="s">
        <v>379</v>
      </c>
      <c r="P2712" s="12" t="s">
        <v>9190</v>
      </c>
      <c r="Q2712" s="9" t="s">
        <v>114</v>
      </c>
      <c r="R2712" s="14" t="str">
        <f>HYPERLINK("https://my.pitchbook.com?c=204652-54T","View Company Online")</f>
        <v>View Company Online</v>
      </c>
    </row>
    <row r="2713" spans="1:18" hidden="1" x14ac:dyDescent="0.3">
      <c r="A2713" s="15" t="s">
        <v>9191</v>
      </c>
      <c r="B2713" s="15" t="s">
        <v>9192</v>
      </c>
      <c r="C2713" s="18" t="s">
        <v>28</v>
      </c>
      <c r="D2713" s="15" t="s">
        <v>9193</v>
      </c>
      <c r="E2713" s="18" t="s">
        <v>28</v>
      </c>
      <c r="F2713" s="19" t="s">
        <v>28</v>
      </c>
      <c r="G2713" s="19">
        <v>1.35</v>
      </c>
      <c r="H2713" s="19" t="s">
        <v>28</v>
      </c>
      <c r="I2713" s="18" t="s">
        <v>28</v>
      </c>
      <c r="J2713" s="18" t="s">
        <v>28</v>
      </c>
      <c r="K2713" s="18" t="s">
        <v>28</v>
      </c>
      <c r="L2713" s="18" t="s">
        <v>28</v>
      </c>
      <c r="M2713" s="18" t="s">
        <v>28</v>
      </c>
      <c r="N2713" s="17">
        <v>44827</v>
      </c>
      <c r="O2713" s="15" t="s">
        <v>73</v>
      </c>
      <c r="P2713" s="16" t="s">
        <v>9194</v>
      </c>
      <c r="Q2713" s="15" t="s">
        <v>1336</v>
      </c>
      <c r="R2713" s="13" t="str">
        <f>HYPERLINK("https://my.pitchbook.com?c=211061-44T","View Company Online")</f>
        <v>View Company Online</v>
      </c>
    </row>
    <row r="2714" spans="1:18" hidden="1" x14ac:dyDescent="0.3">
      <c r="A2714" s="9" t="s">
        <v>9195</v>
      </c>
      <c r="B2714" s="9" t="s">
        <v>9196</v>
      </c>
      <c r="C2714" s="11" t="s">
        <v>28</v>
      </c>
      <c r="D2714" s="9" t="s">
        <v>9197</v>
      </c>
      <c r="E2714" s="11" t="s">
        <v>28</v>
      </c>
      <c r="F2714" s="10" t="s">
        <v>28</v>
      </c>
      <c r="G2714" s="10" t="s">
        <v>28</v>
      </c>
      <c r="H2714" s="10" t="s">
        <v>28</v>
      </c>
      <c r="I2714" s="11" t="s">
        <v>28</v>
      </c>
      <c r="J2714" s="11" t="s">
        <v>28</v>
      </c>
      <c r="K2714" s="11" t="s">
        <v>28</v>
      </c>
      <c r="L2714" s="11" t="s">
        <v>28</v>
      </c>
      <c r="M2714" s="11" t="s">
        <v>28</v>
      </c>
      <c r="N2714" s="8">
        <v>44827</v>
      </c>
      <c r="O2714" s="9" t="s">
        <v>30</v>
      </c>
      <c r="P2714" s="12" t="s">
        <v>9198</v>
      </c>
      <c r="Q2714" s="9" t="s">
        <v>69</v>
      </c>
      <c r="R2714" s="14" t="str">
        <f>HYPERLINK("https://my.pitchbook.com?c=209308-24T","View Company Online")</f>
        <v>View Company Online</v>
      </c>
    </row>
    <row r="2715" spans="1:18" hidden="1" x14ac:dyDescent="0.3">
      <c r="A2715" s="15" t="s">
        <v>9199</v>
      </c>
      <c r="B2715" s="15" t="s">
        <v>902</v>
      </c>
      <c r="C2715" s="18" t="s">
        <v>28</v>
      </c>
      <c r="D2715" s="15" t="s">
        <v>903</v>
      </c>
      <c r="E2715" s="18" t="s">
        <v>28</v>
      </c>
      <c r="F2715" s="19" t="s">
        <v>28</v>
      </c>
      <c r="G2715" s="19">
        <v>130</v>
      </c>
      <c r="H2715" s="19" t="s">
        <v>28</v>
      </c>
      <c r="I2715" s="18" t="s">
        <v>28</v>
      </c>
      <c r="J2715" s="18" t="s">
        <v>28</v>
      </c>
      <c r="K2715" s="18" t="s">
        <v>28</v>
      </c>
      <c r="L2715" s="18" t="s">
        <v>28</v>
      </c>
      <c r="M2715" s="18" t="s">
        <v>28</v>
      </c>
      <c r="N2715" s="17">
        <v>44827</v>
      </c>
      <c r="O2715" s="15" t="s">
        <v>79</v>
      </c>
      <c r="P2715" s="16" t="s">
        <v>9200</v>
      </c>
      <c r="Q2715" s="15" t="s">
        <v>114</v>
      </c>
      <c r="R2715" s="13" t="str">
        <f>HYPERLINK("https://my.pitchbook.com?c=191989-45T","View Company Online")</f>
        <v>View Company Online</v>
      </c>
    </row>
    <row r="2716" spans="1:18" hidden="1" x14ac:dyDescent="0.3">
      <c r="A2716" s="9" t="s">
        <v>9201</v>
      </c>
      <c r="B2716" s="9" t="s">
        <v>9202</v>
      </c>
      <c r="C2716" s="11" t="s">
        <v>28</v>
      </c>
      <c r="D2716" s="9" t="s">
        <v>9203</v>
      </c>
      <c r="E2716" s="11" t="s">
        <v>28</v>
      </c>
      <c r="F2716" s="10" t="s">
        <v>28</v>
      </c>
      <c r="G2716" s="10" t="s">
        <v>28</v>
      </c>
      <c r="H2716" s="10" t="s">
        <v>28</v>
      </c>
      <c r="I2716" s="11" t="s">
        <v>28</v>
      </c>
      <c r="J2716" s="11" t="s">
        <v>28</v>
      </c>
      <c r="K2716" s="11" t="s">
        <v>28</v>
      </c>
      <c r="L2716" s="11" t="s">
        <v>28</v>
      </c>
      <c r="M2716" s="11" t="s">
        <v>28</v>
      </c>
      <c r="N2716" s="8">
        <v>44827</v>
      </c>
      <c r="O2716" s="9" t="s">
        <v>30</v>
      </c>
      <c r="P2716" s="12" t="s">
        <v>2239</v>
      </c>
      <c r="Q2716" s="9" t="s">
        <v>43</v>
      </c>
      <c r="R2716" s="14" t="str">
        <f>HYPERLINK("https://my.pitchbook.com?c=204553-72T","View Company Online")</f>
        <v>View Company Online</v>
      </c>
    </row>
    <row r="2717" spans="1:18" hidden="1" x14ac:dyDescent="0.3">
      <c r="A2717" s="15" t="s">
        <v>9204</v>
      </c>
      <c r="B2717" s="15" t="s">
        <v>1116</v>
      </c>
      <c r="C2717" s="18" t="s">
        <v>28</v>
      </c>
      <c r="D2717" s="15" t="s">
        <v>1117</v>
      </c>
      <c r="E2717" s="18" t="s">
        <v>28</v>
      </c>
      <c r="F2717" s="19" t="s">
        <v>28</v>
      </c>
      <c r="G2717" s="19">
        <v>7.4</v>
      </c>
      <c r="H2717" s="19">
        <v>120</v>
      </c>
      <c r="I2717" s="18">
        <v>-6.3</v>
      </c>
      <c r="J2717" s="18">
        <v>-19.05</v>
      </c>
      <c r="K2717" s="18">
        <v>1</v>
      </c>
      <c r="L2717" s="18">
        <v>120</v>
      </c>
      <c r="M2717" s="18">
        <v>-4.0999999999999996</v>
      </c>
      <c r="N2717" s="17">
        <v>44826</v>
      </c>
      <c r="O2717" s="15" t="s">
        <v>73</v>
      </c>
      <c r="P2717" s="16" t="s">
        <v>9205</v>
      </c>
      <c r="Q2717" s="15" t="s">
        <v>75</v>
      </c>
      <c r="R2717" s="13" t="str">
        <f>HYPERLINK("https://my.pitchbook.com?c=180477-46T","View Company Online")</f>
        <v>View Company Online</v>
      </c>
    </row>
    <row r="2718" spans="1:18" hidden="1" x14ac:dyDescent="0.3">
      <c r="A2718" s="9" t="s">
        <v>9206</v>
      </c>
      <c r="B2718" s="9" t="s">
        <v>9207</v>
      </c>
      <c r="C2718" s="11" t="s">
        <v>28</v>
      </c>
      <c r="D2718" s="9" t="s">
        <v>9208</v>
      </c>
      <c r="E2718" s="11" t="s">
        <v>28</v>
      </c>
      <c r="F2718" s="10" t="s">
        <v>28</v>
      </c>
      <c r="G2718" s="10" t="s">
        <v>28</v>
      </c>
      <c r="H2718" s="10" t="s">
        <v>28</v>
      </c>
      <c r="I2718" s="11" t="s">
        <v>28</v>
      </c>
      <c r="J2718" s="11" t="s">
        <v>28</v>
      </c>
      <c r="K2718" s="11" t="s">
        <v>28</v>
      </c>
      <c r="L2718" s="11" t="s">
        <v>28</v>
      </c>
      <c r="M2718" s="11" t="s">
        <v>28</v>
      </c>
      <c r="N2718" s="8">
        <v>44826</v>
      </c>
      <c r="O2718" s="9" t="s">
        <v>30</v>
      </c>
      <c r="P2718" s="12" t="s">
        <v>9209</v>
      </c>
      <c r="Q2718" s="9" t="s">
        <v>136</v>
      </c>
      <c r="R2718" s="14" t="str">
        <f>HYPERLINK("https://my.pitchbook.com?c=204456-79T","View Company Online")</f>
        <v>View Company Online</v>
      </c>
    </row>
    <row r="2719" spans="1:18" hidden="1" x14ac:dyDescent="0.3">
      <c r="A2719" s="15" t="s">
        <v>9210</v>
      </c>
      <c r="B2719" s="15" t="s">
        <v>7308</v>
      </c>
      <c r="C2719" s="18" t="s">
        <v>28</v>
      </c>
      <c r="D2719" s="15" t="s">
        <v>9211</v>
      </c>
      <c r="E2719" s="18" t="s">
        <v>28</v>
      </c>
      <c r="F2719" s="19" t="s">
        <v>28</v>
      </c>
      <c r="G2719" s="19" t="s">
        <v>28</v>
      </c>
      <c r="H2719" s="19" t="s">
        <v>28</v>
      </c>
      <c r="I2719" s="18" t="s">
        <v>28</v>
      </c>
      <c r="J2719" s="18" t="s">
        <v>28</v>
      </c>
      <c r="K2719" s="18" t="s">
        <v>28</v>
      </c>
      <c r="L2719" s="18" t="s">
        <v>28</v>
      </c>
      <c r="M2719" s="18" t="s">
        <v>28</v>
      </c>
      <c r="N2719" s="17">
        <v>44826</v>
      </c>
      <c r="O2719" s="15" t="s">
        <v>73</v>
      </c>
      <c r="P2719" s="16" t="s">
        <v>9212</v>
      </c>
      <c r="Q2719" s="15" t="s">
        <v>240</v>
      </c>
      <c r="R2719" s="13" t="str">
        <f>HYPERLINK("https://my.pitchbook.com?c=204519-52T","View Company Online")</f>
        <v>View Company Online</v>
      </c>
    </row>
    <row r="2720" spans="1:18" hidden="1" x14ac:dyDescent="0.3">
      <c r="A2720" s="9" t="s">
        <v>9213</v>
      </c>
      <c r="B2720" s="9" t="s">
        <v>9214</v>
      </c>
      <c r="C2720" s="11" t="s">
        <v>28</v>
      </c>
      <c r="D2720" s="9" t="s">
        <v>9215</v>
      </c>
      <c r="E2720" s="11" t="s">
        <v>28</v>
      </c>
      <c r="F2720" s="10" t="s">
        <v>28</v>
      </c>
      <c r="G2720" s="10">
        <v>0.18</v>
      </c>
      <c r="H2720" s="10" t="s">
        <v>28</v>
      </c>
      <c r="I2720" s="11" t="s">
        <v>28</v>
      </c>
      <c r="J2720" s="11" t="s">
        <v>28</v>
      </c>
      <c r="K2720" s="11" t="s">
        <v>28</v>
      </c>
      <c r="L2720" s="11" t="s">
        <v>28</v>
      </c>
      <c r="M2720" s="11" t="s">
        <v>28</v>
      </c>
      <c r="N2720" s="8">
        <v>44826</v>
      </c>
      <c r="O2720" s="9" t="s">
        <v>379</v>
      </c>
      <c r="P2720" s="12" t="s">
        <v>1770</v>
      </c>
      <c r="Q2720" s="9" t="s">
        <v>75</v>
      </c>
      <c r="R2720" s="14" t="str">
        <f>HYPERLINK("https://my.pitchbook.com?c=204652-36T","View Company Online")</f>
        <v>View Company Online</v>
      </c>
    </row>
    <row r="2721" spans="1:18" hidden="1" x14ac:dyDescent="0.3">
      <c r="A2721" s="15" t="s">
        <v>9216</v>
      </c>
      <c r="B2721" s="15" t="s">
        <v>9217</v>
      </c>
      <c r="C2721" s="18" t="s">
        <v>28</v>
      </c>
      <c r="D2721" s="15" t="s">
        <v>9218</v>
      </c>
      <c r="E2721" s="18">
        <v>10.53</v>
      </c>
      <c r="F2721" s="19" t="s">
        <v>28</v>
      </c>
      <c r="G2721" s="19" t="s">
        <v>28</v>
      </c>
      <c r="H2721" s="19" t="s">
        <v>28</v>
      </c>
      <c r="I2721" s="18">
        <v>38.08</v>
      </c>
      <c r="J2721" s="18" t="s">
        <v>28</v>
      </c>
      <c r="K2721" s="18">
        <v>337.74</v>
      </c>
      <c r="L2721" s="18" t="s">
        <v>28</v>
      </c>
      <c r="M2721" s="18">
        <v>-11.04</v>
      </c>
      <c r="N2721" s="17">
        <v>44826</v>
      </c>
      <c r="O2721" s="15" t="s">
        <v>423</v>
      </c>
      <c r="P2721" s="16" t="s">
        <v>9219</v>
      </c>
      <c r="Q2721" s="15" t="s">
        <v>5347</v>
      </c>
      <c r="R2721" s="13" t="str">
        <f>HYPERLINK("https://my.pitchbook.com?c=257930-29T","View Company Online")</f>
        <v>View Company Online</v>
      </c>
    </row>
    <row r="2722" spans="1:18" hidden="1" x14ac:dyDescent="0.3">
      <c r="A2722" s="9" t="s">
        <v>9220</v>
      </c>
      <c r="B2722" s="9" t="s">
        <v>9221</v>
      </c>
      <c r="C2722" s="11" t="s">
        <v>28</v>
      </c>
      <c r="D2722" s="9" t="s">
        <v>9222</v>
      </c>
      <c r="E2722" s="11" t="s">
        <v>28</v>
      </c>
      <c r="F2722" s="10" t="s">
        <v>28</v>
      </c>
      <c r="G2722" s="10" t="s">
        <v>28</v>
      </c>
      <c r="H2722" s="10" t="s">
        <v>28</v>
      </c>
      <c r="I2722" s="11" t="s">
        <v>28</v>
      </c>
      <c r="J2722" s="11" t="s">
        <v>28</v>
      </c>
      <c r="K2722" s="11" t="s">
        <v>28</v>
      </c>
      <c r="L2722" s="11" t="s">
        <v>28</v>
      </c>
      <c r="M2722" s="11" t="s">
        <v>28</v>
      </c>
      <c r="N2722" s="8">
        <v>44826</v>
      </c>
      <c r="O2722" s="9" t="s">
        <v>58</v>
      </c>
      <c r="P2722" s="12" t="s">
        <v>9223</v>
      </c>
      <c r="Q2722" s="9" t="s">
        <v>75</v>
      </c>
      <c r="R2722" s="14" t="str">
        <f>HYPERLINK("https://my.pitchbook.com?c=205048-45T","View Company Online")</f>
        <v>View Company Online</v>
      </c>
    </row>
    <row r="2723" spans="1:18" hidden="1" x14ac:dyDescent="0.3">
      <c r="A2723" s="15" t="s">
        <v>9224</v>
      </c>
      <c r="B2723" s="15" t="s">
        <v>9225</v>
      </c>
      <c r="C2723" s="18" t="s">
        <v>28</v>
      </c>
      <c r="D2723" s="15" t="s">
        <v>9226</v>
      </c>
      <c r="E2723" s="18" t="s">
        <v>28</v>
      </c>
      <c r="F2723" s="19" t="s">
        <v>28</v>
      </c>
      <c r="G2723" s="19">
        <v>19.350000000000001</v>
      </c>
      <c r="H2723" s="19" t="s">
        <v>28</v>
      </c>
      <c r="I2723" s="18" t="s">
        <v>28</v>
      </c>
      <c r="J2723" s="18" t="s">
        <v>28</v>
      </c>
      <c r="K2723" s="18" t="s">
        <v>28</v>
      </c>
      <c r="L2723" s="18" t="s">
        <v>28</v>
      </c>
      <c r="M2723" s="18" t="s">
        <v>28</v>
      </c>
      <c r="N2723" s="17">
        <v>44825</v>
      </c>
      <c r="O2723" s="15" t="s">
        <v>79</v>
      </c>
      <c r="P2723" s="16" t="s">
        <v>28</v>
      </c>
      <c r="Q2723" s="15" t="s">
        <v>69</v>
      </c>
      <c r="R2723" s="13" t="str">
        <f>HYPERLINK("https://my.pitchbook.com?c=209402-38T","View Company Online")</f>
        <v>View Company Online</v>
      </c>
    </row>
    <row r="2724" spans="1:18" hidden="1" x14ac:dyDescent="0.3">
      <c r="A2724" s="9" t="s">
        <v>9227</v>
      </c>
      <c r="B2724" s="9" t="s">
        <v>9228</v>
      </c>
      <c r="C2724" s="11" t="s">
        <v>28</v>
      </c>
      <c r="D2724" s="9" t="s">
        <v>9229</v>
      </c>
      <c r="E2724" s="11" t="s">
        <v>28</v>
      </c>
      <c r="F2724" s="10" t="s">
        <v>28</v>
      </c>
      <c r="G2724" s="10">
        <v>0.53</v>
      </c>
      <c r="H2724" s="10" t="s">
        <v>28</v>
      </c>
      <c r="I2724" s="11" t="s">
        <v>28</v>
      </c>
      <c r="J2724" s="11" t="s">
        <v>28</v>
      </c>
      <c r="K2724" s="11" t="s">
        <v>28</v>
      </c>
      <c r="L2724" s="11" t="s">
        <v>28</v>
      </c>
      <c r="M2724" s="11" t="s">
        <v>28</v>
      </c>
      <c r="N2724" s="8">
        <v>44825</v>
      </c>
      <c r="O2724" s="9" t="s">
        <v>99</v>
      </c>
      <c r="P2724" s="12" t="s">
        <v>9230</v>
      </c>
      <c r="Q2724" s="9" t="s">
        <v>5633</v>
      </c>
      <c r="R2724" s="14" t="str">
        <f>HYPERLINK("https://my.pitchbook.com?c=204747-58T","View Company Online")</f>
        <v>View Company Online</v>
      </c>
    </row>
    <row r="2725" spans="1:18" hidden="1" x14ac:dyDescent="0.3">
      <c r="A2725" s="15" t="s">
        <v>9231</v>
      </c>
      <c r="B2725" s="15" t="s">
        <v>9232</v>
      </c>
      <c r="C2725" s="18" t="s">
        <v>28</v>
      </c>
      <c r="D2725" s="15" t="s">
        <v>9233</v>
      </c>
      <c r="E2725" s="18" t="s">
        <v>28</v>
      </c>
      <c r="F2725" s="19" t="s">
        <v>28</v>
      </c>
      <c r="G2725" s="19">
        <v>1.93</v>
      </c>
      <c r="H2725" s="19" t="s">
        <v>28</v>
      </c>
      <c r="I2725" s="18" t="s">
        <v>28</v>
      </c>
      <c r="J2725" s="18" t="s">
        <v>28</v>
      </c>
      <c r="K2725" s="18" t="s">
        <v>28</v>
      </c>
      <c r="L2725" s="18" t="s">
        <v>28</v>
      </c>
      <c r="M2725" s="18" t="s">
        <v>28</v>
      </c>
      <c r="N2725" s="17">
        <v>44823</v>
      </c>
      <c r="O2725" s="15" t="s">
        <v>79</v>
      </c>
      <c r="P2725" s="16" t="s">
        <v>9234</v>
      </c>
      <c r="Q2725" s="15" t="s">
        <v>75</v>
      </c>
      <c r="R2725" s="13" t="str">
        <f>HYPERLINK("https://my.pitchbook.com?c=204236-20T","View Company Online")</f>
        <v>View Company Online</v>
      </c>
    </row>
    <row r="2726" spans="1:18" hidden="1" x14ac:dyDescent="0.3">
      <c r="A2726" s="9" t="s">
        <v>9235</v>
      </c>
      <c r="B2726" s="9" t="s">
        <v>9236</v>
      </c>
      <c r="C2726" s="11" t="s">
        <v>28</v>
      </c>
      <c r="D2726" s="9" t="s">
        <v>9237</v>
      </c>
      <c r="E2726" s="11" t="s">
        <v>28</v>
      </c>
      <c r="F2726" s="10" t="s">
        <v>28</v>
      </c>
      <c r="G2726" s="10" t="s">
        <v>28</v>
      </c>
      <c r="H2726" s="10" t="s">
        <v>28</v>
      </c>
      <c r="I2726" s="11" t="s">
        <v>28</v>
      </c>
      <c r="J2726" s="11" t="s">
        <v>28</v>
      </c>
      <c r="K2726" s="11" t="s">
        <v>28</v>
      </c>
      <c r="L2726" s="11" t="s">
        <v>28</v>
      </c>
      <c r="M2726" s="11" t="s">
        <v>28</v>
      </c>
      <c r="N2726" s="8">
        <v>44823</v>
      </c>
      <c r="O2726" s="9" t="s">
        <v>58</v>
      </c>
      <c r="P2726" s="12" t="s">
        <v>9238</v>
      </c>
      <c r="Q2726" s="9" t="s">
        <v>75</v>
      </c>
      <c r="R2726" s="14" t="str">
        <f>HYPERLINK("https://my.pitchbook.com?c=209495-98T","View Company Online")</f>
        <v>View Company Online</v>
      </c>
    </row>
    <row r="2727" spans="1:18" hidden="1" x14ac:dyDescent="0.3">
      <c r="A2727" s="15" t="s">
        <v>9239</v>
      </c>
      <c r="B2727" s="15" t="s">
        <v>6887</v>
      </c>
      <c r="C2727" s="18" t="s">
        <v>28</v>
      </c>
      <c r="D2727" s="15" t="s">
        <v>6888</v>
      </c>
      <c r="E2727" s="18" t="s">
        <v>28</v>
      </c>
      <c r="F2727" s="19" t="s">
        <v>28</v>
      </c>
      <c r="G2727" s="19" t="s">
        <v>28</v>
      </c>
      <c r="H2727" s="19" t="s">
        <v>28</v>
      </c>
      <c r="I2727" s="18" t="s">
        <v>28</v>
      </c>
      <c r="J2727" s="18" t="s">
        <v>28</v>
      </c>
      <c r="K2727" s="18" t="s">
        <v>28</v>
      </c>
      <c r="L2727" s="18" t="s">
        <v>28</v>
      </c>
      <c r="M2727" s="18" t="s">
        <v>28</v>
      </c>
      <c r="N2727" s="17">
        <v>44823</v>
      </c>
      <c r="O2727" s="15" t="s">
        <v>30</v>
      </c>
      <c r="P2727" s="16" t="s">
        <v>28</v>
      </c>
      <c r="Q2727" s="15" t="s">
        <v>75</v>
      </c>
      <c r="R2727" s="13" t="str">
        <f>HYPERLINK("https://my.pitchbook.com?c=204253-75T","View Company Online")</f>
        <v>View Company Online</v>
      </c>
    </row>
    <row r="2728" spans="1:18" hidden="1" x14ac:dyDescent="0.3">
      <c r="A2728" s="9" t="s">
        <v>9240</v>
      </c>
      <c r="B2728" s="9" t="s">
        <v>9241</v>
      </c>
      <c r="C2728" s="11" t="s">
        <v>28</v>
      </c>
      <c r="D2728" s="9" t="s">
        <v>9242</v>
      </c>
      <c r="E2728" s="11" t="s">
        <v>28</v>
      </c>
      <c r="F2728" s="10">
        <v>34.880000000000003</v>
      </c>
      <c r="G2728" s="10">
        <v>34.880000000000003</v>
      </c>
      <c r="H2728" s="10">
        <v>34.880000000000003</v>
      </c>
      <c r="I2728" s="11" t="s">
        <v>28</v>
      </c>
      <c r="J2728" s="11" t="s">
        <v>28</v>
      </c>
      <c r="K2728" s="11" t="s">
        <v>28</v>
      </c>
      <c r="L2728" s="11" t="s">
        <v>28</v>
      </c>
      <c r="M2728" s="11" t="s">
        <v>28</v>
      </c>
      <c r="N2728" s="8">
        <v>44820</v>
      </c>
      <c r="O2728" s="9" t="s">
        <v>30</v>
      </c>
      <c r="P2728" s="12" t="s">
        <v>9243</v>
      </c>
      <c r="Q2728" s="9" t="s">
        <v>119</v>
      </c>
      <c r="R2728" s="14" t="str">
        <f>HYPERLINK("https://my.pitchbook.com?c=190612-72T","View Company Online")</f>
        <v>View Company Online</v>
      </c>
    </row>
    <row r="2729" spans="1:18" hidden="1" x14ac:dyDescent="0.3">
      <c r="A2729" s="15" t="s">
        <v>9244</v>
      </c>
      <c r="B2729" s="15" t="s">
        <v>9245</v>
      </c>
      <c r="C2729" s="18" t="s">
        <v>28</v>
      </c>
      <c r="D2729" s="15" t="s">
        <v>9246</v>
      </c>
      <c r="E2729" s="18" t="s">
        <v>28</v>
      </c>
      <c r="F2729" s="19">
        <v>10.17</v>
      </c>
      <c r="G2729" s="19">
        <v>6.78</v>
      </c>
      <c r="H2729" s="19">
        <v>10.17</v>
      </c>
      <c r="I2729" s="18" t="s">
        <v>28</v>
      </c>
      <c r="J2729" s="18" t="s">
        <v>28</v>
      </c>
      <c r="K2729" s="18" t="s">
        <v>28</v>
      </c>
      <c r="L2729" s="18" t="s">
        <v>28</v>
      </c>
      <c r="M2729" s="18" t="s">
        <v>28</v>
      </c>
      <c r="N2729" s="17">
        <v>44820</v>
      </c>
      <c r="O2729" s="15" t="s">
        <v>30</v>
      </c>
      <c r="P2729" s="16" t="s">
        <v>9247</v>
      </c>
      <c r="Q2729" s="15" t="s">
        <v>69</v>
      </c>
      <c r="R2729" s="13" t="str">
        <f>HYPERLINK("https://my.pitchbook.com?c=205199-02T","View Company Online")</f>
        <v>View Company Online</v>
      </c>
    </row>
    <row r="2730" spans="1:18" hidden="1" x14ac:dyDescent="0.3">
      <c r="A2730" s="9" t="s">
        <v>9248</v>
      </c>
      <c r="B2730" s="9" t="s">
        <v>9249</v>
      </c>
      <c r="C2730" s="11" t="s">
        <v>28</v>
      </c>
      <c r="D2730" s="9" t="s">
        <v>9250</v>
      </c>
      <c r="E2730" s="11" t="s">
        <v>28</v>
      </c>
      <c r="F2730" s="10" t="s">
        <v>28</v>
      </c>
      <c r="G2730" s="10" t="s">
        <v>28</v>
      </c>
      <c r="H2730" s="10" t="s">
        <v>28</v>
      </c>
      <c r="I2730" s="11" t="s">
        <v>28</v>
      </c>
      <c r="J2730" s="11" t="s">
        <v>28</v>
      </c>
      <c r="K2730" s="11" t="s">
        <v>28</v>
      </c>
      <c r="L2730" s="11" t="s">
        <v>28</v>
      </c>
      <c r="M2730" s="11" t="s">
        <v>28</v>
      </c>
      <c r="N2730" s="8">
        <v>44820</v>
      </c>
      <c r="O2730" s="9" t="s">
        <v>52</v>
      </c>
      <c r="P2730" s="12" t="s">
        <v>2667</v>
      </c>
      <c r="Q2730" s="9" t="s">
        <v>75</v>
      </c>
      <c r="R2730" s="14" t="str">
        <f>HYPERLINK("https://my.pitchbook.com?c=208401-40T","View Company Online")</f>
        <v>View Company Online</v>
      </c>
    </row>
    <row r="2731" spans="1:18" hidden="1" x14ac:dyDescent="0.3">
      <c r="A2731" s="15" t="s">
        <v>9251</v>
      </c>
      <c r="B2731" s="15" t="s">
        <v>270</v>
      </c>
      <c r="C2731" s="18" t="s">
        <v>28</v>
      </c>
      <c r="D2731" s="15" t="s">
        <v>271</v>
      </c>
      <c r="E2731" s="18" t="s">
        <v>28</v>
      </c>
      <c r="F2731" s="19" t="s">
        <v>28</v>
      </c>
      <c r="G2731" s="19" t="s">
        <v>28</v>
      </c>
      <c r="H2731" s="19" t="s">
        <v>28</v>
      </c>
      <c r="I2731" s="18" t="s">
        <v>28</v>
      </c>
      <c r="J2731" s="18" t="s">
        <v>28</v>
      </c>
      <c r="K2731" s="18" t="s">
        <v>28</v>
      </c>
      <c r="L2731" s="18" t="s">
        <v>28</v>
      </c>
      <c r="M2731" s="18" t="s">
        <v>28</v>
      </c>
      <c r="N2731" s="17">
        <v>44820</v>
      </c>
      <c r="O2731" s="15" t="s">
        <v>73</v>
      </c>
      <c r="P2731" s="16" t="s">
        <v>9252</v>
      </c>
      <c r="Q2731" s="15" t="s">
        <v>37</v>
      </c>
      <c r="R2731" s="13" t="str">
        <f>HYPERLINK("https://my.pitchbook.com?c=205386-49T","View Company Online")</f>
        <v>View Company Online</v>
      </c>
    </row>
    <row r="2732" spans="1:18" hidden="1" x14ac:dyDescent="0.3">
      <c r="A2732" s="9" t="s">
        <v>9253</v>
      </c>
      <c r="B2732" s="9" t="s">
        <v>9254</v>
      </c>
      <c r="C2732" s="11" t="s">
        <v>28</v>
      </c>
      <c r="D2732" s="9" t="s">
        <v>9255</v>
      </c>
      <c r="E2732" s="11" t="s">
        <v>28</v>
      </c>
      <c r="F2732" s="10">
        <v>62.01</v>
      </c>
      <c r="G2732" s="10">
        <v>31</v>
      </c>
      <c r="H2732" s="10">
        <v>62.01</v>
      </c>
      <c r="I2732" s="11" t="s">
        <v>28</v>
      </c>
      <c r="J2732" s="11" t="s">
        <v>28</v>
      </c>
      <c r="K2732" s="11" t="s">
        <v>28</v>
      </c>
      <c r="L2732" s="11" t="s">
        <v>28</v>
      </c>
      <c r="M2732" s="11" t="s">
        <v>28</v>
      </c>
      <c r="N2732" s="8">
        <v>44820</v>
      </c>
      <c r="O2732" s="9" t="s">
        <v>30</v>
      </c>
      <c r="P2732" s="12" t="s">
        <v>9256</v>
      </c>
      <c r="Q2732" s="9" t="s">
        <v>226</v>
      </c>
      <c r="R2732" s="14" t="str">
        <f>HYPERLINK("https://my.pitchbook.com?c=209204-74T","View Company Online")</f>
        <v>View Company Online</v>
      </c>
    </row>
    <row r="2733" spans="1:18" hidden="1" x14ac:dyDescent="0.3">
      <c r="A2733" s="15" t="s">
        <v>9257</v>
      </c>
      <c r="B2733" s="15" t="s">
        <v>9258</v>
      </c>
      <c r="C2733" s="18" t="s">
        <v>28</v>
      </c>
      <c r="D2733" s="15" t="s">
        <v>9259</v>
      </c>
      <c r="E2733" s="18" t="s">
        <v>28</v>
      </c>
      <c r="F2733" s="19" t="s">
        <v>28</v>
      </c>
      <c r="G2733" s="19">
        <v>0.1</v>
      </c>
      <c r="H2733" s="19" t="s">
        <v>28</v>
      </c>
      <c r="I2733" s="18" t="s">
        <v>28</v>
      </c>
      <c r="J2733" s="18" t="s">
        <v>28</v>
      </c>
      <c r="K2733" s="18" t="s">
        <v>28</v>
      </c>
      <c r="L2733" s="18" t="s">
        <v>28</v>
      </c>
      <c r="M2733" s="18" t="s">
        <v>28</v>
      </c>
      <c r="N2733" s="17">
        <v>44819</v>
      </c>
      <c r="O2733" s="15" t="s">
        <v>52</v>
      </c>
      <c r="P2733" s="16" t="s">
        <v>7384</v>
      </c>
      <c r="Q2733" s="15" t="s">
        <v>75</v>
      </c>
      <c r="R2733" s="13" t="str">
        <f>HYPERLINK("https://my.pitchbook.com?c=241410-97T","View Company Online")</f>
        <v>View Company Online</v>
      </c>
    </row>
    <row r="2734" spans="1:18" hidden="1" x14ac:dyDescent="0.3">
      <c r="A2734" s="9" t="s">
        <v>9260</v>
      </c>
      <c r="B2734" s="9" t="s">
        <v>6855</v>
      </c>
      <c r="C2734" s="11" t="s">
        <v>28</v>
      </c>
      <c r="D2734" s="9" t="s">
        <v>6856</v>
      </c>
      <c r="E2734" s="11" t="s">
        <v>28</v>
      </c>
      <c r="F2734" s="10" t="s">
        <v>28</v>
      </c>
      <c r="G2734" s="10" t="s">
        <v>28</v>
      </c>
      <c r="H2734" s="10" t="s">
        <v>28</v>
      </c>
      <c r="I2734" s="11" t="s">
        <v>28</v>
      </c>
      <c r="J2734" s="11" t="s">
        <v>28</v>
      </c>
      <c r="K2734" s="11" t="s">
        <v>28</v>
      </c>
      <c r="L2734" s="11" t="s">
        <v>28</v>
      </c>
      <c r="M2734" s="11" t="s">
        <v>28</v>
      </c>
      <c r="N2734" s="8">
        <v>44819</v>
      </c>
      <c r="O2734" s="9" t="s">
        <v>41</v>
      </c>
      <c r="P2734" s="12" t="s">
        <v>9261</v>
      </c>
      <c r="Q2734" s="9" t="s">
        <v>75</v>
      </c>
      <c r="R2734" s="14" t="str">
        <f>HYPERLINK("https://my.pitchbook.com?c=215254-27T","View Company Online")</f>
        <v>View Company Online</v>
      </c>
    </row>
    <row r="2735" spans="1:18" hidden="1" x14ac:dyDescent="0.3">
      <c r="A2735" s="15" t="s">
        <v>9262</v>
      </c>
      <c r="B2735" s="15" t="s">
        <v>9263</v>
      </c>
      <c r="C2735" s="18" t="s">
        <v>28</v>
      </c>
      <c r="D2735" s="15" t="s">
        <v>9264</v>
      </c>
      <c r="E2735" s="18" t="s">
        <v>28</v>
      </c>
      <c r="F2735" s="19" t="s">
        <v>28</v>
      </c>
      <c r="G2735" s="19" t="s">
        <v>28</v>
      </c>
      <c r="H2735" s="19" t="s">
        <v>28</v>
      </c>
      <c r="I2735" s="18" t="s">
        <v>28</v>
      </c>
      <c r="J2735" s="18" t="s">
        <v>28</v>
      </c>
      <c r="K2735" s="18" t="s">
        <v>28</v>
      </c>
      <c r="L2735" s="18" t="s">
        <v>28</v>
      </c>
      <c r="M2735" s="18" t="s">
        <v>28</v>
      </c>
      <c r="N2735" s="17">
        <v>44819</v>
      </c>
      <c r="O2735" s="15" t="s">
        <v>30</v>
      </c>
      <c r="P2735" s="16" t="s">
        <v>9265</v>
      </c>
      <c r="Q2735" s="15" t="s">
        <v>54</v>
      </c>
      <c r="R2735" s="13" t="str">
        <f>HYPERLINK("https://my.pitchbook.com?c=209512-27T","View Company Online")</f>
        <v>View Company Online</v>
      </c>
    </row>
    <row r="2736" spans="1:18" hidden="1" x14ac:dyDescent="0.3">
      <c r="A2736" s="9" t="s">
        <v>9266</v>
      </c>
      <c r="B2736" s="9" t="s">
        <v>9267</v>
      </c>
      <c r="C2736" s="11" t="s">
        <v>28</v>
      </c>
      <c r="D2736" s="9" t="s">
        <v>9268</v>
      </c>
      <c r="E2736" s="11" t="s">
        <v>28</v>
      </c>
      <c r="F2736" s="10" t="s">
        <v>28</v>
      </c>
      <c r="G2736" s="10" t="s">
        <v>28</v>
      </c>
      <c r="H2736" s="10" t="s">
        <v>28</v>
      </c>
      <c r="I2736" s="11" t="s">
        <v>28</v>
      </c>
      <c r="J2736" s="11" t="s">
        <v>28</v>
      </c>
      <c r="K2736" s="11" t="s">
        <v>28</v>
      </c>
      <c r="L2736" s="11" t="s">
        <v>28</v>
      </c>
      <c r="M2736" s="11" t="s">
        <v>28</v>
      </c>
      <c r="N2736" s="8">
        <v>44819</v>
      </c>
      <c r="O2736" s="9" t="s">
        <v>30</v>
      </c>
      <c r="P2736" s="12" t="s">
        <v>9269</v>
      </c>
      <c r="Q2736" s="9" t="s">
        <v>37</v>
      </c>
      <c r="R2736" s="14" t="str">
        <f>HYPERLINK("https://my.pitchbook.com?c=211597-39T","View Company Online")</f>
        <v>View Company Online</v>
      </c>
    </row>
    <row r="2737" spans="1:18" hidden="1" x14ac:dyDescent="0.3">
      <c r="A2737" s="15" t="s">
        <v>9270</v>
      </c>
      <c r="B2737" s="15" t="s">
        <v>9271</v>
      </c>
      <c r="C2737" s="18" t="s">
        <v>28</v>
      </c>
      <c r="D2737" s="15" t="s">
        <v>9272</v>
      </c>
      <c r="E2737" s="18" t="s">
        <v>28</v>
      </c>
      <c r="F2737" s="19">
        <v>9.6999999999999993</v>
      </c>
      <c r="G2737" s="19">
        <v>9.6999999999999993</v>
      </c>
      <c r="H2737" s="19">
        <v>9.6999999999999993</v>
      </c>
      <c r="I2737" s="18" t="s">
        <v>28</v>
      </c>
      <c r="J2737" s="18" t="s">
        <v>28</v>
      </c>
      <c r="K2737" s="18" t="s">
        <v>28</v>
      </c>
      <c r="L2737" s="18" t="s">
        <v>28</v>
      </c>
      <c r="M2737" s="18" t="s">
        <v>28</v>
      </c>
      <c r="N2737" s="17">
        <v>44818</v>
      </c>
      <c r="O2737" s="15" t="s">
        <v>30</v>
      </c>
      <c r="P2737" s="16" t="s">
        <v>9273</v>
      </c>
      <c r="Q2737" s="15" t="s">
        <v>3973</v>
      </c>
      <c r="R2737" s="13" t="str">
        <f>HYPERLINK("https://my.pitchbook.com?c=211027-15T","View Company Online")</f>
        <v>View Company Online</v>
      </c>
    </row>
    <row r="2738" spans="1:18" hidden="1" x14ac:dyDescent="0.3">
      <c r="A2738" s="9" t="s">
        <v>9274</v>
      </c>
      <c r="B2738" s="9" t="s">
        <v>9275</v>
      </c>
      <c r="C2738" s="11" t="s">
        <v>28</v>
      </c>
      <c r="D2738" s="9" t="s">
        <v>9276</v>
      </c>
      <c r="E2738" s="11" t="s">
        <v>28</v>
      </c>
      <c r="F2738" s="10" t="s">
        <v>28</v>
      </c>
      <c r="G2738" s="10">
        <v>0.28999999999999998</v>
      </c>
      <c r="H2738" s="10" t="s">
        <v>28</v>
      </c>
      <c r="I2738" s="11" t="s">
        <v>28</v>
      </c>
      <c r="J2738" s="11" t="s">
        <v>28</v>
      </c>
      <c r="K2738" s="11" t="s">
        <v>28</v>
      </c>
      <c r="L2738" s="11" t="s">
        <v>28</v>
      </c>
      <c r="M2738" s="11" t="s">
        <v>28</v>
      </c>
      <c r="N2738" s="8">
        <v>44818</v>
      </c>
      <c r="O2738" s="9" t="s">
        <v>99</v>
      </c>
      <c r="P2738" s="12" t="s">
        <v>9277</v>
      </c>
      <c r="Q2738" s="9" t="s">
        <v>119</v>
      </c>
      <c r="R2738" s="14" t="str">
        <f>HYPERLINK("https://my.pitchbook.com?c=203737-06T","View Company Online")</f>
        <v>View Company Online</v>
      </c>
    </row>
    <row r="2739" spans="1:18" hidden="1" x14ac:dyDescent="0.3">
      <c r="A2739" s="15" t="s">
        <v>9278</v>
      </c>
      <c r="B2739" s="15" t="s">
        <v>9279</v>
      </c>
      <c r="C2739" s="18" t="s">
        <v>28</v>
      </c>
      <c r="D2739" s="15" t="s">
        <v>9280</v>
      </c>
      <c r="E2739" s="18" t="s">
        <v>28</v>
      </c>
      <c r="F2739" s="19">
        <v>7.76</v>
      </c>
      <c r="G2739" s="19">
        <v>7.76</v>
      </c>
      <c r="H2739" s="19">
        <v>7.76</v>
      </c>
      <c r="I2739" s="18" t="s">
        <v>28</v>
      </c>
      <c r="J2739" s="18" t="s">
        <v>28</v>
      </c>
      <c r="K2739" s="18" t="s">
        <v>28</v>
      </c>
      <c r="L2739" s="18" t="s">
        <v>28</v>
      </c>
      <c r="M2739" s="18" t="s">
        <v>28</v>
      </c>
      <c r="N2739" s="17">
        <v>44818</v>
      </c>
      <c r="O2739" s="15" t="s">
        <v>30</v>
      </c>
      <c r="P2739" s="16" t="s">
        <v>9281</v>
      </c>
      <c r="Q2739" s="15" t="s">
        <v>240</v>
      </c>
      <c r="R2739" s="13" t="str">
        <f>HYPERLINK("https://my.pitchbook.com?c=209531-26T","View Company Online")</f>
        <v>View Company Online</v>
      </c>
    </row>
    <row r="2740" spans="1:18" hidden="1" x14ac:dyDescent="0.3">
      <c r="A2740" s="9" t="s">
        <v>9282</v>
      </c>
      <c r="B2740" s="9" t="s">
        <v>9283</v>
      </c>
      <c r="C2740" s="11" t="s">
        <v>28</v>
      </c>
      <c r="D2740" s="9" t="s">
        <v>9284</v>
      </c>
      <c r="E2740" s="11" t="s">
        <v>28</v>
      </c>
      <c r="F2740" s="10" t="s">
        <v>28</v>
      </c>
      <c r="G2740" s="10">
        <v>19.41</v>
      </c>
      <c r="H2740" s="10" t="s">
        <v>28</v>
      </c>
      <c r="I2740" s="11" t="s">
        <v>28</v>
      </c>
      <c r="J2740" s="11" t="s">
        <v>28</v>
      </c>
      <c r="K2740" s="11" t="s">
        <v>28</v>
      </c>
      <c r="L2740" s="11" t="s">
        <v>28</v>
      </c>
      <c r="M2740" s="11" t="s">
        <v>28</v>
      </c>
      <c r="N2740" s="8">
        <v>44817</v>
      </c>
      <c r="O2740" s="9" t="s">
        <v>79</v>
      </c>
      <c r="P2740" s="12" t="s">
        <v>9285</v>
      </c>
      <c r="Q2740" s="9" t="s">
        <v>75</v>
      </c>
      <c r="R2740" s="14" t="str">
        <f>HYPERLINK("https://my.pitchbook.com?c=209571-22T","View Company Online")</f>
        <v>View Company Online</v>
      </c>
    </row>
    <row r="2741" spans="1:18" hidden="1" x14ac:dyDescent="0.3">
      <c r="A2741" s="15" t="s">
        <v>9286</v>
      </c>
      <c r="B2741" s="15" t="s">
        <v>1806</v>
      </c>
      <c r="C2741" s="18" t="s">
        <v>28</v>
      </c>
      <c r="D2741" s="15" t="s">
        <v>1807</v>
      </c>
      <c r="E2741" s="18" t="s">
        <v>28</v>
      </c>
      <c r="F2741" s="19" t="s">
        <v>28</v>
      </c>
      <c r="G2741" s="19">
        <v>8.5</v>
      </c>
      <c r="H2741" s="19" t="s">
        <v>28</v>
      </c>
      <c r="I2741" s="18" t="s">
        <v>28</v>
      </c>
      <c r="J2741" s="18" t="s">
        <v>28</v>
      </c>
      <c r="K2741" s="18" t="s">
        <v>28</v>
      </c>
      <c r="L2741" s="18" t="s">
        <v>28</v>
      </c>
      <c r="M2741" s="18" t="s">
        <v>28</v>
      </c>
      <c r="N2741" s="17">
        <v>44817</v>
      </c>
      <c r="O2741" s="15" t="s">
        <v>99</v>
      </c>
      <c r="P2741" s="16" t="s">
        <v>9287</v>
      </c>
      <c r="Q2741" s="15" t="s">
        <v>85</v>
      </c>
      <c r="R2741" s="13" t="str">
        <f>HYPERLINK("https://my.pitchbook.com?c=203592-97T","View Company Online")</f>
        <v>View Company Online</v>
      </c>
    </row>
    <row r="2742" spans="1:18" hidden="1" x14ac:dyDescent="0.3">
      <c r="A2742" s="9" t="s">
        <v>9288</v>
      </c>
      <c r="B2742" s="9" t="s">
        <v>2205</v>
      </c>
      <c r="C2742" s="11" t="s">
        <v>28</v>
      </c>
      <c r="D2742" s="9" t="s">
        <v>2206</v>
      </c>
      <c r="E2742" s="11" t="s">
        <v>28</v>
      </c>
      <c r="F2742" s="10" t="s">
        <v>28</v>
      </c>
      <c r="G2742" s="10">
        <v>0.97</v>
      </c>
      <c r="H2742" s="10" t="s">
        <v>28</v>
      </c>
      <c r="I2742" s="11" t="s">
        <v>28</v>
      </c>
      <c r="J2742" s="11" t="s">
        <v>28</v>
      </c>
      <c r="K2742" s="11" t="s">
        <v>28</v>
      </c>
      <c r="L2742" s="11" t="s">
        <v>28</v>
      </c>
      <c r="M2742" s="11" t="s">
        <v>28</v>
      </c>
      <c r="N2742" s="8">
        <v>44816</v>
      </c>
      <c r="O2742" s="9" t="s">
        <v>79</v>
      </c>
      <c r="P2742" s="12" t="s">
        <v>9289</v>
      </c>
      <c r="Q2742" s="9" t="s">
        <v>75</v>
      </c>
      <c r="R2742" s="14" t="str">
        <f>HYPERLINK("https://my.pitchbook.com?c=204179-14T","View Company Online")</f>
        <v>View Company Online</v>
      </c>
    </row>
    <row r="2743" spans="1:18" hidden="1" x14ac:dyDescent="0.3">
      <c r="A2743" s="15" t="s">
        <v>9290</v>
      </c>
      <c r="B2743" s="15" t="s">
        <v>2205</v>
      </c>
      <c r="C2743" s="18" t="s">
        <v>28</v>
      </c>
      <c r="D2743" s="15" t="s">
        <v>2206</v>
      </c>
      <c r="E2743" s="18" t="s">
        <v>28</v>
      </c>
      <c r="F2743" s="19" t="s">
        <v>28</v>
      </c>
      <c r="G2743" s="19" t="s">
        <v>28</v>
      </c>
      <c r="H2743" s="19" t="s">
        <v>28</v>
      </c>
      <c r="I2743" s="18" t="s">
        <v>28</v>
      </c>
      <c r="J2743" s="18" t="s">
        <v>28</v>
      </c>
      <c r="K2743" s="18" t="s">
        <v>28</v>
      </c>
      <c r="L2743" s="18" t="s">
        <v>28</v>
      </c>
      <c r="M2743" s="18" t="s">
        <v>28</v>
      </c>
      <c r="N2743" s="17">
        <v>44816</v>
      </c>
      <c r="O2743" s="15" t="s">
        <v>79</v>
      </c>
      <c r="P2743" s="16" t="s">
        <v>28</v>
      </c>
      <c r="Q2743" s="15" t="s">
        <v>75</v>
      </c>
      <c r="R2743" s="13" t="str">
        <f>HYPERLINK("https://my.pitchbook.com?c=204181-39T","View Company Online")</f>
        <v>View Company Online</v>
      </c>
    </row>
    <row r="2744" spans="1:18" hidden="1" x14ac:dyDescent="0.3">
      <c r="A2744" s="9" t="s">
        <v>9291</v>
      </c>
      <c r="B2744" s="9" t="s">
        <v>9292</v>
      </c>
      <c r="C2744" s="11" t="s">
        <v>28</v>
      </c>
      <c r="D2744" s="9" t="s">
        <v>9293</v>
      </c>
      <c r="E2744" s="11" t="s">
        <v>28</v>
      </c>
      <c r="F2744" s="10" t="s">
        <v>28</v>
      </c>
      <c r="G2744" s="10">
        <v>0.21</v>
      </c>
      <c r="H2744" s="10" t="s">
        <v>28</v>
      </c>
      <c r="I2744" s="11" t="s">
        <v>28</v>
      </c>
      <c r="J2744" s="11" t="s">
        <v>28</v>
      </c>
      <c r="K2744" s="11" t="s">
        <v>28</v>
      </c>
      <c r="L2744" s="11" t="s">
        <v>28</v>
      </c>
      <c r="M2744" s="11" t="s">
        <v>28</v>
      </c>
      <c r="N2744" s="8">
        <v>44816</v>
      </c>
      <c r="O2744" s="9" t="s">
        <v>1639</v>
      </c>
      <c r="P2744" s="12" t="s">
        <v>28</v>
      </c>
      <c r="Q2744" s="9" t="s">
        <v>136</v>
      </c>
      <c r="R2744" s="14" t="str">
        <f>HYPERLINK("https://my.pitchbook.com?c=203617-45T","View Company Online")</f>
        <v>View Company Online</v>
      </c>
    </row>
    <row r="2745" spans="1:18" hidden="1" x14ac:dyDescent="0.3">
      <c r="A2745" s="15" t="s">
        <v>9294</v>
      </c>
      <c r="B2745" s="15" t="s">
        <v>9295</v>
      </c>
      <c r="C2745" s="18" t="s">
        <v>28</v>
      </c>
      <c r="D2745" s="15" t="s">
        <v>9296</v>
      </c>
      <c r="E2745" s="18" t="s">
        <v>28</v>
      </c>
      <c r="F2745" s="19" t="s">
        <v>28</v>
      </c>
      <c r="G2745" s="19" t="s">
        <v>28</v>
      </c>
      <c r="H2745" s="19" t="s">
        <v>28</v>
      </c>
      <c r="I2745" s="18" t="s">
        <v>28</v>
      </c>
      <c r="J2745" s="18" t="s">
        <v>28</v>
      </c>
      <c r="K2745" s="18" t="s">
        <v>28</v>
      </c>
      <c r="L2745" s="18" t="s">
        <v>28</v>
      </c>
      <c r="M2745" s="18" t="s">
        <v>28</v>
      </c>
      <c r="N2745" s="17">
        <v>44816</v>
      </c>
      <c r="O2745" s="15" t="s">
        <v>30</v>
      </c>
      <c r="P2745" s="16" t="s">
        <v>9297</v>
      </c>
      <c r="Q2745" s="15" t="s">
        <v>37</v>
      </c>
      <c r="R2745" s="13" t="str">
        <f>HYPERLINK("https://my.pitchbook.com?c=203514-22T","View Company Online")</f>
        <v>View Company Online</v>
      </c>
    </row>
    <row r="2746" spans="1:18" hidden="1" x14ac:dyDescent="0.3">
      <c r="A2746" s="9" t="s">
        <v>9298</v>
      </c>
      <c r="B2746" s="9" t="s">
        <v>9299</v>
      </c>
      <c r="C2746" s="11" t="s">
        <v>28</v>
      </c>
      <c r="D2746" s="9" t="s">
        <v>9300</v>
      </c>
      <c r="E2746" s="11" t="s">
        <v>28</v>
      </c>
      <c r="F2746" s="10" t="s">
        <v>28</v>
      </c>
      <c r="G2746" s="10">
        <v>0.19</v>
      </c>
      <c r="H2746" s="10" t="s">
        <v>28</v>
      </c>
      <c r="I2746" s="11" t="s">
        <v>28</v>
      </c>
      <c r="J2746" s="11" t="s">
        <v>28</v>
      </c>
      <c r="K2746" s="11" t="s">
        <v>28</v>
      </c>
      <c r="L2746" s="11" t="s">
        <v>28</v>
      </c>
      <c r="M2746" s="11" t="s">
        <v>28</v>
      </c>
      <c r="N2746" s="8">
        <v>44815</v>
      </c>
      <c r="O2746" s="9" t="s">
        <v>79</v>
      </c>
      <c r="P2746" s="12" t="s">
        <v>221</v>
      </c>
      <c r="Q2746" s="9" t="s">
        <v>1035</v>
      </c>
      <c r="R2746" s="14" t="str">
        <f>HYPERLINK("https://my.pitchbook.com?c=244445-32T","View Company Online")</f>
        <v>View Company Online</v>
      </c>
    </row>
    <row r="2747" spans="1:18" hidden="1" x14ac:dyDescent="0.3">
      <c r="A2747" s="15" t="s">
        <v>9301</v>
      </c>
      <c r="B2747" s="15" t="s">
        <v>1595</v>
      </c>
      <c r="C2747" s="18" t="s">
        <v>28</v>
      </c>
      <c r="D2747" s="15" t="s">
        <v>1596</v>
      </c>
      <c r="E2747" s="18" t="s">
        <v>28</v>
      </c>
      <c r="F2747" s="19" t="s">
        <v>28</v>
      </c>
      <c r="G2747" s="19" t="s">
        <v>28</v>
      </c>
      <c r="H2747" s="19" t="s">
        <v>28</v>
      </c>
      <c r="I2747" s="18" t="s">
        <v>28</v>
      </c>
      <c r="J2747" s="18" t="s">
        <v>28</v>
      </c>
      <c r="K2747" s="18" t="s">
        <v>28</v>
      </c>
      <c r="L2747" s="18" t="s">
        <v>28</v>
      </c>
      <c r="M2747" s="18" t="s">
        <v>28</v>
      </c>
      <c r="N2747" s="17">
        <v>44814</v>
      </c>
      <c r="O2747" s="15" t="s">
        <v>52</v>
      </c>
      <c r="P2747" s="16" t="s">
        <v>2830</v>
      </c>
      <c r="Q2747" s="15" t="s">
        <v>75</v>
      </c>
      <c r="R2747" s="13" t="str">
        <f>HYPERLINK("https://my.pitchbook.com?c=266561-74T","View Company Online")</f>
        <v>View Company Online</v>
      </c>
    </row>
    <row r="2748" spans="1:18" hidden="1" x14ac:dyDescent="0.3">
      <c r="A2748" s="9" t="s">
        <v>9302</v>
      </c>
      <c r="B2748" s="9" t="s">
        <v>9303</v>
      </c>
      <c r="C2748" s="11" t="s">
        <v>28</v>
      </c>
      <c r="D2748" s="9" t="s">
        <v>9304</v>
      </c>
      <c r="E2748" s="11" t="s">
        <v>28</v>
      </c>
      <c r="F2748" s="10" t="s">
        <v>28</v>
      </c>
      <c r="G2748" s="10">
        <v>3</v>
      </c>
      <c r="H2748" s="10" t="s">
        <v>28</v>
      </c>
      <c r="I2748" s="11" t="s">
        <v>28</v>
      </c>
      <c r="J2748" s="11" t="s">
        <v>28</v>
      </c>
      <c r="K2748" s="11" t="s">
        <v>28</v>
      </c>
      <c r="L2748" s="11" t="s">
        <v>28</v>
      </c>
      <c r="M2748" s="11" t="s">
        <v>28</v>
      </c>
      <c r="N2748" s="8">
        <v>44813</v>
      </c>
      <c r="O2748" s="9" t="s">
        <v>99</v>
      </c>
      <c r="P2748" s="12" t="s">
        <v>9305</v>
      </c>
      <c r="Q2748" s="9" t="s">
        <v>37</v>
      </c>
      <c r="R2748" s="14" t="str">
        <f>HYPERLINK("https://my.pitchbook.com?c=217958-23T","View Company Online")</f>
        <v>View Company Online</v>
      </c>
    </row>
    <row r="2749" spans="1:18" hidden="1" x14ac:dyDescent="0.3">
      <c r="A2749" s="15" t="s">
        <v>9306</v>
      </c>
      <c r="B2749" s="15" t="s">
        <v>9307</v>
      </c>
      <c r="C2749" s="18" t="s">
        <v>28</v>
      </c>
      <c r="D2749" s="15" t="s">
        <v>9308</v>
      </c>
      <c r="E2749" s="18" t="s">
        <v>28</v>
      </c>
      <c r="F2749" s="19" t="s">
        <v>28</v>
      </c>
      <c r="G2749" s="19" t="s">
        <v>28</v>
      </c>
      <c r="H2749" s="19" t="s">
        <v>28</v>
      </c>
      <c r="I2749" s="18" t="s">
        <v>28</v>
      </c>
      <c r="J2749" s="18" t="s">
        <v>28</v>
      </c>
      <c r="K2749" s="18" t="s">
        <v>28</v>
      </c>
      <c r="L2749" s="18" t="s">
        <v>28</v>
      </c>
      <c r="M2749" s="18" t="s">
        <v>28</v>
      </c>
      <c r="N2749" s="17">
        <v>44813</v>
      </c>
      <c r="O2749" s="15" t="s">
        <v>52</v>
      </c>
      <c r="P2749" s="16" t="s">
        <v>221</v>
      </c>
      <c r="Q2749" s="15" t="s">
        <v>75</v>
      </c>
      <c r="R2749" s="13" t="str">
        <f>HYPERLINK("https://my.pitchbook.com?c=215379-82T","View Company Online")</f>
        <v>View Company Online</v>
      </c>
    </row>
    <row r="2750" spans="1:18" hidden="1" x14ac:dyDescent="0.3">
      <c r="A2750" s="9" t="s">
        <v>9309</v>
      </c>
      <c r="B2750" s="9" t="s">
        <v>9310</v>
      </c>
      <c r="C2750" s="11" t="s">
        <v>28</v>
      </c>
      <c r="D2750" s="9" t="s">
        <v>9311</v>
      </c>
      <c r="E2750" s="11" t="s">
        <v>28</v>
      </c>
      <c r="F2750" s="10" t="s">
        <v>28</v>
      </c>
      <c r="G2750" s="10">
        <v>0.68</v>
      </c>
      <c r="H2750" s="10" t="s">
        <v>28</v>
      </c>
      <c r="I2750" s="11" t="s">
        <v>28</v>
      </c>
      <c r="J2750" s="11" t="s">
        <v>28</v>
      </c>
      <c r="K2750" s="11" t="s">
        <v>28</v>
      </c>
      <c r="L2750" s="11" t="s">
        <v>28</v>
      </c>
      <c r="M2750" s="11" t="s">
        <v>28</v>
      </c>
      <c r="N2750" s="8">
        <v>44813</v>
      </c>
      <c r="O2750" s="9" t="s">
        <v>1639</v>
      </c>
      <c r="P2750" s="12" t="s">
        <v>9312</v>
      </c>
      <c r="Q2750" s="9" t="s">
        <v>8999</v>
      </c>
      <c r="R2750" s="14" t="str">
        <f>HYPERLINK("https://my.pitchbook.com?c=206309-35T","View Company Online")</f>
        <v>View Company Online</v>
      </c>
    </row>
    <row r="2751" spans="1:18" hidden="1" x14ac:dyDescent="0.3">
      <c r="A2751" s="15" t="s">
        <v>9313</v>
      </c>
      <c r="B2751" s="15" t="s">
        <v>9314</v>
      </c>
      <c r="C2751" s="18" t="s">
        <v>28</v>
      </c>
      <c r="D2751" s="15" t="s">
        <v>9315</v>
      </c>
      <c r="E2751" s="18" t="s">
        <v>28</v>
      </c>
      <c r="F2751" s="19" t="s">
        <v>28</v>
      </c>
      <c r="G2751" s="19" t="s">
        <v>28</v>
      </c>
      <c r="H2751" s="19" t="s">
        <v>28</v>
      </c>
      <c r="I2751" s="18" t="s">
        <v>28</v>
      </c>
      <c r="J2751" s="18" t="s">
        <v>28</v>
      </c>
      <c r="K2751" s="18" t="s">
        <v>28</v>
      </c>
      <c r="L2751" s="18" t="s">
        <v>28</v>
      </c>
      <c r="M2751" s="18" t="s">
        <v>28</v>
      </c>
      <c r="N2751" s="17">
        <v>44812</v>
      </c>
      <c r="O2751" s="15" t="s">
        <v>30</v>
      </c>
      <c r="P2751" s="16" t="s">
        <v>9316</v>
      </c>
      <c r="Q2751" s="15" t="s">
        <v>75</v>
      </c>
      <c r="R2751" s="13" t="str">
        <f>HYPERLINK("https://my.pitchbook.com?c=274533-67T","View Company Online")</f>
        <v>View Company Online</v>
      </c>
    </row>
    <row r="2752" spans="1:18" hidden="1" x14ac:dyDescent="0.3">
      <c r="A2752" s="9" t="s">
        <v>9317</v>
      </c>
      <c r="B2752" s="9" t="s">
        <v>7231</v>
      </c>
      <c r="C2752" s="11" t="s">
        <v>28</v>
      </c>
      <c r="D2752" s="9" t="s">
        <v>7232</v>
      </c>
      <c r="E2752" s="11" t="s">
        <v>28</v>
      </c>
      <c r="F2752" s="10" t="s">
        <v>28</v>
      </c>
      <c r="G2752" s="10" t="s">
        <v>28</v>
      </c>
      <c r="H2752" s="10" t="s">
        <v>28</v>
      </c>
      <c r="I2752" s="11" t="s">
        <v>28</v>
      </c>
      <c r="J2752" s="11" t="s">
        <v>28</v>
      </c>
      <c r="K2752" s="11" t="s">
        <v>28</v>
      </c>
      <c r="L2752" s="11" t="s">
        <v>28</v>
      </c>
      <c r="M2752" s="11" t="s">
        <v>28</v>
      </c>
      <c r="N2752" s="8">
        <v>44812</v>
      </c>
      <c r="O2752" s="9" t="s">
        <v>52</v>
      </c>
      <c r="P2752" s="12" t="s">
        <v>1880</v>
      </c>
      <c r="Q2752" s="9" t="s">
        <v>114</v>
      </c>
      <c r="R2752" s="14" t="str">
        <f>HYPERLINK("https://my.pitchbook.com?c=206983-27T","View Company Online")</f>
        <v>View Company Online</v>
      </c>
    </row>
    <row r="2753" spans="1:18" hidden="1" x14ac:dyDescent="0.3">
      <c r="A2753" s="15" t="s">
        <v>9318</v>
      </c>
      <c r="B2753" s="15" t="s">
        <v>9319</v>
      </c>
      <c r="C2753" s="18" t="s">
        <v>28</v>
      </c>
      <c r="D2753" s="15" t="s">
        <v>9320</v>
      </c>
      <c r="E2753" s="18" t="s">
        <v>28</v>
      </c>
      <c r="F2753" s="19" t="s">
        <v>28</v>
      </c>
      <c r="G2753" s="19" t="s">
        <v>28</v>
      </c>
      <c r="H2753" s="19" t="s">
        <v>28</v>
      </c>
      <c r="I2753" s="18" t="s">
        <v>28</v>
      </c>
      <c r="J2753" s="18" t="s">
        <v>28</v>
      </c>
      <c r="K2753" s="18" t="s">
        <v>28</v>
      </c>
      <c r="L2753" s="18" t="s">
        <v>28</v>
      </c>
      <c r="M2753" s="18" t="s">
        <v>28</v>
      </c>
      <c r="N2753" s="17">
        <v>44812</v>
      </c>
      <c r="O2753" s="15" t="s">
        <v>79</v>
      </c>
      <c r="P2753" s="16" t="s">
        <v>104</v>
      </c>
      <c r="Q2753" s="15" t="s">
        <v>75</v>
      </c>
      <c r="R2753" s="13" t="str">
        <f>HYPERLINK("https://my.pitchbook.com?c=210817-27T","View Company Online")</f>
        <v>View Company Online</v>
      </c>
    </row>
    <row r="2754" spans="1:18" hidden="1" x14ac:dyDescent="0.3">
      <c r="A2754" s="9" t="s">
        <v>9321</v>
      </c>
      <c r="B2754" s="9" t="s">
        <v>9322</v>
      </c>
      <c r="C2754" s="11" t="s">
        <v>28</v>
      </c>
      <c r="D2754" s="9" t="s">
        <v>9323</v>
      </c>
      <c r="E2754" s="11" t="s">
        <v>28</v>
      </c>
      <c r="F2754" s="10" t="s">
        <v>28</v>
      </c>
      <c r="G2754" s="10" t="s">
        <v>28</v>
      </c>
      <c r="H2754" s="10" t="s">
        <v>28</v>
      </c>
      <c r="I2754" s="11" t="s">
        <v>28</v>
      </c>
      <c r="J2754" s="11" t="s">
        <v>28</v>
      </c>
      <c r="K2754" s="11" t="s">
        <v>28</v>
      </c>
      <c r="L2754" s="11" t="s">
        <v>28</v>
      </c>
      <c r="M2754" s="11" t="s">
        <v>28</v>
      </c>
      <c r="N2754" s="8">
        <v>44812</v>
      </c>
      <c r="O2754" s="9" t="s">
        <v>30</v>
      </c>
      <c r="P2754" s="12" t="s">
        <v>2199</v>
      </c>
      <c r="Q2754" s="9" t="s">
        <v>75</v>
      </c>
      <c r="R2754" s="14" t="str">
        <f>HYPERLINK("https://my.pitchbook.com?c=225087-85T","View Company Online")</f>
        <v>View Company Online</v>
      </c>
    </row>
    <row r="2755" spans="1:18" hidden="1" x14ac:dyDescent="0.3">
      <c r="A2755" s="15" t="s">
        <v>9324</v>
      </c>
      <c r="B2755" s="15" t="s">
        <v>9325</v>
      </c>
      <c r="C2755" s="18" t="s">
        <v>28</v>
      </c>
      <c r="D2755" s="15" t="s">
        <v>9326</v>
      </c>
      <c r="E2755" s="18" t="s">
        <v>28</v>
      </c>
      <c r="F2755" s="19" t="s">
        <v>28</v>
      </c>
      <c r="G2755" s="19" t="s">
        <v>28</v>
      </c>
      <c r="H2755" s="19" t="s">
        <v>28</v>
      </c>
      <c r="I2755" s="18" t="s">
        <v>28</v>
      </c>
      <c r="J2755" s="18" t="s">
        <v>28</v>
      </c>
      <c r="K2755" s="18" t="s">
        <v>28</v>
      </c>
      <c r="L2755" s="18" t="s">
        <v>28</v>
      </c>
      <c r="M2755" s="18" t="s">
        <v>28</v>
      </c>
      <c r="N2755" s="17">
        <v>44812</v>
      </c>
      <c r="O2755" s="15" t="s">
        <v>52</v>
      </c>
      <c r="P2755" s="16" t="s">
        <v>1880</v>
      </c>
      <c r="Q2755" s="15" t="s">
        <v>54</v>
      </c>
      <c r="R2755" s="13" t="str">
        <f>HYPERLINK("https://my.pitchbook.com?c=206990-92T","View Company Online")</f>
        <v>View Company Online</v>
      </c>
    </row>
    <row r="2756" spans="1:18" hidden="1" x14ac:dyDescent="0.3">
      <c r="A2756" s="9" t="s">
        <v>9327</v>
      </c>
      <c r="B2756" s="9" t="s">
        <v>7263</v>
      </c>
      <c r="C2756" s="11" t="s">
        <v>28</v>
      </c>
      <c r="D2756" s="9" t="s">
        <v>7264</v>
      </c>
      <c r="E2756" s="11" t="s">
        <v>28</v>
      </c>
      <c r="F2756" s="10" t="s">
        <v>28</v>
      </c>
      <c r="G2756" s="10" t="s">
        <v>28</v>
      </c>
      <c r="H2756" s="10" t="s">
        <v>28</v>
      </c>
      <c r="I2756" s="11" t="s">
        <v>28</v>
      </c>
      <c r="J2756" s="11" t="s">
        <v>28</v>
      </c>
      <c r="K2756" s="11" t="s">
        <v>28</v>
      </c>
      <c r="L2756" s="11" t="s">
        <v>28</v>
      </c>
      <c r="M2756" s="11" t="s">
        <v>28</v>
      </c>
      <c r="N2756" s="8">
        <v>44812</v>
      </c>
      <c r="O2756" s="9" t="s">
        <v>52</v>
      </c>
      <c r="P2756" s="12" t="s">
        <v>1880</v>
      </c>
      <c r="Q2756" s="9" t="s">
        <v>1035</v>
      </c>
      <c r="R2756" s="14" t="str">
        <f>HYPERLINK("https://my.pitchbook.com?c=206997-76T","View Company Online")</f>
        <v>View Company Online</v>
      </c>
    </row>
    <row r="2757" spans="1:18" hidden="1" x14ac:dyDescent="0.3">
      <c r="A2757" s="15" t="s">
        <v>9328</v>
      </c>
      <c r="B2757" s="15" t="s">
        <v>9329</v>
      </c>
      <c r="C2757" s="18" t="s">
        <v>28</v>
      </c>
      <c r="D2757" s="15" t="s">
        <v>9330</v>
      </c>
      <c r="E2757" s="18" t="s">
        <v>28</v>
      </c>
      <c r="F2757" s="19" t="s">
        <v>28</v>
      </c>
      <c r="G2757" s="19" t="s">
        <v>28</v>
      </c>
      <c r="H2757" s="19" t="s">
        <v>28</v>
      </c>
      <c r="I2757" s="18" t="s">
        <v>28</v>
      </c>
      <c r="J2757" s="18" t="s">
        <v>28</v>
      </c>
      <c r="K2757" s="18" t="s">
        <v>28</v>
      </c>
      <c r="L2757" s="18" t="s">
        <v>28</v>
      </c>
      <c r="M2757" s="18" t="s">
        <v>28</v>
      </c>
      <c r="N2757" s="17">
        <v>44812</v>
      </c>
      <c r="O2757" s="15" t="s">
        <v>30</v>
      </c>
      <c r="P2757" s="16" t="s">
        <v>9331</v>
      </c>
      <c r="Q2757" s="15" t="s">
        <v>114</v>
      </c>
      <c r="R2757" s="13" t="str">
        <f>HYPERLINK("https://my.pitchbook.com?c=219377-71T","View Company Online")</f>
        <v>View Company Online</v>
      </c>
    </row>
    <row r="2758" spans="1:18" hidden="1" x14ac:dyDescent="0.3">
      <c r="A2758" s="9" t="s">
        <v>9332</v>
      </c>
      <c r="B2758" s="9" t="s">
        <v>6535</v>
      </c>
      <c r="C2758" s="11" t="s">
        <v>28</v>
      </c>
      <c r="D2758" s="9" t="s">
        <v>6536</v>
      </c>
      <c r="E2758" s="11" t="s">
        <v>28</v>
      </c>
      <c r="F2758" s="10" t="s">
        <v>28</v>
      </c>
      <c r="G2758" s="10" t="s">
        <v>28</v>
      </c>
      <c r="H2758" s="10" t="s">
        <v>28</v>
      </c>
      <c r="I2758" s="11" t="s">
        <v>28</v>
      </c>
      <c r="J2758" s="11" t="s">
        <v>28</v>
      </c>
      <c r="K2758" s="11">
        <v>0.28999999999999998</v>
      </c>
      <c r="L2758" s="11" t="s">
        <v>28</v>
      </c>
      <c r="M2758" s="11" t="s">
        <v>28</v>
      </c>
      <c r="N2758" s="8">
        <v>44812</v>
      </c>
      <c r="O2758" s="9" t="s">
        <v>52</v>
      </c>
      <c r="P2758" s="12" t="s">
        <v>9333</v>
      </c>
      <c r="Q2758" s="9" t="s">
        <v>75</v>
      </c>
      <c r="R2758" s="14" t="str">
        <f>HYPERLINK("https://my.pitchbook.com?c=206155-00T","View Company Online")</f>
        <v>View Company Online</v>
      </c>
    </row>
    <row r="2759" spans="1:18" hidden="1" x14ac:dyDescent="0.3">
      <c r="A2759" s="15" t="s">
        <v>9334</v>
      </c>
      <c r="B2759" s="15" t="s">
        <v>1775</v>
      </c>
      <c r="C2759" s="18" t="s">
        <v>28</v>
      </c>
      <c r="D2759" s="15" t="s">
        <v>1776</v>
      </c>
      <c r="E2759" s="18" t="s">
        <v>28</v>
      </c>
      <c r="F2759" s="19" t="s">
        <v>28</v>
      </c>
      <c r="G2759" s="19" t="s">
        <v>28</v>
      </c>
      <c r="H2759" s="19" t="s">
        <v>28</v>
      </c>
      <c r="I2759" s="18" t="s">
        <v>28</v>
      </c>
      <c r="J2759" s="18" t="s">
        <v>28</v>
      </c>
      <c r="K2759" s="18" t="s">
        <v>28</v>
      </c>
      <c r="L2759" s="18" t="s">
        <v>28</v>
      </c>
      <c r="M2759" s="18" t="s">
        <v>28</v>
      </c>
      <c r="N2759" s="17">
        <v>44812</v>
      </c>
      <c r="O2759" s="15" t="s">
        <v>52</v>
      </c>
      <c r="P2759" s="16" t="s">
        <v>1880</v>
      </c>
      <c r="Q2759" s="15" t="s">
        <v>37</v>
      </c>
      <c r="R2759" s="13" t="str">
        <f>HYPERLINK("https://my.pitchbook.com?c=206984-71T","View Company Online")</f>
        <v>View Company Online</v>
      </c>
    </row>
    <row r="2760" spans="1:18" hidden="1" x14ac:dyDescent="0.3">
      <c r="A2760" s="9" t="s">
        <v>9335</v>
      </c>
      <c r="B2760" s="9" t="s">
        <v>9141</v>
      </c>
      <c r="C2760" s="11" t="s">
        <v>28</v>
      </c>
      <c r="D2760" s="9" t="s">
        <v>9142</v>
      </c>
      <c r="E2760" s="11" t="s">
        <v>28</v>
      </c>
      <c r="F2760" s="10" t="s">
        <v>28</v>
      </c>
      <c r="G2760" s="10" t="s">
        <v>28</v>
      </c>
      <c r="H2760" s="10" t="s">
        <v>28</v>
      </c>
      <c r="I2760" s="11" t="s">
        <v>28</v>
      </c>
      <c r="J2760" s="11" t="s">
        <v>28</v>
      </c>
      <c r="K2760" s="11" t="s">
        <v>28</v>
      </c>
      <c r="L2760" s="11" t="s">
        <v>28</v>
      </c>
      <c r="M2760" s="11" t="s">
        <v>28</v>
      </c>
      <c r="N2760" s="8">
        <v>44812</v>
      </c>
      <c r="O2760" s="9" t="s">
        <v>52</v>
      </c>
      <c r="P2760" s="12" t="s">
        <v>2498</v>
      </c>
      <c r="Q2760" s="9" t="s">
        <v>740</v>
      </c>
      <c r="R2760" s="14" t="str">
        <f>HYPERLINK("https://my.pitchbook.com?c=206965-81T","View Company Online")</f>
        <v>View Company Online</v>
      </c>
    </row>
    <row r="2761" spans="1:18" hidden="1" x14ac:dyDescent="0.3">
      <c r="A2761" s="15" t="s">
        <v>9336</v>
      </c>
      <c r="B2761" s="15" t="s">
        <v>5573</v>
      </c>
      <c r="C2761" s="18" t="s">
        <v>28</v>
      </c>
      <c r="D2761" s="15" t="s">
        <v>5574</v>
      </c>
      <c r="E2761" s="18" t="s">
        <v>28</v>
      </c>
      <c r="F2761" s="19" t="s">
        <v>28</v>
      </c>
      <c r="G2761" s="19" t="s">
        <v>28</v>
      </c>
      <c r="H2761" s="19" t="s">
        <v>28</v>
      </c>
      <c r="I2761" s="18" t="s">
        <v>28</v>
      </c>
      <c r="J2761" s="18" t="s">
        <v>28</v>
      </c>
      <c r="K2761" s="18">
        <v>0.39</v>
      </c>
      <c r="L2761" s="18" t="s">
        <v>28</v>
      </c>
      <c r="M2761" s="18" t="s">
        <v>28</v>
      </c>
      <c r="N2761" s="17">
        <v>44812</v>
      </c>
      <c r="O2761" s="15" t="s">
        <v>52</v>
      </c>
      <c r="P2761" s="16" t="s">
        <v>2498</v>
      </c>
      <c r="Q2761" s="15" t="s">
        <v>404</v>
      </c>
      <c r="R2761" s="13" t="str">
        <f>HYPERLINK("https://my.pitchbook.com?c=206988-85T","View Company Online")</f>
        <v>View Company Online</v>
      </c>
    </row>
    <row r="2762" spans="1:18" hidden="1" x14ac:dyDescent="0.3">
      <c r="A2762" s="9" t="s">
        <v>9337</v>
      </c>
      <c r="B2762" s="9" t="s">
        <v>9338</v>
      </c>
      <c r="C2762" s="11" t="s">
        <v>28</v>
      </c>
      <c r="D2762" s="9" t="s">
        <v>9339</v>
      </c>
      <c r="E2762" s="11" t="s">
        <v>28</v>
      </c>
      <c r="F2762" s="10" t="s">
        <v>28</v>
      </c>
      <c r="G2762" s="10" t="s">
        <v>28</v>
      </c>
      <c r="H2762" s="10" t="s">
        <v>28</v>
      </c>
      <c r="I2762" s="11" t="s">
        <v>28</v>
      </c>
      <c r="J2762" s="11" t="s">
        <v>28</v>
      </c>
      <c r="K2762" s="11" t="s">
        <v>28</v>
      </c>
      <c r="L2762" s="11" t="s">
        <v>28</v>
      </c>
      <c r="M2762" s="11" t="s">
        <v>28</v>
      </c>
      <c r="N2762" s="8">
        <v>44810</v>
      </c>
      <c r="O2762" s="9" t="s">
        <v>99</v>
      </c>
      <c r="P2762" s="12" t="s">
        <v>28</v>
      </c>
      <c r="Q2762" s="9" t="s">
        <v>75</v>
      </c>
      <c r="R2762" s="14" t="str">
        <f>HYPERLINK("https://my.pitchbook.com?c=203163-67T","View Company Online")</f>
        <v>View Company Online</v>
      </c>
    </row>
    <row r="2763" spans="1:18" hidden="1" x14ac:dyDescent="0.3">
      <c r="A2763" s="15" t="s">
        <v>9340</v>
      </c>
      <c r="B2763" s="15" t="s">
        <v>45</v>
      </c>
      <c r="C2763" s="18" t="s">
        <v>28</v>
      </c>
      <c r="D2763" s="15" t="s">
        <v>46</v>
      </c>
      <c r="E2763" s="18" t="s">
        <v>28</v>
      </c>
      <c r="F2763" s="19" t="s">
        <v>28</v>
      </c>
      <c r="G2763" s="19" t="s">
        <v>28</v>
      </c>
      <c r="H2763" s="19" t="s">
        <v>28</v>
      </c>
      <c r="I2763" s="18" t="s">
        <v>28</v>
      </c>
      <c r="J2763" s="18" t="s">
        <v>28</v>
      </c>
      <c r="K2763" s="18" t="s">
        <v>28</v>
      </c>
      <c r="L2763" s="18" t="s">
        <v>28</v>
      </c>
      <c r="M2763" s="18" t="s">
        <v>28</v>
      </c>
      <c r="N2763" s="17">
        <v>44810</v>
      </c>
      <c r="O2763" s="15" t="s">
        <v>52</v>
      </c>
      <c r="P2763" s="16" t="s">
        <v>521</v>
      </c>
      <c r="Q2763" s="15" t="s">
        <v>48</v>
      </c>
      <c r="R2763" s="13" t="str">
        <f>HYPERLINK("https://my.pitchbook.com?c=300003-67T","View Company Online")</f>
        <v>View Company Online</v>
      </c>
    </row>
    <row r="2764" spans="1:18" hidden="1" x14ac:dyDescent="0.3">
      <c r="A2764" s="9" t="s">
        <v>9341</v>
      </c>
      <c r="B2764" s="9" t="s">
        <v>3656</v>
      </c>
      <c r="C2764" s="11" t="s">
        <v>28</v>
      </c>
      <c r="D2764" s="9" t="s">
        <v>3657</v>
      </c>
      <c r="E2764" s="11" t="s">
        <v>28</v>
      </c>
      <c r="F2764" s="10" t="s">
        <v>28</v>
      </c>
      <c r="G2764" s="10" t="s">
        <v>28</v>
      </c>
      <c r="H2764" s="10" t="s">
        <v>28</v>
      </c>
      <c r="I2764" s="11" t="s">
        <v>28</v>
      </c>
      <c r="J2764" s="11" t="s">
        <v>28</v>
      </c>
      <c r="K2764" s="11" t="s">
        <v>28</v>
      </c>
      <c r="L2764" s="11" t="s">
        <v>28</v>
      </c>
      <c r="M2764" s="11" t="s">
        <v>28</v>
      </c>
      <c r="N2764" s="8">
        <v>44810</v>
      </c>
      <c r="O2764" s="9" t="s">
        <v>52</v>
      </c>
      <c r="P2764" s="12" t="s">
        <v>1199</v>
      </c>
      <c r="Q2764" s="9" t="s">
        <v>75</v>
      </c>
      <c r="R2764" s="14" t="str">
        <f>HYPERLINK("https://my.pitchbook.com?c=285505-12T","View Company Online")</f>
        <v>View Company Online</v>
      </c>
    </row>
    <row r="2765" spans="1:18" hidden="1" x14ac:dyDescent="0.3">
      <c r="A2765" s="15" t="s">
        <v>9342</v>
      </c>
      <c r="B2765" s="15" t="s">
        <v>6280</v>
      </c>
      <c r="C2765" s="18" t="s">
        <v>28</v>
      </c>
      <c r="D2765" s="15" t="s">
        <v>6281</v>
      </c>
      <c r="E2765" s="18" t="s">
        <v>28</v>
      </c>
      <c r="F2765" s="19" t="s">
        <v>28</v>
      </c>
      <c r="G2765" s="19">
        <v>0.68</v>
      </c>
      <c r="H2765" s="19" t="s">
        <v>28</v>
      </c>
      <c r="I2765" s="18" t="s">
        <v>28</v>
      </c>
      <c r="J2765" s="18" t="s">
        <v>28</v>
      </c>
      <c r="K2765" s="18" t="s">
        <v>28</v>
      </c>
      <c r="L2765" s="18" t="s">
        <v>28</v>
      </c>
      <c r="M2765" s="18" t="s">
        <v>28</v>
      </c>
      <c r="N2765" s="17">
        <v>44810</v>
      </c>
      <c r="O2765" s="15" t="s">
        <v>99</v>
      </c>
      <c r="P2765" s="16" t="s">
        <v>9343</v>
      </c>
      <c r="Q2765" s="15" t="s">
        <v>75</v>
      </c>
      <c r="R2765" s="13" t="str">
        <f>HYPERLINK("https://my.pitchbook.com?c=203156-29T","View Company Online")</f>
        <v>View Company Online</v>
      </c>
    </row>
    <row r="2766" spans="1:18" hidden="1" x14ac:dyDescent="0.3">
      <c r="A2766" s="9" t="s">
        <v>9344</v>
      </c>
      <c r="B2766" s="9" t="s">
        <v>6525</v>
      </c>
      <c r="C2766" s="11" t="s">
        <v>28</v>
      </c>
      <c r="D2766" s="9" t="s">
        <v>6526</v>
      </c>
      <c r="E2766" s="11" t="s">
        <v>28</v>
      </c>
      <c r="F2766" s="10" t="s">
        <v>28</v>
      </c>
      <c r="G2766" s="10">
        <v>2</v>
      </c>
      <c r="H2766" s="10">
        <v>30</v>
      </c>
      <c r="I2766" s="11">
        <v>0.03</v>
      </c>
      <c r="J2766" s="11">
        <v>1000</v>
      </c>
      <c r="K2766" s="11">
        <v>0.6</v>
      </c>
      <c r="L2766" s="11">
        <v>50</v>
      </c>
      <c r="M2766" s="11">
        <v>0.03</v>
      </c>
      <c r="N2766" s="8">
        <v>44808</v>
      </c>
      <c r="O2766" s="9" t="s">
        <v>99</v>
      </c>
      <c r="P2766" s="12" t="s">
        <v>9345</v>
      </c>
      <c r="Q2766" s="9" t="s">
        <v>263</v>
      </c>
      <c r="R2766" s="14" t="str">
        <f>HYPERLINK("https://my.pitchbook.com?c=202992-67T","View Company Online")</f>
        <v>View Company Online</v>
      </c>
    </row>
    <row r="2767" spans="1:18" hidden="1" x14ac:dyDescent="0.3">
      <c r="A2767" s="15" t="s">
        <v>9346</v>
      </c>
      <c r="B2767" s="15" t="s">
        <v>9347</v>
      </c>
      <c r="C2767" s="18" t="s">
        <v>28</v>
      </c>
      <c r="D2767" s="15" t="s">
        <v>9348</v>
      </c>
      <c r="E2767" s="18" t="s">
        <v>28</v>
      </c>
      <c r="F2767" s="19" t="s">
        <v>28</v>
      </c>
      <c r="G2767" s="19" t="s">
        <v>28</v>
      </c>
      <c r="H2767" s="19" t="s">
        <v>28</v>
      </c>
      <c r="I2767" s="18" t="s">
        <v>28</v>
      </c>
      <c r="J2767" s="18" t="s">
        <v>28</v>
      </c>
      <c r="K2767" s="18" t="s">
        <v>28</v>
      </c>
      <c r="L2767" s="18" t="s">
        <v>28</v>
      </c>
      <c r="M2767" s="18" t="s">
        <v>28</v>
      </c>
      <c r="N2767" s="17">
        <v>44807</v>
      </c>
      <c r="O2767" s="15" t="s">
        <v>41</v>
      </c>
      <c r="P2767" s="16" t="s">
        <v>9349</v>
      </c>
      <c r="Q2767" s="15" t="s">
        <v>75</v>
      </c>
      <c r="R2767" s="13" t="str">
        <f>HYPERLINK("https://my.pitchbook.com?c=258808-15T","View Company Online")</f>
        <v>View Company Online</v>
      </c>
    </row>
    <row r="2768" spans="1:18" hidden="1" x14ac:dyDescent="0.3">
      <c r="A2768" s="9" t="s">
        <v>9350</v>
      </c>
      <c r="B2768" s="9" t="s">
        <v>9351</v>
      </c>
      <c r="C2768" s="11" t="s">
        <v>28</v>
      </c>
      <c r="D2768" s="9" t="s">
        <v>9352</v>
      </c>
      <c r="E2768" s="11">
        <v>-395.16</v>
      </c>
      <c r="F2768" s="10" t="s">
        <v>28</v>
      </c>
      <c r="G2768" s="10">
        <v>228.9</v>
      </c>
      <c r="H2768" s="10" t="s">
        <v>28</v>
      </c>
      <c r="I2768" s="11">
        <v>-386.03</v>
      </c>
      <c r="J2768" s="11" t="s">
        <v>28</v>
      </c>
      <c r="K2768" s="11">
        <v>1051.1099999999999</v>
      </c>
      <c r="L2768" s="11" t="s">
        <v>28</v>
      </c>
      <c r="M2768" s="11">
        <v>-156.29</v>
      </c>
      <c r="N2768" s="8">
        <v>44806</v>
      </c>
      <c r="O2768" s="9" t="s">
        <v>159</v>
      </c>
      <c r="P2768" s="12" t="s">
        <v>28</v>
      </c>
      <c r="Q2768" s="9" t="s">
        <v>9353</v>
      </c>
      <c r="R2768" s="14" t="str">
        <f>HYPERLINK("https://my.pitchbook.com?c=287390-98T","View Company Online")</f>
        <v>View Company Online</v>
      </c>
    </row>
    <row r="2769" spans="1:18" hidden="1" x14ac:dyDescent="0.3">
      <c r="A2769" s="15" t="s">
        <v>9354</v>
      </c>
      <c r="B2769" s="15" t="s">
        <v>9355</v>
      </c>
      <c r="C2769" s="18" t="s">
        <v>28</v>
      </c>
      <c r="D2769" s="15" t="s">
        <v>9356</v>
      </c>
      <c r="E2769" s="18" t="s">
        <v>28</v>
      </c>
      <c r="F2769" s="19">
        <v>3.5</v>
      </c>
      <c r="G2769" s="19">
        <v>3.5</v>
      </c>
      <c r="H2769" s="19">
        <v>3.5</v>
      </c>
      <c r="I2769" s="18" t="s">
        <v>28</v>
      </c>
      <c r="J2769" s="18" t="s">
        <v>28</v>
      </c>
      <c r="K2769" s="18" t="s">
        <v>28</v>
      </c>
      <c r="L2769" s="18" t="s">
        <v>28</v>
      </c>
      <c r="M2769" s="18" t="s">
        <v>28</v>
      </c>
      <c r="N2769" s="17">
        <v>44806</v>
      </c>
      <c r="O2769" s="15" t="s">
        <v>30</v>
      </c>
      <c r="P2769" s="16" t="s">
        <v>28</v>
      </c>
      <c r="Q2769" s="15" t="s">
        <v>75</v>
      </c>
      <c r="R2769" s="13" t="str">
        <f>HYPERLINK("https://my.pitchbook.com?c=211182-04T","View Company Online")</f>
        <v>View Company Online</v>
      </c>
    </row>
    <row r="2770" spans="1:18" hidden="1" x14ac:dyDescent="0.3">
      <c r="A2770" s="9" t="s">
        <v>9357</v>
      </c>
      <c r="B2770" s="9" t="s">
        <v>9358</v>
      </c>
      <c r="C2770" s="11" t="s">
        <v>28</v>
      </c>
      <c r="D2770" s="9" t="s">
        <v>9359</v>
      </c>
      <c r="E2770" s="11" t="s">
        <v>28</v>
      </c>
      <c r="F2770" s="10">
        <v>3.04</v>
      </c>
      <c r="G2770" s="10">
        <v>3.04</v>
      </c>
      <c r="H2770" s="10">
        <v>3.04</v>
      </c>
      <c r="I2770" s="11" t="s">
        <v>28</v>
      </c>
      <c r="J2770" s="11" t="s">
        <v>28</v>
      </c>
      <c r="K2770" s="11" t="s">
        <v>28</v>
      </c>
      <c r="L2770" s="11" t="s">
        <v>28</v>
      </c>
      <c r="M2770" s="11" t="s">
        <v>28</v>
      </c>
      <c r="N2770" s="8">
        <v>44806</v>
      </c>
      <c r="O2770" s="9" t="s">
        <v>30</v>
      </c>
      <c r="P2770" s="12" t="s">
        <v>9360</v>
      </c>
      <c r="Q2770" s="9" t="s">
        <v>245</v>
      </c>
      <c r="R2770" s="14" t="str">
        <f>HYPERLINK("https://my.pitchbook.com?c=203241-97T","View Company Online")</f>
        <v>View Company Online</v>
      </c>
    </row>
    <row r="2771" spans="1:18" hidden="1" x14ac:dyDescent="0.3">
      <c r="A2771" s="15" t="s">
        <v>9361</v>
      </c>
      <c r="B2771" s="15" t="s">
        <v>9362</v>
      </c>
      <c r="C2771" s="18" t="s">
        <v>28</v>
      </c>
      <c r="D2771" s="15" t="s">
        <v>9363</v>
      </c>
      <c r="E2771" s="18" t="s">
        <v>28</v>
      </c>
      <c r="F2771" s="19">
        <v>0.57999999999999996</v>
      </c>
      <c r="G2771" s="19">
        <v>0.57999999999999996</v>
      </c>
      <c r="H2771" s="19">
        <v>0.57999999999999996</v>
      </c>
      <c r="I2771" s="18" t="s">
        <v>28</v>
      </c>
      <c r="J2771" s="18" t="s">
        <v>28</v>
      </c>
      <c r="K2771" s="18" t="s">
        <v>28</v>
      </c>
      <c r="L2771" s="18" t="s">
        <v>28</v>
      </c>
      <c r="M2771" s="18" t="s">
        <v>28</v>
      </c>
      <c r="N2771" s="17">
        <v>44806</v>
      </c>
      <c r="O2771" s="15" t="s">
        <v>30</v>
      </c>
      <c r="P2771" s="16" t="s">
        <v>9364</v>
      </c>
      <c r="Q2771" s="15" t="s">
        <v>43</v>
      </c>
      <c r="R2771" s="13" t="str">
        <f>HYPERLINK("https://my.pitchbook.com?c=209506-78T","View Company Online")</f>
        <v>View Company Online</v>
      </c>
    </row>
    <row r="2772" spans="1:18" x14ac:dyDescent="0.3">
      <c r="A2772" s="9" t="s">
        <v>9365</v>
      </c>
      <c r="B2772" s="9" t="s">
        <v>9366</v>
      </c>
      <c r="C2772" s="11" t="s">
        <v>28</v>
      </c>
      <c r="D2772" s="9" t="s">
        <v>9367</v>
      </c>
      <c r="E2772" s="11" t="s">
        <v>28</v>
      </c>
      <c r="F2772" s="10">
        <v>194.44</v>
      </c>
      <c r="G2772" s="10">
        <v>136.11000000000001</v>
      </c>
      <c r="H2772" s="10">
        <v>194.44</v>
      </c>
      <c r="I2772" s="11">
        <v>-6.25</v>
      </c>
      <c r="J2772" s="11">
        <v>-31.1</v>
      </c>
      <c r="K2772" s="11">
        <v>9.8000000000000007</v>
      </c>
      <c r="L2772" s="11">
        <v>19.850000000000001</v>
      </c>
      <c r="M2772" s="11">
        <v>-17.05</v>
      </c>
      <c r="N2772" s="8">
        <v>44806</v>
      </c>
      <c r="O2772" s="9" t="s">
        <v>41</v>
      </c>
      <c r="P2772" s="12" t="s">
        <v>9368</v>
      </c>
      <c r="Q2772" s="9" t="s">
        <v>566</v>
      </c>
      <c r="R2772" s="14" t="str">
        <f>HYPERLINK("https://my.pitchbook.com?c=189006-49T","View Company Online")</f>
        <v>View Company Online</v>
      </c>
    </row>
    <row r="2773" spans="1:18" hidden="1" x14ac:dyDescent="0.3">
      <c r="A2773" s="15" t="s">
        <v>9369</v>
      </c>
      <c r="B2773" s="15" t="s">
        <v>9370</v>
      </c>
      <c r="C2773" s="18" t="s">
        <v>28</v>
      </c>
      <c r="D2773" s="15" t="s">
        <v>9371</v>
      </c>
      <c r="E2773" s="18" t="s">
        <v>28</v>
      </c>
      <c r="F2773" s="19" t="s">
        <v>28</v>
      </c>
      <c r="G2773" s="19">
        <v>0.06</v>
      </c>
      <c r="H2773" s="19" t="s">
        <v>28</v>
      </c>
      <c r="I2773" s="18" t="s">
        <v>28</v>
      </c>
      <c r="J2773" s="18" t="s">
        <v>28</v>
      </c>
      <c r="K2773" s="18" t="s">
        <v>28</v>
      </c>
      <c r="L2773" s="18" t="s">
        <v>28</v>
      </c>
      <c r="M2773" s="18" t="s">
        <v>28</v>
      </c>
      <c r="N2773" s="17">
        <v>44805</v>
      </c>
      <c r="O2773" s="15" t="s">
        <v>52</v>
      </c>
      <c r="P2773" s="16" t="s">
        <v>2667</v>
      </c>
      <c r="Q2773" s="15" t="s">
        <v>75</v>
      </c>
      <c r="R2773" s="13" t="str">
        <f>HYPERLINK("https://my.pitchbook.com?c=199275-58T","View Company Online")</f>
        <v>View Company Online</v>
      </c>
    </row>
    <row r="2774" spans="1:18" hidden="1" x14ac:dyDescent="0.3">
      <c r="A2774" s="9" t="s">
        <v>9372</v>
      </c>
      <c r="B2774" s="9" t="s">
        <v>811</v>
      </c>
      <c r="C2774" s="11" t="s">
        <v>28</v>
      </c>
      <c r="D2774" s="9" t="s">
        <v>812</v>
      </c>
      <c r="E2774" s="11">
        <v>10.74</v>
      </c>
      <c r="F2774" s="10" t="s">
        <v>28</v>
      </c>
      <c r="G2774" s="10" t="s">
        <v>28</v>
      </c>
      <c r="H2774" s="10" t="s">
        <v>28</v>
      </c>
      <c r="I2774" s="11">
        <v>106.37</v>
      </c>
      <c r="J2774" s="11" t="s">
        <v>28</v>
      </c>
      <c r="K2774" s="11">
        <v>513.35</v>
      </c>
      <c r="L2774" s="11" t="s">
        <v>28</v>
      </c>
      <c r="M2774" s="11">
        <v>72.08</v>
      </c>
      <c r="N2774" s="8">
        <v>44805</v>
      </c>
      <c r="O2774" s="9" t="s">
        <v>159</v>
      </c>
      <c r="P2774" s="12" t="s">
        <v>9373</v>
      </c>
      <c r="Q2774" s="9" t="s">
        <v>226</v>
      </c>
      <c r="R2774" s="14" t="str">
        <f>HYPERLINK("https://my.pitchbook.com?c=259515-01T","View Company Online")</f>
        <v>View Company Online</v>
      </c>
    </row>
    <row r="2775" spans="1:18" hidden="1" x14ac:dyDescent="0.3">
      <c r="A2775" s="15" t="s">
        <v>9374</v>
      </c>
      <c r="B2775" s="15" t="s">
        <v>1952</v>
      </c>
      <c r="C2775" s="18" t="s">
        <v>28</v>
      </c>
      <c r="D2775" s="15" t="s">
        <v>1953</v>
      </c>
      <c r="E2775" s="18" t="s">
        <v>28</v>
      </c>
      <c r="F2775" s="19" t="s">
        <v>28</v>
      </c>
      <c r="G2775" s="19">
        <v>0.19</v>
      </c>
      <c r="H2775" s="19" t="s">
        <v>28</v>
      </c>
      <c r="I2775" s="18" t="s">
        <v>28</v>
      </c>
      <c r="J2775" s="18" t="s">
        <v>28</v>
      </c>
      <c r="K2775" s="18" t="s">
        <v>28</v>
      </c>
      <c r="L2775" s="18" t="s">
        <v>28</v>
      </c>
      <c r="M2775" s="18" t="s">
        <v>28</v>
      </c>
      <c r="N2775" s="17">
        <v>44805</v>
      </c>
      <c r="O2775" s="15" t="s">
        <v>73</v>
      </c>
      <c r="P2775" s="16" t="s">
        <v>9375</v>
      </c>
      <c r="Q2775" s="15" t="s">
        <v>75</v>
      </c>
      <c r="R2775" s="13" t="str">
        <f>HYPERLINK("https://my.pitchbook.com?c=194432-41T","View Company Online")</f>
        <v>View Company Online</v>
      </c>
    </row>
    <row r="2776" spans="1:18" hidden="1" x14ac:dyDescent="0.3">
      <c r="A2776" s="9" t="s">
        <v>9376</v>
      </c>
      <c r="B2776" s="9" t="s">
        <v>9377</v>
      </c>
      <c r="C2776" s="11" t="s">
        <v>28</v>
      </c>
      <c r="D2776" s="9" t="s">
        <v>9378</v>
      </c>
      <c r="E2776" s="11" t="s">
        <v>28</v>
      </c>
      <c r="F2776" s="10" t="s">
        <v>28</v>
      </c>
      <c r="G2776" s="10" t="s">
        <v>28</v>
      </c>
      <c r="H2776" s="10" t="s">
        <v>28</v>
      </c>
      <c r="I2776" s="11" t="s">
        <v>28</v>
      </c>
      <c r="J2776" s="11" t="s">
        <v>28</v>
      </c>
      <c r="K2776" s="11" t="s">
        <v>28</v>
      </c>
      <c r="L2776" s="11" t="s">
        <v>28</v>
      </c>
      <c r="M2776" s="11" t="s">
        <v>28</v>
      </c>
      <c r="N2776" s="8">
        <v>44805</v>
      </c>
      <c r="O2776" s="9" t="s">
        <v>93</v>
      </c>
      <c r="P2776" s="12" t="s">
        <v>9379</v>
      </c>
      <c r="Q2776" s="9" t="s">
        <v>1007</v>
      </c>
      <c r="R2776" s="14" t="str">
        <f>HYPERLINK("https://my.pitchbook.com?c=204501-79T","View Company Online")</f>
        <v>View Company Online</v>
      </c>
    </row>
    <row r="2777" spans="1:18" hidden="1" x14ac:dyDescent="0.3">
      <c r="A2777" s="15" t="s">
        <v>9380</v>
      </c>
      <c r="B2777" s="15" t="s">
        <v>9381</v>
      </c>
      <c r="C2777" s="18" t="s">
        <v>28</v>
      </c>
      <c r="D2777" s="15" t="s">
        <v>9382</v>
      </c>
      <c r="E2777" s="18" t="s">
        <v>28</v>
      </c>
      <c r="F2777" s="19" t="s">
        <v>28</v>
      </c>
      <c r="G2777" s="19" t="s">
        <v>28</v>
      </c>
      <c r="H2777" s="19" t="s">
        <v>28</v>
      </c>
      <c r="I2777" s="18" t="s">
        <v>28</v>
      </c>
      <c r="J2777" s="18" t="s">
        <v>28</v>
      </c>
      <c r="K2777" s="18" t="s">
        <v>28</v>
      </c>
      <c r="L2777" s="18" t="s">
        <v>28</v>
      </c>
      <c r="M2777" s="18" t="s">
        <v>28</v>
      </c>
      <c r="N2777" s="17">
        <v>44805</v>
      </c>
      <c r="O2777" s="15" t="s">
        <v>52</v>
      </c>
      <c r="P2777" s="16" t="s">
        <v>9383</v>
      </c>
      <c r="Q2777" s="15" t="s">
        <v>1007</v>
      </c>
      <c r="R2777" s="13" t="str">
        <f>HYPERLINK("https://my.pitchbook.com?c=259536-79T","View Company Online")</f>
        <v>View Company Online</v>
      </c>
    </row>
    <row r="2778" spans="1:18" hidden="1" x14ac:dyDescent="0.3">
      <c r="A2778" s="9" t="s">
        <v>9384</v>
      </c>
      <c r="B2778" s="9" t="s">
        <v>7660</v>
      </c>
      <c r="C2778" s="11" t="s">
        <v>28</v>
      </c>
      <c r="D2778" s="9" t="s">
        <v>7661</v>
      </c>
      <c r="E2778" s="11" t="s">
        <v>28</v>
      </c>
      <c r="F2778" s="10" t="s">
        <v>28</v>
      </c>
      <c r="G2778" s="10" t="s">
        <v>28</v>
      </c>
      <c r="H2778" s="10" t="s">
        <v>28</v>
      </c>
      <c r="I2778" s="11" t="s">
        <v>28</v>
      </c>
      <c r="J2778" s="11" t="s">
        <v>28</v>
      </c>
      <c r="K2778" s="11" t="s">
        <v>28</v>
      </c>
      <c r="L2778" s="11" t="s">
        <v>28</v>
      </c>
      <c r="M2778" s="11" t="s">
        <v>28</v>
      </c>
      <c r="N2778" s="8">
        <v>44805</v>
      </c>
      <c r="O2778" s="9" t="s">
        <v>52</v>
      </c>
      <c r="P2778" s="12" t="s">
        <v>611</v>
      </c>
      <c r="Q2778" s="9" t="s">
        <v>75</v>
      </c>
      <c r="R2778" s="14" t="str">
        <f>HYPERLINK("https://my.pitchbook.com?c=199280-26T","View Company Online")</f>
        <v>View Company Online</v>
      </c>
    </row>
    <row r="2779" spans="1:18" hidden="1" x14ac:dyDescent="0.3">
      <c r="A2779" s="15" t="s">
        <v>9385</v>
      </c>
      <c r="B2779" s="15" t="s">
        <v>1025</v>
      </c>
      <c r="C2779" s="18" t="s">
        <v>28</v>
      </c>
      <c r="D2779" s="15" t="s">
        <v>1026</v>
      </c>
      <c r="E2779" s="18" t="s">
        <v>28</v>
      </c>
      <c r="F2779" s="19" t="s">
        <v>28</v>
      </c>
      <c r="G2779" s="19">
        <v>0.23</v>
      </c>
      <c r="H2779" s="19" t="s">
        <v>28</v>
      </c>
      <c r="I2779" s="18" t="s">
        <v>28</v>
      </c>
      <c r="J2779" s="18" t="s">
        <v>28</v>
      </c>
      <c r="K2779" s="18" t="s">
        <v>28</v>
      </c>
      <c r="L2779" s="18" t="s">
        <v>28</v>
      </c>
      <c r="M2779" s="18" t="s">
        <v>28</v>
      </c>
      <c r="N2779" s="17">
        <v>44805</v>
      </c>
      <c r="O2779" s="15" t="s">
        <v>99</v>
      </c>
      <c r="P2779" s="16" t="s">
        <v>9386</v>
      </c>
      <c r="Q2779" s="15" t="s">
        <v>37</v>
      </c>
      <c r="R2779" s="13" t="str">
        <f>HYPERLINK("https://my.pitchbook.com?c=194348-89T","View Company Online")</f>
        <v>View Company Online</v>
      </c>
    </row>
    <row r="2780" spans="1:18" hidden="1" x14ac:dyDescent="0.3">
      <c r="A2780" s="9" t="s">
        <v>9387</v>
      </c>
      <c r="B2780" s="9" t="s">
        <v>9388</v>
      </c>
      <c r="C2780" s="11" t="s">
        <v>28</v>
      </c>
      <c r="D2780" s="9" t="s">
        <v>9389</v>
      </c>
      <c r="E2780" s="11" t="s">
        <v>28</v>
      </c>
      <c r="F2780" s="10" t="s">
        <v>28</v>
      </c>
      <c r="G2780" s="10" t="s">
        <v>28</v>
      </c>
      <c r="H2780" s="10" t="s">
        <v>28</v>
      </c>
      <c r="I2780" s="11" t="s">
        <v>28</v>
      </c>
      <c r="J2780" s="11" t="s">
        <v>28</v>
      </c>
      <c r="K2780" s="11" t="s">
        <v>28</v>
      </c>
      <c r="L2780" s="11" t="s">
        <v>28</v>
      </c>
      <c r="M2780" s="11" t="s">
        <v>28</v>
      </c>
      <c r="N2780" s="8">
        <v>44805</v>
      </c>
      <c r="O2780" s="9" t="s">
        <v>93</v>
      </c>
      <c r="P2780" s="12" t="s">
        <v>28</v>
      </c>
      <c r="Q2780" s="9" t="s">
        <v>43</v>
      </c>
      <c r="R2780" s="14" t="str">
        <f>HYPERLINK("https://my.pitchbook.com?c=204607-63T","View Company Online")</f>
        <v>View Company Online</v>
      </c>
    </row>
    <row r="2781" spans="1:18" hidden="1" x14ac:dyDescent="0.3">
      <c r="A2781" s="15" t="s">
        <v>9390</v>
      </c>
      <c r="B2781" s="15" t="s">
        <v>9391</v>
      </c>
      <c r="C2781" s="18" t="s">
        <v>28</v>
      </c>
      <c r="D2781" s="15" t="s">
        <v>9392</v>
      </c>
      <c r="E2781" s="18" t="s">
        <v>28</v>
      </c>
      <c r="F2781" s="19" t="s">
        <v>28</v>
      </c>
      <c r="G2781" s="19" t="s">
        <v>28</v>
      </c>
      <c r="H2781" s="19" t="s">
        <v>28</v>
      </c>
      <c r="I2781" s="18" t="s">
        <v>28</v>
      </c>
      <c r="J2781" s="18" t="s">
        <v>28</v>
      </c>
      <c r="K2781" s="18" t="s">
        <v>28</v>
      </c>
      <c r="L2781" s="18" t="s">
        <v>28</v>
      </c>
      <c r="M2781" s="18" t="s">
        <v>28</v>
      </c>
      <c r="N2781" s="17">
        <v>44805</v>
      </c>
      <c r="O2781" s="15" t="s">
        <v>99</v>
      </c>
      <c r="P2781" s="16" t="s">
        <v>9393</v>
      </c>
      <c r="Q2781" s="15" t="s">
        <v>75</v>
      </c>
      <c r="R2781" s="13" t="str">
        <f>HYPERLINK("https://my.pitchbook.com?c=234032-95T","View Company Online")</f>
        <v>View Company Online</v>
      </c>
    </row>
    <row r="2782" spans="1:18" hidden="1" x14ac:dyDescent="0.3">
      <c r="A2782" s="9" t="s">
        <v>9394</v>
      </c>
      <c r="B2782" s="9" t="s">
        <v>9395</v>
      </c>
      <c r="C2782" s="11" t="s">
        <v>28</v>
      </c>
      <c r="D2782" s="9" t="s">
        <v>9396</v>
      </c>
      <c r="E2782" s="11" t="s">
        <v>28</v>
      </c>
      <c r="F2782" s="10" t="s">
        <v>28</v>
      </c>
      <c r="G2782" s="10" t="s">
        <v>28</v>
      </c>
      <c r="H2782" s="10" t="s">
        <v>28</v>
      </c>
      <c r="I2782" s="11" t="s">
        <v>28</v>
      </c>
      <c r="J2782" s="11" t="s">
        <v>28</v>
      </c>
      <c r="K2782" s="11" t="s">
        <v>28</v>
      </c>
      <c r="L2782" s="11" t="s">
        <v>28</v>
      </c>
      <c r="M2782" s="11" t="s">
        <v>28</v>
      </c>
      <c r="N2782" s="8">
        <v>44805</v>
      </c>
      <c r="O2782" s="9" t="s">
        <v>73</v>
      </c>
      <c r="P2782" s="12" t="s">
        <v>2667</v>
      </c>
      <c r="Q2782" s="9" t="s">
        <v>37</v>
      </c>
      <c r="R2782" s="14" t="str">
        <f>HYPERLINK("https://my.pitchbook.com?c=199281-88T","View Company Online")</f>
        <v>View Company Online</v>
      </c>
    </row>
    <row r="2783" spans="1:18" hidden="1" x14ac:dyDescent="0.3">
      <c r="A2783" s="15" t="s">
        <v>9397</v>
      </c>
      <c r="B2783" s="15" t="s">
        <v>7751</v>
      </c>
      <c r="C2783" s="18" t="s">
        <v>28</v>
      </c>
      <c r="D2783" s="15" t="s">
        <v>7752</v>
      </c>
      <c r="E2783" s="18" t="s">
        <v>28</v>
      </c>
      <c r="F2783" s="19" t="s">
        <v>28</v>
      </c>
      <c r="G2783" s="19" t="s">
        <v>28</v>
      </c>
      <c r="H2783" s="19" t="s">
        <v>28</v>
      </c>
      <c r="I2783" s="18" t="s">
        <v>28</v>
      </c>
      <c r="J2783" s="18" t="s">
        <v>28</v>
      </c>
      <c r="K2783" s="18" t="s">
        <v>28</v>
      </c>
      <c r="L2783" s="18" t="s">
        <v>28</v>
      </c>
      <c r="M2783" s="18" t="s">
        <v>28</v>
      </c>
      <c r="N2783" s="17">
        <v>44805</v>
      </c>
      <c r="O2783" s="15" t="s">
        <v>73</v>
      </c>
      <c r="P2783" s="16" t="s">
        <v>611</v>
      </c>
      <c r="Q2783" s="15" t="s">
        <v>583</v>
      </c>
      <c r="R2783" s="13" t="str">
        <f>HYPERLINK("https://my.pitchbook.com?c=199282-78T","View Company Online")</f>
        <v>View Company Online</v>
      </c>
    </row>
    <row r="2784" spans="1:18" hidden="1" x14ac:dyDescent="0.3">
      <c r="A2784" s="9" t="s">
        <v>9398</v>
      </c>
      <c r="B2784" s="9" t="s">
        <v>9399</v>
      </c>
      <c r="C2784" s="11" t="s">
        <v>28</v>
      </c>
      <c r="D2784" s="9" t="s">
        <v>9400</v>
      </c>
      <c r="E2784" s="11" t="s">
        <v>28</v>
      </c>
      <c r="F2784" s="10" t="s">
        <v>28</v>
      </c>
      <c r="G2784" s="10" t="s">
        <v>28</v>
      </c>
      <c r="H2784" s="10" t="s">
        <v>28</v>
      </c>
      <c r="I2784" s="11" t="s">
        <v>28</v>
      </c>
      <c r="J2784" s="11" t="s">
        <v>28</v>
      </c>
      <c r="K2784" s="11" t="s">
        <v>28</v>
      </c>
      <c r="L2784" s="11" t="s">
        <v>28</v>
      </c>
      <c r="M2784" s="11" t="s">
        <v>28</v>
      </c>
      <c r="N2784" s="8">
        <v>44805</v>
      </c>
      <c r="O2784" s="9" t="s">
        <v>30</v>
      </c>
      <c r="P2784" s="12" t="s">
        <v>9401</v>
      </c>
      <c r="Q2784" s="9" t="s">
        <v>43</v>
      </c>
      <c r="R2784" s="14" t="str">
        <f>HYPERLINK("https://my.pitchbook.com?c=203843-35T","View Company Online")</f>
        <v>View Company Online</v>
      </c>
    </row>
    <row r="2785" spans="1:18" hidden="1" x14ac:dyDescent="0.3">
      <c r="A2785" s="15" t="s">
        <v>9402</v>
      </c>
      <c r="B2785" s="15" t="s">
        <v>9403</v>
      </c>
      <c r="C2785" s="18" t="s">
        <v>28</v>
      </c>
      <c r="D2785" s="15" t="s">
        <v>9404</v>
      </c>
      <c r="E2785" s="18" t="s">
        <v>28</v>
      </c>
      <c r="F2785" s="19">
        <v>21.38</v>
      </c>
      <c r="G2785" s="19">
        <v>12.83</v>
      </c>
      <c r="H2785" s="19">
        <v>21.38</v>
      </c>
      <c r="I2785" s="18" t="s">
        <v>28</v>
      </c>
      <c r="J2785" s="18" t="s">
        <v>28</v>
      </c>
      <c r="K2785" s="18" t="s">
        <v>28</v>
      </c>
      <c r="L2785" s="18" t="s">
        <v>28</v>
      </c>
      <c r="M2785" s="18" t="s">
        <v>28</v>
      </c>
      <c r="N2785" s="17">
        <v>44805</v>
      </c>
      <c r="O2785" s="15" t="s">
        <v>30</v>
      </c>
      <c r="P2785" s="16" t="s">
        <v>4262</v>
      </c>
      <c r="Q2785" s="15" t="s">
        <v>75</v>
      </c>
      <c r="R2785" s="13" t="str">
        <f>HYPERLINK("https://my.pitchbook.com?c=202942-27T","View Company Online")</f>
        <v>View Company Online</v>
      </c>
    </row>
    <row r="2786" spans="1:18" hidden="1" x14ac:dyDescent="0.3">
      <c r="A2786" s="9" t="s">
        <v>9405</v>
      </c>
      <c r="B2786" s="9" t="s">
        <v>9406</v>
      </c>
      <c r="C2786" s="11" t="s">
        <v>28</v>
      </c>
      <c r="D2786" s="9" t="s">
        <v>9407</v>
      </c>
      <c r="E2786" s="11" t="s">
        <v>28</v>
      </c>
      <c r="F2786" s="10" t="s">
        <v>28</v>
      </c>
      <c r="G2786" s="10" t="s">
        <v>28</v>
      </c>
      <c r="H2786" s="10" t="s">
        <v>28</v>
      </c>
      <c r="I2786" s="11" t="s">
        <v>28</v>
      </c>
      <c r="J2786" s="11" t="s">
        <v>28</v>
      </c>
      <c r="K2786" s="11">
        <v>11.53</v>
      </c>
      <c r="L2786" s="11" t="s">
        <v>28</v>
      </c>
      <c r="M2786" s="11" t="s">
        <v>28</v>
      </c>
      <c r="N2786" s="8">
        <v>44805</v>
      </c>
      <c r="O2786" s="9" t="s">
        <v>93</v>
      </c>
      <c r="P2786" s="12" t="s">
        <v>9408</v>
      </c>
      <c r="Q2786" s="9" t="s">
        <v>37</v>
      </c>
      <c r="R2786" s="14" t="str">
        <f>HYPERLINK("https://my.pitchbook.com?c=205127-47T","View Company Online")</f>
        <v>View Company Online</v>
      </c>
    </row>
    <row r="2787" spans="1:18" hidden="1" x14ac:dyDescent="0.3">
      <c r="A2787" s="15" t="s">
        <v>9409</v>
      </c>
      <c r="B2787" s="15" t="s">
        <v>9410</v>
      </c>
      <c r="C2787" s="18" t="s">
        <v>28</v>
      </c>
      <c r="D2787" s="15" t="s">
        <v>9411</v>
      </c>
      <c r="E2787" s="18" t="s">
        <v>28</v>
      </c>
      <c r="F2787" s="19" t="s">
        <v>28</v>
      </c>
      <c r="G2787" s="19">
        <v>0.51</v>
      </c>
      <c r="H2787" s="19" t="s">
        <v>28</v>
      </c>
      <c r="I2787" s="18" t="s">
        <v>28</v>
      </c>
      <c r="J2787" s="18" t="s">
        <v>28</v>
      </c>
      <c r="K2787" s="18" t="s">
        <v>28</v>
      </c>
      <c r="L2787" s="18" t="s">
        <v>28</v>
      </c>
      <c r="M2787" s="18" t="s">
        <v>28</v>
      </c>
      <c r="N2787" s="17">
        <v>44805</v>
      </c>
      <c r="O2787" s="15" t="s">
        <v>99</v>
      </c>
      <c r="P2787" s="16" t="s">
        <v>9412</v>
      </c>
      <c r="Q2787" s="15" t="s">
        <v>75</v>
      </c>
      <c r="R2787" s="13" t="str">
        <f>HYPERLINK("https://my.pitchbook.com?c=205515-64T","View Company Online")</f>
        <v>View Company Online</v>
      </c>
    </row>
    <row r="2788" spans="1:18" hidden="1" x14ac:dyDescent="0.3">
      <c r="A2788" s="9" t="s">
        <v>9413</v>
      </c>
      <c r="B2788" s="9" t="s">
        <v>153</v>
      </c>
      <c r="C2788" s="11" t="s">
        <v>28</v>
      </c>
      <c r="D2788" s="9" t="s">
        <v>154</v>
      </c>
      <c r="E2788" s="11" t="s">
        <v>28</v>
      </c>
      <c r="F2788" s="10" t="s">
        <v>28</v>
      </c>
      <c r="G2788" s="10" t="s">
        <v>28</v>
      </c>
      <c r="H2788" s="10" t="s">
        <v>28</v>
      </c>
      <c r="I2788" s="11" t="s">
        <v>28</v>
      </c>
      <c r="J2788" s="11" t="s">
        <v>28</v>
      </c>
      <c r="K2788" s="11" t="s">
        <v>28</v>
      </c>
      <c r="L2788" s="11" t="s">
        <v>28</v>
      </c>
      <c r="M2788" s="11" t="s">
        <v>28</v>
      </c>
      <c r="N2788" s="8">
        <v>44805</v>
      </c>
      <c r="O2788" s="9" t="s">
        <v>73</v>
      </c>
      <c r="P2788" s="12" t="s">
        <v>611</v>
      </c>
      <c r="Q2788" s="9" t="s">
        <v>75</v>
      </c>
      <c r="R2788" s="14" t="str">
        <f>HYPERLINK("https://my.pitchbook.com?c=194457-88T","View Company Online")</f>
        <v>View Company Online</v>
      </c>
    </row>
    <row r="2789" spans="1:18" hidden="1" x14ac:dyDescent="0.3">
      <c r="A2789" s="15" t="s">
        <v>9414</v>
      </c>
      <c r="B2789" s="15" t="s">
        <v>9415</v>
      </c>
      <c r="C2789" s="18" t="s">
        <v>28</v>
      </c>
      <c r="D2789" s="15" t="s">
        <v>9416</v>
      </c>
      <c r="E2789" s="18" t="s">
        <v>28</v>
      </c>
      <c r="F2789" s="19" t="s">
        <v>28</v>
      </c>
      <c r="G2789" s="19" t="s">
        <v>28</v>
      </c>
      <c r="H2789" s="19" t="s">
        <v>28</v>
      </c>
      <c r="I2789" s="18" t="s">
        <v>28</v>
      </c>
      <c r="J2789" s="18" t="s">
        <v>28</v>
      </c>
      <c r="K2789" s="18" t="s">
        <v>28</v>
      </c>
      <c r="L2789" s="18" t="s">
        <v>28</v>
      </c>
      <c r="M2789" s="18" t="s">
        <v>28</v>
      </c>
      <c r="N2789" s="17">
        <v>44805</v>
      </c>
      <c r="O2789" s="15" t="s">
        <v>73</v>
      </c>
      <c r="P2789" s="16" t="s">
        <v>5187</v>
      </c>
      <c r="Q2789" s="15" t="s">
        <v>75</v>
      </c>
      <c r="R2789" s="13" t="str">
        <f>HYPERLINK("https://my.pitchbook.com?c=241753-96T","View Company Online")</f>
        <v>View Company Online</v>
      </c>
    </row>
    <row r="2790" spans="1:18" hidden="1" x14ac:dyDescent="0.3">
      <c r="A2790" s="9" t="s">
        <v>9417</v>
      </c>
      <c r="B2790" s="9" t="s">
        <v>9418</v>
      </c>
      <c r="C2790" s="11" t="s">
        <v>28</v>
      </c>
      <c r="D2790" s="9" t="s">
        <v>9419</v>
      </c>
      <c r="E2790" s="11" t="s">
        <v>28</v>
      </c>
      <c r="F2790" s="10" t="s">
        <v>28</v>
      </c>
      <c r="G2790" s="10" t="s">
        <v>28</v>
      </c>
      <c r="H2790" s="10" t="s">
        <v>28</v>
      </c>
      <c r="I2790" s="11" t="s">
        <v>28</v>
      </c>
      <c r="J2790" s="11" t="s">
        <v>28</v>
      </c>
      <c r="K2790" s="11" t="s">
        <v>28</v>
      </c>
      <c r="L2790" s="11" t="s">
        <v>28</v>
      </c>
      <c r="M2790" s="11" t="s">
        <v>28</v>
      </c>
      <c r="N2790" s="8">
        <v>44805</v>
      </c>
      <c r="O2790" s="9" t="s">
        <v>93</v>
      </c>
      <c r="P2790" s="12" t="s">
        <v>9420</v>
      </c>
      <c r="Q2790" s="9" t="s">
        <v>75</v>
      </c>
      <c r="R2790" s="14" t="str">
        <f>HYPERLINK("https://my.pitchbook.com?c=204959-44T","View Company Online")</f>
        <v>View Company Online</v>
      </c>
    </row>
    <row r="2791" spans="1:18" hidden="1" x14ac:dyDescent="0.3">
      <c r="A2791" s="15" t="s">
        <v>9421</v>
      </c>
      <c r="B2791" s="15" t="s">
        <v>9422</v>
      </c>
      <c r="C2791" s="18" t="s">
        <v>28</v>
      </c>
      <c r="D2791" s="15" t="s">
        <v>9423</v>
      </c>
      <c r="E2791" s="18" t="s">
        <v>28</v>
      </c>
      <c r="F2791" s="19" t="s">
        <v>28</v>
      </c>
      <c r="G2791" s="19">
        <v>0.03</v>
      </c>
      <c r="H2791" s="19" t="s">
        <v>28</v>
      </c>
      <c r="I2791" s="18" t="s">
        <v>28</v>
      </c>
      <c r="J2791" s="18" t="s">
        <v>28</v>
      </c>
      <c r="K2791" s="18" t="s">
        <v>28</v>
      </c>
      <c r="L2791" s="18" t="s">
        <v>28</v>
      </c>
      <c r="M2791" s="18" t="s">
        <v>28</v>
      </c>
      <c r="N2791" s="17">
        <v>44805</v>
      </c>
      <c r="O2791" s="15" t="s">
        <v>73</v>
      </c>
      <c r="P2791" s="16" t="s">
        <v>611</v>
      </c>
      <c r="Q2791" s="15" t="s">
        <v>114</v>
      </c>
      <c r="R2791" s="13" t="str">
        <f>HYPERLINK("https://my.pitchbook.com?c=220181-41T","View Company Online")</f>
        <v>View Company Online</v>
      </c>
    </row>
    <row r="2792" spans="1:18" hidden="1" x14ac:dyDescent="0.3">
      <c r="A2792" s="9" t="s">
        <v>9424</v>
      </c>
      <c r="B2792" s="9" t="s">
        <v>9425</v>
      </c>
      <c r="C2792" s="11" t="s">
        <v>28</v>
      </c>
      <c r="D2792" s="9" t="s">
        <v>9426</v>
      </c>
      <c r="E2792" s="11" t="s">
        <v>28</v>
      </c>
      <c r="F2792" s="10" t="s">
        <v>28</v>
      </c>
      <c r="G2792" s="10" t="s">
        <v>28</v>
      </c>
      <c r="H2792" s="10" t="s">
        <v>28</v>
      </c>
      <c r="I2792" s="11" t="s">
        <v>28</v>
      </c>
      <c r="J2792" s="11" t="s">
        <v>28</v>
      </c>
      <c r="K2792" s="11" t="s">
        <v>28</v>
      </c>
      <c r="L2792" s="11" t="s">
        <v>28</v>
      </c>
      <c r="M2792" s="11" t="s">
        <v>28</v>
      </c>
      <c r="N2792" s="8">
        <v>44805</v>
      </c>
      <c r="O2792" s="9" t="s">
        <v>73</v>
      </c>
      <c r="P2792" s="12" t="s">
        <v>611</v>
      </c>
      <c r="Q2792" s="9" t="s">
        <v>75</v>
      </c>
      <c r="R2792" s="14" t="str">
        <f>HYPERLINK("https://my.pitchbook.com?c=194459-95T","View Company Online")</f>
        <v>View Company Online</v>
      </c>
    </row>
    <row r="2793" spans="1:18" hidden="1" x14ac:dyDescent="0.3">
      <c r="A2793" s="15" t="s">
        <v>9427</v>
      </c>
      <c r="B2793" s="15" t="s">
        <v>9428</v>
      </c>
      <c r="C2793" s="18" t="s">
        <v>28</v>
      </c>
      <c r="D2793" s="15" t="s">
        <v>9429</v>
      </c>
      <c r="E2793" s="18" t="s">
        <v>28</v>
      </c>
      <c r="F2793" s="19" t="s">
        <v>28</v>
      </c>
      <c r="G2793" s="19" t="s">
        <v>28</v>
      </c>
      <c r="H2793" s="19" t="s">
        <v>28</v>
      </c>
      <c r="I2793" s="18" t="s">
        <v>28</v>
      </c>
      <c r="J2793" s="18" t="s">
        <v>28</v>
      </c>
      <c r="K2793" s="18" t="s">
        <v>28</v>
      </c>
      <c r="L2793" s="18" t="s">
        <v>28</v>
      </c>
      <c r="M2793" s="18" t="s">
        <v>28</v>
      </c>
      <c r="N2793" s="17">
        <v>44805</v>
      </c>
      <c r="O2793" s="15" t="s">
        <v>73</v>
      </c>
      <c r="P2793" s="16" t="s">
        <v>611</v>
      </c>
      <c r="Q2793" s="15" t="s">
        <v>95</v>
      </c>
      <c r="R2793" s="13" t="str">
        <f>HYPERLINK("https://my.pitchbook.com?c=215844-04T","View Company Online")</f>
        <v>View Company Online</v>
      </c>
    </row>
    <row r="2794" spans="1:18" hidden="1" x14ac:dyDescent="0.3">
      <c r="A2794" s="9" t="s">
        <v>9430</v>
      </c>
      <c r="B2794" s="9" t="s">
        <v>9431</v>
      </c>
      <c r="C2794" s="11" t="s">
        <v>28</v>
      </c>
      <c r="D2794" s="9" t="s">
        <v>9432</v>
      </c>
      <c r="E2794" s="11" t="s">
        <v>28</v>
      </c>
      <c r="F2794" s="10" t="s">
        <v>28</v>
      </c>
      <c r="G2794" s="10" t="s">
        <v>28</v>
      </c>
      <c r="H2794" s="10" t="s">
        <v>28</v>
      </c>
      <c r="I2794" s="11" t="s">
        <v>28</v>
      </c>
      <c r="J2794" s="11" t="s">
        <v>28</v>
      </c>
      <c r="K2794" s="11" t="s">
        <v>28</v>
      </c>
      <c r="L2794" s="11" t="s">
        <v>28</v>
      </c>
      <c r="M2794" s="11" t="s">
        <v>28</v>
      </c>
      <c r="N2794" s="8">
        <v>44805</v>
      </c>
      <c r="O2794" s="9" t="s">
        <v>73</v>
      </c>
      <c r="P2794" s="12" t="s">
        <v>9433</v>
      </c>
      <c r="Q2794" s="9" t="s">
        <v>75</v>
      </c>
      <c r="R2794" s="14" t="str">
        <f>HYPERLINK("https://my.pitchbook.com?c=204673-87T","View Company Online")</f>
        <v>View Company Online</v>
      </c>
    </row>
    <row r="2795" spans="1:18" hidden="1" x14ac:dyDescent="0.3">
      <c r="A2795" s="15" t="s">
        <v>9434</v>
      </c>
      <c r="B2795" s="15" t="s">
        <v>9435</v>
      </c>
      <c r="C2795" s="18" t="s">
        <v>28</v>
      </c>
      <c r="D2795" s="15" t="s">
        <v>9436</v>
      </c>
      <c r="E2795" s="18" t="s">
        <v>28</v>
      </c>
      <c r="F2795" s="19" t="s">
        <v>28</v>
      </c>
      <c r="G2795" s="19" t="s">
        <v>28</v>
      </c>
      <c r="H2795" s="19" t="s">
        <v>28</v>
      </c>
      <c r="I2795" s="18" t="s">
        <v>28</v>
      </c>
      <c r="J2795" s="18" t="s">
        <v>28</v>
      </c>
      <c r="K2795" s="18" t="s">
        <v>28</v>
      </c>
      <c r="L2795" s="18" t="s">
        <v>28</v>
      </c>
      <c r="M2795" s="18" t="s">
        <v>28</v>
      </c>
      <c r="N2795" s="17">
        <v>44805</v>
      </c>
      <c r="O2795" s="15" t="s">
        <v>30</v>
      </c>
      <c r="P2795" s="16" t="s">
        <v>28</v>
      </c>
      <c r="Q2795" s="15" t="s">
        <v>774</v>
      </c>
      <c r="R2795" s="13" t="str">
        <f>HYPERLINK("https://my.pitchbook.com?c=219021-76T","View Company Online")</f>
        <v>View Company Online</v>
      </c>
    </row>
    <row r="2796" spans="1:18" hidden="1" x14ac:dyDescent="0.3">
      <c r="A2796" s="9" t="s">
        <v>9437</v>
      </c>
      <c r="B2796" s="9" t="s">
        <v>9438</v>
      </c>
      <c r="C2796" s="11" t="s">
        <v>28</v>
      </c>
      <c r="D2796" s="9" t="s">
        <v>9439</v>
      </c>
      <c r="E2796" s="11" t="s">
        <v>28</v>
      </c>
      <c r="F2796" s="10" t="s">
        <v>28</v>
      </c>
      <c r="G2796" s="10" t="s">
        <v>28</v>
      </c>
      <c r="H2796" s="10" t="s">
        <v>28</v>
      </c>
      <c r="I2796" s="11" t="s">
        <v>28</v>
      </c>
      <c r="J2796" s="11" t="s">
        <v>28</v>
      </c>
      <c r="K2796" s="11" t="s">
        <v>28</v>
      </c>
      <c r="L2796" s="11" t="s">
        <v>28</v>
      </c>
      <c r="M2796" s="11" t="s">
        <v>28</v>
      </c>
      <c r="N2796" s="8">
        <v>44805</v>
      </c>
      <c r="O2796" s="9" t="s">
        <v>173</v>
      </c>
      <c r="P2796" s="12" t="s">
        <v>28</v>
      </c>
      <c r="Q2796" s="9" t="s">
        <v>174</v>
      </c>
      <c r="R2796" s="14" t="str">
        <f>HYPERLINK("https://my.pitchbook.com?c=234044-38T","View Company Online")</f>
        <v>View Company Online</v>
      </c>
    </row>
    <row r="2797" spans="1:18" hidden="1" x14ac:dyDescent="0.3">
      <c r="A2797" s="15" t="s">
        <v>9440</v>
      </c>
      <c r="B2797" s="15" t="s">
        <v>5573</v>
      </c>
      <c r="C2797" s="18" t="s">
        <v>28</v>
      </c>
      <c r="D2797" s="15" t="s">
        <v>5574</v>
      </c>
      <c r="E2797" s="18" t="s">
        <v>28</v>
      </c>
      <c r="F2797" s="19" t="s">
        <v>28</v>
      </c>
      <c r="G2797" s="19" t="s">
        <v>28</v>
      </c>
      <c r="H2797" s="19" t="s">
        <v>28</v>
      </c>
      <c r="I2797" s="18" t="s">
        <v>28</v>
      </c>
      <c r="J2797" s="18" t="s">
        <v>28</v>
      </c>
      <c r="K2797" s="18">
        <v>0.39</v>
      </c>
      <c r="L2797" s="18" t="s">
        <v>28</v>
      </c>
      <c r="M2797" s="18" t="s">
        <v>28</v>
      </c>
      <c r="N2797" s="17">
        <v>44805</v>
      </c>
      <c r="O2797" s="15" t="s">
        <v>99</v>
      </c>
      <c r="P2797" s="16" t="s">
        <v>9441</v>
      </c>
      <c r="Q2797" s="15" t="s">
        <v>404</v>
      </c>
      <c r="R2797" s="13" t="str">
        <f>HYPERLINK("https://my.pitchbook.com?c=211950-91T","View Company Online")</f>
        <v>View Company Online</v>
      </c>
    </row>
    <row r="2798" spans="1:18" hidden="1" x14ac:dyDescent="0.3">
      <c r="A2798" s="9" t="s">
        <v>9442</v>
      </c>
      <c r="B2798" s="9" t="s">
        <v>630</v>
      </c>
      <c r="C2798" s="11" t="s">
        <v>28</v>
      </c>
      <c r="D2798" s="9" t="s">
        <v>631</v>
      </c>
      <c r="E2798" s="11" t="s">
        <v>28</v>
      </c>
      <c r="F2798" s="10" t="s">
        <v>28</v>
      </c>
      <c r="G2798" s="10" t="s">
        <v>28</v>
      </c>
      <c r="H2798" s="10" t="s">
        <v>28</v>
      </c>
      <c r="I2798" s="11" t="s">
        <v>28</v>
      </c>
      <c r="J2798" s="11" t="s">
        <v>28</v>
      </c>
      <c r="K2798" s="11" t="s">
        <v>28</v>
      </c>
      <c r="L2798" s="11" t="s">
        <v>28</v>
      </c>
      <c r="M2798" s="11" t="s">
        <v>28</v>
      </c>
      <c r="N2798" s="8">
        <v>44805</v>
      </c>
      <c r="O2798" s="9" t="s">
        <v>73</v>
      </c>
      <c r="P2798" s="12" t="s">
        <v>611</v>
      </c>
      <c r="Q2798" s="9" t="s">
        <v>75</v>
      </c>
      <c r="R2798" s="14" t="str">
        <f>HYPERLINK("https://my.pitchbook.com?c=194471-47T","View Company Online")</f>
        <v>View Company Online</v>
      </c>
    </row>
    <row r="2799" spans="1:18" hidden="1" x14ac:dyDescent="0.3">
      <c r="A2799" s="15" t="s">
        <v>9443</v>
      </c>
      <c r="B2799" s="15" t="s">
        <v>9444</v>
      </c>
      <c r="C2799" s="18" t="s">
        <v>28</v>
      </c>
      <c r="D2799" s="15" t="s">
        <v>9445</v>
      </c>
      <c r="E2799" s="18" t="s">
        <v>28</v>
      </c>
      <c r="F2799" s="19" t="s">
        <v>28</v>
      </c>
      <c r="G2799" s="19" t="s">
        <v>28</v>
      </c>
      <c r="H2799" s="19" t="s">
        <v>28</v>
      </c>
      <c r="I2799" s="18" t="s">
        <v>28</v>
      </c>
      <c r="J2799" s="18" t="s">
        <v>28</v>
      </c>
      <c r="K2799" s="18" t="s">
        <v>28</v>
      </c>
      <c r="L2799" s="18" t="s">
        <v>28</v>
      </c>
      <c r="M2799" s="18" t="s">
        <v>28</v>
      </c>
      <c r="N2799" s="17">
        <v>44805</v>
      </c>
      <c r="O2799" s="15" t="s">
        <v>30</v>
      </c>
      <c r="P2799" s="16" t="s">
        <v>28</v>
      </c>
      <c r="Q2799" s="15" t="s">
        <v>54</v>
      </c>
      <c r="R2799" s="13" t="str">
        <f>HYPERLINK("https://my.pitchbook.com?c=217203-94T","View Company Online")</f>
        <v>View Company Online</v>
      </c>
    </row>
    <row r="2800" spans="1:18" hidden="1" x14ac:dyDescent="0.3">
      <c r="A2800" s="9" t="s">
        <v>9446</v>
      </c>
      <c r="B2800" s="9" t="s">
        <v>9447</v>
      </c>
      <c r="C2800" s="11" t="s">
        <v>28</v>
      </c>
      <c r="D2800" s="9" t="s">
        <v>9448</v>
      </c>
      <c r="E2800" s="11" t="s">
        <v>28</v>
      </c>
      <c r="F2800" s="10" t="s">
        <v>28</v>
      </c>
      <c r="G2800" s="10" t="s">
        <v>28</v>
      </c>
      <c r="H2800" s="10" t="s">
        <v>28</v>
      </c>
      <c r="I2800" s="11" t="s">
        <v>28</v>
      </c>
      <c r="J2800" s="11" t="s">
        <v>28</v>
      </c>
      <c r="K2800" s="11" t="s">
        <v>28</v>
      </c>
      <c r="L2800" s="11" t="s">
        <v>28</v>
      </c>
      <c r="M2800" s="11" t="s">
        <v>28</v>
      </c>
      <c r="N2800" s="8">
        <v>44805</v>
      </c>
      <c r="O2800" s="9" t="s">
        <v>73</v>
      </c>
      <c r="P2800" s="12" t="s">
        <v>9449</v>
      </c>
      <c r="Q2800" s="9" t="s">
        <v>75</v>
      </c>
      <c r="R2800" s="14" t="str">
        <f>HYPERLINK("https://my.pitchbook.com?c=215860-42T","View Company Online")</f>
        <v>View Company Online</v>
      </c>
    </row>
    <row r="2801" spans="1:18" hidden="1" x14ac:dyDescent="0.3">
      <c r="A2801" s="15" t="s">
        <v>9450</v>
      </c>
      <c r="B2801" s="15" t="s">
        <v>9451</v>
      </c>
      <c r="C2801" s="18" t="s">
        <v>28</v>
      </c>
      <c r="D2801" s="15" t="s">
        <v>9452</v>
      </c>
      <c r="E2801" s="18" t="s">
        <v>28</v>
      </c>
      <c r="F2801" s="19" t="s">
        <v>28</v>
      </c>
      <c r="G2801" s="19">
        <v>1.8</v>
      </c>
      <c r="H2801" s="19" t="s">
        <v>28</v>
      </c>
      <c r="I2801" s="18" t="s">
        <v>28</v>
      </c>
      <c r="J2801" s="18" t="s">
        <v>28</v>
      </c>
      <c r="K2801" s="18" t="s">
        <v>28</v>
      </c>
      <c r="L2801" s="18" t="s">
        <v>28</v>
      </c>
      <c r="M2801" s="18" t="s">
        <v>28</v>
      </c>
      <c r="N2801" s="17">
        <v>44805</v>
      </c>
      <c r="O2801" s="15" t="s">
        <v>79</v>
      </c>
      <c r="P2801" s="16" t="s">
        <v>9453</v>
      </c>
      <c r="Q2801" s="15" t="s">
        <v>880</v>
      </c>
      <c r="R2801" s="13" t="str">
        <f>HYPERLINK("https://my.pitchbook.com?c=287923-87T","View Company Online")</f>
        <v>View Company Online</v>
      </c>
    </row>
    <row r="2802" spans="1:18" hidden="1" x14ac:dyDescent="0.3">
      <c r="A2802" s="9" t="s">
        <v>9454</v>
      </c>
      <c r="B2802" s="9" t="s">
        <v>9455</v>
      </c>
      <c r="C2802" s="11" t="s">
        <v>28</v>
      </c>
      <c r="D2802" s="9" t="s">
        <v>9456</v>
      </c>
      <c r="E2802" s="11" t="s">
        <v>28</v>
      </c>
      <c r="F2802" s="10">
        <v>113</v>
      </c>
      <c r="G2802" s="10">
        <v>113</v>
      </c>
      <c r="H2802" s="10">
        <v>113</v>
      </c>
      <c r="I2802" s="11" t="s">
        <v>28</v>
      </c>
      <c r="J2802" s="11" t="s">
        <v>28</v>
      </c>
      <c r="K2802" s="11" t="s">
        <v>28</v>
      </c>
      <c r="L2802" s="11" t="s">
        <v>28</v>
      </c>
      <c r="M2802" s="11" t="s">
        <v>28</v>
      </c>
      <c r="N2802" s="8">
        <v>44804</v>
      </c>
      <c r="O2802" s="9" t="s">
        <v>30</v>
      </c>
      <c r="P2802" s="12" t="s">
        <v>9457</v>
      </c>
      <c r="Q2802" s="9" t="s">
        <v>362</v>
      </c>
      <c r="R2802" s="14" t="str">
        <f>HYPERLINK("https://my.pitchbook.com?c=202841-83T","View Company Online")</f>
        <v>View Company Online</v>
      </c>
    </row>
    <row r="2803" spans="1:18" hidden="1" x14ac:dyDescent="0.3">
      <c r="A2803" s="15" t="s">
        <v>9458</v>
      </c>
      <c r="B2803" s="15" t="s">
        <v>9459</v>
      </c>
      <c r="C2803" s="18" t="s">
        <v>28</v>
      </c>
      <c r="D2803" s="15" t="s">
        <v>9460</v>
      </c>
      <c r="E2803" s="18" t="s">
        <v>28</v>
      </c>
      <c r="F2803" s="19" t="s">
        <v>28</v>
      </c>
      <c r="G2803" s="19">
        <v>3.54</v>
      </c>
      <c r="H2803" s="19" t="s">
        <v>28</v>
      </c>
      <c r="I2803" s="18" t="s">
        <v>28</v>
      </c>
      <c r="J2803" s="18" t="s">
        <v>28</v>
      </c>
      <c r="K2803" s="18" t="s">
        <v>28</v>
      </c>
      <c r="L2803" s="18" t="s">
        <v>28</v>
      </c>
      <c r="M2803" s="18" t="s">
        <v>28</v>
      </c>
      <c r="N2803" s="17">
        <v>44804</v>
      </c>
      <c r="O2803" s="15" t="s">
        <v>79</v>
      </c>
      <c r="P2803" s="16" t="s">
        <v>9461</v>
      </c>
      <c r="Q2803" s="15" t="s">
        <v>583</v>
      </c>
      <c r="R2803" s="13" t="str">
        <f>HYPERLINK("https://my.pitchbook.com?c=223473-70T","View Company Online")</f>
        <v>View Company Online</v>
      </c>
    </row>
    <row r="2804" spans="1:18" hidden="1" x14ac:dyDescent="0.3">
      <c r="A2804" s="9" t="s">
        <v>9462</v>
      </c>
      <c r="B2804" s="9" t="s">
        <v>9463</v>
      </c>
      <c r="C2804" s="11" t="s">
        <v>28</v>
      </c>
      <c r="D2804" s="9" t="s">
        <v>9464</v>
      </c>
      <c r="E2804" s="11" t="s">
        <v>28</v>
      </c>
      <c r="F2804" s="10" t="s">
        <v>28</v>
      </c>
      <c r="G2804" s="10" t="s">
        <v>28</v>
      </c>
      <c r="H2804" s="10" t="s">
        <v>28</v>
      </c>
      <c r="I2804" s="11" t="s">
        <v>28</v>
      </c>
      <c r="J2804" s="11" t="s">
        <v>28</v>
      </c>
      <c r="K2804" s="11" t="s">
        <v>28</v>
      </c>
      <c r="L2804" s="11" t="s">
        <v>28</v>
      </c>
      <c r="M2804" s="11" t="s">
        <v>28</v>
      </c>
      <c r="N2804" s="8">
        <v>44804</v>
      </c>
      <c r="O2804" s="9" t="s">
        <v>41</v>
      </c>
      <c r="P2804" s="12" t="s">
        <v>9465</v>
      </c>
      <c r="Q2804" s="9" t="s">
        <v>290</v>
      </c>
      <c r="R2804" s="14" t="str">
        <f>HYPERLINK("https://my.pitchbook.com?c=295227-10T","View Company Online")</f>
        <v>View Company Online</v>
      </c>
    </row>
    <row r="2805" spans="1:18" hidden="1" x14ac:dyDescent="0.3">
      <c r="A2805" s="15" t="s">
        <v>9466</v>
      </c>
      <c r="B2805" s="15" t="s">
        <v>9467</v>
      </c>
      <c r="C2805" s="18" t="s">
        <v>28</v>
      </c>
      <c r="D2805" s="15" t="s">
        <v>9468</v>
      </c>
      <c r="E2805" s="18" t="s">
        <v>28</v>
      </c>
      <c r="F2805" s="19">
        <v>2.75</v>
      </c>
      <c r="G2805" s="19">
        <v>2.06</v>
      </c>
      <c r="H2805" s="19">
        <v>2.75</v>
      </c>
      <c r="I2805" s="18" t="s">
        <v>28</v>
      </c>
      <c r="J2805" s="18" t="s">
        <v>28</v>
      </c>
      <c r="K2805" s="18" t="s">
        <v>28</v>
      </c>
      <c r="L2805" s="18" t="s">
        <v>28</v>
      </c>
      <c r="M2805" s="18" t="s">
        <v>28</v>
      </c>
      <c r="N2805" s="17">
        <v>44804</v>
      </c>
      <c r="O2805" s="15" t="s">
        <v>30</v>
      </c>
      <c r="P2805" s="16" t="s">
        <v>9469</v>
      </c>
      <c r="Q2805" s="15" t="s">
        <v>1853</v>
      </c>
      <c r="R2805" s="13" t="str">
        <f>HYPERLINK("https://my.pitchbook.com?c=209089-45T","View Company Online")</f>
        <v>View Company Online</v>
      </c>
    </row>
    <row r="2806" spans="1:18" hidden="1" x14ac:dyDescent="0.3">
      <c r="A2806" s="9" t="s">
        <v>9470</v>
      </c>
      <c r="B2806" s="9" t="s">
        <v>9307</v>
      </c>
      <c r="C2806" s="11" t="s">
        <v>28</v>
      </c>
      <c r="D2806" s="9" t="s">
        <v>9308</v>
      </c>
      <c r="E2806" s="11" t="s">
        <v>28</v>
      </c>
      <c r="F2806" s="10" t="s">
        <v>28</v>
      </c>
      <c r="G2806" s="10" t="s">
        <v>28</v>
      </c>
      <c r="H2806" s="10" t="s">
        <v>28</v>
      </c>
      <c r="I2806" s="11" t="s">
        <v>28</v>
      </c>
      <c r="J2806" s="11" t="s">
        <v>28</v>
      </c>
      <c r="K2806" s="11" t="s">
        <v>28</v>
      </c>
      <c r="L2806" s="11" t="s">
        <v>28</v>
      </c>
      <c r="M2806" s="11" t="s">
        <v>28</v>
      </c>
      <c r="N2806" s="8">
        <v>44804</v>
      </c>
      <c r="O2806" s="9" t="s">
        <v>73</v>
      </c>
      <c r="P2806" s="12" t="s">
        <v>611</v>
      </c>
      <c r="Q2806" s="9" t="s">
        <v>75</v>
      </c>
      <c r="R2806" s="14" t="str">
        <f>HYPERLINK("https://my.pitchbook.com?c=215528-68T","View Company Online")</f>
        <v>View Company Online</v>
      </c>
    </row>
    <row r="2807" spans="1:18" hidden="1" x14ac:dyDescent="0.3">
      <c r="A2807" s="15" t="s">
        <v>9471</v>
      </c>
      <c r="B2807" s="15" t="s">
        <v>7242</v>
      </c>
      <c r="C2807" s="18" t="s">
        <v>28</v>
      </c>
      <c r="D2807" s="15" t="s">
        <v>7243</v>
      </c>
      <c r="E2807" s="18" t="s">
        <v>28</v>
      </c>
      <c r="F2807" s="19" t="s">
        <v>28</v>
      </c>
      <c r="G2807" s="19">
        <v>0.1</v>
      </c>
      <c r="H2807" s="19" t="s">
        <v>28</v>
      </c>
      <c r="I2807" s="18" t="s">
        <v>28</v>
      </c>
      <c r="J2807" s="18" t="s">
        <v>28</v>
      </c>
      <c r="K2807" s="18" t="s">
        <v>28</v>
      </c>
      <c r="L2807" s="18" t="s">
        <v>28</v>
      </c>
      <c r="M2807" s="18" t="s">
        <v>28</v>
      </c>
      <c r="N2807" s="17">
        <v>44804</v>
      </c>
      <c r="O2807" s="15" t="s">
        <v>52</v>
      </c>
      <c r="P2807" s="16" t="s">
        <v>1964</v>
      </c>
      <c r="Q2807" s="15" t="s">
        <v>37</v>
      </c>
      <c r="R2807" s="13" t="str">
        <f>HYPERLINK("https://my.pitchbook.com?c=215178-94T","View Company Online")</f>
        <v>View Company Online</v>
      </c>
    </row>
    <row r="2808" spans="1:18" hidden="1" x14ac:dyDescent="0.3">
      <c r="A2808" s="9" t="s">
        <v>9472</v>
      </c>
      <c r="B2808" s="9" t="s">
        <v>9473</v>
      </c>
      <c r="C2808" s="11" t="s">
        <v>28</v>
      </c>
      <c r="D2808" s="9" t="s">
        <v>9474</v>
      </c>
      <c r="E2808" s="11" t="s">
        <v>28</v>
      </c>
      <c r="F2808" s="10">
        <v>6.5</v>
      </c>
      <c r="G2808" s="10">
        <v>6.5</v>
      </c>
      <c r="H2808" s="10">
        <v>6.5</v>
      </c>
      <c r="I2808" s="11" t="s">
        <v>28</v>
      </c>
      <c r="J2808" s="11" t="s">
        <v>28</v>
      </c>
      <c r="K2808" s="11" t="s">
        <v>28</v>
      </c>
      <c r="L2808" s="11" t="s">
        <v>28</v>
      </c>
      <c r="M2808" s="11" t="s">
        <v>28</v>
      </c>
      <c r="N2808" s="8">
        <v>44804</v>
      </c>
      <c r="O2808" s="9" t="s">
        <v>30</v>
      </c>
      <c r="P2808" s="12" t="s">
        <v>9475</v>
      </c>
      <c r="Q2808" s="9" t="s">
        <v>2835</v>
      </c>
      <c r="R2808" s="14" t="str">
        <f>HYPERLINK("https://my.pitchbook.com?c=245467-72T","View Company Online")</f>
        <v>View Company Online</v>
      </c>
    </row>
    <row r="2809" spans="1:18" hidden="1" x14ac:dyDescent="0.3">
      <c r="A2809" s="15" t="s">
        <v>9476</v>
      </c>
      <c r="B2809" s="15" t="s">
        <v>9477</v>
      </c>
      <c r="C2809" s="18" t="s">
        <v>28</v>
      </c>
      <c r="D2809" s="15" t="s">
        <v>9478</v>
      </c>
      <c r="E2809" s="18" t="s">
        <v>28</v>
      </c>
      <c r="F2809" s="19" t="s">
        <v>28</v>
      </c>
      <c r="G2809" s="19" t="s">
        <v>28</v>
      </c>
      <c r="H2809" s="19" t="s">
        <v>28</v>
      </c>
      <c r="I2809" s="18" t="s">
        <v>28</v>
      </c>
      <c r="J2809" s="18" t="s">
        <v>28</v>
      </c>
      <c r="K2809" s="18" t="s">
        <v>28</v>
      </c>
      <c r="L2809" s="18" t="s">
        <v>28</v>
      </c>
      <c r="M2809" s="18" t="s">
        <v>28</v>
      </c>
      <c r="N2809" s="17">
        <v>44804</v>
      </c>
      <c r="O2809" s="15" t="s">
        <v>30</v>
      </c>
      <c r="P2809" s="16" t="s">
        <v>9479</v>
      </c>
      <c r="Q2809" s="15" t="s">
        <v>268</v>
      </c>
      <c r="R2809" s="13" t="str">
        <f>HYPERLINK("https://my.pitchbook.com?c=209509-03T","View Company Online")</f>
        <v>View Company Online</v>
      </c>
    </row>
    <row r="2810" spans="1:18" hidden="1" x14ac:dyDescent="0.3">
      <c r="A2810" s="9" t="s">
        <v>9480</v>
      </c>
      <c r="B2810" s="9" t="s">
        <v>9481</v>
      </c>
      <c r="C2810" s="11" t="s">
        <v>28</v>
      </c>
      <c r="D2810" s="9" t="s">
        <v>9482</v>
      </c>
      <c r="E2810" s="11" t="s">
        <v>28</v>
      </c>
      <c r="F2810" s="10">
        <v>15.94</v>
      </c>
      <c r="G2810" s="10">
        <v>15.94</v>
      </c>
      <c r="H2810" s="10">
        <v>15.94</v>
      </c>
      <c r="I2810" s="11" t="s">
        <v>28</v>
      </c>
      <c r="J2810" s="11" t="s">
        <v>28</v>
      </c>
      <c r="K2810" s="11" t="s">
        <v>28</v>
      </c>
      <c r="L2810" s="11" t="s">
        <v>28</v>
      </c>
      <c r="M2810" s="11" t="s">
        <v>28</v>
      </c>
      <c r="N2810" s="8">
        <v>44804</v>
      </c>
      <c r="O2810" s="9" t="s">
        <v>30</v>
      </c>
      <c r="P2810" s="12" t="s">
        <v>9483</v>
      </c>
      <c r="Q2810" s="9" t="s">
        <v>75</v>
      </c>
      <c r="R2810" s="14" t="str">
        <f>HYPERLINK("https://my.pitchbook.com?c=209314-81T","View Company Online")</f>
        <v>View Company Online</v>
      </c>
    </row>
    <row r="2811" spans="1:18" hidden="1" x14ac:dyDescent="0.3">
      <c r="A2811" s="15" t="s">
        <v>9484</v>
      </c>
      <c r="B2811" s="15" t="s">
        <v>7359</v>
      </c>
      <c r="C2811" s="18" t="s">
        <v>28</v>
      </c>
      <c r="D2811" s="15" t="s">
        <v>7360</v>
      </c>
      <c r="E2811" s="18" t="s">
        <v>28</v>
      </c>
      <c r="F2811" s="19" t="s">
        <v>28</v>
      </c>
      <c r="G2811" s="19">
        <v>10</v>
      </c>
      <c r="H2811" s="19">
        <v>33.700000000000003</v>
      </c>
      <c r="I2811" s="18" t="s">
        <v>28</v>
      </c>
      <c r="J2811" s="18" t="s">
        <v>28</v>
      </c>
      <c r="K2811" s="18">
        <v>0.75</v>
      </c>
      <c r="L2811" s="18">
        <v>44.65</v>
      </c>
      <c r="M2811" s="18" t="s">
        <v>28</v>
      </c>
      <c r="N2811" s="17">
        <v>44804</v>
      </c>
      <c r="O2811" s="15" t="s">
        <v>99</v>
      </c>
      <c r="P2811" s="16" t="s">
        <v>9485</v>
      </c>
      <c r="Q2811" s="15" t="s">
        <v>235</v>
      </c>
      <c r="R2811" s="13" t="str">
        <f>HYPERLINK("https://my.pitchbook.com?c=225809-20T","View Company Online")</f>
        <v>View Company Online</v>
      </c>
    </row>
    <row r="2812" spans="1:18" hidden="1" x14ac:dyDescent="0.3">
      <c r="A2812" s="9" t="s">
        <v>9486</v>
      </c>
      <c r="B2812" s="9" t="s">
        <v>9487</v>
      </c>
      <c r="C2812" s="11" t="s">
        <v>28</v>
      </c>
      <c r="D2812" s="9" t="s">
        <v>9488</v>
      </c>
      <c r="E2812" s="11" t="s">
        <v>28</v>
      </c>
      <c r="F2812" s="10">
        <v>10.84</v>
      </c>
      <c r="G2812" s="10">
        <v>10.84</v>
      </c>
      <c r="H2812" s="10">
        <v>10.84</v>
      </c>
      <c r="I2812" s="11" t="s">
        <v>28</v>
      </c>
      <c r="J2812" s="11" t="s">
        <v>28</v>
      </c>
      <c r="K2812" s="11" t="s">
        <v>28</v>
      </c>
      <c r="L2812" s="11" t="s">
        <v>28</v>
      </c>
      <c r="M2812" s="11" t="s">
        <v>28</v>
      </c>
      <c r="N2812" s="8">
        <v>44804</v>
      </c>
      <c r="O2812" s="9" t="s">
        <v>30</v>
      </c>
      <c r="P2812" s="12" t="s">
        <v>9489</v>
      </c>
      <c r="Q2812" s="9" t="s">
        <v>75</v>
      </c>
      <c r="R2812" s="14" t="str">
        <f>HYPERLINK("https://my.pitchbook.com?c=209459-89T","View Company Online")</f>
        <v>View Company Online</v>
      </c>
    </row>
    <row r="2813" spans="1:18" hidden="1" x14ac:dyDescent="0.3">
      <c r="A2813" s="15" t="s">
        <v>9490</v>
      </c>
      <c r="B2813" s="15" t="s">
        <v>9491</v>
      </c>
      <c r="C2813" s="18" t="s">
        <v>28</v>
      </c>
      <c r="D2813" s="15" t="s">
        <v>9492</v>
      </c>
      <c r="E2813" s="18" t="s">
        <v>28</v>
      </c>
      <c r="F2813" s="19" t="s">
        <v>28</v>
      </c>
      <c r="G2813" s="19">
        <v>0.27</v>
      </c>
      <c r="H2813" s="19" t="s">
        <v>28</v>
      </c>
      <c r="I2813" s="18" t="s">
        <v>28</v>
      </c>
      <c r="J2813" s="18" t="s">
        <v>28</v>
      </c>
      <c r="K2813" s="18" t="s">
        <v>28</v>
      </c>
      <c r="L2813" s="18" t="s">
        <v>28</v>
      </c>
      <c r="M2813" s="18" t="s">
        <v>28</v>
      </c>
      <c r="N2813" s="17">
        <v>44803</v>
      </c>
      <c r="O2813" s="15" t="s">
        <v>73</v>
      </c>
      <c r="P2813" s="16" t="s">
        <v>28</v>
      </c>
      <c r="Q2813" s="15" t="s">
        <v>696</v>
      </c>
      <c r="R2813" s="13" t="str">
        <f>HYPERLINK("https://my.pitchbook.com?c=201688-03T","View Company Online")</f>
        <v>View Company Online</v>
      </c>
    </row>
    <row r="2814" spans="1:18" hidden="1" x14ac:dyDescent="0.3">
      <c r="A2814" s="9" t="s">
        <v>9493</v>
      </c>
      <c r="B2814" s="9" t="s">
        <v>5808</v>
      </c>
      <c r="C2814" s="11" t="s">
        <v>28</v>
      </c>
      <c r="D2814" s="9" t="s">
        <v>5809</v>
      </c>
      <c r="E2814" s="11" t="s">
        <v>28</v>
      </c>
      <c r="F2814" s="10" t="s">
        <v>28</v>
      </c>
      <c r="G2814" s="10">
        <v>0.19</v>
      </c>
      <c r="H2814" s="10" t="s">
        <v>28</v>
      </c>
      <c r="I2814" s="11" t="s">
        <v>28</v>
      </c>
      <c r="J2814" s="11" t="s">
        <v>28</v>
      </c>
      <c r="K2814" s="11" t="s">
        <v>28</v>
      </c>
      <c r="L2814" s="11" t="s">
        <v>28</v>
      </c>
      <c r="M2814" s="11" t="s">
        <v>28</v>
      </c>
      <c r="N2814" s="8">
        <v>44803</v>
      </c>
      <c r="O2814" s="9" t="s">
        <v>99</v>
      </c>
      <c r="P2814" s="12" t="s">
        <v>9494</v>
      </c>
      <c r="Q2814" s="9" t="s">
        <v>75</v>
      </c>
      <c r="R2814" s="14" t="str">
        <f>HYPERLINK("https://my.pitchbook.com?c=218519-20T","View Company Online")</f>
        <v>View Company Online</v>
      </c>
    </row>
    <row r="2815" spans="1:18" hidden="1" x14ac:dyDescent="0.3">
      <c r="A2815" s="15" t="s">
        <v>9495</v>
      </c>
      <c r="B2815" s="15" t="s">
        <v>9496</v>
      </c>
      <c r="C2815" s="18" t="s">
        <v>28</v>
      </c>
      <c r="D2815" s="15" t="s">
        <v>9497</v>
      </c>
      <c r="E2815" s="18" t="s">
        <v>28</v>
      </c>
      <c r="F2815" s="19" t="s">
        <v>28</v>
      </c>
      <c r="G2815" s="19">
        <v>1.94</v>
      </c>
      <c r="H2815" s="19" t="s">
        <v>28</v>
      </c>
      <c r="I2815" s="18" t="s">
        <v>28</v>
      </c>
      <c r="J2815" s="18" t="s">
        <v>28</v>
      </c>
      <c r="K2815" s="18" t="s">
        <v>28</v>
      </c>
      <c r="L2815" s="18" t="s">
        <v>28</v>
      </c>
      <c r="M2815" s="18" t="s">
        <v>28</v>
      </c>
      <c r="N2815" s="17">
        <v>44802</v>
      </c>
      <c r="O2815" s="15" t="s">
        <v>99</v>
      </c>
      <c r="P2815" s="16" t="s">
        <v>9498</v>
      </c>
      <c r="Q2815" s="15" t="s">
        <v>75</v>
      </c>
      <c r="R2815" s="13" t="str">
        <f>HYPERLINK("https://my.pitchbook.com?c=178129-45T","View Company Online")</f>
        <v>View Company Online</v>
      </c>
    </row>
    <row r="2816" spans="1:18" hidden="1" x14ac:dyDescent="0.3">
      <c r="A2816" s="9" t="s">
        <v>9499</v>
      </c>
      <c r="B2816" s="9" t="s">
        <v>9500</v>
      </c>
      <c r="C2816" s="11" t="s">
        <v>28</v>
      </c>
      <c r="D2816" s="9" t="s">
        <v>9501</v>
      </c>
      <c r="E2816" s="11" t="s">
        <v>28</v>
      </c>
      <c r="F2816" s="10" t="s">
        <v>28</v>
      </c>
      <c r="G2816" s="10" t="s">
        <v>28</v>
      </c>
      <c r="H2816" s="10" t="s">
        <v>28</v>
      </c>
      <c r="I2816" s="11" t="s">
        <v>28</v>
      </c>
      <c r="J2816" s="11" t="s">
        <v>28</v>
      </c>
      <c r="K2816" s="11" t="s">
        <v>28</v>
      </c>
      <c r="L2816" s="11" t="s">
        <v>28</v>
      </c>
      <c r="M2816" s="11" t="s">
        <v>28</v>
      </c>
      <c r="N2816" s="8">
        <v>44802</v>
      </c>
      <c r="O2816" s="9" t="s">
        <v>173</v>
      </c>
      <c r="P2816" s="12" t="s">
        <v>28</v>
      </c>
      <c r="Q2816" s="9" t="s">
        <v>114</v>
      </c>
      <c r="R2816" s="14" t="str">
        <f>HYPERLINK("https://my.pitchbook.com?c=203055-31T","View Company Online")</f>
        <v>View Company Online</v>
      </c>
    </row>
    <row r="2817" spans="1:18" hidden="1" x14ac:dyDescent="0.3">
      <c r="A2817" s="15" t="s">
        <v>9502</v>
      </c>
      <c r="B2817" s="15" t="s">
        <v>9503</v>
      </c>
      <c r="C2817" s="18" t="s">
        <v>28</v>
      </c>
      <c r="D2817" s="15" t="s">
        <v>9504</v>
      </c>
      <c r="E2817" s="18" t="s">
        <v>28</v>
      </c>
      <c r="F2817" s="19" t="s">
        <v>28</v>
      </c>
      <c r="G2817" s="19" t="s">
        <v>28</v>
      </c>
      <c r="H2817" s="19" t="s">
        <v>28</v>
      </c>
      <c r="I2817" s="18" t="s">
        <v>28</v>
      </c>
      <c r="J2817" s="18" t="s">
        <v>28</v>
      </c>
      <c r="K2817" s="18" t="s">
        <v>28</v>
      </c>
      <c r="L2817" s="18" t="s">
        <v>28</v>
      </c>
      <c r="M2817" s="18" t="s">
        <v>28</v>
      </c>
      <c r="N2817" s="17">
        <v>44802</v>
      </c>
      <c r="O2817" s="15" t="s">
        <v>93</v>
      </c>
      <c r="P2817" s="16" t="s">
        <v>9505</v>
      </c>
      <c r="Q2817" s="15" t="s">
        <v>1035</v>
      </c>
      <c r="R2817" s="13" t="str">
        <f>HYPERLINK("https://my.pitchbook.com?c=202661-20T","View Company Online")</f>
        <v>View Company Online</v>
      </c>
    </row>
    <row r="2818" spans="1:18" hidden="1" x14ac:dyDescent="0.3">
      <c r="A2818" s="9" t="s">
        <v>9506</v>
      </c>
      <c r="B2818" s="9" t="s">
        <v>9507</v>
      </c>
      <c r="C2818" s="11" t="s">
        <v>28</v>
      </c>
      <c r="D2818" s="9" t="s">
        <v>9508</v>
      </c>
      <c r="E2818" s="11" t="s">
        <v>28</v>
      </c>
      <c r="F2818" s="10" t="s">
        <v>28</v>
      </c>
      <c r="G2818" s="10">
        <v>5.81</v>
      </c>
      <c r="H2818" s="10" t="s">
        <v>28</v>
      </c>
      <c r="I2818" s="11" t="s">
        <v>28</v>
      </c>
      <c r="J2818" s="11" t="s">
        <v>28</v>
      </c>
      <c r="K2818" s="11" t="s">
        <v>28</v>
      </c>
      <c r="L2818" s="11" t="s">
        <v>28</v>
      </c>
      <c r="M2818" s="11" t="s">
        <v>28</v>
      </c>
      <c r="N2818" s="8">
        <v>44799</v>
      </c>
      <c r="O2818" s="9" t="s">
        <v>73</v>
      </c>
      <c r="P2818" s="12" t="s">
        <v>28</v>
      </c>
      <c r="Q2818" s="9" t="s">
        <v>114</v>
      </c>
      <c r="R2818" s="14" t="str">
        <f>HYPERLINK("https://my.pitchbook.com?c=202547-44T","View Company Online")</f>
        <v>View Company Online</v>
      </c>
    </row>
    <row r="2819" spans="1:18" hidden="1" x14ac:dyDescent="0.3">
      <c r="A2819" s="15" t="s">
        <v>9509</v>
      </c>
      <c r="B2819" s="15" t="s">
        <v>9510</v>
      </c>
      <c r="C2819" s="18" t="s">
        <v>28</v>
      </c>
      <c r="D2819" s="15" t="s">
        <v>9511</v>
      </c>
      <c r="E2819" s="18" t="s">
        <v>28</v>
      </c>
      <c r="F2819" s="19" t="s">
        <v>28</v>
      </c>
      <c r="G2819" s="19" t="s">
        <v>28</v>
      </c>
      <c r="H2819" s="19" t="s">
        <v>28</v>
      </c>
      <c r="I2819" s="18" t="s">
        <v>28</v>
      </c>
      <c r="J2819" s="18" t="s">
        <v>28</v>
      </c>
      <c r="K2819" s="18" t="s">
        <v>28</v>
      </c>
      <c r="L2819" s="18" t="s">
        <v>28</v>
      </c>
      <c r="M2819" s="18" t="s">
        <v>28</v>
      </c>
      <c r="N2819" s="17">
        <v>44799</v>
      </c>
      <c r="O2819" s="15" t="s">
        <v>30</v>
      </c>
      <c r="P2819" s="16" t="s">
        <v>9512</v>
      </c>
      <c r="Q2819" s="15" t="s">
        <v>449</v>
      </c>
      <c r="R2819" s="13" t="str">
        <f>HYPERLINK("https://my.pitchbook.com?c=256974-40T","View Company Online")</f>
        <v>View Company Online</v>
      </c>
    </row>
    <row r="2820" spans="1:18" hidden="1" x14ac:dyDescent="0.3">
      <c r="A2820" s="9" t="s">
        <v>9513</v>
      </c>
      <c r="B2820" s="9" t="s">
        <v>9514</v>
      </c>
      <c r="C2820" s="11" t="s">
        <v>28</v>
      </c>
      <c r="D2820" s="9" t="s">
        <v>9515</v>
      </c>
      <c r="E2820" s="11" t="s">
        <v>28</v>
      </c>
      <c r="F2820" s="10" t="s">
        <v>28</v>
      </c>
      <c r="G2820" s="10" t="s">
        <v>28</v>
      </c>
      <c r="H2820" s="10" t="s">
        <v>28</v>
      </c>
      <c r="I2820" s="11" t="s">
        <v>28</v>
      </c>
      <c r="J2820" s="11" t="s">
        <v>28</v>
      </c>
      <c r="K2820" s="11" t="s">
        <v>28</v>
      </c>
      <c r="L2820" s="11" t="s">
        <v>28</v>
      </c>
      <c r="M2820" s="11" t="s">
        <v>28</v>
      </c>
      <c r="N2820" s="8">
        <v>44799</v>
      </c>
      <c r="O2820" s="9" t="s">
        <v>79</v>
      </c>
      <c r="P2820" s="12" t="s">
        <v>9516</v>
      </c>
      <c r="Q2820" s="9" t="s">
        <v>566</v>
      </c>
      <c r="R2820" s="14" t="str">
        <f>HYPERLINK("https://my.pitchbook.com?c=210362-23T","View Company Online")</f>
        <v>View Company Online</v>
      </c>
    </row>
    <row r="2821" spans="1:18" hidden="1" x14ac:dyDescent="0.3">
      <c r="A2821" s="15" t="s">
        <v>9517</v>
      </c>
      <c r="B2821" s="15" t="s">
        <v>2985</v>
      </c>
      <c r="C2821" s="18" t="s">
        <v>28</v>
      </c>
      <c r="D2821" s="15" t="s">
        <v>2986</v>
      </c>
      <c r="E2821" s="18" t="s">
        <v>28</v>
      </c>
      <c r="F2821" s="19" t="s">
        <v>28</v>
      </c>
      <c r="G2821" s="19">
        <v>6.7</v>
      </c>
      <c r="H2821" s="19" t="s">
        <v>28</v>
      </c>
      <c r="I2821" s="18" t="s">
        <v>28</v>
      </c>
      <c r="J2821" s="18" t="s">
        <v>28</v>
      </c>
      <c r="K2821" s="18" t="s">
        <v>28</v>
      </c>
      <c r="L2821" s="18" t="s">
        <v>28</v>
      </c>
      <c r="M2821" s="18" t="s">
        <v>28</v>
      </c>
      <c r="N2821" s="17">
        <v>44798</v>
      </c>
      <c r="O2821" s="15" t="s">
        <v>99</v>
      </c>
      <c r="P2821" s="16" t="s">
        <v>9518</v>
      </c>
      <c r="Q2821" s="15" t="s">
        <v>2988</v>
      </c>
      <c r="R2821" s="13" t="str">
        <f>HYPERLINK("https://my.pitchbook.com?c=202505-50T","View Company Online")</f>
        <v>View Company Online</v>
      </c>
    </row>
    <row r="2822" spans="1:18" hidden="1" x14ac:dyDescent="0.3">
      <c r="A2822" s="9" t="s">
        <v>9519</v>
      </c>
      <c r="B2822" s="9" t="s">
        <v>9520</v>
      </c>
      <c r="C2822" s="11" t="s">
        <v>28</v>
      </c>
      <c r="D2822" s="9" t="s">
        <v>9521</v>
      </c>
      <c r="E2822" s="11" t="s">
        <v>28</v>
      </c>
      <c r="F2822" s="10">
        <v>13.98</v>
      </c>
      <c r="G2822" s="10">
        <v>13.98</v>
      </c>
      <c r="H2822" s="10">
        <v>13.98</v>
      </c>
      <c r="I2822" s="11" t="s">
        <v>28</v>
      </c>
      <c r="J2822" s="11" t="s">
        <v>28</v>
      </c>
      <c r="K2822" s="11" t="s">
        <v>28</v>
      </c>
      <c r="L2822" s="11" t="s">
        <v>28</v>
      </c>
      <c r="M2822" s="11" t="s">
        <v>28</v>
      </c>
      <c r="N2822" s="8">
        <v>44798</v>
      </c>
      <c r="O2822" s="9" t="s">
        <v>41</v>
      </c>
      <c r="P2822" s="12" t="s">
        <v>8586</v>
      </c>
      <c r="Q2822" s="9" t="s">
        <v>290</v>
      </c>
      <c r="R2822" s="14" t="str">
        <f>HYPERLINK("https://my.pitchbook.com?c=210223-54T","View Company Online")</f>
        <v>View Company Online</v>
      </c>
    </row>
    <row r="2823" spans="1:18" hidden="1" x14ac:dyDescent="0.3">
      <c r="A2823" s="15" t="s">
        <v>9522</v>
      </c>
      <c r="B2823" s="15" t="s">
        <v>9523</v>
      </c>
      <c r="C2823" s="18" t="s">
        <v>28</v>
      </c>
      <c r="D2823" s="15" t="s">
        <v>9524</v>
      </c>
      <c r="E2823" s="18" t="s">
        <v>28</v>
      </c>
      <c r="F2823" s="19" t="s">
        <v>28</v>
      </c>
      <c r="G2823" s="19" t="s">
        <v>28</v>
      </c>
      <c r="H2823" s="19" t="s">
        <v>28</v>
      </c>
      <c r="I2823" s="18" t="s">
        <v>28</v>
      </c>
      <c r="J2823" s="18" t="s">
        <v>28</v>
      </c>
      <c r="K2823" s="18" t="s">
        <v>28</v>
      </c>
      <c r="L2823" s="18" t="s">
        <v>28</v>
      </c>
      <c r="M2823" s="18" t="s">
        <v>28</v>
      </c>
      <c r="N2823" s="17">
        <v>44798</v>
      </c>
      <c r="O2823" s="15" t="s">
        <v>52</v>
      </c>
      <c r="P2823" s="16" t="s">
        <v>2498</v>
      </c>
      <c r="Q2823" s="15" t="s">
        <v>1643</v>
      </c>
      <c r="R2823" s="13" t="str">
        <f>HYPERLINK("https://my.pitchbook.com?c=266541-40T","View Company Online")</f>
        <v>View Company Online</v>
      </c>
    </row>
    <row r="2824" spans="1:18" hidden="1" x14ac:dyDescent="0.3">
      <c r="A2824" s="9" t="s">
        <v>9525</v>
      </c>
      <c r="B2824" s="9" t="s">
        <v>2444</v>
      </c>
      <c r="C2824" s="11" t="s">
        <v>28</v>
      </c>
      <c r="D2824" s="9" t="s">
        <v>2445</v>
      </c>
      <c r="E2824" s="11" t="s">
        <v>28</v>
      </c>
      <c r="F2824" s="10" t="s">
        <v>28</v>
      </c>
      <c r="G2824" s="10" t="s">
        <v>28</v>
      </c>
      <c r="H2824" s="10" t="s">
        <v>28</v>
      </c>
      <c r="I2824" s="11" t="s">
        <v>28</v>
      </c>
      <c r="J2824" s="11" t="s">
        <v>28</v>
      </c>
      <c r="K2824" s="11" t="s">
        <v>28</v>
      </c>
      <c r="L2824" s="11" t="s">
        <v>28</v>
      </c>
      <c r="M2824" s="11" t="s">
        <v>28</v>
      </c>
      <c r="N2824" s="8">
        <v>44798</v>
      </c>
      <c r="O2824" s="9" t="s">
        <v>52</v>
      </c>
      <c r="P2824" s="12" t="s">
        <v>1880</v>
      </c>
      <c r="Q2824" s="9" t="s">
        <v>37</v>
      </c>
      <c r="R2824" s="14" t="str">
        <f>HYPERLINK("https://my.pitchbook.com?c=258293-80T","View Company Online")</f>
        <v>View Company Online</v>
      </c>
    </row>
    <row r="2825" spans="1:18" hidden="1" x14ac:dyDescent="0.3">
      <c r="A2825" s="15" t="s">
        <v>9526</v>
      </c>
      <c r="B2825" s="15" t="s">
        <v>9527</v>
      </c>
      <c r="C2825" s="18" t="s">
        <v>28</v>
      </c>
      <c r="D2825" s="15" t="s">
        <v>9528</v>
      </c>
      <c r="E2825" s="18" t="s">
        <v>28</v>
      </c>
      <c r="F2825" s="19">
        <v>11.79</v>
      </c>
      <c r="G2825" s="19">
        <v>11.79</v>
      </c>
      <c r="H2825" s="19">
        <v>11.79</v>
      </c>
      <c r="I2825" s="18" t="s">
        <v>28</v>
      </c>
      <c r="J2825" s="18" t="s">
        <v>28</v>
      </c>
      <c r="K2825" s="18" t="s">
        <v>28</v>
      </c>
      <c r="L2825" s="18" t="s">
        <v>28</v>
      </c>
      <c r="M2825" s="18" t="s">
        <v>28</v>
      </c>
      <c r="N2825" s="17">
        <v>44798</v>
      </c>
      <c r="O2825" s="15" t="s">
        <v>30</v>
      </c>
      <c r="P2825" s="16" t="s">
        <v>9529</v>
      </c>
      <c r="Q2825" s="15" t="s">
        <v>69</v>
      </c>
      <c r="R2825" s="13" t="str">
        <f>HYPERLINK("https://my.pitchbook.com?c=203219-92T","View Company Online")</f>
        <v>View Company Online</v>
      </c>
    </row>
    <row r="2826" spans="1:18" hidden="1" x14ac:dyDescent="0.3">
      <c r="A2826" s="9" t="s">
        <v>9530</v>
      </c>
      <c r="B2826" s="9" t="s">
        <v>9531</v>
      </c>
      <c r="C2826" s="11" t="s">
        <v>28</v>
      </c>
      <c r="D2826" s="9" t="s">
        <v>9532</v>
      </c>
      <c r="E2826" s="11" t="s">
        <v>28</v>
      </c>
      <c r="F2826" s="10" t="s">
        <v>28</v>
      </c>
      <c r="G2826" s="10" t="s">
        <v>28</v>
      </c>
      <c r="H2826" s="10" t="s">
        <v>28</v>
      </c>
      <c r="I2826" s="11" t="s">
        <v>28</v>
      </c>
      <c r="J2826" s="11" t="s">
        <v>28</v>
      </c>
      <c r="K2826" s="11" t="s">
        <v>28</v>
      </c>
      <c r="L2826" s="11" t="s">
        <v>28</v>
      </c>
      <c r="M2826" s="11" t="s">
        <v>28</v>
      </c>
      <c r="N2826" s="8">
        <v>44798</v>
      </c>
      <c r="O2826" s="9" t="s">
        <v>79</v>
      </c>
      <c r="P2826" s="12" t="s">
        <v>9533</v>
      </c>
      <c r="Q2826" s="9" t="s">
        <v>409</v>
      </c>
      <c r="R2826" s="14" t="str">
        <f>HYPERLINK("https://my.pitchbook.com?c=199553-95T","View Company Online")</f>
        <v>View Company Online</v>
      </c>
    </row>
    <row r="2827" spans="1:18" hidden="1" x14ac:dyDescent="0.3">
      <c r="A2827" s="15" t="s">
        <v>9534</v>
      </c>
      <c r="B2827" s="15" t="s">
        <v>9535</v>
      </c>
      <c r="C2827" s="18" t="s">
        <v>28</v>
      </c>
      <c r="D2827" s="15" t="s">
        <v>9536</v>
      </c>
      <c r="E2827" s="18" t="s">
        <v>28</v>
      </c>
      <c r="F2827" s="19">
        <v>83.3</v>
      </c>
      <c r="G2827" s="19">
        <v>83.3</v>
      </c>
      <c r="H2827" s="19">
        <v>83.3</v>
      </c>
      <c r="I2827" s="18" t="s">
        <v>28</v>
      </c>
      <c r="J2827" s="18" t="s">
        <v>28</v>
      </c>
      <c r="K2827" s="18" t="s">
        <v>28</v>
      </c>
      <c r="L2827" s="18" t="s">
        <v>28</v>
      </c>
      <c r="M2827" s="18" t="s">
        <v>28</v>
      </c>
      <c r="N2827" s="17">
        <v>44797</v>
      </c>
      <c r="O2827" s="15" t="s">
        <v>30</v>
      </c>
      <c r="P2827" s="16" t="s">
        <v>876</v>
      </c>
      <c r="Q2827" s="15" t="s">
        <v>226</v>
      </c>
      <c r="R2827" s="13" t="str">
        <f>HYPERLINK("https://my.pitchbook.com?c=195999-49T","View Company Online")</f>
        <v>View Company Online</v>
      </c>
    </row>
    <row r="2828" spans="1:18" hidden="1" x14ac:dyDescent="0.3">
      <c r="A2828" s="9" t="s">
        <v>9537</v>
      </c>
      <c r="B2828" s="9" t="s">
        <v>9538</v>
      </c>
      <c r="C2828" s="11" t="s">
        <v>28</v>
      </c>
      <c r="D2828" s="9" t="s">
        <v>9539</v>
      </c>
      <c r="E2828" s="11" t="s">
        <v>28</v>
      </c>
      <c r="F2828" s="10" t="s">
        <v>28</v>
      </c>
      <c r="G2828" s="10">
        <v>15</v>
      </c>
      <c r="H2828" s="10" t="s">
        <v>28</v>
      </c>
      <c r="I2828" s="11" t="s">
        <v>28</v>
      </c>
      <c r="J2828" s="11" t="s">
        <v>28</v>
      </c>
      <c r="K2828" s="11" t="s">
        <v>28</v>
      </c>
      <c r="L2828" s="11" t="s">
        <v>28</v>
      </c>
      <c r="M2828" s="11" t="s">
        <v>28</v>
      </c>
      <c r="N2828" s="8">
        <v>44797</v>
      </c>
      <c r="O2828" s="9" t="s">
        <v>79</v>
      </c>
      <c r="P2828" s="12" t="s">
        <v>4626</v>
      </c>
      <c r="Q2828" s="9" t="s">
        <v>37</v>
      </c>
      <c r="R2828" s="14" t="str">
        <f>HYPERLINK("https://my.pitchbook.com?c=215743-60T","View Company Online")</f>
        <v>View Company Online</v>
      </c>
    </row>
    <row r="2829" spans="1:18" hidden="1" x14ac:dyDescent="0.3">
      <c r="A2829" s="15" t="s">
        <v>9540</v>
      </c>
      <c r="B2829" s="15" t="s">
        <v>9541</v>
      </c>
      <c r="C2829" s="18" t="s">
        <v>28</v>
      </c>
      <c r="D2829" s="15" t="s">
        <v>9542</v>
      </c>
      <c r="E2829" s="18" t="s">
        <v>28</v>
      </c>
      <c r="F2829" s="19" t="s">
        <v>28</v>
      </c>
      <c r="G2829" s="19" t="s">
        <v>28</v>
      </c>
      <c r="H2829" s="19" t="s">
        <v>28</v>
      </c>
      <c r="I2829" s="18" t="s">
        <v>28</v>
      </c>
      <c r="J2829" s="18" t="s">
        <v>28</v>
      </c>
      <c r="K2829" s="18" t="s">
        <v>28</v>
      </c>
      <c r="L2829" s="18" t="s">
        <v>28</v>
      </c>
      <c r="M2829" s="18" t="s">
        <v>28</v>
      </c>
      <c r="N2829" s="17">
        <v>44797</v>
      </c>
      <c r="O2829" s="15" t="s">
        <v>52</v>
      </c>
      <c r="P2829" s="16" t="s">
        <v>1651</v>
      </c>
      <c r="Q2829" s="15" t="s">
        <v>583</v>
      </c>
      <c r="R2829" s="13" t="str">
        <f>HYPERLINK("https://my.pitchbook.com?c=300982-51T","View Company Online")</f>
        <v>View Company Online</v>
      </c>
    </row>
    <row r="2830" spans="1:18" hidden="1" x14ac:dyDescent="0.3">
      <c r="A2830" s="9" t="s">
        <v>9543</v>
      </c>
      <c r="B2830" s="9" t="s">
        <v>9544</v>
      </c>
      <c r="C2830" s="11" t="s">
        <v>28</v>
      </c>
      <c r="D2830" s="9" t="s">
        <v>9545</v>
      </c>
      <c r="E2830" s="11" t="s">
        <v>28</v>
      </c>
      <c r="F2830" s="10" t="s">
        <v>28</v>
      </c>
      <c r="G2830" s="10">
        <v>3.85</v>
      </c>
      <c r="H2830" s="10" t="s">
        <v>28</v>
      </c>
      <c r="I2830" s="11" t="s">
        <v>28</v>
      </c>
      <c r="J2830" s="11" t="s">
        <v>28</v>
      </c>
      <c r="K2830" s="11" t="s">
        <v>28</v>
      </c>
      <c r="L2830" s="11" t="s">
        <v>28</v>
      </c>
      <c r="M2830" s="11" t="s">
        <v>28</v>
      </c>
      <c r="N2830" s="8">
        <v>44796</v>
      </c>
      <c r="O2830" s="9" t="s">
        <v>79</v>
      </c>
      <c r="P2830" s="12" t="s">
        <v>1132</v>
      </c>
      <c r="Q2830" s="9" t="s">
        <v>114</v>
      </c>
      <c r="R2830" s="14" t="str">
        <f>HYPERLINK("https://my.pitchbook.com?c=218565-19T","View Company Online")</f>
        <v>View Company Online</v>
      </c>
    </row>
    <row r="2831" spans="1:18" hidden="1" x14ac:dyDescent="0.3">
      <c r="A2831" s="15" t="s">
        <v>9546</v>
      </c>
      <c r="B2831" s="15" t="s">
        <v>9547</v>
      </c>
      <c r="C2831" s="18" t="s">
        <v>28</v>
      </c>
      <c r="D2831" s="15" t="s">
        <v>9548</v>
      </c>
      <c r="E2831" s="18" t="s">
        <v>28</v>
      </c>
      <c r="F2831" s="19" t="s">
        <v>28</v>
      </c>
      <c r="G2831" s="19" t="s">
        <v>28</v>
      </c>
      <c r="H2831" s="19" t="s">
        <v>28</v>
      </c>
      <c r="I2831" s="18" t="s">
        <v>28</v>
      </c>
      <c r="J2831" s="18" t="s">
        <v>28</v>
      </c>
      <c r="K2831" s="18" t="s">
        <v>28</v>
      </c>
      <c r="L2831" s="18" t="s">
        <v>28</v>
      </c>
      <c r="M2831" s="18" t="s">
        <v>28</v>
      </c>
      <c r="N2831" s="17">
        <v>44796</v>
      </c>
      <c r="O2831" s="15" t="s">
        <v>30</v>
      </c>
      <c r="P2831" s="16" t="s">
        <v>9549</v>
      </c>
      <c r="Q2831" s="15" t="s">
        <v>75</v>
      </c>
      <c r="R2831" s="13" t="str">
        <f>HYPERLINK("https://my.pitchbook.com?c=203653-36T","View Company Online")</f>
        <v>View Company Online</v>
      </c>
    </row>
    <row r="2832" spans="1:18" hidden="1" x14ac:dyDescent="0.3">
      <c r="A2832" s="9" t="s">
        <v>9550</v>
      </c>
      <c r="B2832" s="9" t="s">
        <v>1626</v>
      </c>
      <c r="C2832" s="11" t="s">
        <v>28</v>
      </c>
      <c r="D2832" s="9" t="s">
        <v>1627</v>
      </c>
      <c r="E2832" s="11" t="s">
        <v>28</v>
      </c>
      <c r="F2832" s="10" t="s">
        <v>28</v>
      </c>
      <c r="G2832" s="10">
        <v>2.35</v>
      </c>
      <c r="H2832" s="10" t="s">
        <v>28</v>
      </c>
      <c r="I2832" s="11" t="s">
        <v>28</v>
      </c>
      <c r="J2832" s="11" t="s">
        <v>28</v>
      </c>
      <c r="K2832" s="11" t="s">
        <v>28</v>
      </c>
      <c r="L2832" s="11" t="s">
        <v>28</v>
      </c>
      <c r="M2832" s="11" t="s">
        <v>28</v>
      </c>
      <c r="N2832" s="8">
        <v>44796</v>
      </c>
      <c r="O2832" s="9" t="s">
        <v>73</v>
      </c>
      <c r="P2832" s="12" t="s">
        <v>9551</v>
      </c>
      <c r="Q2832" s="9" t="s">
        <v>37</v>
      </c>
      <c r="R2832" s="14" t="str">
        <f>HYPERLINK("https://my.pitchbook.com?c=202447-81T","View Company Online")</f>
        <v>View Company Online</v>
      </c>
    </row>
    <row r="2833" spans="1:18" hidden="1" x14ac:dyDescent="0.3">
      <c r="A2833" s="15" t="s">
        <v>9552</v>
      </c>
      <c r="B2833" s="15" t="s">
        <v>9553</v>
      </c>
      <c r="C2833" s="18" t="s">
        <v>28</v>
      </c>
      <c r="D2833" s="15" t="s">
        <v>9554</v>
      </c>
      <c r="E2833" s="18" t="s">
        <v>28</v>
      </c>
      <c r="F2833" s="19" t="s">
        <v>28</v>
      </c>
      <c r="G2833" s="19" t="s">
        <v>28</v>
      </c>
      <c r="H2833" s="19" t="s">
        <v>28</v>
      </c>
      <c r="I2833" s="18" t="s">
        <v>28</v>
      </c>
      <c r="J2833" s="18" t="s">
        <v>28</v>
      </c>
      <c r="K2833" s="18" t="s">
        <v>28</v>
      </c>
      <c r="L2833" s="18" t="s">
        <v>28</v>
      </c>
      <c r="M2833" s="18" t="s">
        <v>28</v>
      </c>
      <c r="N2833" s="17">
        <v>44796</v>
      </c>
      <c r="O2833" s="15" t="s">
        <v>99</v>
      </c>
      <c r="P2833" s="16" t="s">
        <v>9555</v>
      </c>
      <c r="Q2833" s="15" t="s">
        <v>607</v>
      </c>
      <c r="R2833" s="13" t="str">
        <f>HYPERLINK("https://my.pitchbook.com?c=202310-92T","View Company Online")</f>
        <v>View Company Online</v>
      </c>
    </row>
    <row r="2834" spans="1:18" hidden="1" x14ac:dyDescent="0.3">
      <c r="A2834" s="9" t="s">
        <v>9556</v>
      </c>
      <c r="B2834" s="9" t="s">
        <v>9557</v>
      </c>
      <c r="C2834" s="11" t="s">
        <v>28</v>
      </c>
      <c r="D2834" s="9" t="s">
        <v>9558</v>
      </c>
      <c r="E2834" s="11" t="s">
        <v>28</v>
      </c>
      <c r="F2834" s="10" t="s">
        <v>28</v>
      </c>
      <c r="G2834" s="10" t="s">
        <v>28</v>
      </c>
      <c r="H2834" s="10" t="s">
        <v>28</v>
      </c>
      <c r="I2834" s="11" t="s">
        <v>28</v>
      </c>
      <c r="J2834" s="11" t="s">
        <v>28</v>
      </c>
      <c r="K2834" s="11" t="s">
        <v>28</v>
      </c>
      <c r="L2834" s="11" t="s">
        <v>28</v>
      </c>
      <c r="M2834" s="11" t="s">
        <v>28</v>
      </c>
      <c r="N2834" s="8">
        <v>44795</v>
      </c>
      <c r="O2834" s="9" t="s">
        <v>30</v>
      </c>
      <c r="P2834" s="12" t="s">
        <v>9559</v>
      </c>
      <c r="Q2834" s="9" t="s">
        <v>1179</v>
      </c>
      <c r="R2834" s="14" t="str">
        <f>HYPERLINK("https://my.pitchbook.com?c=209414-89T","View Company Online")</f>
        <v>View Company Online</v>
      </c>
    </row>
    <row r="2835" spans="1:18" hidden="1" x14ac:dyDescent="0.3">
      <c r="A2835" s="15" t="s">
        <v>9560</v>
      </c>
      <c r="B2835" s="15" t="s">
        <v>1575</v>
      </c>
      <c r="C2835" s="18" t="s">
        <v>28</v>
      </c>
      <c r="D2835" s="15" t="s">
        <v>9561</v>
      </c>
      <c r="E2835" s="18" t="s">
        <v>28</v>
      </c>
      <c r="F2835" s="19" t="s">
        <v>28</v>
      </c>
      <c r="G2835" s="19">
        <v>1.92</v>
      </c>
      <c r="H2835" s="19" t="s">
        <v>28</v>
      </c>
      <c r="I2835" s="18" t="s">
        <v>28</v>
      </c>
      <c r="J2835" s="18" t="s">
        <v>28</v>
      </c>
      <c r="K2835" s="18" t="s">
        <v>28</v>
      </c>
      <c r="L2835" s="18" t="s">
        <v>28</v>
      </c>
      <c r="M2835" s="18" t="s">
        <v>28</v>
      </c>
      <c r="N2835" s="17">
        <v>44795</v>
      </c>
      <c r="O2835" s="15" t="s">
        <v>58</v>
      </c>
      <c r="P2835" s="16" t="s">
        <v>28</v>
      </c>
      <c r="Q2835" s="15" t="s">
        <v>1213</v>
      </c>
      <c r="R2835" s="13" t="str">
        <f>HYPERLINK("https://my.pitchbook.com?c=209555-20T","View Company Online")</f>
        <v>View Company Online</v>
      </c>
    </row>
    <row r="2836" spans="1:18" hidden="1" x14ac:dyDescent="0.3">
      <c r="A2836" s="9" t="s">
        <v>9562</v>
      </c>
      <c r="B2836" s="9" t="s">
        <v>7968</v>
      </c>
      <c r="C2836" s="11" t="s">
        <v>28</v>
      </c>
      <c r="D2836" s="9" t="s">
        <v>7969</v>
      </c>
      <c r="E2836" s="11" t="s">
        <v>28</v>
      </c>
      <c r="F2836" s="10" t="s">
        <v>28</v>
      </c>
      <c r="G2836" s="10">
        <v>0.19</v>
      </c>
      <c r="H2836" s="10" t="s">
        <v>28</v>
      </c>
      <c r="I2836" s="11" t="s">
        <v>28</v>
      </c>
      <c r="J2836" s="11" t="s">
        <v>28</v>
      </c>
      <c r="K2836" s="11" t="s">
        <v>28</v>
      </c>
      <c r="L2836" s="11" t="s">
        <v>28</v>
      </c>
      <c r="M2836" s="11" t="s">
        <v>28</v>
      </c>
      <c r="N2836" s="8">
        <v>44795</v>
      </c>
      <c r="O2836" s="9" t="s">
        <v>99</v>
      </c>
      <c r="P2836" s="12" t="s">
        <v>5324</v>
      </c>
      <c r="Q2836" s="9" t="s">
        <v>75</v>
      </c>
      <c r="R2836" s="14" t="str">
        <f>HYPERLINK("https://my.pitchbook.com?c=200423-71T","View Company Online")</f>
        <v>View Company Online</v>
      </c>
    </row>
    <row r="2837" spans="1:18" hidden="1" x14ac:dyDescent="0.3">
      <c r="A2837" s="15" t="s">
        <v>9563</v>
      </c>
      <c r="B2837" s="15" t="s">
        <v>1814</v>
      </c>
      <c r="C2837" s="18" t="s">
        <v>28</v>
      </c>
      <c r="D2837" s="15" t="s">
        <v>1815</v>
      </c>
      <c r="E2837" s="18" t="s">
        <v>28</v>
      </c>
      <c r="F2837" s="19" t="s">
        <v>28</v>
      </c>
      <c r="G2837" s="19" t="s">
        <v>28</v>
      </c>
      <c r="H2837" s="19" t="s">
        <v>28</v>
      </c>
      <c r="I2837" s="18" t="s">
        <v>28</v>
      </c>
      <c r="J2837" s="18" t="s">
        <v>28</v>
      </c>
      <c r="K2837" s="18" t="s">
        <v>28</v>
      </c>
      <c r="L2837" s="18" t="s">
        <v>28</v>
      </c>
      <c r="M2837" s="18" t="s">
        <v>28</v>
      </c>
      <c r="N2837" s="17">
        <v>44795</v>
      </c>
      <c r="O2837" s="15" t="s">
        <v>73</v>
      </c>
      <c r="P2837" s="16" t="s">
        <v>9564</v>
      </c>
      <c r="Q2837" s="15" t="s">
        <v>75</v>
      </c>
      <c r="R2837" s="13" t="str">
        <f>HYPERLINK("https://my.pitchbook.com?c=215852-23T","View Company Online")</f>
        <v>View Company Online</v>
      </c>
    </row>
    <row r="2838" spans="1:18" hidden="1" x14ac:dyDescent="0.3">
      <c r="A2838" s="9" t="s">
        <v>9565</v>
      </c>
      <c r="B2838" s="9" t="s">
        <v>720</v>
      </c>
      <c r="C2838" s="11" t="s">
        <v>28</v>
      </c>
      <c r="D2838" s="9" t="s">
        <v>9566</v>
      </c>
      <c r="E2838" s="11" t="s">
        <v>28</v>
      </c>
      <c r="F2838" s="10" t="s">
        <v>28</v>
      </c>
      <c r="G2838" s="10" t="s">
        <v>28</v>
      </c>
      <c r="H2838" s="10" t="s">
        <v>28</v>
      </c>
      <c r="I2838" s="11" t="s">
        <v>28</v>
      </c>
      <c r="J2838" s="11" t="s">
        <v>28</v>
      </c>
      <c r="K2838" s="11" t="s">
        <v>28</v>
      </c>
      <c r="L2838" s="11" t="s">
        <v>28</v>
      </c>
      <c r="M2838" s="11" t="s">
        <v>28</v>
      </c>
      <c r="N2838" s="8">
        <v>44795</v>
      </c>
      <c r="O2838" s="9" t="s">
        <v>30</v>
      </c>
      <c r="P2838" s="12" t="s">
        <v>9567</v>
      </c>
      <c r="Q2838" s="9" t="s">
        <v>409</v>
      </c>
      <c r="R2838" s="14" t="str">
        <f>HYPERLINK("https://my.pitchbook.com?c=210008-08T","View Company Online")</f>
        <v>View Company Online</v>
      </c>
    </row>
    <row r="2839" spans="1:18" hidden="1" x14ac:dyDescent="0.3">
      <c r="A2839" s="15" t="s">
        <v>9568</v>
      </c>
      <c r="B2839" s="15" t="s">
        <v>9569</v>
      </c>
      <c r="C2839" s="18" t="s">
        <v>28</v>
      </c>
      <c r="D2839" s="15" t="s">
        <v>9570</v>
      </c>
      <c r="E2839" s="18" t="s">
        <v>28</v>
      </c>
      <c r="F2839" s="19" t="s">
        <v>28</v>
      </c>
      <c r="G2839" s="19" t="s">
        <v>28</v>
      </c>
      <c r="H2839" s="19" t="s">
        <v>28</v>
      </c>
      <c r="I2839" s="18" t="s">
        <v>28</v>
      </c>
      <c r="J2839" s="18" t="s">
        <v>28</v>
      </c>
      <c r="K2839" s="18" t="s">
        <v>28</v>
      </c>
      <c r="L2839" s="18" t="s">
        <v>28</v>
      </c>
      <c r="M2839" s="18" t="s">
        <v>28</v>
      </c>
      <c r="N2839" s="17">
        <v>44795</v>
      </c>
      <c r="O2839" s="15" t="s">
        <v>30</v>
      </c>
      <c r="P2839" s="16" t="s">
        <v>8689</v>
      </c>
      <c r="Q2839" s="15" t="s">
        <v>188</v>
      </c>
      <c r="R2839" s="13" t="str">
        <f>HYPERLINK("https://my.pitchbook.com?c=202208-14T","View Company Online")</f>
        <v>View Company Online</v>
      </c>
    </row>
    <row r="2840" spans="1:18" hidden="1" x14ac:dyDescent="0.3">
      <c r="A2840" s="9" t="s">
        <v>9571</v>
      </c>
      <c r="B2840" s="9" t="s">
        <v>9572</v>
      </c>
      <c r="C2840" s="11" t="s">
        <v>28</v>
      </c>
      <c r="D2840" s="9" t="s">
        <v>9573</v>
      </c>
      <c r="E2840" s="11" t="s">
        <v>28</v>
      </c>
      <c r="F2840" s="10" t="s">
        <v>28</v>
      </c>
      <c r="G2840" s="10">
        <v>50</v>
      </c>
      <c r="H2840" s="10">
        <v>200</v>
      </c>
      <c r="I2840" s="11" t="s">
        <v>28</v>
      </c>
      <c r="J2840" s="11" t="s">
        <v>28</v>
      </c>
      <c r="K2840" s="11" t="s">
        <v>28</v>
      </c>
      <c r="L2840" s="11" t="s">
        <v>28</v>
      </c>
      <c r="M2840" s="11" t="s">
        <v>28</v>
      </c>
      <c r="N2840" s="8">
        <v>44794</v>
      </c>
      <c r="O2840" s="9" t="s">
        <v>93</v>
      </c>
      <c r="P2840" s="12" t="s">
        <v>9574</v>
      </c>
      <c r="Q2840" s="9" t="s">
        <v>5628</v>
      </c>
      <c r="R2840" s="14" t="str">
        <f>HYPERLINK("https://my.pitchbook.com?c=224018-74T","View Company Online")</f>
        <v>View Company Online</v>
      </c>
    </row>
    <row r="2841" spans="1:18" hidden="1" x14ac:dyDescent="0.3">
      <c r="A2841" s="15" t="s">
        <v>9575</v>
      </c>
      <c r="B2841" s="15" t="s">
        <v>9576</v>
      </c>
      <c r="C2841" s="18" t="s">
        <v>28</v>
      </c>
      <c r="D2841" s="15" t="s">
        <v>9577</v>
      </c>
      <c r="E2841" s="18" t="s">
        <v>28</v>
      </c>
      <c r="F2841" s="19" t="s">
        <v>28</v>
      </c>
      <c r="G2841" s="19" t="s">
        <v>28</v>
      </c>
      <c r="H2841" s="19" t="s">
        <v>28</v>
      </c>
      <c r="I2841" s="18" t="s">
        <v>28</v>
      </c>
      <c r="J2841" s="18" t="s">
        <v>28</v>
      </c>
      <c r="K2841" s="18" t="s">
        <v>28</v>
      </c>
      <c r="L2841" s="18" t="s">
        <v>28</v>
      </c>
      <c r="M2841" s="18" t="s">
        <v>28</v>
      </c>
      <c r="N2841" s="17">
        <v>44792</v>
      </c>
      <c r="O2841" s="15" t="s">
        <v>30</v>
      </c>
      <c r="P2841" s="16" t="s">
        <v>9578</v>
      </c>
      <c r="Q2841" s="15" t="s">
        <v>616</v>
      </c>
      <c r="R2841" s="13" t="str">
        <f>HYPERLINK("https://my.pitchbook.com?c=210052-72T","View Company Online")</f>
        <v>View Company Online</v>
      </c>
    </row>
    <row r="2842" spans="1:18" hidden="1" x14ac:dyDescent="0.3">
      <c r="A2842" s="9" t="s">
        <v>9579</v>
      </c>
      <c r="B2842" s="9" t="s">
        <v>9580</v>
      </c>
      <c r="C2842" s="11" t="s">
        <v>28</v>
      </c>
      <c r="D2842" s="9" t="s">
        <v>9581</v>
      </c>
      <c r="E2842" s="11" t="s">
        <v>28</v>
      </c>
      <c r="F2842" s="10">
        <v>457.52</v>
      </c>
      <c r="G2842" s="10">
        <v>457.52</v>
      </c>
      <c r="H2842" s="10">
        <v>457.52</v>
      </c>
      <c r="I2842" s="11" t="s">
        <v>28</v>
      </c>
      <c r="J2842" s="11" t="s">
        <v>28</v>
      </c>
      <c r="K2842" s="11" t="s">
        <v>28</v>
      </c>
      <c r="L2842" s="11" t="s">
        <v>28</v>
      </c>
      <c r="M2842" s="11" t="s">
        <v>28</v>
      </c>
      <c r="N2842" s="8">
        <v>44791</v>
      </c>
      <c r="O2842" s="9" t="s">
        <v>30</v>
      </c>
      <c r="P2842" s="12" t="s">
        <v>9582</v>
      </c>
      <c r="Q2842" s="9" t="s">
        <v>2168</v>
      </c>
      <c r="R2842" s="14" t="str">
        <f>HYPERLINK("https://my.pitchbook.com?c=202066-12T","View Company Online")</f>
        <v>View Company Online</v>
      </c>
    </row>
    <row r="2843" spans="1:18" hidden="1" x14ac:dyDescent="0.3">
      <c r="A2843" s="15" t="s">
        <v>9583</v>
      </c>
      <c r="B2843" s="15" t="s">
        <v>9584</v>
      </c>
      <c r="C2843" s="18" t="s">
        <v>28</v>
      </c>
      <c r="D2843" s="15" t="s">
        <v>9585</v>
      </c>
      <c r="E2843" s="18" t="s">
        <v>28</v>
      </c>
      <c r="F2843" s="19" t="s">
        <v>28</v>
      </c>
      <c r="G2843" s="19">
        <v>0.18</v>
      </c>
      <c r="H2843" s="19" t="s">
        <v>28</v>
      </c>
      <c r="I2843" s="18" t="s">
        <v>28</v>
      </c>
      <c r="J2843" s="18" t="s">
        <v>28</v>
      </c>
      <c r="K2843" s="18" t="s">
        <v>28</v>
      </c>
      <c r="L2843" s="18" t="s">
        <v>28</v>
      </c>
      <c r="M2843" s="18" t="s">
        <v>28</v>
      </c>
      <c r="N2843" s="17">
        <v>44791</v>
      </c>
      <c r="O2843" s="15" t="s">
        <v>379</v>
      </c>
      <c r="P2843" s="16" t="s">
        <v>9586</v>
      </c>
      <c r="Q2843" s="15" t="s">
        <v>75</v>
      </c>
      <c r="R2843" s="13" t="str">
        <f>HYPERLINK("https://my.pitchbook.com?c=202052-44T","View Company Online")</f>
        <v>View Company Online</v>
      </c>
    </row>
    <row r="2844" spans="1:18" hidden="1" x14ac:dyDescent="0.3">
      <c r="A2844" s="9" t="s">
        <v>9587</v>
      </c>
      <c r="B2844" s="9" t="s">
        <v>9588</v>
      </c>
      <c r="C2844" s="11" t="s">
        <v>28</v>
      </c>
      <c r="D2844" s="9" t="s">
        <v>9589</v>
      </c>
      <c r="E2844" s="11" t="s">
        <v>28</v>
      </c>
      <c r="F2844" s="10" t="s">
        <v>28</v>
      </c>
      <c r="G2844" s="10" t="s">
        <v>28</v>
      </c>
      <c r="H2844" s="10" t="s">
        <v>28</v>
      </c>
      <c r="I2844" s="11" t="s">
        <v>28</v>
      </c>
      <c r="J2844" s="11" t="s">
        <v>28</v>
      </c>
      <c r="K2844" s="11" t="s">
        <v>28</v>
      </c>
      <c r="L2844" s="11" t="s">
        <v>28</v>
      </c>
      <c r="M2844" s="11" t="s">
        <v>28</v>
      </c>
      <c r="N2844" s="8">
        <v>44791</v>
      </c>
      <c r="O2844" s="9" t="s">
        <v>41</v>
      </c>
      <c r="P2844" s="12" t="s">
        <v>9590</v>
      </c>
      <c r="Q2844" s="9" t="s">
        <v>43</v>
      </c>
      <c r="R2844" s="14" t="str">
        <f>HYPERLINK("https://my.pitchbook.com?c=219212-65T","View Company Online")</f>
        <v>View Company Online</v>
      </c>
    </row>
    <row r="2845" spans="1:18" hidden="1" x14ac:dyDescent="0.3">
      <c r="A2845" s="15" t="s">
        <v>9591</v>
      </c>
      <c r="B2845" s="15" t="s">
        <v>9592</v>
      </c>
      <c r="C2845" s="18" t="s">
        <v>28</v>
      </c>
      <c r="D2845" s="15" t="s">
        <v>9593</v>
      </c>
      <c r="E2845" s="18" t="s">
        <v>28</v>
      </c>
      <c r="F2845" s="19" t="s">
        <v>28</v>
      </c>
      <c r="G2845" s="19" t="s">
        <v>28</v>
      </c>
      <c r="H2845" s="19" t="s">
        <v>28</v>
      </c>
      <c r="I2845" s="18" t="s">
        <v>28</v>
      </c>
      <c r="J2845" s="18" t="s">
        <v>28</v>
      </c>
      <c r="K2845" s="18" t="s">
        <v>28</v>
      </c>
      <c r="L2845" s="18" t="s">
        <v>28</v>
      </c>
      <c r="M2845" s="18" t="s">
        <v>28</v>
      </c>
      <c r="N2845" s="17">
        <v>44791</v>
      </c>
      <c r="O2845" s="15" t="s">
        <v>30</v>
      </c>
      <c r="P2845" s="16" t="s">
        <v>9594</v>
      </c>
      <c r="Q2845" s="15" t="s">
        <v>583</v>
      </c>
      <c r="R2845" s="13" t="str">
        <f>HYPERLINK("https://my.pitchbook.com?c=204259-15T","View Company Online")</f>
        <v>View Company Online</v>
      </c>
    </row>
    <row r="2846" spans="1:18" hidden="1" x14ac:dyDescent="0.3">
      <c r="A2846" s="9" t="s">
        <v>9595</v>
      </c>
      <c r="B2846" s="9" t="s">
        <v>9596</v>
      </c>
      <c r="C2846" s="11" t="s">
        <v>28</v>
      </c>
      <c r="D2846" s="9" t="s">
        <v>9597</v>
      </c>
      <c r="E2846" s="11" t="s">
        <v>28</v>
      </c>
      <c r="F2846" s="10">
        <v>0.95</v>
      </c>
      <c r="G2846" s="10">
        <v>0.48</v>
      </c>
      <c r="H2846" s="10">
        <v>0.95</v>
      </c>
      <c r="I2846" s="11" t="s">
        <v>28</v>
      </c>
      <c r="J2846" s="11" t="s">
        <v>28</v>
      </c>
      <c r="K2846" s="11" t="s">
        <v>28</v>
      </c>
      <c r="L2846" s="11" t="s">
        <v>28</v>
      </c>
      <c r="M2846" s="11" t="s">
        <v>28</v>
      </c>
      <c r="N2846" s="8">
        <v>44791</v>
      </c>
      <c r="O2846" s="9" t="s">
        <v>30</v>
      </c>
      <c r="P2846" s="12" t="s">
        <v>9598</v>
      </c>
      <c r="Q2846" s="9" t="s">
        <v>226</v>
      </c>
      <c r="R2846" s="14" t="str">
        <f>HYPERLINK("https://my.pitchbook.com?c=209169-55T","View Company Online")</f>
        <v>View Company Online</v>
      </c>
    </row>
    <row r="2847" spans="1:18" hidden="1" x14ac:dyDescent="0.3">
      <c r="A2847" s="15" t="s">
        <v>9599</v>
      </c>
      <c r="B2847" s="15" t="s">
        <v>9600</v>
      </c>
      <c r="C2847" s="18" t="s">
        <v>28</v>
      </c>
      <c r="D2847" s="15" t="s">
        <v>9601</v>
      </c>
      <c r="E2847" s="18" t="s">
        <v>28</v>
      </c>
      <c r="F2847" s="19" t="s">
        <v>28</v>
      </c>
      <c r="G2847" s="19" t="s">
        <v>28</v>
      </c>
      <c r="H2847" s="19" t="s">
        <v>28</v>
      </c>
      <c r="I2847" s="18" t="s">
        <v>28</v>
      </c>
      <c r="J2847" s="18" t="s">
        <v>28</v>
      </c>
      <c r="K2847" s="18" t="s">
        <v>28</v>
      </c>
      <c r="L2847" s="18" t="s">
        <v>28</v>
      </c>
      <c r="M2847" s="18" t="s">
        <v>28</v>
      </c>
      <c r="N2847" s="17">
        <v>44791</v>
      </c>
      <c r="O2847" s="15" t="s">
        <v>30</v>
      </c>
      <c r="P2847" s="16" t="s">
        <v>9602</v>
      </c>
      <c r="Q2847" s="15" t="s">
        <v>119</v>
      </c>
      <c r="R2847" s="13" t="str">
        <f>HYPERLINK("https://my.pitchbook.com?c=201422-53T","View Company Online")</f>
        <v>View Company Online</v>
      </c>
    </row>
    <row r="2848" spans="1:18" hidden="1" x14ac:dyDescent="0.3">
      <c r="A2848" s="9" t="s">
        <v>9603</v>
      </c>
      <c r="B2848" s="9" t="s">
        <v>9604</v>
      </c>
      <c r="C2848" s="11" t="s">
        <v>28</v>
      </c>
      <c r="D2848" s="9" t="s">
        <v>9605</v>
      </c>
      <c r="E2848" s="11" t="s">
        <v>28</v>
      </c>
      <c r="F2848" s="10" t="s">
        <v>28</v>
      </c>
      <c r="G2848" s="10" t="s">
        <v>28</v>
      </c>
      <c r="H2848" s="10" t="s">
        <v>28</v>
      </c>
      <c r="I2848" s="11" t="s">
        <v>28</v>
      </c>
      <c r="J2848" s="11" t="s">
        <v>28</v>
      </c>
      <c r="K2848" s="11" t="s">
        <v>28</v>
      </c>
      <c r="L2848" s="11" t="s">
        <v>28</v>
      </c>
      <c r="M2848" s="11" t="s">
        <v>28</v>
      </c>
      <c r="N2848" s="8">
        <v>44791</v>
      </c>
      <c r="O2848" s="9" t="s">
        <v>30</v>
      </c>
      <c r="P2848" s="12" t="s">
        <v>9606</v>
      </c>
      <c r="Q2848" s="9" t="s">
        <v>119</v>
      </c>
      <c r="R2848" s="14" t="str">
        <f>HYPERLINK("https://my.pitchbook.com?c=218562-04T","View Company Online")</f>
        <v>View Company Online</v>
      </c>
    </row>
    <row r="2849" spans="1:18" hidden="1" x14ac:dyDescent="0.3">
      <c r="A2849" s="15" t="s">
        <v>9607</v>
      </c>
      <c r="B2849" s="15" t="s">
        <v>5044</v>
      </c>
      <c r="C2849" s="18" t="s">
        <v>28</v>
      </c>
      <c r="D2849" s="15" t="s">
        <v>5045</v>
      </c>
      <c r="E2849" s="18" t="s">
        <v>28</v>
      </c>
      <c r="F2849" s="19" t="s">
        <v>28</v>
      </c>
      <c r="G2849" s="19">
        <v>2.2799999999999998</v>
      </c>
      <c r="H2849" s="19" t="s">
        <v>28</v>
      </c>
      <c r="I2849" s="18" t="s">
        <v>28</v>
      </c>
      <c r="J2849" s="18" t="s">
        <v>28</v>
      </c>
      <c r="K2849" s="18" t="s">
        <v>28</v>
      </c>
      <c r="L2849" s="18" t="s">
        <v>28</v>
      </c>
      <c r="M2849" s="18" t="s">
        <v>28</v>
      </c>
      <c r="N2849" s="17">
        <v>44790</v>
      </c>
      <c r="O2849" s="15" t="s">
        <v>79</v>
      </c>
      <c r="P2849" s="16" t="s">
        <v>28</v>
      </c>
      <c r="Q2849" s="15" t="s">
        <v>75</v>
      </c>
      <c r="R2849" s="13" t="str">
        <f>HYPERLINK("https://my.pitchbook.com?c=202129-48T","View Company Online")</f>
        <v>View Company Online</v>
      </c>
    </row>
    <row r="2850" spans="1:18" hidden="1" x14ac:dyDescent="0.3">
      <c r="A2850" s="9" t="s">
        <v>9608</v>
      </c>
      <c r="B2850" s="9" t="s">
        <v>9609</v>
      </c>
      <c r="C2850" s="11" t="s">
        <v>28</v>
      </c>
      <c r="D2850" s="9" t="s">
        <v>9610</v>
      </c>
      <c r="E2850" s="11" t="s">
        <v>28</v>
      </c>
      <c r="F2850" s="10">
        <v>5.71</v>
      </c>
      <c r="G2850" s="10">
        <v>5.71</v>
      </c>
      <c r="H2850" s="10">
        <v>5.71</v>
      </c>
      <c r="I2850" s="11" t="s">
        <v>28</v>
      </c>
      <c r="J2850" s="11" t="s">
        <v>28</v>
      </c>
      <c r="K2850" s="11">
        <v>2.4700000000000002</v>
      </c>
      <c r="L2850" s="11">
        <v>2.31</v>
      </c>
      <c r="M2850" s="11" t="s">
        <v>28</v>
      </c>
      <c r="N2850" s="8">
        <v>44790</v>
      </c>
      <c r="O2850" s="9" t="s">
        <v>30</v>
      </c>
      <c r="P2850" s="12" t="s">
        <v>3561</v>
      </c>
      <c r="Q2850" s="9" t="s">
        <v>114</v>
      </c>
      <c r="R2850" s="14" t="str">
        <f>HYPERLINK("https://my.pitchbook.com?c=294889-51T","View Company Online")</f>
        <v>View Company Online</v>
      </c>
    </row>
    <row r="2851" spans="1:18" hidden="1" x14ac:dyDescent="0.3">
      <c r="A2851" s="15" t="s">
        <v>9611</v>
      </c>
      <c r="B2851" s="15" t="s">
        <v>9612</v>
      </c>
      <c r="C2851" s="18" t="s">
        <v>28</v>
      </c>
      <c r="D2851" s="15" t="s">
        <v>9613</v>
      </c>
      <c r="E2851" s="18" t="s">
        <v>28</v>
      </c>
      <c r="F2851" s="19" t="s">
        <v>28</v>
      </c>
      <c r="G2851" s="19" t="s">
        <v>28</v>
      </c>
      <c r="H2851" s="19" t="s">
        <v>28</v>
      </c>
      <c r="I2851" s="18" t="s">
        <v>28</v>
      </c>
      <c r="J2851" s="18" t="s">
        <v>28</v>
      </c>
      <c r="K2851" s="18" t="s">
        <v>28</v>
      </c>
      <c r="L2851" s="18" t="s">
        <v>28</v>
      </c>
      <c r="M2851" s="18" t="s">
        <v>28</v>
      </c>
      <c r="N2851" s="17">
        <v>44790</v>
      </c>
      <c r="O2851" s="15" t="s">
        <v>30</v>
      </c>
      <c r="P2851" s="16" t="s">
        <v>4262</v>
      </c>
      <c r="Q2851" s="15" t="s">
        <v>245</v>
      </c>
      <c r="R2851" s="13" t="str">
        <f>HYPERLINK("https://my.pitchbook.com?c=210037-42T","View Company Online")</f>
        <v>View Company Online</v>
      </c>
    </row>
    <row r="2852" spans="1:18" hidden="1" x14ac:dyDescent="0.3">
      <c r="A2852" s="9" t="s">
        <v>9614</v>
      </c>
      <c r="B2852" s="9" t="s">
        <v>9615</v>
      </c>
      <c r="C2852" s="11" t="s">
        <v>28</v>
      </c>
      <c r="D2852" s="9" t="s">
        <v>9616</v>
      </c>
      <c r="E2852" s="11" t="s">
        <v>28</v>
      </c>
      <c r="F2852" s="10" t="s">
        <v>28</v>
      </c>
      <c r="G2852" s="10" t="s">
        <v>28</v>
      </c>
      <c r="H2852" s="10" t="s">
        <v>28</v>
      </c>
      <c r="I2852" s="11" t="s">
        <v>28</v>
      </c>
      <c r="J2852" s="11" t="s">
        <v>28</v>
      </c>
      <c r="K2852" s="11" t="s">
        <v>28</v>
      </c>
      <c r="L2852" s="11" t="s">
        <v>28</v>
      </c>
      <c r="M2852" s="11" t="s">
        <v>28</v>
      </c>
      <c r="N2852" s="8">
        <v>44790</v>
      </c>
      <c r="O2852" s="9" t="s">
        <v>30</v>
      </c>
      <c r="P2852" s="12" t="s">
        <v>4004</v>
      </c>
      <c r="Q2852" s="9" t="s">
        <v>188</v>
      </c>
      <c r="R2852" s="14" t="str">
        <f>HYPERLINK("https://my.pitchbook.com?c=208549-00T","View Company Online")</f>
        <v>View Company Online</v>
      </c>
    </row>
    <row r="2853" spans="1:18" hidden="1" x14ac:dyDescent="0.3">
      <c r="A2853" s="15" t="s">
        <v>9617</v>
      </c>
      <c r="B2853" s="15" t="s">
        <v>3802</v>
      </c>
      <c r="C2853" s="18" t="s">
        <v>28</v>
      </c>
      <c r="D2853" s="15" t="s">
        <v>3803</v>
      </c>
      <c r="E2853" s="18" t="s">
        <v>28</v>
      </c>
      <c r="F2853" s="19" t="s">
        <v>28</v>
      </c>
      <c r="G2853" s="19">
        <v>0.3</v>
      </c>
      <c r="H2853" s="19" t="s">
        <v>28</v>
      </c>
      <c r="I2853" s="18" t="s">
        <v>28</v>
      </c>
      <c r="J2853" s="18" t="s">
        <v>28</v>
      </c>
      <c r="K2853" s="18" t="s">
        <v>28</v>
      </c>
      <c r="L2853" s="18" t="s">
        <v>28</v>
      </c>
      <c r="M2853" s="18" t="s">
        <v>28</v>
      </c>
      <c r="N2853" s="17">
        <v>44789</v>
      </c>
      <c r="O2853" s="15" t="s">
        <v>73</v>
      </c>
      <c r="P2853" s="16" t="s">
        <v>9618</v>
      </c>
      <c r="Q2853" s="15" t="s">
        <v>386</v>
      </c>
      <c r="R2853" s="13" t="str">
        <f>HYPERLINK("https://my.pitchbook.com?c=201792-70T","View Company Online")</f>
        <v>View Company Online</v>
      </c>
    </row>
    <row r="2854" spans="1:18" hidden="1" x14ac:dyDescent="0.3">
      <c r="A2854" s="9" t="s">
        <v>9619</v>
      </c>
      <c r="B2854" s="9" t="s">
        <v>9620</v>
      </c>
      <c r="C2854" s="11" t="s">
        <v>28</v>
      </c>
      <c r="D2854" s="9" t="s">
        <v>9621</v>
      </c>
      <c r="E2854" s="11" t="s">
        <v>28</v>
      </c>
      <c r="F2854" s="10" t="s">
        <v>28</v>
      </c>
      <c r="G2854" s="10" t="s">
        <v>28</v>
      </c>
      <c r="H2854" s="10" t="s">
        <v>28</v>
      </c>
      <c r="I2854" s="11" t="s">
        <v>28</v>
      </c>
      <c r="J2854" s="11" t="s">
        <v>28</v>
      </c>
      <c r="K2854" s="11" t="s">
        <v>28</v>
      </c>
      <c r="L2854" s="11" t="s">
        <v>28</v>
      </c>
      <c r="M2854" s="11" t="s">
        <v>28</v>
      </c>
      <c r="N2854" s="8">
        <v>44789</v>
      </c>
      <c r="O2854" s="9" t="s">
        <v>41</v>
      </c>
      <c r="P2854" s="12" t="s">
        <v>28</v>
      </c>
      <c r="Q2854" s="9" t="s">
        <v>75</v>
      </c>
      <c r="R2854" s="14" t="str">
        <f>HYPERLINK("https://my.pitchbook.com?c=204259-78T","View Company Online")</f>
        <v>View Company Online</v>
      </c>
    </row>
    <row r="2855" spans="1:18" hidden="1" x14ac:dyDescent="0.3">
      <c r="A2855" s="15" t="s">
        <v>9622</v>
      </c>
      <c r="B2855" s="15" t="s">
        <v>9623</v>
      </c>
      <c r="C2855" s="18" t="s">
        <v>28</v>
      </c>
      <c r="D2855" s="15" t="s">
        <v>9624</v>
      </c>
      <c r="E2855" s="18" t="s">
        <v>28</v>
      </c>
      <c r="F2855" s="19" t="s">
        <v>28</v>
      </c>
      <c r="G2855" s="19" t="s">
        <v>28</v>
      </c>
      <c r="H2855" s="19" t="s">
        <v>28</v>
      </c>
      <c r="I2855" s="18" t="s">
        <v>28</v>
      </c>
      <c r="J2855" s="18" t="s">
        <v>28</v>
      </c>
      <c r="K2855" s="18" t="s">
        <v>28</v>
      </c>
      <c r="L2855" s="18" t="s">
        <v>28</v>
      </c>
      <c r="M2855" s="18" t="s">
        <v>28</v>
      </c>
      <c r="N2855" s="17">
        <v>44789</v>
      </c>
      <c r="O2855" s="15" t="s">
        <v>30</v>
      </c>
      <c r="P2855" s="16" t="s">
        <v>28</v>
      </c>
      <c r="Q2855" s="15" t="s">
        <v>240</v>
      </c>
      <c r="R2855" s="13" t="str">
        <f>HYPERLINK("https://my.pitchbook.com?c=223570-36T","View Company Online")</f>
        <v>View Company Online</v>
      </c>
    </row>
    <row r="2856" spans="1:18" hidden="1" x14ac:dyDescent="0.3">
      <c r="A2856" s="9" t="s">
        <v>9625</v>
      </c>
      <c r="B2856" s="9" t="s">
        <v>9626</v>
      </c>
      <c r="C2856" s="11" t="s">
        <v>28</v>
      </c>
      <c r="D2856" s="9" t="s">
        <v>9627</v>
      </c>
      <c r="E2856" s="11" t="s">
        <v>28</v>
      </c>
      <c r="F2856" s="10" t="s">
        <v>28</v>
      </c>
      <c r="G2856" s="10" t="s">
        <v>28</v>
      </c>
      <c r="H2856" s="10" t="s">
        <v>28</v>
      </c>
      <c r="I2856" s="11" t="s">
        <v>28</v>
      </c>
      <c r="J2856" s="11" t="s">
        <v>28</v>
      </c>
      <c r="K2856" s="11" t="s">
        <v>28</v>
      </c>
      <c r="L2856" s="11" t="s">
        <v>28</v>
      </c>
      <c r="M2856" s="11" t="s">
        <v>28</v>
      </c>
      <c r="N2856" s="8">
        <v>44788</v>
      </c>
      <c r="O2856" s="9" t="s">
        <v>30</v>
      </c>
      <c r="P2856" s="12" t="s">
        <v>9628</v>
      </c>
      <c r="Q2856" s="9" t="s">
        <v>114</v>
      </c>
      <c r="R2856" s="14" t="str">
        <f>HYPERLINK("https://my.pitchbook.com?c=208988-92T","View Company Online")</f>
        <v>View Company Online</v>
      </c>
    </row>
    <row r="2857" spans="1:18" hidden="1" x14ac:dyDescent="0.3">
      <c r="A2857" s="15" t="s">
        <v>9629</v>
      </c>
      <c r="B2857" s="15" t="s">
        <v>9630</v>
      </c>
      <c r="C2857" s="18" t="s">
        <v>28</v>
      </c>
      <c r="D2857" s="15" t="s">
        <v>9631</v>
      </c>
      <c r="E2857" s="18" t="s">
        <v>28</v>
      </c>
      <c r="F2857" s="19" t="s">
        <v>28</v>
      </c>
      <c r="G2857" s="19" t="s">
        <v>28</v>
      </c>
      <c r="H2857" s="19" t="s">
        <v>28</v>
      </c>
      <c r="I2857" s="18" t="s">
        <v>28</v>
      </c>
      <c r="J2857" s="18" t="s">
        <v>28</v>
      </c>
      <c r="K2857" s="18" t="s">
        <v>28</v>
      </c>
      <c r="L2857" s="18" t="s">
        <v>28</v>
      </c>
      <c r="M2857" s="18" t="s">
        <v>28</v>
      </c>
      <c r="N2857" s="17">
        <v>44788</v>
      </c>
      <c r="O2857" s="15" t="s">
        <v>52</v>
      </c>
      <c r="P2857" s="16" t="s">
        <v>9632</v>
      </c>
      <c r="Q2857" s="15" t="s">
        <v>3912</v>
      </c>
      <c r="R2857" s="13" t="str">
        <f>HYPERLINK("https://my.pitchbook.com?c=267939-46T","View Company Online")</f>
        <v>View Company Online</v>
      </c>
    </row>
    <row r="2858" spans="1:18" hidden="1" x14ac:dyDescent="0.3">
      <c r="A2858" s="9" t="s">
        <v>9633</v>
      </c>
      <c r="B2858" s="9" t="s">
        <v>9634</v>
      </c>
      <c r="C2858" s="11" t="s">
        <v>28</v>
      </c>
      <c r="D2858" s="9" t="s">
        <v>9635</v>
      </c>
      <c r="E2858" s="11" t="s">
        <v>28</v>
      </c>
      <c r="F2858" s="10" t="s">
        <v>28</v>
      </c>
      <c r="G2858" s="10" t="s">
        <v>28</v>
      </c>
      <c r="H2858" s="10" t="s">
        <v>28</v>
      </c>
      <c r="I2858" s="11" t="s">
        <v>28</v>
      </c>
      <c r="J2858" s="11" t="s">
        <v>28</v>
      </c>
      <c r="K2858" s="11" t="s">
        <v>28</v>
      </c>
      <c r="L2858" s="11" t="s">
        <v>28</v>
      </c>
      <c r="M2858" s="11" t="s">
        <v>28</v>
      </c>
      <c r="N2858" s="8">
        <v>44788</v>
      </c>
      <c r="O2858" s="9" t="s">
        <v>52</v>
      </c>
      <c r="P2858" s="12" t="s">
        <v>3818</v>
      </c>
      <c r="Q2858" s="9" t="s">
        <v>37</v>
      </c>
      <c r="R2858" s="14" t="str">
        <f>HYPERLINK("https://my.pitchbook.com?c=264807-73T","View Company Online")</f>
        <v>View Company Online</v>
      </c>
    </row>
    <row r="2859" spans="1:18" hidden="1" x14ac:dyDescent="0.3">
      <c r="A2859" s="15" t="s">
        <v>9636</v>
      </c>
      <c r="B2859" s="15" t="s">
        <v>9299</v>
      </c>
      <c r="C2859" s="18" t="s">
        <v>28</v>
      </c>
      <c r="D2859" s="15" t="s">
        <v>9300</v>
      </c>
      <c r="E2859" s="18" t="s">
        <v>28</v>
      </c>
      <c r="F2859" s="19" t="s">
        <v>28</v>
      </c>
      <c r="G2859" s="19" t="s">
        <v>28</v>
      </c>
      <c r="H2859" s="19" t="s">
        <v>28</v>
      </c>
      <c r="I2859" s="18" t="s">
        <v>28</v>
      </c>
      <c r="J2859" s="18" t="s">
        <v>28</v>
      </c>
      <c r="K2859" s="18" t="s">
        <v>28</v>
      </c>
      <c r="L2859" s="18" t="s">
        <v>28</v>
      </c>
      <c r="M2859" s="18" t="s">
        <v>28</v>
      </c>
      <c r="N2859" s="17">
        <v>44788</v>
      </c>
      <c r="O2859" s="15" t="s">
        <v>52</v>
      </c>
      <c r="P2859" s="16" t="s">
        <v>68</v>
      </c>
      <c r="Q2859" s="15" t="s">
        <v>1035</v>
      </c>
      <c r="R2859" s="13" t="str">
        <f>HYPERLINK("https://my.pitchbook.com?c=244476-28T","View Company Online")</f>
        <v>View Company Online</v>
      </c>
    </row>
    <row r="2860" spans="1:18" hidden="1" x14ac:dyDescent="0.3">
      <c r="A2860" s="9" t="s">
        <v>9637</v>
      </c>
      <c r="B2860" s="9" t="s">
        <v>7817</v>
      </c>
      <c r="C2860" s="11" t="s">
        <v>28</v>
      </c>
      <c r="D2860" s="9" t="s">
        <v>7818</v>
      </c>
      <c r="E2860" s="11" t="s">
        <v>28</v>
      </c>
      <c r="F2860" s="10" t="s">
        <v>28</v>
      </c>
      <c r="G2860" s="10">
        <v>0.63</v>
      </c>
      <c r="H2860" s="10" t="s">
        <v>28</v>
      </c>
      <c r="I2860" s="11" t="s">
        <v>28</v>
      </c>
      <c r="J2860" s="11" t="s">
        <v>28</v>
      </c>
      <c r="K2860" s="11" t="s">
        <v>28</v>
      </c>
      <c r="L2860" s="11" t="s">
        <v>28</v>
      </c>
      <c r="M2860" s="11" t="s">
        <v>28</v>
      </c>
      <c r="N2860" s="8">
        <v>44788</v>
      </c>
      <c r="O2860" s="9" t="s">
        <v>99</v>
      </c>
      <c r="P2860" s="12" t="s">
        <v>9638</v>
      </c>
      <c r="Q2860" s="9" t="s">
        <v>75</v>
      </c>
      <c r="R2860" s="14" t="str">
        <f>HYPERLINK("https://my.pitchbook.com?c=201759-13T","View Company Online")</f>
        <v>View Company Online</v>
      </c>
    </row>
    <row r="2861" spans="1:18" hidden="1" x14ac:dyDescent="0.3">
      <c r="A2861" s="15" t="s">
        <v>9639</v>
      </c>
      <c r="B2861" s="15" t="s">
        <v>9640</v>
      </c>
      <c r="C2861" s="18" t="s">
        <v>28</v>
      </c>
      <c r="D2861" s="15" t="s">
        <v>9641</v>
      </c>
      <c r="E2861" s="18" t="s">
        <v>28</v>
      </c>
      <c r="F2861" s="19" t="s">
        <v>28</v>
      </c>
      <c r="G2861" s="19" t="s">
        <v>28</v>
      </c>
      <c r="H2861" s="19" t="s">
        <v>28</v>
      </c>
      <c r="I2861" s="18" t="s">
        <v>28</v>
      </c>
      <c r="J2861" s="18" t="s">
        <v>28</v>
      </c>
      <c r="K2861" s="18" t="s">
        <v>28</v>
      </c>
      <c r="L2861" s="18" t="s">
        <v>28</v>
      </c>
      <c r="M2861" s="18" t="s">
        <v>28</v>
      </c>
      <c r="N2861" s="17">
        <v>44788</v>
      </c>
      <c r="O2861" s="15" t="s">
        <v>52</v>
      </c>
      <c r="P2861" s="16" t="s">
        <v>3818</v>
      </c>
      <c r="Q2861" s="15" t="s">
        <v>583</v>
      </c>
      <c r="R2861" s="13" t="str">
        <f>HYPERLINK("https://my.pitchbook.com?c=272474-83T","View Company Online")</f>
        <v>View Company Online</v>
      </c>
    </row>
    <row r="2862" spans="1:18" hidden="1" x14ac:dyDescent="0.3">
      <c r="A2862" s="9" t="s">
        <v>9642</v>
      </c>
      <c r="B2862" s="9" t="s">
        <v>2994</v>
      </c>
      <c r="C2862" s="11" t="s">
        <v>28</v>
      </c>
      <c r="D2862" s="9" t="s">
        <v>2995</v>
      </c>
      <c r="E2862" s="11" t="s">
        <v>28</v>
      </c>
      <c r="F2862" s="10" t="s">
        <v>28</v>
      </c>
      <c r="G2862" s="10">
        <v>1.52</v>
      </c>
      <c r="H2862" s="10" t="s">
        <v>28</v>
      </c>
      <c r="I2862" s="11" t="s">
        <v>28</v>
      </c>
      <c r="J2862" s="11" t="s">
        <v>28</v>
      </c>
      <c r="K2862" s="11" t="s">
        <v>28</v>
      </c>
      <c r="L2862" s="11" t="s">
        <v>28</v>
      </c>
      <c r="M2862" s="11" t="s">
        <v>28</v>
      </c>
      <c r="N2862" s="8">
        <v>44788</v>
      </c>
      <c r="O2862" s="9" t="s">
        <v>99</v>
      </c>
      <c r="P2862" s="12" t="s">
        <v>9643</v>
      </c>
      <c r="Q2862" s="9" t="s">
        <v>37</v>
      </c>
      <c r="R2862" s="14" t="str">
        <f>HYPERLINK("https://my.pitchbook.com?c=201708-82T","View Company Online")</f>
        <v>View Company Online</v>
      </c>
    </row>
    <row r="2863" spans="1:18" hidden="1" x14ac:dyDescent="0.3">
      <c r="A2863" s="15" t="s">
        <v>9644</v>
      </c>
      <c r="B2863" s="15" t="s">
        <v>7046</v>
      </c>
      <c r="C2863" s="18" t="s">
        <v>28</v>
      </c>
      <c r="D2863" s="15" t="s">
        <v>7047</v>
      </c>
      <c r="E2863" s="18" t="s">
        <v>28</v>
      </c>
      <c r="F2863" s="19" t="s">
        <v>28</v>
      </c>
      <c r="G2863" s="19">
        <v>2.5</v>
      </c>
      <c r="H2863" s="19" t="s">
        <v>28</v>
      </c>
      <c r="I2863" s="18" t="s">
        <v>28</v>
      </c>
      <c r="J2863" s="18" t="s">
        <v>28</v>
      </c>
      <c r="K2863" s="18" t="s">
        <v>28</v>
      </c>
      <c r="L2863" s="18" t="s">
        <v>28</v>
      </c>
      <c r="M2863" s="18" t="s">
        <v>28</v>
      </c>
      <c r="N2863" s="17">
        <v>44788</v>
      </c>
      <c r="O2863" s="15" t="s">
        <v>99</v>
      </c>
      <c r="P2863" s="16" t="s">
        <v>9645</v>
      </c>
      <c r="Q2863" s="15" t="s">
        <v>37</v>
      </c>
      <c r="R2863" s="13" t="str">
        <f>HYPERLINK("https://my.pitchbook.com?c=226803-88T","View Company Online")</f>
        <v>View Company Online</v>
      </c>
    </row>
    <row r="2864" spans="1:18" hidden="1" x14ac:dyDescent="0.3">
      <c r="A2864" s="9" t="s">
        <v>9646</v>
      </c>
      <c r="B2864" s="9" t="s">
        <v>9647</v>
      </c>
      <c r="C2864" s="11" t="s">
        <v>28</v>
      </c>
      <c r="D2864" s="9" t="s">
        <v>9648</v>
      </c>
      <c r="E2864" s="11" t="s">
        <v>28</v>
      </c>
      <c r="F2864" s="10" t="s">
        <v>28</v>
      </c>
      <c r="G2864" s="10" t="s">
        <v>28</v>
      </c>
      <c r="H2864" s="10" t="s">
        <v>28</v>
      </c>
      <c r="I2864" s="11" t="s">
        <v>28</v>
      </c>
      <c r="J2864" s="11" t="s">
        <v>28</v>
      </c>
      <c r="K2864" s="11" t="s">
        <v>28</v>
      </c>
      <c r="L2864" s="11" t="s">
        <v>28</v>
      </c>
      <c r="M2864" s="11" t="s">
        <v>28</v>
      </c>
      <c r="N2864" s="8">
        <v>44788</v>
      </c>
      <c r="O2864" s="9" t="s">
        <v>30</v>
      </c>
      <c r="P2864" s="12" t="s">
        <v>9649</v>
      </c>
      <c r="Q2864" s="9" t="s">
        <v>75</v>
      </c>
      <c r="R2864" s="14" t="str">
        <f>HYPERLINK("https://my.pitchbook.com?c=201766-51T","View Company Online")</f>
        <v>View Company Online</v>
      </c>
    </row>
    <row r="2865" spans="1:18" hidden="1" x14ac:dyDescent="0.3">
      <c r="A2865" s="15" t="s">
        <v>9650</v>
      </c>
      <c r="B2865" s="15" t="s">
        <v>9651</v>
      </c>
      <c r="C2865" s="18" t="s">
        <v>28</v>
      </c>
      <c r="D2865" s="15" t="s">
        <v>9652</v>
      </c>
      <c r="E2865" s="18" t="s">
        <v>28</v>
      </c>
      <c r="F2865" s="19" t="s">
        <v>28</v>
      </c>
      <c r="G2865" s="19" t="s">
        <v>28</v>
      </c>
      <c r="H2865" s="19" t="s">
        <v>28</v>
      </c>
      <c r="I2865" s="18" t="s">
        <v>28</v>
      </c>
      <c r="J2865" s="18" t="s">
        <v>28</v>
      </c>
      <c r="K2865" s="18" t="s">
        <v>28</v>
      </c>
      <c r="L2865" s="18" t="s">
        <v>28</v>
      </c>
      <c r="M2865" s="18" t="s">
        <v>28</v>
      </c>
      <c r="N2865" s="17">
        <v>44788</v>
      </c>
      <c r="O2865" s="15" t="s">
        <v>52</v>
      </c>
      <c r="P2865" s="16" t="s">
        <v>4736</v>
      </c>
      <c r="Q2865" s="15" t="s">
        <v>43</v>
      </c>
      <c r="R2865" s="13" t="str">
        <f>HYPERLINK("https://my.pitchbook.com?c=276351-31T","View Company Online")</f>
        <v>View Company Online</v>
      </c>
    </row>
    <row r="2866" spans="1:18" hidden="1" x14ac:dyDescent="0.3">
      <c r="A2866" s="9" t="s">
        <v>9653</v>
      </c>
      <c r="B2866" s="9" t="s">
        <v>9654</v>
      </c>
      <c r="C2866" s="11" t="s">
        <v>28</v>
      </c>
      <c r="D2866" s="9" t="s">
        <v>9655</v>
      </c>
      <c r="E2866" s="11" t="s">
        <v>28</v>
      </c>
      <c r="F2866" s="10" t="s">
        <v>28</v>
      </c>
      <c r="G2866" s="10" t="s">
        <v>28</v>
      </c>
      <c r="H2866" s="10" t="s">
        <v>28</v>
      </c>
      <c r="I2866" s="11" t="s">
        <v>28</v>
      </c>
      <c r="J2866" s="11" t="s">
        <v>28</v>
      </c>
      <c r="K2866" s="11" t="s">
        <v>28</v>
      </c>
      <c r="L2866" s="11" t="s">
        <v>28</v>
      </c>
      <c r="M2866" s="11" t="s">
        <v>28</v>
      </c>
      <c r="N2866" s="8">
        <v>44788</v>
      </c>
      <c r="O2866" s="9" t="s">
        <v>52</v>
      </c>
      <c r="P2866" s="12" t="s">
        <v>3818</v>
      </c>
      <c r="Q2866" s="9" t="s">
        <v>43</v>
      </c>
      <c r="R2866" s="14" t="str">
        <f>HYPERLINK("https://my.pitchbook.com?c=276531-85T","View Company Online")</f>
        <v>View Company Online</v>
      </c>
    </row>
    <row r="2867" spans="1:18" hidden="1" x14ac:dyDescent="0.3">
      <c r="A2867" s="15" t="s">
        <v>9656</v>
      </c>
      <c r="B2867" s="15" t="s">
        <v>9657</v>
      </c>
      <c r="C2867" s="18" t="s">
        <v>28</v>
      </c>
      <c r="D2867" s="15" t="s">
        <v>9658</v>
      </c>
      <c r="E2867" s="18" t="s">
        <v>28</v>
      </c>
      <c r="F2867" s="19" t="s">
        <v>28</v>
      </c>
      <c r="G2867" s="19" t="s">
        <v>28</v>
      </c>
      <c r="H2867" s="19" t="s">
        <v>28</v>
      </c>
      <c r="I2867" s="18" t="s">
        <v>28</v>
      </c>
      <c r="J2867" s="18" t="s">
        <v>28</v>
      </c>
      <c r="K2867" s="18" t="s">
        <v>28</v>
      </c>
      <c r="L2867" s="18" t="s">
        <v>28</v>
      </c>
      <c r="M2867" s="18" t="s">
        <v>28</v>
      </c>
      <c r="N2867" s="17">
        <v>44788</v>
      </c>
      <c r="O2867" s="15" t="s">
        <v>73</v>
      </c>
      <c r="P2867" s="16" t="s">
        <v>9659</v>
      </c>
      <c r="Q2867" s="15" t="s">
        <v>37</v>
      </c>
      <c r="R2867" s="13" t="str">
        <f>HYPERLINK("https://my.pitchbook.com?c=251591-95T","View Company Online")</f>
        <v>View Company Online</v>
      </c>
    </row>
    <row r="2868" spans="1:18" hidden="1" x14ac:dyDescent="0.3">
      <c r="A2868" s="9" t="s">
        <v>9660</v>
      </c>
      <c r="B2868" s="9" t="s">
        <v>4498</v>
      </c>
      <c r="C2868" s="11" t="s">
        <v>28</v>
      </c>
      <c r="D2868" s="9" t="s">
        <v>4499</v>
      </c>
      <c r="E2868" s="11" t="s">
        <v>28</v>
      </c>
      <c r="F2868" s="10" t="s">
        <v>28</v>
      </c>
      <c r="G2868" s="10" t="s">
        <v>28</v>
      </c>
      <c r="H2868" s="10" t="s">
        <v>28</v>
      </c>
      <c r="I2868" s="11" t="s">
        <v>28</v>
      </c>
      <c r="J2868" s="11" t="s">
        <v>28</v>
      </c>
      <c r="K2868" s="11" t="s">
        <v>28</v>
      </c>
      <c r="L2868" s="11" t="s">
        <v>28</v>
      </c>
      <c r="M2868" s="11" t="s">
        <v>28</v>
      </c>
      <c r="N2868" s="8">
        <v>44788</v>
      </c>
      <c r="O2868" s="9" t="s">
        <v>52</v>
      </c>
      <c r="P2868" s="12" t="s">
        <v>3818</v>
      </c>
      <c r="Q2868" s="9" t="s">
        <v>43</v>
      </c>
      <c r="R2868" s="14" t="str">
        <f>HYPERLINK("https://my.pitchbook.com?c=277252-93T","View Company Online")</f>
        <v>View Company Online</v>
      </c>
    </row>
    <row r="2869" spans="1:18" hidden="1" x14ac:dyDescent="0.3">
      <c r="A2869" s="15" t="s">
        <v>9661</v>
      </c>
      <c r="B2869" s="15" t="s">
        <v>9662</v>
      </c>
      <c r="C2869" s="18" t="s">
        <v>28</v>
      </c>
      <c r="D2869" s="15" t="s">
        <v>9663</v>
      </c>
      <c r="E2869" s="18" t="s">
        <v>28</v>
      </c>
      <c r="F2869" s="19" t="s">
        <v>28</v>
      </c>
      <c r="G2869" s="19" t="s">
        <v>28</v>
      </c>
      <c r="H2869" s="19" t="s">
        <v>28</v>
      </c>
      <c r="I2869" s="18" t="s">
        <v>28</v>
      </c>
      <c r="J2869" s="18" t="s">
        <v>28</v>
      </c>
      <c r="K2869" s="18" t="s">
        <v>28</v>
      </c>
      <c r="L2869" s="18" t="s">
        <v>28</v>
      </c>
      <c r="M2869" s="18" t="s">
        <v>28</v>
      </c>
      <c r="N2869" s="17">
        <v>44786</v>
      </c>
      <c r="O2869" s="15" t="s">
        <v>58</v>
      </c>
      <c r="P2869" s="16" t="s">
        <v>9664</v>
      </c>
      <c r="Q2869" s="15" t="s">
        <v>75</v>
      </c>
      <c r="R2869" s="13" t="str">
        <f>HYPERLINK("https://my.pitchbook.com?c=209520-91T","View Company Online")</f>
        <v>View Company Online</v>
      </c>
    </row>
    <row r="2870" spans="1:18" hidden="1" x14ac:dyDescent="0.3">
      <c r="A2870" s="9" t="s">
        <v>9665</v>
      </c>
      <c r="B2870" s="9" t="s">
        <v>4089</v>
      </c>
      <c r="C2870" s="11" t="s">
        <v>28</v>
      </c>
      <c r="D2870" s="9" t="s">
        <v>4090</v>
      </c>
      <c r="E2870" s="11">
        <v>-17.03</v>
      </c>
      <c r="F2870" s="10" t="s">
        <v>28</v>
      </c>
      <c r="G2870" s="10">
        <v>75.59</v>
      </c>
      <c r="H2870" s="10" t="s">
        <v>28</v>
      </c>
      <c r="I2870" s="11">
        <v>0.3</v>
      </c>
      <c r="J2870" s="11" t="s">
        <v>28</v>
      </c>
      <c r="K2870" s="11">
        <v>130.76</v>
      </c>
      <c r="L2870" s="11" t="s">
        <v>28</v>
      </c>
      <c r="M2870" s="11">
        <v>-28.4</v>
      </c>
      <c r="N2870" s="8">
        <v>44785</v>
      </c>
      <c r="O2870" s="9" t="s">
        <v>159</v>
      </c>
      <c r="P2870" s="12" t="s">
        <v>9666</v>
      </c>
      <c r="Q2870" s="9" t="s">
        <v>75</v>
      </c>
      <c r="R2870" s="14" t="str">
        <f>HYPERLINK("https://my.pitchbook.com?c=201692-17T","View Company Online")</f>
        <v>View Company Online</v>
      </c>
    </row>
    <row r="2871" spans="1:18" hidden="1" x14ac:dyDescent="0.3">
      <c r="A2871" s="15" t="s">
        <v>9667</v>
      </c>
      <c r="B2871" s="15" t="s">
        <v>2452</v>
      </c>
      <c r="C2871" s="18" t="s">
        <v>28</v>
      </c>
      <c r="D2871" s="15" t="s">
        <v>2453</v>
      </c>
      <c r="E2871" s="18" t="s">
        <v>28</v>
      </c>
      <c r="F2871" s="19" t="s">
        <v>28</v>
      </c>
      <c r="G2871" s="19">
        <v>0.19</v>
      </c>
      <c r="H2871" s="19" t="s">
        <v>28</v>
      </c>
      <c r="I2871" s="18" t="s">
        <v>28</v>
      </c>
      <c r="J2871" s="18" t="s">
        <v>28</v>
      </c>
      <c r="K2871" s="18" t="s">
        <v>28</v>
      </c>
      <c r="L2871" s="18" t="s">
        <v>28</v>
      </c>
      <c r="M2871" s="18" t="s">
        <v>28</v>
      </c>
      <c r="N2871" s="17">
        <v>44785</v>
      </c>
      <c r="O2871" s="15" t="s">
        <v>379</v>
      </c>
      <c r="P2871" s="16" t="s">
        <v>9668</v>
      </c>
      <c r="Q2871" s="15" t="s">
        <v>692</v>
      </c>
      <c r="R2871" s="13" t="str">
        <f>HYPERLINK("https://my.pitchbook.com?c=232978-33T","View Company Online")</f>
        <v>View Company Online</v>
      </c>
    </row>
    <row r="2872" spans="1:18" hidden="1" x14ac:dyDescent="0.3">
      <c r="A2872" s="9" t="s">
        <v>9669</v>
      </c>
      <c r="B2872" s="9" t="s">
        <v>3703</v>
      </c>
      <c r="C2872" s="11" t="s">
        <v>28</v>
      </c>
      <c r="D2872" s="9" t="s">
        <v>3704</v>
      </c>
      <c r="E2872" s="11" t="s">
        <v>28</v>
      </c>
      <c r="F2872" s="10" t="s">
        <v>28</v>
      </c>
      <c r="G2872" s="10">
        <v>0.94</v>
      </c>
      <c r="H2872" s="10" t="s">
        <v>28</v>
      </c>
      <c r="I2872" s="11" t="s">
        <v>28</v>
      </c>
      <c r="J2872" s="11" t="s">
        <v>28</v>
      </c>
      <c r="K2872" s="11" t="s">
        <v>28</v>
      </c>
      <c r="L2872" s="11" t="s">
        <v>28</v>
      </c>
      <c r="M2872" s="11" t="s">
        <v>28</v>
      </c>
      <c r="N2872" s="8">
        <v>44785</v>
      </c>
      <c r="O2872" s="9" t="s">
        <v>73</v>
      </c>
      <c r="P2872" s="12" t="s">
        <v>9670</v>
      </c>
      <c r="Q2872" s="9" t="s">
        <v>37</v>
      </c>
      <c r="R2872" s="14" t="str">
        <f>HYPERLINK("https://my.pitchbook.com?c=201689-92T","View Company Online")</f>
        <v>View Company Online</v>
      </c>
    </row>
    <row r="2873" spans="1:18" hidden="1" x14ac:dyDescent="0.3">
      <c r="A2873" s="15" t="s">
        <v>9671</v>
      </c>
      <c r="B2873" s="15" t="s">
        <v>7476</v>
      </c>
      <c r="C2873" s="18" t="s">
        <v>28</v>
      </c>
      <c r="D2873" s="15" t="s">
        <v>7477</v>
      </c>
      <c r="E2873" s="18" t="s">
        <v>28</v>
      </c>
      <c r="F2873" s="19" t="s">
        <v>28</v>
      </c>
      <c r="G2873" s="19">
        <v>15</v>
      </c>
      <c r="H2873" s="19" t="s">
        <v>28</v>
      </c>
      <c r="I2873" s="18" t="s">
        <v>28</v>
      </c>
      <c r="J2873" s="18" t="s">
        <v>28</v>
      </c>
      <c r="K2873" s="18" t="s">
        <v>28</v>
      </c>
      <c r="L2873" s="18" t="s">
        <v>28</v>
      </c>
      <c r="M2873" s="18" t="s">
        <v>28</v>
      </c>
      <c r="N2873" s="17">
        <v>44784</v>
      </c>
      <c r="O2873" s="15" t="s">
        <v>73</v>
      </c>
      <c r="P2873" s="16" t="s">
        <v>9672</v>
      </c>
      <c r="Q2873" s="15" t="s">
        <v>37</v>
      </c>
      <c r="R2873" s="13" t="str">
        <f>HYPERLINK("https://my.pitchbook.com?c=201557-35T","View Company Online")</f>
        <v>View Company Online</v>
      </c>
    </row>
    <row r="2874" spans="1:18" hidden="1" x14ac:dyDescent="0.3">
      <c r="A2874" s="9" t="s">
        <v>9673</v>
      </c>
      <c r="B2874" s="9" t="s">
        <v>9674</v>
      </c>
      <c r="C2874" s="11" t="s">
        <v>28</v>
      </c>
      <c r="D2874" s="9" t="s">
        <v>9675</v>
      </c>
      <c r="E2874" s="11" t="s">
        <v>28</v>
      </c>
      <c r="F2874" s="10" t="s">
        <v>28</v>
      </c>
      <c r="G2874" s="10" t="s">
        <v>28</v>
      </c>
      <c r="H2874" s="10" t="s">
        <v>28</v>
      </c>
      <c r="I2874" s="11" t="s">
        <v>28</v>
      </c>
      <c r="J2874" s="11" t="s">
        <v>28</v>
      </c>
      <c r="K2874" s="11" t="s">
        <v>28</v>
      </c>
      <c r="L2874" s="11" t="s">
        <v>28</v>
      </c>
      <c r="M2874" s="11" t="s">
        <v>28</v>
      </c>
      <c r="N2874" s="8">
        <v>44784</v>
      </c>
      <c r="O2874" s="9" t="s">
        <v>93</v>
      </c>
      <c r="P2874" s="12" t="s">
        <v>9676</v>
      </c>
      <c r="Q2874" s="9" t="s">
        <v>37</v>
      </c>
      <c r="R2874" s="14" t="str">
        <f>HYPERLINK("https://my.pitchbook.com?c=201575-44T","View Company Online")</f>
        <v>View Company Online</v>
      </c>
    </row>
    <row r="2875" spans="1:18" hidden="1" x14ac:dyDescent="0.3">
      <c r="A2875" s="15" t="s">
        <v>9677</v>
      </c>
      <c r="B2875" s="15" t="s">
        <v>9678</v>
      </c>
      <c r="C2875" s="18" t="s">
        <v>28</v>
      </c>
      <c r="D2875" s="15" t="s">
        <v>9679</v>
      </c>
      <c r="E2875" s="18" t="s">
        <v>28</v>
      </c>
      <c r="F2875" s="19" t="s">
        <v>28</v>
      </c>
      <c r="G2875" s="19" t="s">
        <v>28</v>
      </c>
      <c r="H2875" s="19" t="s">
        <v>28</v>
      </c>
      <c r="I2875" s="18" t="s">
        <v>28</v>
      </c>
      <c r="J2875" s="18" t="s">
        <v>28</v>
      </c>
      <c r="K2875" s="18" t="s">
        <v>28</v>
      </c>
      <c r="L2875" s="18" t="s">
        <v>28</v>
      </c>
      <c r="M2875" s="18" t="s">
        <v>28</v>
      </c>
      <c r="N2875" s="17">
        <v>44784</v>
      </c>
      <c r="O2875" s="15" t="s">
        <v>41</v>
      </c>
      <c r="P2875" s="16" t="s">
        <v>9680</v>
      </c>
      <c r="Q2875" s="15" t="s">
        <v>6513</v>
      </c>
      <c r="R2875" s="13" t="str">
        <f>HYPERLINK("https://my.pitchbook.com?c=201839-32T","View Company Online")</f>
        <v>View Company Online</v>
      </c>
    </row>
    <row r="2876" spans="1:18" hidden="1" x14ac:dyDescent="0.3">
      <c r="A2876" s="9" t="s">
        <v>9681</v>
      </c>
      <c r="B2876" s="9" t="s">
        <v>9682</v>
      </c>
      <c r="C2876" s="11" t="s">
        <v>28</v>
      </c>
      <c r="D2876" s="9" t="s">
        <v>9683</v>
      </c>
      <c r="E2876" s="11" t="s">
        <v>28</v>
      </c>
      <c r="F2876" s="10" t="s">
        <v>28</v>
      </c>
      <c r="G2876" s="10" t="s">
        <v>28</v>
      </c>
      <c r="H2876" s="10" t="s">
        <v>28</v>
      </c>
      <c r="I2876" s="11" t="s">
        <v>28</v>
      </c>
      <c r="J2876" s="11" t="s">
        <v>28</v>
      </c>
      <c r="K2876" s="11" t="s">
        <v>28</v>
      </c>
      <c r="L2876" s="11" t="s">
        <v>28</v>
      </c>
      <c r="M2876" s="11" t="s">
        <v>28</v>
      </c>
      <c r="N2876" s="8">
        <v>44784</v>
      </c>
      <c r="O2876" s="9" t="s">
        <v>30</v>
      </c>
      <c r="P2876" s="12" t="s">
        <v>9684</v>
      </c>
      <c r="Q2876" s="9" t="s">
        <v>75</v>
      </c>
      <c r="R2876" s="14" t="str">
        <f>HYPERLINK("https://my.pitchbook.com?c=210052-36T","View Company Online")</f>
        <v>View Company Online</v>
      </c>
    </row>
    <row r="2877" spans="1:18" hidden="1" x14ac:dyDescent="0.3">
      <c r="A2877" s="15" t="s">
        <v>9685</v>
      </c>
      <c r="B2877" s="15" t="s">
        <v>9662</v>
      </c>
      <c r="C2877" s="18" t="s">
        <v>28</v>
      </c>
      <c r="D2877" s="15" t="s">
        <v>9663</v>
      </c>
      <c r="E2877" s="18" t="s">
        <v>28</v>
      </c>
      <c r="F2877" s="19" t="s">
        <v>28</v>
      </c>
      <c r="G2877" s="19" t="s">
        <v>28</v>
      </c>
      <c r="H2877" s="19" t="s">
        <v>28</v>
      </c>
      <c r="I2877" s="18" t="s">
        <v>28</v>
      </c>
      <c r="J2877" s="18" t="s">
        <v>28</v>
      </c>
      <c r="K2877" s="18" t="s">
        <v>28</v>
      </c>
      <c r="L2877" s="18" t="s">
        <v>28</v>
      </c>
      <c r="M2877" s="18" t="s">
        <v>28</v>
      </c>
      <c r="N2877" s="17">
        <v>44784</v>
      </c>
      <c r="O2877" s="15" t="s">
        <v>52</v>
      </c>
      <c r="P2877" s="16" t="s">
        <v>9686</v>
      </c>
      <c r="Q2877" s="15" t="s">
        <v>75</v>
      </c>
      <c r="R2877" s="13" t="str">
        <f>HYPERLINK("https://my.pitchbook.com?c=257665-69T","View Company Online")</f>
        <v>View Company Online</v>
      </c>
    </row>
    <row r="2878" spans="1:18" hidden="1" x14ac:dyDescent="0.3">
      <c r="A2878" s="9" t="s">
        <v>9687</v>
      </c>
      <c r="B2878" s="9" t="s">
        <v>9688</v>
      </c>
      <c r="C2878" s="11" t="s">
        <v>28</v>
      </c>
      <c r="D2878" s="9" t="s">
        <v>9689</v>
      </c>
      <c r="E2878" s="11" t="s">
        <v>28</v>
      </c>
      <c r="F2878" s="10" t="s">
        <v>28</v>
      </c>
      <c r="G2878" s="10">
        <v>0.32</v>
      </c>
      <c r="H2878" s="10" t="s">
        <v>28</v>
      </c>
      <c r="I2878" s="11" t="s">
        <v>28</v>
      </c>
      <c r="J2878" s="11" t="s">
        <v>28</v>
      </c>
      <c r="K2878" s="11" t="s">
        <v>28</v>
      </c>
      <c r="L2878" s="11" t="s">
        <v>28</v>
      </c>
      <c r="M2878" s="11" t="s">
        <v>28</v>
      </c>
      <c r="N2878" s="8">
        <v>44783</v>
      </c>
      <c r="O2878" s="9" t="s">
        <v>1639</v>
      </c>
      <c r="P2878" s="12" t="s">
        <v>28</v>
      </c>
      <c r="Q2878" s="9" t="s">
        <v>404</v>
      </c>
      <c r="R2878" s="14" t="str">
        <f>HYPERLINK("https://my.pitchbook.com?c=223455-88T","View Company Online")</f>
        <v>View Company Online</v>
      </c>
    </row>
    <row r="2879" spans="1:18" hidden="1" x14ac:dyDescent="0.3">
      <c r="A2879" s="15" t="s">
        <v>9690</v>
      </c>
      <c r="B2879" s="15" t="s">
        <v>9691</v>
      </c>
      <c r="C2879" s="18" t="s">
        <v>28</v>
      </c>
      <c r="D2879" s="15" t="s">
        <v>9692</v>
      </c>
      <c r="E2879" s="18" t="s">
        <v>28</v>
      </c>
      <c r="F2879" s="19" t="s">
        <v>28</v>
      </c>
      <c r="G2879" s="19">
        <v>0.19</v>
      </c>
      <c r="H2879" s="19">
        <v>6.26</v>
      </c>
      <c r="I2879" s="18" t="s">
        <v>28</v>
      </c>
      <c r="J2879" s="18" t="s">
        <v>28</v>
      </c>
      <c r="K2879" s="18" t="s">
        <v>28</v>
      </c>
      <c r="L2879" s="18" t="s">
        <v>28</v>
      </c>
      <c r="M2879" s="18" t="s">
        <v>28</v>
      </c>
      <c r="N2879" s="17">
        <v>44783</v>
      </c>
      <c r="O2879" s="15" t="s">
        <v>52</v>
      </c>
      <c r="P2879" s="16" t="s">
        <v>3869</v>
      </c>
      <c r="Q2879" s="15" t="s">
        <v>119</v>
      </c>
      <c r="R2879" s="13" t="str">
        <f>HYPERLINK("https://my.pitchbook.com?c=264028-51T","View Company Online")</f>
        <v>View Company Online</v>
      </c>
    </row>
    <row r="2880" spans="1:18" hidden="1" x14ac:dyDescent="0.3">
      <c r="A2880" s="9" t="s">
        <v>9693</v>
      </c>
      <c r="B2880" s="9" t="s">
        <v>9694</v>
      </c>
      <c r="C2880" s="11" t="s">
        <v>28</v>
      </c>
      <c r="D2880" s="9" t="s">
        <v>9695</v>
      </c>
      <c r="E2880" s="11" t="s">
        <v>28</v>
      </c>
      <c r="F2880" s="10" t="s">
        <v>28</v>
      </c>
      <c r="G2880" s="10" t="s">
        <v>28</v>
      </c>
      <c r="H2880" s="10" t="s">
        <v>28</v>
      </c>
      <c r="I2880" s="11" t="s">
        <v>28</v>
      </c>
      <c r="J2880" s="11" t="s">
        <v>28</v>
      </c>
      <c r="K2880" s="11" t="s">
        <v>28</v>
      </c>
      <c r="L2880" s="11" t="s">
        <v>28</v>
      </c>
      <c r="M2880" s="11" t="s">
        <v>28</v>
      </c>
      <c r="N2880" s="8">
        <v>44783</v>
      </c>
      <c r="O2880" s="9" t="s">
        <v>30</v>
      </c>
      <c r="P2880" s="12" t="s">
        <v>9696</v>
      </c>
      <c r="Q2880" s="9" t="s">
        <v>75</v>
      </c>
      <c r="R2880" s="14" t="str">
        <f>HYPERLINK("https://my.pitchbook.com?c=204260-23T","View Company Online")</f>
        <v>View Company Online</v>
      </c>
    </row>
    <row r="2881" spans="1:18" hidden="1" x14ac:dyDescent="0.3">
      <c r="A2881" s="15" t="s">
        <v>9697</v>
      </c>
      <c r="B2881" s="15" t="s">
        <v>9698</v>
      </c>
      <c r="C2881" s="18" t="s">
        <v>28</v>
      </c>
      <c r="D2881" s="15" t="s">
        <v>9699</v>
      </c>
      <c r="E2881" s="18" t="s">
        <v>28</v>
      </c>
      <c r="F2881" s="19" t="s">
        <v>28</v>
      </c>
      <c r="G2881" s="19" t="s">
        <v>28</v>
      </c>
      <c r="H2881" s="19" t="s">
        <v>28</v>
      </c>
      <c r="I2881" s="18" t="s">
        <v>28</v>
      </c>
      <c r="J2881" s="18" t="s">
        <v>28</v>
      </c>
      <c r="K2881" s="18" t="s">
        <v>28</v>
      </c>
      <c r="L2881" s="18" t="s">
        <v>28</v>
      </c>
      <c r="M2881" s="18" t="s">
        <v>28</v>
      </c>
      <c r="N2881" s="17">
        <v>44782</v>
      </c>
      <c r="O2881" s="15" t="s">
        <v>52</v>
      </c>
      <c r="P2881" s="16" t="s">
        <v>2442</v>
      </c>
      <c r="Q2881" s="15" t="s">
        <v>37</v>
      </c>
      <c r="R2881" s="13" t="str">
        <f>HYPERLINK("https://my.pitchbook.com?c=261621-73T","View Company Online")</f>
        <v>View Company Online</v>
      </c>
    </row>
    <row r="2882" spans="1:18" hidden="1" x14ac:dyDescent="0.3">
      <c r="A2882" s="9" t="s">
        <v>9700</v>
      </c>
      <c r="B2882" s="9" t="s">
        <v>1000</v>
      </c>
      <c r="C2882" s="11" t="s">
        <v>28</v>
      </c>
      <c r="D2882" s="9" t="s">
        <v>1001</v>
      </c>
      <c r="E2882" s="11" t="s">
        <v>28</v>
      </c>
      <c r="F2882" s="10" t="s">
        <v>28</v>
      </c>
      <c r="G2882" s="10" t="s">
        <v>28</v>
      </c>
      <c r="H2882" s="10" t="s">
        <v>28</v>
      </c>
      <c r="I2882" s="11" t="s">
        <v>28</v>
      </c>
      <c r="J2882" s="11" t="s">
        <v>28</v>
      </c>
      <c r="K2882" s="11" t="s">
        <v>28</v>
      </c>
      <c r="L2882" s="11" t="s">
        <v>28</v>
      </c>
      <c r="M2882" s="11" t="s">
        <v>28</v>
      </c>
      <c r="N2882" s="8">
        <v>44782</v>
      </c>
      <c r="O2882" s="9" t="s">
        <v>30</v>
      </c>
      <c r="P2882" s="12" t="s">
        <v>28</v>
      </c>
      <c r="Q2882" s="9" t="s">
        <v>226</v>
      </c>
      <c r="R2882" s="14" t="str">
        <f>HYPERLINK("https://my.pitchbook.com?c=201481-12T","View Company Online")</f>
        <v>View Company Online</v>
      </c>
    </row>
    <row r="2883" spans="1:18" hidden="1" x14ac:dyDescent="0.3">
      <c r="A2883" s="15" t="s">
        <v>9701</v>
      </c>
      <c r="B2883" s="15" t="s">
        <v>9702</v>
      </c>
      <c r="C2883" s="18" t="s">
        <v>28</v>
      </c>
      <c r="D2883" s="15" t="s">
        <v>9703</v>
      </c>
      <c r="E2883" s="18" t="s">
        <v>28</v>
      </c>
      <c r="F2883" s="19" t="s">
        <v>28</v>
      </c>
      <c r="G2883" s="19" t="s">
        <v>28</v>
      </c>
      <c r="H2883" s="19" t="s">
        <v>28</v>
      </c>
      <c r="I2883" s="18" t="s">
        <v>28</v>
      </c>
      <c r="J2883" s="18" t="s">
        <v>28</v>
      </c>
      <c r="K2883" s="18" t="s">
        <v>28</v>
      </c>
      <c r="L2883" s="18" t="s">
        <v>28</v>
      </c>
      <c r="M2883" s="18" t="s">
        <v>28</v>
      </c>
      <c r="N2883" s="17">
        <v>44782</v>
      </c>
      <c r="O2883" s="15" t="s">
        <v>30</v>
      </c>
      <c r="P2883" s="16" t="s">
        <v>9704</v>
      </c>
      <c r="Q2883" s="15" t="s">
        <v>9705</v>
      </c>
      <c r="R2883" s="13" t="str">
        <f>HYPERLINK("https://my.pitchbook.com?c=209971-36T","View Company Online")</f>
        <v>View Company Online</v>
      </c>
    </row>
    <row r="2884" spans="1:18" hidden="1" x14ac:dyDescent="0.3">
      <c r="A2884" s="9" t="s">
        <v>9706</v>
      </c>
      <c r="B2884" s="9" t="s">
        <v>9707</v>
      </c>
      <c r="C2884" s="11" t="s">
        <v>28</v>
      </c>
      <c r="D2884" s="9" t="s">
        <v>9708</v>
      </c>
      <c r="E2884" s="11" t="s">
        <v>28</v>
      </c>
      <c r="F2884" s="10" t="s">
        <v>28</v>
      </c>
      <c r="G2884" s="10">
        <v>37.56</v>
      </c>
      <c r="H2884" s="10" t="s">
        <v>28</v>
      </c>
      <c r="I2884" s="11" t="s">
        <v>28</v>
      </c>
      <c r="J2884" s="11" t="s">
        <v>28</v>
      </c>
      <c r="K2884" s="11" t="s">
        <v>28</v>
      </c>
      <c r="L2884" s="11" t="s">
        <v>28</v>
      </c>
      <c r="M2884" s="11" t="s">
        <v>28</v>
      </c>
      <c r="N2884" s="8">
        <v>44782</v>
      </c>
      <c r="O2884" s="9" t="s">
        <v>173</v>
      </c>
      <c r="P2884" s="12" t="s">
        <v>28</v>
      </c>
      <c r="Q2884" s="9" t="s">
        <v>114</v>
      </c>
      <c r="R2884" s="14" t="str">
        <f>HYPERLINK("https://my.pitchbook.com?c=202371-40T","View Company Online")</f>
        <v>View Company Online</v>
      </c>
    </row>
    <row r="2885" spans="1:18" hidden="1" x14ac:dyDescent="0.3">
      <c r="A2885" s="15" t="s">
        <v>9709</v>
      </c>
      <c r="B2885" s="15" t="s">
        <v>9710</v>
      </c>
      <c r="C2885" s="18" t="s">
        <v>28</v>
      </c>
      <c r="D2885" s="15" t="s">
        <v>9711</v>
      </c>
      <c r="E2885" s="18" t="s">
        <v>28</v>
      </c>
      <c r="F2885" s="19">
        <v>28.17</v>
      </c>
      <c r="G2885" s="19">
        <v>28.17</v>
      </c>
      <c r="H2885" s="19">
        <v>28.17</v>
      </c>
      <c r="I2885" s="18" t="s">
        <v>28</v>
      </c>
      <c r="J2885" s="18" t="s">
        <v>28</v>
      </c>
      <c r="K2885" s="18" t="s">
        <v>28</v>
      </c>
      <c r="L2885" s="18" t="s">
        <v>28</v>
      </c>
      <c r="M2885" s="18" t="s">
        <v>28</v>
      </c>
      <c r="N2885" s="17">
        <v>44782</v>
      </c>
      <c r="O2885" s="15" t="s">
        <v>30</v>
      </c>
      <c r="P2885" s="16" t="s">
        <v>9712</v>
      </c>
      <c r="Q2885" s="15" t="s">
        <v>414</v>
      </c>
      <c r="R2885" s="13" t="str">
        <f>HYPERLINK("https://my.pitchbook.com?c=201528-91T","View Company Online")</f>
        <v>View Company Online</v>
      </c>
    </row>
    <row r="2886" spans="1:18" hidden="1" x14ac:dyDescent="0.3">
      <c r="A2886" s="9" t="s">
        <v>9713</v>
      </c>
      <c r="B2886" s="9" t="s">
        <v>9714</v>
      </c>
      <c r="C2886" s="11" t="s">
        <v>28</v>
      </c>
      <c r="D2886" s="9" t="s">
        <v>9715</v>
      </c>
      <c r="E2886" s="11" t="s">
        <v>28</v>
      </c>
      <c r="F2886" s="10" t="s">
        <v>28</v>
      </c>
      <c r="G2886" s="10" t="s">
        <v>28</v>
      </c>
      <c r="H2886" s="10" t="s">
        <v>28</v>
      </c>
      <c r="I2886" s="11" t="s">
        <v>28</v>
      </c>
      <c r="J2886" s="11" t="s">
        <v>28</v>
      </c>
      <c r="K2886" s="11" t="s">
        <v>28</v>
      </c>
      <c r="L2886" s="11" t="s">
        <v>28</v>
      </c>
      <c r="M2886" s="11" t="s">
        <v>28</v>
      </c>
      <c r="N2886" s="8">
        <v>44782</v>
      </c>
      <c r="O2886" s="9" t="s">
        <v>30</v>
      </c>
      <c r="P2886" s="12" t="s">
        <v>9716</v>
      </c>
      <c r="Q2886" s="9" t="s">
        <v>245</v>
      </c>
      <c r="R2886" s="14" t="str">
        <f>HYPERLINK("https://my.pitchbook.com?c=201389-50T","View Company Online")</f>
        <v>View Company Online</v>
      </c>
    </row>
    <row r="2887" spans="1:18" hidden="1" x14ac:dyDescent="0.3">
      <c r="A2887" s="15" t="s">
        <v>9717</v>
      </c>
      <c r="B2887" s="15" t="s">
        <v>9718</v>
      </c>
      <c r="C2887" s="18" t="s">
        <v>28</v>
      </c>
      <c r="D2887" s="15" t="s">
        <v>9719</v>
      </c>
      <c r="E2887" s="18" t="s">
        <v>28</v>
      </c>
      <c r="F2887" s="19" t="s">
        <v>28</v>
      </c>
      <c r="G2887" s="19" t="s">
        <v>28</v>
      </c>
      <c r="H2887" s="19" t="s">
        <v>28</v>
      </c>
      <c r="I2887" s="18" t="s">
        <v>28</v>
      </c>
      <c r="J2887" s="18" t="s">
        <v>28</v>
      </c>
      <c r="K2887" s="18" t="s">
        <v>28</v>
      </c>
      <c r="L2887" s="18" t="s">
        <v>28</v>
      </c>
      <c r="M2887" s="18" t="s">
        <v>28</v>
      </c>
      <c r="N2887" s="17">
        <v>44782</v>
      </c>
      <c r="O2887" s="15" t="s">
        <v>30</v>
      </c>
      <c r="P2887" s="16" t="s">
        <v>28</v>
      </c>
      <c r="Q2887" s="15" t="s">
        <v>362</v>
      </c>
      <c r="R2887" s="13" t="str">
        <f>HYPERLINK("https://my.pitchbook.com?c=201539-26T","View Company Online")</f>
        <v>View Company Online</v>
      </c>
    </row>
    <row r="2888" spans="1:18" hidden="1" x14ac:dyDescent="0.3">
      <c r="A2888" s="9" t="s">
        <v>9720</v>
      </c>
      <c r="B2888" s="9" t="s">
        <v>9721</v>
      </c>
      <c r="C2888" s="11" t="s">
        <v>28</v>
      </c>
      <c r="D2888" s="9" t="s">
        <v>9722</v>
      </c>
      <c r="E2888" s="11" t="s">
        <v>28</v>
      </c>
      <c r="F2888" s="10" t="s">
        <v>28</v>
      </c>
      <c r="G2888" s="10" t="s">
        <v>28</v>
      </c>
      <c r="H2888" s="10" t="s">
        <v>28</v>
      </c>
      <c r="I2888" s="11" t="s">
        <v>28</v>
      </c>
      <c r="J2888" s="11" t="s">
        <v>28</v>
      </c>
      <c r="K2888" s="11" t="s">
        <v>28</v>
      </c>
      <c r="L2888" s="11" t="s">
        <v>28</v>
      </c>
      <c r="M2888" s="11" t="s">
        <v>28</v>
      </c>
      <c r="N2888" s="8">
        <v>44782</v>
      </c>
      <c r="O2888" s="9" t="s">
        <v>52</v>
      </c>
      <c r="P2888" s="12" t="s">
        <v>9723</v>
      </c>
      <c r="Q2888" s="9" t="s">
        <v>75</v>
      </c>
      <c r="R2888" s="14" t="str">
        <f>HYPERLINK("https://my.pitchbook.com?c=273429-10T","View Company Online")</f>
        <v>View Company Online</v>
      </c>
    </row>
    <row r="2889" spans="1:18" hidden="1" x14ac:dyDescent="0.3">
      <c r="A2889" s="15" t="s">
        <v>9724</v>
      </c>
      <c r="B2889" s="15" t="s">
        <v>9725</v>
      </c>
      <c r="C2889" s="18" t="s">
        <v>28</v>
      </c>
      <c r="D2889" s="15" t="s">
        <v>9726</v>
      </c>
      <c r="E2889" s="18" t="s">
        <v>28</v>
      </c>
      <c r="F2889" s="19" t="s">
        <v>28</v>
      </c>
      <c r="G2889" s="19" t="s">
        <v>28</v>
      </c>
      <c r="H2889" s="19" t="s">
        <v>28</v>
      </c>
      <c r="I2889" s="18" t="s">
        <v>28</v>
      </c>
      <c r="J2889" s="18" t="s">
        <v>28</v>
      </c>
      <c r="K2889" s="18" t="s">
        <v>28</v>
      </c>
      <c r="L2889" s="18" t="s">
        <v>28</v>
      </c>
      <c r="M2889" s="18" t="s">
        <v>28</v>
      </c>
      <c r="N2889" s="17">
        <v>44782</v>
      </c>
      <c r="O2889" s="15" t="s">
        <v>30</v>
      </c>
      <c r="P2889" s="16" t="s">
        <v>421</v>
      </c>
      <c r="Q2889" s="15" t="s">
        <v>114</v>
      </c>
      <c r="R2889" s="13" t="str">
        <f>HYPERLINK("https://my.pitchbook.com?c=202218-22T","View Company Online")</f>
        <v>View Company Online</v>
      </c>
    </row>
    <row r="2890" spans="1:18" hidden="1" x14ac:dyDescent="0.3">
      <c r="A2890" s="9" t="s">
        <v>9727</v>
      </c>
      <c r="B2890" s="9" t="s">
        <v>9728</v>
      </c>
      <c r="C2890" s="11" t="s">
        <v>28</v>
      </c>
      <c r="D2890" s="9" t="s">
        <v>9729</v>
      </c>
      <c r="E2890" s="11" t="s">
        <v>28</v>
      </c>
      <c r="F2890" s="10" t="s">
        <v>28</v>
      </c>
      <c r="G2890" s="10" t="s">
        <v>28</v>
      </c>
      <c r="H2890" s="10" t="s">
        <v>28</v>
      </c>
      <c r="I2890" s="11" t="s">
        <v>28</v>
      </c>
      <c r="J2890" s="11" t="s">
        <v>28</v>
      </c>
      <c r="K2890" s="11" t="s">
        <v>28</v>
      </c>
      <c r="L2890" s="11" t="s">
        <v>28</v>
      </c>
      <c r="M2890" s="11" t="s">
        <v>28</v>
      </c>
      <c r="N2890" s="8">
        <v>44782</v>
      </c>
      <c r="O2890" s="9" t="s">
        <v>52</v>
      </c>
      <c r="P2890" s="12" t="s">
        <v>9723</v>
      </c>
      <c r="Q2890" s="9" t="s">
        <v>696</v>
      </c>
      <c r="R2890" s="14" t="str">
        <f>HYPERLINK("https://my.pitchbook.com?c=273279-07T","View Company Online")</f>
        <v>View Company Online</v>
      </c>
    </row>
    <row r="2891" spans="1:18" hidden="1" x14ac:dyDescent="0.3">
      <c r="A2891" s="15" t="s">
        <v>9730</v>
      </c>
      <c r="B2891" s="15" t="s">
        <v>9731</v>
      </c>
      <c r="C2891" s="18" t="s">
        <v>28</v>
      </c>
      <c r="D2891" s="15" t="s">
        <v>9732</v>
      </c>
      <c r="E2891" s="18" t="s">
        <v>28</v>
      </c>
      <c r="F2891" s="19" t="s">
        <v>28</v>
      </c>
      <c r="G2891" s="19" t="s">
        <v>28</v>
      </c>
      <c r="H2891" s="19" t="s">
        <v>28</v>
      </c>
      <c r="I2891" s="18" t="s">
        <v>28</v>
      </c>
      <c r="J2891" s="18" t="s">
        <v>28</v>
      </c>
      <c r="K2891" s="18" t="s">
        <v>28</v>
      </c>
      <c r="L2891" s="18" t="s">
        <v>28</v>
      </c>
      <c r="M2891" s="18" t="s">
        <v>28</v>
      </c>
      <c r="N2891" s="17">
        <v>44781</v>
      </c>
      <c r="O2891" s="15" t="s">
        <v>52</v>
      </c>
      <c r="P2891" s="16" t="s">
        <v>3375</v>
      </c>
      <c r="Q2891" s="15" t="s">
        <v>75</v>
      </c>
      <c r="R2891" s="13" t="str">
        <f>HYPERLINK("https://my.pitchbook.com?c=295922-71T","View Company Online")</f>
        <v>View Company Online</v>
      </c>
    </row>
    <row r="2892" spans="1:18" hidden="1" x14ac:dyDescent="0.3">
      <c r="A2892" s="9" t="s">
        <v>9733</v>
      </c>
      <c r="B2892" s="9" t="s">
        <v>7941</v>
      </c>
      <c r="C2892" s="11" t="s">
        <v>28</v>
      </c>
      <c r="D2892" s="9" t="s">
        <v>7942</v>
      </c>
      <c r="E2892" s="11" t="s">
        <v>28</v>
      </c>
      <c r="F2892" s="10" t="s">
        <v>28</v>
      </c>
      <c r="G2892" s="10">
        <v>0.38</v>
      </c>
      <c r="H2892" s="10" t="s">
        <v>28</v>
      </c>
      <c r="I2892" s="11" t="s">
        <v>28</v>
      </c>
      <c r="J2892" s="11" t="s">
        <v>28</v>
      </c>
      <c r="K2892" s="11" t="s">
        <v>28</v>
      </c>
      <c r="L2892" s="11" t="s">
        <v>28</v>
      </c>
      <c r="M2892" s="11" t="s">
        <v>28</v>
      </c>
      <c r="N2892" s="8">
        <v>44781</v>
      </c>
      <c r="O2892" s="9" t="s">
        <v>73</v>
      </c>
      <c r="P2892" s="12" t="s">
        <v>9734</v>
      </c>
      <c r="Q2892" s="9" t="s">
        <v>75</v>
      </c>
      <c r="R2892" s="14" t="str">
        <f>HYPERLINK("https://my.pitchbook.com?c=201316-96T","View Company Online")</f>
        <v>View Company Online</v>
      </c>
    </row>
    <row r="2893" spans="1:18" hidden="1" x14ac:dyDescent="0.3">
      <c r="A2893" s="15" t="s">
        <v>9735</v>
      </c>
      <c r="B2893" s="15" t="s">
        <v>9736</v>
      </c>
      <c r="C2893" s="18" t="s">
        <v>28</v>
      </c>
      <c r="D2893" s="15" t="s">
        <v>9737</v>
      </c>
      <c r="E2893" s="18" t="s">
        <v>28</v>
      </c>
      <c r="F2893" s="19" t="s">
        <v>28</v>
      </c>
      <c r="G2893" s="19" t="s">
        <v>28</v>
      </c>
      <c r="H2893" s="19" t="s">
        <v>28</v>
      </c>
      <c r="I2893" s="18" t="s">
        <v>28</v>
      </c>
      <c r="J2893" s="18" t="s">
        <v>28</v>
      </c>
      <c r="K2893" s="18" t="s">
        <v>28</v>
      </c>
      <c r="L2893" s="18" t="s">
        <v>28</v>
      </c>
      <c r="M2893" s="18" t="s">
        <v>28</v>
      </c>
      <c r="N2893" s="17">
        <v>44781</v>
      </c>
      <c r="O2893" s="15" t="s">
        <v>58</v>
      </c>
      <c r="P2893" s="16" t="s">
        <v>9738</v>
      </c>
      <c r="Q2893" s="15" t="s">
        <v>114</v>
      </c>
      <c r="R2893" s="13" t="str">
        <f>HYPERLINK("https://my.pitchbook.com?c=216264-25T","View Company Online")</f>
        <v>View Company Online</v>
      </c>
    </row>
    <row r="2894" spans="1:18" hidden="1" x14ac:dyDescent="0.3">
      <c r="A2894" s="9" t="s">
        <v>9739</v>
      </c>
      <c r="B2894" s="9" t="s">
        <v>9740</v>
      </c>
      <c r="C2894" s="11" t="s">
        <v>28</v>
      </c>
      <c r="D2894" s="9" t="s">
        <v>9741</v>
      </c>
      <c r="E2894" s="11" t="s">
        <v>28</v>
      </c>
      <c r="F2894" s="10" t="s">
        <v>28</v>
      </c>
      <c r="G2894" s="10">
        <v>1.87</v>
      </c>
      <c r="H2894" s="10">
        <v>6.63</v>
      </c>
      <c r="I2894" s="11" t="s">
        <v>28</v>
      </c>
      <c r="J2894" s="11" t="s">
        <v>28</v>
      </c>
      <c r="K2894" s="11" t="s">
        <v>28</v>
      </c>
      <c r="L2894" s="11" t="s">
        <v>28</v>
      </c>
      <c r="M2894" s="11" t="s">
        <v>28</v>
      </c>
      <c r="N2894" s="8">
        <v>44780</v>
      </c>
      <c r="O2894" s="9" t="s">
        <v>79</v>
      </c>
      <c r="P2894" s="12" t="s">
        <v>813</v>
      </c>
      <c r="Q2894" s="9" t="s">
        <v>75</v>
      </c>
      <c r="R2894" s="14" t="str">
        <f>HYPERLINK("https://my.pitchbook.com?c=195655-15T","View Company Online")</f>
        <v>View Company Online</v>
      </c>
    </row>
    <row r="2895" spans="1:18" hidden="1" x14ac:dyDescent="0.3">
      <c r="A2895" s="15" t="s">
        <v>9742</v>
      </c>
      <c r="B2895" s="15" t="s">
        <v>9743</v>
      </c>
      <c r="C2895" s="18" t="s">
        <v>28</v>
      </c>
      <c r="D2895" s="15" t="s">
        <v>9744</v>
      </c>
      <c r="E2895" s="18" t="s">
        <v>28</v>
      </c>
      <c r="F2895" s="19" t="s">
        <v>28</v>
      </c>
      <c r="G2895" s="19">
        <v>0.24</v>
      </c>
      <c r="H2895" s="19" t="s">
        <v>28</v>
      </c>
      <c r="I2895" s="18" t="s">
        <v>28</v>
      </c>
      <c r="J2895" s="18" t="s">
        <v>28</v>
      </c>
      <c r="K2895" s="18" t="s">
        <v>28</v>
      </c>
      <c r="L2895" s="18" t="s">
        <v>28</v>
      </c>
      <c r="M2895" s="18" t="s">
        <v>28</v>
      </c>
      <c r="N2895" s="17">
        <v>44780</v>
      </c>
      <c r="O2895" s="15" t="s">
        <v>99</v>
      </c>
      <c r="P2895" s="16" t="s">
        <v>9745</v>
      </c>
      <c r="Q2895" s="15" t="s">
        <v>37</v>
      </c>
      <c r="R2895" s="13" t="str">
        <f>HYPERLINK("https://my.pitchbook.com?c=194475-34T","View Company Online")</f>
        <v>View Company Online</v>
      </c>
    </row>
    <row r="2896" spans="1:18" hidden="1" x14ac:dyDescent="0.3">
      <c r="A2896" s="9" t="s">
        <v>9746</v>
      </c>
      <c r="B2896" s="9" t="s">
        <v>9743</v>
      </c>
      <c r="C2896" s="11" t="s">
        <v>28</v>
      </c>
      <c r="D2896" s="9" t="s">
        <v>9744</v>
      </c>
      <c r="E2896" s="11" t="s">
        <v>28</v>
      </c>
      <c r="F2896" s="10" t="s">
        <v>28</v>
      </c>
      <c r="G2896" s="10" t="s">
        <v>28</v>
      </c>
      <c r="H2896" s="10" t="s">
        <v>28</v>
      </c>
      <c r="I2896" s="11" t="s">
        <v>28</v>
      </c>
      <c r="J2896" s="11" t="s">
        <v>28</v>
      </c>
      <c r="K2896" s="11" t="s">
        <v>28</v>
      </c>
      <c r="L2896" s="11" t="s">
        <v>28</v>
      </c>
      <c r="M2896" s="11" t="s">
        <v>28</v>
      </c>
      <c r="N2896" s="8">
        <v>44780</v>
      </c>
      <c r="O2896" s="9" t="s">
        <v>79</v>
      </c>
      <c r="P2896" s="12" t="s">
        <v>28</v>
      </c>
      <c r="Q2896" s="9" t="s">
        <v>37</v>
      </c>
      <c r="R2896" s="14" t="str">
        <f>HYPERLINK("https://my.pitchbook.com?c=217947-52T","View Company Online")</f>
        <v>View Company Online</v>
      </c>
    </row>
    <row r="2897" spans="1:18" hidden="1" x14ac:dyDescent="0.3">
      <c r="A2897" s="15" t="s">
        <v>9747</v>
      </c>
      <c r="B2897" s="15" t="s">
        <v>9748</v>
      </c>
      <c r="C2897" s="18" t="s">
        <v>28</v>
      </c>
      <c r="D2897" s="15" t="s">
        <v>9749</v>
      </c>
      <c r="E2897" s="18" t="s">
        <v>28</v>
      </c>
      <c r="F2897" s="19" t="s">
        <v>28</v>
      </c>
      <c r="G2897" s="19">
        <v>13.11</v>
      </c>
      <c r="H2897" s="19" t="s">
        <v>28</v>
      </c>
      <c r="I2897" s="18" t="s">
        <v>28</v>
      </c>
      <c r="J2897" s="18" t="s">
        <v>28</v>
      </c>
      <c r="K2897" s="18">
        <v>9.51</v>
      </c>
      <c r="L2897" s="18" t="s">
        <v>28</v>
      </c>
      <c r="M2897" s="18" t="s">
        <v>28</v>
      </c>
      <c r="N2897" s="17">
        <v>44779</v>
      </c>
      <c r="O2897" s="15" t="s">
        <v>93</v>
      </c>
      <c r="P2897" s="16" t="s">
        <v>4280</v>
      </c>
      <c r="Q2897" s="15" t="s">
        <v>1853</v>
      </c>
      <c r="R2897" s="13" t="str">
        <f>HYPERLINK("https://my.pitchbook.com?c=202602-16T","View Company Online")</f>
        <v>View Company Online</v>
      </c>
    </row>
    <row r="2898" spans="1:18" hidden="1" x14ac:dyDescent="0.3">
      <c r="A2898" s="9" t="s">
        <v>9750</v>
      </c>
      <c r="B2898" s="9" t="s">
        <v>9751</v>
      </c>
      <c r="C2898" s="11" t="s">
        <v>28</v>
      </c>
      <c r="D2898" s="9" t="s">
        <v>9752</v>
      </c>
      <c r="E2898" s="11" t="s">
        <v>28</v>
      </c>
      <c r="F2898" s="10" t="s">
        <v>28</v>
      </c>
      <c r="G2898" s="10" t="s">
        <v>28</v>
      </c>
      <c r="H2898" s="10" t="s">
        <v>28</v>
      </c>
      <c r="I2898" s="11" t="s">
        <v>28</v>
      </c>
      <c r="J2898" s="11" t="s">
        <v>28</v>
      </c>
      <c r="K2898" s="11" t="s">
        <v>28</v>
      </c>
      <c r="L2898" s="11" t="s">
        <v>28</v>
      </c>
      <c r="M2898" s="11" t="s">
        <v>28</v>
      </c>
      <c r="N2898" s="8">
        <v>44778</v>
      </c>
      <c r="O2898" s="9" t="s">
        <v>30</v>
      </c>
      <c r="P2898" s="12" t="s">
        <v>9753</v>
      </c>
      <c r="Q2898" s="9" t="s">
        <v>1007</v>
      </c>
      <c r="R2898" s="14" t="str">
        <f>HYPERLINK("https://my.pitchbook.com?c=201250-36T","View Company Online")</f>
        <v>View Company Online</v>
      </c>
    </row>
    <row r="2899" spans="1:18" hidden="1" x14ac:dyDescent="0.3">
      <c r="A2899" s="15" t="s">
        <v>9754</v>
      </c>
      <c r="B2899" s="15" t="s">
        <v>373</v>
      </c>
      <c r="C2899" s="18" t="s">
        <v>28</v>
      </c>
      <c r="D2899" s="15" t="s">
        <v>374</v>
      </c>
      <c r="E2899" s="18" t="s">
        <v>28</v>
      </c>
      <c r="F2899" s="19" t="s">
        <v>28</v>
      </c>
      <c r="G2899" s="19" t="s">
        <v>28</v>
      </c>
      <c r="H2899" s="19" t="s">
        <v>28</v>
      </c>
      <c r="I2899" s="18" t="s">
        <v>28</v>
      </c>
      <c r="J2899" s="18" t="s">
        <v>28</v>
      </c>
      <c r="K2899" s="18" t="s">
        <v>28</v>
      </c>
      <c r="L2899" s="18" t="s">
        <v>28</v>
      </c>
      <c r="M2899" s="18" t="s">
        <v>28</v>
      </c>
      <c r="N2899" s="17">
        <v>44778</v>
      </c>
      <c r="O2899" s="15" t="s">
        <v>30</v>
      </c>
      <c r="P2899" s="16" t="s">
        <v>9755</v>
      </c>
      <c r="Q2899" s="15" t="s">
        <v>75</v>
      </c>
      <c r="R2899" s="13" t="str">
        <f>HYPERLINK("https://my.pitchbook.com?c=210138-22T","View Company Online")</f>
        <v>View Company Online</v>
      </c>
    </row>
    <row r="2900" spans="1:18" hidden="1" x14ac:dyDescent="0.3">
      <c r="A2900" s="9" t="s">
        <v>9756</v>
      </c>
      <c r="B2900" s="9" t="s">
        <v>5986</v>
      </c>
      <c r="C2900" s="11" t="s">
        <v>28</v>
      </c>
      <c r="D2900" s="9" t="s">
        <v>5987</v>
      </c>
      <c r="E2900" s="11" t="s">
        <v>28</v>
      </c>
      <c r="F2900" s="10" t="s">
        <v>28</v>
      </c>
      <c r="G2900" s="10">
        <v>0.03</v>
      </c>
      <c r="H2900" s="10" t="s">
        <v>28</v>
      </c>
      <c r="I2900" s="11" t="s">
        <v>28</v>
      </c>
      <c r="J2900" s="11" t="s">
        <v>28</v>
      </c>
      <c r="K2900" s="11" t="s">
        <v>28</v>
      </c>
      <c r="L2900" s="11" t="s">
        <v>28</v>
      </c>
      <c r="M2900" s="11" t="s">
        <v>28</v>
      </c>
      <c r="N2900" s="8">
        <v>44777</v>
      </c>
      <c r="O2900" s="9" t="s">
        <v>73</v>
      </c>
      <c r="P2900" s="12" t="s">
        <v>9757</v>
      </c>
      <c r="Q2900" s="9" t="s">
        <v>1336</v>
      </c>
      <c r="R2900" s="14" t="str">
        <f>HYPERLINK("https://my.pitchbook.com?c=232934-23T","View Company Online")</f>
        <v>View Company Online</v>
      </c>
    </row>
    <row r="2901" spans="1:18" hidden="1" x14ac:dyDescent="0.3">
      <c r="A2901" s="15" t="s">
        <v>9758</v>
      </c>
      <c r="B2901" s="15" t="s">
        <v>9759</v>
      </c>
      <c r="C2901" s="18" t="s">
        <v>28</v>
      </c>
      <c r="D2901" s="15" t="s">
        <v>9760</v>
      </c>
      <c r="E2901" s="18" t="s">
        <v>28</v>
      </c>
      <c r="F2901" s="19" t="s">
        <v>28</v>
      </c>
      <c r="G2901" s="19" t="s">
        <v>28</v>
      </c>
      <c r="H2901" s="19" t="s">
        <v>28</v>
      </c>
      <c r="I2901" s="18" t="s">
        <v>28</v>
      </c>
      <c r="J2901" s="18" t="s">
        <v>28</v>
      </c>
      <c r="K2901" s="18" t="s">
        <v>28</v>
      </c>
      <c r="L2901" s="18" t="s">
        <v>28</v>
      </c>
      <c r="M2901" s="18" t="s">
        <v>28</v>
      </c>
      <c r="N2901" s="17">
        <v>44777</v>
      </c>
      <c r="O2901" s="15" t="s">
        <v>30</v>
      </c>
      <c r="P2901" s="16" t="s">
        <v>1072</v>
      </c>
      <c r="Q2901" s="15" t="s">
        <v>692</v>
      </c>
      <c r="R2901" s="13" t="str">
        <f>HYPERLINK("https://my.pitchbook.com?c=210980-35T","View Company Online")</f>
        <v>View Company Online</v>
      </c>
    </row>
    <row r="2902" spans="1:18" hidden="1" x14ac:dyDescent="0.3">
      <c r="A2902" s="9" t="s">
        <v>9761</v>
      </c>
      <c r="B2902" s="9" t="s">
        <v>9762</v>
      </c>
      <c r="C2902" s="11" t="s">
        <v>28</v>
      </c>
      <c r="D2902" s="9" t="s">
        <v>9763</v>
      </c>
      <c r="E2902" s="11" t="s">
        <v>28</v>
      </c>
      <c r="F2902" s="10">
        <v>8.89</v>
      </c>
      <c r="G2902" s="10">
        <v>8.89</v>
      </c>
      <c r="H2902" s="10">
        <v>8.89</v>
      </c>
      <c r="I2902" s="11" t="s">
        <v>28</v>
      </c>
      <c r="J2902" s="11" t="s">
        <v>28</v>
      </c>
      <c r="K2902" s="11" t="s">
        <v>28</v>
      </c>
      <c r="L2902" s="11" t="s">
        <v>28</v>
      </c>
      <c r="M2902" s="11" t="s">
        <v>28</v>
      </c>
      <c r="N2902" s="8">
        <v>44777</v>
      </c>
      <c r="O2902" s="9" t="s">
        <v>30</v>
      </c>
      <c r="P2902" s="12" t="s">
        <v>9764</v>
      </c>
      <c r="Q2902" s="9" t="s">
        <v>245</v>
      </c>
      <c r="R2902" s="14" t="str">
        <f>HYPERLINK("https://my.pitchbook.com?c=203228-92T","View Company Online")</f>
        <v>View Company Online</v>
      </c>
    </row>
    <row r="2903" spans="1:18" hidden="1" x14ac:dyDescent="0.3">
      <c r="A2903" s="15" t="s">
        <v>9765</v>
      </c>
      <c r="B2903" s="15" t="s">
        <v>9766</v>
      </c>
      <c r="C2903" s="18" t="s">
        <v>28</v>
      </c>
      <c r="D2903" s="15" t="s">
        <v>9767</v>
      </c>
      <c r="E2903" s="18" t="s">
        <v>28</v>
      </c>
      <c r="F2903" s="19" t="s">
        <v>28</v>
      </c>
      <c r="G2903" s="19" t="s">
        <v>28</v>
      </c>
      <c r="H2903" s="19" t="s">
        <v>28</v>
      </c>
      <c r="I2903" s="18" t="s">
        <v>28</v>
      </c>
      <c r="J2903" s="18" t="s">
        <v>28</v>
      </c>
      <c r="K2903" s="18" t="s">
        <v>28</v>
      </c>
      <c r="L2903" s="18" t="s">
        <v>28</v>
      </c>
      <c r="M2903" s="18" t="s">
        <v>28</v>
      </c>
      <c r="N2903" s="17">
        <v>44777</v>
      </c>
      <c r="O2903" s="15" t="s">
        <v>30</v>
      </c>
      <c r="P2903" s="16" t="s">
        <v>9768</v>
      </c>
      <c r="Q2903" s="15" t="s">
        <v>280</v>
      </c>
      <c r="R2903" s="13" t="str">
        <f>HYPERLINK("https://my.pitchbook.com?c=201146-32T","View Company Online")</f>
        <v>View Company Online</v>
      </c>
    </row>
    <row r="2904" spans="1:18" hidden="1" x14ac:dyDescent="0.3">
      <c r="A2904" s="9" t="s">
        <v>9769</v>
      </c>
      <c r="B2904" s="9" t="s">
        <v>9770</v>
      </c>
      <c r="C2904" s="11" t="s">
        <v>28</v>
      </c>
      <c r="D2904" s="9" t="s">
        <v>9771</v>
      </c>
      <c r="E2904" s="11" t="s">
        <v>28</v>
      </c>
      <c r="F2904" s="10">
        <v>4.67</v>
      </c>
      <c r="G2904" s="10">
        <v>4.67</v>
      </c>
      <c r="H2904" s="10">
        <v>4.67</v>
      </c>
      <c r="I2904" s="11" t="s">
        <v>28</v>
      </c>
      <c r="J2904" s="11" t="s">
        <v>28</v>
      </c>
      <c r="K2904" s="11" t="s">
        <v>28</v>
      </c>
      <c r="L2904" s="11" t="s">
        <v>28</v>
      </c>
      <c r="M2904" s="11" t="s">
        <v>28</v>
      </c>
      <c r="N2904" s="8">
        <v>44777</v>
      </c>
      <c r="O2904" s="9" t="s">
        <v>30</v>
      </c>
      <c r="P2904" s="12" t="s">
        <v>6228</v>
      </c>
      <c r="Q2904" s="9" t="s">
        <v>75</v>
      </c>
      <c r="R2904" s="14" t="str">
        <f>HYPERLINK("https://my.pitchbook.com?c=201075-85T","View Company Online")</f>
        <v>View Company Online</v>
      </c>
    </row>
    <row r="2905" spans="1:18" hidden="1" x14ac:dyDescent="0.3">
      <c r="A2905" s="15" t="s">
        <v>9772</v>
      </c>
      <c r="B2905" s="15" t="s">
        <v>9773</v>
      </c>
      <c r="C2905" s="18" t="s">
        <v>28</v>
      </c>
      <c r="D2905" s="15" t="s">
        <v>9774</v>
      </c>
      <c r="E2905" s="18" t="s">
        <v>28</v>
      </c>
      <c r="F2905" s="19" t="s">
        <v>28</v>
      </c>
      <c r="G2905" s="19">
        <v>10</v>
      </c>
      <c r="H2905" s="19" t="s">
        <v>28</v>
      </c>
      <c r="I2905" s="18" t="s">
        <v>28</v>
      </c>
      <c r="J2905" s="18" t="s">
        <v>28</v>
      </c>
      <c r="K2905" s="18" t="s">
        <v>28</v>
      </c>
      <c r="L2905" s="18" t="s">
        <v>28</v>
      </c>
      <c r="M2905" s="18" t="s">
        <v>28</v>
      </c>
      <c r="N2905" s="17">
        <v>44776</v>
      </c>
      <c r="O2905" s="15" t="s">
        <v>73</v>
      </c>
      <c r="P2905" s="16" t="s">
        <v>9775</v>
      </c>
      <c r="Q2905" s="15" t="s">
        <v>136</v>
      </c>
      <c r="R2905" s="13" t="str">
        <f>HYPERLINK("https://my.pitchbook.com?c=242293-15T","View Company Online")</f>
        <v>View Company Online</v>
      </c>
    </row>
    <row r="2906" spans="1:18" hidden="1" x14ac:dyDescent="0.3">
      <c r="A2906" s="9" t="s">
        <v>9776</v>
      </c>
      <c r="B2906" s="9" t="s">
        <v>9777</v>
      </c>
      <c r="C2906" s="11" t="s">
        <v>28</v>
      </c>
      <c r="D2906" s="9" t="s">
        <v>9778</v>
      </c>
      <c r="E2906" s="11" t="s">
        <v>28</v>
      </c>
      <c r="F2906" s="10" t="s">
        <v>28</v>
      </c>
      <c r="G2906" s="10" t="s">
        <v>28</v>
      </c>
      <c r="H2906" s="10" t="s">
        <v>28</v>
      </c>
      <c r="I2906" s="11" t="s">
        <v>28</v>
      </c>
      <c r="J2906" s="11" t="s">
        <v>28</v>
      </c>
      <c r="K2906" s="11" t="s">
        <v>28</v>
      </c>
      <c r="L2906" s="11" t="s">
        <v>28</v>
      </c>
      <c r="M2906" s="11" t="s">
        <v>28</v>
      </c>
      <c r="N2906" s="8">
        <v>44776</v>
      </c>
      <c r="O2906" s="9" t="s">
        <v>30</v>
      </c>
      <c r="P2906" s="12" t="s">
        <v>9779</v>
      </c>
      <c r="Q2906" s="9" t="s">
        <v>114</v>
      </c>
      <c r="R2906" s="14" t="str">
        <f>HYPERLINK("https://my.pitchbook.com?c=246144-52T","View Company Online")</f>
        <v>View Company Online</v>
      </c>
    </row>
    <row r="2907" spans="1:18" hidden="1" x14ac:dyDescent="0.3">
      <c r="A2907" s="15" t="s">
        <v>9780</v>
      </c>
      <c r="B2907" s="15" t="s">
        <v>9781</v>
      </c>
      <c r="C2907" s="18" t="s">
        <v>28</v>
      </c>
      <c r="D2907" s="15" t="s">
        <v>9782</v>
      </c>
      <c r="E2907" s="18" t="s">
        <v>28</v>
      </c>
      <c r="F2907" s="19" t="s">
        <v>28</v>
      </c>
      <c r="G2907" s="19" t="s">
        <v>28</v>
      </c>
      <c r="H2907" s="19" t="s">
        <v>28</v>
      </c>
      <c r="I2907" s="18" t="s">
        <v>28</v>
      </c>
      <c r="J2907" s="18" t="s">
        <v>28</v>
      </c>
      <c r="K2907" s="18" t="s">
        <v>28</v>
      </c>
      <c r="L2907" s="18" t="s">
        <v>28</v>
      </c>
      <c r="M2907" s="18" t="s">
        <v>28</v>
      </c>
      <c r="N2907" s="17">
        <v>44776</v>
      </c>
      <c r="O2907" s="15" t="s">
        <v>41</v>
      </c>
      <c r="P2907" s="16" t="s">
        <v>9783</v>
      </c>
      <c r="Q2907" s="15" t="s">
        <v>75</v>
      </c>
      <c r="R2907" s="13" t="str">
        <f>HYPERLINK("https://my.pitchbook.com?c=201069-10T","View Company Online")</f>
        <v>View Company Online</v>
      </c>
    </row>
    <row r="2908" spans="1:18" x14ac:dyDescent="0.3">
      <c r="A2908" s="9" t="s">
        <v>9784</v>
      </c>
      <c r="B2908" s="9" t="s">
        <v>9785</v>
      </c>
      <c r="C2908" s="11" t="s">
        <v>28</v>
      </c>
      <c r="D2908" s="9" t="s">
        <v>9786</v>
      </c>
      <c r="E2908" s="11">
        <v>-22.76</v>
      </c>
      <c r="F2908" s="10" t="s">
        <v>28</v>
      </c>
      <c r="G2908" s="10">
        <v>230</v>
      </c>
      <c r="H2908" s="10">
        <v>805</v>
      </c>
      <c r="I2908" s="11">
        <v>-20.38</v>
      </c>
      <c r="J2908" s="11">
        <v>-39.5</v>
      </c>
      <c r="K2908" s="11">
        <v>38.549999999999997</v>
      </c>
      <c r="L2908" s="11">
        <v>20.88</v>
      </c>
      <c r="M2908" s="11">
        <v>-25.02</v>
      </c>
      <c r="N2908" s="8">
        <v>44776</v>
      </c>
      <c r="O2908" s="9" t="s">
        <v>974</v>
      </c>
      <c r="P2908" s="12" t="s">
        <v>9787</v>
      </c>
      <c r="Q2908" s="9" t="s">
        <v>75</v>
      </c>
      <c r="R2908" s="14" t="str">
        <f>HYPERLINK("https://my.pitchbook.com?c=183576-61T","View Company Online")</f>
        <v>View Company Online</v>
      </c>
    </row>
    <row r="2909" spans="1:18" hidden="1" x14ac:dyDescent="0.3">
      <c r="A2909" s="15" t="s">
        <v>9788</v>
      </c>
      <c r="B2909" s="15" t="s">
        <v>9785</v>
      </c>
      <c r="C2909" s="18" t="s">
        <v>28</v>
      </c>
      <c r="D2909" s="15" t="s">
        <v>9786</v>
      </c>
      <c r="E2909" s="18">
        <v>-22.76</v>
      </c>
      <c r="F2909" s="19" t="s">
        <v>28</v>
      </c>
      <c r="G2909" s="19">
        <v>94</v>
      </c>
      <c r="H2909" s="19" t="s">
        <v>28</v>
      </c>
      <c r="I2909" s="18">
        <v>-20.38</v>
      </c>
      <c r="J2909" s="18" t="s">
        <v>28</v>
      </c>
      <c r="K2909" s="18">
        <v>38.549999999999997</v>
      </c>
      <c r="L2909" s="18" t="s">
        <v>28</v>
      </c>
      <c r="M2909" s="18">
        <v>-25.02</v>
      </c>
      <c r="N2909" s="17">
        <v>44776</v>
      </c>
      <c r="O2909" s="15" t="s">
        <v>159</v>
      </c>
      <c r="P2909" s="16" t="s">
        <v>9789</v>
      </c>
      <c r="Q2909" s="15" t="s">
        <v>75</v>
      </c>
      <c r="R2909" s="13" t="str">
        <f>HYPERLINK("https://my.pitchbook.com?c=201029-95T","View Company Online")</f>
        <v>View Company Online</v>
      </c>
    </row>
    <row r="2910" spans="1:18" hidden="1" x14ac:dyDescent="0.3">
      <c r="A2910" s="9" t="s">
        <v>9790</v>
      </c>
      <c r="B2910" s="9" t="s">
        <v>9791</v>
      </c>
      <c r="C2910" s="11" t="s">
        <v>28</v>
      </c>
      <c r="D2910" s="9" t="s">
        <v>9792</v>
      </c>
      <c r="E2910" s="11" t="s">
        <v>28</v>
      </c>
      <c r="F2910" s="10" t="s">
        <v>28</v>
      </c>
      <c r="G2910" s="10">
        <v>37.33</v>
      </c>
      <c r="H2910" s="10" t="s">
        <v>28</v>
      </c>
      <c r="I2910" s="11" t="s">
        <v>28</v>
      </c>
      <c r="J2910" s="11" t="s">
        <v>28</v>
      </c>
      <c r="K2910" s="11" t="s">
        <v>28</v>
      </c>
      <c r="L2910" s="11" t="s">
        <v>28</v>
      </c>
      <c r="M2910" s="11" t="s">
        <v>28</v>
      </c>
      <c r="N2910" s="8">
        <v>44775</v>
      </c>
      <c r="O2910" s="9" t="s">
        <v>73</v>
      </c>
      <c r="P2910" s="12" t="s">
        <v>9793</v>
      </c>
      <c r="Q2910" s="9" t="s">
        <v>75</v>
      </c>
      <c r="R2910" s="14" t="str">
        <f>HYPERLINK("https://my.pitchbook.com?c=244160-20T","View Company Online")</f>
        <v>View Company Online</v>
      </c>
    </row>
    <row r="2911" spans="1:18" hidden="1" x14ac:dyDescent="0.3">
      <c r="A2911" s="15" t="s">
        <v>9794</v>
      </c>
      <c r="B2911" s="15" t="s">
        <v>9795</v>
      </c>
      <c r="C2911" s="18" t="s">
        <v>28</v>
      </c>
      <c r="D2911" s="15" t="s">
        <v>9796</v>
      </c>
      <c r="E2911" s="18" t="s">
        <v>28</v>
      </c>
      <c r="F2911" s="19">
        <v>1.25</v>
      </c>
      <c r="G2911" s="19">
        <v>1.25</v>
      </c>
      <c r="H2911" s="19">
        <v>1.25</v>
      </c>
      <c r="I2911" s="18" t="s">
        <v>28</v>
      </c>
      <c r="J2911" s="18" t="s">
        <v>28</v>
      </c>
      <c r="K2911" s="18" t="s">
        <v>28</v>
      </c>
      <c r="L2911" s="18" t="s">
        <v>28</v>
      </c>
      <c r="M2911" s="18" t="s">
        <v>28</v>
      </c>
      <c r="N2911" s="17">
        <v>44775</v>
      </c>
      <c r="O2911" s="15" t="s">
        <v>30</v>
      </c>
      <c r="P2911" s="16" t="s">
        <v>9797</v>
      </c>
      <c r="Q2911" s="15" t="s">
        <v>245</v>
      </c>
      <c r="R2911" s="13" t="str">
        <f>HYPERLINK("https://my.pitchbook.com?c=206827-57T","View Company Online")</f>
        <v>View Company Online</v>
      </c>
    </row>
    <row r="2912" spans="1:18" hidden="1" x14ac:dyDescent="0.3">
      <c r="A2912" s="9" t="s">
        <v>9798</v>
      </c>
      <c r="B2912" s="9" t="s">
        <v>2428</v>
      </c>
      <c r="C2912" s="11" t="s">
        <v>28</v>
      </c>
      <c r="D2912" s="9" t="s">
        <v>2429</v>
      </c>
      <c r="E2912" s="11" t="s">
        <v>28</v>
      </c>
      <c r="F2912" s="10" t="s">
        <v>28</v>
      </c>
      <c r="G2912" s="10" t="s">
        <v>28</v>
      </c>
      <c r="H2912" s="10" t="s">
        <v>28</v>
      </c>
      <c r="I2912" s="11" t="s">
        <v>28</v>
      </c>
      <c r="J2912" s="11" t="s">
        <v>28</v>
      </c>
      <c r="K2912" s="11" t="s">
        <v>28</v>
      </c>
      <c r="L2912" s="11" t="s">
        <v>28</v>
      </c>
      <c r="M2912" s="11" t="s">
        <v>28</v>
      </c>
      <c r="N2912" s="8">
        <v>44774</v>
      </c>
      <c r="O2912" s="9" t="s">
        <v>79</v>
      </c>
      <c r="P2912" s="12" t="s">
        <v>9799</v>
      </c>
      <c r="Q2912" s="9" t="s">
        <v>37</v>
      </c>
      <c r="R2912" s="14" t="str">
        <f>HYPERLINK("https://my.pitchbook.com?c=218480-23T","View Company Online")</f>
        <v>View Company Online</v>
      </c>
    </row>
    <row r="2913" spans="1:18" hidden="1" x14ac:dyDescent="0.3">
      <c r="A2913" s="15" t="s">
        <v>9800</v>
      </c>
      <c r="B2913" s="15" t="s">
        <v>9801</v>
      </c>
      <c r="C2913" s="18" t="s">
        <v>28</v>
      </c>
      <c r="D2913" s="15" t="s">
        <v>9802</v>
      </c>
      <c r="E2913" s="18">
        <v>0.03</v>
      </c>
      <c r="F2913" s="19" t="s">
        <v>28</v>
      </c>
      <c r="G2913" s="19" t="s">
        <v>28</v>
      </c>
      <c r="H2913" s="19" t="s">
        <v>28</v>
      </c>
      <c r="I2913" s="18">
        <v>0.03</v>
      </c>
      <c r="J2913" s="18" t="s">
        <v>28</v>
      </c>
      <c r="K2913" s="18">
        <v>0.24</v>
      </c>
      <c r="L2913" s="18" t="s">
        <v>28</v>
      </c>
      <c r="M2913" s="18">
        <v>0.03</v>
      </c>
      <c r="N2913" s="17">
        <v>44774</v>
      </c>
      <c r="O2913" s="15" t="s">
        <v>173</v>
      </c>
      <c r="P2913" s="16" t="s">
        <v>28</v>
      </c>
      <c r="Q2913" s="15" t="s">
        <v>114</v>
      </c>
      <c r="R2913" s="13" t="str">
        <f>HYPERLINK("https://my.pitchbook.com?c=202360-42T","View Company Online")</f>
        <v>View Company Online</v>
      </c>
    </row>
    <row r="2914" spans="1:18" hidden="1" x14ac:dyDescent="0.3">
      <c r="A2914" s="9" t="s">
        <v>9803</v>
      </c>
      <c r="B2914" s="9" t="s">
        <v>4785</v>
      </c>
      <c r="C2914" s="11" t="s">
        <v>28</v>
      </c>
      <c r="D2914" s="9" t="s">
        <v>4786</v>
      </c>
      <c r="E2914" s="11" t="s">
        <v>28</v>
      </c>
      <c r="F2914" s="10" t="s">
        <v>28</v>
      </c>
      <c r="G2914" s="10" t="s">
        <v>28</v>
      </c>
      <c r="H2914" s="10" t="s">
        <v>28</v>
      </c>
      <c r="I2914" s="11" t="s">
        <v>28</v>
      </c>
      <c r="J2914" s="11" t="s">
        <v>28</v>
      </c>
      <c r="K2914" s="11">
        <v>874.53</v>
      </c>
      <c r="L2914" s="11" t="s">
        <v>28</v>
      </c>
      <c r="M2914" s="11">
        <v>874.53</v>
      </c>
      <c r="N2914" s="8">
        <v>44774</v>
      </c>
      <c r="O2914" s="9" t="s">
        <v>30</v>
      </c>
      <c r="P2914" s="12" t="s">
        <v>28</v>
      </c>
      <c r="Q2914" s="9" t="s">
        <v>136</v>
      </c>
      <c r="R2914" s="14" t="str">
        <f>HYPERLINK("https://my.pitchbook.com?c=193956-40T","View Company Online")</f>
        <v>View Company Online</v>
      </c>
    </row>
    <row r="2915" spans="1:18" hidden="1" x14ac:dyDescent="0.3">
      <c r="A2915" s="15" t="s">
        <v>9804</v>
      </c>
      <c r="B2915" s="15" t="s">
        <v>9805</v>
      </c>
      <c r="C2915" s="18" t="s">
        <v>28</v>
      </c>
      <c r="D2915" s="15" t="s">
        <v>9806</v>
      </c>
      <c r="E2915" s="18" t="s">
        <v>28</v>
      </c>
      <c r="F2915" s="19" t="s">
        <v>28</v>
      </c>
      <c r="G2915" s="19" t="s">
        <v>28</v>
      </c>
      <c r="H2915" s="19" t="s">
        <v>28</v>
      </c>
      <c r="I2915" s="18" t="s">
        <v>28</v>
      </c>
      <c r="J2915" s="18" t="s">
        <v>28</v>
      </c>
      <c r="K2915" s="18" t="s">
        <v>28</v>
      </c>
      <c r="L2915" s="18" t="s">
        <v>28</v>
      </c>
      <c r="M2915" s="18" t="s">
        <v>28</v>
      </c>
      <c r="N2915" s="17">
        <v>44774</v>
      </c>
      <c r="O2915" s="15" t="s">
        <v>41</v>
      </c>
      <c r="P2915" s="16" t="s">
        <v>9807</v>
      </c>
      <c r="Q2915" s="15" t="s">
        <v>3973</v>
      </c>
      <c r="R2915" s="13" t="str">
        <f>HYPERLINK("https://my.pitchbook.com?c=201366-19T","View Company Online")</f>
        <v>View Company Online</v>
      </c>
    </row>
    <row r="2916" spans="1:18" hidden="1" x14ac:dyDescent="0.3">
      <c r="A2916" s="9" t="s">
        <v>9808</v>
      </c>
      <c r="B2916" s="9" t="s">
        <v>4126</v>
      </c>
      <c r="C2916" s="11" t="s">
        <v>28</v>
      </c>
      <c r="D2916" s="9" t="s">
        <v>4127</v>
      </c>
      <c r="E2916" s="11" t="s">
        <v>28</v>
      </c>
      <c r="F2916" s="10" t="s">
        <v>28</v>
      </c>
      <c r="G2916" s="10">
        <v>1.68</v>
      </c>
      <c r="H2916" s="10" t="s">
        <v>28</v>
      </c>
      <c r="I2916" s="11" t="s">
        <v>28</v>
      </c>
      <c r="J2916" s="11" t="s">
        <v>28</v>
      </c>
      <c r="K2916" s="11" t="s">
        <v>28</v>
      </c>
      <c r="L2916" s="11" t="s">
        <v>28</v>
      </c>
      <c r="M2916" s="11" t="s">
        <v>28</v>
      </c>
      <c r="N2916" s="8">
        <v>44774</v>
      </c>
      <c r="O2916" s="9" t="s">
        <v>99</v>
      </c>
      <c r="P2916" s="12" t="s">
        <v>9809</v>
      </c>
      <c r="Q2916" s="9" t="s">
        <v>75</v>
      </c>
      <c r="R2916" s="14" t="str">
        <f>HYPERLINK("https://my.pitchbook.com?c=200787-85T","View Company Online")</f>
        <v>View Company Online</v>
      </c>
    </row>
    <row r="2917" spans="1:18" hidden="1" x14ac:dyDescent="0.3">
      <c r="A2917" s="15" t="s">
        <v>9810</v>
      </c>
      <c r="B2917" s="15" t="s">
        <v>9811</v>
      </c>
      <c r="C2917" s="18" t="s">
        <v>28</v>
      </c>
      <c r="D2917" s="15" t="s">
        <v>9812</v>
      </c>
      <c r="E2917" s="18" t="s">
        <v>28</v>
      </c>
      <c r="F2917" s="19" t="s">
        <v>28</v>
      </c>
      <c r="G2917" s="19" t="s">
        <v>28</v>
      </c>
      <c r="H2917" s="19" t="s">
        <v>28</v>
      </c>
      <c r="I2917" s="18" t="s">
        <v>28</v>
      </c>
      <c r="J2917" s="18" t="s">
        <v>28</v>
      </c>
      <c r="K2917" s="18" t="s">
        <v>28</v>
      </c>
      <c r="L2917" s="18" t="s">
        <v>28</v>
      </c>
      <c r="M2917" s="18" t="s">
        <v>28</v>
      </c>
      <c r="N2917" s="17">
        <v>44774</v>
      </c>
      <c r="O2917" s="15" t="s">
        <v>52</v>
      </c>
      <c r="P2917" s="16" t="s">
        <v>8715</v>
      </c>
      <c r="Q2917" s="15" t="s">
        <v>75</v>
      </c>
      <c r="R2917" s="13" t="str">
        <f>HYPERLINK("https://my.pitchbook.com?c=216471-61T","View Company Online")</f>
        <v>View Company Online</v>
      </c>
    </row>
    <row r="2918" spans="1:18" hidden="1" x14ac:dyDescent="0.3">
      <c r="A2918" s="9" t="s">
        <v>9813</v>
      </c>
      <c r="B2918" s="9" t="s">
        <v>9814</v>
      </c>
      <c r="C2918" s="11" t="s">
        <v>28</v>
      </c>
      <c r="D2918" s="9" t="s">
        <v>9815</v>
      </c>
      <c r="E2918" s="11" t="s">
        <v>28</v>
      </c>
      <c r="F2918" s="10" t="s">
        <v>28</v>
      </c>
      <c r="G2918" s="10" t="s">
        <v>28</v>
      </c>
      <c r="H2918" s="10" t="s">
        <v>28</v>
      </c>
      <c r="I2918" s="11" t="s">
        <v>28</v>
      </c>
      <c r="J2918" s="11" t="s">
        <v>28</v>
      </c>
      <c r="K2918" s="11" t="s">
        <v>28</v>
      </c>
      <c r="L2918" s="11" t="s">
        <v>28</v>
      </c>
      <c r="M2918" s="11" t="s">
        <v>28</v>
      </c>
      <c r="N2918" s="8">
        <v>44774</v>
      </c>
      <c r="O2918" s="9" t="s">
        <v>30</v>
      </c>
      <c r="P2918" s="12" t="s">
        <v>9816</v>
      </c>
      <c r="Q2918" s="9" t="s">
        <v>75</v>
      </c>
      <c r="R2918" s="14" t="str">
        <f>HYPERLINK("https://my.pitchbook.com?c=203568-76T","View Company Online")</f>
        <v>View Company Online</v>
      </c>
    </row>
    <row r="2919" spans="1:18" hidden="1" x14ac:dyDescent="0.3">
      <c r="A2919" s="15" t="s">
        <v>9817</v>
      </c>
      <c r="B2919" s="15" t="s">
        <v>9818</v>
      </c>
      <c r="C2919" s="18" t="s">
        <v>28</v>
      </c>
      <c r="D2919" s="15" t="s">
        <v>9819</v>
      </c>
      <c r="E2919" s="18" t="s">
        <v>28</v>
      </c>
      <c r="F2919" s="19" t="s">
        <v>28</v>
      </c>
      <c r="G2919" s="19" t="s">
        <v>28</v>
      </c>
      <c r="H2919" s="19" t="s">
        <v>28</v>
      </c>
      <c r="I2919" s="18" t="s">
        <v>28</v>
      </c>
      <c r="J2919" s="18" t="s">
        <v>28</v>
      </c>
      <c r="K2919" s="18" t="s">
        <v>28</v>
      </c>
      <c r="L2919" s="18" t="s">
        <v>28</v>
      </c>
      <c r="M2919" s="18" t="s">
        <v>28</v>
      </c>
      <c r="N2919" s="17">
        <v>44774</v>
      </c>
      <c r="O2919" s="15" t="s">
        <v>79</v>
      </c>
      <c r="P2919" s="16" t="s">
        <v>611</v>
      </c>
      <c r="Q2919" s="15" t="s">
        <v>75</v>
      </c>
      <c r="R2919" s="13" t="str">
        <f>HYPERLINK("https://my.pitchbook.com?c=220156-30T","View Company Online")</f>
        <v>View Company Online</v>
      </c>
    </row>
    <row r="2920" spans="1:18" hidden="1" x14ac:dyDescent="0.3">
      <c r="A2920" s="9" t="s">
        <v>9820</v>
      </c>
      <c r="B2920" s="9" t="s">
        <v>9821</v>
      </c>
      <c r="C2920" s="11" t="s">
        <v>28</v>
      </c>
      <c r="D2920" s="9" t="s">
        <v>9822</v>
      </c>
      <c r="E2920" s="11" t="s">
        <v>28</v>
      </c>
      <c r="F2920" s="10" t="s">
        <v>28</v>
      </c>
      <c r="G2920" s="10" t="s">
        <v>28</v>
      </c>
      <c r="H2920" s="10" t="s">
        <v>28</v>
      </c>
      <c r="I2920" s="11" t="s">
        <v>28</v>
      </c>
      <c r="J2920" s="11" t="s">
        <v>28</v>
      </c>
      <c r="K2920" s="11" t="s">
        <v>28</v>
      </c>
      <c r="L2920" s="11" t="s">
        <v>28</v>
      </c>
      <c r="M2920" s="11" t="s">
        <v>28</v>
      </c>
      <c r="N2920" s="8">
        <v>44774</v>
      </c>
      <c r="O2920" s="9" t="s">
        <v>73</v>
      </c>
      <c r="P2920" s="12" t="s">
        <v>9745</v>
      </c>
      <c r="Q2920" s="9" t="s">
        <v>607</v>
      </c>
      <c r="R2920" s="14" t="str">
        <f>HYPERLINK("https://my.pitchbook.com?c=220178-80T","View Company Online")</f>
        <v>View Company Online</v>
      </c>
    </row>
    <row r="2921" spans="1:18" hidden="1" x14ac:dyDescent="0.3">
      <c r="A2921" s="15" t="s">
        <v>9823</v>
      </c>
      <c r="B2921" s="15" t="s">
        <v>9824</v>
      </c>
      <c r="C2921" s="18" t="s">
        <v>28</v>
      </c>
      <c r="D2921" s="15" t="s">
        <v>9825</v>
      </c>
      <c r="E2921" s="18" t="s">
        <v>28</v>
      </c>
      <c r="F2921" s="19" t="s">
        <v>28</v>
      </c>
      <c r="G2921" s="19" t="s">
        <v>28</v>
      </c>
      <c r="H2921" s="19" t="s">
        <v>28</v>
      </c>
      <c r="I2921" s="18" t="s">
        <v>28</v>
      </c>
      <c r="J2921" s="18" t="s">
        <v>28</v>
      </c>
      <c r="K2921" s="18" t="s">
        <v>28</v>
      </c>
      <c r="L2921" s="18" t="s">
        <v>28</v>
      </c>
      <c r="M2921" s="18" t="s">
        <v>28</v>
      </c>
      <c r="N2921" s="17">
        <v>44774</v>
      </c>
      <c r="O2921" s="15" t="s">
        <v>73</v>
      </c>
      <c r="P2921" s="16" t="s">
        <v>611</v>
      </c>
      <c r="Q2921" s="15" t="s">
        <v>75</v>
      </c>
      <c r="R2921" s="13" t="str">
        <f>HYPERLINK("https://my.pitchbook.com?c=215856-37T","View Company Online")</f>
        <v>View Company Online</v>
      </c>
    </row>
    <row r="2922" spans="1:18" hidden="1" x14ac:dyDescent="0.3">
      <c r="A2922" s="9" t="s">
        <v>9826</v>
      </c>
      <c r="B2922" s="9" t="s">
        <v>3424</v>
      </c>
      <c r="C2922" s="11" t="s">
        <v>28</v>
      </c>
      <c r="D2922" s="9" t="s">
        <v>3425</v>
      </c>
      <c r="E2922" s="11" t="s">
        <v>28</v>
      </c>
      <c r="F2922" s="10" t="s">
        <v>28</v>
      </c>
      <c r="G2922" s="10" t="s">
        <v>28</v>
      </c>
      <c r="H2922" s="10" t="s">
        <v>28</v>
      </c>
      <c r="I2922" s="11">
        <v>-15.02</v>
      </c>
      <c r="J2922" s="11" t="s">
        <v>28</v>
      </c>
      <c r="K2922" s="11">
        <v>17.5</v>
      </c>
      <c r="L2922" s="11" t="s">
        <v>28</v>
      </c>
      <c r="M2922" s="11">
        <v>-45.63</v>
      </c>
      <c r="N2922" s="8">
        <v>44774</v>
      </c>
      <c r="O2922" s="9" t="s">
        <v>93</v>
      </c>
      <c r="P2922" s="12" t="s">
        <v>9827</v>
      </c>
      <c r="Q2922" s="9" t="s">
        <v>226</v>
      </c>
      <c r="R2922" s="14" t="str">
        <f>HYPERLINK("https://my.pitchbook.com?c=201437-20T","View Company Online")</f>
        <v>View Company Online</v>
      </c>
    </row>
    <row r="2923" spans="1:18" hidden="1" x14ac:dyDescent="0.3">
      <c r="A2923" s="15" t="s">
        <v>9828</v>
      </c>
      <c r="B2923" s="15" t="s">
        <v>4909</v>
      </c>
      <c r="C2923" s="18" t="s">
        <v>28</v>
      </c>
      <c r="D2923" s="15" t="s">
        <v>4910</v>
      </c>
      <c r="E2923" s="18" t="s">
        <v>28</v>
      </c>
      <c r="F2923" s="19" t="s">
        <v>28</v>
      </c>
      <c r="G2923" s="19">
        <v>3.17</v>
      </c>
      <c r="H2923" s="19" t="s">
        <v>28</v>
      </c>
      <c r="I2923" s="18" t="s">
        <v>28</v>
      </c>
      <c r="J2923" s="18" t="s">
        <v>28</v>
      </c>
      <c r="K2923" s="18" t="s">
        <v>28</v>
      </c>
      <c r="L2923" s="18" t="s">
        <v>28</v>
      </c>
      <c r="M2923" s="18" t="s">
        <v>28</v>
      </c>
      <c r="N2923" s="17">
        <v>44774</v>
      </c>
      <c r="O2923" s="15" t="s">
        <v>99</v>
      </c>
      <c r="P2923" s="16" t="s">
        <v>9829</v>
      </c>
      <c r="Q2923" s="15" t="s">
        <v>75</v>
      </c>
      <c r="R2923" s="13" t="str">
        <f>HYPERLINK("https://my.pitchbook.com?c=201946-78T","View Company Online")</f>
        <v>View Company Online</v>
      </c>
    </row>
    <row r="2924" spans="1:18" hidden="1" x14ac:dyDescent="0.3">
      <c r="A2924" s="9" t="s">
        <v>9830</v>
      </c>
      <c r="B2924" s="9" t="s">
        <v>6031</v>
      </c>
      <c r="C2924" s="11" t="s">
        <v>28</v>
      </c>
      <c r="D2924" s="9" t="s">
        <v>6032</v>
      </c>
      <c r="E2924" s="11" t="s">
        <v>28</v>
      </c>
      <c r="F2924" s="10" t="s">
        <v>28</v>
      </c>
      <c r="G2924" s="10" t="s">
        <v>28</v>
      </c>
      <c r="H2924" s="10" t="s">
        <v>28</v>
      </c>
      <c r="I2924" s="11" t="s">
        <v>28</v>
      </c>
      <c r="J2924" s="11" t="s">
        <v>28</v>
      </c>
      <c r="K2924" s="11" t="s">
        <v>28</v>
      </c>
      <c r="L2924" s="11" t="s">
        <v>28</v>
      </c>
      <c r="M2924" s="11" t="s">
        <v>28</v>
      </c>
      <c r="N2924" s="8">
        <v>44774</v>
      </c>
      <c r="O2924" s="9" t="s">
        <v>79</v>
      </c>
      <c r="P2924" s="12" t="s">
        <v>611</v>
      </c>
      <c r="Q2924" s="9" t="s">
        <v>75</v>
      </c>
      <c r="R2924" s="14" t="str">
        <f>HYPERLINK("https://my.pitchbook.com?c=215853-85T","View Company Online")</f>
        <v>View Company Online</v>
      </c>
    </row>
    <row r="2925" spans="1:18" hidden="1" x14ac:dyDescent="0.3">
      <c r="A2925" s="15" t="s">
        <v>9831</v>
      </c>
      <c r="B2925" s="15" t="s">
        <v>8321</v>
      </c>
      <c r="C2925" s="18" t="s">
        <v>28</v>
      </c>
      <c r="D2925" s="15" t="s">
        <v>8322</v>
      </c>
      <c r="E2925" s="18" t="s">
        <v>28</v>
      </c>
      <c r="F2925" s="19" t="s">
        <v>28</v>
      </c>
      <c r="G2925" s="19" t="s">
        <v>28</v>
      </c>
      <c r="H2925" s="19" t="s">
        <v>28</v>
      </c>
      <c r="I2925" s="18" t="s">
        <v>28</v>
      </c>
      <c r="J2925" s="18" t="s">
        <v>28</v>
      </c>
      <c r="K2925" s="18" t="s">
        <v>28</v>
      </c>
      <c r="L2925" s="18" t="s">
        <v>28</v>
      </c>
      <c r="M2925" s="18" t="s">
        <v>28</v>
      </c>
      <c r="N2925" s="17">
        <v>44774</v>
      </c>
      <c r="O2925" s="15" t="s">
        <v>52</v>
      </c>
      <c r="P2925" s="16" t="s">
        <v>1651</v>
      </c>
      <c r="Q2925" s="15" t="s">
        <v>114</v>
      </c>
      <c r="R2925" s="13" t="str">
        <f>HYPERLINK("https://my.pitchbook.com?c=269059-42T","View Company Online")</f>
        <v>View Company Online</v>
      </c>
    </row>
    <row r="2926" spans="1:18" hidden="1" x14ac:dyDescent="0.3">
      <c r="A2926" s="9" t="s">
        <v>9832</v>
      </c>
      <c r="B2926" s="9" t="s">
        <v>7229</v>
      </c>
      <c r="C2926" s="11" t="s">
        <v>28</v>
      </c>
      <c r="D2926" s="9" t="s">
        <v>9833</v>
      </c>
      <c r="E2926" s="11" t="s">
        <v>28</v>
      </c>
      <c r="F2926" s="10" t="s">
        <v>28</v>
      </c>
      <c r="G2926" s="10">
        <v>4.66</v>
      </c>
      <c r="H2926" s="10" t="s">
        <v>28</v>
      </c>
      <c r="I2926" s="11" t="s">
        <v>28</v>
      </c>
      <c r="J2926" s="11" t="s">
        <v>28</v>
      </c>
      <c r="K2926" s="11" t="s">
        <v>28</v>
      </c>
      <c r="L2926" s="11" t="s">
        <v>28</v>
      </c>
      <c r="M2926" s="11" t="s">
        <v>28</v>
      </c>
      <c r="N2926" s="8">
        <v>44774</v>
      </c>
      <c r="O2926" s="9" t="s">
        <v>73</v>
      </c>
      <c r="P2926" s="12" t="s">
        <v>9834</v>
      </c>
      <c r="Q2926" s="9" t="s">
        <v>1035</v>
      </c>
      <c r="R2926" s="14" t="str">
        <f>HYPERLINK("https://my.pitchbook.com?c=192857-05T","View Company Online")</f>
        <v>View Company Online</v>
      </c>
    </row>
    <row r="2927" spans="1:18" hidden="1" x14ac:dyDescent="0.3">
      <c r="A2927" s="15" t="s">
        <v>9835</v>
      </c>
      <c r="B2927" s="15" t="s">
        <v>9836</v>
      </c>
      <c r="C2927" s="18" t="s">
        <v>28</v>
      </c>
      <c r="D2927" s="15" t="s">
        <v>9837</v>
      </c>
      <c r="E2927" s="18" t="s">
        <v>28</v>
      </c>
      <c r="F2927" s="19" t="s">
        <v>28</v>
      </c>
      <c r="G2927" s="19" t="s">
        <v>28</v>
      </c>
      <c r="H2927" s="19" t="s">
        <v>28</v>
      </c>
      <c r="I2927" s="18" t="s">
        <v>28</v>
      </c>
      <c r="J2927" s="18" t="s">
        <v>28</v>
      </c>
      <c r="K2927" s="18" t="s">
        <v>28</v>
      </c>
      <c r="L2927" s="18" t="s">
        <v>28</v>
      </c>
      <c r="M2927" s="18" t="s">
        <v>28</v>
      </c>
      <c r="N2927" s="17">
        <v>44774</v>
      </c>
      <c r="O2927" s="15" t="s">
        <v>30</v>
      </c>
      <c r="P2927" s="16" t="s">
        <v>9838</v>
      </c>
      <c r="Q2927" s="15" t="s">
        <v>245</v>
      </c>
      <c r="R2927" s="13" t="str">
        <f>HYPERLINK("https://my.pitchbook.com?c=200762-38T","View Company Online")</f>
        <v>View Company Online</v>
      </c>
    </row>
    <row r="2928" spans="1:18" hidden="1" x14ac:dyDescent="0.3">
      <c r="A2928" s="9" t="s">
        <v>9839</v>
      </c>
      <c r="B2928" s="9" t="s">
        <v>9840</v>
      </c>
      <c r="C2928" s="11" t="s">
        <v>28</v>
      </c>
      <c r="D2928" s="9" t="s">
        <v>9841</v>
      </c>
      <c r="E2928" s="11" t="s">
        <v>28</v>
      </c>
      <c r="F2928" s="10" t="s">
        <v>28</v>
      </c>
      <c r="G2928" s="10" t="s">
        <v>28</v>
      </c>
      <c r="H2928" s="10" t="s">
        <v>28</v>
      </c>
      <c r="I2928" s="11" t="s">
        <v>28</v>
      </c>
      <c r="J2928" s="11" t="s">
        <v>28</v>
      </c>
      <c r="K2928" s="11" t="s">
        <v>28</v>
      </c>
      <c r="L2928" s="11" t="s">
        <v>28</v>
      </c>
      <c r="M2928" s="11" t="s">
        <v>28</v>
      </c>
      <c r="N2928" s="8">
        <v>44774</v>
      </c>
      <c r="O2928" s="9" t="s">
        <v>30</v>
      </c>
      <c r="P2928" s="12" t="s">
        <v>1483</v>
      </c>
      <c r="Q2928" s="9" t="s">
        <v>290</v>
      </c>
      <c r="R2928" s="14" t="str">
        <f>HYPERLINK("https://my.pitchbook.com?c=210207-97T","View Company Online")</f>
        <v>View Company Online</v>
      </c>
    </row>
    <row r="2929" spans="1:18" hidden="1" x14ac:dyDescent="0.3">
      <c r="A2929" s="15" t="s">
        <v>9842</v>
      </c>
      <c r="B2929" s="15" t="s">
        <v>3369</v>
      </c>
      <c r="C2929" s="18" t="s">
        <v>28</v>
      </c>
      <c r="D2929" s="15" t="s">
        <v>3370</v>
      </c>
      <c r="E2929" s="18">
        <v>10.31</v>
      </c>
      <c r="F2929" s="19" t="s">
        <v>28</v>
      </c>
      <c r="G2929" s="19">
        <v>192.77</v>
      </c>
      <c r="H2929" s="19">
        <v>426.96</v>
      </c>
      <c r="I2929" s="18">
        <v>99.36</v>
      </c>
      <c r="J2929" s="18">
        <v>4.3</v>
      </c>
      <c r="K2929" s="18">
        <v>630.85</v>
      </c>
      <c r="L2929" s="18">
        <v>0.68</v>
      </c>
      <c r="M2929" s="18">
        <v>-14.75</v>
      </c>
      <c r="N2929" s="17">
        <v>44774</v>
      </c>
      <c r="O2929" s="15" t="s">
        <v>159</v>
      </c>
      <c r="P2929" s="16" t="s">
        <v>28</v>
      </c>
      <c r="Q2929" s="15" t="s">
        <v>169</v>
      </c>
      <c r="R2929" s="13" t="str">
        <f>HYPERLINK("https://my.pitchbook.com?c=200848-33T","View Company Online")</f>
        <v>View Company Online</v>
      </c>
    </row>
    <row r="2930" spans="1:18" hidden="1" x14ac:dyDescent="0.3">
      <c r="A2930" s="9" t="s">
        <v>9843</v>
      </c>
      <c r="B2930" s="9" t="s">
        <v>5090</v>
      </c>
      <c r="C2930" s="11" t="s">
        <v>28</v>
      </c>
      <c r="D2930" s="9" t="s">
        <v>5091</v>
      </c>
      <c r="E2930" s="11" t="s">
        <v>28</v>
      </c>
      <c r="F2930" s="10" t="s">
        <v>28</v>
      </c>
      <c r="G2930" s="10">
        <v>0.85</v>
      </c>
      <c r="H2930" s="10">
        <v>7.6</v>
      </c>
      <c r="I2930" s="11" t="s">
        <v>28</v>
      </c>
      <c r="J2930" s="11" t="s">
        <v>28</v>
      </c>
      <c r="K2930" s="11" t="s">
        <v>28</v>
      </c>
      <c r="L2930" s="11" t="s">
        <v>28</v>
      </c>
      <c r="M2930" s="11" t="s">
        <v>28</v>
      </c>
      <c r="N2930" s="8">
        <v>44773</v>
      </c>
      <c r="O2930" s="9" t="s">
        <v>99</v>
      </c>
      <c r="P2930" s="12" t="s">
        <v>9844</v>
      </c>
      <c r="Q2930" s="9" t="s">
        <v>5092</v>
      </c>
      <c r="R2930" s="14" t="str">
        <f>HYPERLINK("https://my.pitchbook.com?c=199622-35T","View Company Online")</f>
        <v>View Company Online</v>
      </c>
    </row>
    <row r="2931" spans="1:18" hidden="1" x14ac:dyDescent="0.3">
      <c r="A2931" s="15" t="s">
        <v>9845</v>
      </c>
      <c r="B2931" s="15" t="s">
        <v>9846</v>
      </c>
      <c r="C2931" s="18" t="s">
        <v>28</v>
      </c>
      <c r="D2931" s="15" t="s">
        <v>9847</v>
      </c>
      <c r="E2931" s="18" t="s">
        <v>28</v>
      </c>
      <c r="F2931" s="19" t="s">
        <v>28</v>
      </c>
      <c r="G2931" s="19" t="s">
        <v>28</v>
      </c>
      <c r="H2931" s="19" t="s">
        <v>28</v>
      </c>
      <c r="I2931" s="18" t="s">
        <v>28</v>
      </c>
      <c r="J2931" s="18" t="s">
        <v>28</v>
      </c>
      <c r="K2931" s="18" t="s">
        <v>28</v>
      </c>
      <c r="L2931" s="18" t="s">
        <v>28</v>
      </c>
      <c r="M2931" s="18" t="s">
        <v>28</v>
      </c>
      <c r="N2931" s="17">
        <v>44772</v>
      </c>
      <c r="O2931" s="15" t="s">
        <v>52</v>
      </c>
      <c r="P2931" s="16" t="s">
        <v>9848</v>
      </c>
      <c r="Q2931" s="15" t="s">
        <v>75</v>
      </c>
      <c r="R2931" s="13" t="str">
        <f>HYPERLINK("https://my.pitchbook.com?c=292620-52T","View Company Online")</f>
        <v>View Company Online</v>
      </c>
    </row>
    <row r="2932" spans="1:18" hidden="1" x14ac:dyDescent="0.3">
      <c r="A2932" s="9" t="s">
        <v>9849</v>
      </c>
      <c r="B2932" s="9" t="s">
        <v>9850</v>
      </c>
      <c r="C2932" s="11" t="s">
        <v>28</v>
      </c>
      <c r="D2932" s="9" t="s">
        <v>9851</v>
      </c>
      <c r="E2932" s="11" t="s">
        <v>28</v>
      </c>
      <c r="F2932" s="10" t="s">
        <v>28</v>
      </c>
      <c r="G2932" s="10" t="s">
        <v>28</v>
      </c>
      <c r="H2932" s="10" t="s">
        <v>28</v>
      </c>
      <c r="I2932" s="11" t="s">
        <v>28</v>
      </c>
      <c r="J2932" s="11" t="s">
        <v>28</v>
      </c>
      <c r="K2932" s="11" t="s">
        <v>28</v>
      </c>
      <c r="L2932" s="11" t="s">
        <v>28</v>
      </c>
      <c r="M2932" s="11" t="s">
        <v>28</v>
      </c>
      <c r="N2932" s="8">
        <v>44771</v>
      </c>
      <c r="O2932" s="9" t="s">
        <v>30</v>
      </c>
      <c r="P2932" s="12" t="s">
        <v>28</v>
      </c>
      <c r="Q2932" s="9" t="s">
        <v>75</v>
      </c>
      <c r="R2932" s="14" t="str">
        <f>HYPERLINK("https://my.pitchbook.com?c=204260-59T","View Company Online")</f>
        <v>View Company Online</v>
      </c>
    </row>
    <row r="2933" spans="1:18" hidden="1" x14ac:dyDescent="0.3">
      <c r="A2933" s="15" t="s">
        <v>9852</v>
      </c>
      <c r="B2933" s="15" t="s">
        <v>9853</v>
      </c>
      <c r="C2933" s="18" t="s">
        <v>28</v>
      </c>
      <c r="D2933" s="15" t="s">
        <v>9854</v>
      </c>
      <c r="E2933" s="18" t="s">
        <v>28</v>
      </c>
      <c r="F2933" s="19" t="s">
        <v>28</v>
      </c>
      <c r="G2933" s="19" t="s">
        <v>28</v>
      </c>
      <c r="H2933" s="19" t="s">
        <v>28</v>
      </c>
      <c r="I2933" s="18" t="s">
        <v>28</v>
      </c>
      <c r="J2933" s="18" t="s">
        <v>28</v>
      </c>
      <c r="K2933" s="18" t="s">
        <v>28</v>
      </c>
      <c r="L2933" s="18" t="s">
        <v>28</v>
      </c>
      <c r="M2933" s="18" t="s">
        <v>28</v>
      </c>
      <c r="N2933" s="17">
        <v>44771</v>
      </c>
      <c r="O2933" s="15" t="s">
        <v>41</v>
      </c>
      <c r="P2933" s="16" t="s">
        <v>5561</v>
      </c>
      <c r="Q2933" s="15" t="s">
        <v>290</v>
      </c>
      <c r="R2933" s="13" t="str">
        <f>HYPERLINK("https://my.pitchbook.com?c=219583-81T","View Company Online")</f>
        <v>View Company Online</v>
      </c>
    </row>
    <row r="2934" spans="1:18" hidden="1" x14ac:dyDescent="0.3">
      <c r="A2934" s="9" t="s">
        <v>9855</v>
      </c>
      <c r="B2934" s="9" t="s">
        <v>9856</v>
      </c>
      <c r="C2934" s="11" t="s">
        <v>28</v>
      </c>
      <c r="D2934" s="9" t="s">
        <v>9857</v>
      </c>
      <c r="E2934" s="11" t="s">
        <v>28</v>
      </c>
      <c r="F2934" s="10" t="s">
        <v>28</v>
      </c>
      <c r="G2934" s="10" t="s">
        <v>28</v>
      </c>
      <c r="H2934" s="10" t="s">
        <v>28</v>
      </c>
      <c r="I2934" s="11" t="s">
        <v>28</v>
      </c>
      <c r="J2934" s="11" t="s">
        <v>28</v>
      </c>
      <c r="K2934" s="11" t="s">
        <v>28</v>
      </c>
      <c r="L2934" s="11" t="s">
        <v>28</v>
      </c>
      <c r="M2934" s="11" t="s">
        <v>28</v>
      </c>
      <c r="N2934" s="8">
        <v>44771</v>
      </c>
      <c r="O2934" s="9" t="s">
        <v>41</v>
      </c>
      <c r="P2934" s="12" t="s">
        <v>9858</v>
      </c>
      <c r="Q2934" s="9" t="s">
        <v>855</v>
      </c>
      <c r="R2934" s="14" t="str">
        <f>HYPERLINK("https://my.pitchbook.com?c=204106-69T","View Company Online")</f>
        <v>View Company Online</v>
      </c>
    </row>
    <row r="2935" spans="1:18" hidden="1" x14ac:dyDescent="0.3">
      <c r="A2935" s="15" t="s">
        <v>9859</v>
      </c>
      <c r="B2935" s="15" t="s">
        <v>9860</v>
      </c>
      <c r="C2935" s="18" t="s">
        <v>28</v>
      </c>
      <c r="D2935" s="15" t="s">
        <v>9861</v>
      </c>
      <c r="E2935" s="18" t="s">
        <v>28</v>
      </c>
      <c r="F2935" s="19" t="s">
        <v>28</v>
      </c>
      <c r="G2935" s="19">
        <v>0.06</v>
      </c>
      <c r="H2935" s="19" t="s">
        <v>28</v>
      </c>
      <c r="I2935" s="18" t="s">
        <v>28</v>
      </c>
      <c r="J2935" s="18" t="s">
        <v>28</v>
      </c>
      <c r="K2935" s="18" t="s">
        <v>28</v>
      </c>
      <c r="L2935" s="18" t="s">
        <v>28</v>
      </c>
      <c r="M2935" s="18" t="s">
        <v>28</v>
      </c>
      <c r="N2935" s="17">
        <v>44770</v>
      </c>
      <c r="O2935" s="15" t="s">
        <v>79</v>
      </c>
      <c r="P2935" s="16" t="s">
        <v>9862</v>
      </c>
      <c r="Q2935" s="15" t="s">
        <v>75</v>
      </c>
      <c r="R2935" s="13" t="str">
        <f>HYPERLINK("https://my.pitchbook.com?c=199281-70T","View Company Online")</f>
        <v>View Company Online</v>
      </c>
    </row>
    <row r="2936" spans="1:18" hidden="1" x14ac:dyDescent="0.3">
      <c r="A2936" s="9" t="s">
        <v>9863</v>
      </c>
      <c r="B2936" s="9" t="s">
        <v>3073</v>
      </c>
      <c r="C2936" s="11" t="s">
        <v>28</v>
      </c>
      <c r="D2936" s="9" t="s">
        <v>3074</v>
      </c>
      <c r="E2936" s="11" t="s">
        <v>28</v>
      </c>
      <c r="F2936" s="10" t="s">
        <v>28</v>
      </c>
      <c r="G2936" s="10" t="s">
        <v>28</v>
      </c>
      <c r="H2936" s="10" t="s">
        <v>28</v>
      </c>
      <c r="I2936" s="11">
        <v>43.21</v>
      </c>
      <c r="J2936" s="11" t="s">
        <v>28</v>
      </c>
      <c r="K2936" s="11" t="s">
        <v>28</v>
      </c>
      <c r="L2936" s="11" t="s">
        <v>28</v>
      </c>
      <c r="M2936" s="11" t="s">
        <v>28</v>
      </c>
      <c r="N2936" s="8">
        <v>44770</v>
      </c>
      <c r="O2936" s="9" t="s">
        <v>41</v>
      </c>
      <c r="P2936" s="12" t="s">
        <v>9864</v>
      </c>
      <c r="Q2936" s="9" t="s">
        <v>169</v>
      </c>
      <c r="R2936" s="14" t="str">
        <f>HYPERLINK("https://my.pitchbook.com?c=202266-37T","View Company Online")</f>
        <v>View Company Online</v>
      </c>
    </row>
    <row r="2937" spans="1:18" hidden="1" x14ac:dyDescent="0.3">
      <c r="A2937" s="15" t="s">
        <v>9865</v>
      </c>
      <c r="B2937" s="15" t="s">
        <v>9866</v>
      </c>
      <c r="C2937" s="18" t="s">
        <v>28</v>
      </c>
      <c r="D2937" s="15" t="s">
        <v>9867</v>
      </c>
      <c r="E2937" s="18">
        <v>-3.69</v>
      </c>
      <c r="F2937" s="19" t="s">
        <v>28</v>
      </c>
      <c r="G2937" s="19" t="s">
        <v>28</v>
      </c>
      <c r="H2937" s="19" t="s">
        <v>28</v>
      </c>
      <c r="I2937" s="18">
        <v>-3.69</v>
      </c>
      <c r="J2937" s="18" t="s">
        <v>28</v>
      </c>
      <c r="K2937" s="18">
        <v>0.04</v>
      </c>
      <c r="L2937" s="18" t="s">
        <v>28</v>
      </c>
      <c r="M2937" s="18">
        <v>-3.69</v>
      </c>
      <c r="N2937" s="17">
        <v>44770</v>
      </c>
      <c r="O2937" s="15" t="s">
        <v>173</v>
      </c>
      <c r="P2937" s="16" t="s">
        <v>28</v>
      </c>
      <c r="Q2937" s="15" t="s">
        <v>174</v>
      </c>
      <c r="R2937" s="13" t="str">
        <f>HYPERLINK("https://my.pitchbook.com?c=202360-96T","View Company Online")</f>
        <v>View Company Online</v>
      </c>
    </row>
    <row r="2938" spans="1:18" hidden="1" x14ac:dyDescent="0.3">
      <c r="A2938" s="9" t="s">
        <v>9868</v>
      </c>
      <c r="B2938" s="9" t="s">
        <v>7962</v>
      </c>
      <c r="C2938" s="11" t="s">
        <v>28</v>
      </c>
      <c r="D2938" s="9" t="s">
        <v>7963</v>
      </c>
      <c r="E2938" s="11" t="s">
        <v>28</v>
      </c>
      <c r="F2938" s="10" t="s">
        <v>28</v>
      </c>
      <c r="G2938" s="10">
        <v>0.15</v>
      </c>
      <c r="H2938" s="10" t="s">
        <v>28</v>
      </c>
      <c r="I2938" s="11" t="s">
        <v>28</v>
      </c>
      <c r="J2938" s="11" t="s">
        <v>28</v>
      </c>
      <c r="K2938" s="11" t="s">
        <v>28</v>
      </c>
      <c r="L2938" s="11" t="s">
        <v>28</v>
      </c>
      <c r="M2938" s="11" t="s">
        <v>28</v>
      </c>
      <c r="N2938" s="8">
        <v>44770</v>
      </c>
      <c r="O2938" s="9" t="s">
        <v>99</v>
      </c>
      <c r="P2938" s="12" t="s">
        <v>9869</v>
      </c>
      <c r="Q2938" s="9" t="s">
        <v>5628</v>
      </c>
      <c r="R2938" s="14" t="str">
        <f>HYPERLINK("https://my.pitchbook.com?c=194458-87T","View Company Online")</f>
        <v>View Company Online</v>
      </c>
    </row>
    <row r="2939" spans="1:18" hidden="1" x14ac:dyDescent="0.3">
      <c r="A2939" s="15" t="s">
        <v>9870</v>
      </c>
      <c r="B2939" s="15" t="s">
        <v>4340</v>
      </c>
      <c r="C2939" s="18" t="s">
        <v>28</v>
      </c>
      <c r="D2939" s="15" t="s">
        <v>4341</v>
      </c>
      <c r="E2939" s="18" t="s">
        <v>28</v>
      </c>
      <c r="F2939" s="19" t="s">
        <v>28</v>
      </c>
      <c r="G2939" s="19" t="s">
        <v>28</v>
      </c>
      <c r="H2939" s="19" t="s">
        <v>28</v>
      </c>
      <c r="I2939" s="18" t="s">
        <v>28</v>
      </c>
      <c r="J2939" s="18" t="s">
        <v>28</v>
      </c>
      <c r="K2939" s="18" t="s">
        <v>28</v>
      </c>
      <c r="L2939" s="18" t="s">
        <v>28</v>
      </c>
      <c r="M2939" s="18" t="s">
        <v>28</v>
      </c>
      <c r="N2939" s="17">
        <v>44770</v>
      </c>
      <c r="O2939" s="15" t="s">
        <v>79</v>
      </c>
      <c r="P2939" s="16" t="s">
        <v>9871</v>
      </c>
      <c r="Q2939" s="15" t="s">
        <v>75</v>
      </c>
      <c r="R2939" s="13" t="str">
        <f>HYPERLINK("https://my.pitchbook.com?c=200997-55T","View Company Online")</f>
        <v>View Company Online</v>
      </c>
    </row>
    <row r="2940" spans="1:18" hidden="1" x14ac:dyDescent="0.3">
      <c r="A2940" s="9" t="s">
        <v>9872</v>
      </c>
      <c r="B2940" s="9" t="s">
        <v>9873</v>
      </c>
      <c r="C2940" s="11" t="s">
        <v>28</v>
      </c>
      <c r="D2940" s="9" t="s">
        <v>9874</v>
      </c>
      <c r="E2940" s="11" t="s">
        <v>28</v>
      </c>
      <c r="F2940" s="10" t="s">
        <v>28</v>
      </c>
      <c r="G2940" s="10">
        <v>4.0999999999999996</v>
      </c>
      <c r="H2940" s="10" t="s">
        <v>28</v>
      </c>
      <c r="I2940" s="11" t="s">
        <v>28</v>
      </c>
      <c r="J2940" s="11" t="s">
        <v>28</v>
      </c>
      <c r="K2940" s="11" t="s">
        <v>28</v>
      </c>
      <c r="L2940" s="11" t="s">
        <v>28</v>
      </c>
      <c r="M2940" s="11" t="s">
        <v>28</v>
      </c>
      <c r="N2940" s="8">
        <v>44770</v>
      </c>
      <c r="O2940" s="9" t="s">
        <v>173</v>
      </c>
      <c r="P2940" s="12" t="s">
        <v>28</v>
      </c>
      <c r="Q2940" s="9" t="s">
        <v>114</v>
      </c>
      <c r="R2940" s="14" t="str">
        <f>HYPERLINK("https://my.pitchbook.com?c=203053-69T","View Company Online")</f>
        <v>View Company Online</v>
      </c>
    </row>
    <row r="2941" spans="1:18" hidden="1" x14ac:dyDescent="0.3">
      <c r="A2941" s="15" t="s">
        <v>9875</v>
      </c>
      <c r="B2941" s="15" t="s">
        <v>9876</v>
      </c>
      <c r="C2941" s="18" t="s">
        <v>28</v>
      </c>
      <c r="D2941" s="15" t="s">
        <v>9877</v>
      </c>
      <c r="E2941" s="18">
        <v>0.98</v>
      </c>
      <c r="F2941" s="19" t="s">
        <v>28</v>
      </c>
      <c r="G2941" s="19" t="s">
        <v>28</v>
      </c>
      <c r="H2941" s="19" t="s">
        <v>28</v>
      </c>
      <c r="I2941" s="18">
        <v>0.98</v>
      </c>
      <c r="J2941" s="18" t="s">
        <v>28</v>
      </c>
      <c r="K2941" s="18">
        <v>0.94</v>
      </c>
      <c r="L2941" s="18" t="s">
        <v>28</v>
      </c>
      <c r="M2941" s="18">
        <v>0.98</v>
      </c>
      <c r="N2941" s="17">
        <v>44770</v>
      </c>
      <c r="O2941" s="15" t="s">
        <v>173</v>
      </c>
      <c r="P2941" s="16" t="s">
        <v>28</v>
      </c>
      <c r="Q2941" s="15" t="s">
        <v>174</v>
      </c>
      <c r="R2941" s="13" t="str">
        <f>HYPERLINK("https://my.pitchbook.com?c=202342-24T","View Company Online")</f>
        <v>View Company Online</v>
      </c>
    </row>
    <row r="2942" spans="1:18" hidden="1" x14ac:dyDescent="0.3">
      <c r="A2942" s="9" t="s">
        <v>9878</v>
      </c>
      <c r="B2942" s="9" t="s">
        <v>3192</v>
      </c>
      <c r="C2942" s="11" t="s">
        <v>28</v>
      </c>
      <c r="D2942" s="9" t="s">
        <v>3193</v>
      </c>
      <c r="E2942" s="11" t="s">
        <v>28</v>
      </c>
      <c r="F2942" s="10" t="s">
        <v>28</v>
      </c>
      <c r="G2942" s="10">
        <v>4</v>
      </c>
      <c r="H2942" s="10" t="s">
        <v>28</v>
      </c>
      <c r="I2942" s="11" t="s">
        <v>28</v>
      </c>
      <c r="J2942" s="11" t="s">
        <v>28</v>
      </c>
      <c r="K2942" s="11" t="s">
        <v>28</v>
      </c>
      <c r="L2942" s="11" t="s">
        <v>28</v>
      </c>
      <c r="M2942" s="11" t="s">
        <v>28</v>
      </c>
      <c r="N2942" s="8">
        <v>44769</v>
      </c>
      <c r="O2942" s="9" t="s">
        <v>79</v>
      </c>
      <c r="P2942" s="12" t="s">
        <v>9879</v>
      </c>
      <c r="Q2942" s="9" t="s">
        <v>114</v>
      </c>
      <c r="R2942" s="14" t="str">
        <f>HYPERLINK("https://my.pitchbook.com?c=200445-49T","View Company Online")</f>
        <v>View Company Online</v>
      </c>
    </row>
    <row r="2943" spans="1:18" x14ac:dyDescent="0.3">
      <c r="A2943" s="15" t="s">
        <v>9880</v>
      </c>
      <c r="B2943" s="15" t="s">
        <v>9881</v>
      </c>
      <c r="C2943" s="18">
        <v>0.84</v>
      </c>
      <c r="D2943" s="15" t="s">
        <v>9882</v>
      </c>
      <c r="E2943" s="18" t="s">
        <v>28</v>
      </c>
      <c r="F2943" s="19">
        <v>16.75</v>
      </c>
      <c r="G2943" s="19">
        <v>16.75</v>
      </c>
      <c r="H2943" s="19">
        <v>16.75</v>
      </c>
      <c r="I2943" s="18">
        <v>20</v>
      </c>
      <c r="J2943" s="18">
        <v>0.84</v>
      </c>
      <c r="K2943" s="18" t="s">
        <v>28</v>
      </c>
      <c r="L2943" s="18" t="s">
        <v>28</v>
      </c>
      <c r="M2943" s="18" t="s">
        <v>28</v>
      </c>
      <c r="N2943" s="17">
        <v>44769</v>
      </c>
      <c r="O2943" s="15" t="s">
        <v>30</v>
      </c>
      <c r="P2943" s="16" t="s">
        <v>2344</v>
      </c>
      <c r="Q2943" s="15" t="s">
        <v>692</v>
      </c>
      <c r="R2943" s="13" t="str">
        <f>HYPERLINK("https://my.pitchbook.com?c=209959-84T","View Company Online")</f>
        <v>View Company Online</v>
      </c>
    </row>
    <row r="2944" spans="1:18" hidden="1" x14ac:dyDescent="0.3">
      <c r="A2944" s="9" t="s">
        <v>9883</v>
      </c>
      <c r="B2944" s="9" t="s">
        <v>133</v>
      </c>
      <c r="C2944" s="11" t="s">
        <v>28</v>
      </c>
      <c r="D2944" s="9" t="s">
        <v>134</v>
      </c>
      <c r="E2944" s="11" t="s">
        <v>28</v>
      </c>
      <c r="F2944" s="10" t="s">
        <v>28</v>
      </c>
      <c r="G2944" s="10">
        <v>0.17</v>
      </c>
      <c r="H2944" s="10" t="s">
        <v>28</v>
      </c>
      <c r="I2944" s="11" t="s">
        <v>28</v>
      </c>
      <c r="J2944" s="11" t="s">
        <v>28</v>
      </c>
      <c r="K2944" s="11" t="s">
        <v>28</v>
      </c>
      <c r="L2944" s="11" t="s">
        <v>28</v>
      </c>
      <c r="M2944" s="11" t="s">
        <v>28</v>
      </c>
      <c r="N2944" s="8">
        <v>44769</v>
      </c>
      <c r="O2944" s="9" t="s">
        <v>1639</v>
      </c>
      <c r="P2944" s="12" t="s">
        <v>28</v>
      </c>
      <c r="Q2944" s="9" t="s">
        <v>136</v>
      </c>
      <c r="R2944" s="14" t="str">
        <f>HYPERLINK("https://my.pitchbook.com?c=296756-29T","View Company Online")</f>
        <v>View Company Online</v>
      </c>
    </row>
    <row r="2945" spans="1:18" hidden="1" x14ac:dyDescent="0.3">
      <c r="A2945" s="15" t="s">
        <v>9884</v>
      </c>
      <c r="B2945" s="15" t="s">
        <v>9885</v>
      </c>
      <c r="C2945" s="18" t="s">
        <v>28</v>
      </c>
      <c r="D2945" s="15" t="s">
        <v>9886</v>
      </c>
      <c r="E2945" s="18" t="s">
        <v>28</v>
      </c>
      <c r="F2945" s="19" t="s">
        <v>28</v>
      </c>
      <c r="G2945" s="19" t="s">
        <v>28</v>
      </c>
      <c r="H2945" s="19" t="s">
        <v>28</v>
      </c>
      <c r="I2945" s="18" t="s">
        <v>28</v>
      </c>
      <c r="J2945" s="18" t="s">
        <v>28</v>
      </c>
      <c r="K2945" s="18" t="s">
        <v>28</v>
      </c>
      <c r="L2945" s="18" t="s">
        <v>28</v>
      </c>
      <c r="M2945" s="18" t="s">
        <v>28</v>
      </c>
      <c r="N2945" s="17">
        <v>44769</v>
      </c>
      <c r="O2945" s="15" t="s">
        <v>41</v>
      </c>
      <c r="P2945" s="16" t="s">
        <v>9887</v>
      </c>
      <c r="Q2945" s="15" t="s">
        <v>316</v>
      </c>
      <c r="R2945" s="13" t="str">
        <f>HYPERLINK("https://my.pitchbook.com?c=250427-89T","View Company Online")</f>
        <v>View Company Online</v>
      </c>
    </row>
    <row r="2946" spans="1:18" hidden="1" x14ac:dyDescent="0.3">
      <c r="A2946" s="9" t="s">
        <v>9888</v>
      </c>
      <c r="B2946" s="9" t="s">
        <v>9889</v>
      </c>
      <c r="C2946" s="11" t="s">
        <v>28</v>
      </c>
      <c r="D2946" s="9" t="s">
        <v>9890</v>
      </c>
      <c r="E2946" s="11" t="s">
        <v>28</v>
      </c>
      <c r="F2946" s="10" t="s">
        <v>28</v>
      </c>
      <c r="G2946" s="10" t="s">
        <v>28</v>
      </c>
      <c r="H2946" s="10" t="s">
        <v>28</v>
      </c>
      <c r="I2946" s="11" t="s">
        <v>28</v>
      </c>
      <c r="J2946" s="11" t="s">
        <v>28</v>
      </c>
      <c r="K2946" s="11" t="s">
        <v>28</v>
      </c>
      <c r="L2946" s="11" t="s">
        <v>28</v>
      </c>
      <c r="M2946" s="11" t="s">
        <v>28</v>
      </c>
      <c r="N2946" s="8">
        <v>44768</v>
      </c>
      <c r="O2946" s="9" t="s">
        <v>30</v>
      </c>
      <c r="P2946" s="12" t="s">
        <v>9891</v>
      </c>
      <c r="Q2946" s="9" t="s">
        <v>245</v>
      </c>
      <c r="R2946" s="14" t="str">
        <f>HYPERLINK("https://my.pitchbook.com?c=200952-91T","View Company Online")</f>
        <v>View Company Online</v>
      </c>
    </row>
    <row r="2947" spans="1:18" hidden="1" x14ac:dyDescent="0.3">
      <c r="A2947" s="15" t="s">
        <v>9892</v>
      </c>
      <c r="B2947" s="15" t="s">
        <v>9893</v>
      </c>
      <c r="C2947" s="18" t="s">
        <v>28</v>
      </c>
      <c r="D2947" s="15" t="s">
        <v>9894</v>
      </c>
      <c r="E2947" s="18" t="s">
        <v>28</v>
      </c>
      <c r="F2947" s="19">
        <v>11.19</v>
      </c>
      <c r="G2947" s="19">
        <v>11.19</v>
      </c>
      <c r="H2947" s="19">
        <v>11.19</v>
      </c>
      <c r="I2947" s="18" t="s">
        <v>28</v>
      </c>
      <c r="J2947" s="18" t="s">
        <v>28</v>
      </c>
      <c r="K2947" s="18" t="s">
        <v>28</v>
      </c>
      <c r="L2947" s="18" t="s">
        <v>28</v>
      </c>
      <c r="M2947" s="18" t="s">
        <v>28</v>
      </c>
      <c r="N2947" s="17">
        <v>44768</v>
      </c>
      <c r="O2947" s="15" t="s">
        <v>41</v>
      </c>
      <c r="P2947" s="16" t="s">
        <v>9895</v>
      </c>
      <c r="Q2947" s="15" t="s">
        <v>75</v>
      </c>
      <c r="R2947" s="13" t="str">
        <f>HYPERLINK("https://my.pitchbook.com?c=200336-05T","View Company Online")</f>
        <v>View Company Online</v>
      </c>
    </row>
    <row r="2948" spans="1:18" hidden="1" x14ac:dyDescent="0.3">
      <c r="A2948" s="9" t="s">
        <v>9896</v>
      </c>
      <c r="B2948" s="9" t="s">
        <v>9897</v>
      </c>
      <c r="C2948" s="11" t="s">
        <v>28</v>
      </c>
      <c r="D2948" s="9" t="s">
        <v>9898</v>
      </c>
      <c r="E2948" s="11" t="s">
        <v>28</v>
      </c>
      <c r="F2948" s="10" t="s">
        <v>28</v>
      </c>
      <c r="G2948" s="10" t="s">
        <v>28</v>
      </c>
      <c r="H2948" s="10" t="s">
        <v>28</v>
      </c>
      <c r="I2948" s="11" t="s">
        <v>28</v>
      </c>
      <c r="J2948" s="11" t="s">
        <v>28</v>
      </c>
      <c r="K2948" s="11" t="s">
        <v>28</v>
      </c>
      <c r="L2948" s="11" t="s">
        <v>28</v>
      </c>
      <c r="M2948" s="11" t="s">
        <v>28</v>
      </c>
      <c r="N2948" s="8">
        <v>44768</v>
      </c>
      <c r="O2948" s="9" t="s">
        <v>30</v>
      </c>
      <c r="P2948" s="12" t="s">
        <v>9899</v>
      </c>
      <c r="Q2948" s="9" t="s">
        <v>75</v>
      </c>
      <c r="R2948" s="14" t="str">
        <f>HYPERLINK("https://my.pitchbook.com?c=189843-58T","View Company Online")</f>
        <v>View Company Online</v>
      </c>
    </row>
    <row r="2949" spans="1:18" hidden="1" x14ac:dyDescent="0.3">
      <c r="A2949" s="15" t="s">
        <v>9900</v>
      </c>
      <c r="B2949" s="15" t="s">
        <v>9901</v>
      </c>
      <c r="C2949" s="18" t="s">
        <v>28</v>
      </c>
      <c r="D2949" s="15" t="s">
        <v>9902</v>
      </c>
      <c r="E2949" s="18" t="s">
        <v>28</v>
      </c>
      <c r="F2949" s="19" t="s">
        <v>28</v>
      </c>
      <c r="G2949" s="19" t="s">
        <v>28</v>
      </c>
      <c r="H2949" s="19" t="s">
        <v>28</v>
      </c>
      <c r="I2949" s="18" t="s">
        <v>28</v>
      </c>
      <c r="J2949" s="18" t="s">
        <v>28</v>
      </c>
      <c r="K2949" s="18" t="s">
        <v>28</v>
      </c>
      <c r="L2949" s="18" t="s">
        <v>28</v>
      </c>
      <c r="M2949" s="18" t="s">
        <v>28</v>
      </c>
      <c r="N2949" s="17">
        <v>44768</v>
      </c>
      <c r="O2949" s="15" t="s">
        <v>30</v>
      </c>
      <c r="P2949" s="16" t="s">
        <v>9903</v>
      </c>
      <c r="Q2949" s="15" t="s">
        <v>1007</v>
      </c>
      <c r="R2949" s="13" t="str">
        <f>HYPERLINK("https://my.pitchbook.com?c=200434-60T","View Company Online")</f>
        <v>View Company Online</v>
      </c>
    </row>
    <row r="2950" spans="1:18" hidden="1" x14ac:dyDescent="0.3">
      <c r="A2950" s="9" t="s">
        <v>9904</v>
      </c>
      <c r="B2950" s="9" t="s">
        <v>9905</v>
      </c>
      <c r="C2950" s="11" t="s">
        <v>28</v>
      </c>
      <c r="D2950" s="9" t="s">
        <v>9906</v>
      </c>
      <c r="E2950" s="11" t="s">
        <v>28</v>
      </c>
      <c r="F2950" s="10" t="s">
        <v>28</v>
      </c>
      <c r="G2950" s="10" t="s">
        <v>28</v>
      </c>
      <c r="H2950" s="10" t="s">
        <v>28</v>
      </c>
      <c r="I2950" s="11" t="s">
        <v>28</v>
      </c>
      <c r="J2950" s="11" t="s">
        <v>28</v>
      </c>
      <c r="K2950" s="11" t="s">
        <v>28</v>
      </c>
      <c r="L2950" s="11" t="s">
        <v>28</v>
      </c>
      <c r="M2950" s="11" t="s">
        <v>28</v>
      </c>
      <c r="N2950" s="8">
        <v>44767</v>
      </c>
      <c r="O2950" s="9" t="s">
        <v>30</v>
      </c>
      <c r="P2950" s="12" t="s">
        <v>9907</v>
      </c>
      <c r="Q2950" s="9" t="s">
        <v>880</v>
      </c>
      <c r="R2950" s="14" t="str">
        <f>HYPERLINK("https://my.pitchbook.com?c=200376-82T","View Company Online")</f>
        <v>View Company Online</v>
      </c>
    </row>
    <row r="2951" spans="1:18" hidden="1" x14ac:dyDescent="0.3">
      <c r="A2951" s="15" t="s">
        <v>9908</v>
      </c>
      <c r="B2951" s="15" t="s">
        <v>9909</v>
      </c>
      <c r="C2951" s="18" t="s">
        <v>28</v>
      </c>
      <c r="D2951" s="15" t="s">
        <v>9910</v>
      </c>
      <c r="E2951" s="18" t="s">
        <v>28</v>
      </c>
      <c r="F2951" s="19" t="s">
        <v>28</v>
      </c>
      <c r="G2951" s="19" t="s">
        <v>28</v>
      </c>
      <c r="H2951" s="19" t="s">
        <v>28</v>
      </c>
      <c r="I2951" s="18" t="s">
        <v>28</v>
      </c>
      <c r="J2951" s="18" t="s">
        <v>28</v>
      </c>
      <c r="K2951" s="18" t="s">
        <v>28</v>
      </c>
      <c r="L2951" s="18" t="s">
        <v>28</v>
      </c>
      <c r="M2951" s="18" t="s">
        <v>28</v>
      </c>
      <c r="N2951" s="17">
        <v>44765</v>
      </c>
      <c r="O2951" s="15" t="s">
        <v>30</v>
      </c>
      <c r="P2951" s="16" t="s">
        <v>9911</v>
      </c>
      <c r="Q2951" s="15" t="s">
        <v>75</v>
      </c>
      <c r="R2951" s="13" t="str">
        <f>HYPERLINK("https://my.pitchbook.com?c=206056-27T","View Company Online")</f>
        <v>View Company Online</v>
      </c>
    </row>
    <row r="2952" spans="1:18" hidden="1" x14ac:dyDescent="0.3">
      <c r="A2952" s="9" t="s">
        <v>9912</v>
      </c>
      <c r="B2952" s="9" t="s">
        <v>9913</v>
      </c>
      <c r="C2952" s="11" t="s">
        <v>28</v>
      </c>
      <c r="D2952" s="9" t="s">
        <v>9914</v>
      </c>
      <c r="E2952" s="11" t="s">
        <v>28</v>
      </c>
      <c r="F2952" s="10" t="s">
        <v>28</v>
      </c>
      <c r="G2952" s="10">
        <v>31.69</v>
      </c>
      <c r="H2952" s="10" t="s">
        <v>28</v>
      </c>
      <c r="I2952" s="11" t="s">
        <v>28</v>
      </c>
      <c r="J2952" s="11" t="s">
        <v>28</v>
      </c>
      <c r="K2952" s="11" t="s">
        <v>28</v>
      </c>
      <c r="L2952" s="11" t="s">
        <v>28</v>
      </c>
      <c r="M2952" s="11" t="s">
        <v>28</v>
      </c>
      <c r="N2952" s="8">
        <v>44764</v>
      </c>
      <c r="O2952" s="9" t="s">
        <v>73</v>
      </c>
      <c r="P2952" s="12" t="s">
        <v>9915</v>
      </c>
      <c r="Q2952" s="9" t="s">
        <v>414</v>
      </c>
      <c r="R2952" s="14" t="str">
        <f>HYPERLINK("https://my.pitchbook.com?c=200138-59T","View Company Online")</f>
        <v>View Company Online</v>
      </c>
    </row>
    <row r="2953" spans="1:18" hidden="1" x14ac:dyDescent="0.3">
      <c r="A2953" s="15" t="s">
        <v>9916</v>
      </c>
      <c r="B2953" s="15" t="s">
        <v>3167</v>
      </c>
      <c r="C2953" s="18" t="s">
        <v>28</v>
      </c>
      <c r="D2953" s="15" t="s">
        <v>3168</v>
      </c>
      <c r="E2953" s="18" t="s">
        <v>28</v>
      </c>
      <c r="F2953" s="19" t="s">
        <v>28</v>
      </c>
      <c r="G2953" s="19">
        <v>0.37</v>
      </c>
      <c r="H2953" s="19" t="s">
        <v>28</v>
      </c>
      <c r="I2953" s="18" t="s">
        <v>28</v>
      </c>
      <c r="J2953" s="18" t="s">
        <v>28</v>
      </c>
      <c r="K2953" s="18" t="s">
        <v>28</v>
      </c>
      <c r="L2953" s="18" t="s">
        <v>28</v>
      </c>
      <c r="M2953" s="18" t="s">
        <v>28</v>
      </c>
      <c r="N2953" s="17">
        <v>44764</v>
      </c>
      <c r="O2953" s="15" t="s">
        <v>379</v>
      </c>
      <c r="P2953" s="16" t="s">
        <v>9917</v>
      </c>
      <c r="Q2953" s="15" t="s">
        <v>75</v>
      </c>
      <c r="R2953" s="13" t="str">
        <f>HYPERLINK("https://my.pitchbook.com?c=278255-71T","View Company Online")</f>
        <v>View Company Online</v>
      </c>
    </row>
    <row r="2954" spans="1:18" hidden="1" x14ac:dyDescent="0.3">
      <c r="A2954" s="9" t="s">
        <v>9918</v>
      </c>
      <c r="B2954" s="9" t="s">
        <v>9919</v>
      </c>
      <c r="C2954" s="11" t="s">
        <v>28</v>
      </c>
      <c r="D2954" s="9" t="s">
        <v>9920</v>
      </c>
      <c r="E2954" s="11" t="s">
        <v>28</v>
      </c>
      <c r="F2954" s="10">
        <v>49.07</v>
      </c>
      <c r="G2954" s="10">
        <v>49.07</v>
      </c>
      <c r="H2954" s="10">
        <v>49.07</v>
      </c>
      <c r="I2954" s="11" t="s">
        <v>28</v>
      </c>
      <c r="J2954" s="11" t="s">
        <v>28</v>
      </c>
      <c r="K2954" s="11" t="s">
        <v>28</v>
      </c>
      <c r="L2954" s="11" t="s">
        <v>28</v>
      </c>
      <c r="M2954" s="11" t="s">
        <v>28</v>
      </c>
      <c r="N2954" s="8">
        <v>44764</v>
      </c>
      <c r="O2954" s="9" t="s">
        <v>41</v>
      </c>
      <c r="P2954" s="12" t="s">
        <v>8586</v>
      </c>
      <c r="Q2954" s="9" t="s">
        <v>692</v>
      </c>
      <c r="R2954" s="14" t="str">
        <f>HYPERLINK("https://my.pitchbook.com?c=210205-27T","View Company Online")</f>
        <v>View Company Online</v>
      </c>
    </row>
    <row r="2955" spans="1:18" hidden="1" x14ac:dyDescent="0.3">
      <c r="A2955" s="15" t="s">
        <v>9921</v>
      </c>
      <c r="B2955" s="15" t="s">
        <v>9922</v>
      </c>
      <c r="C2955" s="18" t="s">
        <v>28</v>
      </c>
      <c r="D2955" s="15" t="s">
        <v>9923</v>
      </c>
      <c r="E2955" s="18" t="s">
        <v>28</v>
      </c>
      <c r="F2955" s="19" t="s">
        <v>28</v>
      </c>
      <c r="G2955" s="19" t="s">
        <v>28</v>
      </c>
      <c r="H2955" s="19" t="s">
        <v>28</v>
      </c>
      <c r="I2955" s="18" t="s">
        <v>28</v>
      </c>
      <c r="J2955" s="18" t="s">
        <v>28</v>
      </c>
      <c r="K2955" s="18" t="s">
        <v>28</v>
      </c>
      <c r="L2955" s="18" t="s">
        <v>28</v>
      </c>
      <c r="M2955" s="18" t="s">
        <v>28</v>
      </c>
      <c r="N2955" s="17">
        <v>44763</v>
      </c>
      <c r="O2955" s="15" t="s">
        <v>30</v>
      </c>
      <c r="P2955" s="16" t="s">
        <v>9924</v>
      </c>
      <c r="Q2955" s="15" t="s">
        <v>37</v>
      </c>
      <c r="R2955" s="13" t="str">
        <f>HYPERLINK("https://my.pitchbook.com?c=199996-12T","View Company Online")</f>
        <v>View Company Online</v>
      </c>
    </row>
    <row r="2956" spans="1:18" hidden="1" x14ac:dyDescent="0.3">
      <c r="A2956" s="9" t="s">
        <v>9925</v>
      </c>
      <c r="B2956" s="9" t="s">
        <v>5823</v>
      </c>
      <c r="C2956" s="11" t="s">
        <v>28</v>
      </c>
      <c r="D2956" s="9" t="s">
        <v>5824</v>
      </c>
      <c r="E2956" s="11">
        <v>-1.03</v>
      </c>
      <c r="F2956" s="10" t="s">
        <v>28</v>
      </c>
      <c r="G2956" s="10">
        <v>31.05</v>
      </c>
      <c r="H2956" s="10">
        <v>136.36000000000001</v>
      </c>
      <c r="I2956" s="11">
        <v>-1.02</v>
      </c>
      <c r="J2956" s="11">
        <v>-133.32</v>
      </c>
      <c r="K2956" s="11">
        <v>0</v>
      </c>
      <c r="L2956" s="11" t="s">
        <v>28</v>
      </c>
      <c r="M2956" s="11">
        <v>-1.02</v>
      </c>
      <c r="N2956" s="8">
        <v>44763</v>
      </c>
      <c r="O2956" s="9" t="s">
        <v>173</v>
      </c>
      <c r="P2956" s="12" t="s">
        <v>28</v>
      </c>
      <c r="Q2956" s="9" t="s">
        <v>2620</v>
      </c>
      <c r="R2956" s="14" t="str">
        <f>HYPERLINK("https://my.pitchbook.com?c=199770-67T","View Company Online")</f>
        <v>View Company Online</v>
      </c>
    </row>
    <row r="2957" spans="1:18" hidden="1" x14ac:dyDescent="0.3">
      <c r="A2957" s="15" t="s">
        <v>9926</v>
      </c>
      <c r="B2957" s="15" t="s">
        <v>9927</v>
      </c>
      <c r="C2957" s="18" t="s">
        <v>28</v>
      </c>
      <c r="D2957" s="15" t="s">
        <v>9928</v>
      </c>
      <c r="E2957" s="18" t="s">
        <v>28</v>
      </c>
      <c r="F2957" s="19" t="s">
        <v>28</v>
      </c>
      <c r="G2957" s="19">
        <v>8</v>
      </c>
      <c r="H2957" s="19" t="s">
        <v>28</v>
      </c>
      <c r="I2957" s="18" t="s">
        <v>28</v>
      </c>
      <c r="J2957" s="18" t="s">
        <v>28</v>
      </c>
      <c r="K2957" s="18" t="s">
        <v>28</v>
      </c>
      <c r="L2957" s="18" t="s">
        <v>28</v>
      </c>
      <c r="M2957" s="18" t="s">
        <v>28</v>
      </c>
      <c r="N2957" s="17">
        <v>44763</v>
      </c>
      <c r="O2957" s="15" t="s">
        <v>73</v>
      </c>
      <c r="P2957" s="16" t="s">
        <v>9929</v>
      </c>
      <c r="Q2957" s="15" t="s">
        <v>6356</v>
      </c>
      <c r="R2957" s="13" t="str">
        <f>HYPERLINK("https://my.pitchbook.com?c=200008-54T","View Company Online")</f>
        <v>View Company Online</v>
      </c>
    </row>
    <row r="2958" spans="1:18" hidden="1" x14ac:dyDescent="0.3">
      <c r="A2958" s="9" t="s">
        <v>9930</v>
      </c>
      <c r="B2958" s="9" t="s">
        <v>9931</v>
      </c>
      <c r="C2958" s="11" t="s">
        <v>28</v>
      </c>
      <c r="D2958" s="9" t="s">
        <v>9932</v>
      </c>
      <c r="E2958" s="11" t="s">
        <v>28</v>
      </c>
      <c r="F2958" s="10" t="s">
        <v>28</v>
      </c>
      <c r="G2958" s="10" t="s">
        <v>28</v>
      </c>
      <c r="H2958" s="10" t="s">
        <v>28</v>
      </c>
      <c r="I2958" s="11" t="s">
        <v>28</v>
      </c>
      <c r="J2958" s="11" t="s">
        <v>28</v>
      </c>
      <c r="K2958" s="11" t="s">
        <v>28</v>
      </c>
      <c r="L2958" s="11" t="s">
        <v>28</v>
      </c>
      <c r="M2958" s="11" t="s">
        <v>28</v>
      </c>
      <c r="N2958" s="8">
        <v>44763</v>
      </c>
      <c r="O2958" s="9" t="s">
        <v>30</v>
      </c>
      <c r="P2958" s="12" t="s">
        <v>9933</v>
      </c>
      <c r="Q2958" s="9" t="s">
        <v>75</v>
      </c>
      <c r="R2958" s="14" t="str">
        <f>HYPERLINK("https://my.pitchbook.com?c=206373-16T","View Company Online")</f>
        <v>View Company Online</v>
      </c>
    </row>
    <row r="2959" spans="1:18" hidden="1" x14ac:dyDescent="0.3">
      <c r="A2959" s="15" t="s">
        <v>9934</v>
      </c>
      <c r="B2959" s="15" t="s">
        <v>401</v>
      </c>
      <c r="C2959" s="18" t="s">
        <v>28</v>
      </c>
      <c r="D2959" s="15" t="s">
        <v>402</v>
      </c>
      <c r="E2959" s="18" t="s">
        <v>28</v>
      </c>
      <c r="F2959" s="19" t="s">
        <v>28</v>
      </c>
      <c r="G2959" s="19" t="s">
        <v>28</v>
      </c>
      <c r="H2959" s="19" t="s">
        <v>28</v>
      </c>
      <c r="I2959" s="18" t="s">
        <v>28</v>
      </c>
      <c r="J2959" s="18" t="s">
        <v>28</v>
      </c>
      <c r="K2959" s="18">
        <v>1.45</v>
      </c>
      <c r="L2959" s="18" t="s">
        <v>28</v>
      </c>
      <c r="M2959" s="18" t="s">
        <v>28</v>
      </c>
      <c r="N2959" s="17">
        <v>44762</v>
      </c>
      <c r="O2959" s="15" t="s">
        <v>52</v>
      </c>
      <c r="P2959" s="16" t="s">
        <v>9935</v>
      </c>
      <c r="Q2959" s="15" t="s">
        <v>404</v>
      </c>
      <c r="R2959" s="13" t="str">
        <f>HYPERLINK("https://my.pitchbook.com?c=263334-79T","View Company Online")</f>
        <v>View Company Online</v>
      </c>
    </row>
    <row r="2960" spans="1:18" hidden="1" x14ac:dyDescent="0.3">
      <c r="A2960" s="9" t="s">
        <v>9936</v>
      </c>
      <c r="B2960" s="9" t="s">
        <v>9937</v>
      </c>
      <c r="C2960" s="11" t="s">
        <v>28</v>
      </c>
      <c r="D2960" s="9" t="s">
        <v>9938</v>
      </c>
      <c r="E2960" s="11" t="s">
        <v>28</v>
      </c>
      <c r="F2960" s="10" t="s">
        <v>28</v>
      </c>
      <c r="G2960" s="10" t="s">
        <v>28</v>
      </c>
      <c r="H2960" s="10" t="s">
        <v>28</v>
      </c>
      <c r="I2960" s="11" t="s">
        <v>28</v>
      </c>
      <c r="J2960" s="11" t="s">
        <v>28</v>
      </c>
      <c r="K2960" s="11" t="s">
        <v>28</v>
      </c>
      <c r="L2960" s="11" t="s">
        <v>28</v>
      </c>
      <c r="M2960" s="11" t="s">
        <v>28</v>
      </c>
      <c r="N2960" s="8">
        <v>44761</v>
      </c>
      <c r="O2960" s="9" t="s">
        <v>30</v>
      </c>
      <c r="P2960" s="12" t="s">
        <v>6228</v>
      </c>
      <c r="Q2960" s="9" t="s">
        <v>855</v>
      </c>
      <c r="R2960" s="14" t="str">
        <f>HYPERLINK("https://my.pitchbook.com?c=199831-78T","View Company Online")</f>
        <v>View Company Online</v>
      </c>
    </row>
    <row r="2961" spans="1:18" hidden="1" x14ac:dyDescent="0.3">
      <c r="A2961" s="15" t="s">
        <v>9939</v>
      </c>
      <c r="B2961" s="15" t="s">
        <v>9940</v>
      </c>
      <c r="C2961" s="18" t="s">
        <v>28</v>
      </c>
      <c r="D2961" s="15" t="s">
        <v>9941</v>
      </c>
      <c r="E2961" s="18" t="s">
        <v>28</v>
      </c>
      <c r="F2961" s="19" t="s">
        <v>28</v>
      </c>
      <c r="G2961" s="19">
        <v>37.729999999999997</v>
      </c>
      <c r="H2961" s="19" t="s">
        <v>28</v>
      </c>
      <c r="I2961" s="18" t="s">
        <v>28</v>
      </c>
      <c r="J2961" s="18" t="s">
        <v>28</v>
      </c>
      <c r="K2961" s="18" t="s">
        <v>28</v>
      </c>
      <c r="L2961" s="18" t="s">
        <v>28</v>
      </c>
      <c r="M2961" s="18" t="s">
        <v>28</v>
      </c>
      <c r="N2961" s="17">
        <v>44761</v>
      </c>
      <c r="O2961" s="15" t="s">
        <v>73</v>
      </c>
      <c r="P2961" s="16" t="s">
        <v>9942</v>
      </c>
      <c r="Q2961" s="15" t="s">
        <v>1336</v>
      </c>
      <c r="R2961" s="13" t="str">
        <f>HYPERLINK("https://my.pitchbook.com?c=208312-12T","View Company Online")</f>
        <v>View Company Online</v>
      </c>
    </row>
    <row r="2962" spans="1:18" hidden="1" x14ac:dyDescent="0.3">
      <c r="A2962" s="9" t="s">
        <v>9943</v>
      </c>
      <c r="B2962" s="9" t="s">
        <v>9944</v>
      </c>
      <c r="C2962" s="11" t="s">
        <v>28</v>
      </c>
      <c r="D2962" s="9" t="s">
        <v>9945</v>
      </c>
      <c r="E2962" s="11" t="s">
        <v>28</v>
      </c>
      <c r="F2962" s="10" t="s">
        <v>28</v>
      </c>
      <c r="G2962" s="10" t="s">
        <v>28</v>
      </c>
      <c r="H2962" s="10" t="s">
        <v>28</v>
      </c>
      <c r="I2962" s="11" t="s">
        <v>28</v>
      </c>
      <c r="J2962" s="11" t="s">
        <v>28</v>
      </c>
      <c r="K2962" s="11" t="s">
        <v>28</v>
      </c>
      <c r="L2962" s="11" t="s">
        <v>28</v>
      </c>
      <c r="M2962" s="11" t="s">
        <v>28</v>
      </c>
      <c r="N2962" s="8">
        <v>44761</v>
      </c>
      <c r="O2962" s="9" t="s">
        <v>58</v>
      </c>
      <c r="P2962" s="12" t="s">
        <v>8911</v>
      </c>
      <c r="Q2962" s="9" t="s">
        <v>43</v>
      </c>
      <c r="R2962" s="14" t="str">
        <f>HYPERLINK("https://my.pitchbook.com?c=201531-07T","View Company Online")</f>
        <v>View Company Online</v>
      </c>
    </row>
    <row r="2963" spans="1:18" hidden="1" x14ac:dyDescent="0.3">
      <c r="A2963" s="15" t="s">
        <v>9946</v>
      </c>
      <c r="B2963" s="15" t="s">
        <v>9947</v>
      </c>
      <c r="C2963" s="18" t="s">
        <v>28</v>
      </c>
      <c r="D2963" s="15" t="s">
        <v>9948</v>
      </c>
      <c r="E2963" s="18" t="s">
        <v>28</v>
      </c>
      <c r="F2963" s="19" t="s">
        <v>28</v>
      </c>
      <c r="G2963" s="19" t="s">
        <v>28</v>
      </c>
      <c r="H2963" s="19" t="s">
        <v>28</v>
      </c>
      <c r="I2963" s="18" t="s">
        <v>28</v>
      </c>
      <c r="J2963" s="18" t="s">
        <v>28</v>
      </c>
      <c r="K2963" s="18" t="s">
        <v>28</v>
      </c>
      <c r="L2963" s="18" t="s">
        <v>28</v>
      </c>
      <c r="M2963" s="18" t="s">
        <v>28</v>
      </c>
      <c r="N2963" s="17">
        <v>44761</v>
      </c>
      <c r="O2963" s="15" t="s">
        <v>30</v>
      </c>
      <c r="P2963" s="16" t="s">
        <v>9949</v>
      </c>
      <c r="Q2963" s="15" t="s">
        <v>855</v>
      </c>
      <c r="R2963" s="13" t="str">
        <f>HYPERLINK("https://my.pitchbook.com?c=210106-54T","View Company Online")</f>
        <v>View Company Online</v>
      </c>
    </row>
    <row r="2964" spans="1:18" hidden="1" x14ac:dyDescent="0.3">
      <c r="A2964" s="9" t="s">
        <v>9950</v>
      </c>
      <c r="B2964" s="9" t="s">
        <v>145</v>
      </c>
      <c r="C2964" s="11" t="s">
        <v>28</v>
      </c>
      <c r="D2964" s="9" t="s">
        <v>146</v>
      </c>
      <c r="E2964" s="11" t="s">
        <v>28</v>
      </c>
      <c r="F2964" s="10" t="s">
        <v>28</v>
      </c>
      <c r="G2964" s="10">
        <v>25</v>
      </c>
      <c r="H2964" s="10" t="s">
        <v>28</v>
      </c>
      <c r="I2964" s="11" t="s">
        <v>28</v>
      </c>
      <c r="J2964" s="11" t="s">
        <v>28</v>
      </c>
      <c r="K2964" s="11" t="s">
        <v>28</v>
      </c>
      <c r="L2964" s="11" t="s">
        <v>28</v>
      </c>
      <c r="M2964" s="11" t="s">
        <v>28</v>
      </c>
      <c r="N2964" s="8">
        <v>44760</v>
      </c>
      <c r="O2964" s="9" t="s">
        <v>73</v>
      </c>
      <c r="P2964" s="12" t="s">
        <v>9951</v>
      </c>
      <c r="Q2964" s="9" t="s">
        <v>75</v>
      </c>
      <c r="R2964" s="14" t="str">
        <f>HYPERLINK("https://my.pitchbook.com?c=197589-61T","View Company Online")</f>
        <v>View Company Online</v>
      </c>
    </row>
    <row r="2965" spans="1:18" hidden="1" x14ac:dyDescent="0.3">
      <c r="A2965" s="15" t="s">
        <v>9952</v>
      </c>
      <c r="B2965" s="15" t="s">
        <v>9953</v>
      </c>
      <c r="C2965" s="18" t="s">
        <v>28</v>
      </c>
      <c r="D2965" s="15" t="s">
        <v>9954</v>
      </c>
      <c r="E2965" s="18" t="s">
        <v>28</v>
      </c>
      <c r="F2965" s="19" t="s">
        <v>28</v>
      </c>
      <c r="G2965" s="19" t="s">
        <v>28</v>
      </c>
      <c r="H2965" s="19" t="s">
        <v>28</v>
      </c>
      <c r="I2965" s="18" t="s">
        <v>28</v>
      </c>
      <c r="J2965" s="18" t="s">
        <v>28</v>
      </c>
      <c r="K2965" s="18" t="s">
        <v>28</v>
      </c>
      <c r="L2965" s="18" t="s">
        <v>28</v>
      </c>
      <c r="M2965" s="18" t="s">
        <v>28</v>
      </c>
      <c r="N2965" s="17">
        <v>44760</v>
      </c>
      <c r="O2965" s="15" t="s">
        <v>30</v>
      </c>
      <c r="P2965" s="16" t="s">
        <v>9955</v>
      </c>
      <c r="Q2965" s="15" t="s">
        <v>37</v>
      </c>
      <c r="R2965" s="13" t="str">
        <f>HYPERLINK("https://my.pitchbook.com?c=199862-38T","View Company Online")</f>
        <v>View Company Online</v>
      </c>
    </row>
    <row r="2966" spans="1:18" hidden="1" x14ac:dyDescent="0.3">
      <c r="A2966" s="9" t="s">
        <v>9956</v>
      </c>
      <c r="B2966" s="9" t="s">
        <v>9957</v>
      </c>
      <c r="C2966" s="11" t="s">
        <v>28</v>
      </c>
      <c r="D2966" s="9" t="s">
        <v>9958</v>
      </c>
      <c r="E2966" s="11" t="s">
        <v>28</v>
      </c>
      <c r="F2966" s="10" t="s">
        <v>28</v>
      </c>
      <c r="G2966" s="10">
        <v>0.5</v>
      </c>
      <c r="H2966" s="10" t="s">
        <v>28</v>
      </c>
      <c r="I2966" s="11" t="s">
        <v>28</v>
      </c>
      <c r="J2966" s="11" t="s">
        <v>28</v>
      </c>
      <c r="K2966" s="11" t="s">
        <v>28</v>
      </c>
      <c r="L2966" s="11" t="s">
        <v>28</v>
      </c>
      <c r="M2966" s="11" t="s">
        <v>28</v>
      </c>
      <c r="N2966" s="8">
        <v>44760</v>
      </c>
      <c r="O2966" s="9" t="s">
        <v>47</v>
      </c>
      <c r="P2966" s="12" t="s">
        <v>9959</v>
      </c>
      <c r="Q2966" s="9" t="s">
        <v>740</v>
      </c>
      <c r="R2966" s="14" t="str">
        <f>HYPERLINK("https://my.pitchbook.com?c=215849-44T","View Company Online")</f>
        <v>View Company Online</v>
      </c>
    </row>
    <row r="2967" spans="1:18" hidden="1" x14ac:dyDescent="0.3">
      <c r="A2967" s="15" t="s">
        <v>9960</v>
      </c>
      <c r="B2967" s="15" t="s">
        <v>9961</v>
      </c>
      <c r="C2967" s="18" t="s">
        <v>28</v>
      </c>
      <c r="D2967" s="15" t="s">
        <v>9962</v>
      </c>
      <c r="E2967" s="18" t="s">
        <v>28</v>
      </c>
      <c r="F2967" s="19" t="s">
        <v>28</v>
      </c>
      <c r="G2967" s="19">
        <v>18.18</v>
      </c>
      <c r="H2967" s="19">
        <v>18.18</v>
      </c>
      <c r="I2967" s="18" t="s">
        <v>28</v>
      </c>
      <c r="J2967" s="18" t="s">
        <v>28</v>
      </c>
      <c r="K2967" s="18" t="s">
        <v>28</v>
      </c>
      <c r="L2967" s="18" t="s">
        <v>28</v>
      </c>
      <c r="M2967" s="18" t="s">
        <v>28</v>
      </c>
      <c r="N2967" s="17">
        <v>44756</v>
      </c>
      <c r="O2967" s="15" t="s">
        <v>30</v>
      </c>
      <c r="P2967" s="16" t="s">
        <v>4004</v>
      </c>
      <c r="Q2967" s="15" t="s">
        <v>188</v>
      </c>
      <c r="R2967" s="13" t="str">
        <f>HYPERLINK("https://my.pitchbook.com?c=208404-91T","View Company Online")</f>
        <v>View Company Online</v>
      </c>
    </row>
    <row r="2968" spans="1:18" hidden="1" x14ac:dyDescent="0.3">
      <c r="A2968" s="9" t="s">
        <v>9963</v>
      </c>
      <c r="B2968" s="9" t="s">
        <v>4004</v>
      </c>
      <c r="C2968" s="11" t="s">
        <v>28</v>
      </c>
      <c r="D2968" s="9" t="s">
        <v>4005</v>
      </c>
      <c r="E2968" s="11">
        <v>1.47</v>
      </c>
      <c r="F2968" s="10" t="s">
        <v>28</v>
      </c>
      <c r="G2968" s="10">
        <v>28.58</v>
      </c>
      <c r="H2968" s="10" t="s">
        <v>28</v>
      </c>
      <c r="I2968" s="11">
        <v>5.04</v>
      </c>
      <c r="J2968" s="11" t="s">
        <v>28</v>
      </c>
      <c r="K2968" s="11">
        <v>35.659999999999997</v>
      </c>
      <c r="L2968" s="11" t="s">
        <v>28</v>
      </c>
      <c r="M2968" s="11">
        <v>1.1299999999999999</v>
      </c>
      <c r="N2968" s="8">
        <v>44756</v>
      </c>
      <c r="O2968" s="9" t="s">
        <v>159</v>
      </c>
      <c r="P2968" s="12" t="s">
        <v>9964</v>
      </c>
      <c r="Q2968" s="9" t="s">
        <v>188</v>
      </c>
      <c r="R2968" s="14" t="str">
        <f>HYPERLINK("https://my.pitchbook.com?c=245033-20T","View Company Online")</f>
        <v>View Company Online</v>
      </c>
    </row>
    <row r="2969" spans="1:18" hidden="1" x14ac:dyDescent="0.3">
      <c r="A2969" s="15" t="s">
        <v>9965</v>
      </c>
      <c r="B2969" s="15" t="s">
        <v>9966</v>
      </c>
      <c r="C2969" s="18" t="s">
        <v>28</v>
      </c>
      <c r="D2969" s="15" t="s">
        <v>9967</v>
      </c>
      <c r="E2969" s="18" t="s">
        <v>28</v>
      </c>
      <c r="F2969" s="19" t="s">
        <v>28</v>
      </c>
      <c r="G2969" s="19" t="s">
        <v>28</v>
      </c>
      <c r="H2969" s="19" t="s">
        <v>28</v>
      </c>
      <c r="I2969" s="18" t="s">
        <v>28</v>
      </c>
      <c r="J2969" s="18" t="s">
        <v>28</v>
      </c>
      <c r="K2969" s="18" t="s">
        <v>28</v>
      </c>
      <c r="L2969" s="18" t="s">
        <v>28</v>
      </c>
      <c r="M2969" s="18" t="s">
        <v>28</v>
      </c>
      <c r="N2969" s="17">
        <v>44756</v>
      </c>
      <c r="O2969" s="15" t="s">
        <v>30</v>
      </c>
      <c r="P2969" s="16" t="s">
        <v>9968</v>
      </c>
      <c r="Q2969" s="15" t="s">
        <v>75</v>
      </c>
      <c r="R2969" s="13" t="str">
        <f>HYPERLINK("https://my.pitchbook.com?c=205288-66T","View Company Online")</f>
        <v>View Company Online</v>
      </c>
    </row>
    <row r="2970" spans="1:18" hidden="1" x14ac:dyDescent="0.3">
      <c r="A2970" s="9" t="s">
        <v>9969</v>
      </c>
      <c r="B2970" s="9" t="s">
        <v>9970</v>
      </c>
      <c r="C2970" s="11" t="s">
        <v>28</v>
      </c>
      <c r="D2970" s="9" t="s">
        <v>9971</v>
      </c>
      <c r="E2970" s="11" t="s">
        <v>28</v>
      </c>
      <c r="F2970" s="10" t="s">
        <v>28</v>
      </c>
      <c r="G2970" s="10" t="s">
        <v>28</v>
      </c>
      <c r="H2970" s="10" t="s">
        <v>28</v>
      </c>
      <c r="I2970" s="11" t="s">
        <v>28</v>
      </c>
      <c r="J2970" s="11" t="s">
        <v>28</v>
      </c>
      <c r="K2970" s="11" t="s">
        <v>28</v>
      </c>
      <c r="L2970" s="11" t="s">
        <v>28</v>
      </c>
      <c r="M2970" s="11" t="s">
        <v>28</v>
      </c>
      <c r="N2970" s="8">
        <v>44756</v>
      </c>
      <c r="O2970" s="9" t="s">
        <v>73</v>
      </c>
      <c r="P2970" s="12" t="s">
        <v>611</v>
      </c>
      <c r="Q2970" s="9" t="s">
        <v>75</v>
      </c>
      <c r="R2970" s="14" t="str">
        <f>HYPERLINK("https://my.pitchbook.com?c=208401-22T","View Company Online")</f>
        <v>View Company Online</v>
      </c>
    </row>
    <row r="2971" spans="1:18" x14ac:dyDescent="0.3">
      <c r="A2971" s="15" t="s">
        <v>9972</v>
      </c>
      <c r="B2971" s="15" t="s">
        <v>9973</v>
      </c>
      <c r="C2971" s="18">
        <v>7.7</v>
      </c>
      <c r="D2971" s="15" t="s">
        <v>9974</v>
      </c>
      <c r="E2971" s="18" t="s">
        <v>28</v>
      </c>
      <c r="F2971" s="19">
        <v>533.48</v>
      </c>
      <c r="G2971" s="19">
        <v>533.48</v>
      </c>
      <c r="H2971" s="19">
        <v>533.48</v>
      </c>
      <c r="I2971" s="18">
        <v>69.28</v>
      </c>
      <c r="J2971" s="18">
        <v>7.7</v>
      </c>
      <c r="K2971" s="18">
        <v>134.54</v>
      </c>
      <c r="L2971" s="18">
        <v>3.97</v>
      </c>
      <c r="M2971" s="18" t="s">
        <v>28</v>
      </c>
      <c r="N2971" s="17">
        <v>44756</v>
      </c>
      <c r="O2971" s="15" t="s">
        <v>41</v>
      </c>
      <c r="P2971" s="16" t="s">
        <v>28</v>
      </c>
      <c r="Q2971" s="15" t="s">
        <v>290</v>
      </c>
      <c r="R2971" s="13" t="str">
        <f>HYPERLINK("https://my.pitchbook.com?c=199455-58T","View Company Online")</f>
        <v>View Company Online</v>
      </c>
    </row>
    <row r="2972" spans="1:18" hidden="1" x14ac:dyDescent="0.3">
      <c r="A2972" s="9" t="s">
        <v>9975</v>
      </c>
      <c r="B2972" s="9" t="s">
        <v>9976</v>
      </c>
      <c r="C2972" s="11" t="s">
        <v>28</v>
      </c>
      <c r="D2972" s="9" t="s">
        <v>9977</v>
      </c>
      <c r="E2972" s="11" t="s">
        <v>28</v>
      </c>
      <c r="F2972" s="10" t="s">
        <v>28</v>
      </c>
      <c r="G2972" s="10">
        <v>1.33</v>
      </c>
      <c r="H2972" s="10" t="s">
        <v>28</v>
      </c>
      <c r="I2972" s="11" t="s">
        <v>28</v>
      </c>
      <c r="J2972" s="11" t="s">
        <v>28</v>
      </c>
      <c r="K2972" s="11" t="s">
        <v>28</v>
      </c>
      <c r="L2972" s="11" t="s">
        <v>28</v>
      </c>
      <c r="M2972" s="11" t="s">
        <v>28</v>
      </c>
      <c r="N2972" s="8">
        <v>44756</v>
      </c>
      <c r="O2972" s="9" t="s">
        <v>99</v>
      </c>
      <c r="P2972" s="12" t="s">
        <v>9978</v>
      </c>
      <c r="Q2972" s="9" t="s">
        <v>386</v>
      </c>
      <c r="R2972" s="14" t="str">
        <f>HYPERLINK("https://my.pitchbook.com?c=212275-09T","View Company Online")</f>
        <v>View Company Online</v>
      </c>
    </row>
    <row r="2973" spans="1:18" hidden="1" x14ac:dyDescent="0.3">
      <c r="A2973" s="15" t="s">
        <v>9979</v>
      </c>
      <c r="B2973" s="15" t="s">
        <v>9980</v>
      </c>
      <c r="C2973" s="18" t="s">
        <v>28</v>
      </c>
      <c r="D2973" s="15" t="s">
        <v>9981</v>
      </c>
      <c r="E2973" s="18" t="s">
        <v>28</v>
      </c>
      <c r="F2973" s="19" t="s">
        <v>28</v>
      </c>
      <c r="G2973" s="19">
        <v>5.15</v>
      </c>
      <c r="H2973" s="19" t="s">
        <v>28</v>
      </c>
      <c r="I2973" s="18" t="s">
        <v>28</v>
      </c>
      <c r="J2973" s="18" t="s">
        <v>28</v>
      </c>
      <c r="K2973" s="18" t="s">
        <v>28</v>
      </c>
      <c r="L2973" s="18" t="s">
        <v>28</v>
      </c>
      <c r="M2973" s="18" t="s">
        <v>28</v>
      </c>
      <c r="N2973" s="17">
        <v>44755</v>
      </c>
      <c r="O2973" s="15" t="s">
        <v>79</v>
      </c>
      <c r="P2973" s="16" t="s">
        <v>9982</v>
      </c>
      <c r="Q2973" s="15" t="s">
        <v>386</v>
      </c>
      <c r="R2973" s="13" t="str">
        <f>HYPERLINK("https://my.pitchbook.com?c=199350-01T","View Company Online")</f>
        <v>View Company Online</v>
      </c>
    </row>
    <row r="2974" spans="1:18" hidden="1" x14ac:dyDescent="0.3">
      <c r="A2974" s="9" t="s">
        <v>9983</v>
      </c>
      <c r="B2974" s="9" t="s">
        <v>4172</v>
      </c>
      <c r="C2974" s="11" t="s">
        <v>28</v>
      </c>
      <c r="D2974" s="9" t="s">
        <v>4173</v>
      </c>
      <c r="E2974" s="11" t="s">
        <v>28</v>
      </c>
      <c r="F2974" s="10" t="s">
        <v>28</v>
      </c>
      <c r="G2974" s="10">
        <v>0.75</v>
      </c>
      <c r="H2974" s="10" t="s">
        <v>28</v>
      </c>
      <c r="I2974" s="11" t="s">
        <v>28</v>
      </c>
      <c r="J2974" s="11" t="s">
        <v>28</v>
      </c>
      <c r="K2974" s="11" t="s">
        <v>28</v>
      </c>
      <c r="L2974" s="11" t="s">
        <v>28</v>
      </c>
      <c r="M2974" s="11" t="s">
        <v>28</v>
      </c>
      <c r="N2974" s="8">
        <v>44755</v>
      </c>
      <c r="O2974" s="9" t="s">
        <v>99</v>
      </c>
      <c r="P2974" s="12" t="s">
        <v>9984</v>
      </c>
      <c r="Q2974" s="9" t="s">
        <v>75</v>
      </c>
      <c r="R2974" s="14" t="str">
        <f>HYPERLINK("https://my.pitchbook.com?c=226928-89T","View Company Online")</f>
        <v>View Company Online</v>
      </c>
    </row>
    <row r="2975" spans="1:18" hidden="1" x14ac:dyDescent="0.3">
      <c r="A2975" s="15" t="s">
        <v>9985</v>
      </c>
      <c r="B2975" s="15" t="s">
        <v>6493</v>
      </c>
      <c r="C2975" s="18" t="s">
        <v>28</v>
      </c>
      <c r="D2975" s="15" t="s">
        <v>6494</v>
      </c>
      <c r="E2975" s="18" t="s">
        <v>28</v>
      </c>
      <c r="F2975" s="19" t="s">
        <v>28</v>
      </c>
      <c r="G2975" s="19">
        <v>0.03</v>
      </c>
      <c r="H2975" s="19" t="s">
        <v>28</v>
      </c>
      <c r="I2975" s="18" t="s">
        <v>28</v>
      </c>
      <c r="J2975" s="18" t="s">
        <v>28</v>
      </c>
      <c r="K2975" s="18" t="s">
        <v>28</v>
      </c>
      <c r="L2975" s="18" t="s">
        <v>28</v>
      </c>
      <c r="M2975" s="18" t="s">
        <v>28</v>
      </c>
      <c r="N2975" s="17">
        <v>44754</v>
      </c>
      <c r="O2975" s="15" t="s">
        <v>73</v>
      </c>
      <c r="P2975" s="16" t="s">
        <v>5673</v>
      </c>
      <c r="Q2975" s="15" t="s">
        <v>75</v>
      </c>
      <c r="R2975" s="13" t="str">
        <f>HYPERLINK("https://my.pitchbook.com?c=241959-16T","View Company Online")</f>
        <v>View Company Online</v>
      </c>
    </row>
    <row r="2976" spans="1:18" hidden="1" x14ac:dyDescent="0.3">
      <c r="A2976" s="9" t="s">
        <v>9986</v>
      </c>
      <c r="B2976" s="9" t="s">
        <v>9987</v>
      </c>
      <c r="C2976" s="11" t="s">
        <v>28</v>
      </c>
      <c r="D2976" s="9" t="s">
        <v>9988</v>
      </c>
      <c r="E2976" s="11" t="s">
        <v>28</v>
      </c>
      <c r="F2976" s="10" t="s">
        <v>28</v>
      </c>
      <c r="G2976" s="10">
        <v>0.13</v>
      </c>
      <c r="H2976" s="10" t="s">
        <v>28</v>
      </c>
      <c r="I2976" s="11" t="s">
        <v>28</v>
      </c>
      <c r="J2976" s="11" t="s">
        <v>28</v>
      </c>
      <c r="K2976" s="11" t="s">
        <v>28</v>
      </c>
      <c r="L2976" s="11" t="s">
        <v>28</v>
      </c>
      <c r="M2976" s="11" t="s">
        <v>28</v>
      </c>
      <c r="N2976" s="8">
        <v>44754</v>
      </c>
      <c r="O2976" s="9" t="s">
        <v>99</v>
      </c>
      <c r="P2976" s="12" t="s">
        <v>9989</v>
      </c>
      <c r="Q2976" s="9" t="s">
        <v>75</v>
      </c>
      <c r="R2976" s="14" t="str">
        <f>HYPERLINK("https://my.pitchbook.com?c=181206-64T","View Company Online")</f>
        <v>View Company Online</v>
      </c>
    </row>
    <row r="2977" spans="1:18" hidden="1" x14ac:dyDescent="0.3">
      <c r="A2977" s="15" t="s">
        <v>9990</v>
      </c>
      <c r="B2977" s="15" t="s">
        <v>9991</v>
      </c>
      <c r="C2977" s="18" t="s">
        <v>28</v>
      </c>
      <c r="D2977" s="15" t="s">
        <v>9992</v>
      </c>
      <c r="E2977" s="18" t="s">
        <v>28</v>
      </c>
      <c r="F2977" s="19" t="s">
        <v>28</v>
      </c>
      <c r="G2977" s="19">
        <v>3.83</v>
      </c>
      <c r="H2977" s="19" t="s">
        <v>28</v>
      </c>
      <c r="I2977" s="18" t="s">
        <v>28</v>
      </c>
      <c r="J2977" s="18" t="s">
        <v>28</v>
      </c>
      <c r="K2977" s="18" t="s">
        <v>28</v>
      </c>
      <c r="L2977" s="18" t="s">
        <v>28</v>
      </c>
      <c r="M2977" s="18" t="s">
        <v>28</v>
      </c>
      <c r="N2977" s="17">
        <v>44754</v>
      </c>
      <c r="O2977" s="15" t="s">
        <v>58</v>
      </c>
      <c r="P2977" s="16" t="s">
        <v>9993</v>
      </c>
      <c r="Q2977" s="15" t="s">
        <v>75</v>
      </c>
      <c r="R2977" s="13" t="str">
        <f>HYPERLINK("https://my.pitchbook.com?c=199410-49T","View Company Online")</f>
        <v>View Company Online</v>
      </c>
    </row>
    <row r="2978" spans="1:18" hidden="1" x14ac:dyDescent="0.3">
      <c r="A2978" s="9" t="s">
        <v>9994</v>
      </c>
      <c r="B2978" s="9" t="s">
        <v>9995</v>
      </c>
      <c r="C2978" s="11" t="s">
        <v>28</v>
      </c>
      <c r="D2978" s="9" t="s">
        <v>9996</v>
      </c>
      <c r="E2978" s="11" t="s">
        <v>28</v>
      </c>
      <c r="F2978" s="10" t="s">
        <v>28</v>
      </c>
      <c r="G2978" s="10">
        <v>0.23</v>
      </c>
      <c r="H2978" s="10" t="s">
        <v>28</v>
      </c>
      <c r="I2978" s="11" t="s">
        <v>28</v>
      </c>
      <c r="J2978" s="11" t="s">
        <v>28</v>
      </c>
      <c r="K2978" s="11" t="s">
        <v>28</v>
      </c>
      <c r="L2978" s="11" t="s">
        <v>28</v>
      </c>
      <c r="M2978" s="11" t="s">
        <v>28</v>
      </c>
      <c r="N2978" s="8">
        <v>44753</v>
      </c>
      <c r="O2978" s="9" t="s">
        <v>379</v>
      </c>
      <c r="P2978" s="12" t="s">
        <v>9997</v>
      </c>
      <c r="Q2978" s="9" t="s">
        <v>409</v>
      </c>
      <c r="R2978" s="14" t="str">
        <f>HYPERLINK("https://my.pitchbook.com?c=201418-21T","View Company Online")</f>
        <v>View Company Online</v>
      </c>
    </row>
    <row r="2979" spans="1:18" hidden="1" x14ac:dyDescent="0.3">
      <c r="A2979" s="15" t="s">
        <v>9998</v>
      </c>
      <c r="B2979" s="15" t="s">
        <v>8120</v>
      </c>
      <c r="C2979" s="18" t="s">
        <v>28</v>
      </c>
      <c r="D2979" s="15" t="s">
        <v>8121</v>
      </c>
      <c r="E2979" s="18" t="s">
        <v>28</v>
      </c>
      <c r="F2979" s="19" t="s">
        <v>28</v>
      </c>
      <c r="G2979" s="19">
        <v>1</v>
      </c>
      <c r="H2979" s="19" t="s">
        <v>28</v>
      </c>
      <c r="I2979" s="18" t="s">
        <v>28</v>
      </c>
      <c r="J2979" s="18" t="s">
        <v>28</v>
      </c>
      <c r="K2979" s="18" t="s">
        <v>28</v>
      </c>
      <c r="L2979" s="18" t="s">
        <v>28</v>
      </c>
      <c r="M2979" s="18" t="s">
        <v>28</v>
      </c>
      <c r="N2979" s="17">
        <v>44752</v>
      </c>
      <c r="O2979" s="15" t="s">
        <v>79</v>
      </c>
      <c r="P2979" s="16" t="s">
        <v>9999</v>
      </c>
      <c r="Q2979" s="15" t="s">
        <v>75</v>
      </c>
      <c r="R2979" s="13" t="str">
        <f>HYPERLINK("https://my.pitchbook.com?c=201579-94T","View Company Online")</f>
        <v>View Company Online</v>
      </c>
    </row>
    <row r="2980" spans="1:18" hidden="1" x14ac:dyDescent="0.3">
      <c r="A2980" s="9" t="s">
        <v>10000</v>
      </c>
      <c r="B2980" s="9" t="s">
        <v>10001</v>
      </c>
      <c r="C2980" s="11" t="s">
        <v>28</v>
      </c>
      <c r="D2980" s="9" t="s">
        <v>10002</v>
      </c>
      <c r="E2980" s="11" t="s">
        <v>28</v>
      </c>
      <c r="F2980" s="10" t="s">
        <v>28</v>
      </c>
      <c r="G2980" s="10" t="s">
        <v>28</v>
      </c>
      <c r="H2980" s="10" t="s">
        <v>28</v>
      </c>
      <c r="I2980" s="11" t="s">
        <v>28</v>
      </c>
      <c r="J2980" s="11" t="s">
        <v>28</v>
      </c>
      <c r="K2980" s="11" t="s">
        <v>28</v>
      </c>
      <c r="L2980" s="11" t="s">
        <v>28</v>
      </c>
      <c r="M2980" s="11" t="s">
        <v>28</v>
      </c>
      <c r="N2980" s="8">
        <v>44751</v>
      </c>
      <c r="O2980" s="9" t="s">
        <v>30</v>
      </c>
      <c r="P2980" s="12" t="s">
        <v>10003</v>
      </c>
      <c r="Q2980" s="9" t="s">
        <v>245</v>
      </c>
      <c r="R2980" s="14" t="str">
        <f>HYPERLINK("https://my.pitchbook.com?c=199146-25T","View Company Online")</f>
        <v>View Company Online</v>
      </c>
    </row>
    <row r="2981" spans="1:18" hidden="1" x14ac:dyDescent="0.3">
      <c r="A2981" s="15" t="s">
        <v>10004</v>
      </c>
      <c r="B2981" s="15" t="s">
        <v>10005</v>
      </c>
      <c r="C2981" s="18" t="s">
        <v>28</v>
      </c>
      <c r="D2981" s="15" t="s">
        <v>10006</v>
      </c>
      <c r="E2981" s="18" t="s">
        <v>28</v>
      </c>
      <c r="F2981" s="19" t="s">
        <v>28</v>
      </c>
      <c r="G2981" s="19">
        <v>310</v>
      </c>
      <c r="H2981" s="19">
        <v>4800</v>
      </c>
      <c r="I2981" s="18" t="s">
        <v>28</v>
      </c>
      <c r="J2981" s="18" t="s">
        <v>28</v>
      </c>
      <c r="K2981" s="18">
        <v>1122.3900000000001</v>
      </c>
      <c r="L2981" s="18">
        <v>4.28</v>
      </c>
      <c r="M2981" s="18">
        <v>-40.369999999999997</v>
      </c>
      <c r="N2981" s="17">
        <v>44750</v>
      </c>
      <c r="O2981" s="15" t="s">
        <v>79</v>
      </c>
      <c r="P2981" s="16" t="s">
        <v>10007</v>
      </c>
      <c r="Q2981" s="15" t="s">
        <v>696</v>
      </c>
      <c r="R2981" s="13" t="str">
        <f>HYPERLINK("https://my.pitchbook.com?c=187191-28T","View Company Online")</f>
        <v>View Company Online</v>
      </c>
    </row>
    <row r="2982" spans="1:18" hidden="1" x14ac:dyDescent="0.3">
      <c r="A2982" s="9" t="s">
        <v>10008</v>
      </c>
      <c r="B2982" s="9" t="s">
        <v>10009</v>
      </c>
      <c r="C2982" s="11" t="s">
        <v>28</v>
      </c>
      <c r="D2982" s="9" t="s">
        <v>10010</v>
      </c>
      <c r="E2982" s="11" t="s">
        <v>28</v>
      </c>
      <c r="F2982" s="10" t="s">
        <v>28</v>
      </c>
      <c r="G2982" s="10" t="s">
        <v>28</v>
      </c>
      <c r="H2982" s="10" t="s">
        <v>28</v>
      </c>
      <c r="I2982" s="11" t="s">
        <v>28</v>
      </c>
      <c r="J2982" s="11" t="s">
        <v>28</v>
      </c>
      <c r="K2982" s="11" t="s">
        <v>28</v>
      </c>
      <c r="L2982" s="11" t="s">
        <v>28</v>
      </c>
      <c r="M2982" s="11" t="s">
        <v>28</v>
      </c>
      <c r="N2982" s="8">
        <v>44750</v>
      </c>
      <c r="O2982" s="9" t="s">
        <v>30</v>
      </c>
      <c r="P2982" s="12" t="s">
        <v>10011</v>
      </c>
      <c r="Q2982" s="9" t="s">
        <v>119</v>
      </c>
      <c r="R2982" s="14" t="str">
        <f>HYPERLINK("https://my.pitchbook.com?c=199113-22T","View Company Online")</f>
        <v>View Company Online</v>
      </c>
    </row>
    <row r="2983" spans="1:18" hidden="1" x14ac:dyDescent="0.3">
      <c r="A2983" s="15" t="s">
        <v>10012</v>
      </c>
      <c r="B2983" s="15" t="s">
        <v>10013</v>
      </c>
      <c r="C2983" s="18" t="s">
        <v>28</v>
      </c>
      <c r="D2983" s="15" t="s">
        <v>10014</v>
      </c>
      <c r="E2983" s="18" t="s">
        <v>28</v>
      </c>
      <c r="F2983" s="19" t="s">
        <v>28</v>
      </c>
      <c r="G2983" s="19" t="s">
        <v>28</v>
      </c>
      <c r="H2983" s="19" t="s">
        <v>28</v>
      </c>
      <c r="I2983" s="18" t="s">
        <v>28</v>
      </c>
      <c r="J2983" s="18" t="s">
        <v>28</v>
      </c>
      <c r="K2983" s="18" t="s">
        <v>28</v>
      </c>
      <c r="L2983" s="18" t="s">
        <v>28</v>
      </c>
      <c r="M2983" s="18" t="s">
        <v>28</v>
      </c>
      <c r="N2983" s="17">
        <v>44750</v>
      </c>
      <c r="O2983" s="15" t="s">
        <v>30</v>
      </c>
      <c r="P2983" s="16" t="s">
        <v>10015</v>
      </c>
      <c r="Q2983" s="15" t="s">
        <v>245</v>
      </c>
      <c r="R2983" s="13" t="str">
        <f>HYPERLINK("https://my.pitchbook.com?c=199174-24T","View Company Online")</f>
        <v>View Company Online</v>
      </c>
    </row>
    <row r="2984" spans="1:18" hidden="1" x14ac:dyDescent="0.3">
      <c r="A2984" s="9" t="s">
        <v>10016</v>
      </c>
      <c r="B2984" s="9" t="s">
        <v>10017</v>
      </c>
      <c r="C2984" s="11" t="s">
        <v>28</v>
      </c>
      <c r="D2984" s="9" t="s">
        <v>10018</v>
      </c>
      <c r="E2984" s="11" t="s">
        <v>28</v>
      </c>
      <c r="F2984" s="10">
        <v>5.93</v>
      </c>
      <c r="G2984" s="10">
        <v>3.02</v>
      </c>
      <c r="H2984" s="10">
        <v>5.93</v>
      </c>
      <c r="I2984" s="11" t="s">
        <v>28</v>
      </c>
      <c r="J2984" s="11" t="s">
        <v>28</v>
      </c>
      <c r="K2984" s="11" t="s">
        <v>28</v>
      </c>
      <c r="L2984" s="11" t="s">
        <v>28</v>
      </c>
      <c r="M2984" s="11" t="s">
        <v>28</v>
      </c>
      <c r="N2984" s="8">
        <v>44750</v>
      </c>
      <c r="O2984" s="9" t="s">
        <v>30</v>
      </c>
      <c r="P2984" s="12" t="s">
        <v>10019</v>
      </c>
      <c r="Q2984" s="9" t="s">
        <v>75</v>
      </c>
      <c r="R2984" s="14" t="str">
        <f>HYPERLINK("https://my.pitchbook.com?c=191521-63T","View Company Online")</f>
        <v>View Company Online</v>
      </c>
    </row>
    <row r="2985" spans="1:18" hidden="1" x14ac:dyDescent="0.3">
      <c r="A2985" s="15" t="s">
        <v>10020</v>
      </c>
      <c r="B2985" s="15" t="s">
        <v>10021</v>
      </c>
      <c r="C2985" s="18" t="s">
        <v>28</v>
      </c>
      <c r="D2985" s="15" t="s">
        <v>10022</v>
      </c>
      <c r="E2985" s="18" t="s">
        <v>28</v>
      </c>
      <c r="F2985" s="19" t="s">
        <v>28</v>
      </c>
      <c r="G2985" s="19" t="s">
        <v>28</v>
      </c>
      <c r="H2985" s="19" t="s">
        <v>28</v>
      </c>
      <c r="I2985" s="18" t="s">
        <v>28</v>
      </c>
      <c r="J2985" s="18" t="s">
        <v>28</v>
      </c>
      <c r="K2985" s="18" t="s">
        <v>28</v>
      </c>
      <c r="L2985" s="18" t="s">
        <v>28</v>
      </c>
      <c r="M2985" s="18" t="s">
        <v>28</v>
      </c>
      <c r="N2985" s="17">
        <v>44749</v>
      </c>
      <c r="O2985" s="15" t="s">
        <v>58</v>
      </c>
      <c r="P2985" s="16" t="s">
        <v>10023</v>
      </c>
      <c r="Q2985" s="15" t="s">
        <v>245</v>
      </c>
      <c r="R2985" s="13" t="str">
        <f>HYPERLINK("https://my.pitchbook.com?c=199254-79T","View Company Online")</f>
        <v>View Company Online</v>
      </c>
    </row>
    <row r="2986" spans="1:18" hidden="1" x14ac:dyDescent="0.3">
      <c r="A2986" s="9" t="s">
        <v>10024</v>
      </c>
      <c r="B2986" s="9" t="s">
        <v>10025</v>
      </c>
      <c r="C2986" s="11" t="s">
        <v>28</v>
      </c>
      <c r="D2986" s="9" t="s">
        <v>10026</v>
      </c>
      <c r="E2986" s="11" t="s">
        <v>28</v>
      </c>
      <c r="F2986" s="10" t="s">
        <v>28</v>
      </c>
      <c r="G2986" s="10" t="s">
        <v>28</v>
      </c>
      <c r="H2986" s="10" t="s">
        <v>28</v>
      </c>
      <c r="I2986" s="11" t="s">
        <v>28</v>
      </c>
      <c r="J2986" s="11" t="s">
        <v>28</v>
      </c>
      <c r="K2986" s="11" t="s">
        <v>28</v>
      </c>
      <c r="L2986" s="11" t="s">
        <v>28</v>
      </c>
      <c r="M2986" s="11" t="s">
        <v>28</v>
      </c>
      <c r="N2986" s="8">
        <v>44749</v>
      </c>
      <c r="O2986" s="9" t="s">
        <v>30</v>
      </c>
      <c r="P2986" s="12" t="s">
        <v>10027</v>
      </c>
      <c r="Q2986" s="9" t="s">
        <v>583</v>
      </c>
      <c r="R2986" s="14" t="str">
        <f>HYPERLINK("https://my.pitchbook.com?c=199004-05T","View Company Online")</f>
        <v>View Company Online</v>
      </c>
    </row>
    <row r="2987" spans="1:18" hidden="1" x14ac:dyDescent="0.3">
      <c r="A2987" s="15" t="s">
        <v>10028</v>
      </c>
      <c r="B2987" s="15" t="s">
        <v>10029</v>
      </c>
      <c r="C2987" s="18" t="s">
        <v>28</v>
      </c>
      <c r="D2987" s="15" t="s">
        <v>10030</v>
      </c>
      <c r="E2987" s="18" t="s">
        <v>28</v>
      </c>
      <c r="F2987" s="19" t="s">
        <v>28</v>
      </c>
      <c r="G2987" s="19" t="s">
        <v>28</v>
      </c>
      <c r="H2987" s="19" t="s">
        <v>28</v>
      </c>
      <c r="I2987" s="18" t="s">
        <v>28</v>
      </c>
      <c r="J2987" s="18" t="s">
        <v>28</v>
      </c>
      <c r="K2987" s="18" t="s">
        <v>28</v>
      </c>
      <c r="L2987" s="18" t="s">
        <v>28</v>
      </c>
      <c r="M2987" s="18" t="s">
        <v>28</v>
      </c>
      <c r="N2987" s="17">
        <v>44749</v>
      </c>
      <c r="O2987" s="15" t="s">
        <v>30</v>
      </c>
      <c r="P2987" s="16" t="s">
        <v>10031</v>
      </c>
      <c r="Q2987" s="15" t="s">
        <v>240</v>
      </c>
      <c r="R2987" s="13" t="str">
        <f>HYPERLINK("https://my.pitchbook.com?c=199035-37T","View Company Online")</f>
        <v>View Company Online</v>
      </c>
    </row>
    <row r="2988" spans="1:18" hidden="1" x14ac:dyDescent="0.3">
      <c r="A2988" s="9" t="s">
        <v>10032</v>
      </c>
      <c r="B2988" s="9" t="s">
        <v>10033</v>
      </c>
      <c r="C2988" s="11" t="s">
        <v>28</v>
      </c>
      <c r="D2988" s="9" t="s">
        <v>10034</v>
      </c>
      <c r="E2988" s="11" t="s">
        <v>28</v>
      </c>
      <c r="F2988" s="10" t="s">
        <v>28</v>
      </c>
      <c r="G2988" s="10">
        <v>1.07</v>
      </c>
      <c r="H2988" s="10" t="s">
        <v>28</v>
      </c>
      <c r="I2988" s="11" t="s">
        <v>28</v>
      </c>
      <c r="J2988" s="11" t="s">
        <v>28</v>
      </c>
      <c r="K2988" s="11" t="s">
        <v>28</v>
      </c>
      <c r="L2988" s="11" t="s">
        <v>28</v>
      </c>
      <c r="M2988" s="11" t="s">
        <v>28</v>
      </c>
      <c r="N2988" s="8">
        <v>44749</v>
      </c>
      <c r="O2988" s="9" t="s">
        <v>99</v>
      </c>
      <c r="P2988" s="12" t="s">
        <v>10035</v>
      </c>
      <c r="Q2988" s="9" t="s">
        <v>75</v>
      </c>
      <c r="R2988" s="14" t="str">
        <f>HYPERLINK("https://my.pitchbook.com?c=202789-00T","View Company Online")</f>
        <v>View Company Online</v>
      </c>
    </row>
    <row r="2989" spans="1:18" hidden="1" x14ac:dyDescent="0.3">
      <c r="A2989" s="15" t="s">
        <v>10036</v>
      </c>
      <c r="B2989" s="15" t="s">
        <v>10037</v>
      </c>
      <c r="C2989" s="18" t="s">
        <v>28</v>
      </c>
      <c r="D2989" s="15" t="s">
        <v>10038</v>
      </c>
      <c r="E2989" s="18" t="s">
        <v>28</v>
      </c>
      <c r="F2989" s="19" t="s">
        <v>28</v>
      </c>
      <c r="G2989" s="19" t="s">
        <v>28</v>
      </c>
      <c r="H2989" s="19" t="s">
        <v>28</v>
      </c>
      <c r="I2989" s="18" t="s">
        <v>28</v>
      </c>
      <c r="J2989" s="18" t="s">
        <v>28</v>
      </c>
      <c r="K2989" s="18" t="s">
        <v>28</v>
      </c>
      <c r="L2989" s="18" t="s">
        <v>28</v>
      </c>
      <c r="M2989" s="18" t="s">
        <v>28</v>
      </c>
      <c r="N2989" s="17">
        <v>44749</v>
      </c>
      <c r="O2989" s="15" t="s">
        <v>73</v>
      </c>
      <c r="P2989" s="16" t="s">
        <v>10039</v>
      </c>
      <c r="Q2989" s="15" t="s">
        <v>235</v>
      </c>
      <c r="R2989" s="13" t="str">
        <f>HYPERLINK("https://my.pitchbook.com?c=225924-04T","View Company Online")</f>
        <v>View Company Online</v>
      </c>
    </row>
    <row r="2990" spans="1:18" hidden="1" x14ac:dyDescent="0.3">
      <c r="A2990" s="9" t="s">
        <v>10040</v>
      </c>
      <c r="B2990" s="9" t="s">
        <v>10041</v>
      </c>
      <c r="C2990" s="11" t="s">
        <v>28</v>
      </c>
      <c r="D2990" s="9" t="s">
        <v>10042</v>
      </c>
      <c r="E2990" s="11" t="s">
        <v>28</v>
      </c>
      <c r="F2990" s="10" t="s">
        <v>28</v>
      </c>
      <c r="G2990" s="10">
        <v>0.08</v>
      </c>
      <c r="H2990" s="10" t="s">
        <v>28</v>
      </c>
      <c r="I2990" s="11" t="s">
        <v>28</v>
      </c>
      <c r="J2990" s="11" t="s">
        <v>28</v>
      </c>
      <c r="K2990" s="11" t="s">
        <v>28</v>
      </c>
      <c r="L2990" s="11" t="s">
        <v>28</v>
      </c>
      <c r="M2990" s="11" t="s">
        <v>28</v>
      </c>
      <c r="N2990" s="8">
        <v>44749</v>
      </c>
      <c r="O2990" s="9" t="s">
        <v>73</v>
      </c>
      <c r="P2990" s="12" t="s">
        <v>3430</v>
      </c>
      <c r="Q2990" s="9" t="s">
        <v>566</v>
      </c>
      <c r="R2990" s="14" t="str">
        <f>HYPERLINK("https://my.pitchbook.com?c=224615-62T","View Company Online")</f>
        <v>View Company Online</v>
      </c>
    </row>
    <row r="2991" spans="1:18" hidden="1" x14ac:dyDescent="0.3">
      <c r="A2991" s="15" t="s">
        <v>10043</v>
      </c>
      <c r="B2991" s="15" t="s">
        <v>10044</v>
      </c>
      <c r="C2991" s="18" t="s">
        <v>28</v>
      </c>
      <c r="D2991" s="15" t="s">
        <v>10045</v>
      </c>
      <c r="E2991" s="18" t="s">
        <v>28</v>
      </c>
      <c r="F2991" s="19" t="s">
        <v>28</v>
      </c>
      <c r="G2991" s="19" t="s">
        <v>28</v>
      </c>
      <c r="H2991" s="19" t="s">
        <v>28</v>
      </c>
      <c r="I2991" s="18" t="s">
        <v>28</v>
      </c>
      <c r="J2991" s="18" t="s">
        <v>28</v>
      </c>
      <c r="K2991" s="18" t="s">
        <v>28</v>
      </c>
      <c r="L2991" s="18" t="s">
        <v>28</v>
      </c>
      <c r="M2991" s="18" t="s">
        <v>28</v>
      </c>
      <c r="N2991" s="17">
        <v>44748</v>
      </c>
      <c r="O2991" s="15" t="s">
        <v>30</v>
      </c>
      <c r="P2991" s="16" t="s">
        <v>10046</v>
      </c>
      <c r="Q2991" s="15" t="s">
        <v>362</v>
      </c>
      <c r="R2991" s="13" t="str">
        <f>HYPERLINK("https://my.pitchbook.com?c=198826-57T","View Company Online")</f>
        <v>View Company Online</v>
      </c>
    </row>
    <row r="2992" spans="1:18" hidden="1" x14ac:dyDescent="0.3">
      <c r="A2992" s="9" t="s">
        <v>10047</v>
      </c>
      <c r="B2992" s="9" t="s">
        <v>2351</v>
      </c>
      <c r="C2992" s="11" t="s">
        <v>28</v>
      </c>
      <c r="D2992" s="9" t="s">
        <v>2352</v>
      </c>
      <c r="E2992" s="11">
        <v>-22.24</v>
      </c>
      <c r="F2992" s="10" t="s">
        <v>28</v>
      </c>
      <c r="G2992" s="10">
        <v>182.32</v>
      </c>
      <c r="H2992" s="10" t="s">
        <v>28</v>
      </c>
      <c r="I2992" s="11" t="s">
        <v>28</v>
      </c>
      <c r="J2992" s="11" t="s">
        <v>28</v>
      </c>
      <c r="K2992" s="11">
        <v>59.11</v>
      </c>
      <c r="L2992" s="11" t="s">
        <v>28</v>
      </c>
      <c r="M2992" s="11">
        <v>-22.77</v>
      </c>
      <c r="N2992" s="8">
        <v>44748</v>
      </c>
      <c r="O2992" s="9" t="s">
        <v>73</v>
      </c>
      <c r="P2992" s="12" t="s">
        <v>10048</v>
      </c>
      <c r="Q2992" s="9" t="s">
        <v>740</v>
      </c>
      <c r="R2992" s="14" t="str">
        <f>HYPERLINK("https://my.pitchbook.com?c=199072-00T","View Company Online")</f>
        <v>View Company Online</v>
      </c>
    </row>
    <row r="2993" spans="1:18" hidden="1" x14ac:dyDescent="0.3">
      <c r="A2993" s="15" t="s">
        <v>10049</v>
      </c>
      <c r="B2993" s="15" t="s">
        <v>10050</v>
      </c>
      <c r="C2993" s="18" t="s">
        <v>28</v>
      </c>
      <c r="D2993" s="15" t="s">
        <v>10051</v>
      </c>
      <c r="E2993" s="18" t="s">
        <v>28</v>
      </c>
      <c r="F2993" s="19" t="s">
        <v>28</v>
      </c>
      <c r="G2993" s="19" t="s">
        <v>28</v>
      </c>
      <c r="H2993" s="19" t="s">
        <v>28</v>
      </c>
      <c r="I2993" s="18" t="s">
        <v>28</v>
      </c>
      <c r="J2993" s="18" t="s">
        <v>28</v>
      </c>
      <c r="K2993" s="18" t="s">
        <v>28</v>
      </c>
      <c r="L2993" s="18" t="s">
        <v>28</v>
      </c>
      <c r="M2993" s="18" t="s">
        <v>28</v>
      </c>
      <c r="N2993" s="17">
        <v>44748</v>
      </c>
      <c r="O2993" s="15" t="s">
        <v>73</v>
      </c>
      <c r="P2993" s="16" t="s">
        <v>10052</v>
      </c>
      <c r="Q2993" s="15" t="s">
        <v>37</v>
      </c>
      <c r="R2993" s="13" t="str">
        <f>HYPERLINK("https://my.pitchbook.com?c=198850-15T","View Company Online")</f>
        <v>View Company Online</v>
      </c>
    </row>
    <row r="2994" spans="1:18" hidden="1" x14ac:dyDescent="0.3">
      <c r="A2994" s="9" t="s">
        <v>10053</v>
      </c>
      <c r="B2994" s="9" t="s">
        <v>10054</v>
      </c>
      <c r="C2994" s="11" t="s">
        <v>28</v>
      </c>
      <c r="D2994" s="9" t="s">
        <v>10055</v>
      </c>
      <c r="E2994" s="11" t="s">
        <v>28</v>
      </c>
      <c r="F2994" s="10" t="s">
        <v>28</v>
      </c>
      <c r="G2994" s="10" t="s">
        <v>28</v>
      </c>
      <c r="H2994" s="10" t="s">
        <v>28</v>
      </c>
      <c r="I2994" s="11" t="s">
        <v>28</v>
      </c>
      <c r="J2994" s="11" t="s">
        <v>28</v>
      </c>
      <c r="K2994" s="11" t="s">
        <v>28</v>
      </c>
      <c r="L2994" s="11" t="s">
        <v>28</v>
      </c>
      <c r="M2994" s="11" t="s">
        <v>28</v>
      </c>
      <c r="N2994" s="8">
        <v>44747</v>
      </c>
      <c r="O2994" s="9" t="s">
        <v>30</v>
      </c>
      <c r="P2994" s="12" t="s">
        <v>10056</v>
      </c>
      <c r="Q2994" s="9" t="s">
        <v>37</v>
      </c>
      <c r="R2994" s="14" t="str">
        <f>HYPERLINK("https://my.pitchbook.com?c=198763-12T","View Company Online")</f>
        <v>View Company Online</v>
      </c>
    </row>
    <row r="2995" spans="1:18" hidden="1" x14ac:dyDescent="0.3">
      <c r="A2995" s="15" t="s">
        <v>10057</v>
      </c>
      <c r="B2995" s="15" t="s">
        <v>10058</v>
      </c>
      <c r="C2995" s="18" t="s">
        <v>28</v>
      </c>
      <c r="D2995" s="15" t="s">
        <v>10059</v>
      </c>
      <c r="E2995" s="18" t="s">
        <v>28</v>
      </c>
      <c r="F2995" s="19" t="s">
        <v>28</v>
      </c>
      <c r="G2995" s="19" t="s">
        <v>28</v>
      </c>
      <c r="H2995" s="19" t="s">
        <v>28</v>
      </c>
      <c r="I2995" s="18" t="s">
        <v>28</v>
      </c>
      <c r="J2995" s="18" t="s">
        <v>28</v>
      </c>
      <c r="K2995" s="18" t="s">
        <v>28</v>
      </c>
      <c r="L2995" s="18" t="s">
        <v>28</v>
      </c>
      <c r="M2995" s="18" t="s">
        <v>28</v>
      </c>
      <c r="N2995" s="17">
        <v>44747</v>
      </c>
      <c r="O2995" s="15" t="s">
        <v>41</v>
      </c>
      <c r="P2995" s="16" t="s">
        <v>10060</v>
      </c>
      <c r="Q2995" s="15" t="s">
        <v>136</v>
      </c>
      <c r="R2995" s="13" t="str">
        <f>HYPERLINK("https://my.pitchbook.com?c=201638-62T","View Company Online")</f>
        <v>View Company Online</v>
      </c>
    </row>
    <row r="2996" spans="1:18" hidden="1" x14ac:dyDescent="0.3">
      <c r="A2996" s="9" t="s">
        <v>10061</v>
      </c>
      <c r="B2996" s="9" t="s">
        <v>10062</v>
      </c>
      <c r="C2996" s="11" t="s">
        <v>28</v>
      </c>
      <c r="D2996" s="9" t="s">
        <v>10063</v>
      </c>
      <c r="E2996" s="11" t="s">
        <v>28</v>
      </c>
      <c r="F2996" s="10">
        <v>99.58</v>
      </c>
      <c r="G2996" s="10">
        <v>99.58</v>
      </c>
      <c r="H2996" s="10">
        <v>99.58</v>
      </c>
      <c r="I2996" s="11" t="s">
        <v>28</v>
      </c>
      <c r="J2996" s="11" t="s">
        <v>28</v>
      </c>
      <c r="K2996" s="11" t="s">
        <v>28</v>
      </c>
      <c r="L2996" s="11" t="s">
        <v>28</v>
      </c>
      <c r="M2996" s="11" t="s">
        <v>28</v>
      </c>
      <c r="N2996" s="8">
        <v>44747</v>
      </c>
      <c r="O2996" s="9" t="s">
        <v>30</v>
      </c>
      <c r="P2996" s="12" t="s">
        <v>5374</v>
      </c>
      <c r="Q2996" s="9" t="s">
        <v>409</v>
      </c>
      <c r="R2996" s="14" t="str">
        <f>HYPERLINK("https://my.pitchbook.com?c=183536-47T","View Company Online")</f>
        <v>View Company Online</v>
      </c>
    </row>
    <row r="2997" spans="1:18" hidden="1" x14ac:dyDescent="0.3">
      <c r="A2997" s="15" t="s">
        <v>10064</v>
      </c>
      <c r="B2997" s="15" t="s">
        <v>1470</v>
      </c>
      <c r="C2997" s="18" t="s">
        <v>28</v>
      </c>
      <c r="D2997" s="15" t="s">
        <v>1471</v>
      </c>
      <c r="E2997" s="18" t="s">
        <v>28</v>
      </c>
      <c r="F2997" s="19" t="s">
        <v>28</v>
      </c>
      <c r="G2997" s="19">
        <v>1.95</v>
      </c>
      <c r="H2997" s="19" t="s">
        <v>28</v>
      </c>
      <c r="I2997" s="18" t="s">
        <v>28</v>
      </c>
      <c r="J2997" s="18" t="s">
        <v>28</v>
      </c>
      <c r="K2997" s="18" t="s">
        <v>28</v>
      </c>
      <c r="L2997" s="18" t="s">
        <v>28</v>
      </c>
      <c r="M2997" s="18" t="s">
        <v>28</v>
      </c>
      <c r="N2997" s="17">
        <v>44747</v>
      </c>
      <c r="O2997" s="15" t="s">
        <v>73</v>
      </c>
      <c r="P2997" s="16" t="s">
        <v>10065</v>
      </c>
      <c r="Q2997" s="15" t="s">
        <v>136</v>
      </c>
      <c r="R2997" s="13" t="str">
        <f>HYPERLINK("https://my.pitchbook.com?c=198794-26T","View Company Online")</f>
        <v>View Company Online</v>
      </c>
    </row>
    <row r="2998" spans="1:18" hidden="1" x14ac:dyDescent="0.3">
      <c r="A2998" s="9" t="s">
        <v>10066</v>
      </c>
      <c r="B2998" s="9" t="s">
        <v>10067</v>
      </c>
      <c r="C2998" s="11" t="s">
        <v>28</v>
      </c>
      <c r="D2998" s="9" t="s">
        <v>10068</v>
      </c>
      <c r="E2998" s="11" t="s">
        <v>28</v>
      </c>
      <c r="F2998" s="10" t="s">
        <v>28</v>
      </c>
      <c r="G2998" s="10" t="s">
        <v>28</v>
      </c>
      <c r="H2998" s="10" t="s">
        <v>28</v>
      </c>
      <c r="I2998" s="11" t="s">
        <v>28</v>
      </c>
      <c r="J2998" s="11" t="s">
        <v>28</v>
      </c>
      <c r="K2998" s="11" t="s">
        <v>28</v>
      </c>
      <c r="L2998" s="11" t="s">
        <v>28</v>
      </c>
      <c r="M2998" s="11" t="s">
        <v>28</v>
      </c>
      <c r="N2998" s="8">
        <v>44746</v>
      </c>
      <c r="O2998" s="9" t="s">
        <v>30</v>
      </c>
      <c r="P2998" s="12" t="s">
        <v>10069</v>
      </c>
      <c r="Q2998" s="9" t="s">
        <v>95</v>
      </c>
      <c r="R2998" s="14" t="str">
        <f>HYPERLINK("https://my.pitchbook.com?c=258199-21T","View Company Online")</f>
        <v>View Company Online</v>
      </c>
    </row>
    <row r="2999" spans="1:18" hidden="1" x14ac:dyDescent="0.3">
      <c r="A2999" s="15" t="s">
        <v>10070</v>
      </c>
      <c r="B2999" s="15" t="s">
        <v>10071</v>
      </c>
      <c r="C2999" s="18" t="s">
        <v>28</v>
      </c>
      <c r="D2999" s="15" t="s">
        <v>10072</v>
      </c>
      <c r="E2999" s="18" t="s">
        <v>28</v>
      </c>
      <c r="F2999" s="19">
        <v>65.84</v>
      </c>
      <c r="G2999" s="19">
        <v>65.84</v>
      </c>
      <c r="H2999" s="19">
        <v>65.84</v>
      </c>
      <c r="I2999" s="18" t="s">
        <v>28</v>
      </c>
      <c r="J2999" s="18" t="s">
        <v>28</v>
      </c>
      <c r="K2999" s="18" t="s">
        <v>28</v>
      </c>
      <c r="L2999" s="18" t="s">
        <v>28</v>
      </c>
      <c r="M2999" s="18" t="s">
        <v>28</v>
      </c>
      <c r="N2999" s="17">
        <v>44746</v>
      </c>
      <c r="O2999" s="15" t="s">
        <v>30</v>
      </c>
      <c r="P2999" s="16" t="s">
        <v>10073</v>
      </c>
      <c r="Q2999" s="15" t="s">
        <v>5633</v>
      </c>
      <c r="R2999" s="13" t="str">
        <f>HYPERLINK("https://my.pitchbook.com?c=201463-30T","View Company Online")</f>
        <v>View Company Online</v>
      </c>
    </row>
    <row r="3000" spans="1:18" hidden="1" x14ac:dyDescent="0.3">
      <c r="A3000" s="9" t="s">
        <v>10074</v>
      </c>
      <c r="B3000" s="9" t="s">
        <v>10075</v>
      </c>
      <c r="C3000" s="11" t="s">
        <v>28</v>
      </c>
      <c r="D3000" s="9" t="s">
        <v>10076</v>
      </c>
      <c r="E3000" s="11" t="s">
        <v>28</v>
      </c>
      <c r="F3000" s="10" t="s">
        <v>28</v>
      </c>
      <c r="G3000" s="10" t="s">
        <v>28</v>
      </c>
      <c r="H3000" s="10" t="s">
        <v>28</v>
      </c>
      <c r="I3000" s="11" t="s">
        <v>28</v>
      </c>
      <c r="J3000" s="11" t="s">
        <v>28</v>
      </c>
      <c r="K3000" s="11" t="s">
        <v>28</v>
      </c>
      <c r="L3000" s="11" t="s">
        <v>28</v>
      </c>
      <c r="M3000" s="11" t="s">
        <v>28</v>
      </c>
      <c r="N3000" s="8">
        <v>44746</v>
      </c>
      <c r="O3000" s="9" t="s">
        <v>41</v>
      </c>
      <c r="P3000" s="12" t="s">
        <v>10077</v>
      </c>
      <c r="Q3000" s="9" t="s">
        <v>37</v>
      </c>
      <c r="R3000" s="14" t="str">
        <f>HYPERLINK("https://my.pitchbook.com?c=201168-01T","View Company Online")</f>
        <v>View Company Online</v>
      </c>
    </row>
    <row r="3001" spans="1:18" hidden="1" x14ac:dyDescent="0.3">
      <c r="A3001" s="15" t="s">
        <v>10078</v>
      </c>
      <c r="B3001" s="15" t="s">
        <v>8846</v>
      </c>
      <c r="C3001" s="18" t="s">
        <v>28</v>
      </c>
      <c r="D3001" s="15" t="s">
        <v>8847</v>
      </c>
      <c r="E3001" s="18" t="s">
        <v>28</v>
      </c>
      <c r="F3001" s="19" t="s">
        <v>28</v>
      </c>
      <c r="G3001" s="19">
        <v>19.59</v>
      </c>
      <c r="H3001" s="19" t="s">
        <v>28</v>
      </c>
      <c r="I3001" s="18" t="s">
        <v>28</v>
      </c>
      <c r="J3001" s="18" t="s">
        <v>28</v>
      </c>
      <c r="K3001" s="18" t="s">
        <v>28</v>
      </c>
      <c r="L3001" s="18" t="s">
        <v>28</v>
      </c>
      <c r="M3001" s="18" t="s">
        <v>28</v>
      </c>
      <c r="N3001" s="17">
        <v>44746</v>
      </c>
      <c r="O3001" s="15" t="s">
        <v>79</v>
      </c>
      <c r="P3001" s="16" t="s">
        <v>10079</v>
      </c>
      <c r="Q3001" s="15" t="s">
        <v>245</v>
      </c>
      <c r="R3001" s="13" t="str">
        <f>HYPERLINK("https://my.pitchbook.com?c=301100-86T","View Company Online")</f>
        <v>View Company Online</v>
      </c>
    </row>
    <row r="3002" spans="1:18" hidden="1" x14ac:dyDescent="0.3">
      <c r="A3002" s="9" t="s">
        <v>10080</v>
      </c>
      <c r="B3002" s="9" t="s">
        <v>10081</v>
      </c>
      <c r="C3002" s="11" t="s">
        <v>28</v>
      </c>
      <c r="D3002" s="9" t="s">
        <v>10082</v>
      </c>
      <c r="E3002" s="11" t="s">
        <v>28</v>
      </c>
      <c r="F3002" s="10" t="s">
        <v>28</v>
      </c>
      <c r="G3002" s="10" t="s">
        <v>28</v>
      </c>
      <c r="H3002" s="10" t="s">
        <v>28</v>
      </c>
      <c r="I3002" s="11" t="s">
        <v>28</v>
      </c>
      <c r="J3002" s="11" t="s">
        <v>28</v>
      </c>
      <c r="K3002" s="11" t="s">
        <v>28</v>
      </c>
      <c r="L3002" s="11" t="s">
        <v>28</v>
      </c>
      <c r="M3002" s="11" t="s">
        <v>28</v>
      </c>
      <c r="N3002" s="8">
        <v>44743</v>
      </c>
      <c r="O3002" s="9" t="s">
        <v>79</v>
      </c>
      <c r="P3002" s="12" t="s">
        <v>10083</v>
      </c>
      <c r="Q3002" s="9" t="s">
        <v>249</v>
      </c>
      <c r="R3002" s="14" t="str">
        <f>HYPERLINK("https://my.pitchbook.com?c=199277-20T","View Company Online")</f>
        <v>View Company Online</v>
      </c>
    </row>
    <row r="3003" spans="1:18" hidden="1" x14ac:dyDescent="0.3">
      <c r="A3003" s="15" t="s">
        <v>10084</v>
      </c>
      <c r="B3003" s="15" t="s">
        <v>10085</v>
      </c>
      <c r="C3003" s="18" t="s">
        <v>28</v>
      </c>
      <c r="D3003" s="15" t="s">
        <v>10086</v>
      </c>
      <c r="E3003" s="18" t="s">
        <v>28</v>
      </c>
      <c r="F3003" s="19" t="s">
        <v>28</v>
      </c>
      <c r="G3003" s="19" t="s">
        <v>28</v>
      </c>
      <c r="H3003" s="19" t="s">
        <v>28</v>
      </c>
      <c r="I3003" s="18" t="s">
        <v>28</v>
      </c>
      <c r="J3003" s="18" t="s">
        <v>28</v>
      </c>
      <c r="K3003" s="18" t="s">
        <v>28</v>
      </c>
      <c r="L3003" s="18" t="s">
        <v>28</v>
      </c>
      <c r="M3003" s="18" t="s">
        <v>28</v>
      </c>
      <c r="N3003" s="17">
        <v>44743</v>
      </c>
      <c r="O3003" s="15" t="s">
        <v>99</v>
      </c>
      <c r="P3003" s="16" t="s">
        <v>10087</v>
      </c>
      <c r="Q3003" s="15" t="s">
        <v>119</v>
      </c>
      <c r="R3003" s="13" t="str">
        <f>HYPERLINK("https://my.pitchbook.com?c=198711-46T","View Company Online")</f>
        <v>View Company Online</v>
      </c>
    </row>
    <row r="3004" spans="1:18" hidden="1" x14ac:dyDescent="0.3">
      <c r="A3004" s="9" t="s">
        <v>10088</v>
      </c>
      <c r="B3004" s="9" t="s">
        <v>6226</v>
      </c>
      <c r="C3004" s="11" t="s">
        <v>28</v>
      </c>
      <c r="D3004" s="9" t="s">
        <v>6227</v>
      </c>
      <c r="E3004" s="11" t="s">
        <v>28</v>
      </c>
      <c r="F3004" s="10" t="s">
        <v>28</v>
      </c>
      <c r="G3004" s="10" t="s">
        <v>28</v>
      </c>
      <c r="H3004" s="10" t="s">
        <v>28</v>
      </c>
      <c r="I3004" s="11" t="s">
        <v>28</v>
      </c>
      <c r="J3004" s="11" t="s">
        <v>28</v>
      </c>
      <c r="K3004" s="11">
        <v>0.97</v>
      </c>
      <c r="L3004" s="11" t="s">
        <v>28</v>
      </c>
      <c r="M3004" s="11" t="s">
        <v>28</v>
      </c>
      <c r="N3004" s="8">
        <v>44743</v>
      </c>
      <c r="O3004" s="9" t="s">
        <v>79</v>
      </c>
      <c r="P3004" s="12" t="s">
        <v>10089</v>
      </c>
      <c r="Q3004" s="9" t="s">
        <v>1853</v>
      </c>
      <c r="R3004" s="14" t="str">
        <f>HYPERLINK("https://my.pitchbook.com?c=194436-28T","View Company Online")</f>
        <v>View Company Online</v>
      </c>
    </row>
    <row r="3005" spans="1:18" hidden="1" x14ac:dyDescent="0.3">
      <c r="A3005" s="15" t="s">
        <v>10090</v>
      </c>
      <c r="B3005" s="15" t="s">
        <v>5722</v>
      </c>
      <c r="C3005" s="18" t="s">
        <v>28</v>
      </c>
      <c r="D3005" s="15" t="s">
        <v>5723</v>
      </c>
      <c r="E3005" s="18">
        <v>-36.03</v>
      </c>
      <c r="F3005" s="19" t="s">
        <v>28</v>
      </c>
      <c r="G3005" s="19">
        <v>79.680000000000007</v>
      </c>
      <c r="H3005" s="19" t="s">
        <v>28</v>
      </c>
      <c r="I3005" s="18">
        <v>3.2</v>
      </c>
      <c r="J3005" s="18" t="s">
        <v>28</v>
      </c>
      <c r="K3005" s="18">
        <v>211.15</v>
      </c>
      <c r="L3005" s="18" t="s">
        <v>28</v>
      </c>
      <c r="M3005" s="18">
        <v>-93.45</v>
      </c>
      <c r="N3005" s="17">
        <v>44743</v>
      </c>
      <c r="O3005" s="15" t="s">
        <v>423</v>
      </c>
      <c r="P3005" s="16" t="s">
        <v>28</v>
      </c>
      <c r="Q3005" s="15" t="s">
        <v>566</v>
      </c>
      <c r="R3005" s="13" t="str">
        <f>HYPERLINK("https://my.pitchbook.com?c=199049-23T","View Company Online")</f>
        <v>View Company Online</v>
      </c>
    </row>
    <row r="3006" spans="1:18" hidden="1" x14ac:dyDescent="0.3">
      <c r="A3006" s="9" t="s">
        <v>10091</v>
      </c>
      <c r="B3006" s="9" t="s">
        <v>10092</v>
      </c>
      <c r="C3006" s="11" t="s">
        <v>28</v>
      </c>
      <c r="D3006" s="9" t="s">
        <v>10093</v>
      </c>
      <c r="E3006" s="11" t="s">
        <v>28</v>
      </c>
      <c r="F3006" s="10" t="s">
        <v>28</v>
      </c>
      <c r="G3006" s="10" t="s">
        <v>28</v>
      </c>
      <c r="H3006" s="10" t="s">
        <v>28</v>
      </c>
      <c r="I3006" s="11" t="s">
        <v>28</v>
      </c>
      <c r="J3006" s="11" t="s">
        <v>28</v>
      </c>
      <c r="K3006" s="11" t="s">
        <v>28</v>
      </c>
      <c r="L3006" s="11" t="s">
        <v>28</v>
      </c>
      <c r="M3006" s="11" t="s">
        <v>28</v>
      </c>
      <c r="N3006" s="8">
        <v>44743</v>
      </c>
      <c r="O3006" s="9" t="s">
        <v>99</v>
      </c>
      <c r="P3006" s="12" t="s">
        <v>10094</v>
      </c>
      <c r="Q3006" s="9" t="s">
        <v>119</v>
      </c>
      <c r="R3006" s="14" t="str">
        <f>HYPERLINK("https://my.pitchbook.com?c=199555-66T","View Company Online")</f>
        <v>View Company Online</v>
      </c>
    </row>
    <row r="3007" spans="1:18" hidden="1" x14ac:dyDescent="0.3">
      <c r="A3007" s="15" t="s">
        <v>10095</v>
      </c>
      <c r="B3007" s="15" t="s">
        <v>8898</v>
      </c>
      <c r="C3007" s="18" t="s">
        <v>28</v>
      </c>
      <c r="D3007" s="15" t="s">
        <v>8899</v>
      </c>
      <c r="E3007" s="18" t="s">
        <v>28</v>
      </c>
      <c r="F3007" s="19" t="s">
        <v>28</v>
      </c>
      <c r="G3007" s="19" t="s">
        <v>28</v>
      </c>
      <c r="H3007" s="19" t="s">
        <v>28</v>
      </c>
      <c r="I3007" s="18" t="s">
        <v>28</v>
      </c>
      <c r="J3007" s="18" t="s">
        <v>28</v>
      </c>
      <c r="K3007" s="18" t="s">
        <v>28</v>
      </c>
      <c r="L3007" s="18" t="s">
        <v>28</v>
      </c>
      <c r="M3007" s="18" t="s">
        <v>28</v>
      </c>
      <c r="N3007" s="17">
        <v>44743</v>
      </c>
      <c r="O3007" s="15" t="s">
        <v>52</v>
      </c>
      <c r="P3007" s="16" t="s">
        <v>2830</v>
      </c>
      <c r="Q3007" s="15" t="s">
        <v>75</v>
      </c>
      <c r="R3007" s="13" t="str">
        <f>HYPERLINK("https://my.pitchbook.com?c=292859-02T","View Company Online")</f>
        <v>View Company Online</v>
      </c>
    </row>
    <row r="3008" spans="1:18" hidden="1" x14ac:dyDescent="0.3">
      <c r="A3008" s="9" t="s">
        <v>10096</v>
      </c>
      <c r="B3008" s="9" t="s">
        <v>10097</v>
      </c>
      <c r="C3008" s="11" t="s">
        <v>28</v>
      </c>
      <c r="D3008" s="9" t="s">
        <v>10098</v>
      </c>
      <c r="E3008" s="11" t="s">
        <v>28</v>
      </c>
      <c r="F3008" s="10" t="s">
        <v>28</v>
      </c>
      <c r="G3008" s="10" t="s">
        <v>28</v>
      </c>
      <c r="H3008" s="10" t="s">
        <v>28</v>
      </c>
      <c r="I3008" s="11" t="s">
        <v>28</v>
      </c>
      <c r="J3008" s="11" t="s">
        <v>28</v>
      </c>
      <c r="K3008" s="11" t="s">
        <v>28</v>
      </c>
      <c r="L3008" s="11" t="s">
        <v>28</v>
      </c>
      <c r="M3008" s="11" t="s">
        <v>28</v>
      </c>
      <c r="N3008" s="8">
        <v>44743</v>
      </c>
      <c r="O3008" s="9" t="s">
        <v>30</v>
      </c>
      <c r="P3008" s="12" t="s">
        <v>10099</v>
      </c>
      <c r="Q3008" s="9" t="s">
        <v>1853</v>
      </c>
      <c r="R3008" s="14" t="str">
        <f>HYPERLINK("https://my.pitchbook.com?c=210111-49T","View Company Online")</f>
        <v>View Company Online</v>
      </c>
    </row>
    <row r="3009" spans="1:18" hidden="1" x14ac:dyDescent="0.3">
      <c r="A3009" s="15" t="s">
        <v>10100</v>
      </c>
      <c r="B3009" s="15" t="s">
        <v>10101</v>
      </c>
      <c r="C3009" s="18" t="s">
        <v>28</v>
      </c>
      <c r="D3009" s="15" t="s">
        <v>10102</v>
      </c>
      <c r="E3009" s="18" t="s">
        <v>28</v>
      </c>
      <c r="F3009" s="19" t="s">
        <v>28</v>
      </c>
      <c r="G3009" s="19">
        <v>0.08</v>
      </c>
      <c r="H3009" s="19" t="s">
        <v>28</v>
      </c>
      <c r="I3009" s="18" t="s">
        <v>28</v>
      </c>
      <c r="J3009" s="18" t="s">
        <v>28</v>
      </c>
      <c r="K3009" s="18" t="s">
        <v>28</v>
      </c>
      <c r="L3009" s="18" t="s">
        <v>28</v>
      </c>
      <c r="M3009" s="18" t="s">
        <v>28</v>
      </c>
      <c r="N3009" s="17">
        <v>44743</v>
      </c>
      <c r="O3009" s="15" t="s">
        <v>99</v>
      </c>
      <c r="P3009" s="16" t="s">
        <v>10103</v>
      </c>
      <c r="Q3009" s="15" t="s">
        <v>75</v>
      </c>
      <c r="R3009" s="13" t="str">
        <f>HYPERLINK("https://my.pitchbook.com?c=200375-20T","View Company Online")</f>
        <v>View Company Online</v>
      </c>
    </row>
    <row r="3010" spans="1:18" hidden="1" x14ac:dyDescent="0.3">
      <c r="A3010" s="9" t="s">
        <v>10104</v>
      </c>
      <c r="B3010" s="9" t="s">
        <v>8047</v>
      </c>
      <c r="C3010" s="11" t="s">
        <v>28</v>
      </c>
      <c r="D3010" s="9" t="s">
        <v>8048</v>
      </c>
      <c r="E3010" s="11" t="s">
        <v>28</v>
      </c>
      <c r="F3010" s="10" t="s">
        <v>28</v>
      </c>
      <c r="G3010" s="10">
        <v>0.02</v>
      </c>
      <c r="H3010" s="10">
        <v>0.4</v>
      </c>
      <c r="I3010" s="11" t="s">
        <v>28</v>
      </c>
      <c r="J3010" s="11" t="s">
        <v>28</v>
      </c>
      <c r="K3010" s="11" t="s">
        <v>28</v>
      </c>
      <c r="L3010" s="11" t="s">
        <v>28</v>
      </c>
      <c r="M3010" s="11" t="s">
        <v>28</v>
      </c>
      <c r="N3010" s="8">
        <v>44743</v>
      </c>
      <c r="O3010" s="9" t="s">
        <v>79</v>
      </c>
      <c r="P3010" s="12" t="s">
        <v>10105</v>
      </c>
      <c r="Q3010" s="9" t="s">
        <v>37</v>
      </c>
      <c r="R3010" s="14" t="str">
        <f>HYPERLINK("https://my.pitchbook.com?c=166756-06T","View Company Online")</f>
        <v>View Company Online</v>
      </c>
    </row>
    <row r="3011" spans="1:18" hidden="1" x14ac:dyDescent="0.3">
      <c r="A3011" s="15" t="s">
        <v>10106</v>
      </c>
      <c r="B3011" s="15" t="s">
        <v>10107</v>
      </c>
      <c r="C3011" s="18" t="s">
        <v>28</v>
      </c>
      <c r="D3011" s="15" t="s">
        <v>10108</v>
      </c>
      <c r="E3011" s="18" t="s">
        <v>28</v>
      </c>
      <c r="F3011" s="19">
        <v>12.85</v>
      </c>
      <c r="G3011" s="19">
        <v>12.85</v>
      </c>
      <c r="H3011" s="19">
        <v>12.85</v>
      </c>
      <c r="I3011" s="18" t="s">
        <v>28</v>
      </c>
      <c r="J3011" s="18" t="s">
        <v>28</v>
      </c>
      <c r="K3011" s="18" t="s">
        <v>28</v>
      </c>
      <c r="L3011" s="18" t="s">
        <v>28</v>
      </c>
      <c r="M3011" s="18" t="s">
        <v>28</v>
      </c>
      <c r="N3011" s="17">
        <v>44743</v>
      </c>
      <c r="O3011" s="15" t="s">
        <v>30</v>
      </c>
      <c r="P3011" s="16" t="s">
        <v>10109</v>
      </c>
      <c r="Q3011" s="15" t="s">
        <v>2916</v>
      </c>
      <c r="R3011" s="13" t="str">
        <f>HYPERLINK("https://my.pitchbook.com?c=200880-10T","View Company Online")</f>
        <v>View Company Online</v>
      </c>
    </row>
    <row r="3012" spans="1:18" hidden="1" x14ac:dyDescent="0.3">
      <c r="A3012" s="9" t="s">
        <v>10110</v>
      </c>
      <c r="B3012" s="9" t="s">
        <v>10111</v>
      </c>
      <c r="C3012" s="11" t="s">
        <v>28</v>
      </c>
      <c r="D3012" s="9" t="s">
        <v>10112</v>
      </c>
      <c r="E3012" s="11" t="s">
        <v>28</v>
      </c>
      <c r="F3012" s="10" t="s">
        <v>28</v>
      </c>
      <c r="G3012" s="10">
        <v>1.19</v>
      </c>
      <c r="H3012" s="10" t="s">
        <v>28</v>
      </c>
      <c r="I3012" s="11" t="s">
        <v>28</v>
      </c>
      <c r="J3012" s="11" t="s">
        <v>28</v>
      </c>
      <c r="K3012" s="11" t="s">
        <v>28</v>
      </c>
      <c r="L3012" s="11" t="s">
        <v>28</v>
      </c>
      <c r="M3012" s="11" t="s">
        <v>28</v>
      </c>
      <c r="N3012" s="8">
        <v>44743</v>
      </c>
      <c r="O3012" s="9" t="s">
        <v>99</v>
      </c>
      <c r="P3012" s="12" t="s">
        <v>4568</v>
      </c>
      <c r="Q3012" s="9" t="s">
        <v>414</v>
      </c>
      <c r="R3012" s="14" t="str">
        <f>HYPERLINK("https://my.pitchbook.com?c=244278-46T","View Company Online")</f>
        <v>View Company Online</v>
      </c>
    </row>
    <row r="3013" spans="1:18" hidden="1" x14ac:dyDescent="0.3">
      <c r="A3013" s="15" t="s">
        <v>10113</v>
      </c>
      <c r="B3013" s="15" t="s">
        <v>10114</v>
      </c>
      <c r="C3013" s="18" t="s">
        <v>28</v>
      </c>
      <c r="D3013" s="15" t="s">
        <v>10115</v>
      </c>
      <c r="E3013" s="18" t="s">
        <v>28</v>
      </c>
      <c r="F3013" s="19" t="s">
        <v>28</v>
      </c>
      <c r="G3013" s="19" t="s">
        <v>28</v>
      </c>
      <c r="H3013" s="19" t="s">
        <v>28</v>
      </c>
      <c r="I3013" s="18" t="s">
        <v>28</v>
      </c>
      <c r="J3013" s="18" t="s">
        <v>28</v>
      </c>
      <c r="K3013" s="18" t="s">
        <v>28</v>
      </c>
      <c r="L3013" s="18" t="s">
        <v>28</v>
      </c>
      <c r="M3013" s="18" t="s">
        <v>28</v>
      </c>
      <c r="N3013" s="17">
        <v>44743</v>
      </c>
      <c r="O3013" s="15" t="s">
        <v>41</v>
      </c>
      <c r="P3013" s="16" t="s">
        <v>1711</v>
      </c>
      <c r="Q3013" s="15" t="s">
        <v>4710</v>
      </c>
      <c r="R3013" s="13" t="str">
        <f>HYPERLINK("https://my.pitchbook.com?c=255764-98T","View Company Online")</f>
        <v>View Company Online</v>
      </c>
    </row>
    <row r="3014" spans="1:18" hidden="1" x14ac:dyDescent="0.3">
      <c r="A3014" s="9" t="s">
        <v>10116</v>
      </c>
      <c r="B3014" s="9" t="s">
        <v>10117</v>
      </c>
      <c r="C3014" s="11" t="s">
        <v>28</v>
      </c>
      <c r="D3014" s="9" t="s">
        <v>10118</v>
      </c>
      <c r="E3014" s="11" t="s">
        <v>28</v>
      </c>
      <c r="F3014" s="10" t="s">
        <v>28</v>
      </c>
      <c r="G3014" s="10" t="s">
        <v>28</v>
      </c>
      <c r="H3014" s="10" t="s">
        <v>28</v>
      </c>
      <c r="I3014" s="11" t="s">
        <v>28</v>
      </c>
      <c r="J3014" s="11" t="s">
        <v>28</v>
      </c>
      <c r="K3014" s="11" t="s">
        <v>28</v>
      </c>
      <c r="L3014" s="11" t="s">
        <v>28</v>
      </c>
      <c r="M3014" s="11" t="s">
        <v>28</v>
      </c>
      <c r="N3014" s="8">
        <v>44743</v>
      </c>
      <c r="O3014" s="9" t="s">
        <v>73</v>
      </c>
      <c r="P3014" s="12" t="s">
        <v>611</v>
      </c>
      <c r="Q3014" s="9" t="s">
        <v>386</v>
      </c>
      <c r="R3014" s="14" t="str">
        <f>HYPERLINK("https://my.pitchbook.com?c=220183-12T","View Company Online")</f>
        <v>View Company Online</v>
      </c>
    </row>
    <row r="3015" spans="1:18" hidden="1" x14ac:dyDescent="0.3">
      <c r="A3015" s="15" t="s">
        <v>10119</v>
      </c>
      <c r="B3015" s="15" t="s">
        <v>4433</v>
      </c>
      <c r="C3015" s="18" t="s">
        <v>28</v>
      </c>
      <c r="D3015" s="15" t="s">
        <v>10120</v>
      </c>
      <c r="E3015" s="18" t="s">
        <v>28</v>
      </c>
      <c r="F3015" s="19">
        <v>58.4</v>
      </c>
      <c r="G3015" s="19">
        <v>29.2</v>
      </c>
      <c r="H3015" s="19">
        <v>58.4</v>
      </c>
      <c r="I3015" s="18" t="s">
        <v>28</v>
      </c>
      <c r="J3015" s="18" t="s">
        <v>28</v>
      </c>
      <c r="K3015" s="18" t="s">
        <v>28</v>
      </c>
      <c r="L3015" s="18" t="s">
        <v>28</v>
      </c>
      <c r="M3015" s="18">
        <v>1.1499999999999999</v>
      </c>
      <c r="N3015" s="17">
        <v>44743</v>
      </c>
      <c r="O3015" s="15" t="s">
        <v>30</v>
      </c>
      <c r="P3015" s="16" t="s">
        <v>2216</v>
      </c>
      <c r="Q3015" s="15" t="s">
        <v>174</v>
      </c>
      <c r="R3015" s="13" t="str">
        <f>HYPERLINK("https://my.pitchbook.com?c=195941-71T","View Company Online")</f>
        <v>View Company Online</v>
      </c>
    </row>
    <row r="3016" spans="1:18" hidden="1" x14ac:dyDescent="0.3">
      <c r="A3016" s="9" t="s">
        <v>10121</v>
      </c>
      <c r="B3016" s="9" t="s">
        <v>10122</v>
      </c>
      <c r="C3016" s="11" t="s">
        <v>28</v>
      </c>
      <c r="D3016" s="9" t="s">
        <v>10123</v>
      </c>
      <c r="E3016" s="11" t="s">
        <v>28</v>
      </c>
      <c r="F3016" s="10" t="s">
        <v>28</v>
      </c>
      <c r="G3016" s="10" t="s">
        <v>28</v>
      </c>
      <c r="H3016" s="10" t="s">
        <v>28</v>
      </c>
      <c r="I3016" s="11" t="s">
        <v>28</v>
      </c>
      <c r="J3016" s="11" t="s">
        <v>28</v>
      </c>
      <c r="K3016" s="11" t="s">
        <v>28</v>
      </c>
      <c r="L3016" s="11" t="s">
        <v>28</v>
      </c>
      <c r="M3016" s="11" t="s">
        <v>28</v>
      </c>
      <c r="N3016" s="8">
        <v>44743</v>
      </c>
      <c r="O3016" s="9" t="s">
        <v>30</v>
      </c>
      <c r="P3016" s="12" t="s">
        <v>28</v>
      </c>
      <c r="Q3016" s="9" t="s">
        <v>240</v>
      </c>
      <c r="R3016" s="14" t="str">
        <f>HYPERLINK("https://my.pitchbook.com?c=214936-39T","View Company Online")</f>
        <v>View Company Online</v>
      </c>
    </row>
    <row r="3017" spans="1:18" hidden="1" x14ac:dyDescent="0.3">
      <c r="A3017" s="15" t="s">
        <v>10124</v>
      </c>
      <c r="B3017" s="15" t="s">
        <v>10125</v>
      </c>
      <c r="C3017" s="18" t="s">
        <v>28</v>
      </c>
      <c r="D3017" s="15" t="s">
        <v>10126</v>
      </c>
      <c r="E3017" s="18" t="s">
        <v>28</v>
      </c>
      <c r="F3017" s="19" t="s">
        <v>28</v>
      </c>
      <c r="G3017" s="19" t="s">
        <v>28</v>
      </c>
      <c r="H3017" s="19" t="s">
        <v>28</v>
      </c>
      <c r="I3017" s="18" t="s">
        <v>28</v>
      </c>
      <c r="J3017" s="18" t="s">
        <v>28</v>
      </c>
      <c r="K3017" s="18" t="s">
        <v>28</v>
      </c>
      <c r="L3017" s="18" t="s">
        <v>28</v>
      </c>
      <c r="M3017" s="18" t="s">
        <v>28</v>
      </c>
      <c r="N3017" s="17">
        <v>44743</v>
      </c>
      <c r="O3017" s="15" t="s">
        <v>30</v>
      </c>
      <c r="P3017" s="16" t="s">
        <v>5444</v>
      </c>
      <c r="Q3017" s="15" t="s">
        <v>95</v>
      </c>
      <c r="R3017" s="13" t="str">
        <f>HYPERLINK("https://my.pitchbook.com?c=199428-04T","View Company Online")</f>
        <v>View Company Online</v>
      </c>
    </row>
    <row r="3018" spans="1:18" hidden="1" x14ac:dyDescent="0.3">
      <c r="A3018" s="9" t="s">
        <v>10127</v>
      </c>
      <c r="B3018" s="9" t="s">
        <v>10128</v>
      </c>
      <c r="C3018" s="11" t="s">
        <v>28</v>
      </c>
      <c r="D3018" s="9" t="s">
        <v>10129</v>
      </c>
      <c r="E3018" s="11" t="s">
        <v>28</v>
      </c>
      <c r="F3018" s="10" t="s">
        <v>28</v>
      </c>
      <c r="G3018" s="10" t="s">
        <v>28</v>
      </c>
      <c r="H3018" s="10" t="s">
        <v>28</v>
      </c>
      <c r="I3018" s="11" t="s">
        <v>28</v>
      </c>
      <c r="J3018" s="11" t="s">
        <v>28</v>
      </c>
      <c r="K3018" s="11" t="s">
        <v>28</v>
      </c>
      <c r="L3018" s="11" t="s">
        <v>28</v>
      </c>
      <c r="M3018" s="11" t="s">
        <v>28</v>
      </c>
      <c r="N3018" s="8">
        <v>44743</v>
      </c>
      <c r="O3018" s="9" t="s">
        <v>73</v>
      </c>
      <c r="P3018" s="12" t="s">
        <v>10130</v>
      </c>
      <c r="Q3018" s="9" t="s">
        <v>348</v>
      </c>
      <c r="R3018" s="14" t="str">
        <f>HYPERLINK("https://my.pitchbook.com?c=199171-90T","View Company Online")</f>
        <v>View Company Online</v>
      </c>
    </row>
    <row r="3019" spans="1:18" hidden="1" x14ac:dyDescent="0.3">
      <c r="A3019" s="15" t="s">
        <v>10131</v>
      </c>
      <c r="B3019" s="15" t="s">
        <v>10132</v>
      </c>
      <c r="C3019" s="18" t="s">
        <v>28</v>
      </c>
      <c r="D3019" s="15" t="s">
        <v>10133</v>
      </c>
      <c r="E3019" s="18" t="s">
        <v>28</v>
      </c>
      <c r="F3019" s="19" t="s">
        <v>28</v>
      </c>
      <c r="G3019" s="19" t="s">
        <v>28</v>
      </c>
      <c r="H3019" s="19" t="s">
        <v>28</v>
      </c>
      <c r="I3019" s="18" t="s">
        <v>28</v>
      </c>
      <c r="J3019" s="18" t="s">
        <v>28</v>
      </c>
      <c r="K3019" s="18" t="s">
        <v>28</v>
      </c>
      <c r="L3019" s="18" t="s">
        <v>28</v>
      </c>
      <c r="M3019" s="18" t="s">
        <v>28</v>
      </c>
      <c r="N3019" s="17">
        <v>44743</v>
      </c>
      <c r="O3019" s="15" t="s">
        <v>73</v>
      </c>
      <c r="P3019" s="16" t="s">
        <v>611</v>
      </c>
      <c r="Q3019" s="15" t="s">
        <v>75</v>
      </c>
      <c r="R3019" s="13" t="str">
        <f>HYPERLINK("https://my.pitchbook.com?c=215854-21T","View Company Online")</f>
        <v>View Company Online</v>
      </c>
    </row>
    <row r="3020" spans="1:18" hidden="1" x14ac:dyDescent="0.3">
      <c r="A3020" s="9" t="s">
        <v>10134</v>
      </c>
      <c r="B3020" s="9" t="s">
        <v>4505</v>
      </c>
      <c r="C3020" s="11" t="s">
        <v>28</v>
      </c>
      <c r="D3020" s="9" t="s">
        <v>4506</v>
      </c>
      <c r="E3020" s="11" t="s">
        <v>28</v>
      </c>
      <c r="F3020" s="10" t="s">
        <v>28</v>
      </c>
      <c r="G3020" s="10">
        <v>4.46</v>
      </c>
      <c r="H3020" s="10">
        <v>44.6</v>
      </c>
      <c r="I3020" s="11" t="s">
        <v>28</v>
      </c>
      <c r="J3020" s="11" t="s">
        <v>28</v>
      </c>
      <c r="K3020" s="11" t="s">
        <v>28</v>
      </c>
      <c r="L3020" s="11" t="s">
        <v>28</v>
      </c>
      <c r="M3020" s="11" t="s">
        <v>28</v>
      </c>
      <c r="N3020" s="8">
        <v>44742</v>
      </c>
      <c r="O3020" s="9" t="s">
        <v>73</v>
      </c>
      <c r="P3020" s="12" t="s">
        <v>10135</v>
      </c>
      <c r="Q3020" s="9" t="s">
        <v>37</v>
      </c>
      <c r="R3020" s="14" t="str">
        <f>HYPERLINK("https://my.pitchbook.com?c=200286-37T","View Company Online")</f>
        <v>View Company Online</v>
      </c>
    </row>
    <row r="3021" spans="1:18" hidden="1" x14ac:dyDescent="0.3">
      <c r="A3021" s="15" t="s">
        <v>10136</v>
      </c>
      <c r="B3021" s="15" t="s">
        <v>3192</v>
      </c>
      <c r="C3021" s="18" t="s">
        <v>28</v>
      </c>
      <c r="D3021" s="15" t="s">
        <v>3193</v>
      </c>
      <c r="E3021" s="18" t="s">
        <v>28</v>
      </c>
      <c r="F3021" s="19" t="s">
        <v>28</v>
      </c>
      <c r="G3021" s="19" t="s">
        <v>28</v>
      </c>
      <c r="H3021" s="19" t="s">
        <v>28</v>
      </c>
      <c r="I3021" s="18" t="s">
        <v>28</v>
      </c>
      <c r="J3021" s="18" t="s">
        <v>28</v>
      </c>
      <c r="K3021" s="18" t="s">
        <v>28</v>
      </c>
      <c r="L3021" s="18" t="s">
        <v>28</v>
      </c>
      <c r="M3021" s="18" t="s">
        <v>28</v>
      </c>
      <c r="N3021" s="17">
        <v>44742</v>
      </c>
      <c r="O3021" s="15" t="s">
        <v>52</v>
      </c>
      <c r="P3021" s="16" t="s">
        <v>2498</v>
      </c>
      <c r="Q3021" s="15" t="s">
        <v>114</v>
      </c>
      <c r="R3021" s="13" t="str">
        <f>HYPERLINK("https://my.pitchbook.com?c=264250-63T","View Company Online")</f>
        <v>View Company Online</v>
      </c>
    </row>
    <row r="3022" spans="1:18" hidden="1" x14ac:dyDescent="0.3">
      <c r="A3022" s="9" t="s">
        <v>10137</v>
      </c>
      <c r="B3022" s="9" t="s">
        <v>7867</v>
      </c>
      <c r="C3022" s="11" t="s">
        <v>28</v>
      </c>
      <c r="D3022" s="9" t="s">
        <v>7868</v>
      </c>
      <c r="E3022" s="11" t="s">
        <v>28</v>
      </c>
      <c r="F3022" s="10" t="s">
        <v>28</v>
      </c>
      <c r="G3022" s="10" t="s">
        <v>28</v>
      </c>
      <c r="H3022" s="10" t="s">
        <v>28</v>
      </c>
      <c r="I3022" s="11" t="s">
        <v>28</v>
      </c>
      <c r="J3022" s="11" t="s">
        <v>28</v>
      </c>
      <c r="K3022" s="11" t="s">
        <v>28</v>
      </c>
      <c r="L3022" s="11" t="s">
        <v>28</v>
      </c>
      <c r="M3022" s="11" t="s">
        <v>28</v>
      </c>
      <c r="N3022" s="8">
        <v>44742</v>
      </c>
      <c r="O3022" s="9" t="s">
        <v>52</v>
      </c>
      <c r="P3022" s="12" t="s">
        <v>1880</v>
      </c>
      <c r="Q3022" s="9" t="s">
        <v>75</v>
      </c>
      <c r="R3022" s="14" t="str">
        <f>HYPERLINK("https://my.pitchbook.com?c=264255-85T","View Company Online")</f>
        <v>View Company Online</v>
      </c>
    </row>
    <row r="3023" spans="1:18" hidden="1" x14ac:dyDescent="0.3">
      <c r="A3023" s="15" t="s">
        <v>10138</v>
      </c>
      <c r="B3023" s="15" t="s">
        <v>5031</v>
      </c>
      <c r="C3023" s="18" t="s">
        <v>28</v>
      </c>
      <c r="D3023" s="15" t="s">
        <v>5032</v>
      </c>
      <c r="E3023" s="18" t="s">
        <v>28</v>
      </c>
      <c r="F3023" s="19" t="s">
        <v>28</v>
      </c>
      <c r="G3023" s="19">
        <v>40</v>
      </c>
      <c r="H3023" s="19" t="s">
        <v>28</v>
      </c>
      <c r="I3023" s="18" t="s">
        <v>28</v>
      </c>
      <c r="J3023" s="18" t="s">
        <v>28</v>
      </c>
      <c r="K3023" s="18">
        <v>2</v>
      </c>
      <c r="L3023" s="18" t="s">
        <v>28</v>
      </c>
      <c r="M3023" s="18" t="s">
        <v>28</v>
      </c>
      <c r="N3023" s="17">
        <v>44742</v>
      </c>
      <c r="O3023" s="15" t="s">
        <v>73</v>
      </c>
      <c r="P3023" s="16" t="s">
        <v>10139</v>
      </c>
      <c r="Q3023" s="15" t="s">
        <v>85</v>
      </c>
      <c r="R3023" s="13" t="str">
        <f>HYPERLINK("https://my.pitchbook.com?c=179508-88T","View Company Online")</f>
        <v>View Company Online</v>
      </c>
    </row>
    <row r="3024" spans="1:18" hidden="1" x14ac:dyDescent="0.3">
      <c r="A3024" s="9" t="s">
        <v>10140</v>
      </c>
      <c r="B3024" s="9" t="s">
        <v>10141</v>
      </c>
      <c r="C3024" s="11" t="s">
        <v>28</v>
      </c>
      <c r="D3024" s="9" t="s">
        <v>10142</v>
      </c>
      <c r="E3024" s="11" t="s">
        <v>28</v>
      </c>
      <c r="F3024" s="10" t="s">
        <v>28</v>
      </c>
      <c r="G3024" s="10">
        <v>9.92</v>
      </c>
      <c r="H3024" s="10">
        <v>49.62</v>
      </c>
      <c r="I3024" s="11" t="s">
        <v>28</v>
      </c>
      <c r="J3024" s="11" t="s">
        <v>28</v>
      </c>
      <c r="K3024" s="11" t="s">
        <v>28</v>
      </c>
      <c r="L3024" s="11" t="s">
        <v>28</v>
      </c>
      <c r="M3024" s="11" t="s">
        <v>28</v>
      </c>
      <c r="N3024" s="8">
        <v>44742</v>
      </c>
      <c r="O3024" s="9" t="s">
        <v>73</v>
      </c>
      <c r="P3024" s="12" t="s">
        <v>10143</v>
      </c>
      <c r="Q3024" s="9" t="s">
        <v>37</v>
      </c>
      <c r="R3024" s="14" t="str">
        <f>HYPERLINK("https://my.pitchbook.com?c=204759-73T","View Company Online")</f>
        <v>View Company Online</v>
      </c>
    </row>
    <row r="3025" spans="1:18" hidden="1" x14ac:dyDescent="0.3">
      <c r="A3025" s="15" t="s">
        <v>10144</v>
      </c>
      <c r="B3025" s="15" t="s">
        <v>10145</v>
      </c>
      <c r="C3025" s="18" t="s">
        <v>28</v>
      </c>
      <c r="D3025" s="15" t="s">
        <v>10146</v>
      </c>
      <c r="E3025" s="18" t="s">
        <v>28</v>
      </c>
      <c r="F3025" s="19" t="s">
        <v>28</v>
      </c>
      <c r="G3025" s="19" t="s">
        <v>28</v>
      </c>
      <c r="H3025" s="19" t="s">
        <v>28</v>
      </c>
      <c r="I3025" s="18" t="s">
        <v>28</v>
      </c>
      <c r="J3025" s="18" t="s">
        <v>28</v>
      </c>
      <c r="K3025" s="18" t="s">
        <v>28</v>
      </c>
      <c r="L3025" s="18" t="s">
        <v>28</v>
      </c>
      <c r="M3025" s="18" t="s">
        <v>28</v>
      </c>
      <c r="N3025" s="17">
        <v>44742</v>
      </c>
      <c r="O3025" s="15" t="s">
        <v>30</v>
      </c>
      <c r="P3025" s="16" t="s">
        <v>5140</v>
      </c>
      <c r="Q3025" s="15" t="s">
        <v>226</v>
      </c>
      <c r="R3025" s="13" t="str">
        <f>HYPERLINK("https://my.pitchbook.com?c=192079-09T","View Company Online")</f>
        <v>View Company Online</v>
      </c>
    </row>
    <row r="3026" spans="1:18" hidden="1" x14ac:dyDescent="0.3">
      <c r="A3026" s="9" t="s">
        <v>10147</v>
      </c>
      <c r="B3026" s="9" t="s">
        <v>10148</v>
      </c>
      <c r="C3026" s="11" t="s">
        <v>28</v>
      </c>
      <c r="D3026" s="9" t="s">
        <v>10149</v>
      </c>
      <c r="E3026" s="11" t="s">
        <v>28</v>
      </c>
      <c r="F3026" s="10" t="s">
        <v>28</v>
      </c>
      <c r="G3026" s="10" t="s">
        <v>28</v>
      </c>
      <c r="H3026" s="10" t="s">
        <v>28</v>
      </c>
      <c r="I3026" s="11" t="s">
        <v>28</v>
      </c>
      <c r="J3026" s="11" t="s">
        <v>28</v>
      </c>
      <c r="K3026" s="11" t="s">
        <v>28</v>
      </c>
      <c r="L3026" s="11" t="s">
        <v>28</v>
      </c>
      <c r="M3026" s="11" t="s">
        <v>28</v>
      </c>
      <c r="N3026" s="8">
        <v>44742</v>
      </c>
      <c r="O3026" s="9" t="s">
        <v>30</v>
      </c>
      <c r="P3026" s="12" t="s">
        <v>10150</v>
      </c>
      <c r="Q3026" s="9" t="s">
        <v>245</v>
      </c>
      <c r="R3026" s="14" t="str">
        <f>HYPERLINK("https://my.pitchbook.com?c=209519-56T","View Company Online")</f>
        <v>View Company Online</v>
      </c>
    </row>
    <row r="3027" spans="1:18" hidden="1" x14ac:dyDescent="0.3">
      <c r="A3027" s="15" t="s">
        <v>10151</v>
      </c>
      <c r="B3027" s="15" t="s">
        <v>10152</v>
      </c>
      <c r="C3027" s="18" t="s">
        <v>28</v>
      </c>
      <c r="D3027" s="15" t="s">
        <v>10153</v>
      </c>
      <c r="E3027" s="18" t="s">
        <v>28</v>
      </c>
      <c r="F3027" s="19" t="s">
        <v>28</v>
      </c>
      <c r="G3027" s="19" t="s">
        <v>28</v>
      </c>
      <c r="H3027" s="19" t="s">
        <v>28</v>
      </c>
      <c r="I3027" s="18" t="s">
        <v>28</v>
      </c>
      <c r="J3027" s="18" t="s">
        <v>28</v>
      </c>
      <c r="K3027" s="18" t="s">
        <v>28</v>
      </c>
      <c r="L3027" s="18" t="s">
        <v>28</v>
      </c>
      <c r="M3027" s="18" t="s">
        <v>28</v>
      </c>
      <c r="N3027" s="17">
        <v>44742</v>
      </c>
      <c r="O3027" s="15" t="s">
        <v>79</v>
      </c>
      <c r="P3027" s="16" t="s">
        <v>10154</v>
      </c>
      <c r="Q3027" s="15" t="s">
        <v>75</v>
      </c>
      <c r="R3027" s="13" t="str">
        <f>HYPERLINK("https://my.pitchbook.com?c=197303-14T","View Company Online")</f>
        <v>View Company Online</v>
      </c>
    </row>
    <row r="3028" spans="1:18" hidden="1" x14ac:dyDescent="0.3">
      <c r="A3028" s="9" t="s">
        <v>10155</v>
      </c>
      <c r="B3028" s="9" t="s">
        <v>6394</v>
      </c>
      <c r="C3028" s="11" t="s">
        <v>28</v>
      </c>
      <c r="D3028" s="9" t="s">
        <v>6395</v>
      </c>
      <c r="E3028" s="11" t="s">
        <v>28</v>
      </c>
      <c r="F3028" s="10" t="s">
        <v>28</v>
      </c>
      <c r="G3028" s="10" t="s">
        <v>28</v>
      </c>
      <c r="H3028" s="10" t="s">
        <v>28</v>
      </c>
      <c r="I3028" s="11" t="s">
        <v>28</v>
      </c>
      <c r="J3028" s="11" t="s">
        <v>28</v>
      </c>
      <c r="K3028" s="11" t="s">
        <v>28</v>
      </c>
      <c r="L3028" s="11" t="s">
        <v>28</v>
      </c>
      <c r="M3028" s="11" t="s">
        <v>28</v>
      </c>
      <c r="N3028" s="8">
        <v>44741</v>
      </c>
      <c r="O3028" s="9" t="s">
        <v>52</v>
      </c>
      <c r="P3028" s="12" t="s">
        <v>4338</v>
      </c>
      <c r="Q3028" s="9" t="s">
        <v>245</v>
      </c>
      <c r="R3028" s="14" t="str">
        <f>HYPERLINK("https://my.pitchbook.com?c=295581-07T","View Company Online")</f>
        <v>View Company Online</v>
      </c>
    </row>
    <row r="3029" spans="1:18" hidden="1" x14ac:dyDescent="0.3">
      <c r="A3029" s="15" t="s">
        <v>10156</v>
      </c>
      <c r="B3029" s="15" t="s">
        <v>5911</v>
      </c>
      <c r="C3029" s="18" t="s">
        <v>28</v>
      </c>
      <c r="D3029" s="15" t="s">
        <v>5912</v>
      </c>
      <c r="E3029" s="18" t="s">
        <v>28</v>
      </c>
      <c r="F3029" s="19" t="s">
        <v>28</v>
      </c>
      <c r="G3029" s="19">
        <v>0.8</v>
      </c>
      <c r="H3029" s="19" t="s">
        <v>28</v>
      </c>
      <c r="I3029" s="18" t="s">
        <v>28</v>
      </c>
      <c r="J3029" s="18" t="s">
        <v>28</v>
      </c>
      <c r="K3029" s="18" t="s">
        <v>28</v>
      </c>
      <c r="L3029" s="18" t="s">
        <v>28</v>
      </c>
      <c r="M3029" s="18" t="s">
        <v>28</v>
      </c>
      <c r="N3029" s="17">
        <v>44741</v>
      </c>
      <c r="O3029" s="15" t="s">
        <v>99</v>
      </c>
      <c r="P3029" s="16" t="s">
        <v>10157</v>
      </c>
      <c r="Q3029" s="15" t="s">
        <v>75</v>
      </c>
      <c r="R3029" s="13" t="str">
        <f>HYPERLINK("https://my.pitchbook.com?c=186445-90T","View Company Online")</f>
        <v>View Company Online</v>
      </c>
    </row>
    <row r="3030" spans="1:18" hidden="1" x14ac:dyDescent="0.3">
      <c r="A3030" s="9" t="s">
        <v>10158</v>
      </c>
      <c r="B3030" s="9" t="s">
        <v>10159</v>
      </c>
      <c r="C3030" s="11" t="s">
        <v>28</v>
      </c>
      <c r="D3030" s="9" t="s">
        <v>10160</v>
      </c>
      <c r="E3030" s="11" t="s">
        <v>28</v>
      </c>
      <c r="F3030" s="10" t="s">
        <v>28</v>
      </c>
      <c r="G3030" s="10" t="s">
        <v>28</v>
      </c>
      <c r="H3030" s="10" t="s">
        <v>28</v>
      </c>
      <c r="I3030" s="11" t="s">
        <v>28</v>
      </c>
      <c r="J3030" s="11" t="s">
        <v>28</v>
      </c>
      <c r="K3030" s="11" t="s">
        <v>28</v>
      </c>
      <c r="L3030" s="11" t="s">
        <v>28</v>
      </c>
      <c r="M3030" s="11" t="s">
        <v>28</v>
      </c>
      <c r="N3030" s="8">
        <v>44741</v>
      </c>
      <c r="O3030" s="9" t="s">
        <v>41</v>
      </c>
      <c r="P3030" s="12" t="s">
        <v>10161</v>
      </c>
      <c r="Q3030" s="9" t="s">
        <v>959</v>
      </c>
      <c r="R3030" s="14" t="str">
        <f>HYPERLINK("https://my.pitchbook.com?c=197243-83T","View Company Online")</f>
        <v>View Company Online</v>
      </c>
    </row>
    <row r="3031" spans="1:18" hidden="1" x14ac:dyDescent="0.3">
      <c r="A3031" s="15" t="s">
        <v>10162</v>
      </c>
      <c r="B3031" s="15" t="s">
        <v>10163</v>
      </c>
      <c r="C3031" s="18" t="s">
        <v>28</v>
      </c>
      <c r="D3031" s="15" t="s">
        <v>10164</v>
      </c>
      <c r="E3031" s="18" t="s">
        <v>28</v>
      </c>
      <c r="F3031" s="19" t="s">
        <v>28</v>
      </c>
      <c r="G3031" s="19">
        <v>0.8</v>
      </c>
      <c r="H3031" s="19" t="s">
        <v>28</v>
      </c>
      <c r="I3031" s="18" t="s">
        <v>28</v>
      </c>
      <c r="J3031" s="18" t="s">
        <v>28</v>
      </c>
      <c r="K3031" s="18" t="s">
        <v>28</v>
      </c>
      <c r="L3031" s="18" t="s">
        <v>28</v>
      </c>
      <c r="M3031" s="18" t="s">
        <v>28</v>
      </c>
      <c r="N3031" s="17">
        <v>44741</v>
      </c>
      <c r="O3031" s="15" t="s">
        <v>79</v>
      </c>
      <c r="P3031" s="16" t="s">
        <v>8820</v>
      </c>
      <c r="Q3031" s="15" t="s">
        <v>37</v>
      </c>
      <c r="R3031" s="13" t="str">
        <f>HYPERLINK("https://my.pitchbook.com?c=218607-85T","View Company Online")</f>
        <v>View Company Online</v>
      </c>
    </row>
    <row r="3032" spans="1:18" hidden="1" x14ac:dyDescent="0.3">
      <c r="A3032" s="9" t="s">
        <v>10165</v>
      </c>
      <c r="B3032" s="9" t="s">
        <v>8140</v>
      </c>
      <c r="C3032" s="11" t="s">
        <v>28</v>
      </c>
      <c r="D3032" s="9" t="s">
        <v>8141</v>
      </c>
      <c r="E3032" s="11" t="s">
        <v>28</v>
      </c>
      <c r="F3032" s="10" t="s">
        <v>28</v>
      </c>
      <c r="G3032" s="10">
        <v>1.19</v>
      </c>
      <c r="H3032" s="10" t="s">
        <v>28</v>
      </c>
      <c r="I3032" s="11" t="s">
        <v>28</v>
      </c>
      <c r="J3032" s="11" t="s">
        <v>28</v>
      </c>
      <c r="K3032" s="11" t="s">
        <v>28</v>
      </c>
      <c r="L3032" s="11" t="s">
        <v>28</v>
      </c>
      <c r="M3032" s="11" t="s">
        <v>28</v>
      </c>
      <c r="N3032" s="8">
        <v>44741</v>
      </c>
      <c r="O3032" s="9" t="s">
        <v>99</v>
      </c>
      <c r="P3032" s="12" t="s">
        <v>10166</v>
      </c>
      <c r="Q3032" s="9" t="s">
        <v>3912</v>
      </c>
      <c r="R3032" s="14" t="str">
        <f>HYPERLINK("https://my.pitchbook.com?c=202401-55T","View Company Online")</f>
        <v>View Company Online</v>
      </c>
    </row>
    <row r="3033" spans="1:18" hidden="1" x14ac:dyDescent="0.3">
      <c r="A3033" s="15" t="s">
        <v>10167</v>
      </c>
      <c r="B3033" s="15" t="s">
        <v>10168</v>
      </c>
      <c r="C3033" s="18" t="s">
        <v>28</v>
      </c>
      <c r="D3033" s="15" t="s">
        <v>10169</v>
      </c>
      <c r="E3033" s="18" t="s">
        <v>28</v>
      </c>
      <c r="F3033" s="19" t="s">
        <v>28</v>
      </c>
      <c r="G3033" s="19" t="s">
        <v>28</v>
      </c>
      <c r="H3033" s="19" t="s">
        <v>28</v>
      </c>
      <c r="I3033" s="18" t="s">
        <v>28</v>
      </c>
      <c r="J3033" s="18" t="s">
        <v>28</v>
      </c>
      <c r="K3033" s="18" t="s">
        <v>28</v>
      </c>
      <c r="L3033" s="18" t="s">
        <v>28</v>
      </c>
      <c r="M3033" s="18" t="s">
        <v>28</v>
      </c>
      <c r="N3033" s="17">
        <v>44740</v>
      </c>
      <c r="O3033" s="15" t="s">
        <v>379</v>
      </c>
      <c r="P3033" s="16" t="s">
        <v>10170</v>
      </c>
      <c r="Q3033" s="15" t="s">
        <v>9051</v>
      </c>
      <c r="R3033" s="13" t="str">
        <f>HYPERLINK("https://my.pitchbook.com?c=205482-52T","View Company Online")</f>
        <v>View Company Online</v>
      </c>
    </row>
    <row r="3034" spans="1:18" hidden="1" x14ac:dyDescent="0.3">
      <c r="A3034" s="9" t="s">
        <v>10171</v>
      </c>
      <c r="B3034" s="9" t="s">
        <v>10172</v>
      </c>
      <c r="C3034" s="11" t="s">
        <v>28</v>
      </c>
      <c r="D3034" s="9" t="s">
        <v>10173</v>
      </c>
      <c r="E3034" s="11" t="s">
        <v>28</v>
      </c>
      <c r="F3034" s="10" t="s">
        <v>28</v>
      </c>
      <c r="G3034" s="10" t="s">
        <v>28</v>
      </c>
      <c r="H3034" s="10" t="s">
        <v>28</v>
      </c>
      <c r="I3034" s="11" t="s">
        <v>28</v>
      </c>
      <c r="J3034" s="11" t="s">
        <v>28</v>
      </c>
      <c r="K3034" s="11" t="s">
        <v>28</v>
      </c>
      <c r="L3034" s="11" t="s">
        <v>28</v>
      </c>
      <c r="M3034" s="11" t="s">
        <v>28</v>
      </c>
      <c r="N3034" s="8">
        <v>44740</v>
      </c>
      <c r="O3034" s="9" t="s">
        <v>79</v>
      </c>
      <c r="P3034" s="12" t="s">
        <v>28</v>
      </c>
      <c r="Q3034" s="9" t="s">
        <v>75</v>
      </c>
      <c r="R3034" s="14" t="str">
        <f>HYPERLINK("https://my.pitchbook.com?c=199168-93T","View Company Online")</f>
        <v>View Company Online</v>
      </c>
    </row>
    <row r="3035" spans="1:18" hidden="1" x14ac:dyDescent="0.3">
      <c r="A3035" s="15" t="s">
        <v>10174</v>
      </c>
      <c r="B3035" s="15" t="s">
        <v>4133</v>
      </c>
      <c r="C3035" s="18" t="s">
        <v>28</v>
      </c>
      <c r="D3035" s="15" t="s">
        <v>4134</v>
      </c>
      <c r="E3035" s="18" t="s">
        <v>28</v>
      </c>
      <c r="F3035" s="19" t="s">
        <v>28</v>
      </c>
      <c r="G3035" s="19">
        <v>40.08</v>
      </c>
      <c r="H3035" s="19" t="s">
        <v>28</v>
      </c>
      <c r="I3035" s="18" t="s">
        <v>28</v>
      </c>
      <c r="J3035" s="18" t="s">
        <v>28</v>
      </c>
      <c r="K3035" s="18" t="s">
        <v>28</v>
      </c>
      <c r="L3035" s="18" t="s">
        <v>28</v>
      </c>
      <c r="M3035" s="18" t="s">
        <v>28</v>
      </c>
      <c r="N3035" s="17">
        <v>44739</v>
      </c>
      <c r="O3035" s="15" t="s">
        <v>79</v>
      </c>
      <c r="P3035" s="16" t="s">
        <v>10175</v>
      </c>
      <c r="Q3035" s="15" t="s">
        <v>1263</v>
      </c>
      <c r="R3035" s="13" t="str">
        <f>HYPERLINK("https://my.pitchbook.com?c=197002-36T","View Company Online")</f>
        <v>View Company Online</v>
      </c>
    </row>
    <row r="3036" spans="1:18" hidden="1" x14ac:dyDescent="0.3">
      <c r="A3036" s="9" t="s">
        <v>10176</v>
      </c>
      <c r="B3036" s="9" t="s">
        <v>10177</v>
      </c>
      <c r="C3036" s="11" t="s">
        <v>28</v>
      </c>
      <c r="D3036" s="9" t="s">
        <v>10178</v>
      </c>
      <c r="E3036" s="11" t="s">
        <v>28</v>
      </c>
      <c r="F3036" s="10" t="s">
        <v>28</v>
      </c>
      <c r="G3036" s="10">
        <v>0.7</v>
      </c>
      <c r="H3036" s="10" t="s">
        <v>28</v>
      </c>
      <c r="I3036" s="11" t="s">
        <v>28</v>
      </c>
      <c r="J3036" s="11" t="s">
        <v>28</v>
      </c>
      <c r="K3036" s="11" t="s">
        <v>28</v>
      </c>
      <c r="L3036" s="11" t="s">
        <v>28</v>
      </c>
      <c r="M3036" s="11" t="s">
        <v>28</v>
      </c>
      <c r="N3036" s="8">
        <v>44739</v>
      </c>
      <c r="O3036" s="9" t="s">
        <v>99</v>
      </c>
      <c r="P3036" s="12" t="s">
        <v>10179</v>
      </c>
      <c r="Q3036" s="9" t="s">
        <v>1263</v>
      </c>
      <c r="R3036" s="14" t="str">
        <f>HYPERLINK("https://my.pitchbook.com?c=196992-10T","View Company Online")</f>
        <v>View Company Online</v>
      </c>
    </row>
    <row r="3037" spans="1:18" hidden="1" x14ac:dyDescent="0.3">
      <c r="A3037" s="15" t="s">
        <v>10180</v>
      </c>
      <c r="B3037" s="15" t="s">
        <v>10181</v>
      </c>
      <c r="C3037" s="18" t="s">
        <v>28</v>
      </c>
      <c r="D3037" s="15" t="s">
        <v>10182</v>
      </c>
      <c r="E3037" s="18" t="s">
        <v>28</v>
      </c>
      <c r="F3037" s="19" t="s">
        <v>28</v>
      </c>
      <c r="G3037" s="19" t="s">
        <v>28</v>
      </c>
      <c r="H3037" s="19" t="s">
        <v>28</v>
      </c>
      <c r="I3037" s="18" t="s">
        <v>28</v>
      </c>
      <c r="J3037" s="18" t="s">
        <v>28</v>
      </c>
      <c r="K3037" s="18" t="s">
        <v>28</v>
      </c>
      <c r="L3037" s="18" t="s">
        <v>28</v>
      </c>
      <c r="M3037" s="18" t="s">
        <v>28</v>
      </c>
      <c r="N3037" s="17">
        <v>44736</v>
      </c>
      <c r="O3037" s="15" t="s">
        <v>173</v>
      </c>
      <c r="P3037" s="16" t="s">
        <v>28</v>
      </c>
      <c r="Q3037" s="15" t="s">
        <v>1361</v>
      </c>
      <c r="R3037" s="13" t="str">
        <f>HYPERLINK("https://my.pitchbook.com?c=223855-03T","View Company Online")</f>
        <v>View Company Online</v>
      </c>
    </row>
    <row r="3038" spans="1:18" hidden="1" x14ac:dyDescent="0.3">
      <c r="A3038" s="9" t="s">
        <v>10183</v>
      </c>
      <c r="B3038" s="9" t="s">
        <v>10184</v>
      </c>
      <c r="C3038" s="11" t="s">
        <v>28</v>
      </c>
      <c r="D3038" s="9" t="s">
        <v>10185</v>
      </c>
      <c r="E3038" s="11" t="s">
        <v>28</v>
      </c>
      <c r="F3038" s="10" t="s">
        <v>28</v>
      </c>
      <c r="G3038" s="10" t="s">
        <v>28</v>
      </c>
      <c r="H3038" s="10" t="s">
        <v>28</v>
      </c>
      <c r="I3038" s="11" t="s">
        <v>28</v>
      </c>
      <c r="J3038" s="11" t="s">
        <v>28</v>
      </c>
      <c r="K3038" s="11" t="s">
        <v>28</v>
      </c>
      <c r="L3038" s="11" t="s">
        <v>28</v>
      </c>
      <c r="M3038" s="11" t="s">
        <v>28</v>
      </c>
      <c r="N3038" s="8">
        <v>44736</v>
      </c>
      <c r="O3038" s="9" t="s">
        <v>30</v>
      </c>
      <c r="P3038" s="12" t="s">
        <v>10186</v>
      </c>
      <c r="Q3038" s="9" t="s">
        <v>290</v>
      </c>
      <c r="R3038" s="14" t="str">
        <f>HYPERLINK("https://my.pitchbook.com?c=211778-38T","View Company Online")</f>
        <v>View Company Online</v>
      </c>
    </row>
    <row r="3039" spans="1:18" hidden="1" x14ac:dyDescent="0.3">
      <c r="A3039" s="15" t="s">
        <v>10187</v>
      </c>
      <c r="B3039" s="15" t="s">
        <v>10188</v>
      </c>
      <c r="C3039" s="18" t="s">
        <v>28</v>
      </c>
      <c r="D3039" s="15" t="s">
        <v>10189</v>
      </c>
      <c r="E3039" s="18" t="s">
        <v>28</v>
      </c>
      <c r="F3039" s="19" t="s">
        <v>28</v>
      </c>
      <c r="G3039" s="19" t="s">
        <v>28</v>
      </c>
      <c r="H3039" s="19" t="s">
        <v>28</v>
      </c>
      <c r="I3039" s="18" t="s">
        <v>28</v>
      </c>
      <c r="J3039" s="18" t="s">
        <v>28</v>
      </c>
      <c r="K3039" s="18" t="s">
        <v>28</v>
      </c>
      <c r="L3039" s="18" t="s">
        <v>28</v>
      </c>
      <c r="M3039" s="18" t="s">
        <v>28</v>
      </c>
      <c r="N3039" s="17">
        <v>44735</v>
      </c>
      <c r="O3039" s="15" t="s">
        <v>30</v>
      </c>
      <c r="P3039" s="16" t="s">
        <v>10190</v>
      </c>
      <c r="Q3039" s="15" t="s">
        <v>245</v>
      </c>
      <c r="R3039" s="13" t="str">
        <f>HYPERLINK("https://my.pitchbook.com?c=254569-60T","View Company Online")</f>
        <v>View Company Online</v>
      </c>
    </row>
    <row r="3040" spans="1:18" hidden="1" x14ac:dyDescent="0.3">
      <c r="A3040" s="9" t="s">
        <v>10191</v>
      </c>
      <c r="B3040" s="9" t="s">
        <v>10192</v>
      </c>
      <c r="C3040" s="11" t="s">
        <v>28</v>
      </c>
      <c r="D3040" s="9" t="s">
        <v>10193</v>
      </c>
      <c r="E3040" s="11" t="s">
        <v>28</v>
      </c>
      <c r="F3040" s="10" t="s">
        <v>28</v>
      </c>
      <c r="G3040" s="10">
        <v>0.16</v>
      </c>
      <c r="H3040" s="10" t="s">
        <v>28</v>
      </c>
      <c r="I3040" s="11" t="s">
        <v>28</v>
      </c>
      <c r="J3040" s="11" t="s">
        <v>28</v>
      </c>
      <c r="K3040" s="11" t="s">
        <v>28</v>
      </c>
      <c r="L3040" s="11" t="s">
        <v>28</v>
      </c>
      <c r="M3040" s="11" t="s">
        <v>28</v>
      </c>
      <c r="N3040" s="8">
        <v>44735</v>
      </c>
      <c r="O3040" s="9" t="s">
        <v>9098</v>
      </c>
      <c r="P3040" s="12" t="s">
        <v>10194</v>
      </c>
      <c r="Q3040" s="9" t="s">
        <v>114</v>
      </c>
      <c r="R3040" s="14" t="str">
        <f>HYPERLINK("https://my.pitchbook.com?c=196810-57T","View Company Online")</f>
        <v>View Company Online</v>
      </c>
    </row>
    <row r="3041" spans="1:18" hidden="1" x14ac:dyDescent="0.3">
      <c r="A3041" s="15" t="s">
        <v>10195</v>
      </c>
      <c r="B3041" s="15" t="s">
        <v>10196</v>
      </c>
      <c r="C3041" s="18" t="s">
        <v>28</v>
      </c>
      <c r="D3041" s="15" t="s">
        <v>10197</v>
      </c>
      <c r="E3041" s="18" t="s">
        <v>28</v>
      </c>
      <c r="F3041" s="19" t="s">
        <v>28</v>
      </c>
      <c r="G3041" s="19">
        <v>0.3</v>
      </c>
      <c r="H3041" s="19" t="s">
        <v>28</v>
      </c>
      <c r="I3041" s="18" t="s">
        <v>28</v>
      </c>
      <c r="J3041" s="18" t="s">
        <v>28</v>
      </c>
      <c r="K3041" s="18" t="s">
        <v>28</v>
      </c>
      <c r="L3041" s="18" t="s">
        <v>28</v>
      </c>
      <c r="M3041" s="18" t="s">
        <v>28</v>
      </c>
      <c r="N3041" s="17">
        <v>44735</v>
      </c>
      <c r="O3041" s="15" t="s">
        <v>1639</v>
      </c>
      <c r="P3041" s="16" t="s">
        <v>10198</v>
      </c>
      <c r="Q3041" s="15" t="s">
        <v>136</v>
      </c>
      <c r="R3041" s="13" t="str">
        <f>HYPERLINK("https://my.pitchbook.com?c=196869-43T","View Company Online")</f>
        <v>View Company Online</v>
      </c>
    </row>
    <row r="3042" spans="1:18" hidden="1" x14ac:dyDescent="0.3">
      <c r="A3042" s="9" t="s">
        <v>10199</v>
      </c>
      <c r="B3042" s="9" t="s">
        <v>10200</v>
      </c>
      <c r="C3042" s="11" t="s">
        <v>28</v>
      </c>
      <c r="D3042" s="9" t="s">
        <v>10201</v>
      </c>
      <c r="E3042" s="11" t="s">
        <v>28</v>
      </c>
      <c r="F3042" s="10" t="s">
        <v>28</v>
      </c>
      <c r="G3042" s="10" t="s">
        <v>28</v>
      </c>
      <c r="H3042" s="10" t="s">
        <v>28</v>
      </c>
      <c r="I3042" s="11" t="s">
        <v>28</v>
      </c>
      <c r="J3042" s="11" t="s">
        <v>28</v>
      </c>
      <c r="K3042" s="11" t="s">
        <v>28</v>
      </c>
      <c r="L3042" s="11" t="s">
        <v>28</v>
      </c>
      <c r="M3042" s="11" t="s">
        <v>28</v>
      </c>
      <c r="N3042" s="8">
        <v>44735</v>
      </c>
      <c r="O3042" s="9" t="s">
        <v>30</v>
      </c>
      <c r="P3042" s="12" t="s">
        <v>5144</v>
      </c>
      <c r="Q3042" s="9" t="s">
        <v>245</v>
      </c>
      <c r="R3042" s="14" t="str">
        <f>HYPERLINK("https://my.pitchbook.com?c=209214-46T","View Company Online")</f>
        <v>View Company Online</v>
      </c>
    </row>
    <row r="3043" spans="1:18" hidden="1" x14ac:dyDescent="0.3">
      <c r="A3043" s="15" t="s">
        <v>10202</v>
      </c>
      <c r="B3043" s="15" t="s">
        <v>3844</v>
      </c>
      <c r="C3043" s="18" t="s">
        <v>28</v>
      </c>
      <c r="D3043" s="15" t="s">
        <v>3845</v>
      </c>
      <c r="E3043" s="18" t="s">
        <v>28</v>
      </c>
      <c r="F3043" s="19" t="s">
        <v>28</v>
      </c>
      <c r="G3043" s="19">
        <v>0.3</v>
      </c>
      <c r="H3043" s="19" t="s">
        <v>28</v>
      </c>
      <c r="I3043" s="18" t="s">
        <v>28</v>
      </c>
      <c r="J3043" s="18" t="s">
        <v>28</v>
      </c>
      <c r="K3043" s="18" t="s">
        <v>28</v>
      </c>
      <c r="L3043" s="18" t="s">
        <v>28</v>
      </c>
      <c r="M3043" s="18" t="s">
        <v>28</v>
      </c>
      <c r="N3043" s="17">
        <v>44735</v>
      </c>
      <c r="O3043" s="15" t="s">
        <v>99</v>
      </c>
      <c r="P3043" s="16" t="s">
        <v>3000</v>
      </c>
      <c r="Q3043" s="15" t="s">
        <v>414</v>
      </c>
      <c r="R3043" s="13" t="str">
        <f>HYPERLINK("https://my.pitchbook.com?c=199759-24T","View Company Online")</f>
        <v>View Company Online</v>
      </c>
    </row>
    <row r="3044" spans="1:18" hidden="1" x14ac:dyDescent="0.3">
      <c r="A3044" s="9" t="s">
        <v>10203</v>
      </c>
      <c r="B3044" s="9" t="s">
        <v>10204</v>
      </c>
      <c r="C3044" s="11" t="s">
        <v>28</v>
      </c>
      <c r="D3044" s="9" t="s">
        <v>10205</v>
      </c>
      <c r="E3044" s="11" t="s">
        <v>28</v>
      </c>
      <c r="F3044" s="10">
        <v>38.58</v>
      </c>
      <c r="G3044" s="10">
        <v>19.670000000000002</v>
      </c>
      <c r="H3044" s="10">
        <v>38.58</v>
      </c>
      <c r="I3044" s="11" t="s">
        <v>28</v>
      </c>
      <c r="J3044" s="11" t="s">
        <v>28</v>
      </c>
      <c r="K3044" s="11" t="s">
        <v>28</v>
      </c>
      <c r="L3044" s="11" t="s">
        <v>28</v>
      </c>
      <c r="M3044" s="11" t="s">
        <v>28</v>
      </c>
      <c r="N3044" s="8">
        <v>44735</v>
      </c>
      <c r="O3044" s="9" t="s">
        <v>30</v>
      </c>
      <c r="P3044" s="12" t="s">
        <v>10206</v>
      </c>
      <c r="Q3044" s="9" t="s">
        <v>226</v>
      </c>
      <c r="R3044" s="14" t="str">
        <f>HYPERLINK("https://my.pitchbook.com?c=196829-92T","View Company Online")</f>
        <v>View Company Online</v>
      </c>
    </row>
    <row r="3045" spans="1:18" hidden="1" x14ac:dyDescent="0.3">
      <c r="A3045" s="15" t="s">
        <v>10207</v>
      </c>
      <c r="B3045" s="15" t="s">
        <v>10208</v>
      </c>
      <c r="C3045" s="18" t="s">
        <v>28</v>
      </c>
      <c r="D3045" s="15" t="s">
        <v>10209</v>
      </c>
      <c r="E3045" s="18" t="s">
        <v>28</v>
      </c>
      <c r="F3045" s="19" t="s">
        <v>28</v>
      </c>
      <c r="G3045" s="19" t="s">
        <v>28</v>
      </c>
      <c r="H3045" s="19" t="s">
        <v>28</v>
      </c>
      <c r="I3045" s="18" t="s">
        <v>28</v>
      </c>
      <c r="J3045" s="18" t="s">
        <v>28</v>
      </c>
      <c r="K3045" s="18" t="s">
        <v>28</v>
      </c>
      <c r="L3045" s="18" t="s">
        <v>28</v>
      </c>
      <c r="M3045" s="18" t="s">
        <v>28</v>
      </c>
      <c r="N3045" s="17">
        <v>44735</v>
      </c>
      <c r="O3045" s="15" t="s">
        <v>30</v>
      </c>
      <c r="P3045" s="16" t="s">
        <v>6889</v>
      </c>
      <c r="Q3045" s="15" t="s">
        <v>566</v>
      </c>
      <c r="R3045" s="13" t="str">
        <f>HYPERLINK("https://my.pitchbook.com?c=196611-22T","View Company Online")</f>
        <v>View Company Online</v>
      </c>
    </row>
    <row r="3046" spans="1:18" hidden="1" x14ac:dyDescent="0.3">
      <c r="A3046" s="9" t="s">
        <v>10210</v>
      </c>
      <c r="B3046" s="9" t="s">
        <v>2976</v>
      </c>
      <c r="C3046" s="11" t="s">
        <v>28</v>
      </c>
      <c r="D3046" s="9" t="s">
        <v>2977</v>
      </c>
      <c r="E3046" s="11" t="s">
        <v>28</v>
      </c>
      <c r="F3046" s="10" t="s">
        <v>28</v>
      </c>
      <c r="G3046" s="10">
        <v>0.27</v>
      </c>
      <c r="H3046" s="10" t="s">
        <v>28</v>
      </c>
      <c r="I3046" s="11" t="s">
        <v>28</v>
      </c>
      <c r="J3046" s="11" t="s">
        <v>28</v>
      </c>
      <c r="K3046" s="11" t="s">
        <v>28</v>
      </c>
      <c r="L3046" s="11" t="s">
        <v>28</v>
      </c>
      <c r="M3046" s="11" t="s">
        <v>28</v>
      </c>
      <c r="N3046" s="8">
        <v>44735</v>
      </c>
      <c r="O3046" s="9" t="s">
        <v>73</v>
      </c>
      <c r="P3046" s="12" t="s">
        <v>5949</v>
      </c>
      <c r="Q3046" s="9" t="s">
        <v>404</v>
      </c>
      <c r="R3046" s="14" t="str">
        <f>HYPERLINK("https://my.pitchbook.com?c=250709-77T","View Company Online")</f>
        <v>View Company Online</v>
      </c>
    </row>
    <row r="3047" spans="1:18" hidden="1" x14ac:dyDescent="0.3">
      <c r="A3047" s="15" t="s">
        <v>10211</v>
      </c>
      <c r="B3047" s="15" t="s">
        <v>10212</v>
      </c>
      <c r="C3047" s="18" t="s">
        <v>28</v>
      </c>
      <c r="D3047" s="15" t="s">
        <v>10213</v>
      </c>
      <c r="E3047" s="18" t="s">
        <v>28</v>
      </c>
      <c r="F3047" s="19">
        <v>1.72</v>
      </c>
      <c r="G3047" s="19">
        <v>1.72</v>
      </c>
      <c r="H3047" s="19">
        <v>1.72</v>
      </c>
      <c r="I3047" s="18" t="s">
        <v>28</v>
      </c>
      <c r="J3047" s="18" t="s">
        <v>28</v>
      </c>
      <c r="K3047" s="18" t="s">
        <v>28</v>
      </c>
      <c r="L3047" s="18" t="s">
        <v>28</v>
      </c>
      <c r="M3047" s="18" t="s">
        <v>28</v>
      </c>
      <c r="N3047" s="17">
        <v>44735</v>
      </c>
      <c r="O3047" s="15" t="s">
        <v>30</v>
      </c>
      <c r="P3047" s="16" t="s">
        <v>10214</v>
      </c>
      <c r="Q3047" s="15" t="s">
        <v>7449</v>
      </c>
      <c r="R3047" s="13" t="str">
        <f>HYPERLINK("https://my.pitchbook.com?c=209080-45T","View Company Online")</f>
        <v>View Company Online</v>
      </c>
    </row>
    <row r="3048" spans="1:18" hidden="1" x14ac:dyDescent="0.3">
      <c r="A3048" s="9" t="s">
        <v>10215</v>
      </c>
      <c r="B3048" s="9" t="s">
        <v>10216</v>
      </c>
      <c r="C3048" s="11" t="s">
        <v>28</v>
      </c>
      <c r="D3048" s="9" t="s">
        <v>10217</v>
      </c>
      <c r="E3048" s="11" t="s">
        <v>28</v>
      </c>
      <c r="F3048" s="10" t="s">
        <v>28</v>
      </c>
      <c r="G3048" s="10">
        <v>1.42</v>
      </c>
      <c r="H3048" s="10" t="s">
        <v>28</v>
      </c>
      <c r="I3048" s="11" t="s">
        <v>28</v>
      </c>
      <c r="J3048" s="11" t="s">
        <v>28</v>
      </c>
      <c r="K3048" s="11" t="s">
        <v>28</v>
      </c>
      <c r="L3048" s="11" t="s">
        <v>28</v>
      </c>
      <c r="M3048" s="11" t="s">
        <v>28</v>
      </c>
      <c r="N3048" s="8">
        <v>44734</v>
      </c>
      <c r="O3048" s="9" t="s">
        <v>79</v>
      </c>
      <c r="P3048" s="12" t="s">
        <v>10218</v>
      </c>
      <c r="Q3048" s="9" t="s">
        <v>119</v>
      </c>
      <c r="R3048" s="14" t="str">
        <f>HYPERLINK("https://my.pitchbook.com?c=196708-87T","View Company Online")</f>
        <v>View Company Online</v>
      </c>
    </row>
    <row r="3049" spans="1:18" hidden="1" x14ac:dyDescent="0.3">
      <c r="A3049" s="15" t="s">
        <v>10219</v>
      </c>
      <c r="B3049" s="15" t="s">
        <v>10220</v>
      </c>
      <c r="C3049" s="18" t="s">
        <v>28</v>
      </c>
      <c r="D3049" s="15" t="s">
        <v>10221</v>
      </c>
      <c r="E3049" s="18" t="s">
        <v>28</v>
      </c>
      <c r="F3049" s="19" t="s">
        <v>28</v>
      </c>
      <c r="G3049" s="19">
        <v>0.91</v>
      </c>
      <c r="H3049" s="19" t="s">
        <v>28</v>
      </c>
      <c r="I3049" s="18" t="s">
        <v>28</v>
      </c>
      <c r="J3049" s="18" t="s">
        <v>28</v>
      </c>
      <c r="K3049" s="18">
        <v>0.5</v>
      </c>
      <c r="L3049" s="18" t="s">
        <v>28</v>
      </c>
      <c r="M3049" s="18" t="s">
        <v>28</v>
      </c>
      <c r="N3049" s="17">
        <v>44734</v>
      </c>
      <c r="O3049" s="15" t="s">
        <v>99</v>
      </c>
      <c r="P3049" s="16" t="s">
        <v>10222</v>
      </c>
      <c r="Q3049" s="15" t="s">
        <v>75</v>
      </c>
      <c r="R3049" s="13" t="str">
        <f>HYPERLINK("https://my.pitchbook.com?c=199773-28T","View Company Online")</f>
        <v>View Company Online</v>
      </c>
    </row>
    <row r="3050" spans="1:18" hidden="1" x14ac:dyDescent="0.3">
      <c r="A3050" s="9" t="s">
        <v>10223</v>
      </c>
      <c r="B3050" s="9" t="s">
        <v>10224</v>
      </c>
      <c r="C3050" s="11" t="s">
        <v>28</v>
      </c>
      <c r="D3050" s="9" t="s">
        <v>10225</v>
      </c>
      <c r="E3050" s="11" t="s">
        <v>28</v>
      </c>
      <c r="F3050" s="10" t="s">
        <v>28</v>
      </c>
      <c r="G3050" s="10" t="s">
        <v>28</v>
      </c>
      <c r="H3050" s="10" t="s">
        <v>28</v>
      </c>
      <c r="I3050" s="11" t="s">
        <v>28</v>
      </c>
      <c r="J3050" s="11" t="s">
        <v>28</v>
      </c>
      <c r="K3050" s="11" t="s">
        <v>28</v>
      </c>
      <c r="L3050" s="11" t="s">
        <v>28</v>
      </c>
      <c r="M3050" s="11" t="s">
        <v>28</v>
      </c>
      <c r="N3050" s="8">
        <v>44734</v>
      </c>
      <c r="O3050" s="9" t="s">
        <v>41</v>
      </c>
      <c r="P3050" s="12" t="s">
        <v>10226</v>
      </c>
      <c r="Q3050" s="9" t="s">
        <v>37</v>
      </c>
      <c r="R3050" s="14" t="str">
        <f>HYPERLINK("https://my.pitchbook.com?c=193661-29T","View Company Online")</f>
        <v>View Company Online</v>
      </c>
    </row>
    <row r="3051" spans="1:18" hidden="1" x14ac:dyDescent="0.3">
      <c r="A3051" s="15" t="s">
        <v>10227</v>
      </c>
      <c r="B3051" s="15" t="s">
        <v>10228</v>
      </c>
      <c r="C3051" s="18" t="s">
        <v>28</v>
      </c>
      <c r="D3051" s="15" t="s">
        <v>10229</v>
      </c>
      <c r="E3051" s="18" t="s">
        <v>28</v>
      </c>
      <c r="F3051" s="19" t="s">
        <v>28</v>
      </c>
      <c r="G3051" s="19">
        <v>73.2</v>
      </c>
      <c r="H3051" s="19" t="s">
        <v>28</v>
      </c>
      <c r="I3051" s="18" t="s">
        <v>28</v>
      </c>
      <c r="J3051" s="18" t="s">
        <v>28</v>
      </c>
      <c r="K3051" s="18" t="s">
        <v>28</v>
      </c>
      <c r="L3051" s="18" t="s">
        <v>28</v>
      </c>
      <c r="M3051" s="18" t="s">
        <v>28</v>
      </c>
      <c r="N3051" s="17">
        <v>44734</v>
      </c>
      <c r="O3051" s="15" t="s">
        <v>173</v>
      </c>
      <c r="P3051" s="16" t="s">
        <v>28</v>
      </c>
      <c r="Q3051" s="15" t="s">
        <v>174</v>
      </c>
      <c r="R3051" s="13" t="str">
        <f>HYPERLINK("https://my.pitchbook.com?c=199623-52T","View Company Online")</f>
        <v>View Company Online</v>
      </c>
    </row>
    <row r="3052" spans="1:18" hidden="1" x14ac:dyDescent="0.3">
      <c r="A3052" s="9" t="s">
        <v>10230</v>
      </c>
      <c r="B3052" s="9" t="s">
        <v>9325</v>
      </c>
      <c r="C3052" s="11" t="s">
        <v>28</v>
      </c>
      <c r="D3052" s="9" t="s">
        <v>9326</v>
      </c>
      <c r="E3052" s="11" t="s">
        <v>28</v>
      </c>
      <c r="F3052" s="10" t="s">
        <v>28</v>
      </c>
      <c r="G3052" s="10">
        <v>12.2</v>
      </c>
      <c r="H3052" s="10" t="s">
        <v>28</v>
      </c>
      <c r="I3052" s="11" t="s">
        <v>28</v>
      </c>
      <c r="J3052" s="11" t="s">
        <v>28</v>
      </c>
      <c r="K3052" s="11" t="s">
        <v>28</v>
      </c>
      <c r="L3052" s="11" t="s">
        <v>28</v>
      </c>
      <c r="M3052" s="11" t="s">
        <v>28</v>
      </c>
      <c r="N3052" s="8">
        <v>44734</v>
      </c>
      <c r="O3052" s="9" t="s">
        <v>73</v>
      </c>
      <c r="P3052" s="12" t="s">
        <v>10231</v>
      </c>
      <c r="Q3052" s="9" t="s">
        <v>54</v>
      </c>
      <c r="R3052" s="14" t="str">
        <f>HYPERLINK("https://my.pitchbook.com?c=196785-91T","View Company Online")</f>
        <v>View Company Online</v>
      </c>
    </row>
    <row r="3053" spans="1:18" hidden="1" x14ac:dyDescent="0.3">
      <c r="A3053" s="15" t="s">
        <v>10232</v>
      </c>
      <c r="B3053" s="15" t="s">
        <v>10233</v>
      </c>
      <c r="C3053" s="18" t="s">
        <v>28</v>
      </c>
      <c r="D3053" s="15" t="s">
        <v>10234</v>
      </c>
      <c r="E3053" s="18" t="s">
        <v>28</v>
      </c>
      <c r="F3053" s="19" t="s">
        <v>28</v>
      </c>
      <c r="G3053" s="19" t="s">
        <v>28</v>
      </c>
      <c r="H3053" s="19" t="s">
        <v>28</v>
      </c>
      <c r="I3053" s="18" t="s">
        <v>28</v>
      </c>
      <c r="J3053" s="18" t="s">
        <v>28</v>
      </c>
      <c r="K3053" s="18" t="s">
        <v>28</v>
      </c>
      <c r="L3053" s="18" t="s">
        <v>28</v>
      </c>
      <c r="M3053" s="18" t="s">
        <v>28</v>
      </c>
      <c r="N3053" s="17">
        <v>44733</v>
      </c>
      <c r="O3053" s="15" t="s">
        <v>30</v>
      </c>
      <c r="P3053" s="16" t="s">
        <v>10235</v>
      </c>
      <c r="Q3053" s="15" t="s">
        <v>6142</v>
      </c>
      <c r="R3053" s="13" t="str">
        <f>HYPERLINK("https://my.pitchbook.com?c=196650-82T","View Company Online")</f>
        <v>View Company Online</v>
      </c>
    </row>
    <row r="3054" spans="1:18" hidden="1" x14ac:dyDescent="0.3">
      <c r="A3054" s="9" t="s">
        <v>10236</v>
      </c>
      <c r="B3054" s="9" t="s">
        <v>10237</v>
      </c>
      <c r="C3054" s="11" t="s">
        <v>28</v>
      </c>
      <c r="D3054" s="9" t="s">
        <v>10238</v>
      </c>
      <c r="E3054" s="11" t="s">
        <v>28</v>
      </c>
      <c r="F3054" s="10" t="s">
        <v>28</v>
      </c>
      <c r="G3054" s="10" t="s">
        <v>28</v>
      </c>
      <c r="H3054" s="10" t="s">
        <v>28</v>
      </c>
      <c r="I3054" s="11" t="s">
        <v>28</v>
      </c>
      <c r="J3054" s="11" t="s">
        <v>28</v>
      </c>
      <c r="K3054" s="11" t="s">
        <v>28</v>
      </c>
      <c r="L3054" s="11" t="s">
        <v>28</v>
      </c>
      <c r="M3054" s="11" t="s">
        <v>28</v>
      </c>
      <c r="N3054" s="8">
        <v>44733</v>
      </c>
      <c r="O3054" s="9" t="s">
        <v>79</v>
      </c>
      <c r="P3054" s="12" t="s">
        <v>10239</v>
      </c>
      <c r="Q3054" s="9" t="s">
        <v>583</v>
      </c>
      <c r="R3054" s="14" t="str">
        <f>HYPERLINK("https://my.pitchbook.com?c=203717-44T","View Company Online")</f>
        <v>View Company Online</v>
      </c>
    </row>
    <row r="3055" spans="1:18" hidden="1" x14ac:dyDescent="0.3">
      <c r="A3055" s="15" t="s">
        <v>10240</v>
      </c>
      <c r="B3055" s="15" t="s">
        <v>10241</v>
      </c>
      <c r="C3055" s="18" t="s">
        <v>28</v>
      </c>
      <c r="D3055" s="15" t="s">
        <v>10242</v>
      </c>
      <c r="E3055" s="18" t="s">
        <v>28</v>
      </c>
      <c r="F3055" s="19" t="s">
        <v>28</v>
      </c>
      <c r="G3055" s="19" t="s">
        <v>28</v>
      </c>
      <c r="H3055" s="19" t="s">
        <v>28</v>
      </c>
      <c r="I3055" s="18">
        <v>288</v>
      </c>
      <c r="J3055" s="18" t="s">
        <v>28</v>
      </c>
      <c r="K3055" s="18" t="s">
        <v>28</v>
      </c>
      <c r="L3055" s="18" t="s">
        <v>28</v>
      </c>
      <c r="M3055" s="18" t="s">
        <v>28</v>
      </c>
      <c r="N3055" s="17">
        <v>44733</v>
      </c>
      <c r="O3055" s="15" t="s">
        <v>30</v>
      </c>
      <c r="P3055" s="16" t="s">
        <v>28</v>
      </c>
      <c r="Q3055" s="15" t="s">
        <v>64</v>
      </c>
      <c r="R3055" s="13" t="str">
        <f>HYPERLINK("https://my.pitchbook.com?c=196491-61T","View Company Online")</f>
        <v>View Company Online</v>
      </c>
    </row>
    <row r="3056" spans="1:18" hidden="1" x14ac:dyDescent="0.3">
      <c r="A3056" s="9" t="s">
        <v>10243</v>
      </c>
      <c r="B3056" s="9" t="s">
        <v>10244</v>
      </c>
      <c r="C3056" s="11" t="s">
        <v>28</v>
      </c>
      <c r="D3056" s="9" t="s">
        <v>10245</v>
      </c>
      <c r="E3056" s="11" t="s">
        <v>28</v>
      </c>
      <c r="F3056" s="10">
        <v>313</v>
      </c>
      <c r="G3056" s="10">
        <v>313</v>
      </c>
      <c r="H3056" s="10">
        <v>313</v>
      </c>
      <c r="I3056" s="11" t="s">
        <v>28</v>
      </c>
      <c r="J3056" s="11" t="s">
        <v>28</v>
      </c>
      <c r="K3056" s="11" t="s">
        <v>28</v>
      </c>
      <c r="L3056" s="11" t="s">
        <v>28</v>
      </c>
      <c r="M3056" s="11" t="s">
        <v>28</v>
      </c>
      <c r="N3056" s="8">
        <v>44732</v>
      </c>
      <c r="O3056" s="9" t="s">
        <v>41</v>
      </c>
      <c r="P3056" s="12" t="s">
        <v>2216</v>
      </c>
      <c r="Q3056" s="9" t="s">
        <v>226</v>
      </c>
      <c r="R3056" s="14" t="str">
        <f>HYPERLINK("https://my.pitchbook.com?c=186901-30T","View Company Online")</f>
        <v>View Company Online</v>
      </c>
    </row>
    <row r="3057" spans="1:18" hidden="1" x14ac:dyDescent="0.3">
      <c r="A3057" s="15" t="s">
        <v>10246</v>
      </c>
      <c r="B3057" s="15" t="s">
        <v>10247</v>
      </c>
      <c r="C3057" s="18" t="s">
        <v>28</v>
      </c>
      <c r="D3057" s="15" t="s">
        <v>10248</v>
      </c>
      <c r="E3057" s="18" t="s">
        <v>28</v>
      </c>
      <c r="F3057" s="19" t="s">
        <v>28</v>
      </c>
      <c r="G3057" s="19" t="s">
        <v>28</v>
      </c>
      <c r="H3057" s="19" t="s">
        <v>28</v>
      </c>
      <c r="I3057" s="18" t="s">
        <v>28</v>
      </c>
      <c r="J3057" s="18" t="s">
        <v>28</v>
      </c>
      <c r="K3057" s="18" t="s">
        <v>28</v>
      </c>
      <c r="L3057" s="18" t="s">
        <v>28</v>
      </c>
      <c r="M3057" s="18" t="s">
        <v>28</v>
      </c>
      <c r="N3057" s="17">
        <v>44732</v>
      </c>
      <c r="O3057" s="15" t="s">
        <v>79</v>
      </c>
      <c r="P3057" s="16" t="s">
        <v>10249</v>
      </c>
      <c r="Q3057" s="15" t="s">
        <v>583</v>
      </c>
      <c r="R3057" s="13" t="str">
        <f>HYPERLINK("https://my.pitchbook.com?c=220061-17T","View Company Online")</f>
        <v>View Company Online</v>
      </c>
    </row>
    <row r="3058" spans="1:18" hidden="1" x14ac:dyDescent="0.3">
      <c r="A3058" s="9" t="s">
        <v>10250</v>
      </c>
      <c r="B3058" s="9" t="s">
        <v>359</v>
      </c>
      <c r="C3058" s="11" t="s">
        <v>28</v>
      </c>
      <c r="D3058" s="9" t="s">
        <v>360</v>
      </c>
      <c r="E3058" s="11" t="s">
        <v>28</v>
      </c>
      <c r="F3058" s="10" t="s">
        <v>28</v>
      </c>
      <c r="G3058" s="10">
        <v>1.43</v>
      </c>
      <c r="H3058" s="10" t="s">
        <v>28</v>
      </c>
      <c r="I3058" s="11" t="s">
        <v>28</v>
      </c>
      <c r="J3058" s="11" t="s">
        <v>28</v>
      </c>
      <c r="K3058" s="11">
        <v>1.43</v>
      </c>
      <c r="L3058" s="11" t="s">
        <v>28</v>
      </c>
      <c r="M3058" s="11" t="s">
        <v>28</v>
      </c>
      <c r="N3058" s="8">
        <v>44730</v>
      </c>
      <c r="O3058" s="9" t="s">
        <v>73</v>
      </c>
      <c r="P3058" s="12" t="s">
        <v>6305</v>
      </c>
      <c r="Q3058" s="9" t="s">
        <v>362</v>
      </c>
      <c r="R3058" s="14" t="str">
        <f>HYPERLINK("https://my.pitchbook.com?c=215745-31T","View Company Online")</f>
        <v>View Company Online</v>
      </c>
    </row>
    <row r="3059" spans="1:18" hidden="1" x14ac:dyDescent="0.3">
      <c r="A3059" s="15" t="s">
        <v>10251</v>
      </c>
      <c r="B3059" s="15" t="s">
        <v>10252</v>
      </c>
      <c r="C3059" s="18" t="s">
        <v>28</v>
      </c>
      <c r="D3059" s="15" t="s">
        <v>10253</v>
      </c>
      <c r="E3059" s="18" t="s">
        <v>28</v>
      </c>
      <c r="F3059" s="19" t="s">
        <v>28</v>
      </c>
      <c r="G3059" s="19" t="s">
        <v>28</v>
      </c>
      <c r="H3059" s="19" t="s">
        <v>28</v>
      </c>
      <c r="I3059" s="18" t="s">
        <v>28</v>
      </c>
      <c r="J3059" s="18" t="s">
        <v>28</v>
      </c>
      <c r="K3059" s="18" t="s">
        <v>28</v>
      </c>
      <c r="L3059" s="18" t="s">
        <v>28</v>
      </c>
      <c r="M3059" s="18" t="s">
        <v>28</v>
      </c>
      <c r="N3059" s="17">
        <v>44729</v>
      </c>
      <c r="O3059" s="15" t="s">
        <v>379</v>
      </c>
      <c r="P3059" s="16" t="s">
        <v>10254</v>
      </c>
      <c r="Q3059" s="15" t="s">
        <v>37</v>
      </c>
      <c r="R3059" s="13" t="str">
        <f>HYPERLINK("https://my.pitchbook.com?c=196419-70T","View Company Online")</f>
        <v>View Company Online</v>
      </c>
    </row>
    <row r="3060" spans="1:18" hidden="1" x14ac:dyDescent="0.3">
      <c r="A3060" s="9" t="s">
        <v>10255</v>
      </c>
      <c r="B3060" s="9" t="s">
        <v>10256</v>
      </c>
      <c r="C3060" s="11" t="s">
        <v>28</v>
      </c>
      <c r="D3060" s="9" t="s">
        <v>10257</v>
      </c>
      <c r="E3060" s="11" t="s">
        <v>28</v>
      </c>
      <c r="F3060" s="10" t="s">
        <v>28</v>
      </c>
      <c r="G3060" s="10" t="s">
        <v>28</v>
      </c>
      <c r="H3060" s="10" t="s">
        <v>28</v>
      </c>
      <c r="I3060" s="11" t="s">
        <v>28</v>
      </c>
      <c r="J3060" s="11" t="s">
        <v>28</v>
      </c>
      <c r="K3060" s="11" t="s">
        <v>28</v>
      </c>
      <c r="L3060" s="11" t="s">
        <v>28</v>
      </c>
      <c r="M3060" s="11" t="s">
        <v>28</v>
      </c>
      <c r="N3060" s="8">
        <v>44729</v>
      </c>
      <c r="O3060" s="9" t="s">
        <v>30</v>
      </c>
      <c r="P3060" s="12" t="s">
        <v>8643</v>
      </c>
      <c r="Q3060" s="9" t="s">
        <v>424</v>
      </c>
      <c r="R3060" s="14" t="str">
        <f>HYPERLINK("https://my.pitchbook.com?c=210275-92T","View Company Online")</f>
        <v>View Company Online</v>
      </c>
    </row>
    <row r="3061" spans="1:18" hidden="1" x14ac:dyDescent="0.3">
      <c r="A3061" s="15" t="s">
        <v>10258</v>
      </c>
      <c r="B3061" s="15" t="s">
        <v>4412</v>
      </c>
      <c r="C3061" s="18" t="s">
        <v>28</v>
      </c>
      <c r="D3061" s="15" t="s">
        <v>4413</v>
      </c>
      <c r="E3061" s="18" t="s">
        <v>28</v>
      </c>
      <c r="F3061" s="19" t="s">
        <v>28</v>
      </c>
      <c r="G3061" s="19">
        <v>3.1</v>
      </c>
      <c r="H3061" s="19" t="s">
        <v>28</v>
      </c>
      <c r="I3061" s="18" t="s">
        <v>28</v>
      </c>
      <c r="J3061" s="18" t="s">
        <v>28</v>
      </c>
      <c r="K3061" s="18" t="s">
        <v>28</v>
      </c>
      <c r="L3061" s="18" t="s">
        <v>28</v>
      </c>
      <c r="M3061" s="18" t="s">
        <v>28</v>
      </c>
      <c r="N3061" s="17">
        <v>44727</v>
      </c>
      <c r="O3061" s="15" t="s">
        <v>99</v>
      </c>
      <c r="P3061" s="16" t="s">
        <v>10259</v>
      </c>
      <c r="Q3061" s="15" t="s">
        <v>37</v>
      </c>
      <c r="R3061" s="13" t="str">
        <f>HYPERLINK("https://my.pitchbook.com?c=196227-19T","View Company Online")</f>
        <v>View Company Online</v>
      </c>
    </row>
    <row r="3062" spans="1:18" hidden="1" x14ac:dyDescent="0.3">
      <c r="A3062" s="9" t="s">
        <v>10260</v>
      </c>
      <c r="B3062" s="9" t="s">
        <v>10261</v>
      </c>
      <c r="C3062" s="11" t="s">
        <v>28</v>
      </c>
      <c r="D3062" s="9" t="s">
        <v>10262</v>
      </c>
      <c r="E3062" s="11" t="s">
        <v>28</v>
      </c>
      <c r="F3062" s="10" t="s">
        <v>28</v>
      </c>
      <c r="G3062" s="10">
        <v>1.33</v>
      </c>
      <c r="H3062" s="10" t="s">
        <v>28</v>
      </c>
      <c r="I3062" s="11" t="s">
        <v>28</v>
      </c>
      <c r="J3062" s="11" t="s">
        <v>28</v>
      </c>
      <c r="K3062" s="11" t="s">
        <v>28</v>
      </c>
      <c r="L3062" s="11" t="s">
        <v>28</v>
      </c>
      <c r="M3062" s="11" t="s">
        <v>28</v>
      </c>
      <c r="N3062" s="8">
        <v>44727</v>
      </c>
      <c r="O3062" s="9" t="s">
        <v>99</v>
      </c>
      <c r="P3062" s="12" t="s">
        <v>10263</v>
      </c>
      <c r="Q3062" s="9" t="s">
        <v>95</v>
      </c>
      <c r="R3062" s="14" t="str">
        <f>HYPERLINK("https://my.pitchbook.com?c=196237-00T","View Company Online")</f>
        <v>View Company Online</v>
      </c>
    </row>
    <row r="3063" spans="1:18" hidden="1" x14ac:dyDescent="0.3">
      <c r="A3063" s="15" t="s">
        <v>10264</v>
      </c>
      <c r="B3063" s="15" t="s">
        <v>3095</v>
      </c>
      <c r="C3063" s="18" t="s">
        <v>28</v>
      </c>
      <c r="D3063" s="15" t="s">
        <v>3096</v>
      </c>
      <c r="E3063" s="18" t="s">
        <v>28</v>
      </c>
      <c r="F3063" s="19" t="s">
        <v>28</v>
      </c>
      <c r="G3063" s="19">
        <v>2</v>
      </c>
      <c r="H3063" s="19" t="s">
        <v>28</v>
      </c>
      <c r="I3063" s="18" t="s">
        <v>28</v>
      </c>
      <c r="J3063" s="18" t="s">
        <v>28</v>
      </c>
      <c r="K3063" s="18" t="s">
        <v>28</v>
      </c>
      <c r="L3063" s="18" t="s">
        <v>28</v>
      </c>
      <c r="M3063" s="18" t="s">
        <v>28</v>
      </c>
      <c r="N3063" s="17">
        <v>44727</v>
      </c>
      <c r="O3063" s="15" t="s">
        <v>73</v>
      </c>
      <c r="P3063" s="16" t="s">
        <v>28</v>
      </c>
      <c r="Q3063" s="15" t="s">
        <v>404</v>
      </c>
      <c r="R3063" s="13" t="str">
        <f>HYPERLINK("https://my.pitchbook.com?c=214644-16T","View Company Online")</f>
        <v>View Company Online</v>
      </c>
    </row>
    <row r="3064" spans="1:18" hidden="1" x14ac:dyDescent="0.3">
      <c r="A3064" s="9" t="s">
        <v>10265</v>
      </c>
      <c r="B3064" s="9" t="s">
        <v>225</v>
      </c>
      <c r="C3064" s="11" t="s">
        <v>28</v>
      </c>
      <c r="D3064" s="9" t="s">
        <v>10266</v>
      </c>
      <c r="E3064" s="11">
        <v>157.54</v>
      </c>
      <c r="F3064" s="10" t="s">
        <v>28</v>
      </c>
      <c r="G3064" s="10">
        <v>212.03</v>
      </c>
      <c r="H3064" s="10" t="s">
        <v>28</v>
      </c>
      <c r="I3064" s="11">
        <v>206.05</v>
      </c>
      <c r="J3064" s="11" t="s">
        <v>28</v>
      </c>
      <c r="K3064" s="11">
        <v>280.52999999999997</v>
      </c>
      <c r="L3064" s="11" t="s">
        <v>28</v>
      </c>
      <c r="M3064" s="11">
        <v>110.77</v>
      </c>
      <c r="N3064" s="8">
        <v>44727</v>
      </c>
      <c r="O3064" s="9" t="s">
        <v>423</v>
      </c>
      <c r="P3064" s="12" t="s">
        <v>28</v>
      </c>
      <c r="Q3064" s="9" t="s">
        <v>268</v>
      </c>
      <c r="R3064" s="14" t="str">
        <f>HYPERLINK("https://my.pitchbook.com?c=196225-21T","View Company Online")</f>
        <v>View Company Online</v>
      </c>
    </row>
    <row r="3065" spans="1:18" hidden="1" x14ac:dyDescent="0.3">
      <c r="A3065" s="15" t="s">
        <v>10267</v>
      </c>
      <c r="B3065" s="15" t="s">
        <v>3185</v>
      </c>
      <c r="C3065" s="18" t="s">
        <v>28</v>
      </c>
      <c r="D3065" s="15" t="s">
        <v>3186</v>
      </c>
      <c r="E3065" s="18" t="s">
        <v>28</v>
      </c>
      <c r="F3065" s="19" t="s">
        <v>28</v>
      </c>
      <c r="G3065" s="19">
        <v>0.01</v>
      </c>
      <c r="H3065" s="19" t="s">
        <v>28</v>
      </c>
      <c r="I3065" s="18" t="s">
        <v>28</v>
      </c>
      <c r="J3065" s="18" t="s">
        <v>28</v>
      </c>
      <c r="K3065" s="18" t="s">
        <v>28</v>
      </c>
      <c r="L3065" s="18" t="s">
        <v>28</v>
      </c>
      <c r="M3065" s="18" t="s">
        <v>28</v>
      </c>
      <c r="N3065" s="17">
        <v>44727</v>
      </c>
      <c r="O3065" s="15" t="s">
        <v>47</v>
      </c>
      <c r="P3065" s="16" t="s">
        <v>10268</v>
      </c>
      <c r="Q3065" s="15" t="s">
        <v>1007</v>
      </c>
      <c r="R3065" s="13" t="str">
        <f>HYPERLINK("https://my.pitchbook.com?c=275792-50T","View Company Online")</f>
        <v>View Company Online</v>
      </c>
    </row>
    <row r="3066" spans="1:18" hidden="1" x14ac:dyDescent="0.3">
      <c r="A3066" s="9" t="s">
        <v>10269</v>
      </c>
      <c r="B3066" s="9" t="s">
        <v>10270</v>
      </c>
      <c r="C3066" s="11" t="s">
        <v>28</v>
      </c>
      <c r="D3066" s="9" t="s">
        <v>10271</v>
      </c>
      <c r="E3066" s="11" t="s">
        <v>28</v>
      </c>
      <c r="F3066" s="10" t="s">
        <v>28</v>
      </c>
      <c r="G3066" s="10">
        <v>2.5</v>
      </c>
      <c r="H3066" s="10" t="s">
        <v>28</v>
      </c>
      <c r="I3066" s="11" t="s">
        <v>28</v>
      </c>
      <c r="J3066" s="11" t="s">
        <v>28</v>
      </c>
      <c r="K3066" s="11" t="s">
        <v>28</v>
      </c>
      <c r="L3066" s="11" t="s">
        <v>28</v>
      </c>
      <c r="M3066" s="11" t="s">
        <v>28</v>
      </c>
      <c r="N3066" s="8">
        <v>44727</v>
      </c>
      <c r="O3066" s="9" t="s">
        <v>99</v>
      </c>
      <c r="P3066" s="12" t="s">
        <v>140</v>
      </c>
      <c r="Q3066" s="9" t="s">
        <v>114</v>
      </c>
      <c r="R3066" s="14" t="str">
        <f>HYPERLINK("https://my.pitchbook.com?c=226768-60T","View Company Online")</f>
        <v>View Company Online</v>
      </c>
    </row>
    <row r="3067" spans="1:18" hidden="1" x14ac:dyDescent="0.3">
      <c r="A3067" s="15" t="s">
        <v>10272</v>
      </c>
      <c r="B3067" s="15" t="s">
        <v>10273</v>
      </c>
      <c r="C3067" s="18" t="s">
        <v>28</v>
      </c>
      <c r="D3067" s="15" t="s">
        <v>10274</v>
      </c>
      <c r="E3067" s="18" t="s">
        <v>28</v>
      </c>
      <c r="F3067" s="19" t="s">
        <v>28</v>
      </c>
      <c r="G3067" s="19">
        <v>4.2</v>
      </c>
      <c r="H3067" s="19">
        <v>39.200000000000003</v>
      </c>
      <c r="I3067" s="18" t="s">
        <v>28</v>
      </c>
      <c r="J3067" s="18" t="s">
        <v>28</v>
      </c>
      <c r="K3067" s="18" t="s">
        <v>28</v>
      </c>
      <c r="L3067" s="18" t="s">
        <v>28</v>
      </c>
      <c r="M3067" s="18" t="s">
        <v>28</v>
      </c>
      <c r="N3067" s="17">
        <v>44726</v>
      </c>
      <c r="O3067" s="15" t="s">
        <v>73</v>
      </c>
      <c r="P3067" s="16" t="s">
        <v>10275</v>
      </c>
      <c r="Q3067" s="15" t="s">
        <v>75</v>
      </c>
      <c r="R3067" s="13" t="str">
        <f>HYPERLINK("https://my.pitchbook.com?c=201606-58T","View Company Online")</f>
        <v>View Company Online</v>
      </c>
    </row>
    <row r="3068" spans="1:18" hidden="1" x14ac:dyDescent="0.3">
      <c r="A3068" s="9" t="s">
        <v>10276</v>
      </c>
      <c r="B3068" s="9" t="s">
        <v>10277</v>
      </c>
      <c r="C3068" s="11" t="s">
        <v>28</v>
      </c>
      <c r="D3068" s="9" t="s">
        <v>10278</v>
      </c>
      <c r="E3068" s="11" t="s">
        <v>28</v>
      </c>
      <c r="F3068" s="10" t="s">
        <v>28</v>
      </c>
      <c r="G3068" s="10" t="s">
        <v>28</v>
      </c>
      <c r="H3068" s="10" t="s">
        <v>28</v>
      </c>
      <c r="I3068" s="11" t="s">
        <v>28</v>
      </c>
      <c r="J3068" s="11" t="s">
        <v>28</v>
      </c>
      <c r="K3068" s="11" t="s">
        <v>28</v>
      </c>
      <c r="L3068" s="11" t="s">
        <v>28</v>
      </c>
      <c r="M3068" s="11" t="s">
        <v>28</v>
      </c>
      <c r="N3068" s="8">
        <v>44726</v>
      </c>
      <c r="O3068" s="9" t="s">
        <v>30</v>
      </c>
      <c r="P3068" s="12" t="s">
        <v>10279</v>
      </c>
      <c r="Q3068" s="9" t="s">
        <v>75</v>
      </c>
      <c r="R3068" s="14" t="str">
        <f>HYPERLINK("https://my.pitchbook.com?c=196110-28T","View Company Online")</f>
        <v>View Company Online</v>
      </c>
    </row>
    <row r="3069" spans="1:18" hidden="1" x14ac:dyDescent="0.3">
      <c r="A3069" s="15" t="s">
        <v>10280</v>
      </c>
      <c r="B3069" s="15" t="s">
        <v>10281</v>
      </c>
      <c r="C3069" s="18" t="s">
        <v>28</v>
      </c>
      <c r="D3069" s="15" t="s">
        <v>10282</v>
      </c>
      <c r="E3069" s="18" t="s">
        <v>28</v>
      </c>
      <c r="F3069" s="19" t="s">
        <v>28</v>
      </c>
      <c r="G3069" s="19" t="s">
        <v>28</v>
      </c>
      <c r="H3069" s="19" t="s">
        <v>28</v>
      </c>
      <c r="I3069" s="18" t="s">
        <v>28</v>
      </c>
      <c r="J3069" s="18" t="s">
        <v>28</v>
      </c>
      <c r="K3069" s="18" t="s">
        <v>28</v>
      </c>
      <c r="L3069" s="18" t="s">
        <v>28</v>
      </c>
      <c r="M3069" s="18" t="s">
        <v>28</v>
      </c>
      <c r="N3069" s="17">
        <v>44726</v>
      </c>
      <c r="O3069" s="15" t="s">
        <v>30</v>
      </c>
      <c r="P3069" s="16" t="s">
        <v>10283</v>
      </c>
      <c r="Q3069" s="15" t="s">
        <v>105</v>
      </c>
      <c r="R3069" s="13" t="str">
        <f>HYPERLINK("https://my.pitchbook.com?c=206823-70T","View Company Online")</f>
        <v>View Company Online</v>
      </c>
    </row>
    <row r="3070" spans="1:18" hidden="1" x14ac:dyDescent="0.3">
      <c r="A3070" s="9" t="s">
        <v>10284</v>
      </c>
      <c r="B3070" s="9" t="s">
        <v>10285</v>
      </c>
      <c r="C3070" s="11" t="s">
        <v>28</v>
      </c>
      <c r="D3070" s="9" t="s">
        <v>10286</v>
      </c>
      <c r="E3070" s="11" t="s">
        <v>28</v>
      </c>
      <c r="F3070" s="10" t="s">
        <v>28</v>
      </c>
      <c r="G3070" s="10">
        <v>0.17</v>
      </c>
      <c r="H3070" s="10" t="s">
        <v>28</v>
      </c>
      <c r="I3070" s="11" t="s">
        <v>28</v>
      </c>
      <c r="J3070" s="11" t="s">
        <v>28</v>
      </c>
      <c r="K3070" s="11" t="s">
        <v>28</v>
      </c>
      <c r="L3070" s="11" t="s">
        <v>28</v>
      </c>
      <c r="M3070" s="11" t="s">
        <v>28</v>
      </c>
      <c r="N3070" s="8">
        <v>44726</v>
      </c>
      <c r="O3070" s="9" t="s">
        <v>1639</v>
      </c>
      <c r="P3070" s="12" t="s">
        <v>28</v>
      </c>
      <c r="Q3070" s="9" t="s">
        <v>409</v>
      </c>
      <c r="R3070" s="14" t="str">
        <f>HYPERLINK("https://my.pitchbook.com?c=196157-62T","View Company Online")</f>
        <v>View Company Online</v>
      </c>
    </row>
    <row r="3071" spans="1:18" hidden="1" x14ac:dyDescent="0.3">
      <c r="A3071" s="15" t="s">
        <v>10287</v>
      </c>
      <c r="B3071" s="15" t="s">
        <v>10288</v>
      </c>
      <c r="C3071" s="18" t="s">
        <v>28</v>
      </c>
      <c r="D3071" s="15" t="s">
        <v>10289</v>
      </c>
      <c r="E3071" s="18" t="s">
        <v>28</v>
      </c>
      <c r="F3071" s="19" t="s">
        <v>28</v>
      </c>
      <c r="G3071" s="19">
        <v>0.35</v>
      </c>
      <c r="H3071" s="19" t="s">
        <v>28</v>
      </c>
      <c r="I3071" s="18" t="s">
        <v>28</v>
      </c>
      <c r="J3071" s="18" t="s">
        <v>28</v>
      </c>
      <c r="K3071" s="18" t="s">
        <v>28</v>
      </c>
      <c r="L3071" s="18" t="s">
        <v>28</v>
      </c>
      <c r="M3071" s="18" t="s">
        <v>28</v>
      </c>
      <c r="N3071" s="17">
        <v>44725</v>
      </c>
      <c r="O3071" s="15" t="s">
        <v>1639</v>
      </c>
      <c r="P3071" s="16" t="s">
        <v>28</v>
      </c>
      <c r="Q3071" s="15" t="s">
        <v>249</v>
      </c>
      <c r="R3071" s="13" t="str">
        <f>HYPERLINK("https://my.pitchbook.com?c=196092-82T","View Company Online")</f>
        <v>View Company Online</v>
      </c>
    </row>
    <row r="3072" spans="1:18" hidden="1" x14ac:dyDescent="0.3">
      <c r="A3072" s="9" t="s">
        <v>10290</v>
      </c>
      <c r="B3072" s="9" t="s">
        <v>10291</v>
      </c>
      <c r="C3072" s="11" t="s">
        <v>28</v>
      </c>
      <c r="D3072" s="9" t="s">
        <v>10292</v>
      </c>
      <c r="E3072" s="11" t="s">
        <v>28</v>
      </c>
      <c r="F3072" s="10" t="s">
        <v>28</v>
      </c>
      <c r="G3072" s="10" t="s">
        <v>28</v>
      </c>
      <c r="H3072" s="10" t="s">
        <v>28</v>
      </c>
      <c r="I3072" s="11" t="s">
        <v>28</v>
      </c>
      <c r="J3072" s="11" t="s">
        <v>28</v>
      </c>
      <c r="K3072" s="11" t="s">
        <v>28</v>
      </c>
      <c r="L3072" s="11" t="s">
        <v>28</v>
      </c>
      <c r="M3072" s="11" t="s">
        <v>28</v>
      </c>
      <c r="N3072" s="8">
        <v>44725</v>
      </c>
      <c r="O3072" s="9" t="s">
        <v>41</v>
      </c>
      <c r="P3072" s="12" t="s">
        <v>10293</v>
      </c>
      <c r="Q3072" s="9" t="s">
        <v>245</v>
      </c>
      <c r="R3072" s="14" t="str">
        <f>HYPERLINK("https://my.pitchbook.com?c=196068-52T","View Company Online")</f>
        <v>View Company Online</v>
      </c>
    </row>
    <row r="3073" spans="1:18" hidden="1" x14ac:dyDescent="0.3">
      <c r="A3073" s="15" t="s">
        <v>10294</v>
      </c>
      <c r="B3073" s="15" t="s">
        <v>10295</v>
      </c>
      <c r="C3073" s="18" t="s">
        <v>28</v>
      </c>
      <c r="D3073" s="15" t="s">
        <v>10296</v>
      </c>
      <c r="E3073" s="18" t="s">
        <v>28</v>
      </c>
      <c r="F3073" s="19" t="s">
        <v>28</v>
      </c>
      <c r="G3073" s="19" t="s">
        <v>28</v>
      </c>
      <c r="H3073" s="19" t="s">
        <v>28</v>
      </c>
      <c r="I3073" s="18" t="s">
        <v>28</v>
      </c>
      <c r="J3073" s="18" t="s">
        <v>28</v>
      </c>
      <c r="K3073" s="18" t="s">
        <v>28</v>
      </c>
      <c r="L3073" s="18" t="s">
        <v>28</v>
      </c>
      <c r="M3073" s="18" t="s">
        <v>28</v>
      </c>
      <c r="N3073" s="17">
        <v>44725</v>
      </c>
      <c r="O3073" s="15" t="s">
        <v>41</v>
      </c>
      <c r="P3073" s="16" t="s">
        <v>10297</v>
      </c>
      <c r="Q3073" s="15" t="s">
        <v>183</v>
      </c>
      <c r="R3073" s="13" t="str">
        <f>HYPERLINK("https://my.pitchbook.com?c=196099-03T","View Company Online")</f>
        <v>View Company Online</v>
      </c>
    </row>
    <row r="3074" spans="1:18" hidden="1" x14ac:dyDescent="0.3">
      <c r="A3074" s="9" t="s">
        <v>10298</v>
      </c>
      <c r="B3074" s="9" t="s">
        <v>10299</v>
      </c>
      <c r="C3074" s="11" t="s">
        <v>28</v>
      </c>
      <c r="D3074" s="9" t="s">
        <v>10300</v>
      </c>
      <c r="E3074" s="11" t="s">
        <v>28</v>
      </c>
      <c r="F3074" s="10">
        <v>521.88</v>
      </c>
      <c r="G3074" s="10">
        <v>521.88</v>
      </c>
      <c r="H3074" s="10">
        <v>521.88</v>
      </c>
      <c r="I3074" s="11" t="s">
        <v>28</v>
      </c>
      <c r="J3074" s="11" t="s">
        <v>28</v>
      </c>
      <c r="K3074" s="11">
        <v>67.260000000000005</v>
      </c>
      <c r="L3074" s="11">
        <v>7.76</v>
      </c>
      <c r="M3074" s="11" t="s">
        <v>28</v>
      </c>
      <c r="N3074" s="8">
        <v>44722</v>
      </c>
      <c r="O3074" s="9" t="s">
        <v>30</v>
      </c>
      <c r="P3074" s="12" t="s">
        <v>10301</v>
      </c>
      <c r="Q3074" s="9" t="s">
        <v>54</v>
      </c>
      <c r="R3074" s="14" t="str">
        <f>HYPERLINK("https://my.pitchbook.com?c=188712-01T","View Company Online")</f>
        <v>View Company Online</v>
      </c>
    </row>
    <row r="3075" spans="1:18" hidden="1" x14ac:dyDescent="0.3">
      <c r="A3075" s="15" t="s">
        <v>10302</v>
      </c>
      <c r="B3075" s="15" t="s">
        <v>10303</v>
      </c>
      <c r="C3075" s="18" t="s">
        <v>28</v>
      </c>
      <c r="D3075" s="15" t="s">
        <v>10304</v>
      </c>
      <c r="E3075" s="18" t="s">
        <v>28</v>
      </c>
      <c r="F3075" s="19" t="s">
        <v>28</v>
      </c>
      <c r="G3075" s="19">
        <v>2.86</v>
      </c>
      <c r="H3075" s="19" t="s">
        <v>28</v>
      </c>
      <c r="I3075" s="18" t="s">
        <v>28</v>
      </c>
      <c r="J3075" s="18" t="s">
        <v>28</v>
      </c>
      <c r="K3075" s="18" t="s">
        <v>28</v>
      </c>
      <c r="L3075" s="18" t="s">
        <v>28</v>
      </c>
      <c r="M3075" s="18" t="s">
        <v>28</v>
      </c>
      <c r="N3075" s="17">
        <v>44722</v>
      </c>
      <c r="O3075" s="15" t="s">
        <v>99</v>
      </c>
      <c r="P3075" s="16" t="s">
        <v>10305</v>
      </c>
      <c r="Q3075" s="15" t="s">
        <v>419</v>
      </c>
      <c r="R3075" s="13" t="str">
        <f>HYPERLINK("https://my.pitchbook.com?c=196006-42T","View Company Online")</f>
        <v>View Company Online</v>
      </c>
    </row>
    <row r="3076" spans="1:18" hidden="1" x14ac:dyDescent="0.3">
      <c r="A3076" s="9" t="s">
        <v>10306</v>
      </c>
      <c r="B3076" s="9" t="s">
        <v>10307</v>
      </c>
      <c r="C3076" s="11" t="s">
        <v>28</v>
      </c>
      <c r="D3076" s="9" t="s">
        <v>10308</v>
      </c>
      <c r="E3076" s="11" t="s">
        <v>28</v>
      </c>
      <c r="F3076" s="10" t="s">
        <v>28</v>
      </c>
      <c r="G3076" s="10" t="s">
        <v>28</v>
      </c>
      <c r="H3076" s="10" t="s">
        <v>28</v>
      </c>
      <c r="I3076" s="11" t="s">
        <v>28</v>
      </c>
      <c r="J3076" s="11" t="s">
        <v>28</v>
      </c>
      <c r="K3076" s="11" t="s">
        <v>28</v>
      </c>
      <c r="L3076" s="11" t="s">
        <v>28</v>
      </c>
      <c r="M3076" s="11" t="s">
        <v>28</v>
      </c>
      <c r="N3076" s="8">
        <v>44722</v>
      </c>
      <c r="O3076" s="9" t="s">
        <v>30</v>
      </c>
      <c r="P3076" s="12" t="s">
        <v>9064</v>
      </c>
      <c r="Q3076" s="9" t="s">
        <v>566</v>
      </c>
      <c r="R3076" s="14" t="str">
        <f>HYPERLINK("https://my.pitchbook.com?c=209395-36T","View Company Online")</f>
        <v>View Company Online</v>
      </c>
    </row>
    <row r="3077" spans="1:18" hidden="1" x14ac:dyDescent="0.3">
      <c r="A3077" s="15" t="s">
        <v>10309</v>
      </c>
      <c r="B3077" s="15" t="s">
        <v>10310</v>
      </c>
      <c r="C3077" s="18" t="s">
        <v>28</v>
      </c>
      <c r="D3077" s="15" t="s">
        <v>10311</v>
      </c>
      <c r="E3077" s="18" t="s">
        <v>28</v>
      </c>
      <c r="F3077" s="19">
        <v>4048.92</v>
      </c>
      <c r="G3077" s="19">
        <v>2642.73</v>
      </c>
      <c r="H3077" s="19">
        <v>4048.92</v>
      </c>
      <c r="I3077" s="18" t="s">
        <v>28</v>
      </c>
      <c r="J3077" s="18" t="s">
        <v>28</v>
      </c>
      <c r="K3077" s="18" t="s">
        <v>28</v>
      </c>
      <c r="L3077" s="18" t="s">
        <v>28</v>
      </c>
      <c r="M3077" s="18" t="s">
        <v>28</v>
      </c>
      <c r="N3077" s="17">
        <v>44722</v>
      </c>
      <c r="O3077" s="15" t="s">
        <v>41</v>
      </c>
      <c r="P3077" s="16" t="s">
        <v>10312</v>
      </c>
      <c r="Q3077" s="15" t="s">
        <v>10313</v>
      </c>
      <c r="R3077" s="13" t="str">
        <f>HYPERLINK("https://my.pitchbook.com?c=196280-47T","View Company Online")</f>
        <v>View Company Online</v>
      </c>
    </row>
    <row r="3078" spans="1:18" hidden="1" x14ac:dyDescent="0.3">
      <c r="A3078" s="9" t="s">
        <v>10314</v>
      </c>
      <c r="B3078" s="9" t="s">
        <v>10315</v>
      </c>
      <c r="C3078" s="11" t="s">
        <v>28</v>
      </c>
      <c r="D3078" s="9" t="s">
        <v>10316</v>
      </c>
      <c r="E3078" s="11" t="s">
        <v>28</v>
      </c>
      <c r="F3078" s="10" t="s">
        <v>28</v>
      </c>
      <c r="G3078" s="10" t="s">
        <v>28</v>
      </c>
      <c r="H3078" s="10" t="s">
        <v>28</v>
      </c>
      <c r="I3078" s="11" t="s">
        <v>28</v>
      </c>
      <c r="J3078" s="11" t="s">
        <v>28</v>
      </c>
      <c r="K3078" s="11" t="s">
        <v>28</v>
      </c>
      <c r="L3078" s="11" t="s">
        <v>28</v>
      </c>
      <c r="M3078" s="11" t="s">
        <v>28</v>
      </c>
      <c r="N3078" s="8">
        <v>44721</v>
      </c>
      <c r="O3078" s="9" t="s">
        <v>41</v>
      </c>
      <c r="P3078" s="12" t="s">
        <v>10317</v>
      </c>
      <c r="Q3078" s="9" t="s">
        <v>1035</v>
      </c>
      <c r="R3078" s="14" t="str">
        <f>HYPERLINK("https://my.pitchbook.com?c=200966-41T","View Company Online")</f>
        <v>View Company Online</v>
      </c>
    </row>
    <row r="3079" spans="1:18" hidden="1" x14ac:dyDescent="0.3">
      <c r="A3079" s="15" t="s">
        <v>10318</v>
      </c>
      <c r="B3079" s="15" t="s">
        <v>3095</v>
      </c>
      <c r="C3079" s="18" t="s">
        <v>28</v>
      </c>
      <c r="D3079" s="15" t="s">
        <v>3096</v>
      </c>
      <c r="E3079" s="18" t="s">
        <v>28</v>
      </c>
      <c r="F3079" s="19" t="s">
        <v>28</v>
      </c>
      <c r="G3079" s="19">
        <v>3</v>
      </c>
      <c r="H3079" s="19" t="s">
        <v>28</v>
      </c>
      <c r="I3079" s="18" t="s">
        <v>28</v>
      </c>
      <c r="J3079" s="18" t="s">
        <v>28</v>
      </c>
      <c r="K3079" s="18" t="s">
        <v>28</v>
      </c>
      <c r="L3079" s="18" t="s">
        <v>28</v>
      </c>
      <c r="M3079" s="18" t="s">
        <v>28</v>
      </c>
      <c r="N3079" s="17">
        <v>44721</v>
      </c>
      <c r="O3079" s="15" t="s">
        <v>73</v>
      </c>
      <c r="P3079" s="16" t="s">
        <v>1753</v>
      </c>
      <c r="Q3079" s="15" t="s">
        <v>404</v>
      </c>
      <c r="R3079" s="13" t="str">
        <f>HYPERLINK("https://my.pitchbook.com?c=195967-00T","View Company Online")</f>
        <v>View Company Online</v>
      </c>
    </row>
    <row r="3080" spans="1:18" hidden="1" x14ac:dyDescent="0.3">
      <c r="A3080" s="9" t="s">
        <v>10319</v>
      </c>
      <c r="B3080" s="9" t="s">
        <v>10320</v>
      </c>
      <c r="C3080" s="11" t="s">
        <v>28</v>
      </c>
      <c r="D3080" s="9" t="s">
        <v>10321</v>
      </c>
      <c r="E3080" s="11" t="s">
        <v>28</v>
      </c>
      <c r="F3080" s="10">
        <v>70.150000000000006</v>
      </c>
      <c r="G3080" s="10">
        <v>70.150000000000006</v>
      </c>
      <c r="H3080" s="10">
        <v>70.150000000000006</v>
      </c>
      <c r="I3080" s="11" t="s">
        <v>28</v>
      </c>
      <c r="J3080" s="11" t="s">
        <v>28</v>
      </c>
      <c r="K3080" s="11" t="s">
        <v>28</v>
      </c>
      <c r="L3080" s="11" t="s">
        <v>28</v>
      </c>
      <c r="M3080" s="11" t="s">
        <v>28</v>
      </c>
      <c r="N3080" s="8">
        <v>44721</v>
      </c>
      <c r="O3080" s="9" t="s">
        <v>30</v>
      </c>
      <c r="P3080" s="12" t="s">
        <v>10322</v>
      </c>
      <c r="Q3080" s="9" t="s">
        <v>136</v>
      </c>
      <c r="R3080" s="14" t="str">
        <f>HYPERLINK("https://my.pitchbook.com?c=195958-81T","View Company Online")</f>
        <v>View Company Online</v>
      </c>
    </row>
    <row r="3081" spans="1:18" hidden="1" x14ac:dyDescent="0.3">
      <c r="A3081" s="15" t="s">
        <v>10323</v>
      </c>
      <c r="B3081" s="15" t="s">
        <v>10324</v>
      </c>
      <c r="C3081" s="18" t="s">
        <v>28</v>
      </c>
      <c r="D3081" s="15" t="s">
        <v>10325</v>
      </c>
      <c r="E3081" s="18" t="s">
        <v>28</v>
      </c>
      <c r="F3081" s="19" t="s">
        <v>28</v>
      </c>
      <c r="G3081" s="19" t="s">
        <v>28</v>
      </c>
      <c r="H3081" s="19" t="s">
        <v>28</v>
      </c>
      <c r="I3081" s="18" t="s">
        <v>28</v>
      </c>
      <c r="J3081" s="18" t="s">
        <v>28</v>
      </c>
      <c r="K3081" s="18">
        <v>0.37</v>
      </c>
      <c r="L3081" s="18" t="s">
        <v>28</v>
      </c>
      <c r="M3081" s="18" t="s">
        <v>28</v>
      </c>
      <c r="N3081" s="17">
        <v>44721</v>
      </c>
      <c r="O3081" s="15" t="s">
        <v>30</v>
      </c>
      <c r="P3081" s="16" t="s">
        <v>10326</v>
      </c>
      <c r="Q3081" s="15" t="s">
        <v>362</v>
      </c>
      <c r="R3081" s="13" t="str">
        <f>HYPERLINK("https://my.pitchbook.com?c=209482-66T","View Company Online")</f>
        <v>View Company Online</v>
      </c>
    </row>
    <row r="3082" spans="1:18" hidden="1" x14ac:dyDescent="0.3">
      <c r="A3082" s="9" t="s">
        <v>10327</v>
      </c>
      <c r="B3082" s="9" t="s">
        <v>440</v>
      </c>
      <c r="C3082" s="11" t="s">
        <v>28</v>
      </c>
      <c r="D3082" s="9" t="s">
        <v>441</v>
      </c>
      <c r="E3082" s="11" t="s">
        <v>28</v>
      </c>
      <c r="F3082" s="10" t="s">
        <v>28</v>
      </c>
      <c r="G3082" s="10">
        <v>0.41</v>
      </c>
      <c r="H3082" s="10" t="s">
        <v>28</v>
      </c>
      <c r="I3082" s="11" t="s">
        <v>28</v>
      </c>
      <c r="J3082" s="11" t="s">
        <v>28</v>
      </c>
      <c r="K3082" s="11" t="s">
        <v>28</v>
      </c>
      <c r="L3082" s="11" t="s">
        <v>28</v>
      </c>
      <c r="M3082" s="11" t="s">
        <v>28</v>
      </c>
      <c r="N3082" s="8">
        <v>44721</v>
      </c>
      <c r="O3082" s="9" t="s">
        <v>99</v>
      </c>
      <c r="P3082" s="12" t="s">
        <v>10328</v>
      </c>
      <c r="Q3082" s="9" t="s">
        <v>414</v>
      </c>
      <c r="R3082" s="14" t="str">
        <f>HYPERLINK("https://my.pitchbook.com?c=195773-50T","View Company Online")</f>
        <v>View Company Online</v>
      </c>
    </row>
    <row r="3083" spans="1:18" hidden="1" x14ac:dyDescent="0.3">
      <c r="A3083" s="15" t="s">
        <v>10329</v>
      </c>
      <c r="B3083" s="15" t="s">
        <v>10330</v>
      </c>
      <c r="C3083" s="18" t="s">
        <v>28</v>
      </c>
      <c r="D3083" s="15" t="s">
        <v>10331</v>
      </c>
      <c r="E3083" s="18" t="s">
        <v>28</v>
      </c>
      <c r="F3083" s="19" t="s">
        <v>28</v>
      </c>
      <c r="G3083" s="19" t="s">
        <v>28</v>
      </c>
      <c r="H3083" s="19" t="s">
        <v>28</v>
      </c>
      <c r="I3083" s="18" t="s">
        <v>28</v>
      </c>
      <c r="J3083" s="18" t="s">
        <v>28</v>
      </c>
      <c r="K3083" s="18" t="s">
        <v>28</v>
      </c>
      <c r="L3083" s="18" t="s">
        <v>28</v>
      </c>
      <c r="M3083" s="18" t="s">
        <v>28</v>
      </c>
      <c r="N3083" s="17">
        <v>44721</v>
      </c>
      <c r="O3083" s="15" t="s">
        <v>30</v>
      </c>
      <c r="P3083" s="16" t="s">
        <v>2671</v>
      </c>
      <c r="Q3083" s="15" t="s">
        <v>285</v>
      </c>
      <c r="R3083" s="13" t="str">
        <f>HYPERLINK("https://my.pitchbook.com?c=195887-26T","View Company Online")</f>
        <v>View Company Online</v>
      </c>
    </row>
    <row r="3084" spans="1:18" hidden="1" x14ac:dyDescent="0.3">
      <c r="A3084" s="9" t="s">
        <v>10332</v>
      </c>
      <c r="B3084" s="9" t="s">
        <v>10333</v>
      </c>
      <c r="C3084" s="11" t="s">
        <v>28</v>
      </c>
      <c r="D3084" s="9" t="s">
        <v>10334</v>
      </c>
      <c r="E3084" s="11" t="s">
        <v>28</v>
      </c>
      <c r="F3084" s="10" t="s">
        <v>28</v>
      </c>
      <c r="G3084" s="10" t="s">
        <v>28</v>
      </c>
      <c r="H3084" s="10" t="s">
        <v>28</v>
      </c>
      <c r="I3084" s="11" t="s">
        <v>28</v>
      </c>
      <c r="J3084" s="11" t="s">
        <v>28</v>
      </c>
      <c r="K3084" s="11" t="s">
        <v>28</v>
      </c>
      <c r="L3084" s="11" t="s">
        <v>28</v>
      </c>
      <c r="M3084" s="11" t="s">
        <v>28</v>
      </c>
      <c r="N3084" s="8">
        <v>44721</v>
      </c>
      <c r="O3084" s="9" t="s">
        <v>30</v>
      </c>
      <c r="P3084" s="12" t="s">
        <v>6364</v>
      </c>
      <c r="Q3084" s="9" t="s">
        <v>404</v>
      </c>
      <c r="R3084" s="14" t="str">
        <f>HYPERLINK("https://my.pitchbook.com?c=211594-96T","View Company Online")</f>
        <v>View Company Online</v>
      </c>
    </row>
    <row r="3085" spans="1:18" hidden="1" x14ac:dyDescent="0.3">
      <c r="A3085" s="15" t="s">
        <v>10335</v>
      </c>
      <c r="B3085" s="15" t="s">
        <v>773</v>
      </c>
      <c r="C3085" s="18" t="s">
        <v>28</v>
      </c>
      <c r="D3085" s="15" t="s">
        <v>6350</v>
      </c>
      <c r="E3085" s="18" t="s">
        <v>28</v>
      </c>
      <c r="F3085" s="19" t="s">
        <v>28</v>
      </c>
      <c r="G3085" s="19">
        <v>21</v>
      </c>
      <c r="H3085" s="19" t="s">
        <v>28</v>
      </c>
      <c r="I3085" s="18" t="s">
        <v>28</v>
      </c>
      <c r="J3085" s="18" t="s">
        <v>28</v>
      </c>
      <c r="K3085" s="18" t="s">
        <v>28</v>
      </c>
      <c r="L3085" s="18" t="s">
        <v>28</v>
      </c>
      <c r="M3085" s="18" t="s">
        <v>28</v>
      </c>
      <c r="N3085" s="17">
        <v>44721</v>
      </c>
      <c r="O3085" s="15" t="s">
        <v>79</v>
      </c>
      <c r="P3085" s="16" t="s">
        <v>10336</v>
      </c>
      <c r="Q3085" s="15" t="s">
        <v>37</v>
      </c>
      <c r="R3085" s="13" t="str">
        <f>HYPERLINK("https://my.pitchbook.com?c=195971-32T","View Company Online")</f>
        <v>View Company Online</v>
      </c>
    </row>
    <row r="3086" spans="1:18" hidden="1" x14ac:dyDescent="0.3">
      <c r="A3086" s="9" t="s">
        <v>10337</v>
      </c>
      <c r="B3086" s="9" t="s">
        <v>7807</v>
      </c>
      <c r="C3086" s="11" t="s">
        <v>28</v>
      </c>
      <c r="D3086" s="9" t="s">
        <v>7808</v>
      </c>
      <c r="E3086" s="11" t="s">
        <v>28</v>
      </c>
      <c r="F3086" s="10" t="s">
        <v>28</v>
      </c>
      <c r="G3086" s="10" t="s">
        <v>28</v>
      </c>
      <c r="H3086" s="10" t="s">
        <v>28</v>
      </c>
      <c r="I3086" s="11" t="s">
        <v>28</v>
      </c>
      <c r="J3086" s="11" t="s">
        <v>28</v>
      </c>
      <c r="K3086" s="11" t="s">
        <v>28</v>
      </c>
      <c r="L3086" s="11" t="s">
        <v>28</v>
      </c>
      <c r="M3086" s="11" t="s">
        <v>28</v>
      </c>
      <c r="N3086" s="8">
        <v>44720</v>
      </c>
      <c r="O3086" s="9" t="s">
        <v>52</v>
      </c>
      <c r="P3086" s="12" t="s">
        <v>5205</v>
      </c>
      <c r="Q3086" s="9" t="s">
        <v>75</v>
      </c>
      <c r="R3086" s="14" t="str">
        <f>HYPERLINK("https://my.pitchbook.com?c=295498-09T","View Company Online")</f>
        <v>View Company Online</v>
      </c>
    </row>
    <row r="3087" spans="1:18" hidden="1" x14ac:dyDescent="0.3">
      <c r="A3087" s="15" t="s">
        <v>10338</v>
      </c>
      <c r="B3087" s="15" t="s">
        <v>82</v>
      </c>
      <c r="C3087" s="18" t="s">
        <v>28</v>
      </c>
      <c r="D3087" s="15" t="s">
        <v>83</v>
      </c>
      <c r="E3087" s="18" t="s">
        <v>28</v>
      </c>
      <c r="F3087" s="19" t="s">
        <v>28</v>
      </c>
      <c r="G3087" s="19">
        <v>34</v>
      </c>
      <c r="H3087" s="19" t="s">
        <v>28</v>
      </c>
      <c r="I3087" s="18" t="s">
        <v>28</v>
      </c>
      <c r="J3087" s="18" t="s">
        <v>28</v>
      </c>
      <c r="K3087" s="18" t="s">
        <v>28</v>
      </c>
      <c r="L3087" s="18" t="s">
        <v>28</v>
      </c>
      <c r="M3087" s="18" t="s">
        <v>28</v>
      </c>
      <c r="N3087" s="17">
        <v>44720</v>
      </c>
      <c r="O3087" s="15" t="s">
        <v>73</v>
      </c>
      <c r="P3087" s="16" t="s">
        <v>10339</v>
      </c>
      <c r="Q3087" s="15" t="s">
        <v>85</v>
      </c>
      <c r="R3087" s="13" t="str">
        <f>HYPERLINK("https://my.pitchbook.com?c=190479-25T","View Company Online")</f>
        <v>View Company Online</v>
      </c>
    </row>
    <row r="3088" spans="1:18" hidden="1" x14ac:dyDescent="0.3">
      <c r="A3088" s="9" t="s">
        <v>10340</v>
      </c>
      <c r="B3088" s="9" t="s">
        <v>5524</v>
      </c>
      <c r="C3088" s="11" t="s">
        <v>28</v>
      </c>
      <c r="D3088" s="9" t="s">
        <v>5525</v>
      </c>
      <c r="E3088" s="11" t="s">
        <v>28</v>
      </c>
      <c r="F3088" s="10" t="s">
        <v>28</v>
      </c>
      <c r="G3088" s="10">
        <v>0.01</v>
      </c>
      <c r="H3088" s="10" t="s">
        <v>28</v>
      </c>
      <c r="I3088" s="11" t="s">
        <v>28</v>
      </c>
      <c r="J3088" s="11" t="s">
        <v>28</v>
      </c>
      <c r="K3088" s="11" t="s">
        <v>28</v>
      </c>
      <c r="L3088" s="11" t="s">
        <v>28</v>
      </c>
      <c r="M3088" s="11" t="s">
        <v>28</v>
      </c>
      <c r="N3088" s="8">
        <v>44720</v>
      </c>
      <c r="O3088" s="9" t="s">
        <v>52</v>
      </c>
      <c r="P3088" s="12" t="s">
        <v>3804</v>
      </c>
      <c r="Q3088" s="9" t="s">
        <v>566</v>
      </c>
      <c r="R3088" s="14" t="str">
        <f>HYPERLINK("https://my.pitchbook.com?c=200323-99T","View Company Online")</f>
        <v>View Company Online</v>
      </c>
    </row>
    <row r="3089" spans="1:18" hidden="1" x14ac:dyDescent="0.3">
      <c r="A3089" s="15" t="s">
        <v>10341</v>
      </c>
      <c r="B3089" s="15" t="s">
        <v>10342</v>
      </c>
      <c r="C3089" s="18" t="s">
        <v>28</v>
      </c>
      <c r="D3089" s="15" t="s">
        <v>10343</v>
      </c>
      <c r="E3089" s="18" t="s">
        <v>28</v>
      </c>
      <c r="F3089" s="19" t="s">
        <v>28</v>
      </c>
      <c r="G3089" s="19" t="s">
        <v>28</v>
      </c>
      <c r="H3089" s="19" t="s">
        <v>28</v>
      </c>
      <c r="I3089" s="18" t="s">
        <v>28</v>
      </c>
      <c r="J3089" s="18" t="s">
        <v>28</v>
      </c>
      <c r="K3089" s="18" t="s">
        <v>28</v>
      </c>
      <c r="L3089" s="18" t="s">
        <v>28</v>
      </c>
      <c r="M3089" s="18" t="s">
        <v>28</v>
      </c>
      <c r="N3089" s="17">
        <v>44720</v>
      </c>
      <c r="O3089" s="15" t="s">
        <v>30</v>
      </c>
      <c r="P3089" s="16" t="s">
        <v>1170</v>
      </c>
      <c r="Q3089" s="15" t="s">
        <v>105</v>
      </c>
      <c r="R3089" s="13" t="str">
        <f>HYPERLINK("https://my.pitchbook.com?c=209298-16T","View Company Online")</f>
        <v>View Company Online</v>
      </c>
    </row>
    <row r="3090" spans="1:18" hidden="1" x14ac:dyDescent="0.3">
      <c r="A3090" s="9" t="s">
        <v>10344</v>
      </c>
      <c r="B3090" s="9" t="s">
        <v>2444</v>
      </c>
      <c r="C3090" s="11" t="s">
        <v>28</v>
      </c>
      <c r="D3090" s="9" t="s">
        <v>2445</v>
      </c>
      <c r="E3090" s="11" t="s">
        <v>28</v>
      </c>
      <c r="F3090" s="10" t="s">
        <v>28</v>
      </c>
      <c r="G3090" s="10">
        <v>10.08</v>
      </c>
      <c r="H3090" s="10" t="s">
        <v>28</v>
      </c>
      <c r="I3090" s="11" t="s">
        <v>28</v>
      </c>
      <c r="J3090" s="11" t="s">
        <v>28</v>
      </c>
      <c r="K3090" s="11" t="s">
        <v>28</v>
      </c>
      <c r="L3090" s="11" t="s">
        <v>28</v>
      </c>
      <c r="M3090" s="11" t="s">
        <v>28</v>
      </c>
      <c r="N3090" s="8">
        <v>44720</v>
      </c>
      <c r="O3090" s="9" t="s">
        <v>99</v>
      </c>
      <c r="P3090" s="12" t="s">
        <v>10345</v>
      </c>
      <c r="Q3090" s="9" t="s">
        <v>37</v>
      </c>
      <c r="R3090" s="14" t="str">
        <f>HYPERLINK("https://my.pitchbook.com?c=200926-00T","View Company Online")</f>
        <v>View Company Online</v>
      </c>
    </row>
    <row r="3091" spans="1:18" hidden="1" x14ac:dyDescent="0.3">
      <c r="A3091" s="15" t="s">
        <v>10346</v>
      </c>
      <c r="B3091" s="15" t="s">
        <v>10347</v>
      </c>
      <c r="C3091" s="18" t="s">
        <v>28</v>
      </c>
      <c r="D3091" s="15" t="s">
        <v>10348</v>
      </c>
      <c r="E3091" s="18" t="s">
        <v>28</v>
      </c>
      <c r="F3091" s="19" t="s">
        <v>28</v>
      </c>
      <c r="G3091" s="19" t="s">
        <v>28</v>
      </c>
      <c r="H3091" s="19" t="s">
        <v>28</v>
      </c>
      <c r="I3091" s="18" t="s">
        <v>28</v>
      </c>
      <c r="J3091" s="18" t="s">
        <v>28</v>
      </c>
      <c r="K3091" s="18" t="s">
        <v>28</v>
      </c>
      <c r="L3091" s="18" t="s">
        <v>28</v>
      </c>
      <c r="M3091" s="18" t="s">
        <v>28</v>
      </c>
      <c r="N3091" s="17">
        <v>44720</v>
      </c>
      <c r="O3091" s="15" t="s">
        <v>30</v>
      </c>
      <c r="P3091" s="16" t="s">
        <v>10349</v>
      </c>
      <c r="Q3091" s="15" t="s">
        <v>37</v>
      </c>
      <c r="R3091" s="13" t="str">
        <f>HYPERLINK("https://my.pitchbook.com?c=202214-71T","View Company Online")</f>
        <v>View Company Online</v>
      </c>
    </row>
    <row r="3092" spans="1:18" hidden="1" x14ac:dyDescent="0.3">
      <c r="A3092" s="9" t="s">
        <v>10350</v>
      </c>
      <c r="B3092" s="9" t="s">
        <v>10351</v>
      </c>
      <c r="C3092" s="11" t="s">
        <v>28</v>
      </c>
      <c r="D3092" s="9" t="s">
        <v>10352</v>
      </c>
      <c r="E3092" s="11" t="s">
        <v>28</v>
      </c>
      <c r="F3092" s="10" t="s">
        <v>28</v>
      </c>
      <c r="G3092" s="10" t="s">
        <v>28</v>
      </c>
      <c r="H3092" s="10" t="s">
        <v>28</v>
      </c>
      <c r="I3092" s="11" t="s">
        <v>28</v>
      </c>
      <c r="J3092" s="11" t="s">
        <v>28</v>
      </c>
      <c r="K3092" s="11" t="s">
        <v>28</v>
      </c>
      <c r="L3092" s="11" t="s">
        <v>28</v>
      </c>
      <c r="M3092" s="11" t="s">
        <v>28</v>
      </c>
      <c r="N3092" s="8">
        <v>44720</v>
      </c>
      <c r="O3092" s="9" t="s">
        <v>30</v>
      </c>
      <c r="P3092" s="12" t="s">
        <v>10353</v>
      </c>
      <c r="Q3092" s="9" t="s">
        <v>226</v>
      </c>
      <c r="R3092" s="14" t="str">
        <f>HYPERLINK("https://my.pitchbook.com?c=249375-79T","View Company Online")</f>
        <v>View Company Online</v>
      </c>
    </row>
    <row r="3093" spans="1:18" hidden="1" x14ac:dyDescent="0.3">
      <c r="A3093" s="15" t="s">
        <v>10354</v>
      </c>
      <c r="B3093" s="15" t="s">
        <v>10355</v>
      </c>
      <c r="C3093" s="18" t="s">
        <v>28</v>
      </c>
      <c r="D3093" s="15" t="s">
        <v>10356</v>
      </c>
      <c r="E3093" s="18" t="s">
        <v>28</v>
      </c>
      <c r="F3093" s="19">
        <v>15</v>
      </c>
      <c r="G3093" s="19">
        <v>15</v>
      </c>
      <c r="H3093" s="19">
        <v>15</v>
      </c>
      <c r="I3093" s="18" t="s">
        <v>28</v>
      </c>
      <c r="J3093" s="18" t="s">
        <v>28</v>
      </c>
      <c r="K3093" s="18" t="s">
        <v>28</v>
      </c>
      <c r="L3093" s="18" t="s">
        <v>28</v>
      </c>
      <c r="M3093" s="18" t="s">
        <v>28</v>
      </c>
      <c r="N3093" s="17">
        <v>44720</v>
      </c>
      <c r="O3093" s="15" t="s">
        <v>30</v>
      </c>
      <c r="P3093" s="16" t="s">
        <v>10357</v>
      </c>
      <c r="Q3093" s="15" t="s">
        <v>566</v>
      </c>
      <c r="R3093" s="13" t="str">
        <f>HYPERLINK("https://my.pitchbook.com?c=193635-91T","View Company Online")</f>
        <v>View Company Online</v>
      </c>
    </row>
    <row r="3094" spans="1:18" hidden="1" x14ac:dyDescent="0.3">
      <c r="A3094" s="9" t="s">
        <v>10358</v>
      </c>
      <c r="B3094" s="9" t="s">
        <v>618</v>
      </c>
      <c r="C3094" s="11" t="s">
        <v>28</v>
      </c>
      <c r="D3094" s="9" t="s">
        <v>619</v>
      </c>
      <c r="E3094" s="11" t="s">
        <v>28</v>
      </c>
      <c r="F3094" s="10" t="s">
        <v>28</v>
      </c>
      <c r="G3094" s="10">
        <v>70</v>
      </c>
      <c r="H3094" s="10" t="s">
        <v>28</v>
      </c>
      <c r="I3094" s="11" t="s">
        <v>28</v>
      </c>
      <c r="J3094" s="11" t="s">
        <v>28</v>
      </c>
      <c r="K3094" s="11">
        <v>67.27</v>
      </c>
      <c r="L3094" s="11" t="s">
        <v>28</v>
      </c>
      <c r="M3094" s="11" t="s">
        <v>28</v>
      </c>
      <c r="N3094" s="8">
        <v>44719</v>
      </c>
      <c r="O3094" s="9" t="s">
        <v>93</v>
      </c>
      <c r="P3094" s="12" t="s">
        <v>10359</v>
      </c>
      <c r="Q3094" s="9" t="s">
        <v>263</v>
      </c>
      <c r="R3094" s="14" t="str">
        <f>HYPERLINK("https://my.pitchbook.com?c=195628-42T","View Company Online")</f>
        <v>View Company Online</v>
      </c>
    </row>
    <row r="3095" spans="1:18" hidden="1" x14ac:dyDescent="0.3">
      <c r="A3095" s="15" t="s">
        <v>10360</v>
      </c>
      <c r="B3095" s="15" t="s">
        <v>10361</v>
      </c>
      <c r="C3095" s="18" t="s">
        <v>28</v>
      </c>
      <c r="D3095" s="15" t="s">
        <v>10362</v>
      </c>
      <c r="E3095" s="18" t="s">
        <v>28</v>
      </c>
      <c r="F3095" s="19">
        <v>1424.68</v>
      </c>
      <c r="G3095" s="19">
        <v>1424.68</v>
      </c>
      <c r="H3095" s="19">
        <v>1424.68</v>
      </c>
      <c r="I3095" s="18" t="s">
        <v>28</v>
      </c>
      <c r="J3095" s="18" t="s">
        <v>28</v>
      </c>
      <c r="K3095" s="18" t="s">
        <v>28</v>
      </c>
      <c r="L3095" s="18" t="s">
        <v>28</v>
      </c>
      <c r="M3095" s="18" t="s">
        <v>28</v>
      </c>
      <c r="N3095" s="17">
        <v>44719</v>
      </c>
      <c r="O3095" s="15" t="s">
        <v>41</v>
      </c>
      <c r="P3095" s="16" t="s">
        <v>10363</v>
      </c>
      <c r="Q3095" s="15" t="s">
        <v>109</v>
      </c>
      <c r="R3095" s="13" t="str">
        <f>HYPERLINK("https://my.pitchbook.com?c=169070-23T","View Company Online")</f>
        <v>View Company Online</v>
      </c>
    </row>
    <row r="3096" spans="1:18" hidden="1" x14ac:dyDescent="0.3">
      <c r="A3096" s="9" t="s">
        <v>10364</v>
      </c>
      <c r="B3096" s="9" t="s">
        <v>10365</v>
      </c>
      <c r="C3096" s="11" t="s">
        <v>28</v>
      </c>
      <c r="D3096" s="9" t="s">
        <v>10366</v>
      </c>
      <c r="E3096" s="11" t="s">
        <v>28</v>
      </c>
      <c r="F3096" s="10" t="s">
        <v>28</v>
      </c>
      <c r="G3096" s="10" t="s">
        <v>28</v>
      </c>
      <c r="H3096" s="10" t="s">
        <v>28</v>
      </c>
      <c r="I3096" s="11" t="s">
        <v>28</v>
      </c>
      <c r="J3096" s="11" t="s">
        <v>28</v>
      </c>
      <c r="K3096" s="11" t="s">
        <v>28</v>
      </c>
      <c r="L3096" s="11" t="s">
        <v>28</v>
      </c>
      <c r="M3096" s="11" t="s">
        <v>28</v>
      </c>
      <c r="N3096" s="8">
        <v>44719</v>
      </c>
      <c r="O3096" s="9" t="s">
        <v>52</v>
      </c>
      <c r="P3096" s="12" t="s">
        <v>10367</v>
      </c>
      <c r="Q3096" s="9" t="s">
        <v>75</v>
      </c>
      <c r="R3096" s="14" t="str">
        <f>HYPERLINK("https://my.pitchbook.com?c=262519-48T","View Company Online")</f>
        <v>View Company Online</v>
      </c>
    </row>
    <row r="3097" spans="1:18" hidden="1" x14ac:dyDescent="0.3">
      <c r="A3097" s="15" t="s">
        <v>10368</v>
      </c>
      <c r="B3097" s="15" t="s">
        <v>10369</v>
      </c>
      <c r="C3097" s="18" t="s">
        <v>28</v>
      </c>
      <c r="D3097" s="15" t="s">
        <v>10370</v>
      </c>
      <c r="E3097" s="18" t="s">
        <v>28</v>
      </c>
      <c r="F3097" s="19" t="s">
        <v>28</v>
      </c>
      <c r="G3097" s="19" t="s">
        <v>28</v>
      </c>
      <c r="H3097" s="19" t="s">
        <v>28</v>
      </c>
      <c r="I3097" s="18" t="s">
        <v>28</v>
      </c>
      <c r="J3097" s="18" t="s">
        <v>28</v>
      </c>
      <c r="K3097" s="18" t="s">
        <v>28</v>
      </c>
      <c r="L3097" s="18" t="s">
        <v>28</v>
      </c>
      <c r="M3097" s="18" t="s">
        <v>28</v>
      </c>
      <c r="N3097" s="17">
        <v>44719</v>
      </c>
      <c r="O3097" s="15" t="s">
        <v>41</v>
      </c>
      <c r="P3097" s="16" t="s">
        <v>10371</v>
      </c>
      <c r="Q3097" s="15" t="s">
        <v>43</v>
      </c>
      <c r="R3097" s="13" t="str">
        <f>HYPERLINK("https://my.pitchbook.com?c=214642-72T","View Company Online")</f>
        <v>View Company Online</v>
      </c>
    </row>
    <row r="3098" spans="1:18" hidden="1" x14ac:dyDescent="0.3">
      <c r="A3098" s="9" t="s">
        <v>10372</v>
      </c>
      <c r="B3098" s="9" t="s">
        <v>9133</v>
      </c>
      <c r="C3098" s="11" t="s">
        <v>28</v>
      </c>
      <c r="D3098" s="9" t="s">
        <v>9134</v>
      </c>
      <c r="E3098" s="11" t="s">
        <v>28</v>
      </c>
      <c r="F3098" s="10" t="s">
        <v>28</v>
      </c>
      <c r="G3098" s="10">
        <v>0.41</v>
      </c>
      <c r="H3098" s="10" t="s">
        <v>28</v>
      </c>
      <c r="I3098" s="11" t="s">
        <v>28</v>
      </c>
      <c r="J3098" s="11" t="s">
        <v>28</v>
      </c>
      <c r="K3098" s="11">
        <v>0.26</v>
      </c>
      <c r="L3098" s="11" t="s">
        <v>28</v>
      </c>
      <c r="M3098" s="11" t="s">
        <v>28</v>
      </c>
      <c r="N3098" s="8">
        <v>44718</v>
      </c>
      <c r="O3098" s="9" t="s">
        <v>1639</v>
      </c>
      <c r="P3098" s="12" t="s">
        <v>28</v>
      </c>
      <c r="Q3098" s="9" t="s">
        <v>75</v>
      </c>
      <c r="R3098" s="14" t="str">
        <f>HYPERLINK("https://my.pitchbook.com?c=195523-12T","View Company Online")</f>
        <v>View Company Online</v>
      </c>
    </row>
    <row r="3099" spans="1:18" hidden="1" x14ac:dyDescent="0.3">
      <c r="A3099" s="15" t="s">
        <v>10373</v>
      </c>
      <c r="B3099" s="15" t="s">
        <v>10374</v>
      </c>
      <c r="C3099" s="18" t="s">
        <v>28</v>
      </c>
      <c r="D3099" s="15" t="s">
        <v>10375</v>
      </c>
      <c r="E3099" s="18" t="s">
        <v>28</v>
      </c>
      <c r="F3099" s="19" t="s">
        <v>28</v>
      </c>
      <c r="G3099" s="19">
        <v>1</v>
      </c>
      <c r="H3099" s="19" t="s">
        <v>28</v>
      </c>
      <c r="I3099" s="18" t="s">
        <v>28</v>
      </c>
      <c r="J3099" s="18" t="s">
        <v>28</v>
      </c>
      <c r="K3099" s="18" t="s">
        <v>28</v>
      </c>
      <c r="L3099" s="18" t="s">
        <v>28</v>
      </c>
      <c r="M3099" s="18" t="s">
        <v>28</v>
      </c>
      <c r="N3099" s="17">
        <v>44715</v>
      </c>
      <c r="O3099" s="15" t="s">
        <v>379</v>
      </c>
      <c r="P3099" s="16" t="s">
        <v>28</v>
      </c>
      <c r="Q3099" s="15" t="s">
        <v>75</v>
      </c>
      <c r="R3099" s="13" t="str">
        <f>HYPERLINK("https://my.pitchbook.com?c=195454-36T","View Company Online")</f>
        <v>View Company Online</v>
      </c>
    </row>
    <row r="3100" spans="1:18" hidden="1" x14ac:dyDescent="0.3">
      <c r="A3100" s="9" t="s">
        <v>10376</v>
      </c>
      <c r="B3100" s="9" t="s">
        <v>10377</v>
      </c>
      <c r="C3100" s="11" t="s">
        <v>28</v>
      </c>
      <c r="D3100" s="9" t="s">
        <v>10378</v>
      </c>
      <c r="E3100" s="11" t="s">
        <v>28</v>
      </c>
      <c r="F3100" s="10">
        <v>6.58</v>
      </c>
      <c r="G3100" s="10">
        <v>6.58</v>
      </c>
      <c r="H3100" s="10">
        <v>6.58</v>
      </c>
      <c r="I3100" s="11" t="s">
        <v>28</v>
      </c>
      <c r="J3100" s="11" t="s">
        <v>28</v>
      </c>
      <c r="K3100" s="11" t="s">
        <v>28</v>
      </c>
      <c r="L3100" s="11" t="s">
        <v>28</v>
      </c>
      <c r="M3100" s="11" t="s">
        <v>28</v>
      </c>
      <c r="N3100" s="8">
        <v>44715</v>
      </c>
      <c r="O3100" s="9" t="s">
        <v>41</v>
      </c>
      <c r="P3100" s="12" t="s">
        <v>8586</v>
      </c>
      <c r="Q3100" s="9" t="s">
        <v>290</v>
      </c>
      <c r="R3100" s="14" t="str">
        <f>HYPERLINK("https://my.pitchbook.com?c=195730-75T","View Company Online")</f>
        <v>View Company Online</v>
      </c>
    </row>
    <row r="3101" spans="1:18" hidden="1" x14ac:dyDescent="0.3">
      <c r="A3101" s="15" t="s">
        <v>10379</v>
      </c>
      <c r="B3101" s="15" t="s">
        <v>10380</v>
      </c>
      <c r="C3101" s="18" t="s">
        <v>28</v>
      </c>
      <c r="D3101" s="15" t="s">
        <v>10381</v>
      </c>
      <c r="E3101" s="18" t="s">
        <v>28</v>
      </c>
      <c r="F3101" s="19" t="s">
        <v>28</v>
      </c>
      <c r="G3101" s="19">
        <v>0.03</v>
      </c>
      <c r="H3101" s="19" t="s">
        <v>28</v>
      </c>
      <c r="I3101" s="18" t="s">
        <v>28</v>
      </c>
      <c r="J3101" s="18" t="s">
        <v>28</v>
      </c>
      <c r="K3101" s="18" t="s">
        <v>28</v>
      </c>
      <c r="L3101" s="18" t="s">
        <v>28</v>
      </c>
      <c r="M3101" s="18" t="s">
        <v>28</v>
      </c>
      <c r="N3101" s="17">
        <v>44715</v>
      </c>
      <c r="O3101" s="15" t="s">
        <v>52</v>
      </c>
      <c r="P3101" s="16" t="s">
        <v>8261</v>
      </c>
      <c r="Q3101" s="15" t="s">
        <v>95</v>
      </c>
      <c r="R3101" s="13" t="str">
        <f>HYPERLINK("https://my.pitchbook.com?c=215290-00T","View Company Online")</f>
        <v>View Company Online</v>
      </c>
    </row>
    <row r="3102" spans="1:18" hidden="1" x14ac:dyDescent="0.3">
      <c r="A3102" s="9" t="s">
        <v>10382</v>
      </c>
      <c r="B3102" s="9" t="s">
        <v>10383</v>
      </c>
      <c r="C3102" s="11" t="s">
        <v>28</v>
      </c>
      <c r="D3102" s="9" t="s">
        <v>10384</v>
      </c>
      <c r="E3102" s="11" t="s">
        <v>28</v>
      </c>
      <c r="F3102" s="10" t="s">
        <v>28</v>
      </c>
      <c r="G3102" s="10" t="s">
        <v>28</v>
      </c>
      <c r="H3102" s="10" t="s">
        <v>28</v>
      </c>
      <c r="I3102" s="11" t="s">
        <v>28</v>
      </c>
      <c r="J3102" s="11" t="s">
        <v>28</v>
      </c>
      <c r="K3102" s="11" t="s">
        <v>28</v>
      </c>
      <c r="L3102" s="11" t="s">
        <v>28</v>
      </c>
      <c r="M3102" s="11" t="s">
        <v>28</v>
      </c>
      <c r="N3102" s="8">
        <v>44715</v>
      </c>
      <c r="O3102" s="9" t="s">
        <v>52</v>
      </c>
      <c r="P3102" s="12" t="s">
        <v>7169</v>
      </c>
      <c r="Q3102" s="9" t="s">
        <v>855</v>
      </c>
      <c r="R3102" s="14" t="str">
        <f>HYPERLINK("https://my.pitchbook.com?c=270190-27T","View Company Online")</f>
        <v>View Company Online</v>
      </c>
    </row>
    <row r="3103" spans="1:18" hidden="1" x14ac:dyDescent="0.3">
      <c r="A3103" s="15" t="s">
        <v>10385</v>
      </c>
      <c r="B3103" s="15" t="s">
        <v>3104</v>
      </c>
      <c r="C3103" s="18" t="s">
        <v>28</v>
      </c>
      <c r="D3103" s="15" t="s">
        <v>3105</v>
      </c>
      <c r="E3103" s="18" t="s">
        <v>28</v>
      </c>
      <c r="F3103" s="19" t="s">
        <v>28</v>
      </c>
      <c r="G3103" s="19">
        <v>1.72</v>
      </c>
      <c r="H3103" s="19" t="s">
        <v>28</v>
      </c>
      <c r="I3103" s="18" t="s">
        <v>28</v>
      </c>
      <c r="J3103" s="18" t="s">
        <v>28</v>
      </c>
      <c r="K3103" s="18" t="s">
        <v>28</v>
      </c>
      <c r="L3103" s="18" t="s">
        <v>28</v>
      </c>
      <c r="M3103" s="18" t="s">
        <v>28</v>
      </c>
      <c r="N3103" s="17">
        <v>44715</v>
      </c>
      <c r="O3103" s="15" t="s">
        <v>99</v>
      </c>
      <c r="P3103" s="16" t="s">
        <v>10386</v>
      </c>
      <c r="Q3103" s="15" t="s">
        <v>114</v>
      </c>
      <c r="R3103" s="13" t="str">
        <f>HYPERLINK("https://my.pitchbook.com?c=195431-50T","View Company Online")</f>
        <v>View Company Online</v>
      </c>
    </row>
    <row r="3104" spans="1:18" hidden="1" x14ac:dyDescent="0.3">
      <c r="A3104" s="9" t="s">
        <v>10387</v>
      </c>
      <c r="B3104" s="9" t="s">
        <v>4143</v>
      </c>
      <c r="C3104" s="11" t="s">
        <v>28</v>
      </c>
      <c r="D3104" s="9" t="s">
        <v>4144</v>
      </c>
      <c r="E3104" s="11" t="s">
        <v>28</v>
      </c>
      <c r="F3104" s="10" t="s">
        <v>28</v>
      </c>
      <c r="G3104" s="10" t="s">
        <v>28</v>
      </c>
      <c r="H3104" s="10" t="s">
        <v>28</v>
      </c>
      <c r="I3104" s="11" t="s">
        <v>28</v>
      </c>
      <c r="J3104" s="11" t="s">
        <v>28</v>
      </c>
      <c r="K3104" s="11" t="s">
        <v>28</v>
      </c>
      <c r="L3104" s="11" t="s">
        <v>28</v>
      </c>
      <c r="M3104" s="11" t="s">
        <v>28</v>
      </c>
      <c r="N3104" s="8">
        <v>44715</v>
      </c>
      <c r="O3104" s="9" t="s">
        <v>30</v>
      </c>
      <c r="P3104" s="12" t="s">
        <v>28</v>
      </c>
      <c r="Q3104" s="9" t="s">
        <v>226</v>
      </c>
      <c r="R3104" s="14" t="str">
        <f>HYPERLINK("https://my.pitchbook.com?c=209223-37T","View Company Online")</f>
        <v>View Company Online</v>
      </c>
    </row>
    <row r="3105" spans="1:18" hidden="1" x14ac:dyDescent="0.3">
      <c r="A3105" s="15" t="s">
        <v>10388</v>
      </c>
      <c r="B3105" s="15" t="s">
        <v>10389</v>
      </c>
      <c r="C3105" s="18" t="s">
        <v>28</v>
      </c>
      <c r="D3105" s="15" t="s">
        <v>10390</v>
      </c>
      <c r="E3105" s="18" t="s">
        <v>28</v>
      </c>
      <c r="F3105" s="19" t="s">
        <v>28</v>
      </c>
      <c r="G3105" s="19" t="s">
        <v>28</v>
      </c>
      <c r="H3105" s="19" t="s">
        <v>28</v>
      </c>
      <c r="I3105" s="18" t="s">
        <v>28</v>
      </c>
      <c r="J3105" s="18" t="s">
        <v>28</v>
      </c>
      <c r="K3105" s="18" t="s">
        <v>28</v>
      </c>
      <c r="L3105" s="18" t="s">
        <v>28</v>
      </c>
      <c r="M3105" s="18">
        <v>259.49</v>
      </c>
      <c r="N3105" s="17">
        <v>44714</v>
      </c>
      <c r="O3105" s="15" t="s">
        <v>30</v>
      </c>
      <c r="P3105" s="16" t="s">
        <v>28</v>
      </c>
      <c r="Q3105" s="15" t="s">
        <v>740</v>
      </c>
      <c r="R3105" s="13" t="str">
        <f>HYPERLINK("https://my.pitchbook.com?c=195355-72T","View Company Online")</f>
        <v>View Company Online</v>
      </c>
    </row>
    <row r="3106" spans="1:18" hidden="1" x14ac:dyDescent="0.3">
      <c r="A3106" s="9" t="s">
        <v>10391</v>
      </c>
      <c r="B3106" s="9" t="s">
        <v>10392</v>
      </c>
      <c r="C3106" s="11" t="s">
        <v>28</v>
      </c>
      <c r="D3106" s="9" t="s">
        <v>10393</v>
      </c>
      <c r="E3106" s="11" t="s">
        <v>28</v>
      </c>
      <c r="F3106" s="10" t="s">
        <v>28</v>
      </c>
      <c r="G3106" s="10" t="s">
        <v>28</v>
      </c>
      <c r="H3106" s="10" t="s">
        <v>28</v>
      </c>
      <c r="I3106" s="11" t="s">
        <v>28</v>
      </c>
      <c r="J3106" s="11" t="s">
        <v>28</v>
      </c>
      <c r="K3106" s="11" t="s">
        <v>28</v>
      </c>
      <c r="L3106" s="11" t="s">
        <v>28</v>
      </c>
      <c r="M3106" s="11" t="s">
        <v>28</v>
      </c>
      <c r="N3106" s="8">
        <v>44714</v>
      </c>
      <c r="O3106" s="9" t="s">
        <v>30</v>
      </c>
      <c r="P3106" s="12" t="s">
        <v>10394</v>
      </c>
      <c r="Q3106" s="9" t="s">
        <v>7913</v>
      </c>
      <c r="R3106" s="14" t="str">
        <f>HYPERLINK("https://my.pitchbook.com?c=210278-26T","View Company Online")</f>
        <v>View Company Online</v>
      </c>
    </row>
    <row r="3107" spans="1:18" hidden="1" x14ac:dyDescent="0.3">
      <c r="A3107" s="15" t="s">
        <v>10395</v>
      </c>
      <c r="B3107" s="15" t="s">
        <v>10396</v>
      </c>
      <c r="C3107" s="18" t="s">
        <v>28</v>
      </c>
      <c r="D3107" s="15" t="s">
        <v>10397</v>
      </c>
      <c r="E3107" s="18" t="s">
        <v>28</v>
      </c>
      <c r="F3107" s="19" t="s">
        <v>28</v>
      </c>
      <c r="G3107" s="19">
        <v>0.14000000000000001</v>
      </c>
      <c r="H3107" s="19">
        <v>1.7</v>
      </c>
      <c r="I3107" s="18" t="s">
        <v>28</v>
      </c>
      <c r="J3107" s="18" t="s">
        <v>28</v>
      </c>
      <c r="K3107" s="18" t="s">
        <v>28</v>
      </c>
      <c r="L3107" s="18" t="s">
        <v>28</v>
      </c>
      <c r="M3107" s="18" t="s">
        <v>28</v>
      </c>
      <c r="N3107" s="17">
        <v>44714</v>
      </c>
      <c r="O3107" s="15" t="s">
        <v>73</v>
      </c>
      <c r="P3107" s="16" t="s">
        <v>5429</v>
      </c>
      <c r="Q3107" s="15" t="s">
        <v>75</v>
      </c>
      <c r="R3107" s="13" t="str">
        <f>HYPERLINK("https://my.pitchbook.com?c=195425-02T","View Company Online")</f>
        <v>View Company Online</v>
      </c>
    </row>
    <row r="3108" spans="1:18" hidden="1" x14ac:dyDescent="0.3">
      <c r="A3108" s="9" t="s">
        <v>10398</v>
      </c>
      <c r="B3108" s="9" t="s">
        <v>10399</v>
      </c>
      <c r="C3108" s="11" t="s">
        <v>28</v>
      </c>
      <c r="D3108" s="9" t="s">
        <v>10400</v>
      </c>
      <c r="E3108" s="11" t="s">
        <v>28</v>
      </c>
      <c r="F3108" s="10" t="s">
        <v>28</v>
      </c>
      <c r="G3108" s="10" t="s">
        <v>28</v>
      </c>
      <c r="H3108" s="10" t="s">
        <v>28</v>
      </c>
      <c r="I3108" s="11" t="s">
        <v>28</v>
      </c>
      <c r="J3108" s="11" t="s">
        <v>28</v>
      </c>
      <c r="K3108" s="11" t="s">
        <v>28</v>
      </c>
      <c r="L3108" s="11" t="s">
        <v>28</v>
      </c>
      <c r="M3108" s="11" t="s">
        <v>28</v>
      </c>
      <c r="N3108" s="8">
        <v>44714</v>
      </c>
      <c r="O3108" s="9" t="s">
        <v>30</v>
      </c>
      <c r="P3108" s="12" t="s">
        <v>9664</v>
      </c>
      <c r="Q3108" s="9" t="s">
        <v>245</v>
      </c>
      <c r="R3108" s="14" t="str">
        <f>HYPERLINK("https://my.pitchbook.com?c=210277-54T","View Company Online")</f>
        <v>View Company Online</v>
      </c>
    </row>
    <row r="3109" spans="1:18" hidden="1" x14ac:dyDescent="0.3">
      <c r="A3109" s="15" t="s">
        <v>10401</v>
      </c>
      <c r="B3109" s="15" t="s">
        <v>10402</v>
      </c>
      <c r="C3109" s="18" t="s">
        <v>28</v>
      </c>
      <c r="D3109" s="15" t="s">
        <v>10403</v>
      </c>
      <c r="E3109" s="18" t="s">
        <v>28</v>
      </c>
      <c r="F3109" s="19" t="s">
        <v>28</v>
      </c>
      <c r="G3109" s="19" t="s">
        <v>28</v>
      </c>
      <c r="H3109" s="19" t="s">
        <v>28</v>
      </c>
      <c r="I3109" s="18" t="s">
        <v>28</v>
      </c>
      <c r="J3109" s="18" t="s">
        <v>28</v>
      </c>
      <c r="K3109" s="18" t="s">
        <v>28</v>
      </c>
      <c r="L3109" s="18" t="s">
        <v>28</v>
      </c>
      <c r="M3109" s="18" t="s">
        <v>28</v>
      </c>
      <c r="N3109" s="17">
        <v>44714</v>
      </c>
      <c r="O3109" s="15" t="s">
        <v>173</v>
      </c>
      <c r="P3109" s="16" t="s">
        <v>28</v>
      </c>
      <c r="Q3109" s="15" t="s">
        <v>240</v>
      </c>
      <c r="R3109" s="13" t="str">
        <f>HYPERLINK("https://my.pitchbook.com?c=199615-51T","View Company Online")</f>
        <v>View Company Online</v>
      </c>
    </row>
    <row r="3110" spans="1:18" hidden="1" x14ac:dyDescent="0.3">
      <c r="A3110" s="9" t="s">
        <v>10404</v>
      </c>
      <c r="B3110" s="9" t="s">
        <v>4546</v>
      </c>
      <c r="C3110" s="11" t="s">
        <v>28</v>
      </c>
      <c r="D3110" s="9" t="s">
        <v>4547</v>
      </c>
      <c r="E3110" s="11" t="s">
        <v>28</v>
      </c>
      <c r="F3110" s="10" t="s">
        <v>28</v>
      </c>
      <c r="G3110" s="10">
        <v>16.14</v>
      </c>
      <c r="H3110" s="10">
        <v>88.72</v>
      </c>
      <c r="I3110" s="11" t="s">
        <v>28</v>
      </c>
      <c r="J3110" s="11" t="s">
        <v>28</v>
      </c>
      <c r="K3110" s="11" t="s">
        <v>28</v>
      </c>
      <c r="L3110" s="11" t="s">
        <v>28</v>
      </c>
      <c r="M3110" s="11" t="s">
        <v>28</v>
      </c>
      <c r="N3110" s="8">
        <v>44713</v>
      </c>
      <c r="O3110" s="9" t="s">
        <v>79</v>
      </c>
      <c r="P3110" s="12" t="s">
        <v>10405</v>
      </c>
      <c r="Q3110" s="9" t="s">
        <v>75</v>
      </c>
      <c r="R3110" s="14" t="str">
        <f>HYPERLINK("https://my.pitchbook.com?c=195267-25T","View Company Online")</f>
        <v>View Company Online</v>
      </c>
    </row>
    <row r="3111" spans="1:18" hidden="1" x14ac:dyDescent="0.3">
      <c r="A3111" s="15" t="s">
        <v>10406</v>
      </c>
      <c r="B3111" s="15" t="s">
        <v>10407</v>
      </c>
      <c r="C3111" s="18" t="s">
        <v>28</v>
      </c>
      <c r="D3111" s="15" t="s">
        <v>10408</v>
      </c>
      <c r="E3111" s="18" t="s">
        <v>28</v>
      </c>
      <c r="F3111" s="19" t="s">
        <v>28</v>
      </c>
      <c r="G3111" s="19">
        <v>0.06</v>
      </c>
      <c r="H3111" s="19" t="s">
        <v>28</v>
      </c>
      <c r="I3111" s="18" t="s">
        <v>28</v>
      </c>
      <c r="J3111" s="18" t="s">
        <v>28</v>
      </c>
      <c r="K3111" s="18" t="s">
        <v>28</v>
      </c>
      <c r="L3111" s="18" t="s">
        <v>28</v>
      </c>
      <c r="M3111" s="18" t="s">
        <v>28</v>
      </c>
      <c r="N3111" s="17">
        <v>44713</v>
      </c>
      <c r="O3111" s="15" t="s">
        <v>99</v>
      </c>
      <c r="P3111" s="16" t="s">
        <v>10409</v>
      </c>
      <c r="Q3111" s="15" t="s">
        <v>1643</v>
      </c>
      <c r="R3111" s="13" t="str">
        <f>HYPERLINK("https://my.pitchbook.com?c=212627-98T","View Company Online")</f>
        <v>View Company Online</v>
      </c>
    </row>
    <row r="3112" spans="1:18" hidden="1" x14ac:dyDescent="0.3">
      <c r="A3112" s="9" t="s">
        <v>10410</v>
      </c>
      <c r="B3112" s="9" t="s">
        <v>5025</v>
      </c>
      <c r="C3112" s="11" t="s">
        <v>28</v>
      </c>
      <c r="D3112" s="9" t="s">
        <v>5026</v>
      </c>
      <c r="E3112" s="11" t="s">
        <v>28</v>
      </c>
      <c r="F3112" s="10" t="s">
        <v>28</v>
      </c>
      <c r="G3112" s="10" t="s">
        <v>28</v>
      </c>
      <c r="H3112" s="10" t="s">
        <v>28</v>
      </c>
      <c r="I3112" s="11" t="s">
        <v>28</v>
      </c>
      <c r="J3112" s="11" t="s">
        <v>28</v>
      </c>
      <c r="K3112" s="11" t="s">
        <v>28</v>
      </c>
      <c r="L3112" s="11" t="s">
        <v>28</v>
      </c>
      <c r="M3112" s="11" t="s">
        <v>28</v>
      </c>
      <c r="N3112" s="8">
        <v>44713</v>
      </c>
      <c r="O3112" s="9" t="s">
        <v>73</v>
      </c>
      <c r="P3112" s="12" t="s">
        <v>10411</v>
      </c>
      <c r="Q3112" s="9" t="s">
        <v>75</v>
      </c>
      <c r="R3112" s="14" t="str">
        <f>HYPERLINK("https://my.pitchbook.com?c=215622-37T","View Company Online")</f>
        <v>View Company Online</v>
      </c>
    </row>
    <row r="3113" spans="1:18" hidden="1" x14ac:dyDescent="0.3">
      <c r="A3113" s="15" t="s">
        <v>10412</v>
      </c>
      <c r="B3113" s="15" t="s">
        <v>10413</v>
      </c>
      <c r="C3113" s="18" t="s">
        <v>28</v>
      </c>
      <c r="D3113" s="15" t="s">
        <v>10414</v>
      </c>
      <c r="E3113" s="18" t="s">
        <v>28</v>
      </c>
      <c r="F3113" s="19" t="s">
        <v>28</v>
      </c>
      <c r="G3113" s="19" t="s">
        <v>28</v>
      </c>
      <c r="H3113" s="19" t="s">
        <v>28</v>
      </c>
      <c r="I3113" s="18" t="s">
        <v>28</v>
      </c>
      <c r="J3113" s="18" t="s">
        <v>28</v>
      </c>
      <c r="K3113" s="18" t="s">
        <v>28</v>
      </c>
      <c r="L3113" s="18" t="s">
        <v>28</v>
      </c>
      <c r="M3113" s="18" t="s">
        <v>28</v>
      </c>
      <c r="N3113" s="17">
        <v>44713</v>
      </c>
      <c r="O3113" s="15" t="s">
        <v>52</v>
      </c>
      <c r="P3113" s="16" t="s">
        <v>611</v>
      </c>
      <c r="Q3113" s="15" t="s">
        <v>75</v>
      </c>
      <c r="R3113" s="13" t="str">
        <f>HYPERLINK("https://my.pitchbook.com?c=124748-92T","View Company Online")</f>
        <v>View Company Online</v>
      </c>
    </row>
    <row r="3114" spans="1:18" hidden="1" x14ac:dyDescent="0.3">
      <c r="A3114" s="9" t="s">
        <v>10415</v>
      </c>
      <c r="B3114" s="9" t="s">
        <v>10416</v>
      </c>
      <c r="C3114" s="11" t="s">
        <v>28</v>
      </c>
      <c r="D3114" s="9" t="s">
        <v>10417</v>
      </c>
      <c r="E3114" s="11" t="s">
        <v>28</v>
      </c>
      <c r="F3114" s="10" t="s">
        <v>28</v>
      </c>
      <c r="G3114" s="10" t="s">
        <v>28</v>
      </c>
      <c r="H3114" s="10" t="s">
        <v>28</v>
      </c>
      <c r="I3114" s="11" t="s">
        <v>28</v>
      </c>
      <c r="J3114" s="11" t="s">
        <v>28</v>
      </c>
      <c r="K3114" s="11" t="s">
        <v>28</v>
      </c>
      <c r="L3114" s="11" t="s">
        <v>28</v>
      </c>
      <c r="M3114" s="11" t="s">
        <v>28</v>
      </c>
      <c r="N3114" s="8">
        <v>44713</v>
      </c>
      <c r="O3114" s="9" t="s">
        <v>93</v>
      </c>
      <c r="P3114" s="12" t="s">
        <v>10418</v>
      </c>
      <c r="Q3114" s="9" t="s">
        <v>10419</v>
      </c>
      <c r="R3114" s="14" t="str">
        <f>HYPERLINK("https://my.pitchbook.com?c=205980-22T","View Company Online")</f>
        <v>View Company Online</v>
      </c>
    </row>
    <row r="3115" spans="1:18" hidden="1" x14ac:dyDescent="0.3">
      <c r="A3115" s="15" t="s">
        <v>10420</v>
      </c>
      <c r="B3115" s="15" t="s">
        <v>10421</v>
      </c>
      <c r="C3115" s="18" t="s">
        <v>28</v>
      </c>
      <c r="D3115" s="15" t="s">
        <v>10422</v>
      </c>
      <c r="E3115" s="18" t="s">
        <v>28</v>
      </c>
      <c r="F3115" s="19" t="s">
        <v>28</v>
      </c>
      <c r="G3115" s="19">
        <v>0.08</v>
      </c>
      <c r="H3115" s="19" t="s">
        <v>28</v>
      </c>
      <c r="I3115" s="18" t="s">
        <v>28</v>
      </c>
      <c r="J3115" s="18" t="s">
        <v>28</v>
      </c>
      <c r="K3115" s="18" t="s">
        <v>28</v>
      </c>
      <c r="L3115" s="18" t="s">
        <v>28</v>
      </c>
      <c r="M3115" s="18" t="s">
        <v>28</v>
      </c>
      <c r="N3115" s="17">
        <v>44713</v>
      </c>
      <c r="O3115" s="15" t="s">
        <v>79</v>
      </c>
      <c r="P3115" s="16" t="s">
        <v>28</v>
      </c>
      <c r="Q3115" s="15" t="s">
        <v>75</v>
      </c>
      <c r="R3115" s="13" t="str">
        <f>HYPERLINK("https://my.pitchbook.com?c=204407-74T","View Company Online")</f>
        <v>View Company Online</v>
      </c>
    </row>
    <row r="3116" spans="1:18" hidden="1" x14ac:dyDescent="0.3">
      <c r="A3116" s="9" t="s">
        <v>10423</v>
      </c>
      <c r="B3116" s="9" t="s">
        <v>964</v>
      </c>
      <c r="C3116" s="11" t="s">
        <v>28</v>
      </c>
      <c r="D3116" s="9" t="s">
        <v>965</v>
      </c>
      <c r="E3116" s="11" t="s">
        <v>28</v>
      </c>
      <c r="F3116" s="10" t="s">
        <v>28</v>
      </c>
      <c r="G3116" s="10" t="s">
        <v>28</v>
      </c>
      <c r="H3116" s="10" t="s">
        <v>28</v>
      </c>
      <c r="I3116" s="11" t="s">
        <v>28</v>
      </c>
      <c r="J3116" s="11" t="s">
        <v>28</v>
      </c>
      <c r="K3116" s="11" t="s">
        <v>28</v>
      </c>
      <c r="L3116" s="11" t="s">
        <v>28</v>
      </c>
      <c r="M3116" s="11" t="s">
        <v>28</v>
      </c>
      <c r="N3116" s="8">
        <v>44713</v>
      </c>
      <c r="O3116" s="9" t="s">
        <v>73</v>
      </c>
      <c r="P3116" s="12" t="s">
        <v>10424</v>
      </c>
      <c r="Q3116" s="9" t="s">
        <v>75</v>
      </c>
      <c r="R3116" s="14" t="str">
        <f>HYPERLINK("https://my.pitchbook.com?c=190296-64T","View Company Online")</f>
        <v>View Company Online</v>
      </c>
    </row>
    <row r="3117" spans="1:18" hidden="1" x14ac:dyDescent="0.3">
      <c r="A3117" s="15" t="s">
        <v>10425</v>
      </c>
      <c r="B3117" s="15" t="s">
        <v>3131</v>
      </c>
      <c r="C3117" s="18" t="s">
        <v>28</v>
      </c>
      <c r="D3117" s="15" t="s">
        <v>3132</v>
      </c>
      <c r="E3117" s="18" t="s">
        <v>28</v>
      </c>
      <c r="F3117" s="19" t="s">
        <v>28</v>
      </c>
      <c r="G3117" s="19" t="s">
        <v>28</v>
      </c>
      <c r="H3117" s="19" t="s">
        <v>28</v>
      </c>
      <c r="I3117" s="18" t="s">
        <v>28</v>
      </c>
      <c r="J3117" s="18" t="s">
        <v>28</v>
      </c>
      <c r="K3117" s="18" t="s">
        <v>28</v>
      </c>
      <c r="L3117" s="18" t="s">
        <v>28</v>
      </c>
      <c r="M3117" s="18" t="s">
        <v>28</v>
      </c>
      <c r="N3117" s="17">
        <v>44713</v>
      </c>
      <c r="O3117" s="15" t="s">
        <v>58</v>
      </c>
      <c r="P3117" s="16" t="s">
        <v>28</v>
      </c>
      <c r="Q3117" s="15" t="s">
        <v>470</v>
      </c>
      <c r="R3117" s="13" t="str">
        <f>HYPERLINK("https://my.pitchbook.com?c=254483-92T","View Company Online")</f>
        <v>View Company Online</v>
      </c>
    </row>
    <row r="3118" spans="1:18" hidden="1" x14ac:dyDescent="0.3">
      <c r="A3118" s="9" t="s">
        <v>10426</v>
      </c>
      <c r="B3118" s="9" t="s">
        <v>10427</v>
      </c>
      <c r="C3118" s="11" t="s">
        <v>28</v>
      </c>
      <c r="D3118" s="9" t="s">
        <v>10428</v>
      </c>
      <c r="E3118" s="11" t="s">
        <v>28</v>
      </c>
      <c r="F3118" s="10">
        <v>6</v>
      </c>
      <c r="G3118" s="10">
        <v>6</v>
      </c>
      <c r="H3118" s="10">
        <v>6</v>
      </c>
      <c r="I3118" s="11" t="s">
        <v>28</v>
      </c>
      <c r="J3118" s="11" t="s">
        <v>28</v>
      </c>
      <c r="K3118" s="11" t="s">
        <v>28</v>
      </c>
      <c r="L3118" s="11" t="s">
        <v>28</v>
      </c>
      <c r="M3118" s="11" t="s">
        <v>28</v>
      </c>
      <c r="N3118" s="8">
        <v>44713</v>
      </c>
      <c r="O3118" s="9" t="s">
        <v>30</v>
      </c>
      <c r="P3118" s="12" t="s">
        <v>28</v>
      </c>
      <c r="Q3118" s="9" t="s">
        <v>85</v>
      </c>
      <c r="R3118" s="14" t="str">
        <f>HYPERLINK("https://my.pitchbook.com?c=216047-80T","View Company Online")</f>
        <v>View Company Online</v>
      </c>
    </row>
    <row r="3119" spans="1:18" hidden="1" x14ac:dyDescent="0.3">
      <c r="A3119" s="15" t="s">
        <v>10429</v>
      </c>
      <c r="B3119" s="15" t="s">
        <v>1098</v>
      </c>
      <c r="C3119" s="18" t="s">
        <v>28</v>
      </c>
      <c r="D3119" s="15" t="s">
        <v>1099</v>
      </c>
      <c r="E3119" s="18" t="s">
        <v>28</v>
      </c>
      <c r="F3119" s="19" t="s">
        <v>28</v>
      </c>
      <c r="G3119" s="19" t="s">
        <v>28</v>
      </c>
      <c r="H3119" s="19" t="s">
        <v>28</v>
      </c>
      <c r="I3119" s="18" t="s">
        <v>28</v>
      </c>
      <c r="J3119" s="18" t="s">
        <v>28</v>
      </c>
      <c r="K3119" s="18" t="s">
        <v>28</v>
      </c>
      <c r="L3119" s="18" t="s">
        <v>28</v>
      </c>
      <c r="M3119" s="18" t="s">
        <v>28</v>
      </c>
      <c r="N3119" s="17">
        <v>44713</v>
      </c>
      <c r="O3119" s="15" t="s">
        <v>73</v>
      </c>
      <c r="P3119" s="16" t="s">
        <v>10430</v>
      </c>
      <c r="Q3119" s="15" t="s">
        <v>37</v>
      </c>
      <c r="R3119" s="13" t="str">
        <f>HYPERLINK("https://my.pitchbook.com?c=195248-89T","View Company Online")</f>
        <v>View Company Online</v>
      </c>
    </row>
    <row r="3120" spans="1:18" hidden="1" x14ac:dyDescent="0.3">
      <c r="A3120" s="9" t="s">
        <v>10431</v>
      </c>
      <c r="B3120" s="9" t="s">
        <v>6820</v>
      </c>
      <c r="C3120" s="11" t="s">
        <v>28</v>
      </c>
      <c r="D3120" s="9" t="s">
        <v>6821</v>
      </c>
      <c r="E3120" s="11" t="s">
        <v>28</v>
      </c>
      <c r="F3120" s="10" t="s">
        <v>28</v>
      </c>
      <c r="G3120" s="10" t="s">
        <v>28</v>
      </c>
      <c r="H3120" s="10" t="s">
        <v>28</v>
      </c>
      <c r="I3120" s="11" t="s">
        <v>28</v>
      </c>
      <c r="J3120" s="11" t="s">
        <v>28</v>
      </c>
      <c r="K3120" s="11" t="s">
        <v>28</v>
      </c>
      <c r="L3120" s="11" t="s">
        <v>28</v>
      </c>
      <c r="M3120" s="11" t="s">
        <v>28</v>
      </c>
      <c r="N3120" s="8">
        <v>44713</v>
      </c>
      <c r="O3120" s="9" t="s">
        <v>93</v>
      </c>
      <c r="P3120" s="12" t="s">
        <v>10432</v>
      </c>
      <c r="Q3120" s="9" t="s">
        <v>75</v>
      </c>
      <c r="R3120" s="14" t="str">
        <f>HYPERLINK("https://my.pitchbook.com?c=185183-20T","View Company Online")</f>
        <v>View Company Online</v>
      </c>
    </row>
    <row r="3121" spans="1:18" hidden="1" x14ac:dyDescent="0.3">
      <c r="A3121" s="15" t="s">
        <v>10433</v>
      </c>
      <c r="B3121" s="15" t="s">
        <v>10434</v>
      </c>
      <c r="C3121" s="18" t="s">
        <v>28</v>
      </c>
      <c r="D3121" s="15" t="s">
        <v>10435</v>
      </c>
      <c r="E3121" s="18" t="s">
        <v>28</v>
      </c>
      <c r="F3121" s="19" t="s">
        <v>28</v>
      </c>
      <c r="G3121" s="19" t="s">
        <v>28</v>
      </c>
      <c r="H3121" s="19" t="s">
        <v>28</v>
      </c>
      <c r="I3121" s="18" t="s">
        <v>28</v>
      </c>
      <c r="J3121" s="18" t="s">
        <v>28</v>
      </c>
      <c r="K3121" s="18" t="s">
        <v>28</v>
      </c>
      <c r="L3121" s="18" t="s">
        <v>28</v>
      </c>
      <c r="M3121" s="18" t="s">
        <v>28</v>
      </c>
      <c r="N3121" s="17">
        <v>44713</v>
      </c>
      <c r="O3121" s="15" t="s">
        <v>30</v>
      </c>
      <c r="P3121" s="16" t="s">
        <v>10436</v>
      </c>
      <c r="Q3121" s="15" t="s">
        <v>1007</v>
      </c>
      <c r="R3121" s="13" t="str">
        <f>HYPERLINK("https://my.pitchbook.com?c=199319-32T","View Company Online")</f>
        <v>View Company Online</v>
      </c>
    </row>
    <row r="3122" spans="1:18" hidden="1" x14ac:dyDescent="0.3">
      <c r="A3122" s="9" t="s">
        <v>10437</v>
      </c>
      <c r="B3122" s="9" t="s">
        <v>1878</v>
      </c>
      <c r="C3122" s="11" t="s">
        <v>28</v>
      </c>
      <c r="D3122" s="9" t="s">
        <v>1879</v>
      </c>
      <c r="E3122" s="11" t="s">
        <v>28</v>
      </c>
      <c r="F3122" s="10" t="s">
        <v>28</v>
      </c>
      <c r="G3122" s="10" t="s">
        <v>28</v>
      </c>
      <c r="H3122" s="10" t="s">
        <v>28</v>
      </c>
      <c r="I3122" s="11" t="s">
        <v>28</v>
      </c>
      <c r="J3122" s="11" t="s">
        <v>28</v>
      </c>
      <c r="K3122" s="11" t="s">
        <v>28</v>
      </c>
      <c r="L3122" s="11" t="s">
        <v>28</v>
      </c>
      <c r="M3122" s="11" t="s">
        <v>28</v>
      </c>
      <c r="N3122" s="8">
        <v>44713</v>
      </c>
      <c r="O3122" s="9" t="s">
        <v>52</v>
      </c>
      <c r="P3122" s="12" t="s">
        <v>5476</v>
      </c>
      <c r="Q3122" s="9" t="s">
        <v>263</v>
      </c>
      <c r="R3122" s="14" t="str">
        <f>HYPERLINK("https://my.pitchbook.com?c=301239-55T","View Company Online")</f>
        <v>View Company Online</v>
      </c>
    </row>
    <row r="3123" spans="1:18" hidden="1" x14ac:dyDescent="0.3">
      <c r="A3123" s="15" t="s">
        <v>10438</v>
      </c>
      <c r="B3123" s="15" t="s">
        <v>10439</v>
      </c>
      <c r="C3123" s="18" t="s">
        <v>28</v>
      </c>
      <c r="D3123" s="15" t="s">
        <v>10440</v>
      </c>
      <c r="E3123" s="18" t="s">
        <v>28</v>
      </c>
      <c r="F3123" s="19" t="s">
        <v>28</v>
      </c>
      <c r="G3123" s="19" t="s">
        <v>28</v>
      </c>
      <c r="H3123" s="19" t="s">
        <v>28</v>
      </c>
      <c r="I3123" s="18" t="s">
        <v>28</v>
      </c>
      <c r="J3123" s="18" t="s">
        <v>28</v>
      </c>
      <c r="K3123" s="18" t="s">
        <v>28</v>
      </c>
      <c r="L3123" s="18" t="s">
        <v>28</v>
      </c>
      <c r="M3123" s="18" t="s">
        <v>28</v>
      </c>
      <c r="N3123" s="17">
        <v>44713</v>
      </c>
      <c r="O3123" s="15" t="s">
        <v>93</v>
      </c>
      <c r="P3123" s="16" t="s">
        <v>1612</v>
      </c>
      <c r="Q3123" s="15" t="s">
        <v>409</v>
      </c>
      <c r="R3123" s="13" t="str">
        <f>HYPERLINK("https://my.pitchbook.com?c=207467-29T","View Company Online")</f>
        <v>View Company Online</v>
      </c>
    </row>
    <row r="3124" spans="1:18" hidden="1" x14ac:dyDescent="0.3">
      <c r="A3124" s="9" t="s">
        <v>10441</v>
      </c>
      <c r="B3124" s="9" t="s">
        <v>10442</v>
      </c>
      <c r="C3124" s="11" t="s">
        <v>28</v>
      </c>
      <c r="D3124" s="9" t="s">
        <v>10443</v>
      </c>
      <c r="E3124" s="11" t="s">
        <v>28</v>
      </c>
      <c r="F3124" s="10" t="s">
        <v>28</v>
      </c>
      <c r="G3124" s="10" t="s">
        <v>28</v>
      </c>
      <c r="H3124" s="10" t="s">
        <v>28</v>
      </c>
      <c r="I3124" s="11" t="s">
        <v>28</v>
      </c>
      <c r="J3124" s="11" t="s">
        <v>28</v>
      </c>
      <c r="K3124" s="11" t="s">
        <v>28</v>
      </c>
      <c r="L3124" s="11" t="s">
        <v>28</v>
      </c>
      <c r="M3124" s="11" t="s">
        <v>28</v>
      </c>
      <c r="N3124" s="8">
        <v>44713</v>
      </c>
      <c r="O3124" s="9" t="s">
        <v>379</v>
      </c>
      <c r="P3124" s="12" t="s">
        <v>10444</v>
      </c>
      <c r="Q3124" s="9" t="s">
        <v>95</v>
      </c>
      <c r="R3124" s="14" t="str">
        <f>HYPERLINK("https://my.pitchbook.com?c=197030-17T","View Company Online")</f>
        <v>View Company Online</v>
      </c>
    </row>
    <row r="3125" spans="1:18" hidden="1" x14ac:dyDescent="0.3">
      <c r="A3125" s="15" t="s">
        <v>10445</v>
      </c>
      <c r="B3125" s="15" t="s">
        <v>10446</v>
      </c>
      <c r="C3125" s="18" t="s">
        <v>28</v>
      </c>
      <c r="D3125" s="15" t="s">
        <v>10447</v>
      </c>
      <c r="E3125" s="18" t="s">
        <v>28</v>
      </c>
      <c r="F3125" s="19" t="s">
        <v>28</v>
      </c>
      <c r="G3125" s="19" t="s">
        <v>28</v>
      </c>
      <c r="H3125" s="19" t="s">
        <v>28</v>
      </c>
      <c r="I3125" s="18" t="s">
        <v>28</v>
      </c>
      <c r="J3125" s="18" t="s">
        <v>28</v>
      </c>
      <c r="K3125" s="18" t="s">
        <v>28</v>
      </c>
      <c r="L3125" s="18" t="s">
        <v>28</v>
      </c>
      <c r="M3125" s="18" t="s">
        <v>28</v>
      </c>
      <c r="N3125" s="17">
        <v>44713</v>
      </c>
      <c r="O3125" s="15" t="s">
        <v>79</v>
      </c>
      <c r="P3125" s="16" t="s">
        <v>611</v>
      </c>
      <c r="Q3125" s="15" t="s">
        <v>75</v>
      </c>
      <c r="R3125" s="13" t="str">
        <f>HYPERLINK("https://my.pitchbook.com?c=220219-30T","View Company Online")</f>
        <v>View Company Online</v>
      </c>
    </row>
    <row r="3126" spans="1:18" hidden="1" x14ac:dyDescent="0.3">
      <c r="A3126" s="9" t="s">
        <v>10448</v>
      </c>
      <c r="B3126" s="9" t="s">
        <v>10449</v>
      </c>
      <c r="C3126" s="11" t="s">
        <v>28</v>
      </c>
      <c r="D3126" s="9" t="s">
        <v>10450</v>
      </c>
      <c r="E3126" s="11" t="s">
        <v>28</v>
      </c>
      <c r="F3126" s="10" t="s">
        <v>28</v>
      </c>
      <c r="G3126" s="10">
        <v>0.25</v>
      </c>
      <c r="H3126" s="10">
        <v>2.62</v>
      </c>
      <c r="I3126" s="11" t="s">
        <v>28</v>
      </c>
      <c r="J3126" s="11" t="s">
        <v>28</v>
      </c>
      <c r="K3126" s="11" t="s">
        <v>28</v>
      </c>
      <c r="L3126" s="11" t="s">
        <v>28</v>
      </c>
      <c r="M3126" s="11" t="s">
        <v>28</v>
      </c>
      <c r="N3126" s="8">
        <v>44712</v>
      </c>
      <c r="O3126" s="9" t="s">
        <v>1639</v>
      </c>
      <c r="P3126" s="12" t="s">
        <v>28</v>
      </c>
      <c r="Q3126" s="9" t="s">
        <v>3973</v>
      </c>
      <c r="R3126" s="14" t="str">
        <f>HYPERLINK("https://my.pitchbook.com?c=195062-77T","View Company Online")</f>
        <v>View Company Online</v>
      </c>
    </row>
    <row r="3127" spans="1:18" hidden="1" x14ac:dyDescent="0.3">
      <c r="A3127" s="15" t="s">
        <v>10451</v>
      </c>
      <c r="B3127" s="15" t="s">
        <v>10452</v>
      </c>
      <c r="C3127" s="18" t="s">
        <v>28</v>
      </c>
      <c r="D3127" s="15" t="s">
        <v>10453</v>
      </c>
      <c r="E3127" s="18" t="s">
        <v>28</v>
      </c>
      <c r="F3127" s="19" t="s">
        <v>28</v>
      </c>
      <c r="G3127" s="19">
        <v>43.71</v>
      </c>
      <c r="H3127" s="19">
        <v>43.71</v>
      </c>
      <c r="I3127" s="18" t="s">
        <v>28</v>
      </c>
      <c r="J3127" s="18" t="s">
        <v>28</v>
      </c>
      <c r="K3127" s="18">
        <v>121.46</v>
      </c>
      <c r="L3127" s="18">
        <v>0.36</v>
      </c>
      <c r="M3127" s="18" t="s">
        <v>28</v>
      </c>
      <c r="N3127" s="17">
        <v>44712</v>
      </c>
      <c r="O3127" s="15" t="s">
        <v>30</v>
      </c>
      <c r="P3127" s="16" t="s">
        <v>10454</v>
      </c>
      <c r="Q3127" s="15" t="s">
        <v>774</v>
      </c>
      <c r="R3127" s="13" t="str">
        <f>HYPERLINK("https://my.pitchbook.com?c=194724-46T","View Company Online")</f>
        <v>View Company Online</v>
      </c>
    </row>
    <row r="3128" spans="1:18" hidden="1" x14ac:dyDescent="0.3">
      <c r="A3128" s="9" t="s">
        <v>10455</v>
      </c>
      <c r="B3128" s="9" t="s">
        <v>10456</v>
      </c>
      <c r="C3128" s="11" t="s">
        <v>28</v>
      </c>
      <c r="D3128" s="9" t="s">
        <v>10457</v>
      </c>
      <c r="E3128" s="11" t="s">
        <v>28</v>
      </c>
      <c r="F3128" s="10" t="s">
        <v>28</v>
      </c>
      <c r="G3128" s="10" t="s">
        <v>28</v>
      </c>
      <c r="H3128" s="10" t="s">
        <v>28</v>
      </c>
      <c r="I3128" s="11" t="s">
        <v>28</v>
      </c>
      <c r="J3128" s="11" t="s">
        <v>28</v>
      </c>
      <c r="K3128" s="11" t="s">
        <v>28</v>
      </c>
      <c r="L3128" s="11" t="s">
        <v>28</v>
      </c>
      <c r="M3128" s="11" t="s">
        <v>28</v>
      </c>
      <c r="N3128" s="8">
        <v>44712</v>
      </c>
      <c r="O3128" s="9" t="s">
        <v>41</v>
      </c>
      <c r="P3128" s="12" t="s">
        <v>895</v>
      </c>
      <c r="Q3128" s="9" t="s">
        <v>331</v>
      </c>
      <c r="R3128" s="14" t="str">
        <f>HYPERLINK("https://my.pitchbook.com?c=201771-01T","View Company Online")</f>
        <v>View Company Online</v>
      </c>
    </row>
    <row r="3129" spans="1:18" hidden="1" x14ac:dyDescent="0.3">
      <c r="A3129" s="15" t="s">
        <v>10458</v>
      </c>
      <c r="B3129" s="15" t="s">
        <v>10459</v>
      </c>
      <c r="C3129" s="18" t="s">
        <v>28</v>
      </c>
      <c r="D3129" s="15" t="s">
        <v>10460</v>
      </c>
      <c r="E3129" s="18" t="s">
        <v>28</v>
      </c>
      <c r="F3129" s="19" t="s">
        <v>28</v>
      </c>
      <c r="G3129" s="19" t="s">
        <v>28</v>
      </c>
      <c r="H3129" s="19" t="s">
        <v>28</v>
      </c>
      <c r="I3129" s="18" t="s">
        <v>28</v>
      </c>
      <c r="J3129" s="18" t="s">
        <v>28</v>
      </c>
      <c r="K3129" s="18" t="s">
        <v>28</v>
      </c>
      <c r="L3129" s="18" t="s">
        <v>28</v>
      </c>
      <c r="M3129" s="18" t="s">
        <v>28</v>
      </c>
      <c r="N3129" s="17">
        <v>44712</v>
      </c>
      <c r="O3129" s="15" t="s">
        <v>30</v>
      </c>
      <c r="P3129" s="16" t="s">
        <v>10461</v>
      </c>
      <c r="Q3129" s="15" t="s">
        <v>522</v>
      </c>
      <c r="R3129" s="13" t="str">
        <f>HYPERLINK("https://my.pitchbook.com?c=195890-59T","View Company Online")</f>
        <v>View Company Online</v>
      </c>
    </row>
    <row r="3130" spans="1:18" hidden="1" x14ac:dyDescent="0.3">
      <c r="A3130" s="9" t="s">
        <v>10462</v>
      </c>
      <c r="B3130" s="9" t="s">
        <v>10463</v>
      </c>
      <c r="C3130" s="11" t="s">
        <v>28</v>
      </c>
      <c r="D3130" s="9" t="s">
        <v>10464</v>
      </c>
      <c r="E3130" s="11" t="s">
        <v>28</v>
      </c>
      <c r="F3130" s="10" t="s">
        <v>28</v>
      </c>
      <c r="G3130" s="10">
        <v>1.67</v>
      </c>
      <c r="H3130" s="10" t="s">
        <v>28</v>
      </c>
      <c r="I3130" s="11" t="s">
        <v>28</v>
      </c>
      <c r="J3130" s="11" t="s">
        <v>28</v>
      </c>
      <c r="K3130" s="11" t="s">
        <v>28</v>
      </c>
      <c r="L3130" s="11" t="s">
        <v>28</v>
      </c>
      <c r="M3130" s="11" t="s">
        <v>28</v>
      </c>
      <c r="N3130" s="8">
        <v>44711</v>
      </c>
      <c r="O3130" s="9" t="s">
        <v>73</v>
      </c>
      <c r="P3130" s="12" t="s">
        <v>10465</v>
      </c>
      <c r="Q3130" s="9" t="s">
        <v>75</v>
      </c>
      <c r="R3130" s="14" t="str">
        <f>HYPERLINK("https://my.pitchbook.com?c=195041-44T","View Company Online")</f>
        <v>View Company Online</v>
      </c>
    </row>
    <row r="3131" spans="1:18" hidden="1" x14ac:dyDescent="0.3">
      <c r="A3131" s="15" t="s">
        <v>10466</v>
      </c>
      <c r="B3131" s="15" t="s">
        <v>10467</v>
      </c>
      <c r="C3131" s="18" t="s">
        <v>28</v>
      </c>
      <c r="D3131" s="15" t="s">
        <v>10468</v>
      </c>
      <c r="E3131" s="18" t="s">
        <v>28</v>
      </c>
      <c r="F3131" s="19" t="s">
        <v>28</v>
      </c>
      <c r="G3131" s="19" t="s">
        <v>28</v>
      </c>
      <c r="H3131" s="19" t="s">
        <v>28</v>
      </c>
      <c r="I3131" s="18" t="s">
        <v>28</v>
      </c>
      <c r="J3131" s="18" t="s">
        <v>28</v>
      </c>
      <c r="K3131" s="18" t="s">
        <v>28</v>
      </c>
      <c r="L3131" s="18" t="s">
        <v>28</v>
      </c>
      <c r="M3131" s="18" t="s">
        <v>28</v>
      </c>
      <c r="N3131" s="17">
        <v>44711</v>
      </c>
      <c r="O3131" s="15" t="s">
        <v>173</v>
      </c>
      <c r="P3131" s="16" t="s">
        <v>28</v>
      </c>
      <c r="Q3131" s="15" t="s">
        <v>226</v>
      </c>
      <c r="R3131" s="13" t="str">
        <f>HYPERLINK("https://my.pitchbook.com?c=195029-29T","View Company Online")</f>
        <v>View Company Online</v>
      </c>
    </row>
    <row r="3132" spans="1:18" hidden="1" x14ac:dyDescent="0.3">
      <c r="A3132" s="9" t="s">
        <v>10469</v>
      </c>
      <c r="B3132" s="9" t="s">
        <v>7096</v>
      </c>
      <c r="C3132" s="11" t="s">
        <v>28</v>
      </c>
      <c r="D3132" s="9" t="s">
        <v>7097</v>
      </c>
      <c r="E3132" s="11" t="s">
        <v>28</v>
      </c>
      <c r="F3132" s="10" t="s">
        <v>28</v>
      </c>
      <c r="G3132" s="10">
        <v>0.1</v>
      </c>
      <c r="H3132" s="10" t="s">
        <v>28</v>
      </c>
      <c r="I3132" s="11" t="s">
        <v>28</v>
      </c>
      <c r="J3132" s="11" t="s">
        <v>28</v>
      </c>
      <c r="K3132" s="11" t="s">
        <v>28</v>
      </c>
      <c r="L3132" s="11" t="s">
        <v>28</v>
      </c>
      <c r="M3132" s="11" t="s">
        <v>28</v>
      </c>
      <c r="N3132" s="8">
        <v>44711</v>
      </c>
      <c r="O3132" s="9" t="s">
        <v>52</v>
      </c>
      <c r="P3132" s="12" t="s">
        <v>2915</v>
      </c>
      <c r="Q3132" s="9" t="s">
        <v>75</v>
      </c>
      <c r="R3132" s="14" t="str">
        <f>HYPERLINK("https://my.pitchbook.com?c=247221-55T","View Company Online")</f>
        <v>View Company Online</v>
      </c>
    </row>
    <row r="3133" spans="1:18" hidden="1" x14ac:dyDescent="0.3">
      <c r="A3133" s="15" t="s">
        <v>10470</v>
      </c>
      <c r="B3133" s="15" t="s">
        <v>6457</v>
      </c>
      <c r="C3133" s="18" t="s">
        <v>28</v>
      </c>
      <c r="D3133" s="15" t="s">
        <v>6458</v>
      </c>
      <c r="E3133" s="18" t="s">
        <v>28</v>
      </c>
      <c r="F3133" s="19" t="s">
        <v>28</v>
      </c>
      <c r="G3133" s="19">
        <v>10</v>
      </c>
      <c r="H3133" s="19" t="s">
        <v>28</v>
      </c>
      <c r="I3133" s="18" t="s">
        <v>28</v>
      </c>
      <c r="J3133" s="18" t="s">
        <v>28</v>
      </c>
      <c r="K3133" s="18">
        <v>11.68</v>
      </c>
      <c r="L3133" s="18" t="s">
        <v>28</v>
      </c>
      <c r="M3133" s="18" t="s">
        <v>28</v>
      </c>
      <c r="N3133" s="17">
        <v>44711</v>
      </c>
      <c r="O3133" s="15" t="s">
        <v>79</v>
      </c>
      <c r="P3133" s="16" t="s">
        <v>28</v>
      </c>
      <c r="Q3133" s="15" t="s">
        <v>566</v>
      </c>
      <c r="R3133" s="13" t="str">
        <f>HYPERLINK("https://my.pitchbook.com?c=195012-01T","View Company Online")</f>
        <v>View Company Online</v>
      </c>
    </row>
    <row r="3134" spans="1:18" hidden="1" x14ac:dyDescent="0.3">
      <c r="A3134" s="9" t="s">
        <v>10471</v>
      </c>
      <c r="B3134" s="9" t="s">
        <v>10472</v>
      </c>
      <c r="C3134" s="11" t="s">
        <v>28</v>
      </c>
      <c r="D3134" s="9" t="s">
        <v>10473</v>
      </c>
      <c r="E3134" s="11" t="s">
        <v>28</v>
      </c>
      <c r="F3134" s="10" t="s">
        <v>28</v>
      </c>
      <c r="G3134" s="10" t="s">
        <v>28</v>
      </c>
      <c r="H3134" s="10" t="s">
        <v>28</v>
      </c>
      <c r="I3134" s="11" t="s">
        <v>28</v>
      </c>
      <c r="J3134" s="11" t="s">
        <v>28</v>
      </c>
      <c r="K3134" s="11" t="s">
        <v>28</v>
      </c>
      <c r="L3134" s="11" t="s">
        <v>28</v>
      </c>
      <c r="M3134" s="11" t="s">
        <v>28</v>
      </c>
      <c r="N3134" s="8">
        <v>44711</v>
      </c>
      <c r="O3134" s="9" t="s">
        <v>79</v>
      </c>
      <c r="P3134" s="12" t="s">
        <v>7847</v>
      </c>
      <c r="Q3134" s="9" t="s">
        <v>75</v>
      </c>
      <c r="R3134" s="14" t="str">
        <f>HYPERLINK("https://my.pitchbook.com?c=191282-23T","View Company Online")</f>
        <v>View Company Online</v>
      </c>
    </row>
    <row r="3135" spans="1:18" x14ac:dyDescent="0.3">
      <c r="A3135" s="15" t="s">
        <v>10474</v>
      </c>
      <c r="B3135" s="15" t="s">
        <v>10475</v>
      </c>
      <c r="C3135" s="18">
        <v>3.56</v>
      </c>
      <c r="D3135" s="15" t="s">
        <v>10476</v>
      </c>
      <c r="E3135" s="18" t="s">
        <v>28</v>
      </c>
      <c r="F3135" s="19">
        <v>25.75</v>
      </c>
      <c r="G3135" s="19">
        <v>25.75</v>
      </c>
      <c r="H3135" s="19">
        <v>25.75</v>
      </c>
      <c r="I3135" s="18">
        <v>7.23</v>
      </c>
      <c r="J3135" s="18">
        <v>3.56</v>
      </c>
      <c r="K3135" s="18">
        <v>77.47</v>
      </c>
      <c r="L3135" s="18">
        <v>0.33</v>
      </c>
      <c r="M3135" s="18">
        <v>4.45</v>
      </c>
      <c r="N3135" s="17">
        <v>44711</v>
      </c>
      <c r="O3135" s="15" t="s">
        <v>30</v>
      </c>
      <c r="P3135" s="16" t="s">
        <v>4856</v>
      </c>
      <c r="Q3135" s="15" t="s">
        <v>85</v>
      </c>
      <c r="R3135" s="13" t="str">
        <f>HYPERLINK("https://my.pitchbook.com?c=210106-99T","View Company Online")</f>
        <v>View Company Online</v>
      </c>
    </row>
    <row r="3136" spans="1:18" hidden="1" x14ac:dyDescent="0.3">
      <c r="A3136" s="9" t="s">
        <v>10477</v>
      </c>
      <c r="B3136" s="9" t="s">
        <v>2436</v>
      </c>
      <c r="C3136" s="11" t="s">
        <v>28</v>
      </c>
      <c r="D3136" s="9" t="s">
        <v>2437</v>
      </c>
      <c r="E3136" s="11" t="s">
        <v>28</v>
      </c>
      <c r="F3136" s="10" t="s">
        <v>28</v>
      </c>
      <c r="G3136" s="10" t="s">
        <v>28</v>
      </c>
      <c r="H3136" s="10" t="s">
        <v>28</v>
      </c>
      <c r="I3136" s="11" t="s">
        <v>28</v>
      </c>
      <c r="J3136" s="11" t="s">
        <v>28</v>
      </c>
      <c r="K3136" s="11" t="s">
        <v>28</v>
      </c>
      <c r="L3136" s="11" t="s">
        <v>28</v>
      </c>
      <c r="M3136" s="11" t="s">
        <v>28</v>
      </c>
      <c r="N3136" s="8">
        <v>44711</v>
      </c>
      <c r="O3136" s="9" t="s">
        <v>79</v>
      </c>
      <c r="P3136" s="12" t="s">
        <v>7847</v>
      </c>
      <c r="Q3136" s="9" t="s">
        <v>404</v>
      </c>
      <c r="R3136" s="14" t="str">
        <f>HYPERLINK("https://my.pitchbook.com?c=191280-97T","View Company Online")</f>
        <v>View Company Online</v>
      </c>
    </row>
    <row r="3137" spans="1:18" hidden="1" x14ac:dyDescent="0.3">
      <c r="A3137" s="15" t="s">
        <v>10478</v>
      </c>
      <c r="B3137" s="15" t="s">
        <v>10479</v>
      </c>
      <c r="C3137" s="18" t="s">
        <v>28</v>
      </c>
      <c r="D3137" s="15" t="s">
        <v>10480</v>
      </c>
      <c r="E3137" s="18" t="s">
        <v>28</v>
      </c>
      <c r="F3137" s="19" t="s">
        <v>28</v>
      </c>
      <c r="G3137" s="19">
        <v>0.5</v>
      </c>
      <c r="H3137" s="19" t="s">
        <v>28</v>
      </c>
      <c r="I3137" s="18" t="s">
        <v>28</v>
      </c>
      <c r="J3137" s="18" t="s">
        <v>28</v>
      </c>
      <c r="K3137" s="18" t="s">
        <v>28</v>
      </c>
      <c r="L3137" s="18" t="s">
        <v>28</v>
      </c>
      <c r="M3137" s="18" t="s">
        <v>28</v>
      </c>
      <c r="N3137" s="17">
        <v>44711</v>
      </c>
      <c r="O3137" s="15" t="s">
        <v>52</v>
      </c>
      <c r="P3137" s="16" t="s">
        <v>2915</v>
      </c>
      <c r="Q3137" s="15" t="s">
        <v>75</v>
      </c>
      <c r="R3137" s="13" t="str">
        <f>HYPERLINK("https://my.pitchbook.com?c=247225-78T","View Company Online")</f>
        <v>View Company Online</v>
      </c>
    </row>
    <row r="3138" spans="1:18" hidden="1" x14ac:dyDescent="0.3">
      <c r="A3138" s="9" t="s">
        <v>10481</v>
      </c>
      <c r="B3138" s="9" t="s">
        <v>10482</v>
      </c>
      <c r="C3138" s="11" t="s">
        <v>28</v>
      </c>
      <c r="D3138" s="9" t="s">
        <v>10483</v>
      </c>
      <c r="E3138" s="11">
        <v>-2.2999999999999998</v>
      </c>
      <c r="F3138" s="10">
        <v>15.49</v>
      </c>
      <c r="G3138" s="10">
        <v>7.9</v>
      </c>
      <c r="H3138" s="10">
        <v>15.49</v>
      </c>
      <c r="I3138" s="11" t="s">
        <v>28</v>
      </c>
      <c r="J3138" s="11" t="s">
        <v>28</v>
      </c>
      <c r="K3138" s="11" t="s">
        <v>28</v>
      </c>
      <c r="L3138" s="11" t="s">
        <v>28</v>
      </c>
      <c r="M3138" s="11" t="s">
        <v>28</v>
      </c>
      <c r="N3138" s="8">
        <v>44711</v>
      </c>
      <c r="O3138" s="9" t="s">
        <v>30</v>
      </c>
      <c r="P3138" s="12" t="s">
        <v>10484</v>
      </c>
      <c r="Q3138" s="9" t="s">
        <v>37</v>
      </c>
      <c r="R3138" s="14" t="str">
        <f>HYPERLINK("https://my.pitchbook.com?c=194253-40T","View Company Online")</f>
        <v>View Company Online</v>
      </c>
    </row>
    <row r="3139" spans="1:18" hidden="1" x14ac:dyDescent="0.3">
      <c r="A3139" s="15" t="s">
        <v>10485</v>
      </c>
      <c r="B3139" s="15" t="s">
        <v>1595</v>
      </c>
      <c r="C3139" s="18" t="s">
        <v>28</v>
      </c>
      <c r="D3139" s="15" t="s">
        <v>1596</v>
      </c>
      <c r="E3139" s="18" t="s">
        <v>28</v>
      </c>
      <c r="F3139" s="19" t="s">
        <v>28</v>
      </c>
      <c r="G3139" s="19">
        <v>0.5</v>
      </c>
      <c r="H3139" s="19" t="s">
        <v>28</v>
      </c>
      <c r="I3139" s="18" t="s">
        <v>28</v>
      </c>
      <c r="J3139" s="18" t="s">
        <v>28</v>
      </c>
      <c r="K3139" s="18" t="s">
        <v>28</v>
      </c>
      <c r="L3139" s="18" t="s">
        <v>28</v>
      </c>
      <c r="M3139" s="18" t="s">
        <v>28</v>
      </c>
      <c r="N3139" s="17">
        <v>44711</v>
      </c>
      <c r="O3139" s="15" t="s">
        <v>52</v>
      </c>
      <c r="P3139" s="16" t="s">
        <v>2915</v>
      </c>
      <c r="Q3139" s="15" t="s">
        <v>75</v>
      </c>
      <c r="R3139" s="13" t="str">
        <f>HYPERLINK("https://my.pitchbook.com?c=247226-05T","View Company Online")</f>
        <v>View Company Online</v>
      </c>
    </row>
    <row r="3140" spans="1:18" hidden="1" x14ac:dyDescent="0.3">
      <c r="A3140" s="9" t="s">
        <v>10486</v>
      </c>
      <c r="B3140" s="9" t="s">
        <v>10487</v>
      </c>
      <c r="C3140" s="11" t="s">
        <v>28</v>
      </c>
      <c r="D3140" s="9" t="s">
        <v>10488</v>
      </c>
      <c r="E3140" s="11">
        <v>-0.15</v>
      </c>
      <c r="F3140" s="10" t="s">
        <v>28</v>
      </c>
      <c r="G3140" s="10" t="s">
        <v>28</v>
      </c>
      <c r="H3140" s="10" t="s">
        <v>28</v>
      </c>
      <c r="I3140" s="11">
        <v>-0.15</v>
      </c>
      <c r="J3140" s="11" t="s">
        <v>28</v>
      </c>
      <c r="K3140" s="11">
        <v>0</v>
      </c>
      <c r="L3140" s="11" t="s">
        <v>28</v>
      </c>
      <c r="M3140" s="11">
        <v>-2.23</v>
      </c>
      <c r="N3140" s="8">
        <v>44711</v>
      </c>
      <c r="O3140" s="9" t="s">
        <v>173</v>
      </c>
      <c r="P3140" s="12" t="s">
        <v>28</v>
      </c>
      <c r="Q3140" s="9" t="s">
        <v>10489</v>
      </c>
      <c r="R3140" s="14" t="str">
        <f>HYPERLINK("https://my.pitchbook.com?c=195029-83T","View Company Online")</f>
        <v>View Company Online</v>
      </c>
    </row>
    <row r="3141" spans="1:18" hidden="1" x14ac:dyDescent="0.3">
      <c r="A3141" s="15" t="s">
        <v>10490</v>
      </c>
      <c r="B3141" s="15" t="s">
        <v>10491</v>
      </c>
      <c r="C3141" s="18" t="s">
        <v>28</v>
      </c>
      <c r="D3141" s="15" t="s">
        <v>10492</v>
      </c>
      <c r="E3141" s="18" t="s">
        <v>28</v>
      </c>
      <c r="F3141" s="19" t="s">
        <v>28</v>
      </c>
      <c r="G3141" s="19" t="s">
        <v>28</v>
      </c>
      <c r="H3141" s="19" t="s">
        <v>28</v>
      </c>
      <c r="I3141" s="18" t="s">
        <v>28</v>
      </c>
      <c r="J3141" s="18" t="s">
        <v>28</v>
      </c>
      <c r="K3141" s="18" t="s">
        <v>28</v>
      </c>
      <c r="L3141" s="18" t="s">
        <v>28</v>
      </c>
      <c r="M3141" s="18" t="s">
        <v>28</v>
      </c>
      <c r="N3141" s="17">
        <v>44711</v>
      </c>
      <c r="O3141" s="15" t="s">
        <v>52</v>
      </c>
      <c r="P3141" s="16" t="s">
        <v>2915</v>
      </c>
      <c r="Q3141" s="15" t="s">
        <v>37</v>
      </c>
      <c r="R3141" s="13" t="str">
        <f>HYPERLINK("https://my.pitchbook.com?c=215587-63T","View Company Online")</f>
        <v>View Company Online</v>
      </c>
    </row>
    <row r="3142" spans="1:18" hidden="1" x14ac:dyDescent="0.3">
      <c r="A3142" s="9" t="s">
        <v>10493</v>
      </c>
      <c r="B3142" s="9" t="s">
        <v>7647</v>
      </c>
      <c r="C3142" s="11" t="s">
        <v>28</v>
      </c>
      <c r="D3142" s="9" t="s">
        <v>7648</v>
      </c>
      <c r="E3142" s="11" t="s">
        <v>28</v>
      </c>
      <c r="F3142" s="10" t="s">
        <v>28</v>
      </c>
      <c r="G3142" s="10">
        <v>0.37</v>
      </c>
      <c r="H3142" s="10" t="s">
        <v>28</v>
      </c>
      <c r="I3142" s="11" t="s">
        <v>28</v>
      </c>
      <c r="J3142" s="11" t="s">
        <v>28</v>
      </c>
      <c r="K3142" s="11" t="s">
        <v>28</v>
      </c>
      <c r="L3142" s="11" t="s">
        <v>28</v>
      </c>
      <c r="M3142" s="11" t="s">
        <v>28</v>
      </c>
      <c r="N3142" s="8">
        <v>44709</v>
      </c>
      <c r="O3142" s="9" t="s">
        <v>1639</v>
      </c>
      <c r="P3142" s="12" t="s">
        <v>28</v>
      </c>
      <c r="Q3142" s="9" t="s">
        <v>75</v>
      </c>
      <c r="R3142" s="14" t="str">
        <f>HYPERLINK("https://my.pitchbook.com?c=196496-83T","View Company Online")</f>
        <v>View Company Online</v>
      </c>
    </row>
    <row r="3143" spans="1:18" hidden="1" x14ac:dyDescent="0.3">
      <c r="A3143" s="15" t="s">
        <v>10494</v>
      </c>
      <c r="B3143" s="15" t="s">
        <v>8937</v>
      </c>
      <c r="C3143" s="18" t="s">
        <v>28</v>
      </c>
      <c r="D3143" s="15" t="s">
        <v>8938</v>
      </c>
      <c r="E3143" s="18" t="s">
        <v>28</v>
      </c>
      <c r="F3143" s="19" t="s">
        <v>28</v>
      </c>
      <c r="G3143" s="19">
        <v>4</v>
      </c>
      <c r="H3143" s="19" t="s">
        <v>28</v>
      </c>
      <c r="I3143" s="18" t="s">
        <v>28</v>
      </c>
      <c r="J3143" s="18" t="s">
        <v>28</v>
      </c>
      <c r="K3143" s="18" t="s">
        <v>28</v>
      </c>
      <c r="L3143" s="18" t="s">
        <v>28</v>
      </c>
      <c r="M3143" s="18" t="s">
        <v>28</v>
      </c>
      <c r="N3143" s="17">
        <v>44708</v>
      </c>
      <c r="O3143" s="15" t="s">
        <v>99</v>
      </c>
      <c r="P3143" s="16" t="s">
        <v>10495</v>
      </c>
      <c r="Q3143" s="15" t="s">
        <v>37</v>
      </c>
      <c r="R3143" s="13" t="str">
        <f>HYPERLINK("https://my.pitchbook.com?c=232926-85T","View Company Online")</f>
        <v>View Company Online</v>
      </c>
    </row>
    <row r="3144" spans="1:18" hidden="1" x14ac:dyDescent="0.3">
      <c r="A3144" s="9" t="s">
        <v>10496</v>
      </c>
      <c r="B3144" s="9" t="s">
        <v>10497</v>
      </c>
      <c r="C3144" s="11" t="s">
        <v>28</v>
      </c>
      <c r="D3144" s="9" t="s">
        <v>10498</v>
      </c>
      <c r="E3144" s="11" t="s">
        <v>28</v>
      </c>
      <c r="F3144" s="10" t="s">
        <v>28</v>
      </c>
      <c r="G3144" s="10" t="s">
        <v>28</v>
      </c>
      <c r="H3144" s="10" t="s">
        <v>28</v>
      </c>
      <c r="I3144" s="11" t="s">
        <v>28</v>
      </c>
      <c r="J3144" s="11" t="s">
        <v>28</v>
      </c>
      <c r="K3144" s="11" t="s">
        <v>28</v>
      </c>
      <c r="L3144" s="11" t="s">
        <v>28</v>
      </c>
      <c r="M3144" s="11" t="s">
        <v>28</v>
      </c>
      <c r="N3144" s="8">
        <v>44708</v>
      </c>
      <c r="O3144" s="9" t="s">
        <v>41</v>
      </c>
      <c r="P3144" s="12" t="s">
        <v>10499</v>
      </c>
      <c r="Q3144" s="9" t="s">
        <v>2706</v>
      </c>
      <c r="R3144" s="14" t="str">
        <f>HYPERLINK("https://my.pitchbook.com?c=193847-86T","View Company Online")</f>
        <v>View Company Online</v>
      </c>
    </row>
    <row r="3145" spans="1:18" hidden="1" x14ac:dyDescent="0.3">
      <c r="A3145" s="15" t="s">
        <v>10500</v>
      </c>
      <c r="B3145" s="15" t="s">
        <v>10501</v>
      </c>
      <c r="C3145" s="18" t="s">
        <v>28</v>
      </c>
      <c r="D3145" s="15" t="s">
        <v>10502</v>
      </c>
      <c r="E3145" s="18" t="s">
        <v>28</v>
      </c>
      <c r="F3145" s="19" t="s">
        <v>28</v>
      </c>
      <c r="G3145" s="19">
        <v>4.4000000000000004</v>
      </c>
      <c r="H3145" s="19">
        <v>40</v>
      </c>
      <c r="I3145" s="18" t="s">
        <v>28</v>
      </c>
      <c r="J3145" s="18" t="s">
        <v>28</v>
      </c>
      <c r="K3145" s="18" t="s">
        <v>28</v>
      </c>
      <c r="L3145" s="18" t="s">
        <v>28</v>
      </c>
      <c r="M3145" s="18" t="s">
        <v>28</v>
      </c>
      <c r="N3145" s="17">
        <v>44708</v>
      </c>
      <c r="O3145" s="15" t="s">
        <v>99</v>
      </c>
      <c r="P3145" s="16" t="s">
        <v>10503</v>
      </c>
      <c r="Q3145" s="15" t="s">
        <v>566</v>
      </c>
      <c r="R3145" s="13" t="str">
        <f>HYPERLINK("https://my.pitchbook.com?c=194849-92T","View Company Online")</f>
        <v>View Company Online</v>
      </c>
    </row>
    <row r="3146" spans="1:18" hidden="1" x14ac:dyDescent="0.3">
      <c r="A3146" s="9" t="s">
        <v>10504</v>
      </c>
      <c r="B3146" s="9" t="s">
        <v>10505</v>
      </c>
      <c r="C3146" s="11" t="s">
        <v>28</v>
      </c>
      <c r="D3146" s="9" t="s">
        <v>10506</v>
      </c>
      <c r="E3146" s="11" t="s">
        <v>28</v>
      </c>
      <c r="F3146" s="10" t="s">
        <v>28</v>
      </c>
      <c r="G3146" s="10" t="s">
        <v>28</v>
      </c>
      <c r="H3146" s="10" t="s">
        <v>28</v>
      </c>
      <c r="I3146" s="11" t="s">
        <v>28</v>
      </c>
      <c r="J3146" s="11" t="s">
        <v>28</v>
      </c>
      <c r="K3146" s="11" t="s">
        <v>28</v>
      </c>
      <c r="L3146" s="11" t="s">
        <v>28</v>
      </c>
      <c r="M3146" s="11" t="s">
        <v>28</v>
      </c>
      <c r="N3146" s="8">
        <v>44707</v>
      </c>
      <c r="O3146" s="9" t="s">
        <v>93</v>
      </c>
      <c r="P3146" s="12" t="s">
        <v>10507</v>
      </c>
      <c r="Q3146" s="9" t="s">
        <v>114</v>
      </c>
      <c r="R3146" s="14" t="str">
        <f>HYPERLINK("https://my.pitchbook.com?c=219132-73T","View Company Online")</f>
        <v>View Company Online</v>
      </c>
    </row>
    <row r="3147" spans="1:18" hidden="1" x14ac:dyDescent="0.3">
      <c r="A3147" s="15" t="s">
        <v>10508</v>
      </c>
      <c r="B3147" s="15" t="s">
        <v>10509</v>
      </c>
      <c r="C3147" s="18" t="s">
        <v>28</v>
      </c>
      <c r="D3147" s="15" t="s">
        <v>10510</v>
      </c>
      <c r="E3147" s="18" t="s">
        <v>28</v>
      </c>
      <c r="F3147" s="19" t="s">
        <v>28</v>
      </c>
      <c r="G3147" s="19" t="s">
        <v>28</v>
      </c>
      <c r="H3147" s="19" t="s">
        <v>28</v>
      </c>
      <c r="I3147" s="18" t="s">
        <v>28</v>
      </c>
      <c r="J3147" s="18" t="s">
        <v>28</v>
      </c>
      <c r="K3147" s="18" t="s">
        <v>28</v>
      </c>
      <c r="L3147" s="18" t="s">
        <v>28</v>
      </c>
      <c r="M3147" s="18" t="s">
        <v>28</v>
      </c>
      <c r="N3147" s="17">
        <v>44707</v>
      </c>
      <c r="O3147" s="15" t="s">
        <v>73</v>
      </c>
      <c r="P3147" s="16" t="s">
        <v>611</v>
      </c>
      <c r="Q3147" s="15" t="s">
        <v>414</v>
      </c>
      <c r="R3147" s="13" t="str">
        <f>HYPERLINK("https://my.pitchbook.com?c=194441-41T","View Company Online")</f>
        <v>View Company Online</v>
      </c>
    </row>
    <row r="3148" spans="1:18" hidden="1" x14ac:dyDescent="0.3">
      <c r="A3148" s="9" t="s">
        <v>10511</v>
      </c>
      <c r="B3148" s="9" t="s">
        <v>10512</v>
      </c>
      <c r="C3148" s="11" t="s">
        <v>28</v>
      </c>
      <c r="D3148" s="9" t="s">
        <v>10513</v>
      </c>
      <c r="E3148" s="11" t="s">
        <v>28</v>
      </c>
      <c r="F3148" s="10" t="s">
        <v>28</v>
      </c>
      <c r="G3148" s="10" t="s">
        <v>28</v>
      </c>
      <c r="H3148" s="10" t="s">
        <v>28</v>
      </c>
      <c r="I3148" s="11" t="s">
        <v>28</v>
      </c>
      <c r="J3148" s="11" t="s">
        <v>28</v>
      </c>
      <c r="K3148" s="11" t="s">
        <v>28</v>
      </c>
      <c r="L3148" s="11" t="s">
        <v>28</v>
      </c>
      <c r="M3148" s="11" t="s">
        <v>28</v>
      </c>
      <c r="N3148" s="8">
        <v>44706</v>
      </c>
      <c r="O3148" s="9" t="s">
        <v>173</v>
      </c>
      <c r="P3148" s="12" t="s">
        <v>28</v>
      </c>
      <c r="Q3148" s="9" t="s">
        <v>240</v>
      </c>
      <c r="R3148" s="14" t="str">
        <f>HYPERLINK("https://my.pitchbook.com?c=213521-50T","View Company Online")</f>
        <v>View Company Online</v>
      </c>
    </row>
    <row r="3149" spans="1:18" hidden="1" x14ac:dyDescent="0.3">
      <c r="A3149" s="15" t="s">
        <v>10514</v>
      </c>
      <c r="B3149" s="15" t="s">
        <v>10515</v>
      </c>
      <c r="C3149" s="18" t="s">
        <v>28</v>
      </c>
      <c r="D3149" s="15" t="s">
        <v>10516</v>
      </c>
      <c r="E3149" s="18" t="s">
        <v>28</v>
      </c>
      <c r="F3149" s="19" t="s">
        <v>28</v>
      </c>
      <c r="G3149" s="19" t="s">
        <v>28</v>
      </c>
      <c r="H3149" s="19" t="s">
        <v>28</v>
      </c>
      <c r="I3149" s="18" t="s">
        <v>28</v>
      </c>
      <c r="J3149" s="18" t="s">
        <v>28</v>
      </c>
      <c r="K3149" s="18" t="s">
        <v>28</v>
      </c>
      <c r="L3149" s="18" t="s">
        <v>28</v>
      </c>
      <c r="M3149" s="18" t="s">
        <v>28</v>
      </c>
      <c r="N3149" s="17">
        <v>44706</v>
      </c>
      <c r="O3149" s="15" t="s">
        <v>30</v>
      </c>
      <c r="P3149" s="16" t="s">
        <v>10517</v>
      </c>
      <c r="Q3149" s="15" t="s">
        <v>832</v>
      </c>
      <c r="R3149" s="13" t="str">
        <f>HYPERLINK("https://my.pitchbook.com?c=194967-64T","View Company Online")</f>
        <v>View Company Online</v>
      </c>
    </row>
    <row r="3150" spans="1:18" hidden="1" x14ac:dyDescent="0.3">
      <c r="A3150" s="9" t="s">
        <v>10518</v>
      </c>
      <c r="B3150" s="9" t="s">
        <v>10519</v>
      </c>
      <c r="C3150" s="11" t="s">
        <v>28</v>
      </c>
      <c r="D3150" s="9" t="s">
        <v>10520</v>
      </c>
      <c r="E3150" s="11" t="s">
        <v>28</v>
      </c>
      <c r="F3150" s="10">
        <v>4.04</v>
      </c>
      <c r="G3150" s="10">
        <v>4.04</v>
      </c>
      <c r="H3150" s="10">
        <v>4.04</v>
      </c>
      <c r="I3150" s="11" t="s">
        <v>28</v>
      </c>
      <c r="J3150" s="11" t="s">
        <v>28</v>
      </c>
      <c r="K3150" s="11" t="s">
        <v>28</v>
      </c>
      <c r="L3150" s="11" t="s">
        <v>28</v>
      </c>
      <c r="M3150" s="11" t="s">
        <v>28</v>
      </c>
      <c r="N3150" s="8">
        <v>44706</v>
      </c>
      <c r="O3150" s="9" t="s">
        <v>30</v>
      </c>
      <c r="P3150" s="12" t="s">
        <v>10521</v>
      </c>
      <c r="Q3150" s="9" t="s">
        <v>4087</v>
      </c>
      <c r="R3150" s="14" t="str">
        <f>HYPERLINK("https://my.pitchbook.com?c=212284-09T","View Company Online")</f>
        <v>View Company Online</v>
      </c>
    </row>
    <row r="3151" spans="1:18" hidden="1" x14ac:dyDescent="0.3">
      <c r="A3151" s="15" t="s">
        <v>10522</v>
      </c>
      <c r="B3151" s="15" t="s">
        <v>10523</v>
      </c>
      <c r="C3151" s="18" t="s">
        <v>28</v>
      </c>
      <c r="D3151" s="15" t="s">
        <v>10524</v>
      </c>
      <c r="E3151" s="18" t="s">
        <v>28</v>
      </c>
      <c r="F3151" s="19" t="s">
        <v>28</v>
      </c>
      <c r="G3151" s="19" t="s">
        <v>28</v>
      </c>
      <c r="H3151" s="19" t="s">
        <v>28</v>
      </c>
      <c r="I3151" s="18" t="s">
        <v>28</v>
      </c>
      <c r="J3151" s="18" t="s">
        <v>28</v>
      </c>
      <c r="K3151" s="18" t="s">
        <v>28</v>
      </c>
      <c r="L3151" s="18" t="s">
        <v>28</v>
      </c>
      <c r="M3151" s="18" t="s">
        <v>28</v>
      </c>
      <c r="N3151" s="17">
        <v>44706</v>
      </c>
      <c r="O3151" s="15" t="s">
        <v>58</v>
      </c>
      <c r="P3151" s="16" t="s">
        <v>10525</v>
      </c>
      <c r="Q3151" s="15" t="s">
        <v>245</v>
      </c>
      <c r="R3151" s="13" t="str">
        <f>HYPERLINK("https://my.pitchbook.com?c=207564-13T","View Company Online")</f>
        <v>View Company Online</v>
      </c>
    </row>
    <row r="3152" spans="1:18" hidden="1" x14ac:dyDescent="0.3">
      <c r="A3152" s="9" t="s">
        <v>10526</v>
      </c>
      <c r="B3152" s="9" t="s">
        <v>10527</v>
      </c>
      <c r="C3152" s="11" t="s">
        <v>28</v>
      </c>
      <c r="D3152" s="9" t="s">
        <v>10528</v>
      </c>
      <c r="E3152" s="11" t="s">
        <v>28</v>
      </c>
      <c r="F3152" s="10" t="s">
        <v>28</v>
      </c>
      <c r="G3152" s="10" t="s">
        <v>28</v>
      </c>
      <c r="H3152" s="10" t="s">
        <v>28</v>
      </c>
      <c r="I3152" s="11" t="s">
        <v>28</v>
      </c>
      <c r="J3152" s="11" t="s">
        <v>28</v>
      </c>
      <c r="K3152" s="11" t="s">
        <v>28</v>
      </c>
      <c r="L3152" s="11" t="s">
        <v>28</v>
      </c>
      <c r="M3152" s="11" t="s">
        <v>28</v>
      </c>
      <c r="N3152" s="8">
        <v>44705</v>
      </c>
      <c r="O3152" s="9" t="s">
        <v>30</v>
      </c>
      <c r="P3152" s="12" t="s">
        <v>10529</v>
      </c>
      <c r="Q3152" s="9" t="s">
        <v>75</v>
      </c>
      <c r="R3152" s="14" t="str">
        <f>HYPERLINK("https://my.pitchbook.com?c=195532-93T","View Company Online")</f>
        <v>View Company Online</v>
      </c>
    </row>
    <row r="3153" spans="1:18" hidden="1" x14ac:dyDescent="0.3">
      <c r="A3153" s="15" t="s">
        <v>10530</v>
      </c>
      <c r="B3153" s="15" t="s">
        <v>10531</v>
      </c>
      <c r="C3153" s="18" t="s">
        <v>28</v>
      </c>
      <c r="D3153" s="15" t="s">
        <v>10532</v>
      </c>
      <c r="E3153" s="18" t="s">
        <v>28</v>
      </c>
      <c r="F3153" s="19" t="s">
        <v>28</v>
      </c>
      <c r="G3153" s="19">
        <v>0.06</v>
      </c>
      <c r="H3153" s="19" t="s">
        <v>28</v>
      </c>
      <c r="I3153" s="18" t="s">
        <v>28</v>
      </c>
      <c r="J3153" s="18" t="s">
        <v>28</v>
      </c>
      <c r="K3153" s="18" t="s">
        <v>28</v>
      </c>
      <c r="L3153" s="18" t="s">
        <v>28</v>
      </c>
      <c r="M3153" s="18" t="s">
        <v>28</v>
      </c>
      <c r="N3153" s="17">
        <v>44705</v>
      </c>
      <c r="O3153" s="15" t="s">
        <v>99</v>
      </c>
      <c r="P3153" s="16" t="s">
        <v>5673</v>
      </c>
      <c r="Q3153" s="15" t="s">
        <v>75</v>
      </c>
      <c r="R3153" s="13" t="str">
        <f>HYPERLINK("https://my.pitchbook.com?c=232948-36T","View Company Online")</f>
        <v>View Company Online</v>
      </c>
    </row>
    <row r="3154" spans="1:18" hidden="1" x14ac:dyDescent="0.3">
      <c r="A3154" s="9" t="s">
        <v>10533</v>
      </c>
      <c r="B3154" s="9" t="s">
        <v>10534</v>
      </c>
      <c r="C3154" s="11" t="s">
        <v>28</v>
      </c>
      <c r="D3154" s="9" t="s">
        <v>10535</v>
      </c>
      <c r="E3154" s="11" t="s">
        <v>28</v>
      </c>
      <c r="F3154" s="10" t="s">
        <v>28</v>
      </c>
      <c r="G3154" s="10">
        <v>210.04</v>
      </c>
      <c r="H3154" s="10">
        <v>210.04</v>
      </c>
      <c r="I3154" s="11" t="s">
        <v>28</v>
      </c>
      <c r="J3154" s="11" t="s">
        <v>28</v>
      </c>
      <c r="K3154" s="11" t="s">
        <v>28</v>
      </c>
      <c r="L3154" s="11" t="s">
        <v>28</v>
      </c>
      <c r="M3154" s="11" t="s">
        <v>28</v>
      </c>
      <c r="N3154" s="8">
        <v>44705</v>
      </c>
      <c r="O3154" s="9" t="s">
        <v>30</v>
      </c>
      <c r="P3154" s="12" t="s">
        <v>10536</v>
      </c>
      <c r="Q3154" s="9" t="s">
        <v>774</v>
      </c>
      <c r="R3154" s="14" t="str">
        <f>HYPERLINK("https://my.pitchbook.com?c=194618-71T","View Company Online")</f>
        <v>View Company Online</v>
      </c>
    </row>
    <row r="3155" spans="1:18" hidden="1" x14ac:dyDescent="0.3">
      <c r="A3155" s="15" t="s">
        <v>10537</v>
      </c>
      <c r="B3155" s="15" t="s">
        <v>3141</v>
      </c>
      <c r="C3155" s="18" t="s">
        <v>28</v>
      </c>
      <c r="D3155" s="15" t="s">
        <v>3142</v>
      </c>
      <c r="E3155" s="18" t="s">
        <v>28</v>
      </c>
      <c r="F3155" s="19" t="s">
        <v>28</v>
      </c>
      <c r="G3155" s="19">
        <v>0.52</v>
      </c>
      <c r="H3155" s="19" t="s">
        <v>28</v>
      </c>
      <c r="I3155" s="18" t="s">
        <v>28</v>
      </c>
      <c r="J3155" s="18" t="s">
        <v>28</v>
      </c>
      <c r="K3155" s="18" t="s">
        <v>28</v>
      </c>
      <c r="L3155" s="18" t="s">
        <v>28</v>
      </c>
      <c r="M3155" s="18" t="s">
        <v>28</v>
      </c>
      <c r="N3155" s="17">
        <v>44704</v>
      </c>
      <c r="O3155" s="15" t="s">
        <v>73</v>
      </c>
      <c r="P3155" s="16" t="s">
        <v>10538</v>
      </c>
      <c r="Q3155" s="15" t="s">
        <v>75</v>
      </c>
      <c r="R3155" s="13" t="str">
        <f>HYPERLINK("https://my.pitchbook.com?c=194527-99T","View Company Online")</f>
        <v>View Company Online</v>
      </c>
    </row>
    <row r="3156" spans="1:18" hidden="1" x14ac:dyDescent="0.3">
      <c r="A3156" s="9" t="s">
        <v>10539</v>
      </c>
      <c r="B3156" s="9" t="s">
        <v>10540</v>
      </c>
      <c r="C3156" s="11" t="s">
        <v>28</v>
      </c>
      <c r="D3156" s="9" t="s">
        <v>10541</v>
      </c>
      <c r="E3156" s="11" t="s">
        <v>28</v>
      </c>
      <c r="F3156" s="10" t="s">
        <v>28</v>
      </c>
      <c r="G3156" s="10" t="s">
        <v>28</v>
      </c>
      <c r="H3156" s="10" t="s">
        <v>28</v>
      </c>
      <c r="I3156" s="11" t="s">
        <v>28</v>
      </c>
      <c r="J3156" s="11" t="s">
        <v>28</v>
      </c>
      <c r="K3156" s="11">
        <v>54.68</v>
      </c>
      <c r="L3156" s="11" t="s">
        <v>28</v>
      </c>
      <c r="M3156" s="11" t="s">
        <v>28</v>
      </c>
      <c r="N3156" s="8">
        <v>44704</v>
      </c>
      <c r="O3156" s="9" t="s">
        <v>30</v>
      </c>
      <c r="P3156" s="12" t="s">
        <v>10542</v>
      </c>
      <c r="Q3156" s="9" t="s">
        <v>136</v>
      </c>
      <c r="R3156" s="14" t="str">
        <f>HYPERLINK("https://my.pitchbook.com?c=194583-52T","View Company Online")</f>
        <v>View Company Online</v>
      </c>
    </row>
    <row r="3157" spans="1:18" hidden="1" x14ac:dyDescent="0.3">
      <c r="A3157" s="15" t="s">
        <v>10543</v>
      </c>
      <c r="B3157" s="15" t="s">
        <v>10544</v>
      </c>
      <c r="C3157" s="18" t="s">
        <v>28</v>
      </c>
      <c r="D3157" s="15" t="s">
        <v>10545</v>
      </c>
      <c r="E3157" s="18" t="s">
        <v>28</v>
      </c>
      <c r="F3157" s="19" t="s">
        <v>28</v>
      </c>
      <c r="G3157" s="19" t="s">
        <v>28</v>
      </c>
      <c r="H3157" s="19" t="s">
        <v>28</v>
      </c>
      <c r="I3157" s="18" t="s">
        <v>28</v>
      </c>
      <c r="J3157" s="18" t="s">
        <v>28</v>
      </c>
      <c r="K3157" s="18" t="s">
        <v>28</v>
      </c>
      <c r="L3157" s="18" t="s">
        <v>28</v>
      </c>
      <c r="M3157" s="18" t="s">
        <v>28</v>
      </c>
      <c r="N3157" s="17">
        <v>44702</v>
      </c>
      <c r="O3157" s="15" t="s">
        <v>30</v>
      </c>
      <c r="P3157" s="16" t="s">
        <v>10546</v>
      </c>
      <c r="Q3157" s="15" t="s">
        <v>1643</v>
      </c>
      <c r="R3157" s="13" t="str">
        <f>HYPERLINK("https://my.pitchbook.com?c=209987-11T","View Company Online")</f>
        <v>View Company Online</v>
      </c>
    </row>
    <row r="3158" spans="1:18" hidden="1" x14ac:dyDescent="0.3">
      <c r="A3158" s="9" t="s">
        <v>10547</v>
      </c>
      <c r="B3158" s="9" t="s">
        <v>10548</v>
      </c>
      <c r="C3158" s="11" t="s">
        <v>28</v>
      </c>
      <c r="D3158" s="9" t="s">
        <v>10549</v>
      </c>
      <c r="E3158" s="11" t="s">
        <v>28</v>
      </c>
      <c r="F3158" s="10" t="s">
        <v>28</v>
      </c>
      <c r="G3158" s="10" t="s">
        <v>28</v>
      </c>
      <c r="H3158" s="10" t="s">
        <v>28</v>
      </c>
      <c r="I3158" s="11" t="s">
        <v>28</v>
      </c>
      <c r="J3158" s="11" t="s">
        <v>28</v>
      </c>
      <c r="K3158" s="11" t="s">
        <v>28</v>
      </c>
      <c r="L3158" s="11" t="s">
        <v>28</v>
      </c>
      <c r="M3158" s="11" t="s">
        <v>28</v>
      </c>
      <c r="N3158" s="8">
        <v>44701</v>
      </c>
      <c r="O3158" s="9" t="s">
        <v>30</v>
      </c>
      <c r="P3158" s="12" t="s">
        <v>10550</v>
      </c>
      <c r="Q3158" s="9" t="s">
        <v>114</v>
      </c>
      <c r="R3158" s="14" t="str">
        <f>HYPERLINK("https://my.pitchbook.com?c=195279-76T","View Company Online")</f>
        <v>View Company Online</v>
      </c>
    </row>
    <row r="3159" spans="1:18" hidden="1" x14ac:dyDescent="0.3">
      <c r="A3159" s="15" t="s">
        <v>10551</v>
      </c>
      <c r="B3159" s="15" t="s">
        <v>10552</v>
      </c>
      <c r="C3159" s="18" t="s">
        <v>28</v>
      </c>
      <c r="D3159" s="15" t="s">
        <v>10553</v>
      </c>
      <c r="E3159" s="18" t="s">
        <v>28</v>
      </c>
      <c r="F3159" s="19" t="s">
        <v>28</v>
      </c>
      <c r="G3159" s="19" t="s">
        <v>28</v>
      </c>
      <c r="H3159" s="19" t="s">
        <v>28</v>
      </c>
      <c r="I3159" s="18" t="s">
        <v>28</v>
      </c>
      <c r="J3159" s="18" t="s">
        <v>28</v>
      </c>
      <c r="K3159" s="18" t="s">
        <v>28</v>
      </c>
      <c r="L3159" s="18" t="s">
        <v>28</v>
      </c>
      <c r="M3159" s="18" t="s">
        <v>28</v>
      </c>
      <c r="N3159" s="17">
        <v>44701</v>
      </c>
      <c r="O3159" s="15" t="s">
        <v>79</v>
      </c>
      <c r="P3159" s="16" t="s">
        <v>611</v>
      </c>
      <c r="Q3159" s="15" t="s">
        <v>386</v>
      </c>
      <c r="R3159" s="13" t="str">
        <f>HYPERLINK("https://my.pitchbook.com?c=199281-97T","View Company Online")</f>
        <v>View Company Online</v>
      </c>
    </row>
    <row r="3160" spans="1:18" hidden="1" x14ac:dyDescent="0.3">
      <c r="A3160" s="9" t="s">
        <v>10554</v>
      </c>
      <c r="B3160" s="9" t="s">
        <v>10555</v>
      </c>
      <c r="C3160" s="11" t="s">
        <v>28</v>
      </c>
      <c r="D3160" s="9" t="s">
        <v>10556</v>
      </c>
      <c r="E3160" s="11" t="s">
        <v>28</v>
      </c>
      <c r="F3160" s="10" t="s">
        <v>28</v>
      </c>
      <c r="G3160" s="10">
        <v>0.13</v>
      </c>
      <c r="H3160" s="10" t="s">
        <v>28</v>
      </c>
      <c r="I3160" s="11" t="s">
        <v>28</v>
      </c>
      <c r="J3160" s="11" t="s">
        <v>28</v>
      </c>
      <c r="K3160" s="11">
        <v>0.08</v>
      </c>
      <c r="L3160" s="11" t="s">
        <v>28</v>
      </c>
      <c r="M3160" s="11" t="s">
        <v>28</v>
      </c>
      <c r="N3160" s="8">
        <v>44701</v>
      </c>
      <c r="O3160" s="9" t="s">
        <v>79</v>
      </c>
      <c r="P3160" s="12" t="s">
        <v>10557</v>
      </c>
      <c r="Q3160" s="9" t="s">
        <v>1793</v>
      </c>
      <c r="R3160" s="14" t="str">
        <f>HYPERLINK("https://my.pitchbook.com?c=216119-89T","View Company Online")</f>
        <v>View Company Online</v>
      </c>
    </row>
    <row r="3161" spans="1:18" hidden="1" x14ac:dyDescent="0.3">
      <c r="A3161" s="15" t="s">
        <v>10558</v>
      </c>
      <c r="B3161" s="15" t="s">
        <v>1418</v>
      </c>
      <c r="C3161" s="18" t="s">
        <v>28</v>
      </c>
      <c r="D3161" s="15" t="s">
        <v>1419</v>
      </c>
      <c r="E3161" s="18" t="s">
        <v>28</v>
      </c>
      <c r="F3161" s="19" t="s">
        <v>28</v>
      </c>
      <c r="G3161" s="19" t="s">
        <v>28</v>
      </c>
      <c r="H3161" s="19" t="s">
        <v>28</v>
      </c>
      <c r="I3161" s="18" t="s">
        <v>28</v>
      </c>
      <c r="J3161" s="18" t="s">
        <v>28</v>
      </c>
      <c r="K3161" s="18" t="s">
        <v>28</v>
      </c>
      <c r="L3161" s="18" t="s">
        <v>28</v>
      </c>
      <c r="M3161" s="18" t="s">
        <v>28</v>
      </c>
      <c r="N3161" s="17">
        <v>44701</v>
      </c>
      <c r="O3161" s="15" t="s">
        <v>73</v>
      </c>
      <c r="P3161" s="16" t="s">
        <v>2679</v>
      </c>
      <c r="Q3161" s="15" t="s">
        <v>37</v>
      </c>
      <c r="R3161" s="13" t="str">
        <f>HYPERLINK("https://my.pitchbook.com?c=257462-02T","View Company Online")</f>
        <v>View Company Online</v>
      </c>
    </row>
    <row r="3162" spans="1:18" hidden="1" x14ac:dyDescent="0.3">
      <c r="A3162" s="9" t="s">
        <v>10559</v>
      </c>
      <c r="B3162" s="9" t="s">
        <v>10560</v>
      </c>
      <c r="C3162" s="11" t="s">
        <v>28</v>
      </c>
      <c r="D3162" s="9" t="s">
        <v>10561</v>
      </c>
      <c r="E3162" s="11" t="s">
        <v>28</v>
      </c>
      <c r="F3162" s="10">
        <v>645.22</v>
      </c>
      <c r="G3162" s="10">
        <v>645.22</v>
      </c>
      <c r="H3162" s="10">
        <v>645.22</v>
      </c>
      <c r="I3162" s="11" t="s">
        <v>28</v>
      </c>
      <c r="J3162" s="11" t="s">
        <v>28</v>
      </c>
      <c r="K3162" s="11" t="s">
        <v>28</v>
      </c>
      <c r="L3162" s="11" t="s">
        <v>28</v>
      </c>
      <c r="M3162" s="11" t="s">
        <v>28</v>
      </c>
      <c r="N3162" s="8">
        <v>44701</v>
      </c>
      <c r="O3162" s="9" t="s">
        <v>30</v>
      </c>
      <c r="P3162" s="12" t="s">
        <v>9364</v>
      </c>
      <c r="Q3162" s="9" t="s">
        <v>43</v>
      </c>
      <c r="R3162" s="14" t="str">
        <f>HYPERLINK("https://my.pitchbook.com?c=209183-05T","View Company Online")</f>
        <v>View Company Online</v>
      </c>
    </row>
    <row r="3163" spans="1:18" hidden="1" x14ac:dyDescent="0.3">
      <c r="A3163" s="15" t="s">
        <v>10562</v>
      </c>
      <c r="B3163" s="15" t="s">
        <v>10563</v>
      </c>
      <c r="C3163" s="18" t="s">
        <v>28</v>
      </c>
      <c r="D3163" s="15" t="s">
        <v>10564</v>
      </c>
      <c r="E3163" s="18" t="s">
        <v>28</v>
      </c>
      <c r="F3163" s="19" t="s">
        <v>28</v>
      </c>
      <c r="G3163" s="19" t="s">
        <v>28</v>
      </c>
      <c r="H3163" s="19" t="s">
        <v>28</v>
      </c>
      <c r="I3163" s="18" t="s">
        <v>28</v>
      </c>
      <c r="J3163" s="18" t="s">
        <v>28</v>
      </c>
      <c r="K3163" s="18" t="s">
        <v>28</v>
      </c>
      <c r="L3163" s="18" t="s">
        <v>28</v>
      </c>
      <c r="M3163" s="18" t="s">
        <v>28</v>
      </c>
      <c r="N3163" s="17">
        <v>44701</v>
      </c>
      <c r="O3163" s="15" t="s">
        <v>30</v>
      </c>
      <c r="P3163" s="16" t="s">
        <v>10565</v>
      </c>
      <c r="Q3163" s="15" t="s">
        <v>855</v>
      </c>
      <c r="R3163" s="13" t="str">
        <f>HYPERLINK("https://my.pitchbook.com?c=203823-10T","View Company Online")</f>
        <v>View Company Online</v>
      </c>
    </row>
    <row r="3164" spans="1:18" hidden="1" x14ac:dyDescent="0.3">
      <c r="A3164" s="9" t="s">
        <v>10566</v>
      </c>
      <c r="B3164" s="9" t="s">
        <v>10567</v>
      </c>
      <c r="C3164" s="11" t="s">
        <v>28</v>
      </c>
      <c r="D3164" s="9" t="s">
        <v>10568</v>
      </c>
      <c r="E3164" s="11" t="s">
        <v>28</v>
      </c>
      <c r="F3164" s="10" t="s">
        <v>28</v>
      </c>
      <c r="G3164" s="10" t="s">
        <v>28</v>
      </c>
      <c r="H3164" s="10" t="s">
        <v>28</v>
      </c>
      <c r="I3164" s="11" t="s">
        <v>28</v>
      </c>
      <c r="J3164" s="11" t="s">
        <v>28</v>
      </c>
      <c r="K3164" s="11" t="s">
        <v>28</v>
      </c>
      <c r="L3164" s="11" t="s">
        <v>28</v>
      </c>
      <c r="M3164" s="11" t="s">
        <v>28</v>
      </c>
      <c r="N3164" s="8">
        <v>44700</v>
      </c>
      <c r="O3164" s="9" t="s">
        <v>30</v>
      </c>
      <c r="P3164" s="12" t="s">
        <v>10569</v>
      </c>
      <c r="Q3164" s="9" t="s">
        <v>522</v>
      </c>
      <c r="R3164" s="14" t="str">
        <f>HYPERLINK("https://my.pitchbook.com?c=210651-22T","View Company Online")</f>
        <v>View Company Online</v>
      </c>
    </row>
    <row r="3165" spans="1:18" hidden="1" x14ac:dyDescent="0.3">
      <c r="A3165" s="15" t="s">
        <v>10570</v>
      </c>
      <c r="B3165" s="15" t="s">
        <v>944</v>
      </c>
      <c r="C3165" s="18" t="s">
        <v>28</v>
      </c>
      <c r="D3165" s="15" t="s">
        <v>945</v>
      </c>
      <c r="E3165" s="18" t="s">
        <v>28</v>
      </c>
      <c r="F3165" s="19" t="s">
        <v>28</v>
      </c>
      <c r="G3165" s="19">
        <v>5</v>
      </c>
      <c r="H3165" s="19" t="s">
        <v>28</v>
      </c>
      <c r="I3165" s="18" t="s">
        <v>28</v>
      </c>
      <c r="J3165" s="18" t="s">
        <v>28</v>
      </c>
      <c r="K3165" s="18" t="s">
        <v>28</v>
      </c>
      <c r="L3165" s="18" t="s">
        <v>28</v>
      </c>
      <c r="M3165" s="18" t="s">
        <v>28</v>
      </c>
      <c r="N3165" s="17">
        <v>44699</v>
      </c>
      <c r="O3165" s="15" t="s">
        <v>99</v>
      </c>
      <c r="P3165" s="16" t="s">
        <v>10571</v>
      </c>
      <c r="Q3165" s="15" t="s">
        <v>37</v>
      </c>
      <c r="R3165" s="13" t="str">
        <f>HYPERLINK("https://my.pitchbook.com?c=194326-66T","View Company Online")</f>
        <v>View Company Online</v>
      </c>
    </row>
    <row r="3166" spans="1:18" hidden="1" x14ac:dyDescent="0.3">
      <c r="A3166" s="9" t="s">
        <v>10572</v>
      </c>
      <c r="B3166" s="9" t="s">
        <v>944</v>
      </c>
      <c r="C3166" s="11" t="s">
        <v>28</v>
      </c>
      <c r="D3166" s="9" t="s">
        <v>945</v>
      </c>
      <c r="E3166" s="11" t="s">
        <v>28</v>
      </c>
      <c r="F3166" s="10" t="s">
        <v>28</v>
      </c>
      <c r="G3166" s="10" t="s">
        <v>28</v>
      </c>
      <c r="H3166" s="10" t="s">
        <v>28</v>
      </c>
      <c r="I3166" s="11" t="s">
        <v>28</v>
      </c>
      <c r="J3166" s="11" t="s">
        <v>28</v>
      </c>
      <c r="K3166" s="11" t="s">
        <v>28</v>
      </c>
      <c r="L3166" s="11" t="s">
        <v>28</v>
      </c>
      <c r="M3166" s="11" t="s">
        <v>28</v>
      </c>
      <c r="N3166" s="8">
        <v>44699</v>
      </c>
      <c r="O3166" s="9" t="s">
        <v>73</v>
      </c>
      <c r="P3166" s="12" t="s">
        <v>28</v>
      </c>
      <c r="Q3166" s="9" t="s">
        <v>37</v>
      </c>
      <c r="R3166" s="14" t="str">
        <f>HYPERLINK("https://my.pitchbook.com?c=194330-80T","View Company Online")</f>
        <v>View Company Online</v>
      </c>
    </row>
    <row r="3167" spans="1:18" hidden="1" x14ac:dyDescent="0.3">
      <c r="A3167" s="15" t="s">
        <v>10573</v>
      </c>
      <c r="B3167" s="15" t="s">
        <v>4574</v>
      </c>
      <c r="C3167" s="18" t="s">
        <v>28</v>
      </c>
      <c r="D3167" s="15" t="s">
        <v>4575</v>
      </c>
      <c r="E3167" s="18" t="s">
        <v>28</v>
      </c>
      <c r="F3167" s="19" t="s">
        <v>28</v>
      </c>
      <c r="G3167" s="19">
        <v>0.26</v>
      </c>
      <c r="H3167" s="19">
        <v>3.03</v>
      </c>
      <c r="I3167" s="18" t="s">
        <v>28</v>
      </c>
      <c r="J3167" s="18" t="s">
        <v>28</v>
      </c>
      <c r="K3167" s="18" t="s">
        <v>28</v>
      </c>
      <c r="L3167" s="18" t="s">
        <v>28</v>
      </c>
      <c r="M3167" s="18" t="s">
        <v>28</v>
      </c>
      <c r="N3167" s="17">
        <v>44699</v>
      </c>
      <c r="O3167" s="15" t="s">
        <v>1639</v>
      </c>
      <c r="P3167" s="16" t="s">
        <v>28</v>
      </c>
      <c r="Q3167" s="15" t="s">
        <v>566</v>
      </c>
      <c r="R3167" s="13" t="str">
        <f>HYPERLINK("https://my.pitchbook.com?c=194827-15T","View Company Online")</f>
        <v>View Company Online</v>
      </c>
    </row>
    <row r="3168" spans="1:18" hidden="1" x14ac:dyDescent="0.3">
      <c r="A3168" s="9" t="s">
        <v>10574</v>
      </c>
      <c r="B3168" s="9" t="s">
        <v>2048</v>
      </c>
      <c r="C3168" s="11" t="s">
        <v>28</v>
      </c>
      <c r="D3168" s="9" t="s">
        <v>2049</v>
      </c>
      <c r="E3168" s="11" t="s">
        <v>28</v>
      </c>
      <c r="F3168" s="10" t="s">
        <v>28</v>
      </c>
      <c r="G3168" s="10" t="s">
        <v>28</v>
      </c>
      <c r="H3168" s="10" t="s">
        <v>28</v>
      </c>
      <c r="I3168" s="11" t="s">
        <v>28</v>
      </c>
      <c r="J3168" s="11" t="s">
        <v>28</v>
      </c>
      <c r="K3168" s="11" t="s">
        <v>28</v>
      </c>
      <c r="L3168" s="11" t="s">
        <v>28</v>
      </c>
      <c r="M3168" s="11" t="s">
        <v>28</v>
      </c>
      <c r="N3168" s="8">
        <v>44699</v>
      </c>
      <c r="O3168" s="9" t="s">
        <v>79</v>
      </c>
      <c r="P3168" s="12" t="s">
        <v>10575</v>
      </c>
      <c r="Q3168" s="9" t="s">
        <v>1007</v>
      </c>
      <c r="R3168" s="14" t="str">
        <f>HYPERLINK("https://my.pitchbook.com?c=194275-00T","View Company Online")</f>
        <v>View Company Online</v>
      </c>
    </row>
    <row r="3169" spans="1:18" hidden="1" x14ac:dyDescent="0.3">
      <c r="A3169" s="15" t="s">
        <v>10576</v>
      </c>
      <c r="B3169" s="15" t="s">
        <v>10577</v>
      </c>
      <c r="C3169" s="18" t="s">
        <v>28</v>
      </c>
      <c r="D3169" s="15" t="s">
        <v>10578</v>
      </c>
      <c r="E3169" s="18" t="s">
        <v>28</v>
      </c>
      <c r="F3169" s="19" t="s">
        <v>28</v>
      </c>
      <c r="G3169" s="19">
        <v>2.8</v>
      </c>
      <c r="H3169" s="19" t="s">
        <v>28</v>
      </c>
      <c r="I3169" s="18" t="s">
        <v>28</v>
      </c>
      <c r="J3169" s="18" t="s">
        <v>28</v>
      </c>
      <c r="K3169" s="18" t="s">
        <v>28</v>
      </c>
      <c r="L3169" s="18" t="s">
        <v>28</v>
      </c>
      <c r="M3169" s="18" t="s">
        <v>28</v>
      </c>
      <c r="N3169" s="17">
        <v>44699</v>
      </c>
      <c r="O3169" s="15" t="s">
        <v>99</v>
      </c>
      <c r="P3169" s="16" t="s">
        <v>10579</v>
      </c>
      <c r="Q3169" s="15" t="s">
        <v>85</v>
      </c>
      <c r="R3169" s="13" t="str">
        <f>HYPERLINK("https://my.pitchbook.com?c=226913-23T","View Company Online")</f>
        <v>View Company Online</v>
      </c>
    </row>
    <row r="3170" spans="1:18" hidden="1" x14ac:dyDescent="0.3">
      <c r="A3170" s="9" t="s">
        <v>10580</v>
      </c>
      <c r="B3170" s="9" t="s">
        <v>10581</v>
      </c>
      <c r="C3170" s="11" t="s">
        <v>28</v>
      </c>
      <c r="D3170" s="9" t="s">
        <v>10582</v>
      </c>
      <c r="E3170" s="11" t="s">
        <v>28</v>
      </c>
      <c r="F3170" s="10" t="s">
        <v>28</v>
      </c>
      <c r="G3170" s="10">
        <v>15.78</v>
      </c>
      <c r="H3170" s="10" t="s">
        <v>28</v>
      </c>
      <c r="I3170" s="11" t="s">
        <v>28</v>
      </c>
      <c r="J3170" s="11" t="s">
        <v>28</v>
      </c>
      <c r="K3170" s="11" t="s">
        <v>28</v>
      </c>
      <c r="L3170" s="11" t="s">
        <v>28</v>
      </c>
      <c r="M3170" s="11" t="s">
        <v>28</v>
      </c>
      <c r="N3170" s="8">
        <v>44699</v>
      </c>
      <c r="O3170" s="9" t="s">
        <v>73</v>
      </c>
      <c r="P3170" s="12" t="s">
        <v>10583</v>
      </c>
      <c r="Q3170" s="9" t="s">
        <v>37</v>
      </c>
      <c r="R3170" s="14" t="str">
        <f>HYPERLINK("https://my.pitchbook.com?c=194776-12T","View Company Online")</f>
        <v>View Company Online</v>
      </c>
    </row>
    <row r="3171" spans="1:18" hidden="1" x14ac:dyDescent="0.3">
      <c r="A3171" s="15" t="s">
        <v>10584</v>
      </c>
      <c r="B3171" s="15" t="s">
        <v>9514</v>
      </c>
      <c r="C3171" s="18" t="s">
        <v>28</v>
      </c>
      <c r="D3171" s="15" t="s">
        <v>9515</v>
      </c>
      <c r="E3171" s="18" t="s">
        <v>28</v>
      </c>
      <c r="F3171" s="19" t="s">
        <v>28</v>
      </c>
      <c r="G3171" s="19">
        <v>6.05</v>
      </c>
      <c r="H3171" s="19" t="s">
        <v>28</v>
      </c>
      <c r="I3171" s="18" t="s">
        <v>28</v>
      </c>
      <c r="J3171" s="18" t="s">
        <v>28</v>
      </c>
      <c r="K3171" s="18">
        <v>3.89</v>
      </c>
      <c r="L3171" s="18" t="s">
        <v>28</v>
      </c>
      <c r="M3171" s="18" t="s">
        <v>28</v>
      </c>
      <c r="N3171" s="17">
        <v>44699</v>
      </c>
      <c r="O3171" s="15" t="s">
        <v>79</v>
      </c>
      <c r="P3171" s="16" t="s">
        <v>10585</v>
      </c>
      <c r="Q3171" s="15" t="s">
        <v>566</v>
      </c>
      <c r="R3171" s="13" t="str">
        <f>HYPERLINK("https://my.pitchbook.com?c=194310-19T","View Company Online")</f>
        <v>View Company Online</v>
      </c>
    </row>
    <row r="3172" spans="1:18" hidden="1" x14ac:dyDescent="0.3">
      <c r="A3172" s="9" t="s">
        <v>10586</v>
      </c>
      <c r="B3172" s="9" t="s">
        <v>3178</v>
      </c>
      <c r="C3172" s="11" t="s">
        <v>28</v>
      </c>
      <c r="D3172" s="9" t="s">
        <v>3179</v>
      </c>
      <c r="E3172" s="11" t="s">
        <v>28</v>
      </c>
      <c r="F3172" s="10" t="s">
        <v>28</v>
      </c>
      <c r="G3172" s="10">
        <v>2.3199999999999998</v>
      </c>
      <c r="H3172" s="10" t="s">
        <v>28</v>
      </c>
      <c r="I3172" s="11" t="s">
        <v>28</v>
      </c>
      <c r="J3172" s="11" t="s">
        <v>28</v>
      </c>
      <c r="K3172" s="11" t="s">
        <v>28</v>
      </c>
      <c r="L3172" s="11" t="s">
        <v>28</v>
      </c>
      <c r="M3172" s="11" t="s">
        <v>28</v>
      </c>
      <c r="N3172" s="8">
        <v>44698</v>
      </c>
      <c r="O3172" s="9" t="s">
        <v>99</v>
      </c>
      <c r="P3172" s="12" t="s">
        <v>10587</v>
      </c>
      <c r="Q3172" s="9" t="s">
        <v>54</v>
      </c>
      <c r="R3172" s="14" t="str">
        <f>HYPERLINK("https://my.pitchbook.com?c=194226-67T","View Company Online")</f>
        <v>View Company Online</v>
      </c>
    </row>
    <row r="3173" spans="1:18" hidden="1" x14ac:dyDescent="0.3">
      <c r="A3173" s="15" t="s">
        <v>10588</v>
      </c>
      <c r="B3173" s="15" t="s">
        <v>10589</v>
      </c>
      <c r="C3173" s="18" t="s">
        <v>28</v>
      </c>
      <c r="D3173" s="15" t="s">
        <v>10590</v>
      </c>
      <c r="E3173" s="18" t="s">
        <v>28</v>
      </c>
      <c r="F3173" s="19" t="s">
        <v>28</v>
      </c>
      <c r="G3173" s="19">
        <v>4.6500000000000004</v>
      </c>
      <c r="H3173" s="19" t="s">
        <v>28</v>
      </c>
      <c r="I3173" s="18" t="s">
        <v>28</v>
      </c>
      <c r="J3173" s="18" t="s">
        <v>28</v>
      </c>
      <c r="K3173" s="18" t="s">
        <v>28</v>
      </c>
      <c r="L3173" s="18" t="s">
        <v>28</v>
      </c>
      <c r="M3173" s="18" t="s">
        <v>28</v>
      </c>
      <c r="N3173" s="17">
        <v>44698</v>
      </c>
      <c r="O3173" s="15" t="s">
        <v>73</v>
      </c>
      <c r="P3173" s="16" t="s">
        <v>10591</v>
      </c>
      <c r="Q3173" s="15" t="s">
        <v>75</v>
      </c>
      <c r="R3173" s="13" t="str">
        <f>HYPERLINK("https://my.pitchbook.com?c=193278-52T","View Company Online")</f>
        <v>View Company Online</v>
      </c>
    </row>
    <row r="3174" spans="1:18" hidden="1" x14ac:dyDescent="0.3">
      <c r="A3174" s="9" t="s">
        <v>10592</v>
      </c>
      <c r="B3174" s="9" t="s">
        <v>10593</v>
      </c>
      <c r="C3174" s="11" t="s">
        <v>28</v>
      </c>
      <c r="D3174" s="9" t="s">
        <v>10594</v>
      </c>
      <c r="E3174" s="11" t="s">
        <v>28</v>
      </c>
      <c r="F3174" s="10" t="s">
        <v>28</v>
      </c>
      <c r="G3174" s="10">
        <v>0.2</v>
      </c>
      <c r="H3174" s="10" t="s">
        <v>28</v>
      </c>
      <c r="I3174" s="11" t="s">
        <v>28</v>
      </c>
      <c r="J3174" s="11" t="s">
        <v>28</v>
      </c>
      <c r="K3174" s="11" t="s">
        <v>28</v>
      </c>
      <c r="L3174" s="11" t="s">
        <v>28</v>
      </c>
      <c r="M3174" s="11" t="s">
        <v>28</v>
      </c>
      <c r="N3174" s="8">
        <v>44698</v>
      </c>
      <c r="O3174" s="9" t="s">
        <v>73</v>
      </c>
      <c r="P3174" s="12" t="s">
        <v>28</v>
      </c>
      <c r="Q3174" s="9" t="s">
        <v>43</v>
      </c>
      <c r="R3174" s="14" t="str">
        <f>HYPERLINK("https://my.pitchbook.com?c=194224-78T","View Company Online")</f>
        <v>View Company Online</v>
      </c>
    </row>
    <row r="3175" spans="1:18" hidden="1" x14ac:dyDescent="0.3">
      <c r="A3175" s="15" t="s">
        <v>10595</v>
      </c>
      <c r="B3175" s="15" t="s">
        <v>1795</v>
      </c>
      <c r="C3175" s="18" t="s">
        <v>28</v>
      </c>
      <c r="D3175" s="15" t="s">
        <v>1796</v>
      </c>
      <c r="E3175" s="18" t="s">
        <v>28</v>
      </c>
      <c r="F3175" s="19" t="s">
        <v>28</v>
      </c>
      <c r="G3175" s="19">
        <v>2.0299999999999998</v>
      </c>
      <c r="H3175" s="19" t="s">
        <v>28</v>
      </c>
      <c r="I3175" s="18" t="s">
        <v>28</v>
      </c>
      <c r="J3175" s="18" t="s">
        <v>28</v>
      </c>
      <c r="K3175" s="18" t="s">
        <v>28</v>
      </c>
      <c r="L3175" s="18" t="s">
        <v>28</v>
      </c>
      <c r="M3175" s="18" t="s">
        <v>28</v>
      </c>
      <c r="N3175" s="17">
        <v>44697</v>
      </c>
      <c r="O3175" s="15" t="s">
        <v>79</v>
      </c>
      <c r="P3175" s="16" t="s">
        <v>10596</v>
      </c>
      <c r="Q3175" s="15" t="s">
        <v>832</v>
      </c>
      <c r="R3175" s="13" t="str">
        <f>HYPERLINK("https://my.pitchbook.com?c=194558-50T","View Company Online")</f>
        <v>View Company Online</v>
      </c>
    </row>
    <row r="3176" spans="1:18" hidden="1" x14ac:dyDescent="0.3">
      <c r="A3176" s="9" t="s">
        <v>10597</v>
      </c>
      <c r="B3176" s="9" t="s">
        <v>10598</v>
      </c>
      <c r="C3176" s="11" t="s">
        <v>28</v>
      </c>
      <c r="D3176" s="9" t="s">
        <v>10599</v>
      </c>
      <c r="E3176" s="11" t="s">
        <v>28</v>
      </c>
      <c r="F3176" s="10">
        <v>6.7</v>
      </c>
      <c r="G3176" s="10">
        <v>6.7</v>
      </c>
      <c r="H3176" s="10">
        <v>6.7</v>
      </c>
      <c r="I3176" s="11" t="s">
        <v>28</v>
      </c>
      <c r="J3176" s="11" t="s">
        <v>28</v>
      </c>
      <c r="K3176" s="11" t="s">
        <v>28</v>
      </c>
      <c r="L3176" s="11" t="s">
        <v>28</v>
      </c>
      <c r="M3176" s="11" t="s">
        <v>28</v>
      </c>
      <c r="N3176" s="8">
        <v>44697</v>
      </c>
      <c r="O3176" s="9" t="s">
        <v>30</v>
      </c>
      <c r="P3176" s="12" t="s">
        <v>10600</v>
      </c>
      <c r="Q3176" s="9" t="s">
        <v>362</v>
      </c>
      <c r="R3176" s="14" t="str">
        <f>HYPERLINK("https://my.pitchbook.com?c=233641-54T","View Company Online")</f>
        <v>View Company Online</v>
      </c>
    </row>
    <row r="3177" spans="1:18" hidden="1" x14ac:dyDescent="0.3">
      <c r="A3177" s="15" t="s">
        <v>10601</v>
      </c>
      <c r="B3177" s="15" t="s">
        <v>10602</v>
      </c>
      <c r="C3177" s="18" t="s">
        <v>28</v>
      </c>
      <c r="D3177" s="15" t="s">
        <v>10603</v>
      </c>
      <c r="E3177" s="18" t="s">
        <v>28</v>
      </c>
      <c r="F3177" s="19" t="s">
        <v>28</v>
      </c>
      <c r="G3177" s="19">
        <v>4.07</v>
      </c>
      <c r="H3177" s="19" t="s">
        <v>28</v>
      </c>
      <c r="I3177" s="18" t="s">
        <v>28</v>
      </c>
      <c r="J3177" s="18" t="s">
        <v>28</v>
      </c>
      <c r="K3177" s="18" t="s">
        <v>28</v>
      </c>
      <c r="L3177" s="18" t="s">
        <v>28</v>
      </c>
      <c r="M3177" s="18" t="s">
        <v>28</v>
      </c>
      <c r="N3177" s="17">
        <v>44695</v>
      </c>
      <c r="O3177" s="15" t="s">
        <v>79</v>
      </c>
      <c r="P3177" s="16" t="s">
        <v>10604</v>
      </c>
      <c r="Q3177" s="15" t="s">
        <v>75</v>
      </c>
      <c r="R3177" s="13" t="str">
        <f>HYPERLINK("https://my.pitchbook.com?c=193531-24T","View Company Online")</f>
        <v>View Company Online</v>
      </c>
    </row>
    <row r="3178" spans="1:18" hidden="1" x14ac:dyDescent="0.3">
      <c r="A3178" s="9" t="s">
        <v>10605</v>
      </c>
      <c r="B3178" s="9" t="s">
        <v>10606</v>
      </c>
      <c r="C3178" s="11" t="s">
        <v>28</v>
      </c>
      <c r="D3178" s="9" t="s">
        <v>10607</v>
      </c>
      <c r="E3178" s="11" t="s">
        <v>28</v>
      </c>
      <c r="F3178" s="10" t="s">
        <v>28</v>
      </c>
      <c r="G3178" s="10" t="s">
        <v>28</v>
      </c>
      <c r="H3178" s="10" t="s">
        <v>28</v>
      </c>
      <c r="I3178" s="11" t="s">
        <v>28</v>
      </c>
      <c r="J3178" s="11" t="s">
        <v>28</v>
      </c>
      <c r="K3178" s="11" t="s">
        <v>28</v>
      </c>
      <c r="L3178" s="11" t="s">
        <v>28</v>
      </c>
      <c r="M3178" s="11" t="s">
        <v>28</v>
      </c>
      <c r="N3178" s="8">
        <v>44694</v>
      </c>
      <c r="O3178" s="9" t="s">
        <v>93</v>
      </c>
      <c r="P3178" s="12" t="s">
        <v>343</v>
      </c>
      <c r="Q3178" s="9" t="s">
        <v>75</v>
      </c>
      <c r="R3178" s="14" t="str">
        <f>HYPERLINK("https://my.pitchbook.com?c=223234-75T","View Company Online")</f>
        <v>View Company Online</v>
      </c>
    </row>
    <row r="3179" spans="1:18" hidden="1" x14ac:dyDescent="0.3">
      <c r="A3179" s="15" t="s">
        <v>10608</v>
      </c>
      <c r="B3179" s="15" t="s">
        <v>10609</v>
      </c>
      <c r="C3179" s="18" t="s">
        <v>28</v>
      </c>
      <c r="D3179" s="15" t="s">
        <v>10610</v>
      </c>
      <c r="E3179" s="18" t="s">
        <v>28</v>
      </c>
      <c r="F3179" s="19" t="s">
        <v>28</v>
      </c>
      <c r="G3179" s="19" t="s">
        <v>28</v>
      </c>
      <c r="H3179" s="19" t="s">
        <v>28</v>
      </c>
      <c r="I3179" s="18" t="s">
        <v>28</v>
      </c>
      <c r="J3179" s="18" t="s">
        <v>28</v>
      </c>
      <c r="K3179" s="18" t="s">
        <v>28</v>
      </c>
      <c r="L3179" s="18" t="s">
        <v>28</v>
      </c>
      <c r="M3179" s="18" t="s">
        <v>28</v>
      </c>
      <c r="N3179" s="17">
        <v>44694</v>
      </c>
      <c r="O3179" s="15" t="s">
        <v>79</v>
      </c>
      <c r="P3179" s="16" t="s">
        <v>10611</v>
      </c>
      <c r="Q3179" s="15" t="s">
        <v>37</v>
      </c>
      <c r="R3179" s="13" t="str">
        <f>HYPERLINK("https://my.pitchbook.com?c=194441-95T","View Company Online")</f>
        <v>View Company Online</v>
      </c>
    </row>
    <row r="3180" spans="1:18" hidden="1" x14ac:dyDescent="0.3">
      <c r="A3180" s="9" t="s">
        <v>10612</v>
      </c>
      <c r="B3180" s="9" t="s">
        <v>10613</v>
      </c>
      <c r="C3180" s="11" t="s">
        <v>28</v>
      </c>
      <c r="D3180" s="9" t="s">
        <v>10614</v>
      </c>
      <c r="E3180" s="11" t="s">
        <v>28</v>
      </c>
      <c r="F3180" s="10" t="s">
        <v>28</v>
      </c>
      <c r="G3180" s="10" t="s">
        <v>28</v>
      </c>
      <c r="H3180" s="10" t="s">
        <v>28</v>
      </c>
      <c r="I3180" s="11" t="s">
        <v>28</v>
      </c>
      <c r="J3180" s="11" t="s">
        <v>28</v>
      </c>
      <c r="K3180" s="11" t="s">
        <v>28</v>
      </c>
      <c r="L3180" s="11" t="s">
        <v>28</v>
      </c>
      <c r="M3180" s="11" t="s">
        <v>28</v>
      </c>
      <c r="N3180" s="8">
        <v>44694</v>
      </c>
      <c r="O3180" s="9" t="s">
        <v>173</v>
      </c>
      <c r="P3180" s="12" t="s">
        <v>28</v>
      </c>
      <c r="Q3180" s="9" t="s">
        <v>174</v>
      </c>
      <c r="R3180" s="14" t="str">
        <f>HYPERLINK("https://my.pitchbook.com?c=224906-50T","View Company Online")</f>
        <v>View Company Online</v>
      </c>
    </row>
    <row r="3181" spans="1:18" hidden="1" x14ac:dyDescent="0.3">
      <c r="A3181" s="15" t="s">
        <v>10615</v>
      </c>
      <c r="B3181" s="15" t="s">
        <v>10616</v>
      </c>
      <c r="C3181" s="18" t="s">
        <v>28</v>
      </c>
      <c r="D3181" s="15" t="s">
        <v>10617</v>
      </c>
      <c r="E3181" s="18" t="s">
        <v>28</v>
      </c>
      <c r="F3181" s="19" t="s">
        <v>28</v>
      </c>
      <c r="G3181" s="19" t="s">
        <v>28</v>
      </c>
      <c r="H3181" s="19" t="s">
        <v>28</v>
      </c>
      <c r="I3181" s="18" t="s">
        <v>28</v>
      </c>
      <c r="J3181" s="18" t="s">
        <v>28</v>
      </c>
      <c r="K3181" s="18" t="s">
        <v>28</v>
      </c>
      <c r="L3181" s="18" t="s">
        <v>28</v>
      </c>
      <c r="M3181" s="18" t="s">
        <v>28</v>
      </c>
      <c r="N3181" s="17">
        <v>44694</v>
      </c>
      <c r="O3181" s="15" t="s">
        <v>41</v>
      </c>
      <c r="P3181" s="16" t="s">
        <v>10618</v>
      </c>
      <c r="Q3181" s="15" t="s">
        <v>740</v>
      </c>
      <c r="R3181" s="13" t="str">
        <f>HYPERLINK("https://my.pitchbook.com?c=194050-99T","View Company Online")</f>
        <v>View Company Online</v>
      </c>
    </row>
    <row r="3182" spans="1:18" hidden="1" x14ac:dyDescent="0.3">
      <c r="A3182" s="9" t="s">
        <v>10619</v>
      </c>
      <c r="B3182" s="9" t="s">
        <v>5272</v>
      </c>
      <c r="C3182" s="11" t="s">
        <v>28</v>
      </c>
      <c r="D3182" s="9" t="s">
        <v>5273</v>
      </c>
      <c r="E3182" s="11" t="s">
        <v>28</v>
      </c>
      <c r="F3182" s="10" t="s">
        <v>28</v>
      </c>
      <c r="G3182" s="10">
        <v>1.4</v>
      </c>
      <c r="H3182" s="10" t="s">
        <v>28</v>
      </c>
      <c r="I3182" s="11" t="s">
        <v>28</v>
      </c>
      <c r="J3182" s="11" t="s">
        <v>28</v>
      </c>
      <c r="K3182" s="11" t="s">
        <v>28</v>
      </c>
      <c r="L3182" s="11" t="s">
        <v>28</v>
      </c>
      <c r="M3182" s="11" t="s">
        <v>28</v>
      </c>
      <c r="N3182" s="8">
        <v>44694</v>
      </c>
      <c r="O3182" s="9" t="s">
        <v>79</v>
      </c>
      <c r="P3182" s="12" t="s">
        <v>3000</v>
      </c>
      <c r="Q3182" s="9" t="s">
        <v>404</v>
      </c>
      <c r="R3182" s="14" t="str">
        <f>HYPERLINK("https://my.pitchbook.com?c=193975-66T","View Company Online")</f>
        <v>View Company Online</v>
      </c>
    </row>
    <row r="3183" spans="1:18" hidden="1" x14ac:dyDescent="0.3">
      <c r="A3183" s="15" t="s">
        <v>10620</v>
      </c>
      <c r="B3183" s="15" t="s">
        <v>10621</v>
      </c>
      <c r="C3183" s="18" t="s">
        <v>28</v>
      </c>
      <c r="D3183" s="15" t="s">
        <v>10622</v>
      </c>
      <c r="E3183" s="18" t="s">
        <v>28</v>
      </c>
      <c r="F3183" s="19" t="s">
        <v>28</v>
      </c>
      <c r="G3183" s="19" t="s">
        <v>28</v>
      </c>
      <c r="H3183" s="19" t="s">
        <v>28</v>
      </c>
      <c r="I3183" s="18" t="s">
        <v>28</v>
      </c>
      <c r="J3183" s="18" t="s">
        <v>28</v>
      </c>
      <c r="K3183" s="18" t="s">
        <v>28</v>
      </c>
      <c r="L3183" s="18" t="s">
        <v>28</v>
      </c>
      <c r="M3183" s="18" t="s">
        <v>28</v>
      </c>
      <c r="N3183" s="17">
        <v>44693</v>
      </c>
      <c r="O3183" s="15" t="s">
        <v>30</v>
      </c>
      <c r="P3183" s="16" t="s">
        <v>9664</v>
      </c>
      <c r="Q3183" s="15" t="s">
        <v>245</v>
      </c>
      <c r="R3183" s="13" t="str">
        <f>HYPERLINK("https://my.pitchbook.com?c=275557-33T","View Company Online")</f>
        <v>View Company Online</v>
      </c>
    </row>
    <row r="3184" spans="1:18" hidden="1" x14ac:dyDescent="0.3">
      <c r="A3184" s="9" t="s">
        <v>10623</v>
      </c>
      <c r="B3184" s="9" t="s">
        <v>10624</v>
      </c>
      <c r="C3184" s="11" t="s">
        <v>28</v>
      </c>
      <c r="D3184" s="9" t="s">
        <v>10625</v>
      </c>
      <c r="E3184" s="11" t="s">
        <v>28</v>
      </c>
      <c r="F3184" s="10" t="s">
        <v>28</v>
      </c>
      <c r="G3184" s="10">
        <v>0.51</v>
      </c>
      <c r="H3184" s="10" t="s">
        <v>28</v>
      </c>
      <c r="I3184" s="11" t="s">
        <v>28</v>
      </c>
      <c r="J3184" s="11" t="s">
        <v>28</v>
      </c>
      <c r="K3184" s="11" t="s">
        <v>28</v>
      </c>
      <c r="L3184" s="11" t="s">
        <v>28</v>
      </c>
      <c r="M3184" s="11" t="s">
        <v>28</v>
      </c>
      <c r="N3184" s="8">
        <v>44693</v>
      </c>
      <c r="O3184" s="9" t="s">
        <v>79</v>
      </c>
      <c r="P3184" s="12" t="s">
        <v>10626</v>
      </c>
      <c r="Q3184" s="9" t="s">
        <v>583</v>
      </c>
      <c r="R3184" s="14" t="str">
        <f>HYPERLINK("https://my.pitchbook.com?c=210210-40T","View Company Online")</f>
        <v>View Company Online</v>
      </c>
    </row>
    <row r="3185" spans="1:18" hidden="1" x14ac:dyDescent="0.3">
      <c r="A3185" s="15" t="s">
        <v>10627</v>
      </c>
      <c r="B3185" s="15" t="s">
        <v>1347</v>
      </c>
      <c r="C3185" s="18" t="s">
        <v>28</v>
      </c>
      <c r="D3185" s="15" t="s">
        <v>1348</v>
      </c>
      <c r="E3185" s="18" t="s">
        <v>28</v>
      </c>
      <c r="F3185" s="19" t="s">
        <v>28</v>
      </c>
      <c r="G3185" s="19" t="s">
        <v>28</v>
      </c>
      <c r="H3185" s="19" t="s">
        <v>28</v>
      </c>
      <c r="I3185" s="18" t="s">
        <v>28</v>
      </c>
      <c r="J3185" s="18" t="s">
        <v>28</v>
      </c>
      <c r="K3185" s="18" t="s">
        <v>28</v>
      </c>
      <c r="L3185" s="18" t="s">
        <v>28</v>
      </c>
      <c r="M3185" s="18" t="s">
        <v>28</v>
      </c>
      <c r="N3185" s="17">
        <v>44693</v>
      </c>
      <c r="O3185" s="15" t="s">
        <v>99</v>
      </c>
      <c r="P3185" s="16" t="s">
        <v>10628</v>
      </c>
      <c r="Q3185" s="15" t="s">
        <v>583</v>
      </c>
      <c r="R3185" s="13" t="str">
        <f>HYPERLINK("https://my.pitchbook.com?c=160953-13T","View Company Online")</f>
        <v>View Company Online</v>
      </c>
    </row>
    <row r="3186" spans="1:18" hidden="1" x14ac:dyDescent="0.3">
      <c r="A3186" s="9" t="s">
        <v>10629</v>
      </c>
      <c r="B3186" s="9" t="s">
        <v>10630</v>
      </c>
      <c r="C3186" s="11" t="s">
        <v>28</v>
      </c>
      <c r="D3186" s="9" t="s">
        <v>10631</v>
      </c>
      <c r="E3186" s="11" t="s">
        <v>28</v>
      </c>
      <c r="F3186" s="10" t="s">
        <v>28</v>
      </c>
      <c r="G3186" s="10" t="s">
        <v>28</v>
      </c>
      <c r="H3186" s="10" t="s">
        <v>28</v>
      </c>
      <c r="I3186" s="11" t="s">
        <v>28</v>
      </c>
      <c r="J3186" s="11" t="s">
        <v>28</v>
      </c>
      <c r="K3186" s="11">
        <v>73.03</v>
      </c>
      <c r="L3186" s="11" t="s">
        <v>28</v>
      </c>
      <c r="M3186" s="11" t="s">
        <v>28</v>
      </c>
      <c r="N3186" s="8">
        <v>44693</v>
      </c>
      <c r="O3186" s="9" t="s">
        <v>30</v>
      </c>
      <c r="P3186" s="12" t="s">
        <v>10632</v>
      </c>
      <c r="Q3186" s="9" t="s">
        <v>900</v>
      </c>
      <c r="R3186" s="14" t="str">
        <f>HYPERLINK("https://my.pitchbook.com?c=194151-70T","View Company Online")</f>
        <v>View Company Online</v>
      </c>
    </row>
    <row r="3187" spans="1:18" hidden="1" x14ac:dyDescent="0.3">
      <c r="A3187" s="15" t="s">
        <v>10633</v>
      </c>
      <c r="B3187" s="15" t="s">
        <v>10634</v>
      </c>
      <c r="C3187" s="18" t="s">
        <v>28</v>
      </c>
      <c r="D3187" s="15" t="s">
        <v>10635</v>
      </c>
      <c r="E3187" s="18" t="s">
        <v>28</v>
      </c>
      <c r="F3187" s="19" t="s">
        <v>28</v>
      </c>
      <c r="G3187" s="19">
        <v>0.13</v>
      </c>
      <c r="H3187" s="19" t="s">
        <v>28</v>
      </c>
      <c r="I3187" s="18" t="s">
        <v>28</v>
      </c>
      <c r="J3187" s="18" t="s">
        <v>28</v>
      </c>
      <c r="K3187" s="18" t="s">
        <v>28</v>
      </c>
      <c r="L3187" s="18" t="s">
        <v>28</v>
      </c>
      <c r="M3187" s="18" t="s">
        <v>28</v>
      </c>
      <c r="N3187" s="17">
        <v>44693</v>
      </c>
      <c r="O3187" s="15" t="s">
        <v>99</v>
      </c>
      <c r="P3187" s="16" t="s">
        <v>28</v>
      </c>
      <c r="Q3187" s="15" t="s">
        <v>75</v>
      </c>
      <c r="R3187" s="13" t="str">
        <f>HYPERLINK("https://my.pitchbook.com?c=194017-60T","View Company Online")</f>
        <v>View Company Online</v>
      </c>
    </row>
    <row r="3188" spans="1:18" hidden="1" x14ac:dyDescent="0.3">
      <c r="A3188" s="9" t="s">
        <v>10636</v>
      </c>
      <c r="B3188" s="9" t="s">
        <v>10637</v>
      </c>
      <c r="C3188" s="11" t="s">
        <v>28</v>
      </c>
      <c r="D3188" s="9" t="s">
        <v>10638</v>
      </c>
      <c r="E3188" s="11" t="s">
        <v>28</v>
      </c>
      <c r="F3188" s="10">
        <v>13.43</v>
      </c>
      <c r="G3188" s="10">
        <v>13.43</v>
      </c>
      <c r="H3188" s="10">
        <v>13.43</v>
      </c>
      <c r="I3188" s="11" t="s">
        <v>28</v>
      </c>
      <c r="J3188" s="11" t="s">
        <v>28</v>
      </c>
      <c r="K3188" s="11" t="s">
        <v>28</v>
      </c>
      <c r="L3188" s="11" t="s">
        <v>28</v>
      </c>
      <c r="M3188" s="11" t="s">
        <v>28</v>
      </c>
      <c r="N3188" s="8">
        <v>44692</v>
      </c>
      <c r="O3188" s="9" t="s">
        <v>30</v>
      </c>
      <c r="P3188" s="12" t="s">
        <v>10639</v>
      </c>
      <c r="Q3188" s="9" t="s">
        <v>240</v>
      </c>
      <c r="R3188" s="14" t="str">
        <f>HYPERLINK("https://my.pitchbook.com?c=218984-95T","View Company Online")</f>
        <v>View Company Online</v>
      </c>
    </row>
    <row r="3189" spans="1:18" hidden="1" x14ac:dyDescent="0.3">
      <c r="A3189" s="15" t="s">
        <v>10640</v>
      </c>
      <c r="B3189" s="15" t="s">
        <v>10641</v>
      </c>
      <c r="C3189" s="18" t="s">
        <v>28</v>
      </c>
      <c r="D3189" s="15" t="s">
        <v>10642</v>
      </c>
      <c r="E3189" s="18" t="s">
        <v>28</v>
      </c>
      <c r="F3189" s="19" t="s">
        <v>28</v>
      </c>
      <c r="G3189" s="19">
        <v>2.41</v>
      </c>
      <c r="H3189" s="19" t="s">
        <v>28</v>
      </c>
      <c r="I3189" s="18" t="s">
        <v>28</v>
      </c>
      <c r="J3189" s="18" t="s">
        <v>28</v>
      </c>
      <c r="K3189" s="18" t="s">
        <v>28</v>
      </c>
      <c r="L3189" s="18" t="s">
        <v>28</v>
      </c>
      <c r="M3189" s="18" t="s">
        <v>28</v>
      </c>
      <c r="N3189" s="17">
        <v>44691</v>
      </c>
      <c r="O3189" s="15" t="s">
        <v>99</v>
      </c>
      <c r="P3189" s="16" t="s">
        <v>10643</v>
      </c>
      <c r="Q3189" s="15" t="s">
        <v>386</v>
      </c>
      <c r="R3189" s="13" t="str">
        <f>HYPERLINK("https://my.pitchbook.com?c=210069-10T","View Company Online")</f>
        <v>View Company Online</v>
      </c>
    </row>
    <row r="3190" spans="1:18" hidden="1" x14ac:dyDescent="0.3">
      <c r="A3190" s="9" t="s">
        <v>10644</v>
      </c>
      <c r="B3190" s="9" t="s">
        <v>10645</v>
      </c>
      <c r="C3190" s="11" t="s">
        <v>28</v>
      </c>
      <c r="D3190" s="9" t="s">
        <v>10646</v>
      </c>
      <c r="E3190" s="11" t="s">
        <v>28</v>
      </c>
      <c r="F3190" s="10" t="s">
        <v>28</v>
      </c>
      <c r="G3190" s="10">
        <v>110</v>
      </c>
      <c r="H3190" s="10">
        <v>1500</v>
      </c>
      <c r="I3190" s="11" t="s">
        <v>28</v>
      </c>
      <c r="J3190" s="11" t="s">
        <v>28</v>
      </c>
      <c r="K3190" s="11">
        <v>84.52</v>
      </c>
      <c r="L3190" s="11">
        <v>17.75</v>
      </c>
      <c r="M3190" s="11" t="s">
        <v>28</v>
      </c>
      <c r="N3190" s="8">
        <v>44691</v>
      </c>
      <c r="O3190" s="9" t="s">
        <v>93</v>
      </c>
      <c r="P3190" s="12" t="s">
        <v>10647</v>
      </c>
      <c r="Q3190" s="9" t="s">
        <v>37</v>
      </c>
      <c r="R3190" s="14" t="str">
        <f>HYPERLINK("https://my.pitchbook.com?c=193974-22T","View Company Online")</f>
        <v>View Company Online</v>
      </c>
    </row>
    <row r="3191" spans="1:18" hidden="1" x14ac:dyDescent="0.3">
      <c r="A3191" s="15" t="s">
        <v>10648</v>
      </c>
      <c r="B3191" s="15" t="s">
        <v>1347</v>
      </c>
      <c r="C3191" s="18" t="s">
        <v>28</v>
      </c>
      <c r="D3191" s="15" t="s">
        <v>1348</v>
      </c>
      <c r="E3191" s="18" t="s">
        <v>28</v>
      </c>
      <c r="F3191" s="19" t="s">
        <v>28</v>
      </c>
      <c r="G3191" s="19" t="s">
        <v>28</v>
      </c>
      <c r="H3191" s="19" t="s">
        <v>28</v>
      </c>
      <c r="I3191" s="18" t="s">
        <v>28</v>
      </c>
      <c r="J3191" s="18" t="s">
        <v>28</v>
      </c>
      <c r="K3191" s="18" t="s">
        <v>28</v>
      </c>
      <c r="L3191" s="18" t="s">
        <v>28</v>
      </c>
      <c r="M3191" s="18" t="s">
        <v>28</v>
      </c>
      <c r="N3191" s="17">
        <v>44691</v>
      </c>
      <c r="O3191" s="15" t="s">
        <v>52</v>
      </c>
      <c r="P3191" s="16" t="s">
        <v>10649</v>
      </c>
      <c r="Q3191" s="15" t="s">
        <v>583</v>
      </c>
      <c r="R3191" s="13" t="str">
        <f>HYPERLINK("https://my.pitchbook.com?c=257296-96T","View Company Online")</f>
        <v>View Company Online</v>
      </c>
    </row>
    <row r="3192" spans="1:18" hidden="1" x14ac:dyDescent="0.3">
      <c r="A3192" s="9" t="s">
        <v>10650</v>
      </c>
      <c r="B3192" s="9" t="s">
        <v>10651</v>
      </c>
      <c r="C3192" s="11" t="s">
        <v>28</v>
      </c>
      <c r="D3192" s="9" t="s">
        <v>10652</v>
      </c>
      <c r="E3192" s="11" t="s">
        <v>28</v>
      </c>
      <c r="F3192" s="10" t="s">
        <v>28</v>
      </c>
      <c r="G3192" s="10" t="s">
        <v>28</v>
      </c>
      <c r="H3192" s="10" t="s">
        <v>28</v>
      </c>
      <c r="I3192" s="11" t="s">
        <v>28</v>
      </c>
      <c r="J3192" s="11" t="s">
        <v>28</v>
      </c>
      <c r="K3192" s="11" t="s">
        <v>28</v>
      </c>
      <c r="L3192" s="11" t="s">
        <v>28</v>
      </c>
      <c r="M3192" s="11" t="s">
        <v>28</v>
      </c>
      <c r="N3192" s="8">
        <v>44691</v>
      </c>
      <c r="O3192" s="9" t="s">
        <v>41</v>
      </c>
      <c r="P3192" s="12" t="s">
        <v>2810</v>
      </c>
      <c r="Q3192" s="9" t="s">
        <v>37</v>
      </c>
      <c r="R3192" s="14" t="str">
        <f>HYPERLINK("https://my.pitchbook.com?c=219586-24T","View Company Online")</f>
        <v>View Company Online</v>
      </c>
    </row>
    <row r="3193" spans="1:18" hidden="1" x14ac:dyDescent="0.3">
      <c r="A3193" s="15" t="s">
        <v>10653</v>
      </c>
      <c r="B3193" s="15" t="s">
        <v>5706</v>
      </c>
      <c r="C3193" s="18" t="s">
        <v>28</v>
      </c>
      <c r="D3193" s="15" t="s">
        <v>5707</v>
      </c>
      <c r="E3193" s="18" t="s">
        <v>28</v>
      </c>
      <c r="F3193" s="19" t="s">
        <v>28</v>
      </c>
      <c r="G3193" s="19">
        <v>0.49</v>
      </c>
      <c r="H3193" s="19" t="s">
        <v>28</v>
      </c>
      <c r="I3193" s="18" t="s">
        <v>28</v>
      </c>
      <c r="J3193" s="18" t="s">
        <v>28</v>
      </c>
      <c r="K3193" s="18" t="s">
        <v>28</v>
      </c>
      <c r="L3193" s="18" t="s">
        <v>28</v>
      </c>
      <c r="M3193" s="18" t="s">
        <v>28</v>
      </c>
      <c r="N3193" s="17">
        <v>44691</v>
      </c>
      <c r="O3193" s="15" t="s">
        <v>73</v>
      </c>
      <c r="P3193" s="16" t="s">
        <v>10654</v>
      </c>
      <c r="Q3193" s="15" t="s">
        <v>75</v>
      </c>
      <c r="R3193" s="13" t="str">
        <f>HYPERLINK("https://my.pitchbook.com?c=193827-52T","View Company Online")</f>
        <v>View Company Online</v>
      </c>
    </row>
    <row r="3194" spans="1:18" hidden="1" x14ac:dyDescent="0.3">
      <c r="A3194" s="9" t="s">
        <v>10655</v>
      </c>
      <c r="B3194" s="9" t="s">
        <v>10656</v>
      </c>
      <c r="C3194" s="11" t="s">
        <v>28</v>
      </c>
      <c r="D3194" s="9" t="s">
        <v>10657</v>
      </c>
      <c r="E3194" s="11" t="s">
        <v>28</v>
      </c>
      <c r="F3194" s="10">
        <v>37.11</v>
      </c>
      <c r="G3194" s="10">
        <v>37.11</v>
      </c>
      <c r="H3194" s="10">
        <v>37.11</v>
      </c>
      <c r="I3194" s="11" t="s">
        <v>28</v>
      </c>
      <c r="J3194" s="11" t="s">
        <v>28</v>
      </c>
      <c r="K3194" s="11" t="s">
        <v>28</v>
      </c>
      <c r="L3194" s="11" t="s">
        <v>28</v>
      </c>
      <c r="M3194" s="11" t="s">
        <v>28</v>
      </c>
      <c r="N3194" s="8">
        <v>44691</v>
      </c>
      <c r="O3194" s="9" t="s">
        <v>30</v>
      </c>
      <c r="P3194" s="12" t="s">
        <v>691</v>
      </c>
      <c r="Q3194" s="9" t="s">
        <v>290</v>
      </c>
      <c r="R3194" s="14" t="str">
        <f>HYPERLINK("https://my.pitchbook.com?c=242451-46T","View Company Online")</f>
        <v>View Company Online</v>
      </c>
    </row>
    <row r="3195" spans="1:18" hidden="1" x14ac:dyDescent="0.3">
      <c r="A3195" s="15" t="s">
        <v>10658</v>
      </c>
      <c r="B3195" s="15" t="s">
        <v>10659</v>
      </c>
      <c r="C3195" s="18" t="s">
        <v>28</v>
      </c>
      <c r="D3195" s="15" t="s">
        <v>10660</v>
      </c>
      <c r="E3195" s="18" t="s">
        <v>28</v>
      </c>
      <c r="F3195" s="19" t="s">
        <v>28</v>
      </c>
      <c r="G3195" s="19" t="s">
        <v>28</v>
      </c>
      <c r="H3195" s="19" t="s">
        <v>28</v>
      </c>
      <c r="I3195" s="18" t="s">
        <v>28</v>
      </c>
      <c r="J3195" s="18" t="s">
        <v>28</v>
      </c>
      <c r="K3195" s="18" t="s">
        <v>28</v>
      </c>
      <c r="L3195" s="18" t="s">
        <v>28</v>
      </c>
      <c r="M3195" s="18" t="s">
        <v>28</v>
      </c>
      <c r="N3195" s="17">
        <v>44690</v>
      </c>
      <c r="O3195" s="15" t="s">
        <v>30</v>
      </c>
      <c r="P3195" s="16" t="s">
        <v>10661</v>
      </c>
      <c r="Q3195" s="15" t="s">
        <v>136</v>
      </c>
      <c r="R3195" s="13" t="str">
        <f>HYPERLINK("https://my.pitchbook.com?c=242398-00T","View Company Online")</f>
        <v>View Company Online</v>
      </c>
    </row>
    <row r="3196" spans="1:18" hidden="1" x14ac:dyDescent="0.3">
      <c r="A3196" s="9" t="s">
        <v>10662</v>
      </c>
      <c r="B3196" s="9" t="s">
        <v>10663</v>
      </c>
      <c r="C3196" s="11" t="s">
        <v>28</v>
      </c>
      <c r="D3196" s="9" t="s">
        <v>10664</v>
      </c>
      <c r="E3196" s="11" t="s">
        <v>28</v>
      </c>
      <c r="F3196" s="10" t="s">
        <v>28</v>
      </c>
      <c r="G3196" s="10" t="s">
        <v>28</v>
      </c>
      <c r="H3196" s="10" t="s">
        <v>28</v>
      </c>
      <c r="I3196" s="11" t="s">
        <v>28</v>
      </c>
      <c r="J3196" s="11" t="s">
        <v>28</v>
      </c>
      <c r="K3196" s="11" t="s">
        <v>28</v>
      </c>
      <c r="L3196" s="11" t="s">
        <v>28</v>
      </c>
      <c r="M3196" s="11" t="s">
        <v>28</v>
      </c>
      <c r="N3196" s="8">
        <v>44690</v>
      </c>
      <c r="O3196" s="9" t="s">
        <v>41</v>
      </c>
      <c r="P3196" s="12" t="s">
        <v>5403</v>
      </c>
      <c r="Q3196" s="9" t="s">
        <v>240</v>
      </c>
      <c r="R3196" s="14" t="str">
        <f>HYPERLINK("https://my.pitchbook.com?c=219582-91T","View Company Online")</f>
        <v>View Company Online</v>
      </c>
    </row>
    <row r="3197" spans="1:18" hidden="1" x14ac:dyDescent="0.3">
      <c r="A3197" s="15" t="s">
        <v>10665</v>
      </c>
      <c r="B3197" s="15" t="s">
        <v>10666</v>
      </c>
      <c r="C3197" s="18" t="s">
        <v>28</v>
      </c>
      <c r="D3197" s="15" t="s">
        <v>10667</v>
      </c>
      <c r="E3197" s="18" t="s">
        <v>28</v>
      </c>
      <c r="F3197" s="19" t="s">
        <v>28</v>
      </c>
      <c r="G3197" s="19">
        <v>0.83</v>
      </c>
      <c r="H3197" s="19" t="s">
        <v>28</v>
      </c>
      <c r="I3197" s="18" t="s">
        <v>28</v>
      </c>
      <c r="J3197" s="18" t="s">
        <v>28</v>
      </c>
      <c r="K3197" s="18" t="s">
        <v>28</v>
      </c>
      <c r="L3197" s="18" t="s">
        <v>28</v>
      </c>
      <c r="M3197" s="18" t="s">
        <v>28</v>
      </c>
      <c r="N3197" s="17">
        <v>44690</v>
      </c>
      <c r="O3197" s="15" t="s">
        <v>73</v>
      </c>
      <c r="P3197" s="16" t="s">
        <v>10668</v>
      </c>
      <c r="Q3197" s="15" t="s">
        <v>424</v>
      </c>
      <c r="R3197" s="13" t="str">
        <f>HYPERLINK("https://my.pitchbook.com?c=193832-74T","View Company Online")</f>
        <v>View Company Online</v>
      </c>
    </row>
    <row r="3198" spans="1:18" hidden="1" x14ac:dyDescent="0.3">
      <c r="A3198" s="9" t="s">
        <v>10669</v>
      </c>
      <c r="B3198" s="9" t="s">
        <v>9162</v>
      </c>
      <c r="C3198" s="11" t="s">
        <v>28</v>
      </c>
      <c r="D3198" s="9" t="s">
        <v>9163</v>
      </c>
      <c r="E3198" s="11" t="s">
        <v>28</v>
      </c>
      <c r="F3198" s="10" t="s">
        <v>28</v>
      </c>
      <c r="G3198" s="10">
        <v>5.2</v>
      </c>
      <c r="H3198" s="10" t="s">
        <v>28</v>
      </c>
      <c r="I3198" s="11" t="s">
        <v>28</v>
      </c>
      <c r="J3198" s="11" t="s">
        <v>28</v>
      </c>
      <c r="K3198" s="11" t="s">
        <v>28</v>
      </c>
      <c r="L3198" s="11" t="s">
        <v>28</v>
      </c>
      <c r="M3198" s="11" t="s">
        <v>28</v>
      </c>
      <c r="N3198" s="8">
        <v>44687</v>
      </c>
      <c r="O3198" s="9" t="s">
        <v>52</v>
      </c>
      <c r="P3198" s="12" t="s">
        <v>3869</v>
      </c>
      <c r="Q3198" s="9" t="s">
        <v>696</v>
      </c>
      <c r="R3198" s="14" t="str">
        <f>HYPERLINK("https://my.pitchbook.com?c=193838-41T","View Company Online")</f>
        <v>View Company Online</v>
      </c>
    </row>
    <row r="3199" spans="1:18" hidden="1" x14ac:dyDescent="0.3">
      <c r="A3199" s="15" t="s">
        <v>10670</v>
      </c>
      <c r="B3199" s="15" t="s">
        <v>5673</v>
      </c>
      <c r="C3199" s="18" t="s">
        <v>28</v>
      </c>
      <c r="D3199" s="15" t="s">
        <v>5674</v>
      </c>
      <c r="E3199" s="18" t="s">
        <v>28</v>
      </c>
      <c r="F3199" s="19" t="s">
        <v>28</v>
      </c>
      <c r="G3199" s="19">
        <v>13</v>
      </c>
      <c r="H3199" s="19" t="s">
        <v>28</v>
      </c>
      <c r="I3199" s="18" t="s">
        <v>28</v>
      </c>
      <c r="J3199" s="18" t="s">
        <v>28</v>
      </c>
      <c r="K3199" s="18" t="s">
        <v>28</v>
      </c>
      <c r="L3199" s="18" t="s">
        <v>28</v>
      </c>
      <c r="M3199" s="18" t="s">
        <v>28</v>
      </c>
      <c r="N3199" s="17">
        <v>44687</v>
      </c>
      <c r="O3199" s="15" t="s">
        <v>99</v>
      </c>
      <c r="P3199" s="16" t="s">
        <v>10671</v>
      </c>
      <c r="Q3199" s="15" t="s">
        <v>399</v>
      </c>
      <c r="R3199" s="13" t="str">
        <f>HYPERLINK("https://my.pitchbook.com?c=191115-91T","View Company Online")</f>
        <v>View Company Online</v>
      </c>
    </row>
    <row r="3200" spans="1:18" hidden="1" x14ac:dyDescent="0.3">
      <c r="A3200" s="9" t="s">
        <v>10672</v>
      </c>
      <c r="B3200" s="9" t="s">
        <v>10673</v>
      </c>
      <c r="C3200" s="11" t="s">
        <v>28</v>
      </c>
      <c r="D3200" s="9" t="s">
        <v>10674</v>
      </c>
      <c r="E3200" s="11" t="s">
        <v>28</v>
      </c>
      <c r="F3200" s="10" t="s">
        <v>28</v>
      </c>
      <c r="G3200" s="10" t="s">
        <v>28</v>
      </c>
      <c r="H3200" s="10" t="s">
        <v>28</v>
      </c>
      <c r="I3200" s="11" t="s">
        <v>28</v>
      </c>
      <c r="J3200" s="11" t="s">
        <v>28</v>
      </c>
      <c r="K3200" s="11" t="s">
        <v>28</v>
      </c>
      <c r="L3200" s="11" t="s">
        <v>28</v>
      </c>
      <c r="M3200" s="11" t="s">
        <v>28</v>
      </c>
      <c r="N3200" s="8">
        <v>44687</v>
      </c>
      <c r="O3200" s="9" t="s">
        <v>30</v>
      </c>
      <c r="P3200" s="12" t="s">
        <v>10675</v>
      </c>
      <c r="Q3200" s="9" t="s">
        <v>10676</v>
      </c>
      <c r="R3200" s="14" t="str">
        <f>HYPERLINK("https://my.pitchbook.com?c=210671-29T","View Company Online")</f>
        <v>View Company Online</v>
      </c>
    </row>
    <row r="3201" spans="1:18" hidden="1" x14ac:dyDescent="0.3">
      <c r="A3201" s="15" t="s">
        <v>10677</v>
      </c>
      <c r="B3201" s="15" t="s">
        <v>10678</v>
      </c>
      <c r="C3201" s="18" t="s">
        <v>28</v>
      </c>
      <c r="D3201" s="15" t="s">
        <v>10679</v>
      </c>
      <c r="E3201" s="18" t="s">
        <v>28</v>
      </c>
      <c r="F3201" s="19" t="s">
        <v>28</v>
      </c>
      <c r="G3201" s="19" t="s">
        <v>28</v>
      </c>
      <c r="H3201" s="19" t="s">
        <v>28</v>
      </c>
      <c r="I3201" s="18" t="s">
        <v>28</v>
      </c>
      <c r="J3201" s="18" t="s">
        <v>28</v>
      </c>
      <c r="K3201" s="18" t="s">
        <v>28</v>
      </c>
      <c r="L3201" s="18" t="s">
        <v>28</v>
      </c>
      <c r="M3201" s="18" t="s">
        <v>28</v>
      </c>
      <c r="N3201" s="17">
        <v>44686</v>
      </c>
      <c r="O3201" s="15" t="s">
        <v>41</v>
      </c>
      <c r="P3201" s="16" t="s">
        <v>10680</v>
      </c>
      <c r="Q3201" s="15" t="s">
        <v>43</v>
      </c>
      <c r="R3201" s="13" t="str">
        <f>HYPERLINK("https://my.pitchbook.com?c=219396-97T","View Company Online")</f>
        <v>View Company Online</v>
      </c>
    </row>
    <row r="3202" spans="1:18" hidden="1" x14ac:dyDescent="0.3">
      <c r="A3202" s="9" t="s">
        <v>10681</v>
      </c>
      <c r="B3202" s="9" t="s">
        <v>10682</v>
      </c>
      <c r="C3202" s="11" t="s">
        <v>28</v>
      </c>
      <c r="D3202" s="9" t="s">
        <v>10683</v>
      </c>
      <c r="E3202" s="11" t="s">
        <v>28</v>
      </c>
      <c r="F3202" s="10">
        <v>104.31</v>
      </c>
      <c r="G3202" s="10">
        <v>104.31</v>
      </c>
      <c r="H3202" s="10">
        <v>104.31</v>
      </c>
      <c r="I3202" s="11" t="s">
        <v>28</v>
      </c>
      <c r="J3202" s="11" t="s">
        <v>28</v>
      </c>
      <c r="K3202" s="11" t="s">
        <v>28</v>
      </c>
      <c r="L3202" s="11" t="s">
        <v>28</v>
      </c>
      <c r="M3202" s="11" t="s">
        <v>28</v>
      </c>
      <c r="N3202" s="8">
        <v>44686</v>
      </c>
      <c r="O3202" s="9" t="s">
        <v>30</v>
      </c>
      <c r="P3202" s="12" t="s">
        <v>10684</v>
      </c>
      <c r="Q3202" s="9" t="s">
        <v>109</v>
      </c>
      <c r="R3202" s="14" t="str">
        <f>HYPERLINK("https://my.pitchbook.com?c=209471-05T","View Company Online")</f>
        <v>View Company Online</v>
      </c>
    </row>
    <row r="3203" spans="1:18" hidden="1" x14ac:dyDescent="0.3">
      <c r="A3203" s="15" t="s">
        <v>10685</v>
      </c>
      <c r="B3203" s="15" t="s">
        <v>10686</v>
      </c>
      <c r="C3203" s="18" t="s">
        <v>28</v>
      </c>
      <c r="D3203" s="15" t="s">
        <v>10687</v>
      </c>
      <c r="E3203" s="18" t="s">
        <v>28</v>
      </c>
      <c r="F3203" s="19" t="s">
        <v>28</v>
      </c>
      <c r="G3203" s="19" t="s">
        <v>28</v>
      </c>
      <c r="H3203" s="19" t="s">
        <v>28</v>
      </c>
      <c r="I3203" s="18" t="s">
        <v>28</v>
      </c>
      <c r="J3203" s="18" t="s">
        <v>28</v>
      </c>
      <c r="K3203" s="18" t="s">
        <v>28</v>
      </c>
      <c r="L3203" s="18" t="s">
        <v>28</v>
      </c>
      <c r="M3203" s="18" t="s">
        <v>28</v>
      </c>
      <c r="N3203" s="17">
        <v>44686</v>
      </c>
      <c r="O3203" s="15" t="s">
        <v>30</v>
      </c>
      <c r="P3203" s="16" t="s">
        <v>10688</v>
      </c>
      <c r="Q3203" s="15" t="s">
        <v>240</v>
      </c>
      <c r="R3203" s="13" t="str">
        <f>HYPERLINK("https://my.pitchbook.com?c=219629-44T","View Company Online")</f>
        <v>View Company Online</v>
      </c>
    </row>
    <row r="3204" spans="1:18" hidden="1" x14ac:dyDescent="0.3">
      <c r="A3204" s="9" t="s">
        <v>10689</v>
      </c>
      <c r="B3204" s="9" t="s">
        <v>10690</v>
      </c>
      <c r="C3204" s="11" t="s">
        <v>28</v>
      </c>
      <c r="D3204" s="9" t="s">
        <v>10691</v>
      </c>
      <c r="E3204" s="11" t="s">
        <v>28</v>
      </c>
      <c r="F3204" s="10" t="s">
        <v>28</v>
      </c>
      <c r="G3204" s="10" t="s">
        <v>28</v>
      </c>
      <c r="H3204" s="10" t="s">
        <v>28</v>
      </c>
      <c r="I3204" s="11" t="s">
        <v>28</v>
      </c>
      <c r="J3204" s="11" t="s">
        <v>28</v>
      </c>
      <c r="K3204" s="11" t="s">
        <v>28</v>
      </c>
      <c r="L3204" s="11" t="s">
        <v>28</v>
      </c>
      <c r="M3204" s="11" t="s">
        <v>28</v>
      </c>
      <c r="N3204" s="8">
        <v>44686</v>
      </c>
      <c r="O3204" s="9" t="s">
        <v>30</v>
      </c>
      <c r="P3204" s="12" t="s">
        <v>10692</v>
      </c>
      <c r="Q3204" s="9" t="s">
        <v>1336</v>
      </c>
      <c r="R3204" s="14" t="str">
        <f>HYPERLINK("https://my.pitchbook.com?c=210577-60T","View Company Online")</f>
        <v>View Company Online</v>
      </c>
    </row>
    <row r="3205" spans="1:18" hidden="1" x14ac:dyDescent="0.3">
      <c r="A3205" s="15" t="s">
        <v>10693</v>
      </c>
      <c r="B3205" s="15" t="s">
        <v>4247</v>
      </c>
      <c r="C3205" s="18" t="s">
        <v>28</v>
      </c>
      <c r="D3205" s="15" t="s">
        <v>4248</v>
      </c>
      <c r="E3205" s="18" t="s">
        <v>28</v>
      </c>
      <c r="F3205" s="19" t="s">
        <v>28</v>
      </c>
      <c r="G3205" s="19">
        <v>10</v>
      </c>
      <c r="H3205" s="19" t="s">
        <v>28</v>
      </c>
      <c r="I3205" s="18" t="s">
        <v>28</v>
      </c>
      <c r="J3205" s="18" t="s">
        <v>28</v>
      </c>
      <c r="K3205" s="18" t="s">
        <v>28</v>
      </c>
      <c r="L3205" s="18" t="s">
        <v>28</v>
      </c>
      <c r="M3205" s="18" t="s">
        <v>28</v>
      </c>
      <c r="N3205" s="17">
        <v>44686</v>
      </c>
      <c r="O3205" s="15" t="s">
        <v>99</v>
      </c>
      <c r="P3205" s="16" t="s">
        <v>10694</v>
      </c>
      <c r="Q3205" s="15" t="s">
        <v>37</v>
      </c>
      <c r="R3205" s="13" t="str">
        <f>HYPERLINK("https://my.pitchbook.com?c=193786-21T","View Company Online")</f>
        <v>View Company Online</v>
      </c>
    </row>
    <row r="3206" spans="1:18" hidden="1" x14ac:dyDescent="0.3">
      <c r="A3206" s="9" t="s">
        <v>10695</v>
      </c>
      <c r="B3206" s="9" t="s">
        <v>10696</v>
      </c>
      <c r="C3206" s="11" t="s">
        <v>28</v>
      </c>
      <c r="D3206" s="9" t="s">
        <v>10697</v>
      </c>
      <c r="E3206" s="11" t="s">
        <v>28</v>
      </c>
      <c r="F3206" s="10" t="s">
        <v>28</v>
      </c>
      <c r="G3206" s="10" t="s">
        <v>28</v>
      </c>
      <c r="H3206" s="10" t="s">
        <v>28</v>
      </c>
      <c r="I3206" s="11" t="s">
        <v>28</v>
      </c>
      <c r="J3206" s="11" t="s">
        <v>28</v>
      </c>
      <c r="K3206" s="11" t="s">
        <v>28</v>
      </c>
      <c r="L3206" s="11" t="s">
        <v>28</v>
      </c>
      <c r="M3206" s="11" t="s">
        <v>28</v>
      </c>
      <c r="N3206" s="8">
        <v>44686</v>
      </c>
      <c r="O3206" s="9" t="s">
        <v>79</v>
      </c>
      <c r="P3206" s="12" t="s">
        <v>10698</v>
      </c>
      <c r="Q3206" s="9" t="s">
        <v>774</v>
      </c>
      <c r="R3206" s="14" t="str">
        <f>HYPERLINK("https://my.pitchbook.com?c=189679-60T","View Company Online")</f>
        <v>View Company Online</v>
      </c>
    </row>
    <row r="3207" spans="1:18" hidden="1" x14ac:dyDescent="0.3">
      <c r="A3207" s="15" t="s">
        <v>10699</v>
      </c>
      <c r="B3207" s="15" t="s">
        <v>10700</v>
      </c>
      <c r="C3207" s="18" t="s">
        <v>28</v>
      </c>
      <c r="D3207" s="15" t="s">
        <v>10701</v>
      </c>
      <c r="E3207" s="18" t="s">
        <v>28</v>
      </c>
      <c r="F3207" s="19" t="s">
        <v>28</v>
      </c>
      <c r="G3207" s="19" t="s">
        <v>28</v>
      </c>
      <c r="H3207" s="19" t="s">
        <v>28</v>
      </c>
      <c r="I3207" s="18" t="s">
        <v>28</v>
      </c>
      <c r="J3207" s="18" t="s">
        <v>28</v>
      </c>
      <c r="K3207" s="18" t="s">
        <v>28</v>
      </c>
      <c r="L3207" s="18" t="s">
        <v>28</v>
      </c>
      <c r="M3207" s="18" t="s">
        <v>28</v>
      </c>
      <c r="N3207" s="17">
        <v>44685</v>
      </c>
      <c r="O3207" s="15" t="s">
        <v>30</v>
      </c>
      <c r="P3207" s="16" t="s">
        <v>10702</v>
      </c>
      <c r="Q3207" s="15" t="s">
        <v>3973</v>
      </c>
      <c r="R3207" s="13" t="str">
        <f>HYPERLINK("https://my.pitchbook.com?c=210358-90T","View Company Online")</f>
        <v>View Company Online</v>
      </c>
    </row>
    <row r="3208" spans="1:18" hidden="1" x14ac:dyDescent="0.3">
      <c r="A3208" s="9" t="s">
        <v>10703</v>
      </c>
      <c r="B3208" s="9" t="s">
        <v>10704</v>
      </c>
      <c r="C3208" s="11" t="s">
        <v>28</v>
      </c>
      <c r="D3208" s="9" t="s">
        <v>10705</v>
      </c>
      <c r="E3208" s="11" t="s">
        <v>28</v>
      </c>
      <c r="F3208" s="10" t="s">
        <v>28</v>
      </c>
      <c r="G3208" s="10" t="s">
        <v>28</v>
      </c>
      <c r="H3208" s="10" t="s">
        <v>28</v>
      </c>
      <c r="I3208" s="11" t="s">
        <v>28</v>
      </c>
      <c r="J3208" s="11" t="s">
        <v>28</v>
      </c>
      <c r="K3208" s="11">
        <v>7310</v>
      </c>
      <c r="L3208" s="11" t="s">
        <v>28</v>
      </c>
      <c r="M3208" s="11" t="s">
        <v>28</v>
      </c>
      <c r="N3208" s="8">
        <v>44685</v>
      </c>
      <c r="O3208" s="9" t="s">
        <v>30</v>
      </c>
      <c r="P3208" s="12" t="s">
        <v>28</v>
      </c>
      <c r="Q3208" s="9" t="s">
        <v>114</v>
      </c>
      <c r="R3208" s="14" t="str">
        <f>HYPERLINK("https://my.pitchbook.com?c=191010-88T","View Company Online")</f>
        <v>View Company Online</v>
      </c>
    </row>
    <row r="3209" spans="1:18" hidden="1" x14ac:dyDescent="0.3">
      <c r="A3209" s="15" t="s">
        <v>10706</v>
      </c>
      <c r="B3209" s="15" t="s">
        <v>2929</v>
      </c>
      <c r="C3209" s="18" t="s">
        <v>28</v>
      </c>
      <c r="D3209" s="15" t="s">
        <v>2930</v>
      </c>
      <c r="E3209" s="18" t="s">
        <v>28</v>
      </c>
      <c r="F3209" s="19" t="s">
        <v>28</v>
      </c>
      <c r="G3209" s="19" t="s">
        <v>28</v>
      </c>
      <c r="H3209" s="19" t="s">
        <v>28</v>
      </c>
      <c r="I3209" s="18" t="s">
        <v>28</v>
      </c>
      <c r="J3209" s="18" t="s">
        <v>28</v>
      </c>
      <c r="K3209" s="18" t="s">
        <v>28</v>
      </c>
      <c r="L3209" s="18" t="s">
        <v>28</v>
      </c>
      <c r="M3209" s="18" t="s">
        <v>28</v>
      </c>
      <c r="N3209" s="17">
        <v>44685</v>
      </c>
      <c r="O3209" s="15" t="s">
        <v>379</v>
      </c>
      <c r="P3209" s="16" t="s">
        <v>10707</v>
      </c>
      <c r="Q3209" s="15" t="s">
        <v>583</v>
      </c>
      <c r="R3209" s="13" t="str">
        <f>HYPERLINK("https://my.pitchbook.com?c=214723-63T","View Company Online")</f>
        <v>View Company Online</v>
      </c>
    </row>
    <row r="3210" spans="1:18" hidden="1" x14ac:dyDescent="0.3">
      <c r="A3210" s="9" t="s">
        <v>10708</v>
      </c>
      <c r="B3210" s="9" t="s">
        <v>3463</v>
      </c>
      <c r="C3210" s="11" t="s">
        <v>28</v>
      </c>
      <c r="D3210" s="9" t="s">
        <v>3464</v>
      </c>
      <c r="E3210" s="11" t="s">
        <v>28</v>
      </c>
      <c r="F3210" s="10" t="s">
        <v>28</v>
      </c>
      <c r="G3210" s="10">
        <v>0.21</v>
      </c>
      <c r="H3210" s="10" t="s">
        <v>28</v>
      </c>
      <c r="I3210" s="11" t="s">
        <v>28</v>
      </c>
      <c r="J3210" s="11" t="s">
        <v>28</v>
      </c>
      <c r="K3210" s="11" t="s">
        <v>28</v>
      </c>
      <c r="L3210" s="11" t="s">
        <v>28</v>
      </c>
      <c r="M3210" s="11" t="s">
        <v>28</v>
      </c>
      <c r="N3210" s="8">
        <v>44685</v>
      </c>
      <c r="O3210" s="9" t="s">
        <v>99</v>
      </c>
      <c r="P3210" s="12" t="s">
        <v>10709</v>
      </c>
      <c r="Q3210" s="9" t="s">
        <v>75</v>
      </c>
      <c r="R3210" s="14" t="str">
        <f>HYPERLINK("https://my.pitchbook.com?c=208995-76T","View Company Online")</f>
        <v>View Company Online</v>
      </c>
    </row>
    <row r="3211" spans="1:18" hidden="1" x14ac:dyDescent="0.3">
      <c r="A3211" s="15" t="s">
        <v>10710</v>
      </c>
      <c r="B3211" s="15" t="s">
        <v>10711</v>
      </c>
      <c r="C3211" s="18" t="s">
        <v>28</v>
      </c>
      <c r="D3211" s="15" t="s">
        <v>10712</v>
      </c>
      <c r="E3211" s="18" t="s">
        <v>28</v>
      </c>
      <c r="F3211" s="19" t="s">
        <v>28</v>
      </c>
      <c r="G3211" s="19" t="s">
        <v>28</v>
      </c>
      <c r="H3211" s="19" t="s">
        <v>28</v>
      </c>
      <c r="I3211" s="18" t="s">
        <v>28</v>
      </c>
      <c r="J3211" s="18" t="s">
        <v>28</v>
      </c>
      <c r="K3211" s="18" t="s">
        <v>28</v>
      </c>
      <c r="L3211" s="18" t="s">
        <v>28</v>
      </c>
      <c r="M3211" s="18" t="s">
        <v>28</v>
      </c>
      <c r="N3211" s="17">
        <v>44685</v>
      </c>
      <c r="O3211" s="15" t="s">
        <v>30</v>
      </c>
      <c r="P3211" s="16" t="s">
        <v>5444</v>
      </c>
      <c r="Q3211" s="15" t="s">
        <v>95</v>
      </c>
      <c r="R3211" s="13" t="str">
        <f>HYPERLINK("https://my.pitchbook.com?c=193821-13T","View Company Online")</f>
        <v>View Company Online</v>
      </c>
    </row>
    <row r="3212" spans="1:18" hidden="1" x14ac:dyDescent="0.3">
      <c r="A3212" s="9" t="s">
        <v>10713</v>
      </c>
      <c r="B3212" s="9" t="s">
        <v>10714</v>
      </c>
      <c r="C3212" s="11" t="s">
        <v>28</v>
      </c>
      <c r="D3212" s="9" t="s">
        <v>10715</v>
      </c>
      <c r="E3212" s="11" t="s">
        <v>28</v>
      </c>
      <c r="F3212" s="10" t="s">
        <v>28</v>
      </c>
      <c r="G3212" s="10">
        <v>2.1</v>
      </c>
      <c r="H3212" s="10" t="s">
        <v>28</v>
      </c>
      <c r="I3212" s="11" t="s">
        <v>28</v>
      </c>
      <c r="J3212" s="11" t="s">
        <v>28</v>
      </c>
      <c r="K3212" s="11" t="s">
        <v>28</v>
      </c>
      <c r="L3212" s="11" t="s">
        <v>28</v>
      </c>
      <c r="M3212" s="11" t="s">
        <v>28</v>
      </c>
      <c r="N3212" s="8">
        <v>44684</v>
      </c>
      <c r="O3212" s="9" t="s">
        <v>73</v>
      </c>
      <c r="P3212" s="12" t="s">
        <v>10716</v>
      </c>
      <c r="Q3212" s="9" t="s">
        <v>285</v>
      </c>
      <c r="R3212" s="14" t="str">
        <f>HYPERLINK("https://my.pitchbook.com?c=193446-46T","View Company Online")</f>
        <v>View Company Online</v>
      </c>
    </row>
    <row r="3213" spans="1:18" hidden="1" x14ac:dyDescent="0.3">
      <c r="A3213" s="15" t="s">
        <v>10717</v>
      </c>
      <c r="B3213" s="15" t="s">
        <v>10718</v>
      </c>
      <c r="C3213" s="18" t="s">
        <v>28</v>
      </c>
      <c r="D3213" s="15" t="s">
        <v>10719</v>
      </c>
      <c r="E3213" s="18" t="s">
        <v>28</v>
      </c>
      <c r="F3213" s="19">
        <v>129.07</v>
      </c>
      <c r="G3213" s="19">
        <v>129.07</v>
      </c>
      <c r="H3213" s="19">
        <v>129.07</v>
      </c>
      <c r="I3213" s="18" t="s">
        <v>28</v>
      </c>
      <c r="J3213" s="18" t="s">
        <v>28</v>
      </c>
      <c r="K3213" s="18">
        <v>6.12</v>
      </c>
      <c r="L3213" s="18">
        <v>21.1</v>
      </c>
      <c r="M3213" s="18" t="s">
        <v>28</v>
      </c>
      <c r="N3213" s="17">
        <v>44684</v>
      </c>
      <c r="O3213" s="15" t="s">
        <v>30</v>
      </c>
      <c r="P3213" s="16" t="s">
        <v>10720</v>
      </c>
      <c r="Q3213" s="15" t="s">
        <v>75</v>
      </c>
      <c r="R3213" s="13" t="str">
        <f>HYPERLINK("https://my.pitchbook.com?c=185485-69T","View Company Online")</f>
        <v>View Company Online</v>
      </c>
    </row>
    <row r="3214" spans="1:18" hidden="1" x14ac:dyDescent="0.3">
      <c r="A3214" s="9" t="s">
        <v>10721</v>
      </c>
      <c r="B3214" s="9" t="s">
        <v>10722</v>
      </c>
      <c r="C3214" s="11" t="s">
        <v>28</v>
      </c>
      <c r="D3214" s="9" t="s">
        <v>10723</v>
      </c>
      <c r="E3214" s="11" t="s">
        <v>28</v>
      </c>
      <c r="F3214" s="10" t="s">
        <v>28</v>
      </c>
      <c r="G3214" s="10">
        <v>0.4</v>
      </c>
      <c r="H3214" s="10" t="s">
        <v>28</v>
      </c>
      <c r="I3214" s="11" t="s">
        <v>28</v>
      </c>
      <c r="J3214" s="11" t="s">
        <v>28</v>
      </c>
      <c r="K3214" s="11" t="s">
        <v>28</v>
      </c>
      <c r="L3214" s="11" t="s">
        <v>28</v>
      </c>
      <c r="M3214" s="11" t="s">
        <v>28</v>
      </c>
      <c r="N3214" s="8">
        <v>44684</v>
      </c>
      <c r="O3214" s="9" t="s">
        <v>52</v>
      </c>
      <c r="P3214" s="12" t="s">
        <v>221</v>
      </c>
      <c r="Q3214" s="9" t="s">
        <v>386</v>
      </c>
      <c r="R3214" s="14" t="str">
        <f>HYPERLINK("https://my.pitchbook.com?c=215405-92T","View Company Online")</f>
        <v>View Company Online</v>
      </c>
    </row>
    <row r="3215" spans="1:18" hidden="1" x14ac:dyDescent="0.3">
      <c r="A3215" s="15" t="s">
        <v>10724</v>
      </c>
      <c r="B3215" s="15" t="s">
        <v>10725</v>
      </c>
      <c r="C3215" s="18" t="s">
        <v>28</v>
      </c>
      <c r="D3215" s="15" t="s">
        <v>10726</v>
      </c>
      <c r="E3215" s="18" t="s">
        <v>28</v>
      </c>
      <c r="F3215" s="19" t="s">
        <v>28</v>
      </c>
      <c r="G3215" s="19">
        <v>6.3</v>
      </c>
      <c r="H3215" s="19" t="s">
        <v>28</v>
      </c>
      <c r="I3215" s="18" t="s">
        <v>28</v>
      </c>
      <c r="J3215" s="18" t="s">
        <v>28</v>
      </c>
      <c r="K3215" s="18">
        <v>13.9</v>
      </c>
      <c r="L3215" s="18" t="s">
        <v>28</v>
      </c>
      <c r="M3215" s="18" t="s">
        <v>28</v>
      </c>
      <c r="N3215" s="17">
        <v>44683</v>
      </c>
      <c r="O3215" s="15" t="s">
        <v>79</v>
      </c>
      <c r="P3215" s="16" t="s">
        <v>10727</v>
      </c>
      <c r="Q3215" s="15" t="s">
        <v>75</v>
      </c>
      <c r="R3215" s="13" t="str">
        <f>HYPERLINK("https://my.pitchbook.com?c=193308-76T","View Company Online")</f>
        <v>View Company Online</v>
      </c>
    </row>
    <row r="3216" spans="1:18" hidden="1" x14ac:dyDescent="0.3">
      <c r="A3216" s="9" t="s">
        <v>10728</v>
      </c>
      <c r="B3216" s="9" t="s">
        <v>10725</v>
      </c>
      <c r="C3216" s="11" t="s">
        <v>28</v>
      </c>
      <c r="D3216" s="9" t="s">
        <v>10726</v>
      </c>
      <c r="E3216" s="11" t="s">
        <v>28</v>
      </c>
      <c r="F3216" s="10" t="s">
        <v>28</v>
      </c>
      <c r="G3216" s="10" t="s">
        <v>28</v>
      </c>
      <c r="H3216" s="10" t="s">
        <v>28</v>
      </c>
      <c r="I3216" s="11" t="s">
        <v>28</v>
      </c>
      <c r="J3216" s="11" t="s">
        <v>28</v>
      </c>
      <c r="K3216" s="11">
        <v>13.9</v>
      </c>
      <c r="L3216" s="11" t="s">
        <v>28</v>
      </c>
      <c r="M3216" s="11" t="s">
        <v>28</v>
      </c>
      <c r="N3216" s="8">
        <v>44683</v>
      </c>
      <c r="O3216" s="9" t="s">
        <v>79</v>
      </c>
      <c r="P3216" s="12" t="s">
        <v>28</v>
      </c>
      <c r="Q3216" s="9" t="s">
        <v>75</v>
      </c>
      <c r="R3216" s="14" t="str">
        <f>HYPERLINK("https://my.pitchbook.com?c=193309-66T","View Company Online")</f>
        <v>View Company Online</v>
      </c>
    </row>
    <row r="3217" spans="1:18" hidden="1" x14ac:dyDescent="0.3">
      <c r="A3217" s="15" t="s">
        <v>10729</v>
      </c>
      <c r="B3217" s="15" t="s">
        <v>10730</v>
      </c>
      <c r="C3217" s="18" t="s">
        <v>28</v>
      </c>
      <c r="D3217" s="15" t="s">
        <v>10731</v>
      </c>
      <c r="E3217" s="18" t="s">
        <v>28</v>
      </c>
      <c r="F3217" s="19" t="s">
        <v>28</v>
      </c>
      <c r="G3217" s="19" t="s">
        <v>28</v>
      </c>
      <c r="H3217" s="19" t="s">
        <v>28</v>
      </c>
      <c r="I3217" s="18" t="s">
        <v>28</v>
      </c>
      <c r="J3217" s="18" t="s">
        <v>28</v>
      </c>
      <c r="K3217" s="18">
        <v>97.88</v>
      </c>
      <c r="L3217" s="18" t="s">
        <v>28</v>
      </c>
      <c r="M3217" s="18">
        <v>32.229999999999997</v>
      </c>
      <c r="N3217" s="17">
        <v>44683</v>
      </c>
      <c r="O3217" s="15" t="s">
        <v>30</v>
      </c>
      <c r="P3217" s="16" t="s">
        <v>10732</v>
      </c>
      <c r="Q3217" s="15" t="s">
        <v>7449</v>
      </c>
      <c r="R3217" s="13" t="str">
        <f>HYPERLINK("https://my.pitchbook.com?c=186200-65T","View Company Online")</f>
        <v>View Company Online</v>
      </c>
    </row>
    <row r="3218" spans="1:18" hidden="1" x14ac:dyDescent="0.3">
      <c r="A3218" s="9" t="s">
        <v>10733</v>
      </c>
      <c r="B3218" s="9" t="s">
        <v>10734</v>
      </c>
      <c r="C3218" s="11" t="s">
        <v>28</v>
      </c>
      <c r="D3218" s="9" t="s">
        <v>10735</v>
      </c>
      <c r="E3218" s="11" t="s">
        <v>28</v>
      </c>
      <c r="F3218" s="10" t="s">
        <v>28</v>
      </c>
      <c r="G3218" s="10" t="s">
        <v>28</v>
      </c>
      <c r="H3218" s="10" t="s">
        <v>28</v>
      </c>
      <c r="I3218" s="11" t="s">
        <v>28</v>
      </c>
      <c r="J3218" s="11" t="s">
        <v>28</v>
      </c>
      <c r="K3218" s="11" t="s">
        <v>28</v>
      </c>
      <c r="L3218" s="11" t="s">
        <v>28</v>
      </c>
      <c r="M3218" s="11" t="s">
        <v>28</v>
      </c>
      <c r="N3218" s="8">
        <v>44683</v>
      </c>
      <c r="O3218" s="9" t="s">
        <v>30</v>
      </c>
      <c r="P3218" s="12" t="s">
        <v>10736</v>
      </c>
      <c r="Q3218" s="9" t="s">
        <v>1793</v>
      </c>
      <c r="R3218" s="14" t="str">
        <f>HYPERLINK("https://my.pitchbook.com?c=193124-53T","View Company Online")</f>
        <v>View Company Online</v>
      </c>
    </row>
    <row r="3219" spans="1:18" hidden="1" x14ac:dyDescent="0.3">
      <c r="A3219" s="15" t="s">
        <v>10737</v>
      </c>
      <c r="B3219" s="15" t="s">
        <v>10738</v>
      </c>
      <c r="C3219" s="18" t="s">
        <v>28</v>
      </c>
      <c r="D3219" s="15" t="s">
        <v>10739</v>
      </c>
      <c r="E3219" s="18" t="s">
        <v>28</v>
      </c>
      <c r="F3219" s="19" t="s">
        <v>28</v>
      </c>
      <c r="G3219" s="19" t="s">
        <v>28</v>
      </c>
      <c r="H3219" s="19" t="s">
        <v>28</v>
      </c>
      <c r="I3219" s="18" t="s">
        <v>28</v>
      </c>
      <c r="J3219" s="18" t="s">
        <v>28</v>
      </c>
      <c r="K3219" s="18" t="s">
        <v>28</v>
      </c>
      <c r="L3219" s="18" t="s">
        <v>28</v>
      </c>
      <c r="M3219" s="18" t="s">
        <v>28</v>
      </c>
      <c r="N3219" s="17">
        <v>44683</v>
      </c>
      <c r="O3219" s="15" t="s">
        <v>52</v>
      </c>
      <c r="P3219" s="16" t="s">
        <v>10740</v>
      </c>
      <c r="Q3219" s="15" t="s">
        <v>245</v>
      </c>
      <c r="R3219" s="13" t="str">
        <f>HYPERLINK("https://my.pitchbook.com?c=292860-73T","View Company Online")</f>
        <v>View Company Online</v>
      </c>
    </row>
    <row r="3220" spans="1:18" hidden="1" x14ac:dyDescent="0.3">
      <c r="A3220" s="9" t="s">
        <v>10741</v>
      </c>
      <c r="B3220" s="9" t="s">
        <v>10742</v>
      </c>
      <c r="C3220" s="11" t="s">
        <v>28</v>
      </c>
      <c r="D3220" s="9" t="s">
        <v>10743</v>
      </c>
      <c r="E3220" s="11" t="s">
        <v>28</v>
      </c>
      <c r="F3220" s="10" t="s">
        <v>28</v>
      </c>
      <c r="G3220" s="10" t="s">
        <v>28</v>
      </c>
      <c r="H3220" s="10" t="s">
        <v>28</v>
      </c>
      <c r="I3220" s="11" t="s">
        <v>28</v>
      </c>
      <c r="J3220" s="11" t="s">
        <v>28</v>
      </c>
      <c r="K3220" s="11" t="s">
        <v>28</v>
      </c>
      <c r="L3220" s="11" t="s">
        <v>28</v>
      </c>
      <c r="M3220" s="11" t="s">
        <v>28</v>
      </c>
      <c r="N3220" s="8">
        <v>44682</v>
      </c>
      <c r="O3220" s="9" t="s">
        <v>79</v>
      </c>
      <c r="P3220" s="12" t="s">
        <v>10744</v>
      </c>
      <c r="Q3220" s="9" t="s">
        <v>119</v>
      </c>
      <c r="R3220" s="14" t="str">
        <f>HYPERLINK("https://my.pitchbook.com?c=215657-29T","View Company Online")</f>
        <v>View Company Online</v>
      </c>
    </row>
    <row r="3221" spans="1:18" hidden="1" x14ac:dyDescent="0.3">
      <c r="A3221" s="15" t="s">
        <v>10745</v>
      </c>
      <c r="B3221" s="15" t="s">
        <v>9370</v>
      </c>
      <c r="C3221" s="18" t="s">
        <v>28</v>
      </c>
      <c r="D3221" s="15" t="s">
        <v>9371</v>
      </c>
      <c r="E3221" s="18" t="s">
        <v>28</v>
      </c>
      <c r="F3221" s="19" t="s">
        <v>28</v>
      </c>
      <c r="G3221" s="19" t="s">
        <v>28</v>
      </c>
      <c r="H3221" s="19" t="s">
        <v>28</v>
      </c>
      <c r="I3221" s="18" t="s">
        <v>28</v>
      </c>
      <c r="J3221" s="18" t="s">
        <v>28</v>
      </c>
      <c r="K3221" s="18" t="s">
        <v>28</v>
      </c>
      <c r="L3221" s="18" t="s">
        <v>28</v>
      </c>
      <c r="M3221" s="18" t="s">
        <v>28</v>
      </c>
      <c r="N3221" s="17">
        <v>44682</v>
      </c>
      <c r="O3221" s="15" t="s">
        <v>79</v>
      </c>
      <c r="P3221" s="16" t="s">
        <v>611</v>
      </c>
      <c r="Q3221" s="15" t="s">
        <v>75</v>
      </c>
      <c r="R3221" s="13" t="str">
        <f>HYPERLINK("https://my.pitchbook.com?c=243794-44T","View Company Online")</f>
        <v>View Company Online</v>
      </c>
    </row>
    <row r="3222" spans="1:18" hidden="1" x14ac:dyDescent="0.3">
      <c r="A3222" s="9" t="s">
        <v>10746</v>
      </c>
      <c r="B3222" s="9" t="s">
        <v>10747</v>
      </c>
      <c r="C3222" s="11" t="s">
        <v>28</v>
      </c>
      <c r="D3222" s="9" t="s">
        <v>10748</v>
      </c>
      <c r="E3222" s="11" t="s">
        <v>28</v>
      </c>
      <c r="F3222" s="10" t="s">
        <v>28</v>
      </c>
      <c r="G3222" s="10" t="s">
        <v>28</v>
      </c>
      <c r="H3222" s="10" t="s">
        <v>28</v>
      </c>
      <c r="I3222" s="11" t="s">
        <v>28</v>
      </c>
      <c r="J3222" s="11" t="s">
        <v>28</v>
      </c>
      <c r="K3222" s="11" t="s">
        <v>28</v>
      </c>
      <c r="L3222" s="11" t="s">
        <v>28</v>
      </c>
      <c r="M3222" s="11" t="s">
        <v>28</v>
      </c>
      <c r="N3222" s="8">
        <v>44682</v>
      </c>
      <c r="O3222" s="9" t="s">
        <v>73</v>
      </c>
      <c r="P3222" s="12" t="s">
        <v>8788</v>
      </c>
      <c r="Q3222" s="9" t="s">
        <v>75</v>
      </c>
      <c r="R3222" s="14" t="str">
        <f>HYPERLINK("https://my.pitchbook.com?c=224998-75T","View Company Online")</f>
        <v>View Company Online</v>
      </c>
    </row>
    <row r="3223" spans="1:18" hidden="1" x14ac:dyDescent="0.3">
      <c r="A3223" s="15" t="s">
        <v>10749</v>
      </c>
      <c r="B3223" s="15" t="s">
        <v>5865</v>
      </c>
      <c r="C3223" s="18" t="s">
        <v>28</v>
      </c>
      <c r="D3223" s="15" t="s">
        <v>5866</v>
      </c>
      <c r="E3223" s="18" t="s">
        <v>28</v>
      </c>
      <c r="F3223" s="19" t="s">
        <v>28</v>
      </c>
      <c r="G3223" s="19">
        <v>25.34</v>
      </c>
      <c r="H3223" s="19" t="s">
        <v>28</v>
      </c>
      <c r="I3223" s="18">
        <v>127</v>
      </c>
      <c r="J3223" s="18" t="s">
        <v>28</v>
      </c>
      <c r="K3223" s="18">
        <v>289</v>
      </c>
      <c r="L3223" s="18" t="s">
        <v>28</v>
      </c>
      <c r="M3223" s="18" t="s">
        <v>28</v>
      </c>
      <c r="N3223" s="17">
        <v>44682</v>
      </c>
      <c r="O3223" s="15" t="s">
        <v>93</v>
      </c>
      <c r="P3223" s="16" t="s">
        <v>8652</v>
      </c>
      <c r="Q3223" s="15" t="s">
        <v>470</v>
      </c>
      <c r="R3223" s="13" t="str">
        <f>HYPERLINK("https://my.pitchbook.com?c=242400-16T","View Company Online")</f>
        <v>View Company Online</v>
      </c>
    </row>
    <row r="3224" spans="1:18" hidden="1" x14ac:dyDescent="0.3">
      <c r="A3224" s="9" t="s">
        <v>10750</v>
      </c>
      <c r="B3224" s="9" t="s">
        <v>10168</v>
      </c>
      <c r="C3224" s="11" t="s">
        <v>28</v>
      </c>
      <c r="D3224" s="9" t="s">
        <v>10169</v>
      </c>
      <c r="E3224" s="11" t="s">
        <v>28</v>
      </c>
      <c r="F3224" s="10" t="s">
        <v>28</v>
      </c>
      <c r="G3224" s="10">
        <v>6.32</v>
      </c>
      <c r="H3224" s="10" t="s">
        <v>28</v>
      </c>
      <c r="I3224" s="11" t="s">
        <v>28</v>
      </c>
      <c r="J3224" s="11" t="s">
        <v>28</v>
      </c>
      <c r="K3224" s="11" t="s">
        <v>28</v>
      </c>
      <c r="L3224" s="11" t="s">
        <v>28</v>
      </c>
      <c r="M3224" s="11" t="s">
        <v>28</v>
      </c>
      <c r="N3224" s="8">
        <v>44682</v>
      </c>
      <c r="O3224" s="9" t="s">
        <v>73</v>
      </c>
      <c r="P3224" s="12" t="s">
        <v>10751</v>
      </c>
      <c r="Q3224" s="9" t="s">
        <v>9051</v>
      </c>
      <c r="R3224" s="14" t="str">
        <f>HYPERLINK("https://my.pitchbook.com?c=194150-44T","View Company Online")</f>
        <v>View Company Online</v>
      </c>
    </row>
    <row r="3225" spans="1:18" hidden="1" x14ac:dyDescent="0.3">
      <c r="A3225" s="15" t="s">
        <v>10752</v>
      </c>
      <c r="B3225" s="15" t="s">
        <v>2738</v>
      </c>
      <c r="C3225" s="18" t="s">
        <v>28</v>
      </c>
      <c r="D3225" s="15" t="s">
        <v>2739</v>
      </c>
      <c r="E3225" s="18" t="s">
        <v>28</v>
      </c>
      <c r="F3225" s="19" t="s">
        <v>28</v>
      </c>
      <c r="G3225" s="19">
        <v>1</v>
      </c>
      <c r="H3225" s="19" t="s">
        <v>28</v>
      </c>
      <c r="I3225" s="18" t="s">
        <v>28</v>
      </c>
      <c r="J3225" s="18" t="s">
        <v>28</v>
      </c>
      <c r="K3225" s="18" t="s">
        <v>28</v>
      </c>
      <c r="L3225" s="18" t="s">
        <v>28</v>
      </c>
      <c r="M3225" s="18" t="s">
        <v>28</v>
      </c>
      <c r="N3225" s="17">
        <v>44682</v>
      </c>
      <c r="O3225" s="15" t="s">
        <v>99</v>
      </c>
      <c r="P3225" s="16" t="s">
        <v>10753</v>
      </c>
      <c r="Q3225" s="15" t="s">
        <v>75</v>
      </c>
      <c r="R3225" s="13" t="str">
        <f>HYPERLINK("https://my.pitchbook.com?c=220861-09T","View Company Online")</f>
        <v>View Company Online</v>
      </c>
    </row>
    <row r="3226" spans="1:18" hidden="1" x14ac:dyDescent="0.3">
      <c r="A3226" s="9" t="s">
        <v>10754</v>
      </c>
      <c r="B3226" s="9" t="s">
        <v>5207</v>
      </c>
      <c r="C3226" s="11" t="s">
        <v>28</v>
      </c>
      <c r="D3226" s="9" t="s">
        <v>5208</v>
      </c>
      <c r="E3226" s="11" t="s">
        <v>28</v>
      </c>
      <c r="F3226" s="10" t="s">
        <v>28</v>
      </c>
      <c r="G3226" s="10">
        <v>0.28000000000000003</v>
      </c>
      <c r="H3226" s="10" t="s">
        <v>28</v>
      </c>
      <c r="I3226" s="11" t="s">
        <v>28</v>
      </c>
      <c r="J3226" s="11" t="s">
        <v>28</v>
      </c>
      <c r="K3226" s="11" t="s">
        <v>28</v>
      </c>
      <c r="L3226" s="11" t="s">
        <v>28</v>
      </c>
      <c r="M3226" s="11" t="s">
        <v>28</v>
      </c>
      <c r="N3226" s="8">
        <v>44682</v>
      </c>
      <c r="O3226" s="9" t="s">
        <v>99</v>
      </c>
      <c r="P3226" s="12" t="s">
        <v>28</v>
      </c>
      <c r="Q3226" s="9" t="s">
        <v>3973</v>
      </c>
      <c r="R3226" s="14" t="str">
        <f>HYPERLINK("https://my.pitchbook.com?c=242026-93T","View Company Online")</f>
        <v>View Company Online</v>
      </c>
    </row>
    <row r="3227" spans="1:18" hidden="1" x14ac:dyDescent="0.3">
      <c r="A3227" s="15" t="s">
        <v>10755</v>
      </c>
      <c r="B3227" s="15" t="s">
        <v>10756</v>
      </c>
      <c r="C3227" s="18" t="s">
        <v>28</v>
      </c>
      <c r="D3227" s="15" t="s">
        <v>10757</v>
      </c>
      <c r="E3227" s="18" t="s">
        <v>28</v>
      </c>
      <c r="F3227" s="19" t="s">
        <v>28</v>
      </c>
      <c r="G3227" s="19" t="s">
        <v>28</v>
      </c>
      <c r="H3227" s="19" t="s">
        <v>28</v>
      </c>
      <c r="I3227" s="18" t="s">
        <v>28</v>
      </c>
      <c r="J3227" s="18" t="s">
        <v>28</v>
      </c>
      <c r="K3227" s="18" t="s">
        <v>28</v>
      </c>
      <c r="L3227" s="18" t="s">
        <v>28</v>
      </c>
      <c r="M3227" s="18" t="s">
        <v>28</v>
      </c>
      <c r="N3227" s="17">
        <v>44682</v>
      </c>
      <c r="O3227" s="15" t="s">
        <v>52</v>
      </c>
      <c r="P3227" s="16" t="s">
        <v>10758</v>
      </c>
      <c r="Q3227" s="15" t="s">
        <v>54</v>
      </c>
      <c r="R3227" s="13" t="str">
        <f>HYPERLINK("https://my.pitchbook.com?c=252123-76T","View Company Online")</f>
        <v>View Company Online</v>
      </c>
    </row>
    <row r="3228" spans="1:18" hidden="1" x14ac:dyDescent="0.3">
      <c r="A3228" s="9" t="s">
        <v>10759</v>
      </c>
      <c r="B3228" s="9" t="s">
        <v>10760</v>
      </c>
      <c r="C3228" s="11" t="s">
        <v>28</v>
      </c>
      <c r="D3228" s="9" t="s">
        <v>10761</v>
      </c>
      <c r="E3228" s="11" t="s">
        <v>28</v>
      </c>
      <c r="F3228" s="10" t="s">
        <v>28</v>
      </c>
      <c r="G3228" s="10">
        <v>0.18</v>
      </c>
      <c r="H3228" s="10">
        <v>3.5</v>
      </c>
      <c r="I3228" s="11" t="s">
        <v>28</v>
      </c>
      <c r="J3228" s="11" t="s">
        <v>28</v>
      </c>
      <c r="K3228" s="11">
        <v>0.37</v>
      </c>
      <c r="L3228" s="11">
        <v>9.4600000000000009</v>
      </c>
      <c r="M3228" s="11" t="s">
        <v>28</v>
      </c>
      <c r="N3228" s="8">
        <v>44682</v>
      </c>
      <c r="O3228" s="9" t="s">
        <v>52</v>
      </c>
      <c r="P3228" s="12" t="s">
        <v>10762</v>
      </c>
      <c r="Q3228" s="9" t="s">
        <v>75</v>
      </c>
      <c r="R3228" s="14" t="str">
        <f>HYPERLINK("https://my.pitchbook.com?c=201681-19T","View Company Online")</f>
        <v>View Company Online</v>
      </c>
    </row>
    <row r="3229" spans="1:18" hidden="1" x14ac:dyDescent="0.3">
      <c r="A3229" s="15" t="s">
        <v>10763</v>
      </c>
      <c r="B3229" s="15" t="s">
        <v>10764</v>
      </c>
      <c r="C3229" s="18" t="s">
        <v>28</v>
      </c>
      <c r="D3229" s="15" t="s">
        <v>10765</v>
      </c>
      <c r="E3229" s="18" t="s">
        <v>28</v>
      </c>
      <c r="F3229" s="19" t="s">
        <v>28</v>
      </c>
      <c r="G3229" s="19" t="s">
        <v>28</v>
      </c>
      <c r="H3229" s="19" t="s">
        <v>28</v>
      </c>
      <c r="I3229" s="18" t="s">
        <v>28</v>
      </c>
      <c r="J3229" s="18" t="s">
        <v>28</v>
      </c>
      <c r="K3229" s="18" t="s">
        <v>28</v>
      </c>
      <c r="L3229" s="18" t="s">
        <v>28</v>
      </c>
      <c r="M3229" s="18" t="s">
        <v>28</v>
      </c>
      <c r="N3229" s="17">
        <v>44682</v>
      </c>
      <c r="O3229" s="15" t="s">
        <v>73</v>
      </c>
      <c r="P3229" s="16" t="s">
        <v>7974</v>
      </c>
      <c r="Q3229" s="15" t="s">
        <v>75</v>
      </c>
      <c r="R3229" s="13" t="str">
        <f>HYPERLINK("https://my.pitchbook.com?c=193798-72T","View Company Online")</f>
        <v>View Company Online</v>
      </c>
    </row>
    <row r="3230" spans="1:18" hidden="1" x14ac:dyDescent="0.3">
      <c r="A3230" s="9" t="s">
        <v>10766</v>
      </c>
      <c r="B3230" s="9" t="s">
        <v>3871</v>
      </c>
      <c r="C3230" s="11" t="s">
        <v>28</v>
      </c>
      <c r="D3230" s="9" t="s">
        <v>3872</v>
      </c>
      <c r="E3230" s="11" t="s">
        <v>28</v>
      </c>
      <c r="F3230" s="10" t="s">
        <v>28</v>
      </c>
      <c r="G3230" s="10" t="s">
        <v>28</v>
      </c>
      <c r="H3230" s="10" t="s">
        <v>28</v>
      </c>
      <c r="I3230" s="11" t="s">
        <v>28</v>
      </c>
      <c r="J3230" s="11" t="s">
        <v>28</v>
      </c>
      <c r="K3230" s="11" t="s">
        <v>28</v>
      </c>
      <c r="L3230" s="11" t="s">
        <v>28</v>
      </c>
      <c r="M3230" s="11" t="s">
        <v>28</v>
      </c>
      <c r="N3230" s="8">
        <v>44682</v>
      </c>
      <c r="O3230" s="9" t="s">
        <v>79</v>
      </c>
      <c r="P3230" s="12" t="s">
        <v>10767</v>
      </c>
      <c r="Q3230" s="9" t="s">
        <v>37</v>
      </c>
      <c r="R3230" s="14" t="str">
        <f>HYPERLINK("https://my.pitchbook.com?c=194723-38T","View Company Online")</f>
        <v>View Company Online</v>
      </c>
    </row>
    <row r="3231" spans="1:18" hidden="1" x14ac:dyDescent="0.3">
      <c r="A3231" s="15" t="s">
        <v>10768</v>
      </c>
      <c r="B3231" s="15" t="s">
        <v>8948</v>
      </c>
      <c r="C3231" s="18" t="s">
        <v>28</v>
      </c>
      <c r="D3231" s="15" t="s">
        <v>8949</v>
      </c>
      <c r="E3231" s="18" t="s">
        <v>28</v>
      </c>
      <c r="F3231" s="19" t="s">
        <v>28</v>
      </c>
      <c r="G3231" s="19" t="s">
        <v>28</v>
      </c>
      <c r="H3231" s="19" t="s">
        <v>28</v>
      </c>
      <c r="I3231" s="18" t="s">
        <v>28</v>
      </c>
      <c r="J3231" s="18" t="s">
        <v>28</v>
      </c>
      <c r="K3231" s="18" t="s">
        <v>28</v>
      </c>
      <c r="L3231" s="18" t="s">
        <v>28</v>
      </c>
      <c r="M3231" s="18" t="s">
        <v>28</v>
      </c>
      <c r="N3231" s="17">
        <v>44682</v>
      </c>
      <c r="O3231" s="15" t="s">
        <v>73</v>
      </c>
      <c r="P3231" s="16" t="s">
        <v>611</v>
      </c>
      <c r="Q3231" s="15" t="s">
        <v>75</v>
      </c>
      <c r="R3231" s="13" t="str">
        <f>HYPERLINK("https://my.pitchbook.com?c=194421-25T","View Company Online")</f>
        <v>View Company Online</v>
      </c>
    </row>
    <row r="3232" spans="1:18" hidden="1" x14ac:dyDescent="0.3">
      <c r="A3232" s="9" t="s">
        <v>10769</v>
      </c>
      <c r="B3232" s="9" t="s">
        <v>8398</v>
      </c>
      <c r="C3232" s="11" t="s">
        <v>28</v>
      </c>
      <c r="D3232" s="9" t="s">
        <v>8399</v>
      </c>
      <c r="E3232" s="11" t="s">
        <v>28</v>
      </c>
      <c r="F3232" s="10" t="s">
        <v>28</v>
      </c>
      <c r="G3232" s="10" t="s">
        <v>28</v>
      </c>
      <c r="H3232" s="10" t="s">
        <v>28</v>
      </c>
      <c r="I3232" s="11" t="s">
        <v>28</v>
      </c>
      <c r="J3232" s="11" t="s">
        <v>28</v>
      </c>
      <c r="K3232" s="11" t="s">
        <v>28</v>
      </c>
      <c r="L3232" s="11" t="s">
        <v>28</v>
      </c>
      <c r="M3232" s="11" t="s">
        <v>28</v>
      </c>
      <c r="N3232" s="8">
        <v>44682</v>
      </c>
      <c r="O3232" s="9" t="s">
        <v>73</v>
      </c>
      <c r="P3232" s="12" t="s">
        <v>611</v>
      </c>
      <c r="Q3232" s="9" t="s">
        <v>75</v>
      </c>
      <c r="R3232" s="14" t="str">
        <f>HYPERLINK("https://my.pitchbook.com?c=194460-58T","View Company Online")</f>
        <v>View Company Online</v>
      </c>
    </row>
    <row r="3233" spans="1:18" hidden="1" x14ac:dyDescent="0.3">
      <c r="A3233" s="15" t="s">
        <v>10770</v>
      </c>
      <c r="B3233" s="15" t="s">
        <v>10771</v>
      </c>
      <c r="C3233" s="18" t="s">
        <v>28</v>
      </c>
      <c r="D3233" s="15" t="s">
        <v>10772</v>
      </c>
      <c r="E3233" s="18" t="s">
        <v>28</v>
      </c>
      <c r="F3233" s="19" t="s">
        <v>28</v>
      </c>
      <c r="G3233" s="19" t="s">
        <v>28</v>
      </c>
      <c r="H3233" s="19" t="s">
        <v>28</v>
      </c>
      <c r="I3233" s="18" t="s">
        <v>28</v>
      </c>
      <c r="J3233" s="18" t="s">
        <v>28</v>
      </c>
      <c r="K3233" s="18" t="s">
        <v>28</v>
      </c>
      <c r="L3233" s="18" t="s">
        <v>28</v>
      </c>
      <c r="M3233" s="18" t="s">
        <v>28</v>
      </c>
      <c r="N3233" s="17">
        <v>44682</v>
      </c>
      <c r="O3233" s="15" t="s">
        <v>52</v>
      </c>
      <c r="P3233" s="16" t="s">
        <v>10758</v>
      </c>
      <c r="Q3233" s="15" t="s">
        <v>386</v>
      </c>
      <c r="R3233" s="13" t="str">
        <f>HYPERLINK("https://my.pitchbook.com?c=250982-38T","View Company Online")</f>
        <v>View Company Online</v>
      </c>
    </row>
    <row r="3234" spans="1:18" hidden="1" x14ac:dyDescent="0.3">
      <c r="A3234" s="9" t="s">
        <v>10773</v>
      </c>
      <c r="B3234" s="9" t="s">
        <v>10774</v>
      </c>
      <c r="C3234" s="11" t="s">
        <v>28</v>
      </c>
      <c r="D3234" s="9" t="s">
        <v>10775</v>
      </c>
      <c r="E3234" s="11" t="s">
        <v>28</v>
      </c>
      <c r="F3234" s="10" t="s">
        <v>28</v>
      </c>
      <c r="G3234" s="10" t="s">
        <v>28</v>
      </c>
      <c r="H3234" s="10" t="s">
        <v>28</v>
      </c>
      <c r="I3234" s="11" t="s">
        <v>28</v>
      </c>
      <c r="J3234" s="11" t="s">
        <v>28</v>
      </c>
      <c r="K3234" s="11" t="s">
        <v>28</v>
      </c>
      <c r="L3234" s="11" t="s">
        <v>28</v>
      </c>
      <c r="M3234" s="11" t="s">
        <v>28</v>
      </c>
      <c r="N3234" s="8">
        <v>44682</v>
      </c>
      <c r="O3234" s="9" t="s">
        <v>41</v>
      </c>
      <c r="P3234" s="12" t="s">
        <v>28</v>
      </c>
      <c r="Q3234" s="9" t="s">
        <v>109</v>
      </c>
      <c r="R3234" s="14" t="str">
        <f>HYPERLINK("https://my.pitchbook.com?c=241346-35T","View Company Online")</f>
        <v>View Company Online</v>
      </c>
    </row>
    <row r="3235" spans="1:18" hidden="1" x14ac:dyDescent="0.3">
      <c r="A3235" s="15" t="s">
        <v>10776</v>
      </c>
      <c r="B3235" s="15" t="s">
        <v>10777</v>
      </c>
      <c r="C3235" s="18" t="s">
        <v>28</v>
      </c>
      <c r="D3235" s="15" t="s">
        <v>10778</v>
      </c>
      <c r="E3235" s="18" t="s">
        <v>28</v>
      </c>
      <c r="F3235" s="19" t="s">
        <v>28</v>
      </c>
      <c r="G3235" s="19" t="s">
        <v>28</v>
      </c>
      <c r="H3235" s="19" t="s">
        <v>28</v>
      </c>
      <c r="I3235" s="18" t="s">
        <v>28</v>
      </c>
      <c r="J3235" s="18" t="s">
        <v>28</v>
      </c>
      <c r="K3235" s="18" t="s">
        <v>28</v>
      </c>
      <c r="L3235" s="18" t="s">
        <v>28</v>
      </c>
      <c r="M3235" s="18" t="s">
        <v>28</v>
      </c>
      <c r="N3235" s="17">
        <v>44682</v>
      </c>
      <c r="O3235" s="15" t="s">
        <v>79</v>
      </c>
      <c r="P3235" s="16" t="s">
        <v>611</v>
      </c>
      <c r="Q3235" s="15" t="s">
        <v>37</v>
      </c>
      <c r="R3235" s="13" t="str">
        <f>HYPERLINK("https://my.pitchbook.com?c=194461-75T","View Company Online")</f>
        <v>View Company Online</v>
      </c>
    </row>
    <row r="3236" spans="1:18" hidden="1" x14ac:dyDescent="0.3">
      <c r="A3236" s="9" t="s">
        <v>10779</v>
      </c>
      <c r="B3236" s="9" t="s">
        <v>10780</v>
      </c>
      <c r="C3236" s="11" t="s">
        <v>28</v>
      </c>
      <c r="D3236" s="9" t="s">
        <v>10781</v>
      </c>
      <c r="E3236" s="11" t="s">
        <v>28</v>
      </c>
      <c r="F3236" s="10">
        <v>152.99</v>
      </c>
      <c r="G3236" s="10">
        <v>152.99</v>
      </c>
      <c r="H3236" s="10">
        <v>152.99</v>
      </c>
      <c r="I3236" s="11" t="s">
        <v>28</v>
      </c>
      <c r="J3236" s="11" t="s">
        <v>28</v>
      </c>
      <c r="K3236" s="11" t="s">
        <v>28</v>
      </c>
      <c r="L3236" s="11" t="s">
        <v>28</v>
      </c>
      <c r="M3236" s="11" t="s">
        <v>28</v>
      </c>
      <c r="N3236" s="8">
        <v>44682</v>
      </c>
      <c r="O3236" s="9" t="s">
        <v>30</v>
      </c>
      <c r="P3236" s="12" t="s">
        <v>8927</v>
      </c>
      <c r="Q3236" s="9" t="s">
        <v>193</v>
      </c>
      <c r="R3236" s="14" t="str">
        <f>HYPERLINK("https://my.pitchbook.com?c=210649-24T","View Company Online")</f>
        <v>View Company Online</v>
      </c>
    </row>
    <row r="3237" spans="1:18" hidden="1" x14ac:dyDescent="0.3">
      <c r="A3237" s="15" t="s">
        <v>10782</v>
      </c>
      <c r="B3237" s="15" t="s">
        <v>10783</v>
      </c>
      <c r="C3237" s="18" t="s">
        <v>28</v>
      </c>
      <c r="D3237" s="15" t="s">
        <v>10784</v>
      </c>
      <c r="E3237" s="18" t="s">
        <v>28</v>
      </c>
      <c r="F3237" s="19" t="s">
        <v>28</v>
      </c>
      <c r="G3237" s="19">
        <v>2.11</v>
      </c>
      <c r="H3237" s="19" t="s">
        <v>28</v>
      </c>
      <c r="I3237" s="18" t="s">
        <v>28</v>
      </c>
      <c r="J3237" s="18" t="s">
        <v>28</v>
      </c>
      <c r="K3237" s="18" t="s">
        <v>28</v>
      </c>
      <c r="L3237" s="18" t="s">
        <v>28</v>
      </c>
      <c r="M3237" s="18" t="s">
        <v>28</v>
      </c>
      <c r="N3237" s="17">
        <v>44682</v>
      </c>
      <c r="O3237" s="15" t="s">
        <v>99</v>
      </c>
      <c r="P3237" s="16" t="s">
        <v>10785</v>
      </c>
      <c r="Q3237" s="15" t="s">
        <v>37</v>
      </c>
      <c r="R3237" s="13" t="str">
        <f>HYPERLINK("https://my.pitchbook.com?c=188646-76T","View Company Online")</f>
        <v>View Company Online</v>
      </c>
    </row>
    <row r="3238" spans="1:18" hidden="1" x14ac:dyDescent="0.3">
      <c r="A3238" s="9" t="s">
        <v>10786</v>
      </c>
      <c r="B3238" s="9" t="s">
        <v>10787</v>
      </c>
      <c r="C3238" s="11" t="s">
        <v>28</v>
      </c>
      <c r="D3238" s="9" t="s">
        <v>10788</v>
      </c>
      <c r="E3238" s="11" t="s">
        <v>28</v>
      </c>
      <c r="F3238" s="10" t="s">
        <v>28</v>
      </c>
      <c r="G3238" s="10" t="s">
        <v>28</v>
      </c>
      <c r="H3238" s="10" t="s">
        <v>28</v>
      </c>
      <c r="I3238" s="11" t="s">
        <v>28</v>
      </c>
      <c r="J3238" s="11" t="s">
        <v>28</v>
      </c>
      <c r="K3238" s="11" t="s">
        <v>28</v>
      </c>
      <c r="L3238" s="11" t="s">
        <v>28</v>
      </c>
      <c r="M3238" s="11" t="s">
        <v>28</v>
      </c>
      <c r="N3238" s="8">
        <v>44682</v>
      </c>
      <c r="O3238" s="9" t="s">
        <v>73</v>
      </c>
      <c r="P3238" s="12" t="s">
        <v>4568</v>
      </c>
      <c r="Q3238" s="9" t="s">
        <v>95</v>
      </c>
      <c r="R3238" s="14" t="str">
        <f>HYPERLINK("https://my.pitchbook.com?c=258853-24T","View Company Online")</f>
        <v>View Company Online</v>
      </c>
    </row>
    <row r="3239" spans="1:18" hidden="1" x14ac:dyDescent="0.3">
      <c r="A3239" s="15" t="s">
        <v>10789</v>
      </c>
      <c r="B3239" s="15" t="s">
        <v>10790</v>
      </c>
      <c r="C3239" s="18" t="s">
        <v>28</v>
      </c>
      <c r="D3239" s="15" t="s">
        <v>10791</v>
      </c>
      <c r="E3239" s="18" t="s">
        <v>28</v>
      </c>
      <c r="F3239" s="19" t="s">
        <v>28</v>
      </c>
      <c r="G3239" s="19" t="s">
        <v>28</v>
      </c>
      <c r="H3239" s="19" t="s">
        <v>28</v>
      </c>
      <c r="I3239" s="18" t="s">
        <v>28</v>
      </c>
      <c r="J3239" s="18" t="s">
        <v>28</v>
      </c>
      <c r="K3239" s="18" t="s">
        <v>28</v>
      </c>
      <c r="L3239" s="18" t="s">
        <v>28</v>
      </c>
      <c r="M3239" s="18" t="s">
        <v>28</v>
      </c>
      <c r="N3239" s="17">
        <v>44682</v>
      </c>
      <c r="O3239" s="15" t="s">
        <v>79</v>
      </c>
      <c r="P3239" s="16" t="s">
        <v>611</v>
      </c>
      <c r="Q3239" s="15" t="s">
        <v>419</v>
      </c>
      <c r="R3239" s="13" t="str">
        <f>HYPERLINK("https://my.pitchbook.com?c=215865-46T","View Company Online")</f>
        <v>View Company Online</v>
      </c>
    </row>
    <row r="3240" spans="1:18" hidden="1" x14ac:dyDescent="0.3">
      <c r="A3240" s="9" t="s">
        <v>10792</v>
      </c>
      <c r="B3240" s="9" t="s">
        <v>10793</v>
      </c>
      <c r="C3240" s="11" t="s">
        <v>28</v>
      </c>
      <c r="D3240" s="9" t="s">
        <v>10794</v>
      </c>
      <c r="E3240" s="11" t="s">
        <v>28</v>
      </c>
      <c r="F3240" s="10" t="s">
        <v>28</v>
      </c>
      <c r="G3240" s="10" t="s">
        <v>28</v>
      </c>
      <c r="H3240" s="10" t="s">
        <v>28</v>
      </c>
      <c r="I3240" s="11" t="s">
        <v>28</v>
      </c>
      <c r="J3240" s="11" t="s">
        <v>28</v>
      </c>
      <c r="K3240" s="11" t="s">
        <v>28</v>
      </c>
      <c r="L3240" s="11" t="s">
        <v>28</v>
      </c>
      <c r="M3240" s="11" t="s">
        <v>28</v>
      </c>
      <c r="N3240" s="8">
        <v>44682</v>
      </c>
      <c r="O3240" s="9" t="s">
        <v>79</v>
      </c>
      <c r="P3240" s="12" t="s">
        <v>611</v>
      </c>
      <c r="Q3240" s="9" t="s">
        <v>75</v>
      </c>
      <c r="R3240" s="14" t="str">
        <f>HYPERLINK("https://my.pitchbook.com?c=215859-52T","View Company Online")</f>
        <v>View Company Online</v>
      </c>
    </row>
    <row r="3241" spans="1:18" x14ac:dyDescent="0.3">
      <c r="A3241" s="15" t="s">
        <v>10795</v>
      </c>
      <c r="B3241" s="15" t="s">
        <v>10796</v>
      </c>
      <c r="C3241" s="18">
        <v>5.19</v>
      </c>
      <c r="D3241" s="15" t="s">
        <v>10797</v>
      </c>
      <c r="E3241" s="18" t="s">
        <v>28</v>
      </c>
      <c r="F3241" s="19">
        <v>76.88</v>
      </c>
      <c r="G3241" s="19">
        <v>76.88</v>
      </c>
      <c r="H3241" s="19">
        <v>76.88</v>
      </c>
      <c r="I3241" s="18">
        <v>14.83</v>
      </c>
      <c r="J3241" s="18">
        <v>5.19</v>
      </c>
      <c r="K3241" s="18">
        <v>159.94999999999999</v>
      </c>
      <c r="L3241" s="18">
        <v>0.48</v>
      </c>
      <c r="M3241" s="18">
        <v>7.04</v>
      </c>
      <c r="N3241" s="17">
        <v>44680</v>
      </c>
      <c r="O3241" s="15" t="s">
        <v>30</v>
      </c>
      <c r="P3241" s="16" t="s">
        <v>4856</v>
      </c>
      <c r="Q3241" s="15" t="s">
        <v>85</v>
      </c>
      <c r="R3241" s="13" t="str">
        <f>HYPERLINK("https://my.pitchbook.com?c=210304-09T","View Company Online")</f>
        <v>View Company Online</v>
      </c>
    </row>
    <row r="3242" spans="1:18" hidden="1" x14ac:dyDescent="0.3">
      <c r="A3242" s="9" t="s">
        <v>10798</v>
      </c>
      <c r="B3242" s="9" t="s">
        <v>10799</v>
      </c>
      <c r="C3242" s="11" t="s">
        <v>28</v>
      </c>
      <c r="D3242" s="9" t="s">
        <v>10800</v>
      </c>
      <c r="E3242" s="11" t="s">
        <v>28</v>
      </c>
      <c r="F3242" s="10" t="s">
        <v>28</v>
      </c>
      <c r="G3242" s="10">
        <v>0.21</v>
      </c>
      <c r="H3242" s="10" t="s">
        <v>28</v>
      </c>
      <c r="I3242" s="11" t="s">
        <v>28</v>
      </c>
      <c r="J3242" s="11" t="s">
        <v>28</v>
      </c>
      <c r="K3242" s="11" t="s">
        <v>28</v>
      </c>
      <c r="L3242" s="11" t="s">
        <v>28</v>
      </c>
      <c r="M3242" s="11" t="s">
        <v>28</v>
      </c>
      <c r="N3242" s="8">
        <v>44680</v>
      </c>
      <c r="O3242" s="9" t="s">
        <v>379</v>
      </c>
      <c r="P3242" s="12" t="s">
        <v>1770</v>
      </c>
      <c r="Q3242" s="9" t="s">
        <v>583</v>
      </c>
      <c r="R3242" s="14" t="str">
        <f>HYPERLINK("https://my.pitchbook.com?c=193163-95T","View Company Online")</f>
        <v>View Company Online</v>
      </c>
    </row>
    <row r="3243" spans="1:18" x14ac:dyDescent="0.3">
      <c r="A3243" s="15" t="s">
        <v>10801</v>
      </c>
      <c r="B3243" s="15" t="s">
        <v>10802</v>
      </c>
      <c r="C3243" s="18">
        <v>5.83</v>
      </c>
      <c r="D3243" s="15" t="s">
        <v>10803</v>
      </c>
      <c r="E3243" s="18" t="s">
        <v>28</v>
      </c>
      <c r="F3243" s="19">
        <v>53.85</v>
      </c>
      <c r="G3243" s="19">
        <v>53.85</v>
      </c>
      <c r="H3243" s="19">
        <v>53.85</v>
      </c>
      <c r="I3243" s="18">
        <v>9.23</v>
      </c>
      <c r="J3243" s="18">
        <v>5.83</v>
      </c>
      <c r="K3243" s="18">
        <v>148.18</v>
      </c>
      <c r="L3243" s="18">
        <v>0.36</v>
      </c>
      <c r="M3243" s="18" t="s">
        <v>28</v>
      </c>
      <c r="N3243" s="17">
        <v>44680</v>
      </c>
      <c r="O3243" s="15" t="s">
        <v>30</v>
      </c>
      <c r="P3243" s="16" t="s">
        <v>10804</v>
      </c>
      <c r="Q3243" s="15" t="s">
        <v>371</v>
      </c>
      <c r="R3243" s="13" t="str">
        <f>HYPERLINK("https://my.pitchbook.com?c=189754-93T","View Company Online")</f>
        <v>View Company Online</v>
      </c>
    </row>
    <row r="3244" spans="1:18" hidden="1" x14ac:dyDescent="0.3">
      <c r="A3244" s="9" t="s">
        <v>10805</v>
      </c>
      <c r="B3244" s="9" t="s">
        <v>421</v>
      </c>
      <c r="C3244" s="11" t="s">
        <v>28</v>
      </c>
      <c r="D3244" s="9" t="s">
        <v>422</v>
      </c>
      <c r="E3244" s="11">
        <v>760.54</v>
      </c>
      <c r="F3244" s="10" t="s">
        <v>28</v>
      </c>
      <c r="G3244" s="10">
        <v>1689.26</v>
      </c>
      <c r="H3244" s="10">
        <v>14870.35</v>
      </c>
      <c r="I3244" s="11">
        <v>802.31</v>
      </c>
      <c r="J3244" s="11">
        <v>18.53</v>
      </c>
      <c r="K3244" s="11">
        <v>1124.68</v>
      </c>
      <c r="L3244" s="11">
        <v>13.22</v>
      </c>
      <c r="M3244" s="11">
        <v>694.9</v>
      </c>
      <c r="N3244" s="8">
        <v>44680</v>
      </c>
      <c r="O3244" s="9" t="s">
        <v>159</v>
      </c>
      <c r="P3244" s="12" t="s">
        <v>2372</v>
      </c>
      <c r="Q3244" s="9" t="s">
        <v>424</v>
      </c>
      <c r="R3244" s="14" t="str">
        <f>HYPERLINK("https://my.pitchbook.com?c=193206-34T","View Company Online")</f>
        <v>View Company Online</v>
      </c>
    </row>
    <row r="3245" spans="1:18" hidden="1" x14ac:dyDescent="0.3">
      <c r="A3245" s="15" t="s">
        <v>10806</v>
      </c>
      <c r="B3245" s="15" t="s">
        <v>10807</v>
      </c>
      <c r="C3245" s="18" t="s">
        <v>28</v>
      </c>
      <c r="D3245" s="15" t="s">
        <v>10808</v>
      </c>
      <c r="E3245" s="18" t="s">
        <v>28</v>
      </c>
      <c r="F3245" s="19" t="s">
        <v>28</v>
      </c>
      <c r="G3245" s="19">
        <v>0.51</v>
      </c>
      <c r="H3245" s="19" t="s">
        <v>28</v>
      </c>
      <c r="I3245" s="18" t="s">
        <v>28</v>
      </c>
      <c r="J3245" s="18" t="s">
        <v>28</v>
      </c>
      <c r="K3245" s="18" t="s">
        <v>28</v>
      </c>
      <c r="L3245" s="18" t="s">
        <v>28</v>
      </c>
      <c r="M3245" s="18" t="s">
        <v>28</v>
      </c>
      <c r="N3245" s="17">
        <v>44679</v>
      </c>
      <c r="O3245" s="15" t="s">
        <v>99</v>
      </c>
      <c r="P3245" s="16" t="s">
        <v>10809</v>
      </c>
      <c r="Q3245" s="15" t="s">
        <v>85</v>
      </c>
      <c r="R3245" s="13" t="str">
        <f>HYPERLINK("https://my.pitchbook.com?c=193737-07T","View Company Online")</f>
        <v>View Company Online</v>
      </c>
    </row>
    <row r="3246" spans="1:18" hidden="1" x14ac:dyDescent="0.3">
      <c r="A3246" s="9" t="s">
        <v>10810</v>
      </c>
      <c r="B3246" s="9" t="s">
        <v>10811</v>
      </c>
      <c r="C3246" s="11" t="s">
        <v>28</v>
      </c>
      <c r="D3246" s="9" t="s">
        <v>10812</v>
      </c>
      <c r="E3246" s="11" t="s">
        <v>28</v>
      </c>
      <c r="F3246" s="10" t="s">
        <v>28</v>
      </c>
      <c r="G3246" s="10">
        <v>10</v>
      </c>
      <c r="H3246" s="10" t="s">
        <v>28</v>
      </c>
      <c r="I3246" s="11" t="s">
        <v>28</v>
      </c>
      <c r="J3246" s="11" t="s">
        <v>28</v>
      </c>
      <c r="K3246" s="11" t="s">
        <v>28</v>
      </c>
      <c r="L3246" s="11" t="s">
        <v>28</v>
      </c>
      <c r="M3246" s="11" t="s">
        <v>28</v>
      </c>
      <c r="N3246" s="8">
        <v>44679</v>
      </c>
      <c r="O3246" s="9" t="s">
        <v>73</v>
      </c>
      <c r="P3246" s="12" t="s">
        <v>28</v>
      </c>
      <c r="Q3246" s="9" t="s">
        <v>75</v>
      </c>
      <c r="R3246" s="14" t="str">
        <f>HYPERLINK("https://my.pitchbook.com?c=193149-73T","View Company Online")</f>
        <v>View Company Online</v>
      </c>
    </row>
    <row r="3247" spans="1:18" hidden="1" x14ac:dyDescent="0.3">
      <c r="A3247" s="15" t="s">
        <v>10813</v>
      </c>
      <c r="B3247" s="15" t="s">
        <v>10814</v>
      </c>
      <c r="C3247" s="18" t="s">
        <v>28</v>
      </c>
      <c r="D3247" s="15" t="s">
        <v>10815</v>
      </c>
      <c r="E3247" s="18" t="s">
        <v>28</v>
      </c>
      <c r="F3247" s="19" t="s">
        <v>28</v>
      </c>
      <c r="G3247" s="19" t="s">
        <v>28</v>
      </c>
      <c r="H3247" s="19" t="s">
        <v>28</v>
      </c>
      <c r="I3247" s="18" t="s">
        <v>28</v>
      </c>
      <c r="J3247" s="18" t="s">
        <v>28</v>
      </c>
      <c r="K3247" s="18" t="s">
        <v>28</v>
      </c>
      <c r="L3247" s="18" t="s">
        <v>28</v>
      </c>
      <c r="M3247" s="18" t="s">
        <v>28</v>
      </c>
      <c r="N3247" s="17">
        <v>44679</v>
      </c>
      <c r="O3247" s="15" t="s">
        <v>30</v>
      </c>
      <c r="P3247" s="16" t="s">
        <v>10816</v>
      </c>
      <c r="Q3247" s="15" t="s">
        <v>75</v>
      </c>
      <c r="R3247" s="13" t="str">
        <f>HYPERLINK("https://my.pitchbook.com?c=193122-91T","View Company Online")</f>
        <v>View Company Online</v>
      </c>
    </row>
    <row r="3248" spans="1:18" hidden="1" x14ac:dyDescent="0.3">
      <c r="A3248" s="9" t="s">
        <v>10817</v>
      </c>
      <c r="B3248" s="9" t="s">
        <v>827</v>
      </c>
      <c r="C3248" s="11" t="s">
        <v>28</v>
      </c>
      <c r="D3248" s="9" t="s">
        <v>828</v>
      </c>
      <c r="E3248" s="11" t="s">
        <v>28</v>
      </c>
      <c r="F3248" s="10" t="s">
        <v>28</v>
      </c>
      <c r="G3248" s="10" t="s">
        <v>28</v>
      </c>
      <c r="H3248" s="10" t="s">
        <v>28</v>
      </c>
      <c r="I3248" s="11" t="s">
        <v>28</v>
      </c>
      <c r="J3248" s="11" t="s">
        <v>28</v>
      </c>
      <c r="K3248" s="11" t="s">
        <v>28</v>
      </c>
      <c r="L3248" s="11" t="s">
        <v>28</v>
      </c>
      <c r="M3248" s="11" t="s">
        <v>28</v>
      </c>
      <c r="N3248" s="8">
        <v>44678</v>
      </c>
      <c r="O3248" s="9" t="s">
        <v>52</v>
      </c>
      <c r="P3248" s="12" t="s">
        <v>2235</v>
      </c>
      <c r="Q3248" s="9" t="s">
        <v>245</v>
      </c>
      <c r="R3248" s="14" t="str">
        <f>HYPERLINK("https://my.pitchbook.com?c=216258-67T","View Company Online")</f>
        <v>View Company Online</v>
      </c>
    </row>
    <row r="3249" spans="1:18" hidden="1" x14ac:dyDescent="0.3">
      <c r="A3249" s="15" t="s">
        <v>10818</v>
      </c>
      <c r="B3249" s="15" t="s">
        <v>10819</v>
      </c>
      <c r="C3249" s="18" t="s">
        <v>28</v>
      </c>
      <c r="D3249" s="15" t="s">
        <v>10820</v>
      </c>
      <c r="E3249" s="18" t="s">
        <v>28</v>
      </c>
      <c r="F3249" s="19" t="s">
        <v>28</v>
      </c>
      <c r="G3249" s="19">
        <v>3.18</v>
      </c>
      <c r="H3249" s="19" t="s">
        <v>28</v>
      </c>
      <c r="I3249" s="18" t="s">
        <v>28</v>
      </c>
      <c r="J3249" s="18" t="s">
        <v>28</v>
      </c>
      <c r="K3249" s="18" t="s">
        <v>28</v>
      </c>
      <c r="L3249" s="18" t="s">
        <v>28</v>
      </c>
      <c r="M3249" s="18" t="s">
        <v>28</v>
      </c>
      <c r="N3249" s="17">
        <v>44678</v>
      </c>
      <c r="O3249" s="15" t="s">
        <v>79</v>
      </c>
      <c r="P3249" s="16" t="s">
        <v>10821</v>
      </c>
      <c r="Q3249" s="15" t="s">
        <v>414</v>
      </c>
      <c r="R3249" s="13" t="str">
        <f>HYPERLINK("https://my.pitchbook.com?c=193111-12T","View Company Online")</f>
        <v>View Company Online</v>
      </c>
    </row>
    <row r="3250" spans="1:18" hidden="1" x14ac:dyDescent="0.3">
      <c r="A3250" s="9" t="s">
        <v>10822</v>
      </c>
      <c r="B3250" s="9" t="s">
        <v>5600</v>
      </c>
      <c r="C3250" s="11" t="s">
        <v>28</v>
      </c>
      <c r="D3250" s="9" t="s">
        <v>5601</v>
      </c>
      <c r="E3250" s="11" t="s">
        <v>28</v>
      </c>
      <c r="F3250" s="10" t="s">
        <v>28</v>
      </c>
      <c r="G3250" s="10" t="s">
        <v>28</v>
      </c>
      <c r="H3250" s="10" t="s">
        <v>28</v>
      </c>
      <c r="I3250" s="11" t="s">
        <v>28</v>
      </c>
      <c r="J3250" s="11" t="s">
        <v>28</v>
      </c>
      <c r="K3250" s="11" t="s">
        <v>28</v>
      </c>
      <c r="L3250" s="11" t="s">
        <v>28</v>
      </c>
      <c r="M3250" s="11" t="s">
        <v>28</v>
      </c>
      <c r="N3250" s="8">
        <v>44678</v>
      </c>
      <c r="O3250" s="9" t="s">
        <v>79</v>
      </c>
      <c r="P3250" s="12" t="s">
        <v>611</v>
      </c>
      <c r="Q3250" s="9" t="s">
        <v>75</v>
      </c>
      <c r="R3250" s="14" t="str">
        <f>HYPERLINK("https://my.pitchbook.com?c=194442-67T","View Company Online")</f>
        <v>View Company Online</v>
      </c>
    </row>
    <row r="3251" spans="1:18" hidden="1" x14ac:dyDescent="0.3">
      <c r="A3251" s="15" t="s">
        <v>10823</v>
      </c>
      <c r="B3251" s="15" t="s">
        <v>10824</v>
      </c>
      <c r="C3251" s="18" t="s">
        <v>28</v>
      </c>
      <c r="D3251" s="15" t="s">
        <v>10825</v>
      </c>
      <c r="E3251" s="18" t="s">
        <v>28</v>
      </c>
      <c r="F3251" s="19" t="s">
        <v>28</v>
      </c>
      <c r="G3251" s="19" t="s">
        <v>28</v>
      </c>
      <c r="H3251" s="19" t="s">
        <v>28</v>
      </c>
      <c r="I3251" s="18" t="s">
        <v>28</v>
      </c>
      <c r="J3251" s="18" t="s">
        <v>28</v>
      </c>
      <c r="K3251" s="18" t="s">
        <v>28</v>
      </c>
      <c r="L3251" s="18" t="s">
        <v>28</v>
      </c>
      <c r="M3251" s="18" t="s">
        <v>28</v>
      </c>
      <c r="N3251" s="17">
        <v>44678</v>
      </c>
      <c r="O3251" s="15" t="s">
        <v>30</v>
      </c>
      <c r="P3251" s="16" t="s">
        <v>10826</v>
      </c>
      <c r="Q3251" s="15" t="s">
        <v>114</v>
      </c>
      <c r="R3251" s="13" t="str">
        <f>HYPERLINK("https://my.pitchbook.com?c=210687-94T","View Company Online")</f>
        <v>View Company Online</v>
      </c>
    </row>
    <row r="3252" spans="1:18" hidden="1" x14ac:dyDescent="0.3">
      <c r="A3252" s="9" t="s">
        <v>10827</v>
      </c>
      <c r="B3252" s="9" t="s">
        <v>10828</v>
      </c>
      <c r="C3252" s="11" t="s">
        <v>28</v>
      </c>
      <c r="D3252" s="9" t="s">
        <v>10829</v>
      </c>
      <c r="E3252" s="11" t="s">
        <v>28</v>
      </c>
      <c r="F3252" s="10" t="s">
        <v>28</v>
      </c>
      <c r="G3252" s="10" t="s">
        <v>28</v>
      </c>
      <c r="H3252" s="10" t="s">
        <v>28</v>
      </c>
      <c r="I3252" s="11" t="s">
        <v>28</v>
      </c>
      <c r="J3252" s="11" t="s">
        <v>28</v>
      </c>
      <c r="K3252" s="11" t="s">
        <v>28</v>
      </c>
      <c r="L3252" s="11" t="s">
        <v>28</v>
      </c>
      <c r="M3252" s="11" t="s">
        <v>28</v>
      </c>
      <c r="N3252" s="8">
        <v>44678</v>
      </c>
      <c r="O3252" s="9" t="s">
        <v>73</v>
      </c>
      <c r="P3252" s="12" t="s">
        <v>10830</v>
      </c>
      <c r="Q3252" s="9" t="s">
        <v>75</v>
      </c>
      <c r="R3252" s="14" t="str">
        <f>HYPERLINK("https://my.pitchbook.com?c=194456-71T","View Company Online")</f>
        <v>View Company Online</v>
      </c>
    </row>
    <row r="3253" spans="1:18" hidden="1" x14ac:dyDescent="0.3">
      <c r="A3253" s="15" t="s">
        <v>10831</v>
      </c>
      <c r="B3253" s="15" t="s">
        <v>10832</v>
      </c>
      <c r="C3253" s="18" t="s">
        <v>28</v>
      </c>
      <c r="D3253" s="15" t="s">
        <v>10833</v>
      </c>
      <c r="E3253" s="18" t="s">
        <v>28</v>
      </c>
      <c r="F3253" s="19" t="s">
        <v>28</v>
      </c>
      <c r="G3253" s="19" t="s">
        <v>28</v>
      </c>
      <c r="H3253" s="19" t="s">
        <v>28</v>
      </c>
      <c r="I3253" s="18" t="s">
        <v>28</v>
      </c>
      <c r="J3253" s="18" t="s">
        <v>28</v>
      </c>
      <c r="K3253" s="18" t="s">
        <v>28</v>
      </c>
      <c r="L3253" s="18" t="s">
        <v>28</v>
      </c>
      <c r="M3253" s="18" t="s">
        <v>28</v>
      </c>
      <c r="N3253" s="17">
        <v>44678</v>
      </c>
      <c r="O3253" s="15" t="s">
        <v>30</v>
      </c>
      <c r="P3253" s="16" t="s">
        <v>10834</v>
      </c>
      <c r="Q3253" s="15" t="s">
        <v>75</v>
      </c>
      <c r="R3253" s="13" t="str">
        <f>HYPERLINK("https://my.pitchbook.com?c=193614-85T","View Company Online")</f>
        <v>View Company Online</v>
      </c>
    </row>
    <row r="3254" spans="1:18" hidden="1" x14ac:dyDescent="0.3">
      <c r="A3254" s="9" t="s">
        <v>10835</v>
      </c>
      <c r="B3254" s="9" t="s">
        <v>10836</v>
      </c>
      <c r="C3254" s="11" t="s">
        <v>28</v>
      </c>
      <c r="D3254" s="9" t="s">
        <v>10837</v>
      </c>
      <c r="E3254" s="11" t="s">
        <v>28</v>
      </c>
      <c r="F3254" s="10" t="s">
        <v>28</v>
      </c>
      <c r="G3254" s="10">
        <v>55</v>
      </c>
      <c r="H3254" s="10" t="s">
        <v>28</v>
      </c>
      <c r="I3254" s="11" t="s">
        <v>28</v>
      </c>
      <c r="J3254" s="11" t="s">
        <v>28</v>
      </c>
      <c r="K3254" s="11" t="s">
        <v>28</v>
      </c>
      <c r="L3254" s="11" t="s">
        <v>28</v>
      </c>
      <c r="M3254" s="11" t="s">
        <v>28</v>
      </c>
      <c r="N3254" s="8">
        <v>44678</v>
      </c>
      <c r="O3254" s="9" t="s">
        <v>73</v>
      </c>
      <c r="P3254" s="12" t="s">
        <v>10838</v>
      </c>
      <c r="Q3254" s="9" t="s">
        <v>75</v>
      </c>
      <c r="R3254" s="14" t="str">
        <f>HYPERLINK("https://my.pitchbook.com?c=193047-49T","View Company Online")</f>
        <v>View Company Online</v>
      </c>
    </row>
    <row r="3255" spans="1:18" hidden="1" x14ac:dyDescent="0.3">
      <c r="A3255" s="15" t="s">
        <v>10839</v>
      </c>
      <c r="B3255" s="15" t="s">
        <v>4903</v>
      </c>
      <c r="C3255" s="18" t="s">
        <v>28</v>
      </c>
      <c r="D3255" s="15" t="s">
        <v>4904</v>
      </c>
      <c r="E3255" s="18" t="s">
        <v>28</v>
      </c>
      <c r="F3255" s="19">
        <v>51.42</v>
      </c>
      <c r="G3255" s="19">
        <v>35.99</v>
      </c>
      <c r="H3255" s="19">
        <v>51.42</v>
      </c>
      <c r="I3255" s="18" t="s">
        <v>28</v>
      </c>
      <c r="J3255" s="18" t="s">
        <v>28</v>
      </c>
      <c r="K3255" s="18">
        <v>3.52</v>
      </c>
      <c r="L3255" s="18">
        <v>14.6</v>
      </c>
      <c r="M3255" s="18" t="s">
        <v>28</v>
      </c>
      <c r="N3255" s="17">
        <v>44678</v>
      </c>
      <c r="O3255" s="15" t="s">
        <v>41</v>
      </c>
      <c r="P3255" s="16" t="s">
        <v>10840</v>
      </c>
      <c r="Q3255" s="15" t="s">
        <v>75</v>
      </c>
      <c r="R3255" s="13" t="str">
        <f>HYPERLINK("https://my.pitchbook.com?c=195350-41T","View Company Online")</f>
        <v>View Company Online</v>
      </c>
    </row>
    <row r="3256" spans="1:18" hidden="1" x14ac:dyDescent="0.3">
      <c r="A3256" s="9" t="s">
        <v>10841</v>
      </c>
      <c r="B3256" s="9" t="s">
        <v>10842</v>
      </c>
      <c r="C3256" s="11" t="s">
        <v>28</v>
      </c>
      <c r="D3256" s="9" t="s">
        <v>10843</v>
      </c>
      <c r="E3256" s="11" t="s">
        <v>28</v>
      </c>
      <c r="F3256" s="10" t="s">
        <v>28</v>
      </c>
      <c r="G3256" s="10" t="s">
        <v>28</v>
      </c>
      <c r="H3256" s="10" t="s">
        <v>28</v>
      </c>
      <c r="I3256" s="11" t="s">
        <v>28</v>
      </c>
      <c r="J3256" s="11" t="s">
        <v>28</v>
      </c>
      <c r="K3256" s="11" t="s">
        <v>28</v>
      </c>
      <c r="L3256" s="11" t="s">
        <v>28</v>
      </c>
      <c r="M3256" s="11" t="s">
        <v>28</v>
      </c>
      <c r="N3256" s="8">
        <v>44678</v>
      </c>
      <c r="O3256" s="9" t="s">
        <v>30</v>
      </c>
      <c r="P3256" s="12" t="s">
        <v>10844</v>
      </c>
      <c r="Q3256" s="9" t="s">
        <v>37</v>
      </c>
      <c r="R3256" s="14" t="str">
        <f>HYPERLINK("https://my.pitchbook.com?c=209967-13T","View Company Online")</f>
        <v>View Company Online</v>
      </c>
    </row>
    <row r="3257" spans="1:18" hidden="1" x14ac:dyDescent="0.3">
      <c r="A3257" s="15" t="s">
        <v>10845</v>
      </c>
      <c r="B3257" s="15" t="s">
        <v>10846</v>
      </c>
      <c r="C3257" s="18" t="s">
        <v>28</v>
      </c>
      <c r="D3257" s="15" t="s">
        <v>10847</v>
      </c>
      <c r="E3257" s="18" t="s">
        <v>28</v>
      </c>
      <c r="F3257" s="19" t="s">
        <v>28</v>
      </c>
      <c r="G3257" s="19" t="s">
        <v>28</v>
      </c>
      <c r="H3257" s="19" t="s">
        <v>28</v>
      </c>
      <c r="I3257" s="18" t="s">
        <v>28</v>
      </c>
      <c r="J3257" s="18" t="s">
        <v>28</v>
      </c>
      <c r="K3257" s="18" t="s">
        <v>28</v>
      </c>
      <c r="L3257" s="18" t="s">
        <v>28</v>
      </c>
      <c r="M3257" s="18" t="s">
        <v>28</v>
      </c>
      <c r="N3257" s="17">
        <v>44678</v>
      </c>
      <c r="O3257" s="15" t="s">
        <v>30</v>
      </c>
      <c r="P3257" s="16" t="s">
        <v>10844</v>
      </c>
      <c r="Q3257" s="15" t="s">
        <v>583</v>
      </c>
      <c r="R3257" s="13" t="str">
        <f>HYPERLINK("https://my.pitchbook.com?c=209519-11T","View Company Online")</f>
        <v>View Company Online</v>
      </c>
    </row>
    <row r="3258" spans="1:18" hidden="1" x14ac:dyDescent="0.3">
      <c r="A3258" s="9" t="s">
        <v>10848</v>
      </c>
      <c r="B3258" s="9" t="s">
        <v>10849</v>
      </c>
      <c r="C3258" s="11" t="s">
        <v>28</v>
      </c>
      <c r="D3258" s="9" t="s">
        <v>10850</v>
      </c>
      <c r="E3258" s="11" t="s">
        <v>28</v>
      </c>
      <c r="F3258" s="10" t="s">
        <v>28</v>
      </c>
      <c r="G3258" s="10" t="s">
        <v>28</v>
      </c>
      <c r="H3258" s="10" t="s">
        <v>28</v>
      </c>
      <c r="I3258" s="11" t="s">
        <v>28</v>
      </c>
      <c r="J3258" s="11" t="s">
        <v>28</v>
      </c>
      <c r="K3258" s="11" t="s">
        <v>28</v>
      </c>
      <c r="L3258" s="11" t="s">
        <v>28</v>
      </c>
      <c r="M3258" s="11" t="s">
        <v>28</v>
      </c>
      <c r="N3258" s="8">
        <v>44677</v>
      </c>
      <c r="O3258" s="9" t="s">
        <v>30</v>
      </c>
      <c r="P3258" s="12" t="s">
        <v>10851</v>
      </c>
      <c r="Q3258" s="9" t="s">
        <v>75</v>
      </c>
      <c r="R3258" s="14" t="str">
        <f>HYPERLINK("https://my.pitchbook.com?c=192952-45T","View Company Online")</f>
        <v>View Company Online</v>
      </c>
    </row>
    <row r="3259" spans="1:18" hidden="1" x14ac:dyDescent="0.3">
      <c r="A3259" s="15" t="s">
        <v>10852</v>
      </c>
      <c r="B3259" s="15" t="s">
        <v>3881</v>
      </c>
      <c r="C3259" s="18" t="s">
        <v>28</v>
      </c>
      <c r="D3259" s="15" t="s">
        <v>3882</v>
      </c>
      <c r="E3259" s="18" t="s">
        <v>28</v>
      </c>
      <c r="F3259" s="19" t="s">
        <v>28</v>
      </c>
      <c r="G3259" s="19">
        <v>4</v>
      </c>
      <c r="H3259" s="19" t="s">
        <v>28</v>
      </c>
      <c r="I3259" s="18" t="s">
        <v>28</v>
      </c>
      <c r="J3259" s="18" t="s">
        <v>28</v>
      </c>
      <c r="K3259" s="18" t="s">
        <v>28</v>
      </c>
      <c r="L3259" s="18" t="s">
        <v>28</v>
      </c>
      <c r="M3259" s="18" t="s">
        <v>28</v>
      </c>
      <c r="N3259" s="17">
        <v>44677</v>
      </c>
      <c r="O3259" s="15" t="s">
        <v>99</v>
      </c>
      <c r="P3259" s="16" t="s">
        <v>10853</v>
      </c>
      <c r="Q3259" s="15" t="s">
        <v>75</v>
      </c>
      <c r="R3259" s="13" t="str">
        <f>HYPERLINK("https://my.pitchbook.com?c=210173-77T","View Company Online")</f>
        <v>View Company Online</v>
      </c>
    </row>
    <row r="3260" spans="1:18" hidden="1" x14ac:dyDescent="0.3">
      <c r="A3260" s="9" t="s">
        <v>10854</v>
      </c>
      <c r="B3260" s="9" t="s">
        <v>10855</v>
      </c>
      <c r="C3260" s="11" t="s">
        <v>28</v>
      </c>
      <c r="D3260" s="9" t="s">
        <v>10856</v>
      </c>
      <c r="E3260" s="11" t="s">
        <v>28</v>
      </c>
      <c r="F3260" s="10" t="s">
        <v>28</v>
      </c>
      <c r="G3260" s="10" t="s">
        <v>28</v>
      </c>
      <c r="H3260" s="10" t="s">
        <v>28</v>
      </c>
      <c r="I3260" s="11" t="s">
        <v>28</v>
      </c>
      <c r="J3260" s="11" t="s">
        <v>28</v>
      </c>
      <c r="K3260" s="11" t="s">
        <v>28</v>
      </c>
      <c r="L3260" s="11" t="s">
        <v>28</v>
      </c>
      <c r="M3260" s="11" t="s">
        <v>28</v>
      </c>
      <c r="N3260" s="8">
        <v>44677</v>
      </c>
      <c r="O3260" s="9" t="s">
        <v>30</v>
      </c>
      <c r="P3260" s="12" t="s">
        <v>10857</v>
      </c>
      <c r="Q3260" s="9" t="s">
        <v>1793</v>
      </c>
      <c r="R3260" s="14" t="str">
        <f>HYPERLINK("https://my.pitchbook.com?c=192928-42T","View Company Online")</f>
        <v>View Company Online</v>
      </c>
    </row>
    <row r="3261" spans="1:18" hidden="1" x14ac:dyDescent="0.3">
      <c r="A3261" s="15" t="s">
        <v>10858</v>
      </c>
      <c r="B3261" s="15" t="s">
        <v>10859</v>
      </c>
      <c r="C3261" s="18" t="s">
        <v>28</v>
      </c>
      <c r="D3261" s="15" t="s">
        <v>10860</v>
      </c>
      <c r="E3261" s="18" t="s">
        <v>28</v>
      </c>
      <c r="F3261" s="19" t="s">
        <v>28</v>
      </c>
      <c r="G3261" s="19">
        <v>0.94</v>
      </c>
      <c r="H3261" s="19">
        <v>11.97</v>
      </c>
      <c r="I3261" s="18" t="s">
        <v>28</v>
      </c>
      <c r="J3261" s="18" t="s">
        <v>28</v>
      </c>
      <c r="K3261" s="18" t="s">
        <v>28</v>
      </c>
      <c r="L3261" s="18" t="s">
        <v>28</v>
      </c>
      <c r="M3261" s="18" t="s">
        <v>28</v>
      </c>
      <c r="N3261" s="17">
        <v>44677</v>
      </c>
      <c r="O3261" s="15" t="s">
        <v>1639</v>
      </c>
      <c r="P3261" s="16" t="s">
        <v>28</v>
      </c>
      <c r="Q3261" s="15" t="s">
        <v>1191</v>
      </c>
      <c r="R3261" s="13" t="str">
        <f>HYPERLINK("https://my.pitchbook.com?c=192952-00T","View Company Online")</f>
        <v>View Company Online</v>
      </c>
    </row>
    <row r="3262" spans="1:18" hidden="1" x14ac:dyDescent="0.3">
      <c r="A3262" s="9" t="s">
        <v>10861</v>
      </c>
      <c r="B3262" s="9" t="s">
        <v>4443</v>
      </c>
      <c r="C3262" s="11" t="s">
        <v>28</v>
      </c>
      <c r="D3262" s="9" t="s">
        <v>4444</v>
      </c>
      <c r="E3262" s="11" t="s">
        <v>28</v>
      </c>
      <c r="F3262" s="10" t="s">
        <v>28</v>
      </c>
      <c r="G3262" s="10">
        <v>9</v>
      </c>
      <c r="H3262" s="10" t="s">
        <v>28</v>
      </c>
      <c r="I3262" s="11" t="s">
        <v>28</v>
      </c>
      <c r="J3262" s="11" t="s">
        <v>28</v>
      </c>
      <c r="K3262" s="11" t="s">
        <v>28</v>
      </c>
      <c r="L3262" s="11" t="s">
        <v>28</v>
      </c>
      <c r="M3262" s="11" t="s">
        <v>28</v>
      </c>
      <c r="N3262" s="8">
        <v>44677</v>
      </c>
      <c r="O3262" s="9" t="s">
        <v>99</v>
      </c>
      <c r="P3262" s="12" t="s">
        <v>10862</v>
      </c>
      <c r="Q3262" s="9" t="s">
        <v>114</v>
      </c>
      <c r="R3262" s="14" t="str">
        <f>HYPERLINK("https://my.pitchbook.com?c=193157-11T","View Company Online")</f>
        <v>View Company Online</v>
      </c>
    </row>
    <row r="3263" spans="1:18" hidden="1" x14ac:dyDescent="0.3">
      <c r="A3263" s="15" t="s">
        <v>10863</v>
      </c>
      <c r="B3263" s="15" t="s">
        <v>10864</v>
      </c>
      <c r="C3263" s="18" t="s">
        <v>28</v>
      </c>
      <c r="D3263" s="15" t="s">
        <v>10865</v>
      </c>
      <c r="E3263" s="18" t="s">
        <v>28</v>
      </c>
      <c r="F3263" s="19" t="s">
        <v>28</v>
      </c>
      <c r="G3263" s="19">
        <v>1.91</v>
      </c>
      <c r="H3263" s="19" t="s">
        <v>28</v>
      </c>
      <c r="I3263" s="18" t="s">
        <v>28</v>
      </c>
      <c r="J3263" s="18" t="s">
        <v>28</v>
      </c>
      <c r="K3263" s="18">
        <v>0.37</v>
      </c>
      <c r="L3263" s="18" t="s">
        <v>28</v>
      </c>
      <c r="M3263" s="18" t="s">
        <v>28</v>
      </c>
      <c r="N3263" s="17">
        <v>44676</v>
      </c>
      <c r="O3263" s="15" t="s">
        <v>79</v>
      </c>
      <c r="P3263" s="16" t="s">
        <v>10866</v>
      </c>
      <c r="Q3263" s="15" t="s">
        <v>1007</v>
      </c>
      <c r="R3263" s="13" t="str">
        <f>HYPERLINK("https://my.pitchbook.com?c=192860-38T","View Company Online")</f>
        <v>View Company Online</v>
      </c>
    </row>
    <row r="3264" spans="1:18" hidden="1" x14ac:dyDescent="0.3">
      <c r="A3264" s="9" t="s">
        <v>10867</v>
      </c>
      <c r="B3264" s="9" t="s">
        <v>7758</v>
      </c>
      <c r="C3264" s="11" t="s">
        <v>28</v>
      </c>
      <c r="D3264" s="9" t="s">
        <v>7759</v>
      </c>
      <c r="E3264" s="11" t="s">
        <v>28</v>
      </c>
      <c r="F3264" s="10" t="s">
        <v>28</v>
      </c>
      <c r="G3264" s="10" t="s">
        <v>28</v>
      </c>
      <c r="H3264" s="10" t="s">
        <v>28</v>
      </c>
      <c r="I3264" s="11" t="s">
        <v>28</v>
      </c>
      <c r="J3264" s="11" t="s">
        <v>28</v>
      </c>
      <c r="K3264" s="11" t="s">
        <v>28</v>
      </c>
      <c r="L3264" s="11" t="s">
        <v>28</v>
      </c>
      <c r="M3264" s="11" t="s">
        <v>28</v>
      </c>
      <c r="N3264" s="8">
        <v>44676</v>
      </c>
      <c r="O3264" s="9" t="s">
        <v>52</v>
      </c>
      <c r="P3264" s="12" t="s">
        <v>10868</v>
      </c>
      <c r="Q3264" s="9" t="s">
        <v>5347</v>
      </c>
      <c r="R3264" s="14" t="str">
        <f>HYPERLINK("https://my.pitchbook.com?c=227085-31T","View Company Online")</f>
        <v>View Company Online</v>
      </c>
    </row>
    <row r="3265" spans="1:18" hidden="1" x14ac:dyDescent="0.3">
      <c r="A3265" s="15" t="s">
        <v>10869</v>
      </c>
      <c r="B3265" s="15" t="s">
        <v>10870</v>
      </c>
      <c r="C3265" s="18" t="s">
        <v>28</v>
      </c>
      <c r="D3265" s="15" t="s">
        <v>10871</v>
      </c>
      <c r="E3265" s="18" t="s">
        <v>28</v>
      </c>
      <c r="F3265" s="19" t="s">
        <v>28</v>
      </c>
      <c r="G3265" s="19" t="s">
        <v>28</v>
      </c>
      <c r="H3265" s="19" t="s">
        <v>28</v>
      </c>
      <c r="I3265" s="18" t="s">
        <v>28</v>
      </c>
      <c r="J3265" s="18" t="s">
        <v>28</v>
      </c>
      <c r="K3265" s="18" t="s">
        <v>28</v>
      </c>
      <c r="L3265" s="18" t="s">
        <v>28</v>
      </c>
      <c r="M3265" s="18" t="s">
        <v>28</v>
      </c>
      <c r="N3265" s="17">
        <v>44676</v>
      </c>
      <c r="O3265" s="15" t="s">
        <v>73</v>
      </c>
      <c r="P3265" s="16" t="s">
        <v>10872</v>
      </c>
      <c r="Q3265" s="15" t="s">
        <v>1336</v>
      </c>
      <c r="R3265" s="13" t="str">
        <f>HYPERLINK("https://my.pitchbook.com?c=199283-23T","View Company Online")</f>
        <v>View Company Online</v>
      </c>
    </row>
    <row r="3266" spans="1:18" hidden="1" x14ac:dyDescent="0.3">
      <c r="A3266" s="9" t="s">
        <v>10873</v>
      </c>
      <c r="B3266" s="9" t="s">
        <v>10874</v>
      </c>
      <c r="C3266" s="11" t="s">
        <v>28</v>
      </c>
      <c r="D3266" s="9" t="s">
        <v>10875</v>
      </c>
      <c r="E3266" s="11" t="s">
        <v>28</v>
      </c>
      <c r="F3266" s="10" t="s">
        <v>28</v>
      </c>
      <c r="G3266" s="10">
        <v>0.15</v>
      </c>
      <c r="H3266" s="10" t="s">
        <v>28</v>
      </c>
      <c r="I3266" s="11" t="s">
        <v>28</v>
      </c>
      <c r="J3266" s="11" t="s">
        <v>28</v>
      </c>
      <c r="K3266" s="11" t="s">
        <v>28</v>
      </c>
      <c r="L3266" s="11" t="s">
        <v>28</v>
      </c>
      <c r="M3266" s="11" t="s">
        <v>28</v>
      </c>
      <c r="N3266" s="8">
        <v>44676</v>
      </c>
      <c r="O3266" s="9" t="s">
        <v>99</v>
      </c>
      <c r="P3266" s="12" t="s">
        <v>10876</v>
      </c>
      <c r="Q3266" s="9" t="s">
        <v>37</v>
      </c>
      <c r="R3266" s="14" t="str">
        <f>HYPERLINK("https://my.pitchbook.com?c=193051-81T","View Company Online")</f>
        <v>View Company Online</v>
      </c>
    </row>
    <row r="3267" spans="1:18" hidden="1" x14ac:dyDescent="0.3">
      <c r="A3267" s="15" t="s">
        <v>10877</v>
      </c>
      <c r="B3267" s="15" t="s">
        <v>6189</v>
      </c>
      <c r="C3267" s="18" t="s">
        <v>28</v>
      </c>
      <c r="D3267" s="15" t="s">
        <v>6190</v>
      </c>
      <c r="E3267" s="18" t="s">
        <v>28</v>
      </c>
      <c r="F3267" s="19" t="s">
        <v>28</v>
      </c>
      <c r="G3267" s="19">
        <v>0.47</v>
      </c>
      <c r="H3267" s="19" t="s">
        <v>28</v>
      </c>
      <c r="I3267" s="18" t="s">
        <v>28</v>
      </c>
      <c r="J3267" s="18" t="s">
        <v>28</v>
      </c>
      <c r="K3267" s="18" t="s">
        <v>28</v>
      </c>
      <c r="L3267" s="18" t="s">
        <v>28</v>
      </c>
      <c r="M3267" s="18" t="s">
        <v>28</v>
      </c>
      <c r="N3267" s="17">
        <v>44676</v>
      </c>
      <c r="O3267" s="15" t="s">
        <v>99</v>
      </c>
      <c r="P3267" s="16" t="s">
        <v>4882</v>
      </c>
      <c r="Q3267" s="15" t="s">
        <v>1793</v>
      </c>
      <c r="R3267" s="13" t="str">
        <f>HYPERLINK("https://my.pitchbook.com?c=192905-29T","View Company Online")</f>
        <v>View Company Online</v>
      </c>
    </row>
    <row r="3268" spans="1:18" hidden="1" x14ac:dyDescent="0.3">
      <c r="A3268" s="9" t="s">
        <v>10878</v>
      </c>
      <c r="B3268" s="9" t="s">
        <v>10879</v>
      </c>
      <c r="C3268" s="11" t="s">
        <v>28</v>
      </c>
      <c r="D3268" s="9" t="s">
        <v>10880</v>
      </c>
      <c r="E3268" s="11" t="s">
        <v>28</v>
      </c>
      <c r="F3268" s="10" t="s">
        <v>28</v>
      </c>
      <c r="G3268" s="10" t="s">
        <v>28</v>
      </c>
      <c r="H3268" s="10" t="s">
        <v>28</v>
      </c>
      <c r="I3268" s="11" t="s">
        <v>28</v>
      </c>
      <c r="J3268" s="11" t="s">
        <v>28</v>
      </c>
      <c r="K3268" s="11" t="s">
        <v>28</v>
      </c>
      <c r="L3268" s="11" t="s">
        <v>28</v>
      </c>
      <c r="M3268" s="11" t="s">
        <v>28</v>
      </c>
      <c r="N3268" s="8">
        <v>44675</v>
      </c>
      <c r="O3268" s="9" t="s">
        <v>30</v>
      </c>
      <c r="P3268" s="12" t="s">
        <v>10881</v>
      </c>
      <c r="Q3268" s="9" t="s">
        <v>75</v>
      </c>
      <c r="R3268" s="14" t="str">
        <f>HYPERLINK("https://my.pitchbook.com?c=194707-27T","View Company Online")</f>
        <v>View Company Online</v>
      </c>
    </row>
    <row r="3269" spans="1:18" hidden="1" x14ac:dyDescent="0.3">
      <c r="A3269" s="15" t="s">
        <v>10882</v>
      </c>
      <c r="B3269" s="15" t="s">
        <v>10883</v>
      </c>
      <c r="C3269" s="18" t="s">
        <v>28</v>
      </c>
      <c r="D3269" s="15" t="s">
        <v>10884</v>
      </c>
      <c r="E3269" s="18" t="s">
        <v>28</v>
      </c>
      <c r="F3269" s="19" t="s">
        <v>28</v>
      </c>
      <c r="G3269" s="19">
        <v>0.64</v>
      </c>
      <c r="H3269" s="19" t="s">
        <v>28</v>
      </c>
      <c r="I3269" s="18" t="s">
        <v>28</v>
      </c>
      <c r="J3269" s="18" t="s">
        <v>28</v>
      </c>
      <c r="K3269" s="18" t="s">
        <v>28</v>
      </c>
      <c r="L3269" s="18" t="s">
        <v>28</v>
      </c>
      <c r="M3269" s="18" t="s">
        <v>28</v>
      </c>
      <c r="N3269" s="17">
        <v>44674</v>
      </c>
      <c r="O3269" s="15" t="s">
        <v>58</v>
      </c>
      <c r="P3269" s="16" t="s">
        <v>28</v>
      </c>
      <c r="Q3269" s="15" t="s">
        <v>105</v>
      </c>
      <c r="R3269" s="13" t="str">
        <f>HYPERLINK("https://my.pitchbook.com?c=192758-14T","View Company Online")</f>
        <v>View Company Online</v>
      </c>
    </row>
    <row r="3270" spans="1:18" hidden="1" x14ac:dyDescent="0.3">
      <c r="A3270" s="9" t="s">
        <v>10885</v>
      </c>
      <c r="B3270" s="9" t="s">
        <v>10886</v>
      </c>
      <c r="C3270" s="11" t="s">
        <v>28</v>
      </c>
      <c r="D3270" s="9" t="s">
        <v>10887</v>
      </c>
      <c r="E3270" s="11" t="s">
        <v>28</v>
      </c>
      <c r="F3270" s="10" t="s">
        <v>28</v>
      </c>
      <c r="G3270" s="10" t="s">
        <v>28</v>
      </c>
      <c r="H3270" s="10" t="s">
        <v>28</v>
      </c>
      <c r="I3270" s="11" t="s">
        <v>28</v>
      </c>
      <c r="J3270" s="11" t="s">
        <v>28</v>
      </c>
      <c r="K3270" s="11">
        <v>37.07</v>
      </c>
      <c r="L3270" s="11" t="s">
        <v>28</v>
      </c>
      <c r="M3270" s="11" t="s">
        <v>28</v>
      </c>
      <c r="N3270" s="8">
        <v>44673</v>
      </c>
      <c r="O3270" s="9" t="s">
        <v>30</v>
      </c>
      <c r="P3270" s="12" t="s">
        <v>10888</v>
      </c>
      <c r="Q3270" s="9" t="s">
        <v>348</v>
      </c>
      <c r="R3270" s="14" t="str">
        <f>HYPERLINK("https://my.pitchbook.com?c=207716-77T","View Company Online")</f>
        <v>View Company Online</v>
      </c>
    </row>
    <row r="3271" spans="1:18" hidden="1" x14ac:dyDescent="0.3">
      <c r="A3271" s="15" t="s">
        <v>10889</v>
      </c>
      <c r="B3271" s="15" t="s">
        <v>7505</v>
      </c>
      <c r="C3271" s="18" t="s">
        <v>28</v>
      </c>
      <c r="D3271" s="15" t="s">
        <v>7506</v>
      </c>
      <c r="E3271" s="18" t="s">
        <v>28</v>
      </c>
      <c r="F3271" s="19" t="s">
        <v>28</v>
      </c>
      <c r="G3271" s="19" t="s">
        <v>28</v>
      </c>
      <c r="H3271" s="19" t="s">
        <v>28</v>
      </c>
      <c r="I3271" s="18" t="s">
        <v>28</v>
      </c>
      <c r="J3271" s="18" t="s">
        <v>28</v>
      </c>
      <c r="K3271" s="18" t="s">
        <v>28</v>
      </c>
      <c r="L3271" s="18" t="s">
        <v>28</v>
      </c>
      <c r="M3271" s="18" t="s">
        <v>28</v>
      </c>
      <c r="N3271" s="17">
        <v>44671</v>
      </c>
      <c r="O3271" s="15" t="s">
        <v>52</v>
      </c>
      <c r="P3271" s="16" t="s">
        <v>2736</v>
      </c>
      <c r="Q3271" s="15" t="s">
        <v>1035</v>
      </c>
      <c r="R3271" s="13" t="str">
        <f>HYPERLINK("https://my.pitchbook.com?c=292602-79T","View Company Online")</f>
        <v>View Company Online</v>
      </c>
    </row>
    <row r="3272" spans="1:18" hidden="1" x14ac:dyDescent="0.3">
      <c r="A3272" s="9" t="s">
        <v>10890</v>
      </c>
      <c r="B3272" s="9" t="s">
        <v>10891</v>
      </c>
      <c r="C3272" s="11" t="s">
        <v>28</v>
      </c>
      <c r="D3272" s="9" t="s">
        <v>10892</v>
      </c>
      <c r="E3272" s="11" t="s">
        <v>28</v>
      </c>
      <c r="F3272" s="10" t="s">
        <v>28</v>
      </c>
      <c r="G3272" s="10" t="s">
        <v>28</v>
      </c>
      <c r="H3272" s="10" t="s">
        <v>28</v>
      </c>
      <c r="I3272" s="11" t="s">
        <v>28</v>
      </c>
      <c r="J3272" s="11" t="s">
        <v>28</v>
      </c>
      <c r="K3272" s="11" t="s">
        <v>28</v>
      </c>
      <c r="L3272" s="11" t="s">
        <v>28</v>
      </c>
      <c r="M3272" s="11" t="s">
        <v>28</v>
      </c>
      <c r="N3272" s="8">
        <v>44671</v>
      </c>
      <c r="O3272" s="9" t="s">
        <v>30</v>
      </c>
      <c r="P3272" s="12" t="s">
        <v>10893</v>
      </c>
      <c r="Q3272" s="9" t="s">
        <v>4753</v>
      </c>
      <c r="R3272" s="14" t="str">
        <f>HYPERLINK("https://my.pitchbook.com?c=210498-94T","View Company Online")</f>
        <v>View Company Online</v>
      </c>
    </row>
    <row r="3273" spans="1:18" hidden="1" x14ac:dyDescent="0.3">
      <c r="A3273" s="15" t="s">
        <v>10894</v>
      </c>
      <c r="B3273" s="15" t="s">
        <v>10895</v>
      </c>
      <c r="C3273" s="18" t="s">
        <v>28</v>
      </c>
      <c r="D3273" s="15" t="s">
        <v>10896</v>
      </c>
      <c r="E3273" s="18" t="s">
        <v>28</v>
      </c>
      <c r="F3273" s="19" t="s">
        <v>28</v>
      </c>
      <c r="G3273" s="19" t="s">
        <v>28</v>
      </c>
      <c r="H3273" s="19" t="s">
        <v>28</v>
      </c>
      <c r="I3273" s="18" t="s">
        <v>28</v>
      </c>
      <c r="J3273" s="18" t="s">
        <v>28</v>
      </c>
      <c r="K3273" s="18" t="s">
        <v>28</v>
      </c>
      <c r="L3273" s="18" t="s">
        <v>28</v>
      </c>
      <c r="M3273" s="18" t="s">
        <v>28</v>
      </c>
      <c r="N3273" s="17">
        <v>44671</v>
      </c>
      <c r="O3273" s="15" t="s">
        <v>52</v>
      </c>
      <c r="P3273" s="16" t="s">
        <v>2736</v>
      </c>
      <c r="Q3273" s="15" t="s">
        <v>75</v>
      </c>
      <c r="R3273" s="13" t="str">
        <f>HYPERLINK("https://my.pitchbook.com?c=292595-86T","View Company Online")</f>
        <v>View Company Online</v>
      </c>
    </row>
    <row r="3274" spans="1:18" hidden="1" x14ac:dyDescent="0.3">
      <c r="A3274" s="9" t="s">
        <v>10897</v>
      </c>
      <c r="B3274" s="9" t="s">
        <v>10898</v>
      </c>
      <c r="C3274" s="11" t="s">
        <v>28</v>
      </c>
      <c r="D3274" s="9" t="s">
        <v>10899</v>
      </c>
      <c r="E3274" s="11" t="s">
        <v>28</v>
      </c>
      <c r="F3274" s="10" t="s">
        <v>28</v>
      </c>
      <c r="G3274" s="10" t="s">
        <v>28</v>
      </c>
      <c r="H3274" s="10" t="s">
        <v>28</v>
      </c>
      <c r="I3274" s="11" t="s">
        <v>28</v>
      </c>
      <c r="J3274" s="11" t="s">
        <v>28</v>
      </c>
      <c r="K3274" s="11" t="s">
        <v>28</v>
      </c>
      <c r="L3274" s="11" t="s">
        <v>28</v>
      </c>
      <c r="M3274" s="11" t="s">
        <v>28</v>
      </c>
      <c r="N3274" s="8">
        <v>44670</v>
      </c>
      <c r="O3274" s="9" t="s">
        <v>41</v>
      </c>
      <c r="P3274" s="12" t="s">
        <v>10900</v>
      </c>
      <c r="Q3274" s="9" t="s">
        <v>43</v>
      </c>
      <c r="R3274" s="14" t="str">
        <f>HYPERLINK("https://my.pitchbook.com?c=292658-41T","View Company Online")</f>
        <v>View Company Online</v>
      </c>
    </row>
    <row r="3275" spans="1:18" hidden="1" x14ac:dyDescent="0.3">
      <c r="A3275" s="15" t="s">
        <v>10901</v>
      </c>
      <c r="B3275" s="15" t="s">
        <v>10902</v>
      </c>
      <c r="C3275" s="18" t="s">
        <v>28</v>
      </c>
      <c r="D3275" s="15" t="s">
        <v>10903</v>
      </c>
      <c r="E3275" s="18" t="s">
        <v>28</v>
      </c>
      <c r="F3275" s="19" t="s">
        <v>28</v>
      </c>
      <c r="G3275" s="19" t="s">
        <v>28</v>
      </c>
      <c r="H3275" s="19" t="s">
        <v>28</v>
      </c>
      <c r="I3275" s="18" t="s">
        <v>28</v>
      </c>
      <c r="J3275" s="18" t="s">
        <v>28</v>
      </c>
      <c r="K3275" s="18" t="s">
        <v>28</v>
      </c>
      <c r="L3275" s="18" t="s">
        <v>28</v>
      </c>
      <c r="M3275" s="18" t="s">
        <v>28</v>
      </c>
      <c r="N3275" s="17">
        <v>44670</v>
      </c>
      <c r="O3275" s="15" t="s">
        <v>41</v>
      </c>
      <c r="P3275" s="16" t="s">
        <v>10900</v>
      </c>
      <c r="Q3275" s="15" t="s">
        <v>43</v>
      </c>
      <c r="R3275" s="13" t="str">
        <f>HYPERLINK("https://my.pitchbook.com?c=292660-93T","View Company Online")</f>
        <v>View Company Online</v>
      </c>
    </row>
    <row r="3276" spans="1:18" hidden="1" x14ac:dyDescent="0.3">
      <c r="A3276" s="9" t="s">
        <v>10904</v>
      </c>
      <c r="B3276" s="9" t="s">
        <v>10905</v>
      </c>
      <c r="C3276" s="11" t="s">
        <v>28</v>
      </c>
      <c r="D3276" s="9" t="s">
        <v>10906</v>
      </c>
      <c r="E3276" s="11" t="s">
        <v>28</v>
      </c>
      <c r="F3276" s="10" t="s">
        <v>28</v>
      </c>
      <c r="G3276" s="10">
        <v>0.05</v>
      </c>
      <c r="H3276" s="10" t="s">
        <v>28</v>
      </c>
      <c r="I3276" s="11" t="s">
        <v>28</v>
      </c>
      <c r="J3276" s="11" t="s">
        <v>28</v>
      </c>
      <c r="K3276" s="11" t="s">
        <v>28</v>
      </c>
      <c r="L3276" s="11" t="s">
        <v>28</v>
      </c>
      <c r="M3276" s="11" t="s">
        <v>28</v>
      </c>
      <c r="N3276" s="8">
        <v>44670</v>
      </c>
      <c r="O3276" s="9" t="s">
        <v>52</v>
      </c>
      <c r="P3276" s="12" t="s">
        <v>10907</v>
      </c>
      <c r="Q3276" s="9" t="s">
        <v>386</v>
      </c>
      <c r="R3276" s="14" t="str">
        <f>HYPERLINK("https://my.pitchbook.com?c=215611-48T","View Company Online")</f>
        <v>View Company Online</v>
      </c>
    </row>
    <row r="3277" spans="1:18" hidden="1" x14ac:dyDescent="0.3">
      <c r="A3277" s="15" t="s">
        <v>10908</v>
      </c>
      <c r="B3277" s="15" t="s">
        <v>10909</v>
      </c>
      <c r="C3277" s="18" t="s">
        <v>28</v>
      </c>
      <c r="D3277" s="15" t="s">
        <v>10910</v>
      </c>
      <c r="E3277" s="18" t="s">
        <v>28</v>
      </c>
      <c r="F3277" s="19" t="s">
        <v>28</v>
      </c>
      <c r="G3277" s="19">
        <v>3.16</v>
      </c>
      <c r="H3277" s="19" t="s">
        <v>28</v>
      </c>
      <c r="I3277" s="18" t="s">
        <v>28</v>
      </c>
      <c r="J3277" s="18" t="s">
        <v>28</v>
      </c>
      <c r="K3277" s="18" t="s">
        <v>28</v>
      </c>
      <c r="L3277" s="18" t="s">
        <v>28</v>
      </c>
      <c r="M3277" s="18" t="s">
        <v>28</v>
      </c>
      <c r="N3277" s="17">
        <v>44670</v>
      </c>
      <c r="O3277" s="15" t="s">
        <v>79</v>
      </c>
      <c r="P3277" s="16" t="s">
        <v>10911</v>
      </c>
      <c r="Q3277" s="15" t="s">
        <v>75</v>
      </c>
      <c r="R3277" s="13" t="str">
        <f>HYPERLINK("https://my.pitchbook.com?c=192758-95T","View Company Online")</f>
        <v>View Company Online</v>
      </c>
    </row>
    <row r="3278" spans="1:18" hidden="1" x14ac:dyDescent="0.3">
      <c r="A3278" s="9" t="s">
        <v>10912</v>
      </c>
      <c r="B3278" s="9" t="s">
        <v>10913</v>
      </c>
      <c r="C3278" s="11" t="s">
        <v>28</v>
      </c>
      <c r="D3278" s="9" t="s">
        <v>10914</v>
      </c>
      <c r="E3278" s="11" t="s">
        <v>28</v>
      </c>
      <c r="F3278" s="10" t="s">
        <v>28</v>
      </c>
      <c r="G3278" s="10">
        <v>1.05</v>
      </c>
      <c r="H3278" s="10" t="s">
        <v>28</v>
      </c>
      <c r="I3278" s="11" t="s">
        <v>28</v>
      </c>
      <c r="J3278" s="11" t="s">
        <v>28</v>
      </c>
      <c r="K3278" s="11" t="s">
        <v>28</v>
      </c>
      <c r="L3278" s="11" t="s">
        <v>28</v>
      </c>
      <c r="M3278" s="11" t="s">
        <v>28</v>
      </c>
      <c r="N3278" s="8">
        <v>44670</v>
      </c>
      <c r="O3278" s="9" t="s">
        <v>58</v>
      </c>
      <c r="P3278" s="12" t="s">
        <v>10915</v>
      </c>
      <c r="Q3278" s="9" t="s">
        <v>75</v>
      </c>
      <c r="R3278" s="14" t="str">
        <f>HYPERLINK("https://my.pitchbook.com?c=192492-82T","View Company Online")</f>
        <v>View Company Online</v>
      </c>
    </row>
    <row r="3279" spans="1:18" hidden="1" x14ac:dyDescent="0.3">
      <c r="A3279" s="15" t="s">
        <v>10916</v>
      </c>
      <c r="B3279" s="15" t="s">
        <v>10917</v>
      </c>
      <c r="C3279" s="18" t="s">
        <v>28</v>
      </c>
      <c r="D3279" s="15" t="s">
        <v>10918</v>
      </c>
      <c r="E3279" s="18" t="s">
        <v>28</v>
      </c>
      <c r="F3279" s="19">
        <v>84.3</v>
      </c>
      <c r="G3279" s="19">
        <v>84.3</v>
      </c>
      <c r="H3279" s="19">
        <v>140.51</v>
      </c>
      <c r="I3279" s="18" t="s">
        <v>28</v>
      </c>
      <c r="J3279" s="18" t="s">
        <v>28</v>
      </c>
      <c r="K3279" s="18" t="s">
        <v>28</v>
      </c>
      <c r="L3279" s="18" t="s">
        <v>28</v>
      </c>
      <c r="M3279" s="18" t="s">
        <v>28</v>
      </c>
      <c r="N3279" s="17">
        <v>44670</v>
      </c>
      <c r="O3279" s="15" t="s">
        <v>30</v>
      </c>
      <c r="P3279" s="16" t="s">
        <v>10919</v>
      </c>
      <c r="Q3279" s="15" t="s">
        <v>607</v>
      </c>
      <c r="R3279" s="13" t="str">
        <f>HYPERLINK("https://my.pitchbook.com?c=182833-66T","View Company Online")</f>
        <v>View Company Online</v>
      </c>
    </row>
    <row r="3280" spans="1:18" hidden="1" x14ac:dyDescent="0.3">
      <c r="A3280" s="9" t="s">
        <v>10920</v>
      </c>
      <c r="B3280" s="9" t="s">
        <v>4542</v>
      </c>
      <c r="C3280" s="11" t="s">
        <v>28</v>
      </c>
      <c r="D3280" s="9" t="s">
        <v>4543</v>
      </c>
      <c r="E3280" s="11" t="s">
        <v>28</v>
      </c>
      <c r="F3280" s="10" t="s">
        <v>28</v>
      </c>
      <c r="G3280" s="10">
        <v>21.02</v>
      </c>
      <c r="H3280" s="10" t="s">
        <v>28</v>
      </c>
      <c r="I3280" s="11" t="s">
        <v>28</v>
      </c>
      <c r="J3280" s="11" t="s">
        <v>28</v>
      </c>
      <c r="K3280" s="11" t="s">
        <v>28</v>
      </c>
      <c r="L3280" s="11" t="s">
        <v>28</v>
      </c>
      <c r="M3280" s="11" t="s">
        <v>28</v>
      </c>
      <c r="N3280" s="8">
        <v>44669</v>
      </c>
      <c r="O3280" s="9" t="s">
        <v>93</v>
      </c>
      <c r="P3280" s="12" t="s">
        <v>10921</v>
      </c>
      <c r="Q3280" s="9" t="s">
        <v>37</v>
      </c>
      <c r="R3280" s="14" t="str">
        <f>HYPERLINK("https://my.pitchbook.com?c=192427-21T","View Company Online")</f>
        <v>View Company Online</v>
      </c>
    </row>
    <row r="3281" spans="1:18" hidden="1" x14ac:dyDescent="0.3">
      <c r="A3281" s="15" t="s">
        <v>10922</v>
      </c>
      <c r="B3281" s="15" t="s">
        <v>10923</v>
      </c>
      <c r="C3281" s="18" t="s">
        <v>28</v>
      </c>
      <c r="D3281" s="15" t="s">
        <v>10924</v>
      </c>
      <c r="E3281" s="18" t="s">
        <v>28</v>
      </c>
      <c r="F3281" s="19">
        <v>181.81</v>
      </c>
      <c r="G3281" s="19">
        <v>181.81</v>
      </c>
      <c r="H3281" s="19">
        <v>181.81</v>
      </c>
      <c r="I3281" s="18" t="s">
        <v>28</v>
      </c>
      <c r="J3281" s="18" t="s">
        <v>28</v>
      </c>
      <c r="K3281" s="18">
        <v>498.21</v>
      </c>
      <c r="L3281" s="18">
        <v>0.36</v>
      </c>
      <c r="M3281" s="18" t="s">
        <v>28</v>
      </c>
      <c r="N3281" s="17">
        <v>44669</v>
      </c>
      <c r="O3281" s="15" t="s">
        <v>30</v>
      </c>
      <c r="P3281" s="16" t="s">
        <v>10925</v>
      </c>
      <c r="Q3281" s="15" t="s">
        <v>85</v>
      </c>
      <c r="R3281" s="13" t="str">
        <f>HYPERLINK("https://my.pitchbook.com?c=192443-95T","View Company Online")</f>
        <v>View Company Online</v>
      </c>
    </row>
    <row r="3282" spans="1:18" hidden="1" x14ac:dyDescent="0.3">
      <c r="A3282" s="9" t="s">
        <v>10926</v>
      </c>
      <c r="B3282" s="9" t="s">
        <v>10927</v>
      </c>
      <c r="C3282" s="11" t="s">
        <v>28</v>
      </c>
      <c r="D3282" s="9" t="s">
        <v>10928</v>
      </c>
      <c r="E3282" s="11" t="s">
        <v>28</v>
      </c>
      <c r="F3282" s="10" t="s">
        <v>28</v>
      </c>
      <c r="G3282" s="10">
        <v>0.63</v>
      </c>
      <c r="H3282" s="10" t="s">
        <v>28</v>
      </c>
      <c r="I3282" s="11" t="s">
        <v>28</v>
      </c>
      <c r="J3282" s="11" t="s">
        <v>28</v>
      </c>
      <c r="K3282" s="11" t="s">
        <v>28</v>
      </c>
      <c r="L3282" s="11" t="s">
        <v>28</v>
      </c>
      <c r="M3282" s="11" t="s">
        <v>28</v>
      </c>
      <c r="N3282" s="8">
        <v>44669</v>
      </c>
      <c r="O3282" s="9" t="s">
        <v>379</v>
      </c>
      <c r="P3282" s="12" t="s">
        <v>28</v>
      </c>
      <c r="Q3282" s="9" t="s">
        <v>85</v>
      </c>
      <c r="R3282" s="14" t="str">
        <f>HYPERLINK("https://my.pitchbook.com?c=192432-16T","View Company Online")</f>
        <v>View Company Online</v>
      </c>
    </row>
    <row r="3283" spans="1:18" hidden="1" x14ac:dyDescent="0.3">
      <c r="A3283" s="15" t="s">
        <v>10929</v>
      </c>
      <c r="B3283" s="15" t="s">
        <v>2593</v>
      </c>
      <c r="C3283" s="18" t="s">
        <v>28</v>
      </c>
      <c r="D3283" s="15" t="s">
        <v>2594</v>
      </c>
      <c r="E3283" s="18" t="s">
        <v>28</v>
      </c>
      <c r="F3283" s="19">
        <v>93.19</v>
      </c>
      <c r="G3283" s="19">
        <v>83.88</v>
      </c>
      <c r="H3283" s="19">
        <v>93.19</v>
      </c>
      <c r="I3283" s="18" t="s">
        <v>28</v>
      </c>
      <c r="J3283" s="18" t="s">
        <v>28</v>
      </c>
      <c r="K3283" s="18" t="s">
        <v>28</v>
      </c>
      <c r="L3283" s="18" t="s">
        <v>28</v>
      </c>
      <c r="M3283" s="18" t="s">
        <v>28</v>
      </c>
      <c r="N3283" s="17">
        <v>44668</v>
      </c>
      <c r="O3283" s="15" t="s">
        <v>30</v>
      </c>
      <c r="P3283" s="16" t="s">
        <v>10930</v>
      </c>
      <c r="Q3283" s="15" t="s">
        <v>566</v>
      </c>
      <c r="R3283" s="13" t="str">
        <f>HYPERLINK("https://my.pitchbook.com?c=209141-47T","View Company Online")</f>
        <v>View Company Online</v>
      </c>
    </row>
    <row r="3284" spans="1:18" hidden="1" x14ac:dyDescent="0.3">
      <c r="A3284" s="9" t="s">
        <v>10931</v>
      </c>
      <c r="B3284" s="9" t="s">
        <v>6748</v>
      </c>
      <c r="C3284" s="11" t="s">
        <v>28</v>
      </c>
      <c r="D3284" s="9" t="s">
        <v>6749</v>
      </c>
      <c r="E3284" s="11" t="s">
        <v>28</v>
      </c>
      <c r="F3284" s="10" t="s">
        <v>28</v>
      </c>
      <c r="G3284" s="10">
        <v>0.21</v>
      </c>
      <c r="H3284" s="10">
        <v>4.18</v>
      </c>
      <c r="I3284" s="11" t="s">
        <v>28</v>
      </c>
      <c r="J3284" s="11" t="s">
        <v>28</v>
      </c>
      <c r="K3284" s="11" t="s">
        <v>28</v>
      </c>
      <c r="L3284" s="11" t="s">
        <v>28</v>
      </c>
      <c r="M3284" s="11" t="s">
        <v>28</v>
      </c>
      <c r="N3284" s="8">
        <v>44667</v>
      </c>
      <c r="O3284" s="9" t="s">
        <v>99</v>
      </c>
      <c r="P3284" s="12" t="s">
        <v>10932</v>
      </c>
      <c r="Q3284" s="9" t="s">
        <v>75</v>
      </c>
      <c r="R3284" s="14" t="str">
        <f>HYPERLINK("https://my.pitchbook.com?c=218079-73T","View Company Online")</f>
        <v>View Company Online</v>
      </c>
    </row>
    <row r="3285" spans="1:18" hidden="1" x14ac:dyDescent="0.3">
      <c r="A3285" s="15" t="s">
        <v>10933</v>
      </c>
      <c r="B3285" s="15" t="s">
        <v>10934</v>
      </c>
      <c r="C3285" s="18" t="s">
        <v>28</v>
      </c>
      <c r="D3285" s="15" t="s">
        <v>10935</v>
      </c>
      <c r="E3285" s="18" t="s">
        <v>28</v>
      </c>
      <c r="F3285" s="19" t="s">
        <v>28</v>
      </c>
      <c r="G3285" s="19">
        <v>0.31</v>
      </c>
      <c r="H3285" s="19">
        <v>1.1000000000000001</v>
      </c>
      <c r="I3285" s="18" t="s">
        <v>28</v>
      </c>
      <c r="J3285" s="18" t="s">
        <v>28</v>
      </c>
      <c r="K3285" s="18">
        <v>0.49</v>
      </c>
      <c r="L3285" s="18">
        <v>2.2599999999999998</v>
      </c>
      <c r="M3285" s="18" t="s">
        <v>28</v>
      </c>
      <c r="N3285" s="17">
        <v>44667</v>
      </c>
      <c r="O3285" s="15" t="s">
        <v>73</v>
      </c>
      <c r="P3285" s="16" t="s">
        <v>10936</v>
      </c>
      <c r="Q3285" s="15" t="s">
        <v>3912</v>
      </c>
      <c r="R3285" s="13" t="str">
        <f>HYPERLINK("https://my.pitchbook.com?c=213353-20T","View Company Online")</f>
        <v>View Company Online</v>
      </c>
    </row>
    <row r="3286" spans="1:18" hidden="1" x14ac:dyDescent="0.3">
      <c r="A3286" s="9" t="s">
        <v>10937</v>
      </c>
      <c r="B3286" s="9" t="s">
        <v>10938</v>
      </c>
      <c r="C3286" s="11" t="s">
        <v>28</v>
      </c>
      <c r="D3286" s="9" t="s">
        <v>10939</v>
      </c>
      <c r="E3286" s="11" t="s">
        <v>28</v>
      </c>
      <c r="F3286" s="10" t="s">
        <v>28</v>
      </c>
      <c r="G3286" s="10" t="s">
        <v>28</v>
      </c>
      <c r="H3286" s="10" t="s">
        <v>28</v>
      </c>
      <c r="I3286" s="11" t="s">
        <v>28</v>
      </c>
      <c r="J3286" s="11" t="s">
        <v>28</v>
      </c>
      <c r="K3286" s="11">
        <v>30</v>
      </c>
      <c r="L3286" s="11" t="s">
        <v>28</v>
      </c>
      <c r="M3286" s="11" t="s">
        <v>28</v>
      </c>
      <c r="N3286" s="8">
        <v>44666</v>
      </c>
      <c r="O3286" s="9" t="s">
        <v>79</v>
      </c>
      <c r="P3286" s="12" t="s">
        <v>482</v>
      </c>
      <c r="Q3286" s="9" t="s">
        <v>75</v>
      </c>
      <c r="R3286" s="14" t="str">
        <f>HYPERLINK("https://my.pitchbook.com?c=192770-83T","View Company Online")</f>
        <v>View Company Online</v>
      </c>
    </row>
    <row r="3287" spans="1:18" hidden="1" x14ac:dyDescent="0.3">
      <c r="A3287" s="15" t="s">
        <v>10940</v>
      </c>
      <c r="B3287" s="15" t="s">
        <v>10941</v>
      </c>
      <c r="C3287" s="18" t="s">
        <v>28</v>
      </c>
      <c r="D3287" s="15" t="s">
        <v>10942</v>
      </c>
      <c r="E3287" s="18" t="s">
        <v>28</v>
      </c>
      <c r="F3287" s="19" t="s">
        <v>28</v>
      </c>
      <c r="G3287" s="19">
        <v>1.56</v>
      </c>
      <c r="H3287" s="19" t="s">
        <v>28</v>
      </c>
      <c r="I3287" s="18" t="s">
        <v>28</v>
      </c>
      <c r="J3287" s="18" t="s">
        <v>28</v>
      </c>
      <c r="K3287" s="18" t="s">
        <v>28</v>
      </c>
      <c r="L3287" s="18" t="s">
        <v>28</v>
      </c>
      <c r="M3287" s="18" t="s">
        <v>28</v>
      </c>
      <c r="N3287" s="17">
        <v>44665</v>
      </c>
      <c r="O3287" s="15" t="s">
        <v>99</v>
      </c>
      <c r="P3287" s="16" t="s">
        <v>10943</v>
      </c>
      <c r="Q3287" s="15" t="s">
        <v>75</v>
      </c>
      <c r="R3287" s="13" t="str">
        <f>HYPERLINK("https://my.pitchbook.com?c=194512-87T","View Company Online")</f>
        <v>View Company Online</v>
      </c>
    </row>
    <row r="3288" spans="1:18" hidden="1" x14ac:dyDescent="0.3">
      <c r="A3288" s="9" t="s">
        <v>10944</v>
      </c>
      <c r="B3288" s="9" t="s">
        <v>10945</v>
      </c>
      <c r="C3288" s="11" t="s">
        <v>28</v>
      </c>
      <c r="D3288" s="9" t="s">
        <v>10946</v>
      </c>
      <c r="E3288" s="11" t="s">
        <v>28</v>
      </c>
      <c r="F3288" s="10" t="s">
        <v>28</v>
      </c>
      <c r="G3288" s="10" t="s">
        <v>28</v>
      </c>
      <c r="H3288" s="10" t="s">
        <v>28</v>
      </c>
      <c r="I3288" s="11" t="s">
        <v>28</v>
      </c>
      <c r="J3288" s="11" t="s">
        <v>28</v>
      </c>
      <c r="K3288" s="11" t="s">
        <v>28</v>
      </c>
      <c r="L3288" s="11" t="s">
        <v>28</v>
      </c>
      <c r="M3288" s="11" t="s">
        <v>28</v>
      </c>
      <c r="N3288" s="8">
        <v>44665</v>
      </c>
      <c r="O3288" s="9" t="s">
        <v>30</v>
      </c>
      <c r="P3288" s="12" t="s">
        <v>10947</v>
      </c>
      <c r="Q3288" s="9" t="s">
        <v>75</v>
      </c>
      <c r="R3288" s="14" t="str">
        <f>HYPERLINK("https://my.pitchbook.com?c=192324-25T","View Company Online")</f>
        <v>View Company Online</v>
      </c>
    </row>
    <row r="3289" spans="1:18" hidden="1" x14ac:dyDescent="0.3">
      <c r="A3289" s="15" t="s">
        <v>10948</v>
      </c>
      <c r="B3289" s="15" t="s">
        <v>6367</v>
      </c>
      <c r="C3289" s="18" t="s">
        <v>28</v>
      </c>
      <c r="D3289" s="15" t="s">
        <v>6368</v>
      </c>
      <c r="E3289" s="18" t="s">
        <v>28</v>
      </c>
      <c r="F3289" s="19" t="s">
        <v>28</v>
      </c>
      <c r="G3289" s="19" t="s">
        <v>28</v>
      </c>
      <c r="H3289" s="19" t="s">
        <v>28</v>
      </c>
      <c r="I3289" s="18" t="s">
        <v>28</v>
      </c>
      <c r="J3289" s="18" t="s">
        <v>28</v>
      </c>
      <c r="K3289" s="18" t="s">
        <v>28</v>
      </c>
      <c r="L3289" s="18" t="s">
        <v>28</v>
      </c>
      <c r="M3289" s="18" t="s">
        <v>28</v>
      </c>
      <c r="N3289" s="17">
        <v>44664</v>
      </c>
      <c r="O3289" s="15" t="s">
        <v>79</v>
      </c>
      <c r="P3289" s="16" t="s">
        <v>10949</v>
      </c>
      <c r="Q3289" s="15" t="s">
        <v>419</v>
      </c>
      <c r="R3289" s="13" t="str">
        <f>HYPERLINK("https://my.pitchbook.com?c=192229-12T","View Company Online")</f>
        <v>View Company Online</v>
      </c>
    </row>
    <row r="3290" spans="1:18" hidden="1" x14ac:dyDescent="0.3">
      <c r="A3290" s="9" t="s">
        <v>10950</v>
      </c>
      <c r="B3290" s="9" t="s">
        <v>10951</v>
      </c>
      <c r="C3290" s="11" t="s">
        <v>28</v>
      </c>
      <c r="D3290" s="9" t="s">
        <v>10952</v>
      </c>
      <c r="E3290" s="11" t="s">
        <v>28</v>
      </c>
      <c r="F3290" s="10" t="s">
        <v>28</v>
      </c>
      <c r="G3290" s="10" t="s">
        <v>28</v>
      </c>
      <c r="H3290" s="10" t="s">
        <v>28</v>
      </c>
      <c r="I3290" s="11" t="s">
        <v>28</v>
      </c>
      <c r="J3290" s="11" t="s">
        <v>28</v>
      </c>
      <c r="K3290" s="11" t="s">
        <v>28</v>
      </c>
      <c r="L3290" s="11" t="s">
        <v>28</v>
      </c>
      <c r="M3290" s="11" t="s">
        <v>28</v>
      </c>
      <c r="N3290" s="8">
        <v>44664</v>
      </c>
      <c r="O3290" s="9" t="s">
        <v>173</v>
      </c>
      <c r="P3290" s="12" t="s">
        <v>28</v>
      </c>
      <c r="Q3290" s="9" t="s">
        <v>174</v>
      </c>
      <c r="R3290" s="14" t="str">
        <f>HYPERLINK("https://my.pitchbook.com?c=192328-75T","View Company Online")</f>
        <v>View Company Online</v>
      </c>
    </row>
    <row r="3291" spans="1:18" hidden="1" x14ac:dyDescent="0.3">
      <c r="A3291" s="15" t="s">
        <v>10953</v>
      </c>
      <c r="B3291" s="15" t="s">
        <v>3392</v>
      </c>
      <c r="C3291" s="18" t="s">
        <v>28</v>
      </c>
      <c r="D3291" s="15" t="s">
        <v>3393</v>
      </c>
      <c r="E3291" s="18" t="s">
        <v>28</v>
      </c>
      <c r="F3291" s="19" t="s">
        <v>28</v>
      </c>
      <c r="G3291" s="19">
        <v>16.7</v>
      </c>
      <c r="H3291" s="19" t="s">
        <v>28</v>
      </c>
      <c r="I3291" s="18" t="s">
        <v>28</v>
      </c>
      <c r="J3291" s="18" t="s">
        <v>28</v>
      </c>
      <c r="K3291" s="18" t="s">
        <v>28</v>
      </c>
      <c r="L3291" s="18" t="s">
        <v>28</v>
      </c>
      <c r="M3291" s="18" t="s">
        <v>28</v>
      </c>
      <c r="N3291" s="17">
        <v>44664</v>
      </c>
      <c r="O3291" s="15" t="s">
        <v>73</v>
      </c>
      <c r="P3291" s="16" t="s">
        <v>10954</v>
      </c>
      <c r="Q3291" s="15" t="s">
        <v>583</v>
      </c>
      <c r="R3291" s="13" t="str">
        <f>HYPERLINK("https://my.pitchbook.com?c=192132-73T","View Company Online")</f>
        <v>View Company Online</v>
      </c>
    </row>
    <row r="3292" spans="1:18" hidden="1" x14ac:dyDescent="0.3">
      <c r="A3292" s="9" t="s">
        <v>10955</v>
      </c>
      <c r="B3292" s="9" t="s">
        <v>10956</v>
      </c>
      <c r="C3292" s="11" t="s">
        <v>28</v>
      </c>
      <c r="D3292" s="9" t="s">
        <v>10957</v>
      </c>
      <c r="E3292" s="11">
        <v>31.26</v>
      </c>
      <c r="F3292" s="10" t="s">
        <v>28</v>
      </c>
      <c r="G3292" s="10">
        <v>200</v>
      </c>
      <c r="H3292" s="10">
        <v>3846.15</v>
      </c>
      <c r="I3292" s="11">
        <v>292.83999999999997</v>
      </c>
      <c r="J3292" s="11">
        <v>13.13</v>
      </c>
      <c r="K3292" s="11">
        <v>1701.23</v>
      </c>
      <c r="L3292" s="11">
        <v>2.2599999999999998</v>
      </c>
      <c r="M3292" s="11">
        <v>-390.48</v>
      </c>
      <c r="N3292" s="8">
        <v>44664</v>
      </c>
      <c r="O3292" s="9" t="s">
        <v>159</v>
      </c>
      <c r="P3292" s="12" t="s">
        <v>10958</v>
      </c>
      <c r="Q3292" s="9" t="s">
        <v>2168</v>
      </c>
      <c r="R3292" s="14" t="str">
        <f>HYPERLINK("https://my.pitchbook.com?c=189900-82T","View Company Online")</f>
        <v>View Company Online</v>
      </c>
    </row>
    <row r="3293" spans="1:18" hidden="1" x14ac:dyDescent="0.3">
      <c r="A3293" s="15" t="s">
        <v>10959</v>
      </c>
      <c r="B3293" s="15" t="s">
        <v>10960</v>
      </c>
      <c r="C3293" s="18" t="s">
        <v>28</v>
      </c>
      <c r="D3293" s="15" t="s">
        <v>10961</v>
      </c>
      <c r="E3293" s="18" t="s">
        <v>28</v>
      </c>
      <c r="F3293" s="19" t="s">
        <v>28</v>
      </c>
      <c r="G3293" s="19" t="s">
        <v>28</v>
      </c>
      <c r="H3293" s="19" t="s">
        <v>28</v>
      </c>
      <c r="I3293" s="18" t="s">
        <v>28</v>
      </c>
      <c r="J3293" s="18" t="s">
        <v>28</v>
      </c>
      <c r="K3293" s="18" t="s">
        <v>28</v>
      </c>
      <c r="L3293" s="18" t="s">
        <v>28</v>
      </c>
      <c r="M3293" s="18" t="s">
        <v>28</v>
      </c>
      <c r="N3293" s="17">
        <v>44664</v>
      </c>
      <c r="O3293" s="15" t="s">
        <v>93</v>
      </c>
      <c r="P3293" s="16" t="s">
        <v>10962</v>
      </c>
      <c r="Q3293" s="15" t="s">
        <v>280</v>
      </c>
      <c r="R3293" s="13" t="str">
        <f>HYPERLINK("https://my.pitchbook.com?c=212976-19T","View Company Online")</f>
        <v>View Company Online</v>
      </c>
    </row>
    <row r="3294" spans="1:18" hidden="1" x14ac:dyDescent="0.3">
      <c r="A3294" s="9" t="s">
        <v>10963</v>
      </c>
      <c r="B3294" s="9" t="s">
        <v>1720</v>
      </c>
      <c r="C3294" s="11" t="s">
        <v>28</v>
      </c>
      <c r="D3294" s="9" t="s">
        <v>1721</v>
      </c>
      <c r="E3294" s="11" t="s">
        <v>28</v>
      </c>
      <c r="F3294" s="10" t="s">
        <v>28</v>
      </c>
      <c r="G3294" s="10">
        <v>2.4900000000000002</v>
      </c>
      <c r="H3294" s="10" t="s">
        <v>28</v>
      </c>
      <c r="I3294" s="11" t="s">
        <v>28</v>
      </c>
      <c r="J3294" s="11" t="s">
        <v>28</v>
      </c>
      <c r="K3294" s="11" t="s">
        <v>28</v>
      </c>
      <c r="L3294" s="11" t="s">
        <v>28</v>
      </c>
      <c r="M3294" s="11" t="s">
        <v>28</v>
      </c>
      <c r="N3294" s="8">
        <v>44664</v>
      </c>
      <c r="O3294" s="9" t="s">
        <v>73</v>
      </c>
      <c r="P3294" s="12" t="s">
        <v>10964</v>
      </c>
      <c r="Q3294" s="9" t="s">
        <v>249</v>
      </c>
      <c r="R3294" s="14" t="str">
        <f>HYPERLINK("https://my.pitchbook.com?c=192177-64T","View Company Online")</f>
        <v>View Company Online</v>
      </c>
    </row>
    <row r="3295" spans="1:18" hidden="1" x14ac:dyDescent="0.3">
      <c r="A3295" s="15" t="s">
        <v>10965</v>
      </c>
      <c r="B3295" s="15" t="s">
        <v>10966</v>
      </c>
      <c r="C3295" s="18" t="s">
        <v>28</v>
      </c>
      <c r="D3295" s="15" t="s">
        <v>10967</v>
      </c>
      <c r="E3295" s="18" t="s">
        <v>28</v>
      </c>
      <c r="F3295" s="19" t="s">
        <v>28</v>
      </c>
      <c r="G3295" s="19">
        <v>0.87</v>
      </c>
      <c r="H3295" s="19" t="s">
        <v>28</v>
      </c>
      <c r="I3295" s="18" t="s">
        <v>28</v>
      </c>
      <c r="J3295" s="18" t="s">
        <v>28</v>
      </c>
      <c r="K3295" s="18" t="s">
        <v>28</v>
      </c>
      <c r="L3295" s="18" t="s">
        <v>28</v>
      </c>
      <c r="M3295" s="18" t="s">
        <v>28</v>
      </c>
      <c r="N3295" s="17">
        <v>44664</v>
      </c>
      <c r="O3295" s="15" t="s">
        <v>99</v>
      </c>
      <c r="P3295" s="16" t="s">
        <v>2032</v>
      </c>
      <c r="Q3295" s="15" t="s">
        <v>75</v>
      </c>
      <c r="R3295" s="13" t="str">
        <f>HYPERLINK("https://my.pitchbook.com?c=241911-55T","View Company Online")</f>
        <v>View Company Online</v>
      </c>
    </row>
    <row r="3296" spans="1:18" hidden="1" x14ac:dyDescent="0.3">
      <c r="A3296" s="9" t="s">
        <v>10968</v>
      </c>
      <c r="B3296" s="9" t="s">
        <v>10969</v>
      </c>
      <c r="C3296" s="11" t="s">
        <v>28</v>
      </c>
      <c r="D3296" s="9" t="s">
        <v>10970</v>
      </c>
      <c r="E3296" s="11" t="s">
        <v>28</v>
      </c>
      <c r="F3296" s="10" t="s">
        <v>28</v>
      </c>
      <c r="G3296" s="10">
        <v>100</v>
      </c>
      <c r="H3296" s="10">
        <v>2600</v>
      </c>
      <c r="I3296" s="11" t="s">
        <v>28</v>
      </c>
      <c r="J3296" s="11" t="s">
        <v>28</v>
      </c>
      <c r="K3296" s="11" t="s">
        <v>28</v>
      </c>
      <c r="L3296" s="11" t="s">
        <v>28</v>
      </c>
      <c r="M3296" s="11" t="s">
        <v>28</v>
      </c>
      <c r="N3296" s="8">
        <v>44664</v>
      </c>
      <c r="O3296" s="9" t="s">
        <v>79</v>
      </c>
      <c r="P3296" s="12" t="s">
        <v>10971</v>
      </c>
      <c r="Q3296" s="9" t="s">
        <v>75</v>
      </c>
      <c r="R3296" s="14" t="str">
        <f>HYPERLINK("https://my.pitchbook.com?c=192169-00T","View Company Online")</f>
        <v>View Company Online</v>
      </c>
    </row>
    <row r="3297" spans="1:18" hidden="1" x14ac:dyDescent="0.3">
      <c r="A3297" s="15" t="s">
        <v>10972</v>
      </c>
      <c r="B3297" s="15" t="s">
        <v>10973</v>
      </c>
      <c r="C3297" s="18" t="s">
        <v>28</v>
      </c>
      <c r="D3297" s="15" t="s">
        <v>10974</v>
      </c>
      <c r="E3297" s="18" t="s">
        <v>28</v>
      </c>
      <c r="F3297" s="19" t="s">
        <v>28</v>
      </c>
      <c r="G3297" s="19">
        <v>3</v>
      </c>
      <c r="H3297" s="19" t="s">
        <v>28</v>
      </c>
      <c r="I3297" s="18" t="s">
        <v>28</v>
      </c>
      <c r="J3297" s="18" t="s">
        <v>28</v>
      </c>
      <c r="K3297" s="18" t="s">
        <v>28</v>
      </c>
      <c r="L3297" s="18" t="s">
        <v>28</v>
      </c>
      <c r="M3297" s="18" t="s">
        <v>28</v>
      </c>
      <c r="N3297" s="17">
        <v>44663</v>
      </c>
      <c r="O3297" s="15" t="s">
        <v>73</v>
      </c>
      <c r="P3297" s="16" t="s">
        <v>10975</v>
      </c>
      <c r="Q3297" s="15" t="s">
        <v>386</v>
      </c>
      <c r="R3297" s="13" t="str">
        <f>HYPERLINK("https://my.pitchbook.com?c=177085-72T","View Company Online")</f>
        <v>View Company Online</v>
      </c>
    </row>
    <row r="3298" spans="1:18" hidden="1" x14ac:dyDescent="0.3">
      <c r="A3298" s="9" t="s">
        <v>10976</v>
      </c>
      <c r="B3298" s="9" t="s">
        <v>10977</v>
      </c>
      <c r="C3298" s="11" t="s">
        <v>28</v>
      </c>
      <c r="D3298" s="9" t="s">
        <v>10978</v>
      </c>
      <c r="E3298" s="11" t="s">
        <v>28</v>
      </c>
      <c r="F3298" s="10" t="s">
        <v>28</v>
      </c>
      <c r="G3298" s="10" t="s">
        <v>28</v>
      </c>
      <c r="H3298" s="10" t="s">
        <v>28</v>
      </c>
      <c r="I3298" s="11" t="s">
        <v>28</v>
      </c>
      <c r="J3298" s="11" t="s">
        <v>28</v>
      </c>
      <c r="K3298" s="11" t="s">
        <v>28</v>
      </c>
      <c r="L3298" s="11" t="s">
        <v>28</v>
      </c>
      <c r="M3298" s="11" t="s">
        <v>28</v>
      </c>
      <c r="N3298" s="8">
        <v>44663</v>
      </c>
      <c r="O3298" s="9" t="s">
        <v>173</v>
      </c>
      <c r="P3298" s="12" t="s">
        <v>28</v>
      </c>
      <c r="Q3298" s="9" t="s">
        <v>1336</v>
      </c>
      <c r="R3298" s="14" t="str">
        <f>HYPERLINK("https://my.pitchbook.com?c=192583-27T","View Company Online")</f>
        <v>View Company Online</v>
      </c>
    </row>
    <row r="3299" spans="1:18" hidden="1" x14ac:dyDescent="0.3">
      <c r="A3299" s="15" t="s">
        <v>10979</v>
      </c>
      <c r="B3299" s="15" t="s">
        <v>10980</v>
      </c>
      <c r="C3299" s="18" t="s">
        <v>28</v>
      </c>
      <c r="D3299" s="15" t="s">
        <v>10981</v>
      </c>
      <c r="E3299" s="18" t="s">
        <v>28</v>
      </c>
      <c r="F3299" s="19" t="s">
        <v>28</v>
      </c>
      <c r="G3299" s="19" t="s">
        <v>28</v>
      </c>
      <c r="H3299" s="19" t="s">
        <v>28</v>
      </c>
      <c r="I3299" s="18" t="s">
        <v>28</v>
      </c>
      <c r="J3299" s="18" t="s">
        <v>28</v>
      </c>
      <c r="K3299" s="18" t="s">
        <v>28</v>
      </c>
      <c r="L3299" s="18" t="s">
        <v>28</v>
      </c>
      <c r="M3299" s="18" t="s">
        <v>28</v>
      </c>
      <c r="N3299" s="17">
        <v>44663</v>
      </c>
      <c r="O3299" s="15" t="s">
        <v>30</v>
      </c>
      <c r="P3299" s="16" t="s">
        <v>10982</v>
      </c>
      <c r="Q3299" s="15" t="s">
        <v>959</v>
      </c>
      <c r="R3299" s="13" t="str">
        <f>HYPERLINK("https://my.pitchbook.com?c=219539-35T","View Company Online")</f>
        <v>View Company Online</v>
      </c>
    </row>
    <row r="3300" spans="1:18" hidden="1" x14ac:dyDescent="0.3">
      <c r="A3300" s="9" t="s">
        <v>10983</v>
      </c>
      <c r="B3300" s="9" t="s">
        <v>10984</v>
      </c>
      <c r="C3300" s="11" t="s">
        <v>28</v>
      </c>
      <c r="D3300" s="9" t="s">
        <v>10985</v>
      </c>
      <c r="E3300" s="11" t="s">
        <v>28</v>
      </c>
      <c r="F3300" s="10" t="s">
        <v>28</v>
      </c>
      <c r="G3300" s="10" t="s">
        <v>28</v>
      </c>
      <c r="H3300" s="10" t="s">
        <v>28</v>
      </c>
      <c r="I3300" s="11" t="s">
        <v>28</v>
      </c>
      <c r="J3300" s="11" t="s">
        <v>28</v>
      </c>
      <c r="K3300" s="11" t="s">
        <v>28</v>
      </c>
      <c r="L3300" s="11" t="s">
        <v>28</v>
      </c>
      <c r="M3300" s="11" t="s">
        <v>28</v>
      </c>
      <c r="N3300" s="8">
        <v>44663</v>
      </c>
      <c r="O3300" s="9" t="s">
        <v>30</v>
      </c>
      <c r="P3300" s="12" t="s">
        <v>10982</v>
      </c>
      <c r="Q3300" s="9" t="s">
        <v>95</v>
      </c>
      <c r="R3300" s="14" t="str">
        <f>HYPERLINK("https://my.pitchbook.com?c=210735-10T","View Company Online")</f>
        <v>View Company Online</v>
      </c>
    </row>
    <row r="3301" spans="1:18" hidden="1" x14ac:dyDescent="0.3">
      <c r="A3301" s="15" t="s">
        <v>10986</v>
      </c>
      <c r="B3301" s="15" t="s">
        <v>1988</v>
      </c>
      <c r="C3301" s="18" t="s">
        <v>28</v>
      </c>
      <c r="D3301" s="15" t="s">
        <v>1989</v>
      </c>
      <c r="E3301" s="18" t="s">
        <v>28</v>
      </c>
      <c r="F3301" s="19" t="s">
        <v>28</v>
      </c>
      <c r="G3301" s="19">
        <v>60</v>
      </c>
      <c r="H3301" s="19" t="s">
        <v>28</v>
      </c>
      <c r="I3301" s="18" t="s">
        <v>28</v>
      </c>
      <c r="J3301" s="18" t="s">
        <v>28</v>
      </c>
      <c r="K3301" s="18" t="s">
        <v>28</v>
      </c>
      <c r="L3301" s="18" t="s">
        <v>28</v>
      </c>
      <c r="M3301" s="18" t="s">
        <v>28</v>
      </c>
      <c r="N3301" s="17">
        <v>44663</v>
      </c>
      <c r="O3301" s="15" t="s">
        <v>79</v>
      </c>
      <c r="P3301" s="16" t="s">
        <v>10987</v>
      </c>
      <c r="Q3301" s="15" t="s">
        <v>75</v>
      </c>
      <c r="R3301" s="13" t="str">
        <f>HYPERLINK("https://my.pitchbook.com?c=193397-14T","View Company Online")</f>
        <v>View Company Online</v>
      </c>
    </row>
    <row r="3302" spans="1:18" hidden="1" x14ac:dyDescent="0.3">
      <c r="A3302" s="9" t="s">
        <v>10988</v>
      </c>
      <c r="B3302" s="9" t="s">
        <v>10989</v>
      </c>
      <c r="C3302" s="11" t="s">
        <v>28</v>
      </c>
      <c r="D3302" s="9" t="s">
        <v>10990</v>
      </c>
      <c r="E3302" s="11" t="s">
        <v>28</v>
      </c>
      <c r="F3302" s="10" t="s">
        <v>28</v>
      </c>
      <c r="G3302" s="10" t="s">
        <v>28</v>
      </c>
      <c r="H3302" s="10" t="s">
        <v>28</v>
      </c>
      <c r="I3302" s="11" t="s">
        <v>28</v>
      </c>
      <c r="J3302" s="11" t="s">
        <v>28</v>
      </c>
      <c r="K3302" s="11" t="s">
        <v>28</v>
      </c>
      <c r="L3302" s="11" t="s">
        <v>28</v>
      </c>
      <c r="M3302" s="11" t="s">
        <v>28</v>
      </c>
      <c r="N3302" s="8">
        <v>44663</v>
      </c>
      <c r="O3302" s="9" t="s">
        <v>30</v>
      </c>
      <c r="P3302" s="12" t="s">
        <v>1424</v>
      </c>
      <c r="Q3302" s="9" t="s">
        <v>75</v>
      </c>
      <c r="R3302" s="14" t="str">
        <f>HYPERLINK("https://my.pitchbook.com?c=210058-84T","View Company Online")</f>
        <v>View Company Online</v>
      </c>
    </row>
    <row r="3303" spans="1:18" hidden="1" x14ac:dyDescent="0.3">
      <c r="A3303" s="15" t="s">
        <v>10991</v>
      </c>
      <c r="B3303" s="15" t="s">
        <v>10992</v>
      </c>
      <c r="C3303" s="18" t="s">
        <v>28</v>
      </c>
      <c r="D3303" s="15" t="s">
        <v>10993</v>
      </c>
      <c r="E3303" s="18" t="s">
        <v>28</v>
      </c>
      <c r="F3303" s="19">
        <v>355.67</v>
      </c>
      <c r="G3303" s="19">
        <v>177.84</v>
      </c>
      <c r="H3303" s="19">
        <v>355.67</v>
      </c>
      <c r="I3303" s="18" t="s">
        <v>28</v>
      </c>
      <c r="J3303" s="18" t="s">
        <v>28</v>
      </c>
      <c r="K3303" s="18" t="s">
        <v>28</v>
      </c>
      <c r="L3303" s="18" t="s">
        <v>28</v>
      </c>
      <c r="M3303" s="18" t="s">
        <v>28</v>
      </c>
      <c r="N3303" s="17">
        <v>44663</v>
      </c>
      <c r="O3303" s="15" t="s">
        <v>30</v>
      </c>
      <c r="P3303" s="16" t="s">
        <v>2372</v>
      </c>
      <c r="Q3303" s="15" t="s">
        <v>37</v>
      </c>
      <c r="R3303" s="13" t="str">
        <f>HYPERLINK("https://my.pitchbook.com?c=192325-60T","View Company Online")</f>
        <v>View Company Online</v>
      </c>
    </row>
    <row r="3304" spans="1:18" hidden="1" x14ac:dyDescent="0.3">
      <c r="A3304" s="9" t="s">
        <v>10994</v>
      </c>
      <c r="B3304" s="9" t="s">
        <v>6288</v>
      </c>
      <c r="C3304" s="11" t="s">
        <v>28</v>
      </c>
      <c r="D3304" s="9" t="s">
        <v>6289</v>
      </c>
      <c r="E3304" s="11" t="s">
        <v>28</v>
      </c>
      <c r="F3304" s="10" t="s">
        <v>28</v>
      </c>
      <c r="G3304" s="10">
        <v>45</v>
      </c>
      <c r="H3304" s="10">
        <v>250</v>
      </c>
      <c r="I3304" s="11" t="s">
        <v>28</v>
      </c>
      <c r="J3304" s="11" t="s">
        <v>28</v>
      </c>
      <c r="K3304" s="11" t="s">
        <v>28</v>
      </c>
      <c r="L3304" s="11" t="s">
        <v>28</v>
      </c>
      <c r="M3304" s="11">
        <v>0.55000000000000004</v>
      </c>
      <c r="N3304" s="8">
        <v>44662</v>
      </c>
      <c r="O3304" s="9" t="s">
        <v>73</v>
      </c>
      <c r="P3304" s="12" t="s">
        <v>10995</v>
      </c>
      <c r="Q3304" s="9" t="s">
        <v>37</v>
      </c>
      <c r="R3304" s="14" t="str">
        <f>HYPERLINK("https://my.pitchbook.com?c=191952-82T","View Company Online")</f>
        <v>View Company Online</v>
      </c>
    </row>
    <row r="3305" spans="1:18" hidden="1" x14ac:dyDescent="0.3">
      <c r="A3305" s="15" t="s">
        <v>10996</v>
      </c>
      <c r="B3305" s="15" t="s">
        <v>10997</v>
      </c>
      <c r="C3305" s="18" t="s">
        <v>28</v>
      </c>
      <c r="D3305" s="15" t="s">
        <v>10998</v>
      </c>
      <c r="E3305" s="18" t="s">
        <v>28</v>
      </c>
      <c r="F3305" s="19" t="s">
        <v>28</v>
      </c>
      <c r="G3305" s="19" t="s">
        <v>28</v>
      </c>
      <c r="H3305" s="19" t="s">
        <v>28</v>
      </c>
      <c r="I3305" s="18" t="s">
        <v>28</v>
      </c>
      <c r="J3305" s="18" t="s">
        <v>28</v>
      </c>
      <c r="K3305" s="18" t="s">
        <v>28</v>
      </c>
      <c r="L3305" s="18" t="s">
        <v>28</v>
      </c>
      <c r="M3305" s="18" t="s">
        <v>28</v>
      </c>
      <c r="N3305" s="17">
        <v>44659</v>
      </c>
      <c r="O3305" s="15" t="s">
        <v>30</v>
      </c>
      <c r="P3305" s="16" t="s">
        <v>3147</v>
      </c>
      <c r="Q3305" s="15" t="s">
        <v>348</v>
      </c>
      <c r="R3305" s="13" t="str">
        <f>HYPERLINK("https://my.pitchbook.com?c=232747-21T","View Company Online")</f>
        <v>View Company Online</v>
      </c>
    </row>
    <row r="3306" spans="1:18" hidden="1" x14ac:dyDescent="0.3">
      <c r="A3306" s="9" t="s">
        <v>10999</v>
      </c>
      <c r="B3306" s="9" t="s">
        <v>2099</v>
      </c>
      <c r="C3306" s="11" t="s">
        <v>28</v>
      </c>
      <c r="D3306" s="9" t="s">
        <v>2100</v>
      </c>
      <c r="E3306" s="11" t="s">
        <v>28</v>
      </c>
      <c r="F3306" s="10" t="s">
        <v>28</v>
      </c>
      <c r="G3306" s="10">
        <v>17.440000000000001</v>
      </c>
      <c r="H3306" s="10" t="s">
        <v>28</v>
      </c>
      <c r="I3306" s="11" t="s">
        <v>28</v>
      </c>
      <c r="J3306" s="11" t="s">
        <v>28</v>
      </c>
      <c r="K3306" s="11">
        <v>20.76</v>
      </c>
      <c r="L3306" s="11" t="s">
        <v>28</v>
      </c>
      <c r="M3306" s="11" t="s">
        <v>28</v>
      </c>
      <c r="N3306" s="8">
        <v>44659</v>
      </c>
      <c r="O3306" s="9" t="s">
        <v>79</v>
      </c>
      <c r="P3306" s="12" t="s">
        <v>11000</v>
      </c>
      <c r="Q3306" s="9" t="s">
        <v>37</v>
      </c>
      <c r="R3306" s="14" t="str">
        <f>HYPERLINK("https://my.pitchbook.com?c=191876-05T","View Company Online")</f>
        <v>View Company Online</v>
      </c>
    </row>
    <row r="3307" spans="1:18" hidden="1" x14ac:dyDescent="0.3">
      <c r="A3307" s="15" t="s">
        <v>11001</v>
      </c>
      <c r="B3307" s="15" t="s">
        <v>10552</v>
      </c>
      <c r="C3307" s="18" t="s">
        <v>28</v>
      </c>
      <c r="D3307" s="15" t="s">
        <v>10553</v>
      </c>
      <c r="E3307" s="18" t="s">
        <v>28</v>
      </c>
      <c r="F3307" s="19" t="s">
        <v>28</v>
      </c>
      <c r="G3307" s="19">
        <v>0.33</v>
      </c>
      <c r="H3307" s="19">
        <v>2.87</v>
      </c>
      <c r="I3307" s="18" t="s">
        <v>28</v>
      </c>
      <c r="J3307" s="18" t="s">
        <v>28</v>
      </c>
      <c r="K3307" s="18" t="s">
        <v>28</v>
      </c>
      <c r="L3307" s="18" t="s">
        <v>28</v>
      </c>
      <c r="M3307" s="18" t="s">
        <v>28</v>
      </c>
      <c r="N3307" s="17">
        <v>44659</v>
      </c>
      <c r="O3307" s="15" t="s">
        <v>1639</v>
      </c>
      <c r="P3307" s="16" t="s">
        <v>28</v>
      </c>
      <c r="Q3307" s="15" t="s">
        <v>386</v>
      </c>
      <c r="R3307" s="13" t="str">
        <f>HYPERLINK("https://my.pitchbook.com?c=199727-20T","View Company Online")</f>
        <v>View Company Online</v>
      </c>
    </row>
    <row r="3308" spans="1:18" hidden="1" x14ac:dyDescent="0.3">
      <c r="A3308" s="9" t="s">
        <v>11002</v>
      </c>
      <c r="B3308" s="9" t="s">
        <v>11003</v>
      </c>
      <c r="C3308" s="11" t="s">
        <v>28</v>
      </c>
      <c r="D3308" s="9" t="s">
        <v>11004</v>
      </c>
      <c r="E3308" s="11" t="s">
        <v>28</v>
      </c>
      <c r="F3308" s="10" t="s">
        <v>28</v>
      </c>
      <c r="G3308" s="10">
        <v>0.88</v>
      </c>
      <c r="H3308" s="10" t="s">
        <v>28</v>
      </c>
      <c r="I3308" s="11" t="s">
        <v>28</v>
      </c>
      <c r="J3308" s="11" t="s">
        <v>28</v>
      </c>
      <c r="K3308" s="11" t="s">
        <v>28</v>
      </c>
      <c r="L3308" s="11" t="s">
        <v>28</v>
      </c>
      <c r="M3308" s="11" t="s">
        <v>28</v>
      </c>
      <c r="N3308" s="8">
        <v>44659</v>
      </c>
      <c r="O3308" s="9" t="s">
        <v>99</v>
      </c>
      <c r="P3308" s="12" t="s">
        <v>11005</v>
      </c>
      <c r="Q3308" s="9" t="s">
        <v>404</v>
      </c>
      <c r="R3308" s="14" t="str">
        <f>HYPERLINK("https://my.pitchbook.com?c=191967-40T","View Company Online")</f>
        <v>View Company Online</v>
      </c>
    </row>
    <row r="3309" spans="1:18" hidden="1" x14ac:dyDescent="0.3">
      <c r="A3309" s="15" t="s">
        <v>11006</v>
      </c>
      <c r="B3309" s="15" t="s">
        <v>11007</v>
      </c>
      <c r="C3309" s="18" t="s">
        <v>28</v>
      </c>
      <c r="D3309" s="15" t="s">
        <v>11008</v>
      </c>
      <c r="E3309" s="18">
        <v>54.02</v>
      </c>
      <c r="F3309" s="19" t="s">
        <v>28</v>
      </c>
      <c r="G3309" s="19">
        <v>129.13</v>
      </c>
      <c r="H3309" s="19" t="s">
        <v>28</v>
      </c>
      <c r="I3309" s="18">
        <v>75.12</v>
      </c>
      <c r="J3309" s="18" t="s">
        <v>28</v>
      </c>
      <c r="K3309" s="18">
        <v>495.48</v>
      </c>
      <c r="L3309" s="18" t="s">
        <v>28</v>
      </c>
      <c r="M3309" s="18">
        <v>33.520000000000003</v>
      </c>
      <c r="N3309" s="17">
        <v>44659</v>
      </c>
      <c r="O3309" s="15" t="s">
        <v>159</v>
      </c>
      <c r="P3309" s="16" t="s">
        <v>28</v>
      </c>
      <c r="Q3309" s="15" t="s">
        <v>85</v>
      </c>
      <c r="R3309" s="13" t="str">
        <f>HYPERLINK("https://my.pitchbook.com?c=192126-43T","View Company Online")</f>
        <v>View Company Online</v>
      </c>
    </row>
    <row r="3310" spans="1:18" hidden="1" x14ac:dyDescent="0.3">
      <c r="A3310" s="9" t="s">
        <v>11009</v>
      </c>
      <c r="B3310" s="9" t="s">
        <v>11010</v>
      </c>
      <c r="C3310" s="11" t="s">
        <v>28</v>
      </c>
      <c r="D3310" s="9" t="s">
        <v>11011</v>
      </c>
      <c r="E3310" s="11" t="s">
        <v>28</v>
      </c>
      <c r="F3310" s="10" t="s">
        <v>28</v>
      </c>
      <c r="G3310" s="10" t="s">
        <v>28</v>
      </c>
      <c r="H3310" s="10" t="s">
        <v>28</v>
      </c>
      <c r="I3310" s="11" t="s">
        <v>28</v>
      </c>
      <c r="J3310" s="11" t="s">
        <v>28</v>
      </c>
      <c r="K3310" s="11" t="s">
        <v>28</v>
      </c>
      <c r="L3310" s="11" t="s">
        <v>28</v>
      </c>
      <c r="M3310" s="11" t="s">
        <v>28</v>
      </c>
      <c r="N3310" s="8">
        <v>44659</v>
      </c>
      <c r="O3310" s="9" t="s">
        <v>30</v>
      </c>
      <c r="P3310" s="12" t="s">
        <v>6183</v>
      </c>
      <c r="Q3310" s="9" t="s">
        <v>1336</v>
      </c>
      <c r="R3310" s="14" t="str">
        <f>HYPERLINK("https://my.pitchbook.com?c=193036-96T","View Company Online")</f>
        <v>View Company Online</v>
      </c>
    </row>
    <row r="3311" spans="1:18" hidden="1" x14ac:dyDescent="0.3">
      <c r="A3311" s="15" t="s">
        <v>11012</v>
      </c>
      <c r="B3311" s="15" t="s">
        <v>2897</v>
      </c>
      <c r="C3311" s="18" t="s">
        <v>28</v>
      </c>
      <c r="D3311" s="15" t="s">
        <v>2898</v>
      </c>
      <c r="E3311" s="18" t="s">
        <v>28</v>
      </c>
      <c r="F3311" s="19" t="s">
        <v>28</v>
      </c>
      <c r="G3311" s="19" t="s">
        <v>28</v>
      </c>
      <c r="H3311" s="19" t="s">
        <v>28</v>
      </c>
      <c r="I3311" s="18" t="s">
        <v>28</v>
      </c>
      <c r="J3311" s="18" t="s">
        <v>28</v>
      </c>
      <c r="K3311" s="18" t="s">
        <v>28</v>
      </c>
      <c r="L3311" s="18" t="s">
        <v>28</v>
      </c>
      <c r="M3311" s="18" t="s">
        <v>28</v>
      </c>
      <c r="N3311" s="17">
        <v>44659</v>
      </c>
      <c r="O3311" s="15" t="s">
        <v>379</v>
      </c>
      <c r="P3311" s="16" t="s">
        <v>11013</v>
      </c>
      <c r="Q3311" s="15" t="s">
        <v>75</v>
      </c>
      <c r="R3311" s="13" t="str">
        <f>HYPERLINK("https://my.pitchbook.com?c=191915-74T","View Company Online")</f>
        <v>View Company Online</v>
      </c>
    </row>
    <row r="3312" spans="1:18" hidden="1" x14ac:dyDescent="0.3">
      <c r="A3312" s="9" t="s">
        <v>11014</v>
      </c>
      <c r="B3312" s="9" t="s">
        <v>11015</v>
      </c>
      <c r="C3312" s="11" t="s">
        <v>28</v>
      </c>
      <c r="D3312" s="9" t="s">
        <v>11016</v>
      </c>
      <c r="E3312" s="11" t="s">
        <v>28</v>
      </c>
      <c r="F3312" s="10" t="s">
        <v>28</v>
      </c>
      <c r="G3312" s="10" t="s">
        <v>28</v>
      </c>
      <c r="H3312" s="10" t="s">
        <v>28</v>
      </c>
      <c r="I3312" s="11" t="s">
        <v>28</v>
      </c>
      <c r="J3312" s="11" t="s">
        <v>28</v>
      </c>
      <c r="K3312" s="11">
        <v>0.94</v>
      </c>
      <c r="L3312" s="11" t="s">
        <v>28</v>
      </c>
      <c r="M3312" s="11" t="s">
        <v>28</v>
      </c>
      <c r="N3312" s="8">
        <v>44659</v>
      </c>
      <c r="O3312" s="9" t="s">
        <v>41</v>
      </c>
      <c r="P3312" s="12" t="s">
        <v>11017</v>
      </c>
      <c r="Q3312" s="9" t="s">
        <v>386</v>
      </c>
      <c r="R3312" s="14" t="str">
        <f>HYPERLINK("https://my.pitchbook.com?c=191888-65T","View Company Online")</f>
        <v>View Company Online</v>
      </c>
    </row>
    <row r="3313" spans="1:18" hidden="1" x14ac:dyDescent="0.3">
      <c r="A3313" s="15" t="s">
        <v>11018</v>
      </c>
      <c r="B3313" s="15" t="s">
        <v>4074</v>
      </c>
      <c r="C3313" s="18" t="s">
        <v>28</v>
      </c>
      <c r="D3313" s="15" t="s">
        <v>4075</v>
      </c>
      <c r="E3313" s="18" t="s">
        <v>28</v>
      </c>
      <c r="F3313" s="19" t="s">
        <v>28</v>
      </c>
      <c r="G3313" s="19" t="s">
        <v>28</v>
      </c>
      <c r="H3313" s="19" t="s">
        <v>28</v>
      </c>
      <c r="I3313" s="18" t="s">
        <v>28</v>
      </c>
      <c r="J3313" s="18" t="s">
        <v>28</v>
      </c>
      <c r="K3313" s="18" t="s">
        <v>28</v>
      </c>
      <c r="L3313" s="18" t="s">
        <v>28</v>
      </c>
      <c r="M3313" s="18" t="s">
        <v>28</v>
      </c>
      <c r="N3313" s="17">
        <v>44658</v>
      </c>
      <c r="O3313" s="15" t="s">
        <v>52</v>
      </c>
      <c r="P3313" s="16" t="s">
        <v>11019</v>
      </c>
      <c r="Q3313" s="15" t="s">
        <v>583</v>
      </c>
      <c r="R3313" s="13" t="str">
        <f>HYPERLINK("https://my.pitchbook.com?c=252515-71T","View Company Online")</f>
        <v>View Company Online</v>
      </c>
    </row>
    <row r="3314" spans="1:18" hidden="1" x14ac:dyDescent="0.3">
      <c r="A3314" s="9" t="s">
        <v>11020</v>
      </c>
      <c r="B3314" s="9" t="s">
        <v>11021</v>
      </c>
      <c r="C3314" s="11" t="s">
        <v>28</v>
      </c>
      <c r="D3314" s="9" t="s">
        <v>11022</v>
      </c>
      <c r="E3314" s="11" t="s">
        <v>28</v>
      </c>
      <c r="F3314" s="10" t="s">
        <v>28</v>
      </c>
      <c r="G3314" s="10" t="s">
        <v>28</v>
      </c>
      <c r="H3314" s="10" t="s">
        <v>28</v>
      </c>
      <c r="I3314" s="11" t="s">
        <v>28</v>
      </c>
      <c r="J3314" s="11" t="s">
        <v>28</v>
      </c>
      <c r="K3314" s="11" t="s">
        <v>28</v>
      </c>
      <c r="L3314" s="11" t="s">
        <v>28</v>
      </c>
      <c r="M3314" s="11" t="s">
        <v>28</v>
      </c>
      <c r="N3314" s="8">
        <v>44658</v>
      </c>
      <c r="O3314" s="9" t="s">
        <v>52</v>
      </c>
      <c r="P3314" s="12" t="s">
        <v>2915</v>
      </c>
      <c r="Q3314" s="9" t="s">
        <v>114</v>
      </c>
      <c r="R3314" s="14" t="str">
        <f>HYPERLINK("https://my.pitchbook.com?c=215595-28T","View Company Online")</f>
        <v>View Company Online</v>
      </c>
    </row>
    <row r="3315" spans="1:18" hidden="1" x14ac:dyDescent="0.3">
      <c r="A3315" s="15" t="s">
        <v>11023</v>
      </c>
      <c r="B3315" s="15" t="s">
        <v>8291</v>
      </c>
      <c r="C3315" s="18" t="s">
        <v>28</v>
      </c>
      <c r="D3315" s="15" t="s">
        <v>8292</v>
      </c>
      <c r="E3315" s="18" t="s">
        <v>28</v>
      </c>
      <c r="F3315" s="19" t="s">
        <v>28</v>
      </c>
      <c r="G3315" s="19" t="s">
        <v>28</v>
      </c>
      <c r="H3315" s="19" t="s">
        <v>28</v>
      </c>
      <c r="I3315" s="18" t="s">
        <v>28</v>
      </c>
      <c r="J3315" s="18" t="s">
        <v>28</v>
      </c>
      <c r="K3315" s="18" t="s">
        <v>28</v>
      </c>
      <c r="L3315" s="18" t="s">
        <v>28</v>
      </c>
      <c r="M3315" s="18" t="s">
        <v>28</v>
      </c>
      <c r="N3315" s="17">
        <v>44658</v>
      </c>
      <c r="O3315" s="15" t="s">
        <v>52</v>
      </c>
      <c r="P3315" s="16" t="s">
        <v>2915</v>
      </c>
      <c r="Q3315" s="15" t="s">
        <v>1336</v>
      </c>
      <c r="R3315" s="13" t="str">
        <f>HYPERLINK("https://my.pitchbook.com?c=215651-26T","View Company Online")</f>
        <v>View Company Online</v>
      </c>
    </row>
    <row r="3316" spans="1:18" hidden="1" x14ac:dyDescent="0.3">
      <c r="A3316" s="9" t="s">
        <v>11024</v>
      </c>
      <c r="B3316" s="9" t="s">
        <v>11025</v>
      </c>
      <c r="C3316" s="11" t="s">
        <v>28</v>
      </c>
      <c r="D3316" s="9" t="s">
        <v>11026</v>
      </c>
      <c r="E3316" s="11" t="s">
        <v>28</v>
      </c>
      <c r="F3316" s="10" t="s">
        <v>28</v>
      </c>
      <c r="G3316" s="10" t="s">
        <v>28</v>
      </c>
      <c r="H3316" s="10" t="s">
        <v>28</v>
      </c>
      <c r="I3316" s="11" t="s">
        <v>28</v>
      </c>
      <c r="J3316" s="11" t="s">
        <v>28</v>
      </c>
      <c r="K3316" s="11" t="s">
        <v>28</v>
      </c>
      <c r="L3316" s="11" t="s">
        <v>28</v>
      </c>
      <c r="M3316" s="11" t="s">
        <v>28</v>
      </c>
      <c r="N3316" s="8">
        <v>44658</v>
      </c>
      <c r="O3316" s="9" t="s">
        <v>99</v>
      </c>
      <c r="P3316" s="12" t="s">
        <v>11027</v>
      </c>
      <c r="Q3316" s="9" t="s">
        <v>75</v>
      </c>
      <c r="R3316" s="14" t="str">
        <f>HYPERLINK("https://my.pitchbook.com?c=192520-18T","View Company Online")</f>
        <v>View Company Online</v>
      </c>
    </row>
    <row r="3317" spans="1:18" hidden="1" x14ac:dyDescent="0.3">
      <c r="A3317" s="15" t="s">
        <v>11028</v>
      </c>
      <c r="B3317" s="15" t="s">
        <v>7299</v>
      </c>
      <c r="C3317" s="18" t="s">
        <v>28</v>
      </c>
      <c r="D3317" s="15" t="s">
        <v>7300</v>
      </c>
      <c r="E3317" s="18" t="s">
        <v>28</v>
      </c>
      <c r="F3317" s="19" t="s">
        <v>28</v>
      </c>
      <c r="G3317" s="19" t="s">
        <v>28</v>
      </c>
      <c r="H3317" s="19" t="s">
        <v>28</v>
      </c>
      <c r="I3317" s="18" t="s">
        <v>28</v>
      </c>
      <c r="J3317" s="18" t="s">
        <v>28</v>
      </c>
      <c r="K3317" s="18" t="s">
        <v>28</v>
      </c>
      <c r="L3317" s="18" t="s">
        <v>28</v>
      </c>
      <c r="M3317" s="18" t="s">
        <v>28</v>
      </c>
      <c r="N3317" s="17">
        <v>44658</v>
      </c>
      <c r="O3317" s="15" t="s">
        <v>52</v>
      </c>
      <c r="P3317" s="16" t="s">
        <v>2915</v>
      </c>
      <c r="Q3317" s="15" t="s">
        <v>114</v>
      </c>
      <c r="R3317" s="13" t="str">
        <f>HYPERLINK("https://my.pitchbook.com?c=215644-06T","View Company Online")</f>
        <v>View Company Online</v>
      </c>
    </row>
    <row r="3318" spans="1:18" hidden="1" x14ac:dyDescent="0.3">
      <c r="A3318" s="9" t="s">
        <v>11029</v>
      </c>
      <c r="B3318" s="9" t="s">
        <v>11030</v>
      </c>
      <c r="C3318" s="11" t="s">
        <v>28</v>
      </c>
      <c r="D3318" s="9" t="s">
        <v>11031</v>
      </c>
      <c r="E3318" s="11" t="s">
        <v>28</v>
      </c>
      <c r="F3318" s="10" t="s">
        <v>28</v>
      </c>
      <c r="G3318" s="10">
        <v>0.9</v>
      </c>
      <c r="H3318" s="10" t="s">
        <v>28</v>
      </c>
      <c r="I3318" s="11" t="s">
        <v>28</v>
      </c>
      <c r="J3318" s="11" t="s">
        <v>28</v>
      </c>
      <c r="K3318" s="11" t="s">
        <v>28</v>
      </c>
      <c r="L3318" s="11" t="s">
        <v>28</v>
      </c>
      <c r="M3318" s="11" t="s">
        <v>28</v>
      </c>
      <c r="N3318" s="8">
        <v>44658</v>
      </c>
      <c r="O3318" s="9" t="s">
        <v>379</v>
      </c>
      <c r="P3318" s="12" t="s">
        <v>11032</v>
      </c>
      <c r="Q3318" s="9" t="s">
        <v>75</v>
      </c>
      <c r="R3318" s="14" t="str">
        <f>HYPERLINK("https://my.pitchbook.com?c=191830-15T","View Company Online")</f>
        <v>View Company Online</v>
      </c>
    </row>
    <row r="3319" spans="1:18" hidden="1" x14ac:dyDescent="0.3">
      <c r="A3319" s="15" t="s">
        <v>11033</v>
      </c>
      <c r="B3319" s="15" t="s">
        <v>11034</v>
      </c>
      <c r="C3319" s="18" t="s">
        <v>28</v>
      </c>
      <c r="D3319" s="15" t="s">
        <v>11035</v>
      </c>
      <c r="E3319" s="18" t="s">
        <v>28</v>
      </c>
      <c r="F3319" s="19" t="s">
        <v>28</v>
      </c>
      <c r="G3319" s="19" t="s">
        <v>28</v>
      </c>
      <c r="H3319" s="19" t="s">
        <v>28</v>
      </c>
      <c r="I3319" s="18" t="s">
        <v>28</v>
      </c>
      <c r="J3319" s="18" t="s">
        <v>28</v>
      </c>
      <c r="K3319" s="18">
        <v>37.07</v>
      </c>
      <c r="L3319" s="18" t="s">
        <v>28</v>
      </c>
      <c r="M3319" s="18" t="s">
        <v>28</v>
      </c>
      <c r="N3319" s="17">
        <v>44658</v>
      </c>
      <c r="O3319" s="15" t="s">
        <v>30</v>
      </c>
      <c r="P3319" s="16" t="s">
        <v>5877</v>
      </c>
      <c r="Q3319" s="15" t="s">
        <v>75</v>
      </c>
      <c r="R3319" s="13" t="str">
        <f>HYPERLINK("https://my.pitchbook.com?c=193456-72T","View Company Online")</f>
        <v>View Company Online</v>
      </c>
    </row>
    <row r="3320" spans="1:18" hidden="1" x14ac:dyDescent="0.3">
      <c r="A3320" s="9" t="s">
        <v>11036</v>
      </c>
      <c r="B3320" s="9" t="s">
        <v>11037</v>
      </c>
      <c r="C3320" s="11" t="s">
        <v>28</v>
      </c>
      <c r="D3320" s="9" t="s">
        <v>11038</v>
      </c>
      <c r="E3320" s="11" t="s">
        <v>28</v>
      </c>
      <c r="F3320" s="10" t="s">
        <v>28</v>
      </c>
      <c r="G3320" s="10" t="s">
        <v>28</v>
      </c>
      <c r="H3320" s="10" t="s">
        <v>28</v>
      </c>
      <c r="I3320" s="11" t="s">
        <v>28</v>
      </c>
      <c r="J3320" s="11" t="s">
        <v>28</v>
      </c>
      <c r="K3320" s="11" t="s">
        <v>28</v>
      </c>
      <c r="L3320" s="11" t="s">
        <v>28</v>
      </c>
      <c r="M3320" s="11" t="s">
        <v>28</v>
      </c>
      <c r="N3320" s="8">
        <v>44657</v>
      </c>
      <c r="O3320" s="9" t="s">
        <v>30</v>
      </c>
      <c r="P3320" s="12" t="s">
        <v>3058</v>
      </c>
      <c r="Q3320" s="9" t="s">
        <v>43</v>
      </c>
      <c r="R3320" s="14" t="str">
        <f>HYPERLINK("https://my.pitchbook.com?c=200701-09T","View Company Online")</f>
        <v>View Company Online</v>
      </c>
    </row>
    <row r="3321" spans="1:18" hidden="1" x14ac:dyDescent="0.3">
      <c r="A3321" s="15" t="s">
        <v>11039</v>
      </c>
      <c r="B3321" s="15" t="s">
        <v>11040</v>
      </c>
      <c r="C3321" s="18" t="s">
        <v>28</v>
      </c>
      <c r="D3321" s="15" t="s">
        <v>11041</v>
      </c>
      <c r="E3321" s="18" t="s">
        <v>28</v>
      </c>
      <c r="F3321" s="19">
        <v>545.17999999999995</v>
      </c>
      <c r="G3321" s="19">
        <v>545.17999999999995</v>
      </c>
      <c r="H3321" s="19">
        <v>545.17999999999995</v>
      </c>
      <c r="I3321" s="18" t="s">
        <v>28</v>
      </c>
      <c r="J3321" s="18" t="s">
        <v>28</v>
      </c>
      <c r="K3321" s="18" t="s">
        <v>28</v>
      </c>
      <c r="L3321" s="18" t="s">
        <v>28</v>
      </c>
      <c r="M3321" s="18" t="s">
        <v>28</v>
      </c>
      <c r="N3321" s="17">
        <v>44657</v>
      </c>
      <c r="O3321" s="15" t="s">
        <v>30</v>
      </c>
      <c r="P3321" s="16" t="s">
        <v>28</v>
      </c>
      <c r="Q3321" s="15" t="s">
        <v>226</v>
      </c>
      <c r="R3321" s="13" t="str">
        <f>HYPERLINK("https://my.pitchbook.com?c=205636-78T","View Company Online")</f>
        <v>View Company Online</v>
      </c>
    </row>
    <row r="3322" spans="1:18" hidden="1" x14ac:dyDescent="0.3">
      <c r="A3322" s="9" t="s">
        <v>11042</v>
      </c>
      <c r="B3322" s="9" t="s">
        <v>11043</v>
      </c>
      <c r="C3322" s="11" t="s">
        <v>28</v>
      </c>
      <c r="D3322" s="9" t="s">
        <v>11044</v>
      </c>
      <c r="E3322" s="11" t="s">
        <v>28</v>
      </c>
      <c r="F3322" s="10" t="s">
        <v>28</v>
      </c>
      <c r="G3322" s="10">
        <v>10</v>
      </c>
      <c r="H3322" s="10">
        <v>70</v>
      </c>
      <c r="I3322" s="11" t="s">
        <v>28</v>
      </c>
      <c r="J3322" s="11" t="s">
        <v>28</v>
      </c>
      <c r="K3322" s="11">
        <v>3</v>
      </c>
      <c r="L3322" s="11">
        <v>23.33</v>
      </c>
      <c r="M3322" s="11" t="s">
        <v>28</v>
      </c>
      <c r="N3322" s="8">
        <v>44657</v>
      </c>
      <c r="O3322" s="9" t="s">
        <v>73</v>
      </c>
      <c r="P3322" s="12" t="s">
        <v>11045</v>
      </c>
      <c r="Q3322" s="9" t="s">
        <v>75</v>
      </c>
      <c r="R3322" s="14" t="str">
        <f>HYPERLINK("https://my.pitchbook.com?c=189917-92T","View Company Online")</f>
        <v>View Company Online</v>
      </c>
    </row>
    <row r="3323" spans="1:18" hidden="1" x14ac:dyDescent="0.3">
      <c r="A3323" s="15" t="s">
        <v>11046</v>
      </c>
      <c r="B3323" s="15" t="s">
        <v>11047</v>
      </c>
      <c r="C3323" s="18" t="s">
        <v>28</v>
      </c>
      <c r="D3323" s="15" t="s">
        <v>11048</v>
      </c>
      <c r="E3323" s="18">
        <v>-19.66</v>
      </c>
      <c r="F3323" s="19" t="s">
        <v>28</v>
      </c>
      <c r="G3323" s="19">
        <v>0.01</v>
      </c>
      <c r="H3323" s="19">
        <v>0.01</v>
      </c>
      <c r="I3323" s="18" t="s">
        <v>28</v>
      </c>
      <c r="J3323" s="18" t="s">
        <v>28</v>
      </c>
      <c r="K3323" s="18">
        <v>82.22</v>
      </c>
      <c r="L3323" s="18">
        <v>0.01</v>
      </c>
      <c r="M3323" s="18">
        <v>-34.97</v>
      </c>
      <c r="N3323" s="17">
        <v>44657</v>
      </c>
      <c r="O3323" s="15" t="s">
        <v>41</v>
      </c>
      <c r="P3323" s="16" t="s">
        <v>11049</v>
      </c>
      <c r="Q3323" s="15" t="s">
        <v>692</v>
      </c>
      <c r="R3323" s="13" t="str">
        <f>HYPERLINK("https://my.pitchbook.com?c=286734-79T","View Company Online")</f>
        <v>View Company Online</v>
      </c>
    </row>
    <row r="3324" spans="1:18" hidden="1" x14ac:dyDescent="0.3">
      <c r="A3324" s="9" t="s">
        <v>11050</v>
      </c>
      <c r="B3324" s="9" t="s">
        <v>11051</v>
      </c>
      <c r="C3324" s="11" t="s">
        <v>28</v>
      </c>
      <c r="D3324" s="9" t="s">
        <v>11052</v>
      </c>
      <c r="E3324" s="11" t="s">
        <v>28</v>
      </c>
      <c r="F3324" s="10">
        <v>8.9600000000000009</v>
      </c>
      <c r="G3324" s="10">
        <v>6.27</v>
      </c>
      <c r="H3324" s="10">
        <v>8.9600000000000009</v>
      </c>
      <c r="I3324" s="11" t="s">
        <v>28</v>
      </c>
      <c r="J3324" s="11" t="s">
        <v>28</v>
      </c>
      <c r="K3324" s="11" t="s">
        <v>28</v>
      </c>
      <c r="L3324" s="11" t="s">
        <v>28</v>
      </c>
      <c r="M3324" s="11" t="s">
        <v>28</v>
      </c>
      <c r="N3324" s="8">
        <v>44657</v>
      </c>
      <c r="O3324" s="9" t="s">
        <v>41</v>
      </c>
      <c r="P3324" s="12" t="s">
        <v>11053</v>
      </c>
      <c r="Q3324" s="9" t="s">
        <v>1035</v>
      </c>
      <c r="R3324" s="14" t="str">
        <f>HYPERLINK("https://my.pitchbook.com?c=257673-52T","View Company Online")</f>
        <v>View Company Online</v>
      </c>
    </row>
    <row r="3325" spans="1:18" hidden="1" x14ac:dyDescent="0.3">
      <c r="A3325" s="15" t="s">
        <v>11054</v>
      </c>
      <c r="B3325" s="15" t="s">
        <v>5352</v>
      </c>
      <c r="C3325" s="18" t="s">
        <v>28</v>
      </c>
      <c r="D3325" s="15" t="s">
        <v>5353</v>
      </c>
      <c r="E3325" s="18" t="s">
        <v>28</v>
      </c>
      <c r="F3325" s="19" t="s">
        <v>28</v>
      </c>
      <c r="G3325" s="19">
        <v>0.2</v>
      </c>
      <c r="H3325" s="19" t="s">
        <v>28</v>
      </c>
      <c r="I3325" s="18" t="s">
        <v>28</v>
      </c>
      <c r="J3325" s="18" t="s">
        <v>28</v>
      </c>
      <c r="K3325" s="18" t="s">
        <v>28</v>
      </c>
      <c r="L3325" s="18" t="s">
        <v>28</v>
      </c>
      <c r="M3325" s="18" t="s">
        <v>28</v>
      </c>
      <c r="N3325" s="17">
        <v>44657</v>
      </c>
      <c r="O3325" s="15" t="s">
        <v>73</v>
      </c>
      <c r="P3325" s="16" t="s">
        <v>11055</v>
      </c>
      <c r="Q3325" s="15" t="s">
        <v>75</v>
      </c>
      <c r="R3325" s="13" t="str">
        <f>HYPERLINK("https://my.pitchbook.com?c=191818-54T","View Company Online")</f>
        <v>View Company Online</v>
      </c>
    </row>
    <row r="3326" spans="1:18" hidden="1" x14ac:dyDescent="0.3">
      <c r="A3326" s="9" t="s">
        <v>11056</v>
      </c>
      <c r="B3326" s="9" t="s">
        <v>11057</v>
      </c>
      <c r="C3326" s="11" t="s">
        <v>28</v>
      </c>
      <c r="D3326" s="9" t="s">
        <v>11058</v>
      </c>
      <c r="E3326" s="11" t="s">
        <v>28</v>
      </c>
      <c r="F3326" s="10" t="s">
        <v>28</v>
      </c>
      <c r="G3326" s="10" t="s">
        <v>28</v>
      </c>
      <c r="H3326" s="10" t="s">
        <v>28</v>
      </c>
      <c r="I3326" s="11" t="s">
        <v>28</v>
      </c>
      <c r="J3326" s="11" t="s">
        <v>28</v>
      </c>
      <c r="K3326" s="11" t="s">
        <v>28</v>
      </c>
      <c r="L3326" s="11" t="s">
        <v>28</v>
      </c>
      <c r="M3326" s="11" t="s">
        <v>28</v>
      </c>
      <c r="N3326" s="8">
        <v>44656</v>
      </c>
      <c r="O3326" s="9" t="s">
        <v>41</v>
      </c>
      <c r="P3326" s="12" t="s">
        <v>11059</v>
      </c>
      <c r="Q3326" s="9" t="s">
        <v>37</v>
      </c>
      <c r="R3326" s="14" t="str">
        <f>HYPERLINK("https://my.pitchbook.com?c=275076-01T","View Company Online")</f>
        <v>View Company Online</v>
      </c>
    </row>
    <row r="3327" spans="1:18" hidden="1" x14ac:dyDescent="0.3">
      <c r="A3327" s="15" t="s">
        <v>11060</v>
      </c>
      <c r="B3327" s="15" t="s">
        <v>11061</v>
      </c>
      <c r="C3327" s="18" t="s">
        <v>28</v>
      </c>
      <c r="D3327" s="15" t="s">
        <v>11062</v>
      </c>
      <c r="E3327" s="18" t="s">
        <v>28</v>
      </c>
      <c r="F3327" s="19" t="s">
        <v>28</v>
      </c>
      <c r="G3327" s="19">
        <v>0.56999999999999995</v>
      </c>
      <c r="H3327" s="19" t="s">
        <v>28</v>
      </c>
      <c r="I3327" s="18" t="s">
        <v>28</v>
      </c>
      <c r="J3327" s="18" t="s">
        <v>28</v>
      </c>
      <c r="K3327" s="18" t="s">
        <v>28</v>
      </c>
      <c r="L3327" s="18" t="s">
        <v>28</v>
      </c>
      <c r="M3327" s="18" t="s">
        <v>28</v>
      </c>
      <c r="N3327" s="17">
        <v>44656</v>
      </c>
      <c r="O3327" s="15" t="s">
        <v>379</v>
      </c>
      <c r="P3327" s="16" t="s">
        <v>5324</v>
      </c>
      <c r="Q3327" s="15" t="s">
        <v>386</v>
      </c>
      <c r="R3327" s="13" t="str">
        <f>HYPERLINK("https://my.pitchbook.com?c=191686-69T","View Company Online")</f>
        <v>View Company Online</v>
      </c>
    </row>
    <row r="3328" spans="1:18" hidden="1" x14ac:dyDescent="0.3">
      <c r="A3328" s="9" t="s">
        <v>11063</v>
      </c>
      <c r="B3328" s="9" t="s">
        <v>8567</v>
      </c>
      <c r="C3328" s="11" t="s">
        <v>28</v>
      </c>
      <c r="D3328" s="9" t="s">
        <v>8568</v>
      </c>
      <c r="E3328" s="11" t="s">
        <v>28</v>
      </c>
      <c r="F3328" s="10" t="s">
        <v>28</v>
      </c>
      <c r="G3328" s="10" t="s">
        <v>28</v>
      </c>
      <c r="H3328" s="10" t="s">
        <v>28</v>
      </c>
      <c r="I3328" s="11" t="s">
        <v>28</v>
      </c>
      <c r="J3328" s="11" t="s">
        <v>28</v>
      </c>
      <c r="K3328" s="11" t="s">
        <v>28</v>
      </c>
      <c r="L3328" s="11" t="s">
        <v>28</v>
      </c>
      <c r="M3328" s="11" t="s">
        <v>28</v>
      </c>
      <c r="N3328" s="8">
        <v>44656</v>
      </c>
      <c r="O3328" s="9" t="s">
        <v>73</v>
      </c>
      <c r="P3328" s="12" t="s">
        <v>11064</v>
      </c>
      <c r="Q3328" s="9" t="s">
        <v>37</v>
      </c>
      <c r="R3328" s="14" t="str">
        <f>HYPERLINK("https://my.pitchbook.com?c=195463-72T","View Company Online")</f>
        <v>View Company Online</v>
      </c>
    </row>
    <row r="3329" spans="1:18" hidden="1" x14ac:dyDescent="0.3">
      <c r="A3329" s="15" t="s">
        <v>11065</v>
      </c>
      <c r="B3329" s="15" t="s">
        <v>11066</v>
      </c>
      <c r="C3329" s="18" t="s">
        <v>28</v>
      </c>
      <c r="D3329" s="15" t="s">
        <v>11067</v>
      </c>
      <c r="E3329" s="18" t="s">
        <v>28</v>
      </c>
      <c r="F3329" s="19">
        <v>10.18</v>
      </c>
      <c r="G3329" s="19">
        <v>10.18</v>
      </c>
      <c r="H3329" s="19">
        <v>10.18</v>
      </c>
      <c r="I3329" s="18" t="s">
        <v>28</v>
      </c>
      <c r="J3329" s="18" t="s">
        <v>28</v>
      </c>
      <c r="K3329" s="18" t="s">
        <v>28</v>
      </c>
      <c r="L3329" s="18" t="s">
        <v>28</v>
      </c>
      <c r="M3329" s="18" t="s">
        <v>28</v>
      </c>
      <c r="N3329" s="17">
        <v>44656</v>
      </c>
      <c r="O3329" s="15" t="s">
        <v>30</v>
      </c>
      <c r="P3329" s="16" t="s">
        <v>2005</v>
      </c>
      <c r="Q3329" s="15" t="s">
        <v>43</v>
      </c>
      <c r="R3329" s="13" t="str">
        <f>HYPERLINK("https://my.pitchbook.com?c=209550-88T","View Company Online")</f>
        <v>View Company Online</v>
      </c>
    </row>
    <row r="3330" spans="1:18" hidden="1" x14ac:dyDescent="0.3">
      <c r="A3330" s="9" t="s">
        <v>11068</v>
      </c>
      <c r="B3330" s="9" t="s">
        <v>11069</v>
      </c>
      <c r="C3330" s="11" t="s">
        <v>28</v>
      </c>
      <c r="D3330" s="9" t="s">
        <v>11070</v>
      </c>
      <c r="E3330" s="11" t="s">
        <v>28</v>
      </c>
      <c r="F3330" s="10" t="s">
        <v>28</v>
      </c>
      <c r="G3330" s="10">
        <v>1.02</v>
      </c>
      <c r="H3330" s="10" t="s">
        <v>28</v>
      </c>
      <c r="I3330" s="11" t="s">
        <v>28</v>
      </c>
      <c r="J3330" s="11" t="s">
        <v>28</v>
      </c>
      <c r="K3330" s="11" t="s">
        <v>28</v>
      </c>
      <c r="L3330" s="11" t="s">
        <v>28</v>
      </c>
      <c r="M3330" s="11" t="s">
        <v>28</v>
      </c>
      <c r="N3330" s="8">
        <v>44656</v>
      </c>
      <c r="O3330" s="9" t="s">
        <v>379</v>
      </c>
      <c r="P3330" s="12" t="s">
        <v>11071</v>
      </c>
      <c r="Q3330" s="9" t="s">
        <v>285</v>
      </c>
      <c r="R3330" s="14" t="str">
        <f>HYPERLINK("https://my.pitchbook.com?c=191787-04T","View Company Online")</f>
        <v>View Company Online</v>
      </c>
    </row>
    <row r="3331" spans="1:18" hidden="1" x14ac:dyDescent="0.3">
      <c r="A3331" s="15" t="s">
        <v>11072</v>
      </c>
      <c r="B3331" s="15" t="s">
        <v>11073</v>
      </c>
      <c r="C3331" s="18" t="s">
        <v>28</v>
      </c>
      <c r="D3331" s="15" t="s">
        <v>11074</v>
      </c>
      <c r="E3331" s="18" t="s">
        <v>28</v>
      </c>
      <c r="F3331" s="19" t="s">
        <v>28</v>
      </c>
      <c r="G3331" s="19" t="s">
        <v>28</v>
      </c>
      <c r="H3331" s="19" t="s">
        <v>28</v>
      </c>
      <c r="I3331" s="18" t="s">
        <v>28</v>
      </c>
      <c r="J3331" s="18" t="s">
        <v>28</v>
      </c>
      <c r="K3331" s="18" t="s">
        <v>28</v>
      </c>
      <c r="L3331" s="18" t="s">
        <v>28</v>
      </c>
      <c r="M3331" s="18" t="s">
        <v>28</v>
      </c>
      <c r="N3331" s="17">
        <v>44656</v>
      </c>
      <c r="O3331" s="15" t="s">
        <v>30</v>
      </c>
      <c r="P3331" s="16" t="s">
        <v>11075</v>
      </c>
      <c r="Q3331" s="15" t="s">
        <v>522</v>
      </c>
      <c r="R3331" s="13" t="str">
        <f>HYPERLINK("https://my.pitchbook.com?c=191667-70T","View Company Online")</f>
        <v>View Company Online</v>
      </c>
    </row>
    <row r="3332" spans="1:18" hidden="1" x14ac:dyDescent="0.3">
      <c r="A3332" s="9" t="s">
        <v>11076</v>
      </c>
      <c r="B3332" s="9" t="s">
        <v>11077</v>
      </c>
      <c r="C3332" s="11" t="s">
        <v>28</v>
      </c>
      <c r="D3332" s="9" t="s">
        <v>11078</v>
      </c>
      <c r="E3332" s="11" t="s">
        <v>28</v>
      </c>
      <c r="F3332" s="10" t="s">
        <v>28</v>
      </c>
      <c r="G3332" s="10" t="s">
        <v>28</v>
      </c>
      <c r="H3332" s="10" t="s">
        <v>28</v>
      </c>
      <c r="I3332" s="11" t="s">
        <v>28</v>
      </c>
      <c r="J3332" s="11" t="s">
        <v>28</v>
      </c>
      <c r="K3332" s="11" t="s">
        <v>28</v>
      </c>
      <c r="L3332" s="11" t="s">
        <v>28</v>
      </c>
      <c r="M3332" s="11" t="s">
        <v>28</v>
      </c>
      <c r="N3332" s="8">
        <v>44656</v>
      </c>
      <c r="O3332" s="9" t="s">
        <v>30</v>
      </c>
      <c r="P3332" s="12" t="s">
        <v>983</v>
      </c>
      <c r="Q3332" s="9" t="s">
        <v>245</v>
      </c>
      <c r="R3332" s="14" t="str">
        <f>HYPERLINK("https://my.pitchbook.com?c=210812-50T","View Company Online")</f>
        <v>View Company Online</v>
      </c>
    </row>
    <row r="3333" spans="1:18" hidden="1" x14ac:dyDescent="0.3">
      <c r="A3333" s="15" t="s">
        <v>11079</v>
      </c>
      <c r="B3333" s="15" t="s">
        <v>11080</v>
      </c>
      <c r="C3333" s="18" t="s">
        <v>28</v>
      </c>
      <c r="D3333" s="15" t="s">
        <v>11081</v>
      </c>
      <c r="E3333" s="18" t="s">
        <v>28</v>
      </c>
      <c r="F3333" s="19" t="s">
        <v>28</v>
      </c>
      <c r="G3333" s="19" t="s">
        <v>28</v>
      </c>
      <c r="H3333" s="19" t="s">
        <v>28</v>
      </c>
      <c r="I3333" s="18" t="s">
        <v>28</v>
      </c>
      <c r="J3333" s="18" t="s">
        <v>28</v>
      </c>
      <c r="K3333" s="18">
        <v>44.11</v>
      </c>
      <c r="L3333" s="18" t="s">
        <v>28</v>
      </c>
      <c r="M3333" s="18" t="s">
        <v>28</v>
      </c>
      <c r="N3333" s="17">
        <v>44656</v>
      </c>
      <c r="O3333" s="15" t="s">
        <v>30</v>
      </c>
      <c r="P3333" s="16" t="s">
        <v>11082</v>
      </c>
      <c r="Q3333" s="15" t="s">
        <v>245</v>
      </c>
      <c r="R3333" s="13" t="str">
        <f>HYPERLINK("https://my.pitchbook.com?c=206740-00T","View Company Online")</f>
        <v>View Company Online</v>
      </c>
    </row>
    <row r="3334" spans="1:18" hidden="1" x14ac:dyDescent="0.3">
      <c r="A3334" s="9" t="s">
        <v>11083</v>
      </c>
      <c r="B3334" s="9" t="s">
        <v>11084</v>
      </c>
      <c r="C3334" s="11" t="s">
        <v>28</v>
      </c>
      <c r="D3334" s="9" t="s">
        <v>11085</v>
      </c>
      <c r="E3334" s="11" t="s">
        <v>28</v>
      </c>
      <c r="F3334" s="10" t="s">
        <v>28</v>
      </c>
      <c r="G3334" s="10" t="s">
        <v>28</v>
      </c>
      <c r="H3334" s="10" t="s">
        <v>28</v>
      </c>
      <c r="I3334" s="11" t="s">
        <v>28</v>
      </c>
      <c r="J3334" s="11" t="s">
        <v>28</v>
      </c>
      <c r="K3334" s="11" t="s">
        <v>28</v>
      </c>
      <c r="L3334" s="11" t="s">
        <v>28</v>
      </c>
      <c r="M3334" s="11" t="s">
        <v>28</v>
      </c>
      <c r="N3334" s="8">
        <v>44655</v>
      </c>
      <c r="O3334" s="9" t="s">
        <v>52</v>
      </c>
      <c r="P3334" s="12" t="s">
        <v>1880</v>
      </c>
      <c r="Q3334" s="9" t="s">
        <v>245</v>
      </c>
      <c r="R3334" s="14" t="str">
        <f>HYPERLINK("https://my.pitchbook.com?c=199738-45T","View Company Online")</f>
        <v>View Company Online</v>
      </c>
    </row>
    <row r="3335" spans="1:18" hidden="1" x14ac:dyDescent="0.3">
      <c r="A3335" s="15" t="s">
        <v>11086</v>
      </c>
      <c r="B3335" s="15" t="s">
        <v>11087</v>
      </c>
      <c r="C3335" s="18" t="s">
        <v>28</v>
      </c>
      <c r="D3335" s="15" t="s">
        <v>11088</v>
      </c>
      <c r="E3335" s="18" t="s">
        <v>28</v>
      </c>
      <c r="F3335" s="19" t="s">
        <v>28</v>
      </c>
      <c r="G3335" s="19" t="s">
        <v>28</v>
      </c>
      <c r="H3335" s="19" t="s">
        <v>28</v>
      </c>
      <c r="I3335" s="18" t="s">
        <v>28</v>
      </c>
      <c r="J3335" s="18" t="s">
        <v>28</v>
      </c>
      <c r="K3335" s="18" t="s">
        <v>28</v>
      </c>
      <c r="L3335" s="18" t="s">
        <v>28</v>
      </c>
      <c r="M3335" s="18" t="s">
        <v>28</v>
      </c>
      <c r="N3335" s="17">
        <v>44655</v>
      </c>
      <c r="O3335" s="15" t="s">
        <v>52</v>
      </c>
      <c r="P3335" s="16" t="s">
        <v>1880</v>
      </c>
      <c r="Q3335" s="15" t="s">
        <v>3912</v>
      </c>
      <c r="R3335" s="13" t="str">
        <f>HYPERLINK("https://my.pitchbook.com?c=199740-25T","View Company Online")</f>
        <v>View Company Online</v>
      </c>
    </row>
    <row r="3336" spans="1:18" hidden="1" x14ac:dyDescent="0.3">
      <c r="A3336" s="9" t="s">
        <v>11089</v>
      </c>
      <c r="B3336" s="9" t="s">
        <v>9104</v>
      </c>
      <c r="C3336" s="11" t="s">
        <v>28</v>
      </c>
      <c r="D3336" s="9" t="s">
        <v>9105</v>
      </c>
      <c r="E3336" s="11" t="s">
        <v>28</v>
      </c>
      <c r="F3336" s="10" t="s">
        <v>28</v>
      </c>
      <c r="G3336" s="10" t="s">
        <v>28</v>
      </c>
      <c r="H3336" s="10" t="s">
        <v>28</v>
      </c>
      <c r="I3336" s="11" t="s">
        <v>28</v>
      </c>
      <c r="J3336" s="11" t="s">
        <v>28</v>
      </c>
      <c r="K3336" s="11" t="s">
        <v>28</v>
      </c>
      <c r="L3336" s="11" t="s">
        <v>28</v>
      </c>
      <c r="M3336" s="11" t="s">
        <v>28</v>
      </c>
      <c r="N3336" s="8">
        <v>44655</v>
      </c>
      <c r="O3336" s="9" t="s">
        <v>52</v>
      </c>
      <c r="P3336" s="12" t="s">
        <v>1880</v>
      </c>
      <c r="Q3336" s="9" t="s">
        <v>692</v>
      </c>
      <c r="R3336" s="14" t="str">
        <f>HYPERLINK("https://my.pitchbook.com?c=199738-63T","View Company Online")</f>
        <v>View Company Online</v>
      </c>
    </row>
    <row r="3337" spans="1:18" hidden="1" x14ac:dyDescent="0.3">
      <c r="A3337" s="15" t="s">
        <v>11090</v>
      </c>
      <c r="B3337" s="15" t="s">
        <v>11091</v>
      </c>
      <c r="C3337" s="18" t="s">
        <v>28</v>
      </c>
      <c r="D3337" s="15" t="s">
        <v>11092</v>
      </c>
      <c r="E3337" s="18" t="s">
        <v>28</v>
      </c>
      <c r="F3337" s="19" t="s">
        <v>28</v>
      </c>
      <c r="G3337" s="19" t="s">
        <v>28</v>
      </c>
      <c r="H3337" s="19" t="s">
        <v>28</v>
      </c>
      <c r="I3337" s="18" t="s">
        <v>28</v>
      </c>
      <c r="J3337" s="18" t="s">
        <v>28</v>
      </c>
      <c r="K3337" s="18" t="s">
        <v>28</v>
      </c>
      <c r="L3337" s="18" t="s">
        <v>28</v>
      </c>
      <c r="M3337" s="18" t="s">
        <v>28</v>
      </c>
      <c r="N3337" s="17">
        <v>44655</v>
      </c>
      <c r="O3337" s="15" t="s">
        <v>52</v>
      </c>
      <c r="P3337" s="16" t="s">
        <v>1880</v>
      </c>
      <c r="Q3337" s="15" t="s">
        <v>5628</v>
      </c>
      <c r="R3337" s="13" t="str">
        <f>HYPERLINK("https://my.pitchbook.com?c=199740-07T","View Company Online")</f>
        <v>View Company Online</v>
      </c>
    </row>
    <row r="3338" spans="1:18" hidden="1" x14ac:dyDescent="0.3">
      <c r="A3338" s="9" t="s">
        <v>11093</v>
      </c>
      <c r="B3338" s="9" t="s">
        <v>11094</v>
      </c>
      <c r="C3338" s="11" t="s">
        <v>28</v>
      </c>
      <c r="D3338" s="9" t="s">
        <v>11095</v>
      </c>
      <c r="E3338" s="11" t="s">
        <v>28</v>
      </c>
      <c r="F3338" s="10" t="s">
        <v>28</v>
      </c>
      <c r="G3338" s="10" t="s">
        <v>28</v>
      </c>
      <c r="H3338" s="10" t="s">
        <v>28</v>
      </c>
      <c r="I3338" s="11" t="s">
        <v>28</v>
      </c>
      <c r="J3338" s="11" t="s">
        <v>28</v>
      </c>
      <c r="K3338" s="11" t="s">
        <v>28</v>
      </c>
      <c r="L3338" s="11" t="s">
        <v>28</v>
      </c>
      <c r="M3338" s="11" t="s">
        <v>28</v>
      </c>
      <c r="N3338" s="8">
        <v>44655</v>
      </c>
      <c r="O3338" s="9" t="s">
        <v>30</v>
      </c>
      <c r="P3338" s="12" t="s">
        <v>11096</v>
      </c>
      <c r="Q3338" s="9" t="s">
        <v>414</v>
      </c>
      <c r="R3338" s="14" t="str">
        <f>HYPERLINK("https://my.pitchbook.com?c=191621-98T","View Company Online")</f>
        <v>View Company Online</v>
      </c>
    </row>
    <row r="3339" spans="1:18" hidden="1" x14ac:dyDescent="0.3">
      <c r="A3339" s="15" t="s">
        <v>11097</v>
      </c>
      <c r="B3339" s="15" t="s">
        <v>11098</v>
      </c>
      <c r="C3339" s="18" t="s">
        <v>28</v>
      </c>
      <c r="D3339" s="15" t="s">
        <v>11099</v>
      </c>
      <c r="E3339" s="18" t="s">
        <v>28</v>
      </c>
      <c r="F3339" s="19" t="s">
        <v>28</v>
      </c>
      <c r="G3339" s="19" t="s">
        <v>28</v>
      </c>
      <c r="H3339" s="19" t="s">
        <v>28</v>
      </c>
      <c r="I3339" s="18" t="s">
        <v>28</v>
      </c>
      <c r="J3339" s="18" t="s">
        <v>28</v>
      </c>
      <c r="K3339" s="18" t="s">
        <v>28</v>
      </c>
      <c r="L3339" s="18" t="s">
        <v>28</v>
      </c>
      <c r="M3339" s="18" t="s">
        <v>28</v>
      </c>
      <c r="N3339" s="17">
        <v>44655</v>
      </c>
      <c r="O3339" s="15" t="s">
        <v>52</v>
      </c>
      <c r="P3339" s="16" t="s">
        <v>1880</v>
      </c>
      <c r="Q3339" s="15" t="s">
        <v>75</v>
      </c>
      <c r="R3339" s="13" t="str">
        <f>HYPERLINK("https://my.pitchbook.com?c=199738-27T","View Company Online")</f>
        <v>View Company Online</v>
      </c>
    </row>
    <row r="3340" spans="1:18" hidden="1" x14ac:dyDescent="0.3">
      <c r="A3340" s="9" t="s">
        <v>11100</v>
      </c>
      <c r="B3340" s="9" t="s">
        <v>11101</v>
      </c>
      <c r="C3340" s="11" t="s">
        <v>28</v>
      </c>
      <c r="D3340" s="9" t="s">
        <v>11102</v>
      </c>
      <c r="E3340" s="11" t="s">
        <v>28</v>
      </c>
      <c r="F3340" s="10" t="s">
        <v>28</v>
      </c>
      <c r="G3340" s="10" t="s">
        <v>28</v>
      </c>
      <c r="H3340" s="10" t="s">
        <v>28</v>
      </c>
      <c r="I3340" s="11" t="s">
        <v>28</v>
      </c>
      <c r="J3340" s="11" t="s">
        <v>28</v>
      </c>
      <c r="K3340" s="11" t="s">
        <v>28</v>
      </c>
      <c r="L3340" s="11" t="s">
        <v>28</v>
      </c>
      <c r="M3340" s="11" t="s">
        <v>28</v>
      </c>
      <c r="N3340" s="8">
        <v>44655</v>
      </c>
      <c r="O3340" s="9" t="s">
        <v>30</v>
      </c>
      <c r="P3340" s="12" t="s">
        <v>11103</v>
      </c>
      <c r="Q3340" s="9" t="s">
        <v>855</v>
      </c>
      <c r="R3340" s="14" t="str">
        <f>HYPERLINK("https://my.pitchbook.com?c=191620-18T","View Company Online")</f>
        <v>View Company Online</v>
      </c>
    </row>
    <row r="3341" spans="1:18" hidden="1" x14ac:dyDescent="0.3">
      <c r="A3341" s="15" t="s">
        <v>11104</v>
      </c>
      <c r="B3341" s="15" t="s">
        <v>11105</v>
      </c>
      <c r="C3341" s="18" t="s">
        <v>28</v>
      </c>
      <c r="D3341" s="15" t="s">
        <v>11106</v>
      </c>
      <c r="E3341" s="18" t="s">
        <v>28</v>
      </c>
      <c r="F3341" s="19">
        <v>8.08</v>
      </c>
      <c r="G3341" s="19">
        <v>8.08</v>
      </c>
      <c r="H3341" s="19">
        <v>8.08</v>
      </c>
      <c r="I3341" s="18" t="s">
        <v>28</v>
      </c>
      <c r="J3341" s="18" t="s">
        <v>28</v>
      </c>
      <c r="K3341" s="18">
        <v>2.97</v>
      </c>
      <c r="L3341" s="18">
        <v>2.72</v>
      </c>
      <c r="M3341" s="18" t="s">
        <v>28</v>
      </c>
      <c r="N3341" s="17">
        <v>44653</v>
      </c>
      <c r="O3341" s="15" t="s">
        <v>30</v>
      </c>
      <c r="P3341" s="16" t="s">
        <v>4262</v>
      </c>
      <c r="Q3341" s="15" t="s">
        <v>37</v>
      </c>
      <c r="R3341" s="13" t="str">
        <f>HYPERLINK("https://my.pitchbook.com?c=191541-25T","View Company Online")</f>
        <v>View Company Online</v>
      </c>
    </row>
    <row r="3342" spans="1:18" hidden="1" x14ac:dyDescent="0.3">
      <c r="A3342" s="9" t="s">
        <v>11107</v>
      </c>
      <c r="B3342" s="9" t="s">
        <v>5745</v>
      </c>
      <c r="C3342" s="11" t="s">
        <v>28</v>
      </c>
      <c r="D3342" s="9" t="s">
        <v>5746</v>
      </c>
      <c r="E3342" s="11" t="s">
        <v>28</v>
      </c>
      <c r="F3342" s="10" t="s">
        <v>28</v>
      </c>
      <c r="G3342" s="10" t="s">
        <v>28</v>
      </c>
      <c r="H3342" s="10" t="s">
        <v>28</v>
      </c>
      <c r="I3342" s="11" t="s">
        <v>28</v>
      </c>
      <c r="J3342" s="11" t="s">
        <v>28</v>
      </c>
      <c r="K3342" s="11" t="s">
        <v>28</v>
      </c>
      <c r="L3342" s="11" t="s">
        <v>28</v>
      </c>
      <c r="M3342" s="11" t="s">
        <v>28</v>
      </c>
      <c r="N3342" s="8">
        <v>44653</v>
      </c>
      <c r="O3342" s="9" t="s">
        <v>99</v>
      </c>
      <c r="P3342" s="12" t="s">
        <v>11108</v>
      </c>
      <c r="Q3342" s="9" t="s">
        <v>119</v>
      </c>
      <c r="R3342" s="14" t="str">
        <f>HYPERLINK("https://my.pitchbook.com?c=200045-08T","View Company Online")</f>
        <v>View Company Online</v>
      </c>
    </row>
    <row r="3343" spans="1:18" hidden="1" x14ac:dyDescent="0.3">
      <c r="A3343" s="15" t="s">
        <v>11109</v>
      </c>
      <c r="B3343" s="15" t="s">
        <v>11110</v>
      </c>
      <c r="C3343" s="18" t="s">
        <v>28</v>
      </c>
      <c r="D3343" s="15" t="s">
        <v>11111</v>
      </c>
      <c r="E3343" s="18" t="s">
        <v>28</v>
      </c>
      <c r="F3343" s="19" t="s">
        <v>28</v>
      </c>
      <c r="G3343" s="19" t="s">
        <v>28</v>
      </c>
      <c r="H3343" s="19" t="s">
        <v>28</v>
      </c>
      <c r="I3343" s="18" t="s">
        <v>28</v>
      </c>
      <c r="J3343" s="18" t="s">
        <v>28</v>
      </c>
      <c r="K3343" s="18" t="s">
        <v>28</v>
      </c>
      <c r="L3343" s="18" t="s">
        <v>28</v>
      </c>
      <c r="M3343" s="18" t="s">
        <v>28</v>
      </c>
      <c r="N3343" s="17">
        <v>44652</v>
      </c>
      <c r="O3343" s="15" t="s">
        <v>30</v>
      </c>
      <c r="P3343" s="16" t="s">
        <v>11112</v>
      </c>
      <c r="Q3343" s="15" t="s">
        <v>11113</v>
      </c>
      <c r="R3343" s="13" t="str">
        <f>HYPERLINK("https://my.pitchbook.com?c=191573-74T","View Company Online")</f>
        <v>View Company Online</v>
      </c>
    </row>
    <row r="3344" spans="1:18" hidden="1" x14ac:dyDescent="0.3">
      <c r="A3344" s="9" t="s">
        <v>11114</v>
      </c>
      <c r="B3344" s="9" t="s">
        <v>11115</v>
      </c>
      <c r="C3344" s="11" t="s">
        <v>28</v>
      </c>
      <c r="D3344" s="9" t="s">
        <v>11116</v>
      </c>
      <c r="E3344" s="11" t="s">
        <v>28</v>
      </c>
      <c r="F3344" s="10" t="s">
        <v>28</v>
      </c>
      <c r="G3344" s="10" t="s">
        <v>28</v>
      </c>
      <c r="H3344" s="10" t="s">
        <v>28</v>
      </c>
      <c r="I3344" s="11" t="s">
        <v>28</v>
      </c>
      <c r="J3344" s="11" t="s">
        <v>28</v>
      </c>
      <c r="K3344" s="11" t="s">
        <v>28</v>
      </c>
      <c r="L3344" s="11" t="s">
        <v>28</v>
      </c>
      <c r="M3344" s="11" t="s">
        <v>28</v>
      </c>
      <c r="N3344" s="8">
        <v>44652</v>
      </c>
      <c r="O3344" s="9" t="s">
        <v>93</v>
      </c>
      <c r="P3344" s="12" t="s">
        <v>11117</v>
      </c>
      <c r="Q3344" s="9" t="s">
        <v>69</v>
      </c>
      <c r="R3344" s="14" t="str">
        <f>HYPERLINK("https://my.pitchbook.com?c=192158-02T","View Company Online")</f>
        <v>View Company Online</v>
      </c>
    </row>
    <row r="3345" spans="1:18" hidden="1" x14ac:dyDescent="0.3">
      <c r="A3345" s="15" t="s">
        <v>11118</v>
      </c>
      <c r="B3345" s="15" t="s">
        <v>11119</v>
      </c>
      <c r="C3345" s="18" t="s">
        <v>28</v>
      </c>
      <c r="D3345" s="15" t="s">
        <v>11120</v>
      </c>
      <c r="E3345" s="18" t="s">
        <v>28</v>
      </c>
      <c r="F3345" s="19" t="s">
        <v>28</v>
      </c>
      <c r="G3345" s="19" t="s">
        <v>28</v>
      </c>
      <c r="H3345" s="19" t="s">
        <v>28</v>
      </c>
      <c r="I3345" s="18" t="s">
        <v>28</v>
      </c>
      <c r="J3345" s="18" t="s">
        <v>28</v>
      </c>
      <c r="K3345" s="18" t="s">
        <v>28</v>
      </c>
      <c r="L3345" s="18" t="s">
        <v>28</v>
      </c>
      <c r="M3345" s="18" t="s">
        <v>28</v>
      </c>
      <c r="N3345" s="17">
        <v>44652</v>
      </c>
      <c r="O3345" s="15" t="s">
        <v>73</v>
      </c>
      <c r="P3345" s="16" t="s">
        <v>11121</v>
      </c>
      <c r="Q3345" s="15" t="s">
        <v>37</v>
      </c>
      <c r="R3345" s="13" t="str">
        <f>HYPERLINK("https://my.pitchbook.com?c=215841-52T","View Company Online")</f>
        <v>View Company Online</v>
      </c>
    </row>
    <row r="3346" spans="1:18" hidden="1" x14ac:dyDescent="0.3">
      <c r="A3346" s="9" t="s">
        <v>11122</v>
      </c>
      <c r="B3346" s="9" t="s">
        <v>11123</v>
      </c>
      <c r="C3346" s="11" t="s">
        <v>28</v>
      </c>
      <c r="D3346" s="9" t="s">
        <v>11124</v>
      </c>
      <c r="E3346" s="11" t="s">
        <v>28</v>
      </c>
      <c r="F3346" s="10" t="s">
        <v>28</v>
      </c>
      <c r="G3346" s="10" t="s">
        <v>28</v>
      </c>
      <c r="H3346" s="10" t="s">
        <v>28</v>
      </c>
      <c r="I3346" s="11" t="s">
        <v>28</v>
      </c>
      <c r="J3346" s="11" t="s">
        <v>28</v>
      </c>
      <c r="K3346" s="11" t="s">
        <v>28</v>
      </c>
      <c r="L3346" s="11" t="s">
        <v>28</v>
      </c>
      <c r="M3346" s="11" t="s">
        <v>28</v>
      </c>
      <c r="N3346" s="8">
        <v>44652</v>
      </c>
      <c r="O3346" s="9" t="s">
        <v>30</v>
      </c>
      <c r="P3346" s="12" t="s">
        <v>6996</v>
      </c>
      <c r="Q3346" s="9" t="s">
        <v>114</v>
      </c>
      <c r="R3346" s="14" t="str">
        <f>HYPERLINK("https://my.pitchbook.com?c=293371-03T","View Company Online")</f>
        <v>View Company Online</v>
      </c>
    </row>
    <row r="3347" spans="1:18" hidden="1" x14ac:dyDescent="0.3">
      <c r="A3347" s="15" t="s">
        <v>11125</v>
      </c>
      <c r="B3347" s="15" t="s">
        <v>4505</v>
      </c>
      <c r="C3347" s="18" t="s">
        <v>28</v>
      </c>
      <c r="D3347" s="15" t="s">
        <v>4506</v>
      </c>
      <c r="E3347" s="18" t="s">
        <v>28</v>
      </c>
      <c r="F3347" s="19" t="s">
        <v>28</v>
      </c>
      <c r="G3347" s="19">
        <v>10.07</v>
      </c>
      <c r="H3347" s="19" t="s">
        <v>28</v>
      </c>
      <c r="I3347" s="18" t="s">
        <v>28</v>
      </c>
      <c r="J3347" s="18" t="s">
        <v>28</v>
      </c>
      <c r="K3347" s="18" t="s">
        <v>28</v>
      </c>
      <c r="L3347" s="18" t="s">
        <v>28</v>
      </c>
      <c r="M3347" s="18" t="s">
        <v>28</v>
      </c>
      <c r="N3347" s="17">
        <v>44652</v>
      </c>
      <c r="O3347" s="15" t="s">
        <v>73</v>
      </c>
      <c r="P3347" s="16" t="s">
        <v>11126</v>
      </c>
      <c r="Q3347" s="15" t="s">
        <v>37</v>
      </c>
      <c r="R3347" s="13" t="str">
        <f>HYPERLINK("https://my.pitchbook.com?c=199882-54T","View Company Online")</f>
        <v>View Company Online</v>
      </c>
    </row>
    <row r="3348" spans="1:18" hidden="1" x14ac:dyDescent="0.3">
      <c r="A3348" s="9" t="s">
        <v>11127</v>
      </c>
      <c r="B3348" s="9" t="s">
        <v>11128</v>
      </c>
      <c r="C3348" s="11" t="s">
        <v>28</v>
      </c>
      <c r="D3348" s="9" t="s">
        <v>11129</v>
      </c>
      <c r="E3348" s="11" t="s">
        <v>28</v>
      </c>
      <c r="F3348" s="10">
        <v>2</v>
      </c>
      <c r="G3348" s="10">
        <v>1.99</v>
      </c>
      <c r="H3348" s="10">
        <v>1.99</v>
      </c>
      <c r="I3348" s="11" t="s">
        <v>28</v>
      </c>
      <c r="J3348" s="11" t="s">
        <v>28</v>
      </c>
      <c r="K3348" s="11" t="s">
        <v>28</v>
      </c>
      <c r="L3348" s="11" t="s">
        <v>28</v>
      </c>
      <c r="M3348" s="11" t="s">
        <v>28</v>
      </c>
      <c r="N3348" s="8">
        <v>44652</v>
      </c>
      <c r="O3348" s="9" t="s">
        <v>30</v>
      </c>
      <c r="P3348" s="12" t="s">
        <v>11130</v>
      </c>
      <c r="Q3348" s="9" t="s">
        <v>43</v>
      </c>
      <c r="R3348" s="14" t="str">
        <f>HYPERLINK("https://my.pitchbook.com?c=209254-96T","View Company Online")</f>
        <v>View Company Online</v>
      </c>
    </row>
    <row r="3349" spans="1:18" hidden="1" x14ac:dyDescent="0.3">
      <c r="A3349" s="15" t="s">
        <v>11131</v>
      </c>
      <c r="B3349" s="15" t="s">
        <v>11132</v>
      </c>
      <c r="C3349" s="18" t="s">
        <v>28</v>
      </c>
      <c r="D3349" s="15" t="s">
        <v>11133</v>
      </c>
      <c r="E3349" s="18" t="s">
        <v>28</v>
      </c>
      <c r="F3349" s="19" t="s">
        <v>28</v>
      </c>
      <c r="G3349" s="19" t="s">
        <v>28</v>
      </c>
      <c r="H3349" s="19" t="s">
        <v>28</v>
      </c>
      <c r="I3349" s="18" t="s">
        <v>28</v>
      </c>
      <c r="J3349" s="18" t="s">
        <v>28</v>
      </c>
      <c r="K3349" s="18" t="s">
        <v>28</v>
      </c>
      <c r="L3349" s="18" t="s">
        <v>28</v>
      </c>
      <c r="M3349" s="18" t="s">
        <v>28</v>
      </c>
      <c r="N3349" s="17">
        <v>44652</v>
      </c>
      <c r="O3349" s="15" t="s">
        <v>30</v>
      </c>
      <c r="P3349" s="16" t="s">
        <v>8689</v>
      </c>
      <c r="Q3349" s="15" t="s">
        <v>75</v>
      </c>
      <c r="R3349" s="13" t="str">
        <f>HYPERLINK("https://my.pitchbook.com?c=210696-31T","View Company Online")</f>
        <v>View Company Online</v>
      </c>
    </row>
    <row r="3350" spans="1:18" hidden="1" x14ac:dyDescent="0.3">
      <c r="A3350" s="9" t="s">
        <v>11134</v>
      </c>
      <c r="B3350" s="9" t="s">
        <v>11135</v>
      </c>
      <c r="C3350" s="11" t="s">
        <v>28</v>
      </c>
      <c r="D3350" s="9" t="s">
        <v>11136</v>
      </c>
      <c r="E3350" s="11" t="s">
        <v>28</v>
      </c>
      <c r="F3350" s="10" t="s">
        <v>28</v>
      </c>
      <c r="G3350" s="10">
        <v>0.8</v>
      </c>
      <c r="H3350" s="10">
        <v>13.1</v>
      </c>
      <c r="I3350" s="11" t="s">
        <v>28</v>
      </c>
      <c r="J3350" s="11" t="s">
        <v>28</v>
      </c>
      <c r="K3350" s="11">
        <v>0.01</v>
      </c>
      <c r="L3350" s="11">
        <v>2355.9499999999998</v>
      </c>
      <c r="M3350" s="11">
        <v>-0.05</v>
      </c>
      <c r="N3350" s="8">
        <v>44652</v>
      </c>
      <c r="O3350" s="9" t="s">
        <v>1639</v>
      </c>
      <c r="P3350" s="12" t="s">
        <v>28</v>
      </c>
      <c r="Q3350" s="9" t="s">
        <v>37</v>
      </c>
      <c r="R3350" s="14" t="str">
        <f>HYPERLINK("https://my.pitchbook.com?c=234910-00T","View Company Online")</f>
        <v>View Company Online</v>
      </c>
    </row>
    <row r="3351" spans="1:18" hidden="1" x14ac:dyDescent="0.3">
      <c r="A3351" s="15" t="s">
        <v>11137</v>
      </c>
      <c r="B3351" s="15" t="s">
        <v>9041</v>
      </c>
      <c r="C3351" s="18" t="s">
        <v>28</v>
      </c>
      <c r="D3351" s="15" t="s">
        <v>9042</v>
      </c>
      <c r="E3351" s="18" t="s">
        <v>28</v>
      </c>
      <c r="F3351" s="19" t="s">
        <v>28</v>
      </c>
      <c r="G3351" s="19">
        <v>125</v>
      </c>
      <c r="H3351" s="19" t="s">
        <v>28</v>
      </c>
      <c r="I3351" s="18">
        <v>34.85</v>
      </c>
      <c r="J3351" s="18" t="s">
        <v>28</v>
      </c>
      <c r="K3351" s="18" t="s">
        <v>28</v>
      </c>
      <c r="L3351" s="18" t="s">
        <v>28</v>
      </c>
      <c r="M3351" s="18" t="s">
        <v>28</v>
      </c>
      <c r="N3351" s="17">
        <v>44652</v>
      </c>
      <c r="O3351" s="15" t="s">
        <v>73</v>
      </c>
      <c r="P3351" s="16" t="s">
        <v>11138</v>
      </c>
      <c r="Q3351" s="15" t="s">
        <v>37</v>
      </c>
      <c r="R3351" s="13" t="str">
        <f>HYPERLINK("https://my.pitchbook.com?c=183160-81T","View Company Online")</f>
        <v>View Company Online</v>
      </c>
    </row>
    <row r="3352" spans="1:18" hidden="1" x14ac:dyDescent="0.3">
      <c r="A3352" s="9" t="s">
        <v>11139</v>
      </c>
      <c r="B3352" s="9" t="s">
        <v>11140</v>
      </c>
      <c r="C3352" s="11" t="s">
        <v>28</v>
      </c>
      <c r="D3352" s="9" t="s">
        <v>11141</v>
      </c>
      <c r="E3352" s="11" t="s">
        <v>28</v>
      </c>
      <c r="F3352" s="10" t="s">
        <v>28</v>
      </c>
      <c r="G3352" s="10" t="s">
        <v>28</v>
      </c>
      <c r="H3352" s="10" t="s">
        <v>28</v>
      </c>
      <c r="I3352" s="11" t="s">
        <v>28</v>
      </c>
      <c r="J3352" s="11" t="s">
        <v>28</v>
      </c>
      <c r="K3352" s="11" t="s">
        <v>28</v>
      </c>
      <c r="L3352" s="11" t="s">
        <v>28</v>
      </c>
      <c r="M3352" s="11" t="s">
        <v>28</v>
      </c>
      <c r="N3352" s="8">
        <v>44652</v>
      </c>
      <c r="O3352" s="9" t="s">
        <v>73</v>
      </c>
      <c r="P3352" s="12" t="s">
        <v>8772</v>
      </c>
      <c r="Q3352" s="9" t="s">
        <v>37</v>
      </c>
      <c r="R3352" s="14" t="str">
        <f>HYPERLINK("https://my.pitchbook.com?c=207772-84T","View Company Online")</f>
        <v>View Company Online</v>
      </c>
    </row>
    <row r="3353" spans="1:18" hidden="1" x14ac:dyDescent="0.3">
      <c r="A3353" s="15" t="s">
        <v>11142</v>
      </c>
      <c r="B3353" s="15" t="s">
        <v>11143</v>
      </c>
      <c r="C3353" s="18" t="s">
        <v>28</v>
      </c>
      <c r="D3353" s="15" t="s">
        <v>11144</v>
      </c>
      <c r="E3353" s="18" t="s">
        <v>28</v>
      </c>
      <c r="F3353" s="19" t="s">
        <v>28</v>
      </c>
      <c r="G3353" s="19" t="s">
        <v>28</v>
      </c>
      <c r="H3353" s="19" t="s">
        <v>28</v>
      </c>
      <c r="I3353" s="18" t="s">
        <v>28</v>
      </c>
      <c r="J3353" s="18" t="s">
        <v>28</v>
      </c>
      <c r="K3353" s="18" t="s">
        <v>28</v>
      </c>
      <c r="L3353" s="18" t="s">
        <v>28</v>
      </c>
      <c r="M3353" s="18" t="s">
        <v>28</v>
      </c>
      <c r="N3353" s="17">
        <v>44652</v>
      </c>
      <c r="O3353" s="15" t="s">
        <v>52</v>
      </c>
      <c r="P3353" s="16" t="s">
        <v>11145</v>
      </c>
      <c r="Q3353" s="15" t="s">
        <v>75</v>
      </c>
      <c r="R3353" s="13" t="str">
        <f>HYPERLINK("https://my.pitchbook.com?c=252167-86T","View Company Online")</f>
        <v>View Company Online</v>
      </c>
    </row>
    <row r="3354" spans="1:18" hidden="1" x14ac:dyDescent="0.3">
      <c r="A3354" s="9" t="s">
        <v>11146</v>
      </c>
      <c r="B3354" s="9" t="s">
        <v>11147</v>
      </c>
      <c r="C3354" s="11" t="s">
        <v>28</v>
      </c>
      <c r="D3354" s="9" t="s">
        <v>11148</v>
      </c>
      <c r="E3354" s="11" t="s">
        <v>28</v>
      </c>
      <c r="F3354" s="10" t="s">
        <v>28</v>
      </c>
      <c r="G3354" s="10" t="s">
        <v>28</v>
      </c>
      <c r="H3354" s="10" t="s">
        <v>28</v>
      </c>
      <c r="I3354" s="11" t="s">
        <v>28</v>
      </c>
      <c r="J3354" s="11" t="s">
        <v>28</v>
      </c>
      <c r="K3354" s="11" t="s">
        <v>28</v>
      </c>
      <c r="L3354" s="11" t="s">
        <v>28</v>
      </c>
      <c r="M3354" s="11" t="s">
        <v>28</v>
      </c>
      <c r="N3354" s="8">
        <v>44652</v>
      </c>
      <c r="O3354" s="9" t="s">
        <v>30</v>
      </c>
      <c r="P3354" s="12" t="s">
        <v>11149</v>
      </c>
      <c r="Q3354" s="9" t="s">
        <v>880</v>
      </c>
      <c r="R3354" s="14" t="str">
        <f>HYPERLINK("https://my.pitchbook.com?c=196478-74T","View Company Online")</f>
        <v>View Company Online</v>
      </c>
    </row>
    <row r="3355" spans="1:18" hidden="1" x14ac:dyDescent="0.3">
      <c r="A3355" s="15" t="s">
        <v>11150</v>
      </c>
      <c r="B3355" s="15" t="s">
        <v>11151</v>
      </c>
      <c r="C3355" s="18" t="s">
        <v>28</v>
      </c>
      <c r="D3355" s="15" t="s">
        <v>11152</v>
      </c>
      <c r="E3355" s="18" t="s">
        <v>28</v>
      </c>
      <c r="F3355" s="19">
        <v>8.84</v>
      </c>
      <c r="G3355" s="19">
        <v>8.84</v>
      </c>
      <c r="H3355" s="19">
        <v>8.84</v>
      </c>
      <c r="I3355" s="18" t="s">
        <v>28</v>
      </c>
      <c r="J3355" s="18" t="s">
        <v>28</v>
      </c>
      <c r="K3355" s="18" t="s">
        <v>28</v>
      </c>
      <c r="L3355" s="18" t="s">
        <v>28</v>
      </c>
      <c r="M3355" s="18" t="s">
        <v>28</v>
      </c>
      <c r="N3355" s="17">
        <v>44652</v>
      </c>
      <c r="O3355" s="15" t="s">
        <v>30</v>
      </c>
      <c r="P3355" s="16" t="s">
        <v>11153</v>
      </c>
      <c r="Q3355" s="15" t="s">
        <v>37</v>
      </c>
      <c r="R3355" s="13" t="str">
        <f>HYPERLINK("https://my.pitchbook.com?c=189461-08T","View Company Online")</f>
        <v>View Company Online</v>
      </c>
    </row>
    <row r="3356" spans="1:18" hidden="1" x14ac:dyDescent="0.3">
      <c r="A3356" s="9" t="s">
        <v>11154</v>
      </c>
      <c r="B3356" s="9" t="s">
        <v>11155</v>
      </c>
      <c r="C3356" s="11" t="s">
        <v>28</v>
      </c>
      <c r="D3356" s="9" t="s">
        <v>11156</v>
      </c>
      <c r="E3356" s="11" t="s">
        <v>28</v>
      </c>
      <c r="F3356" s="10" t="s">
        <v>28</v>
      </c>
      <c r="G3356" s="10" t="s">
        <v>28</v>
      </c>
      <c r="H3356" s="10" t="s">
        <v>28</v>
      </c>
      <c r="I3356" s="11" t="s">
        <v>28</v>
      </c>
      <c r="J3356" s="11" t="s">
        <v>28</v>
      </c>
      <c r="K3356" s="11" t="s">
        <v>28</v>
      </c>
      <c r="L3356" s="11" t="s">
        <v>28</v>
      </c>
      <c r="M3356" s="11" t="s">
        <v>28</v>
      </c>
      <c r="N3356" s="8">
        <v>44652</v>
      </c>
      <c r="O3356" s="9" t="s">
        <v>73</v>
      </c>
      <c r="P3356" s="12" t="s">
        <v>8116</v>
      </c>
      <c r="Q3356" s="9" t="s">
        <v>188</v>
      </c>
      <c r="R3356" s="14" t="str">
        <f>HYPERLINK("https://my.pitchbook.com?c=193858-30T","View Company Online")</f>
        <v>View Company Online</v>
      </c>
    </row>
    <row r="3357" spans="1:18" hidden="1" x14ac:dyDescent="0.3">
      <c r="A3357" s="15" t="s">
        <v>11157</v>
      </c>
      <c r="B3357" s="15" t="s">
        <v>11158</v>
      </c>
      <c r="C3357" s="18" t="s">
        <v>28</v>
      </c>
      <c r="D3357" s="15" t="s">
        <v>11159</v>
      </c>
      <c r="E3357" s="18" t="s">
        <v>28</v>
      </c>
      <c r="F3357" s="19">
        <v>0.01</v>
      </c>
      <c r="G3357" s="19">
        <v>0.01</v>
      </c>
      <c r="H3357" s="19">
        <v>0.01</v>
      </c>
      <c r="I3357" s="18" t="s">
        <v>28</v>
      </c>
      <c r="J3357" s="18" t="s">
        <v>28</v>
      </c>
      <c r="K3357" s="18" t="s">
        <v>28</v>
      </c>
      <c r="L3357" s="18" t="s">
        <v>28</v>
      </c>
      <c r="M3357" s="18" t="s">
        <v>28</v>
      </c>
      <c r="N3357" s="17">
        <v>44652</v>
      </c>
      <c r="O3357" s="15" t="s">
        <v>30</v>
      </c>
      <c r="P3357" s="16" t="s">
        <v>11160</v>
      </c>
      <c r="Q3357" s="15" t="s">
        <v>245</v>
      </c>
      <c r="R3357" s="13" t="str">
        <f>HYPERLINK("https://my.pitchbook.com?c=209161-99T","View Company Online")</f>
        <v>View Company Online</v>
      </c>
    </row>
    <row r="3358" spans="1:18" hidden="1" x14ac:dyDescent="0.3">
      <c r="A3358" s="9" t="s">
        <v>11161</v>
      </c>
      <c r="B3358" s="9" t="s">
        <v>11162</v>
      </c>
      <c r="C3358" s="11" t="s">
        <v>28</v>
      </c>
      <c r="D3358" s="9" t="s">
        <v>11163</v>
      </c>
      <c r="E3358" s="11" t="s">
        <v>28</v>
      </c>
      <c r="F3358" s="10" t="s">
        <v>28</v>
      </c>
      <c r="G3358" s="10" t="s">
        <v>28</v>
      </c>
      <c r="H3358" s="10" t="s">
        <v>28</v>
      </c>
      <c r="I3358" s="11" t="s">
        <v>28</v>
      </c>
      <c r="J3358" s="11" t="s">
        <v>28</v>
      </c>
      <c r="K3358" s="11" t="s">
        <v>28</v>
      </c>
      <c r="L3358" s="11" t="s">
        <v>28</v>
      </c>
      <c r="M3358" s="11" t="s">
        <v>28</v>
      </c>
      <c r="N3358" s="8">
        <v>44652</v>
      </c>
      <c r="O3358" s="9" t="s">
        <v>30</v>
      </c>
      <c r="P3358" s="12" t="s">
        <v>5444</v>
      </c>
      <c r="Q3358" s="9" t="s">
        <v>95</v>
      </c>
      <c r="R3358" s="14" t="str">
        <f>HYPERLINK("https://my.pitchbook.com?c=193833-10T","View Company Online")</f>
        <v>View Company Online</v>
      </c>
    </row>
    <row r="3359" spans="1:18" hidden="1" x14ac:dyDescent="0.3">
      <c r="A3359" s="15" t="s">
        <v>11164</v>
      </c>
      <c r="B3359" s="15" t="s">
        <v>11165</v>
      </c>
      <c r="C3359" s="18" t="s">
        <v>28</v>
      </c>
      <c r="D3359" s="15" t="s">
        <v>11166</v>
      </c>
      <c r="E3359" s="18" t="s">
        <v>28</v>
      </c>
      <c r="F3359" s="19" t="s">
        <v>28</v>
      </c>
      <c r="G3359" s="19" t="s">
        <v>28</v>
      </c>
      <c r="H3359" s="19" t="s">
        <v>28</v>
      </c>
      <c r="I3359" s="18" t="s">
        <v>28</v>
      </c>
      <c r="J3359" s="18" t="s">
        <v>28</v>
      </c>
      <c r="K3359" s="18" t="s">
        <v>28</v>
      </c>
      <c r="L3359" s="18" t="s">
        <v>28</v>
      </c>
      <c r="M3359" s="18" t="s">
        <v>28</v>
      </c>
      <c r="N3359" s="17">
        <v>44652</v>
      </c>
      <c r="O3359" s="15" t="s">
        <v>52</v>
      </c>
      <c r="P3359" s="16" t="s">
        <v>11167</v>
      </c>
      <c r="Q3359" s="15" t="s">
        <v>2706</v>
      </c>
      <c r="R3359" s="13" t="str">
        <f>HYPERLINK("https://my.pitchbook.com?c=252719-02T","View Company Online")</f>
        <v>View Company Online</v>
      </c>
    </row>
    <row r="3360" spans="1:18" hidden="1" x14ac:dyDescent="0.3">
      <c r="A3360" s="9" t="s">
        <v>11168</v>
      </c>
      <c r="B3360" s="9" t="s">
        <v>11165</v>
      </c>
      <c r="C3360" s="11" t="s">
        <v>28</v>
      </c>
      <c r="D3360" s="9" t="s">
        <v>11166</v>
      </c>
      <c r="E3360" s="11" t="s">
        <v>28</v>
      </c>
      <c r="F3360" s="10" t="s">
        <v>28</v>
      </c>
      <c r="G3360" s="10" t="s">
        <v>28</v>
      </c>
      <c r="H3360" s="10" t="s">
        <v>28</v>
      </c>
      <c r="I3360" s="11" t="s">
        <v>28</v>
      </c>
      <c r="J3360" s="11" t="s">
        <v>28</v>
      </c>
      <c r="K3360" s="11" t="s">
        <v>28</v>
      </c>
      <c r="L3360" s="11" t="s">
        <v>28</v>
      </c>
      <c r="M3360" s="11" t="s">
        <v>28</v>
      </c>
      <c r="N3360" s="8">
        <v>44652</v>
      </c>
      <c r="O3360" s="9" t="s">
        <v>52</v>
      </c>
      <c r="P3360" s="12" t="s">
        <v>28</v>
      </c>
      <c r="Q3360" s="9" t="s">
        <v>2706</v>
      </c>
      <c r="R3360" s="14" t="str">
        <f>HYPERLINK("https://my.pitchbook.com?c=252724-33T","View Company Online")</f>
        <v>View Company Online</v>
      </c>
    </row>
    <row r="3361" spans="1:18" hidden="1" x14ac:dyDescent="0.3">
      <c r="A3361" s="15" t="s">
        <v>11169</v>
      </c>
      <c r="B3361" s="15" t="s">
        <v>11170</v>
      </c>
      <c r="C3361" s="18" t="s">
        <v>28</v>
      </c>
      <c r="D3361" s="15" t="s">
        <v>11171</v>
      </c>
      <c r="E3361" s="18" t="s">
        <v>28</v>
      </c>
      <c r="F3361" s="19" t="s">
        <v>28</v>
      </c>
      <c r="G3361" s="19">
        <v>4.03</v>
      </c>
      <c r="H3361" s="19" t="s">
        <v>28</v>
      </c>
      <c r="I3361" s="18" t="s">
        <v>28</v>
      </c>
      <c r="J3361" s="18" t="s">
        <v>28</v>
      </c>
      <c r="K3361" s="18" t="s">
        <v>28</v>
      </c>
      <c r="L3361" s="18" t="s">
        <v>28</v>
      </c>
      <c r="M3361" s="18" t="s">
        <v>28</v>
      </c>
      <c r="N3361" s="17">
        <v>44652</v>
      </c>
      <c r="O3361" s="15" t="s">
        <v>79</v>
      </c>
      <c r="P3361" s="16" t="s">
        <v>11172</v>
      </c>
      <c r="Q3361" s="15" t="s">
        <v>409</v>
      </c>
      <c r="R3361" s="13" t="str">
        <f>HYPERLINK("https://my.pitchbook.com?c=193051-00T","View Company Online")</f>
        <v>View Company Online</v>
      </c>
    </row>
    <row r="3362" spans="1:18" hidden="1" x14ac:dyDescent="0.3">
      <c r="A3362" s="9" t="s">
        <v>11173</v>
      </c>
      <c r="B3362" s="9" t="s">
        <v>11174</v>
      </c>
      <c r="C3362" s="11" t="s">
        <v>28</v>
      </c>
      <c r="D3362" s="9" t="s">
        <v>11175</v>
      </c>
      <c r="E3362" s="11" t="s">
        <v>28</v>
      </c>
      <c r="F3362" s="10" t="s">
        <v>28</v>
      </c>
      <c r="G3362" s="10" t="s">
        <v>28</v>
      </c>
      <c r="H3362" s="10" t="s">
        <v>28</v>
      </c>
      <c r="I3362" s="11" t="s">
        <v>28</v>
      </c>
      <c r="J3362" s="11" t="s">
        <v>28</v>
      </c>
      <c r="K3362" s="11" t="s">
        <v>28</v>
      </c>
      <c r="L3362" s="11" t="s">
        <v>28</v>
      </c>
      <c r="M3362" s="11" t="s">
        <v>28</v>
      </c>
      <c r="N3362" s="8">
        <v>44652</v>
      </c>
      <c r="O3362" s="9" t="s">
        <v>73</v>
      </c>
      <c r="P3362" s="12" t="s">
        <v>611</v>
      </c>
      <c r="Q3362" s="9" t="s">
        <v>75</v>
      </c>
      <c r="R3362" s="14" t="str">
        <f>HYPERLINK("https://my.pitchbook.com?c=194485-51T","View Company Online")</f>
        <v>View Company Online</v>
      </c>
    </row>
    <row r="3363" spans="1:18" hidden="1" x14ac:dyDescent="0.3">
      <c r="A3363" s="15" t="s">
        <v>11176</v>
      </c>
      <c r="B3363" s="15" t="s">
        <v>11177</v>
      </c>
      <c r="C3363" s="18" t="s">
        <v>28</v>
      </c>
      <c r="D3363" s="15" t="s">
        <v>11178</v>
      </c>
      <c r="E3363" s="18" t="s">
        <v>28</v>
      </c>
      <c r="F3363" s="19">
        <v>15.1</v>
      </c>
      <c r="G3363" s="19">
        <v>15.1</v>
      </c>
      <c r="H3363" s="19">
        <v>15.1</v>
      </c>
      <c r="I3363" s="18" t="s">
        <v>28</v>
      </c>
      <c r="J3363" s="18" t="s">
        <v>28</v>
      </c>
      <c r="K3363" s="18" t="s">
        <v>28</v>
      </c>
      <c r="L3363" s="18" t="s">
        <v>28</v>
      </c>
      <c r="M3363" s="18" t="s">
        <v>28</v>
      </c>
      <c r="N3363" s="17">
        <v>44652</v>
      </c>
      <c r="O3363" s="15" t="s">
        <v>30</v>
      </c>
      <c r="P3363" s="16" t="s">
        <v>11179</v>
      </c>
      <c r="Q3363" s="15" t="s">
        <v>85</v>
      </c>
      <c r="R3363" s="13" t="str">
        <f>HYPERLINK("https://my.pitchbook.com?c=181007-47T","View Company Online")</f>
        <v>View Company Online</v>
      </c>
    </row>
    <row r="3364" spans="1:18" hidden="1" x14ac:dyDescent="0.3">
      <c r="A3364" s="9" t="s">
        <v>11180</v>
      </c>
      <c r="B3364" s="9" t="s">
        <v>11181</v>
      </c>
      <c r="C3364" s="11" t="s">
        <v>28</v>
      </c>
      <c r="D3364" s="9" t="s">
        <v>11182</v>
      </c>
      <c r="E3364" s="11" t="s">
        <v>28</v>
      </c>
      <c r="F3364" s="10" t="s">
        <v>28</v>
      </c>
      <c r="G3364" s="10" t="s">
        <v>28</v>
      </c>
      <c r="H3364" s="10" t="s">
        <v>28</v>
      </c>
      <c r="I3364" s="11" t="s">
        <v>28</v>
      </c>
      <c r="J3364" s="11" t="s">
        <v>28</v>
      </c>
      <c r="K3364" s="11" t="s">
        <v>28</v>
      </c>
      <c r="L3364" s="11" t="s">
        <v>28</v>
      </c>
      <c r="M3364" s="11" t="s">
        <v>28</v>
      </c>
      <c r="N3364" s="8">
        <v>44651</v>
      </c>
      <c r="O3364" s="9" t="s">
        <v>30</v>
      </c>
      <c r="P3364" s="12" t="s">
        <v>8578</v>
      </c>
      <c r="Q3364" s="9" t="s">
        <v>607</v>
      </c>
      <c r="R3364" s="14" t="str">
        <f>HYPERLINK("https://my.pitchbook.com?c=196552-81T","View Company Online")</f>
        <v>View Company Online</v>
      </c>
    </row>
    <row r="3365" spans="1:18" hidden="1" x14ac:dyDescent="0.3">
      <c r="A3365" s="15" t="s">
        <v>11183</v>
      </c>
      <c r="B3365" s="15" t="s">
        <v>4214</v>
      </c>
      <c r="C3365" s="18" t="s">
        <v>28</v>
      </c>
      <c r="D3365" s="15" t="s">
        <v>4215</v>
      </c>
      <c r="E3365" s="18" t="s">
        <v>28</v>
      </c>
      <c r="F3365" s="19" t="s">
        <v>28</v>
      </c>
      <c r="G3365" s="19">
        <v>0.42</v>
      </c>
      <c r="H3365" s="19" t="s">
        <v>28</v>
      </c>
      <c r="I3365" s="18" t="s">
        <v>28</v>
      </c>
      <c r="J3365" s="18" t="s">
        <v>28</v>
      </c>
      <c r="K3365" s="18" t="s">
        <v>28</v>
      </c>
      <c r="L3365" s="18" t="s">
        <v>28</v>
      </c>
      <c r="M3365" s="18" t="s">
        <v>28</v>
      </c>
      <c r="N3365" s="17">
        <v>44651</v>
      </c>
      <c r="O3365" s="15" t="s">
        <v>99</v>
      </c>
      <c r="P3365" s="16" t="s">
        <v>11184</v>
      </c>
      <c r="Q3365" s="15" t="s">
        <v>249</v>
      </c>
      <c r="R3365" s="13" t="str">
        <f>HYPERLINK("https://my.pitchbook.com?c=194843-89T","View Company Online")</f>
        <v>View Company Online</v>
      </c>
    </row>
    <row r="3366" spans="1:18" hidden="1" x14ac:dyDescent="0.3">
      <c r="A3366" s="9" t="s">
        <v>11185</v>
      </c>
      <c r="B3366" s="9" t="s">
        <v>11186</v>
      </c>
      <c r="C3366" s="11" t="s">
        <v>28</v>
      </c>
      <c r="D3366" s="9" t="s">
        <v>11187</v>
      </c>
      <c r="E3366" s="11" t="s">
        <v>28</v>
      </c>
      <c r="F3366" s="10" t="s">
        <v>28</v>
      </c>
      <c r="G3366" s="10">
        <v>0.6</v>
      </c>
      <c r="H3366" s="10" t="s">
        <v>28</v>
      </c>
      <c r="I3366" s="11" t="s">
        <v>28</v>
      </c>
      <c r="J3366" s="11" t="s">
        <v>28</v>
      </c>
      <c r="K3366" s="11" t="s">
        <v>28</v>
      </c>
      <c r="L3366" s="11" t="s">
        <v>28</v>
      </c>
      <c r="M3366" s="11" t="s">
        <v>28</v>
      </c>
      <c r="N3366" s="8">
        <v>44651</v>
      </c>
      <c r="O3366" s="9" t="s">
        <v>99</v>
      </c>
      <c r="P3366" s="12" t="s">
        <v>11188</v>
      </c>
      <c r="Q3366" s="9" t="s">
        <v>114</v>
      </c>
      <c r="R3366" s="14" t="str">
        <f>HYPERLINK("https://my.pitchbook.com?c=191372-32T","View Company Online")</f>
        <v>View Company Online</v>
      </c>
    </row>
    <row r="3367" spans="1:18" hidden="1" x14ac:dyDescent="0.3">
      <c r="A3367" s="15" t="s">
        <v>11189</v>
      </c>
      <c r="B3367" s="15" t="s">
        <v>11186</v>
      </c>
      <c r="C3367" s="18" t="s">
        <v>28</v>
      </c>
      <c r="D3367" s="15" t="s">
        <v>11187</v>
      </c>
      <c r="E3367" s="18" t="s">
        <v>28</v>
      </c>
      <c r="F3367" s="19" t="s">
        <v>28</v>
      </c>
      <c r="G3367" s="19" t="s">
        <v>28</v>
      </c>
      <c r="H3367" s="19" t="s">
        <v>28</v>
      </c>
      <c r="I3367" s="18" t="s">
        <v>28</v>
      </c>
      <c r="J3367" s="18" t="s">
        <v>28</v>
      </c>
      <c r="K3367" s="18" t="s">
        <v>28</v>
      </c>
      <c r="L3367" s="18" t="s">
        <v>28</v>
      </c>
      <c r="M3367" s="18" t="s">
        <v>28</v>
      </c>
      <c r="N3367" s="17">
        <v>44651</v>
      </c>
      <c r="O3367" s="15" t="s">
        <v>99</v>
      </c>
      <c r="P3367" s="16" t="s">
        <v>28</v>
      </c>
      <c r="Q3367" s="15" t="s">
        <v>114</v>
      </c>
      <c r="R3367" s="13" t="str">
        <f>HYPERLINK("https://my.pitchbook.com?c=191373-04T","View Company Online")</f>
        <v>View Company Online</v>
      </c>
    </row>
    <row r="3368" spans="1:18" hidden="1" x14ac:dyDescent="0.3">
      <c r="A3368" s="9" t="s">
        <v>11190</v>
      </c>
      <c r="B3368" s="9" t="s">
        <v>11191</v>
      </c>
      <c r="C3368" s="11" t="s">
        <v>28</v>
      </c>
      <c r="D3368" s="9" t="s">
        <v>11192</v>
      </c>
      <c r="E3368" s="11" t="s">
        <v>28</v>
      </c>
      <c r="F3368" s="10" t="s">
        <v>28</v>
      </c>
      <c r="G3368" s="10" t="s">
        <v>28</v>
      </c>
      <c r="H3368" s="10" t="s">
        <v>28</v>
      </c>
      <c r="I3368" s="11" t="s">
        <v>28</v>
      </c>
      <c r="J3368" s="11" t="s">
        <v>28</v>
      </c>
      <c r="K3368" s="11" t="s">
        <v>28</v>
      </c>
      <c r="L3368" s="11" t="s">
        <v>28</v>
      </c>
      <c r="M3368" s="11" t="s">
        <v>28</v>
      </c>
      <c r="N3368" s="8">
        <v>44651</v>
      </c>
      <c r="O3368" s="9" t="s">
        <v>30</v>
      </c>
      <c r="P3368" s="12" t="s">
        <v>11193</v>
      </c>
      <c r="Q3368" s="9" t="s">
        <v>75</v>
      </c>
      <c r="R3368" s="14" t="str">
        <f>HYPERLINK("https://my.pitchbook.com?c=195361-93T","View Company Online")</f>
        <v>View Company Online</v>
      </c>
    </row>
    <row r="3369" spans="1:18" hidden="1" x14ac:dyDescent="0.3">
      <c r="A3369" s="15" t="s">
        <v>11194</v>
      </c>
      <c r="B3369" s="15" t="s">
        <v>11195</v>
      </c>
      <c r="C3369" s="18" t="s">
        <v>28</v>
      </c>
      <c r="D3369" s="15" t="s">
        <v>11196</v>
      </c>
      <c r="E3369" s="18" t="s">
        <v>28</v>
      </c>
      <c r="F3369" s="19" t="s">
        <v>28</v>
      </c>
      <c r="G3369" s="19" t="s">
        <v>28</v>
      </c>
      <c r="H3369" s="19" t="s">
        <v>28</v>
      </c>
      <c r="I3369" s="18" t="s">
        <v>28</v>
      </c>
      <c r="J3369" s="18" t="s">
        <v>28</v>
      </c>
      <c r="K3369" s="18" t="s">
        <v>28</v>
      </c>
      <c r="L3369" s="18" t="s">
        <v>28</v>
      </c>
      <c r="M3369" s="18" t="s">
        <v>28</v>
      </c>
      <c r="N3369" s="17">
        <v>44650</v>
      </c>
      <c r="O3369" s="15" t="s">
        <v>93</v>
      </c>
      <c r="P3369" s="16" t="s">
        <v>11197</v>
      </c>
      <c r="Q3369" s="15" t="s">
        <v>880</v>
      </c>
      <c r="R3369" s="13" t="str">
        <f>HYPERLINK("https://my.pitchbook.com?c=220954-69T","View Company Online")</f>
        <v>View Company Online</v>
      </c>
    </row>
    <row r="3370" spans="1:18" hidden="1" x14ac:dyDescent="0.3">
      <c r="A3370" s="9" t="s">
        <v>11198</v>
      </c>
      <c r="B3370" s="9" t="s">
        <v>11199</v>
      </c>
      <c r="C3370" s="11" t="s">
        <v>28</v>
      </c>
      <c r="D3370" s="9" t="s">
        <v>11200</v>
      </c>
      <c r="E3370" s="11" t="s">
        <v>28</v>
      </c>
      <c r="F3370" s="10" t="s">
        <v>28</v>
      </c>
      <c r="G3370" s="10">
        <v>0.5</v>
      </c>
      <c r="H3370" s="10" t="s">
        <v>28</v>
      </c>
      <c r="I3370" s="11" t="s">
        <v>28</v>
      </c>
      <c r="J3370" s="11" t="s">
        <v>28</v>
      </c>
      <c r="K3370" s="11" t="s">
        <v>28</v>
      </c>
      <c r="L3370" s="11" t="s">
        <v>28</v>
      </c>
      <c r="M3370" s="11" t="s">
        <v>28</v>
      </c>
      <c r="N3370" s="8">
        <v>44649</v>
      </c>
      <c r="O3370" s="9" t="s">
        <v>52</v>
      </c>
      <c r="P3370" s="12" t="s">
        <v>3944</v>
      </c>
      <c r="Q3370" s="9" t="s">
        <v>75</v>
      </c>
      <c r="R3370" s="14" t="str">
        <f>HYPERLINK("https://my.pitchbook.com?c=213051-79T","View Company Online")</f>
        <v>View Company Online</v>
      </c>
    </row>
    <row r="3371" spans="1:18" x14ac:dyDescent="0.3">
      <c r="A3371" s="15" t="s">
        <v>11201</v>
      </c>
      <c r="B3371" s="15" t="s">
        <v>11202</v>
      </c>
      <c r="C3371" s="18">
        <v>1.36</v>
      </c>
      <c r="D3371" s="15" t="s">
        <v>11203</v>
      </c>
      <c r="E3371" s="18">
        <v>148.19</v>
      </c>
      <c r="F3371" s="19">
        <v>209.04</v>
      </c>
      <c r="G3371" s="19">
        <v>110.76</v>
      </c>
      <c r="H3371" s="19">
        <v>215.16</v>
      </c>
      <c r="I3371" s="18">
        <v>153.30000000000001</v>
      </c>
      <c r="J3371" s="18">
        <v>1.4</v>
      </c>
      <c r="K3371" s="18">
        <v>795.32</v>
      </c>
      <c r="L3371" s="18">
        <v>0.27</v>
      </c>
      <c r="M3371" s="18">
        <v>123.65</v>
      </c>
      <c r="N3371" s="17">
        <v>44649</v>
      </c>
      <c r="O3371" s="15" t="s">
        <v>30</v>
      </c>
      <c r="P3371" s="16" t="s">
        <v>11204</v>
      </c>
      <c r="Q3371" s="15" t="s">
        <v>1007</v>
      </c>
      <c r="R3371" s="13" t="str">
        <f>HYPERLINK("https://my.pitchbook.com?c=185498-20T","View Company Online")</f>
        <v>View Company Online</v>
      </c>
    </row>
    <row r="3372" spans="1:18" hidden="1" x14ac:dyDescent="0.3">
      <c r="A3372" s="9" t="s">
        <v>11205</v>
      </c>
      <c r="B3372" s="9" t="s">
        <v>6622</v>
      </c>
      <c r="C3372" s="11" t="s">
        <v>28</v>
      </c>
      <c r="D3372" s="9" t="s">
        <v>6623</v>
      </c>
      <c r="E3372" s="11" t="s">
        <v>28</v>
      </c>
      <c r="F3372" s="10" t="s">
        <v>28</v>
      </c>
      <c r="G3372" s="10">
        <v>0.1</v>
      </c>
      <c r="H3372" s="10" t="s">
        <v>28</v>
      </c>
      <c r="I3372" s="11" t="s">
        <v>28</v>
      </c>
      <c r="J3372" s="11" t="s">
        <v>28</v>
      </c>
      <c r="K3372" s="11" t="s">
        <v>28</v>
      </c>
      <c r="L3372" s="11" t="s">
        <v>28</v>
      </c>
      <c r="M3372" s="11" t="s">
        <v>28</v>
      </c>
      <c r="N3372" s="8">
        <v>44649</v>
      </c>
      <c r="O3372" s="9" t="s">
        <v>52</v>
      </c>
      <c r="P3372" s="12" t="s">
        <v>8715</v>
      </c>
      <c r="Q3372" s="9" t="s">
        <v>75</v>
      </c>
      <c r="R3372" s="14" t="str">
        <f>HYPERLINK("https://my.pitchbook.com?c=216459-73T","View Company Online")</f>
        <v>View Company Online</v>
      </c>
    </row>
    <row r="3373" spans="1:18" hidden="1" x14ac:dyDescent="0.3">
      <c r="A3373" s="15" t="s">
        <v>11206</v>
      </c>
      <c r="B3373" s="15" t="s">
        <v>11207</v>
      </c>
      <c r="C3373" s="18" t="s">
        <v>28</v>
      </c>
      <c r="D3373" s="15" t="s">
        <v>11208</v>
      </c>
      <c r="E3373" s="18" t="s">
        <v>28</v>
      </c>
      <c r="F3373" s="19">
        <v>7.99</v>
      </c>
      <c r="G3373" s="19">
        <v>7.99</v>
      </c>
      <c r="H3373" s="19">
        <v>7.99</v>
      </c>
      <c r="I3373" s="18" t="s">
        <v>28</v>
      </c>
      <c r="J3373" s="18" t="s">
        <v>28</v>
      </c>
      <c r="K3373" s="18" t="s">
        <v>28</v>
      </c>
      <c r="L3373" s="18" t="s">
        <v>28</v>
      </c>
      <c r="M3373" s="18" t="s">
        <v>28</v>
      </c>
      <c r="N3373" s="17">
        <v>44649</v>
      </c>
      <c r="O3373" s="15" t="s">
        <v>30</v>
      </c>
      <c r="P3373" s="16" t="s">
        <v>11209</v>
      </c>
      <c r="Q3373" s="15" t="s">
        <v>37</v>
      </c>
      <c r="R3373" s="13" t="str">
        <f>HYPERLINK("https://my.pitchbook.com?c=210066-94T","View Company Online")</f>
        <v>View Company Online</v>
      </c>
    </row>
    <row r="3374" spans="1:18" hidden="1" x14ac:dyDescent="0.3">
      <c r="A3374" s="9" t="s">
        <v>11210</v>
      </c>
      <c r="B3374" s="9" t="s">
        <v>813</v>
      </c>
      <c r="C3374" s="11" t="s">
        <v>28</v>
      </c>
      <c r="D3374" s="9" t="s">
        <v>11211</v>
      </c>
      <c r="E3374" s="11">
        <v>209.49</v>
      </c>
      <c r="F3374" s="10" t="s">
        <v>28</v>
      </c>
      <c r="G3374" s="10">
        <v>3187</v>
      </c>
      <c r="H3374" s="10" t="s">
        <v>28</v>
      </c>
      <c r="I3374" s="11">
        <v>319.57</v>
      </c>
      <c r="J3374" s="11" t="s">
        <v>28</v>
      </c>
      <c r="K3374" s="11">
        <v>486.33</v>
      </c>
      <c r="L3374" s="11" t="s">
        <v>28</v>
      </c>
      <c r="M3374" s="11">
        <v>10.89</v>
      </c>
      <c r="N3374" s="8">
        <v>44648</v>
      </c>
      <c r="O3374" s="9" t="s">
        <v>173</v>
      </c>
      <c r="P3374" s="12" t="s">
        <v>28</v>
      </c>
      <c r="Q3374" s="9" t="s">
        <v>2043</v>
      </c>
      <c r="R3374" s="14" t="str">
        <f>HYPERLINK("https://my.pitchbook.com?c=191423-08T","View Company Online")</f>
        <v>View Company Online</v>
      </c>
    </row>
    <row r="3375" spans="1:18" hidden="1" x14ac:dyDescent="0.3">
      <c r="A3375" s="15" t="s">
        <v>11212</v>
      </c>
      <c r="B3375" s="15" t="s">
        <v>11010</v>
      </c>
      <c r="C3375" s="18" t="s">
        <v>28</v>
      </c>
      <c r="D3375" s="15" t="s">
        <v>11011</v>
      </c>
      <c r="E3375" s="18" t="s">
        <v>28</v>
      </c>
      <c r="F3375" s="19" t="s">
        <v>28</v>
      </c>
      <c r="G3375" s="19">
        <v>0.4</v>
      </c>
      <c r="H3375" s="19" t="s">
        <v>28</v>
      </c>
      <c r="I3375" s="18" t="s">
        <v>28</v>
      </c>
      <c r="J3375" s="18" t="s">
        <v>28</v>
      </c>
      <c r="K3375" s="18" t="s">
        <v>28</v>
      </c>
      <c r="L3375" s="18" t="s">
        <v>28</v>
      </c>
      <c r="M3375" s="18" t="s">
        <v>28</v>
      </c>
      <c r="N3375" s="17">
        <v>44648</v>
      </c>
      <c r="O3375" s="15" t="s">
        <v>58</v>
      </c>
      <c r="P3375" s="16" t="s">
        <v>28</v>
      </c>
      <c r="Q3375" s="15" t="s">
        <v>1336</v>
      </c>
      <c r="R3375" s="13" t="str">
        <f>HYPERLINK("https://my.pitchbook.com?c=193038-04T","View Company Online")</f>
        <v>View Company Online</v>
      </c>
    </row>
    <row r="3376" spans="1:18" hidden="1" x14ac:dyDescent="0.3">
      <c r="A3376" s="9" t="s">
        <v>11213</v>
      </c>
      <c r="B3376" s="9" t="s">
        <v>11214</v>
      </c>
      <c r="C3376" s="11" t="s">
        <v>28</v>
      </c>
      <c r="D3376" s="9" t="s">
        <v>11215</v>
      </c>
      <c r="E3376" s="11" t="s">
        <v>28</v>
      </c>
      <c r="F3376" s="10" t="s">
        <v>28</v>
      </c>
      <c r="G3376" s="10" t="s">
        <v>28</v>
      </c>
      <c r="H3376" s="10" t="s">
        <v>28</v>
      </c>
      <c r="I3376" s="11" t="s">
        <v>28</v>
      </c>
      <c r="J3376" s="11" t="s">
        <v>28</v>
      </c>
      <c r="K3376" s="11" t="s">
        <v>28</v>
      </c>
      <c r="L3376" s="11" t="s">
        <v>28</v>
      </c>
      <c r="M3376" s="11" t="s">
        <v>28</v>
      </c>
      <c r="N3376" s="8">
        <v>44648</v>
      </c>
      <c r="O3376" s="9" t="s">
        <v>30</v>
      </c>
      <c r="P3376" s="12" t="s">
        <v>11216</v>
      </c>
      <c r="Q3376" s="9" t="s">
        <v>37</v>
      </c>
      <c r="R3376" s="14" t="str">
        <f>HYPERLINK("https://my.pitchbook.com?c=191072-08T","View Company Online")</f>
        <v>View Company Online</v>
      </c>
    </row>
    <row r="3377" spans="1:18" hidden="1" x14ac:dyDescent="0.3">
      <c r="A3377" s="15" t="s">
        <v>11217</v>
      </c>
      <c r="B3377" s="15" t="s">
        <v>11218</v>
      </c>
      <c r="C3377" s="18" t="s">
        <v>28</v>
      </c>
      <c r="D3377" s="15" t="s">
        <v>11219</v>
      </c>
      <c r="E3377" s="18" t="s">
        <v>28</v>
      </c>
      <c r="F3377" s="19" t="s">
        <v>28</v>
      </c>
      <c r="G3377" s="19">
        <v>60</v>
      </c>
      <c r="H3377" s="19" t="s">
        <v>28</v>
      </c>
      <c r="I3377" s="18" t="s">
        <v>28</v>
      </c>
      <c r="J3377" s="18" t="s">
        <v>28</v>
      </c>
      <c r="K3377" s="18" t="s">
        <v>28</v>
      </c>
      <c r="L3377" s="18" t="s">
        <v>28</v>
      </c>
      <c r="M3377" s="18" t="s">
        <v>28</v>
      </c>
      <c r="N3377" s="17">
        <v>44648</v>
      </c>
      <c r="O3377" s="15" t="s">
        <v>93</v>
      </c>
      <c r="P3377" s="16" t="s">
        <v>11220</v>
      </c>
      <c r="Q3377" s="15" t="s">
        <v>959</v>
      </c>
      <c r="R3377" s="13" t="str">
        <f>HYPERLINK("https://my.pitchbook.com?c=195628-60T","View Company Online")</f>
        <v>View Company Online</v>
      </c>
    </row>
    <row r="3378" spans="1:18" hidden="1" x14ac:dyDescent="0.3">
      <c r="A3378" s="9" t="s">
        <v>11221</v>
      </c>
      <c r="B3378" s="9" t="s">
        <v>11222</v>
      </c>
      <c r="C3378" s="11" t="s">
        <v>28</v>
      </c>
      <c r="D3378" s="9" t="s">
        <v>11223</v>
      </c>
      <c r="E3378" s="11" t="s">
        <v>28</v>
      </c>
      <c r="F3378" s="10">
        <v>2.08</v>
      </c>
      <c r="G3378" s="10">
        <v>2.08</v>
      </c>
      <c r="H3378" s="10">
        <v>2.08</v>
      </c>
      <c r="I3378" s="11" t="s">
        <v>28</v>
      </c>
      <c r="J3378" s="11" t="s">
        <v>28</v>
      </c>
      <c r="K3378" s="11" t="s">
        <v>28</v>
      </c>
      <c r="L3378" s="11" t="s">
        <v>28</v>
      </c>
      <c r="M3378" s="11" t="s">
        <v>28</v>
      </c>
      <c r="N3378" s="8">
        <v>44646</v>
      </c>
      <c r="O3378" s="9" t="s">
        <v>30</v>
      </c>
      <c r="P3378" s="12" t="s">
        <v>11224</v>
      </c>
      <c r="Q3378" s="9" t="s">
        <v>85</v>
      </c>
      <c r="R3378" s="14" t="str">
        <f>HYPERLINK("https://my.pitchbook.com?c=201981-61T","View Company Online")</f>
        <v>View Company Online</v>
      </c>
    </row>
    <row r="3379" spans="1:18" hidden="1" x14ac:dyDescent="0.3">
      <c r="A3379" s="15" t="s">
        <v>11225</v>
      </c>
      <c r="B3379" s="15" t="s">
        <v>11226</v>
      </c>
      <c r="C3379" s="18" t="s">
        <v>28</v>
      </c>
      <c r="D3379" s="15" t="s">
        <v>11227</v>
      </c>
      <c r="E3379" s="18" t="s">
        <v>28</v>
      </c>
      <c r="F3379" s="19" t="s">
        <v>28</v>
      </c>
      <c r="G3379" s="19" t="s">
        <v>28</v>
      </c>
      <c r="H3379" s="19" t="s">
        <v>28</v>
      </c>
      <c r="I3379" s="18" t="s">
        <v>28</v>
      </c>
      <c r="J3379" s="18" t="s">
        <v>28</v>
      </c>
      <c r="K3379" s="18">
        <v>16.13</v>
      </c>
      <c r="L3379" s="18" t="s">
        <v>28</v>
      </c>
      <c r="M3379" s="18" t="s">
        <v>28</v>
      </c>
      <c r="N3379" s="17">
        <v>44645</v>
      </c>
      <c r="O3379" s="15" t="s">
        <v>30</v>
      </c>
      <c r="P3379" s="16" t="s">
        <v>3543</v>
      </c>
      <c r="Q3379" s="15" t="s">
        <v>959</v>
      </c>
      <c r="R3379" s="13" t="str">
        <f>HYPERLINK("https://my.pitchbook.com?c=210274-39T","View Company Online")</f>
        <v>View Company Online</v>
      </c>
    </row>
    <row r="3380" spans="1:18" hidden="1" x14ac:dyDescent="0.3">
      <c r="A3380" s="9" t="s">
        <v>11228</v>
      </c>
      <c r="B3380" s="9" t="s">
        <v>11229</v>
      </c>
      <c r="C3380" s="11" t="s">
        <v>28</v>
      </c>
      <c r="D3380" s="9" t="s">
        <v>11230</v>
      </c>
      <c r="E3380" s="11" t="s">
        <v>28</v>
      </c>
      <c r="F3380" s="10" t="s">
        <v>28</v>
      </c>
      <c r="G3380" s="10" t="s">
        <v>28</v>
      </c>
      <c r="H3380" s="10" t="s">
        <v>28</v>
      </c>
      <c r="I3380" s="11" t="s">
        <v>28</v>
      </c>
      <c r="J3380" s="11" t="s">
        <v>28</v>
      </c>
      <c r="K3380" s="11" t="s">
        <v>28</v>
      </c>
      <c r="L3380" s="11" t="s">
        <v>28</v>
      </c>
      <c r="M3380" s="11" t="s">
        <v>28</v>
      </c>
      <c r="N3380" s="8">
        <v>44645</v>
      </c>
      <c r="O3380" s="9" t="s">
        <v>52</v>
      </c>
      <c r="P3380" s="12" t="s">
        <v>2830</v>
      </c>
      <c r="Q3380" s="9" t="s">
        <v>6348</v>
      </c>
      <c r="R3380" s="14" t="str">
        <f>HYPERLINK("https://my.pitchbook.com?c=266562-64T","View Company Online")</f>
        <v>View Company Online</v>
      </c>
    </row>
    <row r="3381" spans="1:18" hidden="1" x14ac:dyDescent="0.3">
      <c r="A3381" s="15" t="s">
        <v>11231</v>
      </c>
      <c r="B3381" s="15" t="s">
        <v>11232</v>
      </c>
      <c r="C3381" s="18" t="s">
        <v>28</v>
      </c>
      <c r="D3381" s="15" t="s">
        <v>11233</v>
      </c>
      <c r="E3381" s="18" t="s">
        <v>28</v>
      </c>
      <c r="F3381" s="19" t="s">
        <v>28</v>
      </c>
      <c r="G3381" s="19">
        <v>5</v>
      </c>
      <c r="H3381" s="19" t="s">
        <v>28</v>
      </c>
      <c r="I3381" s="18" t="s">
        <v>28</v>
      </c>
      <c r="J3381" s="18" t="s">
        <v>28</v>
      </c>
      <c r="K3381" s="18" t="s">
        <v>28</v>
      </c>
      <c r="L3381" s="18" t="s">
        <v>28</v>
      </c>
      <c r="M3381" s="18" t="s">
        <v>28</v>
      </c>
      <c r="N3381" s="17">
        <v>44645</v>
      </c>
      <c r="O3381" s="15" t="s">
        <v>99</v>
      </c>
      <c r="P3381" s="16" t="s">
        <v>28</v>
      </c>
      <c r="Q3381" s="15" t="s">
        <v>1734</v>
      </c>
      <c r="R3381" s="13" t="str">
        <f>HYPERLINK("https://my.pitchbook.com?c=190956-88T","View Company Online")</f>
        <v>View Company Online</v>
      </c>
    </row>
    <row r="3382" spans="1:18" hidden="1" x14ac:dyDescent="0.3">
      <c r="A3382" s="9" t="s">
        <v>11234</v>
      </c>
      <c r="B3382" s="9" t="s">
        <v>11235</v>
      </c>
      <c r="C3382" s="11" t="s">
        <v>28</v>
      </c>
      <c r="D3382" s="9" t="s">
        <v>11236</v>
      </c>
      <c r="E3382" s="11" t="s">
        <v>28</v>
      </c>
      <c r="F3382" s="10">
        <v>1383.48</v>
      </c>
      <c r="G3382" s="10">
        <v>1383.48</v>
      </c>
      <c r="H3382" s="10">
        <v>1383.48</v>
      </c>
      <c r="I3382" s="11" t="s">
        <v>28</v>
      </c>
      <c r="J3382" s="11" t="s">
        <v>28</v>
      </c>
      <c r="K3382" s="11" t="s">
        <v>28</v>
      </c>
      <c r="L3382" s="11" t="s">
        <v>28</v>
      </c>
      <c r="M3382" s="11" t="s">
        <v>28</v>
      </c>
      <c r="N3382" s="8">
        <v>44644</v>
      </c>
      <c r="O3382" s="9" t="s">
        <v>30</v>
      </c>
      <c r="P3382" s="12" t="s">
        <v>11237</v>
      </c>
      <c r="Q3382" s="9" t="s">
        <v>226</v>
      </c>
      <c r="R3382" s="14" t="str">
        <f>HYPERLINK("https://my.pitchbook.com?c=182673-10T","View Company Online")</f>
        <v>View Company Online</v>
      </c>
    </row>
    <row r="3383" spans="1:18" hidden="1" x14ac:dyDescent="0.3">
      <c r="A3383" s="15" t="s">
        <v>11238</v>
      </c>
      <c r="B3383" s="15" t="s">
        <v>10273</v>
      </c>
      <c r="C3383" s="18" t="s">
        <v>28</v>
      </c>
      <c r="D3383" s="15" t="s">
        <v>10274</v>
      </c>
      <c r="E3383" s="18" t="s">
        <v>28</v>
      </c>
      <c r="F3383" s="19" t="s">
        <v>28</v>
      </c>
      <c r="G3383" s="19" t="s">
        <v>28</v>
      </c>
      <c r="H3383" s="19">
        <v>25</v>
      </c>
      <c r="I3383" s="18" t="s">
        <v>28</v>
      </c>
      <c r="J3383" s="18" t="s">
        <v>28</v>
      </c>
      <c r="K3383" s="18" t="s">
        <v>28</v>
      </c>
      <c r="L3383" s="18" t="s">
        <v>28</v>
      </c>
      <c r="M3383" s="18" t="s">
        <v>28</v>
      </c>
      <c r="N3383" s="17">
        <v>44644</v>
      </c>
      <c r="O3383" s="15" t="s">
        <v>73</v>
      </c>
      <c r="P3383" s="16" t="s">
        <v>11239</v>
      </c>
      <c r="Q3383" s="15" t="s">
        <v>75</v>
      </c>
      <c r="R3383" s="13" t="str">
        <f>HYPERLINK("https://my.pitchbook.com?c=195999-85T","View Company Online")</f>
        <v>View Company Online</v>
      </c>
    </row>
    <row r="3384" spans="1:18" hidden="1" x14ac:dyDescent="0.3">
      <c r="A3384" s="9" t="s">
        <v>11240</v>
      </c>
      <c r="B3384" s="9" t="s">
        <v>11241</v>
      </c>
      <c r="C3384" s="11" t="s">
        <v>28</v>
      </c>
      <c r="D3384" s="9" t="s">
        <v>11242</v>
      </c>
      <c r="E3384" s="11" t="s">
        <v>28</v>
      </c>
      <c r="F3384" s="10" t="s">
        <v>28</v>
      </c>
      <c r="G3384" s="10" t="s">
        <v>28</v>
      </c>
      <c r="H3384" s="10" t="s">
        <v>28</v>
      </c>
      <c r="I3384" s="11" t="s">
        <v>28</v>
      </c>
      <c r="J3384" s="11" t="s">
        <v>28</v>
      </c>
      <c r="K3384" s="11" t="s">
        <v>28</v>
      </c>
      <c r="L3384" s="11" t="s">
        <v>28</v>
      </c>
      <c r="M3384" s="11" t="s">
        <v>28</v>
      </c>
      <c r="N3384" s="8">
        <v>44644</v>
      </c>
      <c r="O3384" s="9" t="s">
        <v>30</v>
      </c>
      <c r="P3384" s="12" t="s">
        <v>11243</v>
      </c>
      <c r="Q3384" s="9" t="s">
        <v>386</v>
      </c>
      <c r="R3384" s="14" t="str">
        <f>HYPERLINK("https://my.pitchbook.com?c=190966-60T","View Company Online")</f>
        <v>View Company Online</v>
      </c>
    </row>
    <row r="3385" spans="1:18" hidden="1" x14ac:dyDescent="0.3">
      <c r="A3385" s="15" t="s">
        <v>11244</v>
      </c>
      <c r="B3385" s="15" t="s">
        <v>11245</v>
      </c>
      <c r="C3385" s="18" t="s">
        <v>28</v>
      </c>
      <c r="D3385" s="15" t="s">
        <v>11246</v>
      </c>
      <c r="E3385" s="18" t="s">
        <v>28</v>
      </c>
      <c r="F3385" s="19" t="s">
        <v>28</v>
      </c>
      <c r="G3385" s="19" t="s">
        <v>28</v>
      </c>
      <c r="H3385" s="19" t="s">
        <v>28</v>
      </c>
      <c r="I3385" s="18" t="s">
        <v>28</v>
      </c>
      <c r="J3385" s="18" t="s">
        <v>28</v>
      </c>
      <c r="K3385" s="18" t="s">
        <v>28</v>
      </c>
      <c r="L3385" s="18" t="s">
        <v>28</v>
      </c>
      <c r="M3385" s="18" t="s">
        <v>28</v>
      </c>
      <c r="N3385" s="17">
        <v>44643</v>
      </c>
      <c r="O3385" s="15" t="s">
        <v>41</v>
      </c>
      <c r="P3385" s="16" t="s">
        <v>11247</v>
      </c>
      <c r="Q3385" s="15" t="s">
        <v>54</v>
      </c>
      <c r="R3385" s="13" t="str">
        <f>HYPERLINK("https://my.pitchbook.com?c=191467-90T","View Company Online")</f>
        <v>View Company Online</v>
      </c>
    </row>
    <row r="3386" spans="1:18" hidden="1" x14ac:dyDescent="0.3">
      <c r="A3386" s="9" t="s">
        <v>11248</v>
      </c>
      <c r="B3386" s="9" t="s">
        <v>5281</v>
      </c>
      <c r="C3386" s="11" t="s">
        <v>28</v>
      </c>
      <c r="D3386" s="9" t="s">
        <v>5282</v>
      </c>
      <c r="E3386" s="11" t="s">
        <v>28</v>
      </c>
      <c r="F3386" s="10" t="s">
        <v>28</v>
      </c>
      <c r="G3386" s="10">
        <v>1.38</v>
      </c>
      <c r="H3386" s="10" t="s">
        <v>28</v>
      </c>
      <c r="I3386" s="11" t="s">
        <v>28</v>
      </c>
      <c r="J3386" s="11" t="s">
        <v>28</v>
      </c>
      <c r="K3386" s="11" t="s">
        <v>28</v>
      </c>
      <c r="L3386" s="11" t="s">
        <v>28</v>
      </c>
      <c r="M3386" s="11" t="s">
        <v>28</v>
      </c>
      <c r="N3386" s="8">
        <v>44643</v>
      </c>
      <c r="O3386" s="9" t="s">
        <v>73</v>
      </c>
      <c r="P3386" s="12" t="s">
        <v>11249</v>
      </c>
      <c r="Q3386" s="9" t="s">
        <v>1336</v>
      </c>
      <c r="R3386" s="14" t="str">
        <f>HYPERLINK("https://my.pitchbook.com?c=216042-04T","View Company Online")</f>
        <v>View Company Online</v>
      </c>
    </row>
    <row r="3387" spans="1:18" hidden="1" x14ac:dyDescent="0.3">
      <c r="A3387" s="15" t="s">
        <v>11250</v>
      </c>
      <c r="B3387" s="15" t="s">
        <v>11251</v>
      </c>
      <c r="C3387" s="18" t="s">
        <v>28</v>
      </c>
      <c r="D3387" s="15" t="s">
        <v>11252</v>
      </c>
      <c r="E3387" s="18" t="s">
        <v>28</v>
      </c>
      <c r="F3387" s="19" t="s">
        <v>28</v>
      </c>
      <c r="G3387" s="19">
        <v>0.39</v>
      </c>
      <c r="H3387" s="19" t="s">
        <v>28</v>
      </c>
      <c r="I3387" s="18" t="s">
        <v>28</v>
      </c>
      <c r="J3387" s="18" t="s">
        <v>28</v>
      </c>
      <c r="K3387" s="18" t="s">
        <v>28</v>
      </c>
      <c r="L3387" s="18" t="s">
        <v>28</v>
      </c>
      <c r="M3387" s="18" t="s">
        <v>28</v>
      </c>
      <c r="N3387" s="17">
        <v>44643</v>
      </c>
      <c r="O3387" s="15" t="s">
        <v>79</v>
      </c>
      <c r="P3387" s="16" t="s">
        <v>11253</v>
      </c>
      <c r="Q3387" s="15" t="s">
        <v>75</v>
      </c>
      <c r="R3387" s="13" t="str">
        <f>HYPERLINK("https://my.pitchbook.com?c=200583-46T","View Company Online")</f>
        <v>View Company Online</v>
      </c>
    </row>
    <row r="3388" spans="1:18" hidden="1" x14ac:dyDescent="0.3">
      <c r="A3388" s="9" t="s">
        <v>11254</v>
      </c>
      <c r="B3388" s="9" t="s">
        <v>11255</v>
      </c>
      <c r="C3388" s="11" t="s">
        <v>28</v>
      </c>
      <c r="D3388" s="9" t="s">
        <v>11256</v>
      </c>
      <c r="E3388" s="11" t="s">
        <v>28</v>
      </c>
      <c r="F3388" s="10" t="s">
        <v>28</v>
      </c>
      <c r="G3388" s="10" t="s">
        <v>28</v>
      </c>
      <c r="H3388" s="10" t="s">
        <v>28</v>
      </c>
      <c r="I3388" s="11" t="s">
        <v>28</v>
      </c>
      <c r="J3388" s="11" t="s">
        <v>28</v>
      </c>
      <c r="K3388" s="11" t="s">
        <v>28</v>
      </c>
      <c r="L3388" s="11" t="s">
        <v>28</v>
      </c>
      <c r="M3388" s="11" t="s">
        <v>28</v>
      </c>
      <c r="N3388" s="8">
        <v>44642</v>
      </c>
      <c r="O3388" s="9" t="s">
        <v>30</v>
      </c>
      <c r="P3388" s="12" t="s">
        <v>11257</v>
      </c>
      <c r="Q3388" s="9" t="s">
        <v>583</v>
      </c>
      <c r="R3388" s="14" t="str">
        <f>HYPERLINK("https://my.pitchbook.com?c=209662-39T","View Company Online")</f>
        <v>View Company Online</v>
      </c>
    </row>
    <row r="3389" spans="1:18" hidden="1" x14ac:dyDescent="0.3">
      <c r="A3389" s="15" t="s">
        <v>11258</v>
      </c>
      <c r="B3389" s="15" t="s">
        <v>11259</v>
      </c>
      <c r="C3389" s="18" t="s">
        <v>28</v>
      </c>
      <c r="D3389" s="15" t="s">
        <v>11260</v>
      </c>
      <c r="E3389" s="18" t="s">
        <v>28</v>
      </c>
      <c r="F3389" s="19">
        <v>9.4600000000000009</v>
      </c>
      <c r="G3389" s="19">
        <v>9.4600000000000009</v>
      </c>
      <c r="H3389" s="19">
        <v>9.4600000000000009</v>
      </c>
      <c r="I3389" s="18" t="s">
        <v>28</v>
      </c>
      <c r="J3389" s="18" t="s">
        <v>28</v>
      </c>
      <c r="K3389" s="18" t="s">
        <v>28</v>
      </c>
      <c r="L3389" s="18" t="s">
        <v>28</v>
      </c>
      <c r="M3389" s="18" t="s">
        <v>28</v>
      </c>
      <c r="N3389" s="17">
        <v>44642</v>
      </c>
      <c r="O3389" s="15" t="s">
        <v>30</v>
      </c>
      <c r="P3389" s="16" t="s">
        <v>11261</v>
      </c>
      <c r="Q3389" s="15" t="s">
        <v>75</v>
      </c>
      <c r="R3389" s="13" t="str">
        <f>HYPERLINK("https://my.pitchbook.com?c=210818-26T","View Company Online")</f>
        <v>View Company Online</v>
      </c>
    </row>
    <row r="3390" spans="1:18" hidden="1" x14ac:dyDescent="0.3">
      <c r="A3390" s="9" t="s">
        <v>11262</v>
      </c>
      <c r="B3390" s="9" t="s">
        <v>11263</v>
      </c>
      <c r="C3390" s="11" t="s">
        <v>28</v>
      </c>
      <c r="D3390" s="9" t="s">
        <v>11264</v>
      </c>
      <c r="E3390" s="11" t="s">
        <v>28</v>
      </c>
      <c r="F3390" s="10" t="s">
        <v>28</v>
      </c>
      <c r="G3390" s="10">
        <v>0.25</v>
      </c>
      <c r="H3390" s="10" t="s">
        <v>28</v>
      </c>
      <c r="I3390" s="11" t="s">
        <v>28</v>
      </c>
      <c r="J3390" s="11" t="s">
        <v>28</v>
      </c>
      <c r="K3390" s="11" t="s">
        <v>28</v>
      </c>
      <c r="L3390" s="11" t="s">
        <v>28</v>
      </c>
      <c r="M3390" s="11" t="s">
        <v>28</v>
      </c>
      <c r="N3390" s="8">
        <v>44642</v>
      </c>
      <c r="O3390" s="9" t="s">
        <v>379</v>
      </c>
      <c r="P3390" s="12" t="s">
        <v>11265</v>
      </c>
      <c r="Q3390" s="9" t="s">
        <v>75</v>
      </c>
      <c r="R3390" s="14" t="str">
        <f>HYPERLINK("https://my.pitchbook.com?c=190749-16T","View Company Online")</f>
        <v>View Company Online</v>
      </c>
    </row>
    <row r="3391" spans="1:18" hidden="1" x14ac:dyDescent="0.3">
      <c r="A3391" s="15" t="s">
        <v>11266</v>
      </c>
      <c r="B3391" s="15" t="s">
        <v>4020</v>
      </c>
      <c r="C3391" s="18" t="s">
        <v>28</v>
      </c>
      <c r="D3391" s="15" t="s">
        <v>4021</v>
      </c>
      <c r="E3391" s="18" t="s">
        <v>28</v>
      </c>
      <c r="F3391" s="19" t="s">
        <v>28</v>
      </c>
      <c r="G3391" s="19">
        <v>0.3</v>
      </c>
      <c r="H3391" s="19" t="s">
        <v>28</v>
      </c>
      <c r="I3391" s="18" t="s">
        <v>28</v>
      </c>
      <c r="J3391" s="18" t="s">
        <v>28</v>
      </c>
      <c r="K3391" s="18" t="s">
        <v>28</v>
      </c>
      <c r="L3391" s="18" t="s">
        <v>28</v>
      </c>
      <c r="M3391" s="18" t="s">
        <v>28</v>
      </c>
      <c r="N3391" s="17">
        <v>44642</v>
      </c>
      <c r="O3391" s="15" t="s">
        <v>99</v>
      </c>
      <c r="P3391" s="16" t="s">
        <v>4022</v>
      </c>
      <c r="Q3391" s="15" t="s">
        <v>75</v>
      </c>
      <c r="R3391" s="13" t="str">
        <f>HYPERLINK("https://my.pitchbook.com?c=193174-57T","View Company Online")</f>
        <v>View Company Online</v>
      </c>
    </row>
    <row r="3392" spans="1:18" hidden="1" x14ac:dyDescent="0.3">
      <c r="A3392" s="9" t="s">
        <v>11267</v>
      </c>
      <c r="B3392" s="9" t="s">
        <v>11268</v>
      </c>
      <c r="C3392" s="11" t="s">
        <v>28</v>
      </c>
      <c r="D3392" s="9" t="s">
        <v>11269</v>
      </c>
      <c r="E3392" s="11" t="s">
        <v>28</v>
      </c>
      <c r="F3392" s="10" t="s">
        <v>28</v>
      </c>
      <c r="G3392" s="10">
        <v>7.49</v>
      </c>
      <c r="H3392" s="10" t="s">
        <v>28</v>
      </c>
      <c r="I3392" s="11" t="s">
        <v>28</v>
      </c>
      <c r="J3392" s="11" t="s">
        <v>28</v>
      </c>
      <c r="K3392" s="11" t="s">
        <v>28</v>
      </c>
      <c r="L3392" s="11" t="s">
        <v>28</v>
      </c>
      <c r="M3392" s="11" t="s">
        <v>28</v>
      </c>
      <c r="N3392" s="8">
        <v>44642</v>
      </c>
      <c r="O3392" s="9" t="s">
        <v>79</v>
      </c>
      <c r="P3392" s="12" t="s">
        <v>2338</v>
      </c>
      <c r="Q3392" s="9" t="s">
        <v>449</v>
      </c>
      <c r="R3392" s="14" t="str">
        <f>HYPERLINK("https://my.pitchbook.com?c=225015-04T","View Company Online")</f>
        <v>View Company Online</v>
      </c>
    </row>
    <row r="3393" spans="1:18" hidden="1" x14ac:dyDescent="0.3">
      <c r="A3393" s="15" t="s">
        <v>11270</v>
      </c>
      <c r="B3393" s="15" t="s">
        <v>11271</v>
      </c>
      <c r="C3393" s="18" t="s">
        <v>28</v>
      </c>
      <c r="D3393" s="15" t="s">
        <v>11272</v>
      </c>
      <c r="E3393" s="18" t="s">
        <v>28</v>
      </c>
      <c r="F3393" s="19" t="s">
        <v>28</v>
      </c>
      <c r="G3393" s="19" t="s">
        <v>28</v>
      </c>
      <c r="H3393" s="19" t="s">
        <v>28</v>
      </c>
      <c r="I3393" s="18" t="s">
        <v>28</v>
      </c>
      <c r="J3393" s="18" t="s">
        <v>28</v>
      </c>
      <c r="K3393" s="18" t="s">
        <v>28</v>
      </c>
      <c r="L3393" s="18" t="s">
        <v>28</v>
      </c>
      <c r="M3393" s="18" t="s">
        <v>28</v>
      </c>
      <c r="N3393" s="17">
        <v>44641</v>
      </c>
      <c r="O3393" s="15" t="s">
        <v>30</v>
      </c>
      <c r="P3393" s="16" t="s">
        <v>5312</v>
      </c>
      <c r="Q3393" s="15" t="s">
        <v>75</v>
      </c>
      <c r="R3393" s="13" t="str">
        <f>HYPERLINK("https://my.pitchbook.com?c=210301-75T","View Company Online")</f>
        <v>View Company Online</v>
      </c>
    </row>
    <row r="3394" spans="1:18" hidden="1" x14ac:dyDescent="0.3">
      <c r="A3394" s="9" t="s">
        <v>11273</v>
      </c>
      <c r="B3394" s="9" t="s">
        <v>11274</v>
      </c>
      <c r="C3394" s="11" t="s">
        <v>28</v>
      </c>
      <c r="D3394" s="9" t="s">
        <v>11275</v>
      </c>
      <c r="E3394" s="11" t="s">
        <v>28</v>
      </c>
      <c r="F3394" s="10" t="s">
        <v>28</v>
      </c>
      <c r="G3394" s="10" t="s">
        <v>28</v>
      </c>
      <c r="H3394" s="10" t="s">
        <v>28</v>
      </c>
      <c r="I3394" s="11" t="s">
        <v>28</v>
      </c>
      <c r="J3394" s="11" t="s">
        <v>28</v>
      </c>
      <c r="K3394" s="11" t="s">
        <v>28</v>
      </c>
      <c r="L3394" s="11" t="s">
        <v>28</v>
      </c>
      <c r="M3394" s="11" t="s">
        <v>28</v>
      </c>
      <c r="N3394" s="8">
        <v>44638</v>
      </c>
      <c r="O3394" s="9" t="s">
        <v>30</v>
      </c>
      <c r="P3394" s="12" t="s">
        <v>11276</v>
      </c>
      <c r="Q3394" s="9" t="s">
        <v>37</v>
      </c>
      <c r="R3394" s="14" t="str">
        <f>HYPERLINK("https://my.pitchbook.com?c=210816-64T","View Company Online")</f>
        <v>View Company Online</v>
      </c>
    </row>
    <row r="3395" spans="1:18" hidden="1" x14ac:dyDescent="0.3">
      <c r="A3395" s="15" t="s">
        <v>11277</v>
      </c>
      <c r="B3395" s="15" t="s">
        <v>11278</v>
      </c>
      <c r="C3395" s="18" t="s">
        <v>28</v>
      </c>
      <c r="D3395" s="15" t="s">
        <v>11279</v>
      </c>
      <c r="E3395" s="18" t="s">
        <v>28</v>
      </c>
      <c r="F3395" s="19" t="s">
        <v>28</v>
      </c>
      <c r="G3395" s="19" t="s">
        <v>28</v>
      </c>
      <c r="H3395" s="19" t="s">
        <v>28</v>
      </c>
      <c r="I3395" s="18" t="s">
        <v>28</v>
      </c>
      <c r="J3395" s="18" t="s">
        <v>28</v>
      </c>
      <c r="K3395" s="18" t="s">
        <v>28</v>
      </c>
      <c r="L3395" s="18" t="s">
        <v>28</v>
      </c>
      <c r="M3395" s="18" t="s">
        <v>28</v>
      </c>
      <c r="N3395" s="17">
        <v>44638</v>
      </c>
      <c r="O3395" s="15" t="s">
        <v>93</v>
      </c>
      <c r="P3395" s="16" t="s">
        <v>11280</v>
      </c>
      <c r="Q3395" s="15" t="s">
        <v>1336</v>
      </c>
      <c r="R3395" s="13" t="str">
        <f>HYPERLINK("https://my.pitchbook.com?c=201362-77T","View Company Online")</f>
        <v>View Company Online</v>
      </c>
    </row>
    <row r="3396" spans="1:18" hidden="1" x14ac:dyDescent="0.3">
      <c r="A3396" s="9" t="s">
        <v>11281</v>
      </c>
      <c r="B3396" s="9" t="s">
        <v>11282</v>
      </c>
      <c r="C3396" s="11" t="s">
        <v>28</v>
      </c>
      <c r="D3396" s="9" t="s">
        <v>11283</v>
      </c>
      <c r="E3396" s="11" t="s">
        <v>28</v>
      </c>
      <c r="F3396" s="10" t="s">
        <v>28</v>
      </c>
      <c r="G3396" s="10" t="s">
        <v>28</v>
      </c>
      <c r="H3396" s="10" t="s">
        <v>28</v>
      </c>
      <c r="I3396" s="11" t="s">
        <v>28</v>
      </c>
      <c r="J3396" s="11" t="s">
        <v>28</v>
      </c>
      <c r="K3396" s="11" t="s">
        <v>28</v>
      </c>
      <c r="L3396" s="11" t="s">
        <v>28</v>
      </c>
      <c r="M3396" s="11" t="s">
        <v>28</v>
      </c>
      <c r="N3396" s="8">
        <v>44638</v>
      </c>
      <c r="O3396" s="9" t="s">
        <v>30</v>
      </c>
      <c r="P3396" s="12" t="s">
        <v>11284</v>
      </c>
      <c r="Q3396" s="9" t="s">
        <v>2168</v>
      </c>
      <c r="R3396" s="14" t="str">
        <f>HYPERLINK("https://my.pitchbook.com?c=247941-82T","View Company Online")</f>
        <v>View Company Online</v>
      </c>
    </row>
    <row r="3397" spans="1:18" hidden="1" x14ac:dyDescent="0.3">
      <c r="A3397" s="15" t="s">
        <v>11285</v>
      </c>
      <c r="B3397" s="15" t="s">
        <v>5459</v>
      </c>
      <c r="C3397" s="18" t="s">
        <v>28</v>
      </c>
      <c r="D3397" s="15" t="s">
        <v>5460</v>
      </c>
      <c r="E3397" s="18" t="s">
        <v>28</v>
      </c>
      <c r="F3397" s="19" t="s">
        <v>28</v>
      </c>
      <c r="G3397" s="19" t="s">
        <v>28</v>
      </c>
      <c r="H3397" s="19" t="s">
        <v>28</v>
      </c>
      <c r="I3397" s="18" t="s">
        <v>28</v>
      </c>
      <c r="J3397" s="18" t="s">
        <v>28</v>
      </c>
      <c r="K3397" s="18" t="s">
        <v>28</v>
      </c>
      <c r="L3397" s="18" t="s">
        <v>28</v>
      </c>
      <c r="M3397" s="18" t="s">
        <v>28</v>
      </c>
      <c r="N3397" s="17">
        <v>44638</v>
      </c>
      <c r="O3397" s="15" t="s">
        <v>52</v>
      </c>
      <c r="P3397" s="16" t="s">
        <v>2915</v>
      </c>
      <c r="Q3397" s="15" t="s">
        <v>740</v>
      </c>
      <c r="R3397" s="13" t="str">
        <f>HYPERLINK("https://my.pitchbook.com?c=247233-61T","View Company Online")</f>
        <v>View Company Online</v>
      </c>
    </row>
    <row r="3398" spans="1:18" hidden="1" x14ac:dyDescent="0.3">
      <c r="A3398" s="9" t="s">
        <v>11286</v>
      </c>
      <c r="B3398" s="9" t="s">
        <v>11287</v>
      </c>
      <c r="C3398" s="11" t="s">
        <v>28</v>
      </c>
      <c r="D3398" s="9" t="s">
        <v>11288</v>
      </c>
      <c r="E3398" s="11" t="s">
        <v>28</v>
      </c>
      <c r="F3398" s="10">
        <v>0.93</v>
      </c>
      <c r="G3398" s="10">
        <v>0.73</v>
      </c>
      <c r="H3398" s="10">
        <v>0.93</v>
      </c>
      <c r="I3398" s="11" t="s">
        <v>28</v>
      </c>
      <c r="J3398" s="11" t="s">
        <v>28</v>
      </c>
      <c r="K3398" s="11" t="s">
        <v>28</v>
      </c>
      <c r="L3398" s="11" t="s">
        <v>28</v>
      </c>
      <c r="M3398" s="11" t="s">
        <v>28</v>
      </c>
      <c r="N3398" s="8">
        <v>44638</v>
      </c>
      <c r="O3398" s="9" t="s">
        <v>30</v>
      </c>
      <c r="P3398" s="12" t="s">
        <v>11289</v>
      </c>
      <c r="Q3398" s="9" t="s">
        <v>183</v>
      </c>
      <c r="R3398" s="14" t="str">
        <f>HYPERLINK("https://my.pitchbook.com?c=190634-77T","View Company Online")</f>
        <v>View Company Online</v>
      </c>
    </row>
    <row r="3399" spans="1:18" hidden="1" x14ac:dyDescent="0.3">
      <c r="A3399" s="15" t="s">
        <v>11290</v>
      </c>
      <c r="B3399" s="15" t="s">
        <v>11291</v>
      </c>
      <c r="C3399" s="18" t="s">
        <v>28</v>
      </c>
      <c r="D3399" s="15" t="s">
        <v>11292</v>
      </c>
      <c r="E3399" s="18" t="s">
        <v>28</v>
      </c>
      <c r="F3399" s="19" t="s">
        <v>28</v>
      </c>
      <c r="G3399" s="19" t="s">
        <v>28</v>
      </c>
      <c r="H3399" s="19" t="s">
        <v>28</v>
      </c>
      <c r="I3399" s="18" t="s">
        <v>28</v>
      </c>
      <c r="J3399" s="18" t="s">
        <v>28</v>
      </c>
      <c r="K3399" s="18" t="s">
        <v>28</v>
      </c>
      <c r="L3399" s="18" t="s">
        <v>28</v>
      </c>
      <c r="M3399" s="18" t="s">
        <v>28</v>
      </c>
      <c r="N3399" s="17">
        <v>44638</v>
      </c>
      <c r="O3399" s="15" t="s">
        <v>41</v>
      </c>
      <c r="P3399" s="16" t="s">
        <v>2357</v>
      </c>
      <c r="Q3399" s="15" t="s">
        <v>240</v>
      </c>
      <c r="R3399" s="13" t="str">
        <f>HYPERLINK("https://my.pitchbook.com?c=259269-58T","View Company Online")</f>
        <v>View Company Online</v>
      </c>
    </row>
    <row r="3400" spans="1:18" hidden="1" x14ac:dyDescent="0.3">
      <c r="A3400" s="9" t="s">
        <v>11293</v>
      </c>
      <c r="B3400" s="9" t="s">
        <v>11294</v>
      </c>
      <c r="C3400" s="11" t="s">
        <v>28</v>
      </c>
      <c r="D3400" s="9" t="s">
        <v>11295</v>
      </c>
      <c r="E3400" s="11" t="s">
        <v>28</v>
      </c>
      <c r="F3400" s="10" t="s">
        <v>28</v>
      </c>
      <c r="G3400" s="10" t="s">
        <v>28</v>
      </c>
      <c r="H3400" s="10" t="s">
        <v>28</v>
      </c>
      <c r="I3400" s="11" t="s">
        <v>28</v>
      </c>
      <c r="J3400" s="11" t="s">
        <v>28</v>
      </c>
      <c r="K3400" s="11" t="s">
        <v>28</v>
      </c>
      <c r="L3400" s="11" t="s">
        <v>28</v>
      </c>
      <c r="M3400" s="11" t="s">
        <v>28</v>
      </c>
      <c r="N3400" s="8">
        <v>44638</v>
      </c>
      <c r="O3400" s="9" t="s">
        <v>58</v>
      </c>
      <c r="P3400" s="12" t="s">
        <v>11296</v>
      </c>
      <c r="Q3400" s="9" t="s">
        <v>75</v>
      </c>
      <c r="R3400" s="14" t="str">
        <f>HYPERLINK("https://my.pitchbook.com?c=191452-60T","View Company Online")</f>
        <v>View Company Online</v>
      </c>
    </row>
    <row r="3401" spans="1:18" hidden="1" x14ac:dyDescent="0.3">
      <c r="A3401" s="15" t="s">
        <v>11297</v>
      </c>
      <c r="B3401" s="15" t="s">
        <v>11298</v>
      </c>
      <c r="C3401" s="18" t="s">
        <v>28</v>
      </c>
      <c r="D3401" s="15" t="s">
        <v>11299</v>
      </c>
      <c r="E3401" s="18" t="s">
        <v>28</v>
      </c>
      <c r="F3401" s="19" t="s">
        <v>28</v>
      </c>
      <c r="G3401" s="19">
        <v>1.84</v>
      </c>
      <c r="H3401" s="19" t="s">
        <v>28</v>
      </c>
      <c r="I3401" s="18" t="s">
        <v>28</v>
      </c>
      <c r="J3401" s="18" t="s">
        <v>28</v>
      </c>
      <c r="K3401" s="18" t="s">
        <v>28</v>
      </c>
      <c r="L3401" s="18" t="s">
        <v>28</v>
      </c>
      <c r="M3401" s="18" t="s">
        <v>28</v>
      </c>
      <c r="N3401" s="17">
        <v>44637</v>
      </c>
      <c r="O3401" s="15" t="s">
        <v>79</v>
      </c>
      <c r="P3401" s="16" t="s">
        <v>11300</v>
      </c>
      <c r="Q3401" s="15" t="s">
        <v>249</v>
      </c>
      <c r="R3401" s="13" t="str">
        <f>HYPERLINK("https://my.pitchbook.com?c=190478-53T","View Company Online")</f>
        <v>View Company Online</v>
      </c>
    </row>
    <row r="3402" spans="1:18" hidden="1" x14ac:dyDescent="0.3">
      <c r="A3402" s="9" t="s">
        <v>11301</v>
      </c>
      <c r="B3402" s="9" t="s">
        <v>11302</v>
      </c>
      <c r="C3402" s="11" t="s">
        <v>28</v>
      </c>
      <c r="D3402" s="9" t="s">
        <v>11303</v>
      </c>
      <c r="E3402" s="11" t="s">
        <v>28</v>
      </c>
      <c r="F3402" s="10" t="s">
        <v>28</v>
      </c>
      <c r="G3402" s="10" t="s">
        <v>28</v>
      </c>
      <c r="H3402" s="10" t="s">
        <v>28</v>
      </c>
      <c r="I3402" s="11" t="s">
        <v>28</v>
      </c>
      <c r="J3402" s="11" t="s">
        <v>28</v>
      </c>
      <c r="K3402" s="11" t="s">
        <v>28</v>
      </c>
      <c r="L3402" s="11" t="s">
        <v>28</v>
      </c>
      <c r="M3402" s="11" t="s">
        <v>28</v>
      </c>
      <c r="N3402" s="8">
        <v>44637</v>
      </c>
      <c r="O3402" s="9" t="s">
        <v>52</v>
      </c>
      <c r="P3402" s="12" t="s">
        <v>3955</v>
      </c>
      <c r="Q3402" s="9" t="s">
        <v>419</v>
      </c>
      <c r="R3402" s="14" t="str">
        <f>HYPERLINK("https://my.pitchbook.com?c=271086-13T","View Company Online")</f>
        <v>View Company Online</v>
      </c>
    </row>
    <row r="3403" spans="1:18" hidden="1" x14ac:dyDescent="0.3">
      <c r="A3403" s="15" t="s">
        <v>11304</v>
      </c>
      <c r="B3403" s="15" t="s">
        <v>11305</v>
      </c>
      <c r="C3403" s="18" t="s">
        <v>28</v>
      </c>
      <c r="D3403" s="15" t="s">
        <v>11306</v>
      </c>
      <c r="E3403" s="18" t="s">
        <v>28</v>
      </c>
      <c r="F3403" s="19">
        <v>1.07</v>
      </c>
      <c r="G3403" s="19">
        <v>1.07</v>
      </c>
      <c r="H3403" s="19">
        <v>1.07</v>
      </c>
      <c r="I3403" s="18" t="s">
        <v>28</v>
      </c>
      <c r="J3403" s="18" t="s">
        <v>28</v>
      </c>
      <c r="K3403" s="18" t="s">
        <v>28</v>
      </c>
      <c r="L3403" s="18" t="s">
        <v>28</v>
      </c>
      <c r="M3403" s="18" t="s">
        <v>28</v>
      </c>
      <c r="N3403" s="17">
        <v>44637</v>
      </c>
      <c r="O3403" s="15" t="s">
        <v>30</v>
      </c>
      <c r="P3403" s="16" t="s">
        <v>11307</v>
      </c>
      <c r="Q3403" s="15" t="s">
        <v>583</v>
      </c>
      <c r="R3403" s="13" t="str">
        <f>HYPERLINK("https://my.pitchbook.com?c=190495-18T","View Company Online")</f>
        <v>View Company Online</v>
      </c>
    </row>
    <row r="3404" spans="1:18" hidden="1" x14ac:dyDescent="0.3">
      <c r="A3404" s="9" t="s">
        <v>11308</v>
      </c>
      <c r="B3404" s="9" t="s">
        <v>4214</v>
      </c>
      <c r="C3404" s="11" t="s">
        <v>28</v>
      </c>
      <c r="D3404" s="9" t="s">
        <v>4215</v>
      </c>
      <c r="E3404" s="11" t="s">
        <v>28</v>
      </c>
      <c r="F3404" s="10" t="s">
        <v>28</v>
      </c>
      <c r="G3404" s="10">
        <v>0.28999999999999998</v>
      </c>
      <c r="H3404" s="10" t="s">
        <v>28</v>
      </c>
      <c r="I3404" s="11" t="s">
        <v>28</v>
      </c>
      <c r="J3404" s="11" t="s">
        <v>28</v>
      </c>
      <c r="K3404" s="11" t="s">
        <v>28</v>
      </c>
      <c r="L3404" s="11" t="s">
        <v>28</v>
      </c>
      <c r="M3404" s="11" t="s">
        <v>28</v>
      </c>
      <c r="N3404" s="8">
        <v>44637</v>
      </c>
      <c r="O3404" s="9" t="s">
        <v>47</v>
      </c>
      <c r="P3404" s="12" t="s">
        <v>3097</v>
      </c>
      <c r="Q3404" s="9" t="s">
        <v>249</v>
      </c>
      <c r="R3404" s="14" t="str">
        <f>HYPERLINK("https://my.pitchbook.com?c=199339-39T","View Company Online")</f>
        <v>View Company Online</v>
      </c>
    </row>
    <row r="3405" spans="1:18" hidden="1" x14ac:dyDescent="0.3">
      <c r="A3405" s="15" t="s">
        <v>11309</v>
      </c>
      <c r="B3405" s="15" t="s">
        <v>11310</v>
      </c>
      <c r="C3405" s="18" t="s">
        <v>28</v>
      </c>
      <c r="D3405" s="15" t="s">
        <v>11311</v>
      </c>
      <c r="E3405" s="18" t="s">
        <v>28</v>
      </c>
      <c r="F3405" s="19" t="s">
        <v>28</v>
      </c>
      <c r="G3405" s="19">
        <v>3.92</v>
      </c>
      <c r="H3405" s="19" t="s">
        <v>28</v>
      </c>
      <c r="I3405" s="18" t="s">
        <v>28</v>
      </c>
      <c r="J3405" s="18" t="s">
        <v>28</v>
      </c>
      <c r="K3405" s="18" t="s">
        <v>28</v>
      </c>
      <c r="L3405" s="18" t="s">
        <v>28</v>
      </c>
      <c r="M3405" s="18" t="s">
        <v>28</v>
      </c>
      <c r="N3405" s="17">
        <v>44636</v>
      </c>
      <c r="O3405" s="15" t="s">
        <v>73</v>
      </c>
      <c r="P3405" s="16" t="s">
        <v>11312</v>
      </c>
      <c r="Q3405" s="15" t="s">
        <v>128</v>
      </c>
      <c r="R3405" s="13" t="str">
        <f>HYPERLINK("https://my.pitchbook.com?c=190444-33T","View Company Online")</f>
        <v>View Company Online</v>
      </c>
    </row>
    <row r="3406" spans="1:18" hidden="1" x14ac:dyDescent="0.3">
      <c r="A3406" s="9" t="s">
        <v>11313</v>
      </c>
      <c r="B3406" s="9" t="s">
        <v>11314</v>
      </c>
      <c r="C3406" s="11" t="s">
        <v>28</v>
      </c>
      <c r="D3406" s="9" t="s">
        <v>11315</v>
      </c>
      <c r="E3406" s="11" t="s">
        <v>28</v>
      </c>
      <c r="F3406" s="10" t="s">
        <v>28</v>
      </c>
      <c r="G3406" s="10" t="s">
        <v>28</v>
      </c>
      <c r="H3406" s="10" t="s">
        <v>28</v>
      </c>
      <c r="I3406" s="11" t="s">
        <v>28</v>
      </c>
      <c r="J3406" s="11" t="s">
        <v>28</v>
      </c>
      <c r="K3406" s="11" t="s">
        <v>28</v>
      </c>
      <c r="L3406" s="11" t="s">
        <v>28</v>
      </c>
      <c r="M3406" s="11" t="s">
        <v>28</v>
      </c>
      <c r="N3406" s="8">
        <v>44636</v>
      </c>
      <c r="O3406" s="9" t="s">
        <v>79</v>
      </c>
      <c r="P3406" s="12" t="s">
        <v>11316</v>
      </c>
      <c r="Q3406" s="9" t="s">
        <v>75</v>
      </c>
      <c r="R3406" s="14" t="str">
        <f>HYPERLINK("https://my.pitchbook.com?c=218581-21T","View Company Online")</f>
        <v>View Company Online</v>
      </c>
    </row>
    <row r="3407" spans="1:18" hidden="1" x14ac:dyDescent="0.3">
      <c r="A3407" s="15" t="s">
        <v>11317</v>
      </c>
      <c r="B3407" s="15" t="s">
        <v>11318</v>
      </c>
      <c r="C3407" s="18" t="s">
        <v>28</v>
      </c>
      <c r="D3407" s="15" t="s">
        <v>11319</v>
      </c>
      <c r="E3407" s="18" t="s">
        <v>28</v>
      </c>
      <c r="F3407" s="19">
        <v>44.3</v>
      </c>
      <c r="G3407" s="19">
        <v>44.3</v>
      </c>
      <c r="H3407" s="19">
        <v>44.3</v>
      </c>
      <c r="I3407" s="18" t="s">
        <v>28</v>
      </c>
      <c r="J3407" s="18" t="s">
        <v>28</v>
      </c>
      <c r="K3407" s="18" t="s">
        <v>28</v>
      </c>
      <c r="L3407" s="18" t="s">
        <v>28</v>
      </c>
      <c r="M3407" s="18" t="s">
        <v>28</v>
      </c>
      <c r="N3407" s="17">
        <v>44636</v>
      </c>
      <c r="O3407" s="15" t="s">
        <v>30</v>
      </c>
      <c r="P3407" s="16" t="s">
        <v>5646</v>
      </c>
      <c r="Q3407" s="15" t="s">
        <v>290</v>
      </c>
      <c r="R3407" s="13" t="str">
        <f>HYPERLINK("https://my.pitchbook.com?c=209181-43T","View Company Online")</f>
        <v>View Company Online</v>
      </c>
    </row>
    <row r="3408" spans="1:18" hidden="1" x14ac:dyDescent="0.3">
      <c r="A3408" s="9" t="s">
        <v>11320</v>
      </c>
      <c r="B3408" s="9" t="s">
        <v>11321</v>
      </c>
      <c r="C3408" s="11" t="s">
        <v>28</v>
      </c>
      <c r="D3408" s="9" t="s">
        <v>11322</v>
      </c>
      <c r="E3408" s="11" t="s">
        <v>28</v>
      </c>
      <c r="F3408" s="10" t="s">
        <v>28</v>
      </c>
      <c r="G3408" s="10">
        <v>0.24</v>
      </c>
      <c r="H3408" s="10" t="s">
        <v>28</v>
      </c>
      <c r="I3408" s="11" t="s">
        <v>28</v>
      </c>
      <c r="J3408" s="11" t="s">
        <v>28</v>
      </c>
      <c r="K3408" s="11" t="s">
        <v>28</v>
      </c>
      <c r="L3408" s="11" t="s">
        <v>28</v>
      </c>
      <c r="M3408" s="11" t="s">
        <v>28</v>
      </c>
      <c r="N3408" s="8">
        <v>44636</v>
      </c>
      <c r="O3408" s="9" t="s">
        <v>73</v>
      </c>
      <c r="P3408" s="12" t="s">
        <v>11323</v>
      </c>
      <c r="Q3408" s="9" t="s">
        <v>583</v>
      </c>
      <c r="R3408" s="14" t="str">
        <f>HYPERLINK("https://my.pitchbook.com?c=209143-99T","View Company Online")</f>
        <v>View Company Online</v>
      </c>
    </row>
    <row r="3409" spans="1:18" hidden="1" x14ac:dyDescent="0.3">
      <c r="A3409" s="15" t="s">
        <v>11324</v>
      </c>
      <c r="B3409" s="15" t="s">
        <v>5452</v>
      </c>
      <c r="C3409" s="18" t="s">
        <v>28</v>
      </c>
      <c r="D3409" s="15" t="s">
        <v>5453</v>
      </c>
      <c r="E3409" s="18" t="s">
        <v>28</v>
      </c>
      <c r="F3409" s="19" t="s">
        <v>28</v>
      </c>
      <c r="G3409" s="19">
        <v>0.59</v>
      </c>
      <c r="H3409" s="19" t="s">
        <v>28</v>
      </c>
      <c r="I3409" s="18" t="s">
        <v>28</v>
      </c>
      <c r="J3409" s="18" t="s">
        <v>28</v>
      </c>
      <c r="K3409" s="18" t="s">
        <v>28</v>
      </c>
      <c r="L3409" s="18" t="s">
        <v>28</v>
      </c>
      <c r="M3409" s="18" t="s">
        <v>28</v>
      </c>
      <c r="N3409" s="17">
        <v>44636</v>
      </c>
      <c r="O3409" s="15" t="s">
        <v>73</v>
      </c>
      <c r="P3409" s="16" t="s">
        <v>11325</v>
      </c>
      <c r="Q3409" s="15" t="s">
        <v>75</v>
      </c>
      <c r="R3409" s="13" t="str">
        <f>HYPERLINK("https://my.pitchbook.com?c=205486-93T","View Company Online")</f>
        <v>View Company Online</v>
      </c>
    </row>
    <row r="3410" spans="1:18" hidden="1" x14ac:dyDescent="0.3">
      <c r="A3410" s="9" t="s">
        <v>11326</v>
      </c>
      <c r="B3410" s="9" t="s">
        <v>11327</v>
      </c>
      <c r="C3410" s="11" t="s">
        <v>28</v>
      </c>
      <c r="D3410" s="9" t="s">
        <v>11328</v>
      </c>
      <c r="E3410" s="11" t="s">
        <v>28</v>
      </c>
      <c r="F3410" s="10" t="s">
        <v>28</v>
      </c>
      <c r="G3410" s="10">
        <v>0.2</v>
      </c>
      <c r="H3410" s="10">
        <v>6.52</v>
      </c>
      <c r="I3410" s="11" t="s">
        <v>28</v>
      </c>
      <c r="J3410" s="11" t="s">
        <v>28</v>
      </c>
      <c r="K3410" s="11" t="s">
        <v>28</v>
      </c>
      <c r="L3410" s="11" t="s">
        <v>28</v>
      </c>
      <c r="M3410" s="11" t="s">
        <v>28</v>
      </c>
      <c r="N3410" s="8">
        <v>44635</v>
      </c>
      <c r="O3410" s="9" t="s">
        <v>52</v>
      </c>
      <c r="P3410" s="12" t="s">
        <v>3869</v>
      </c>
      <c r="Q3410" s="9" t="s">
        <v>583</v>
      </c>
      <c r="R3410" s="14" t="str">
        <f>HYPERLINK("https://my.pitchbook.com?c=262628-38T","View Company Online")</f>
        <v>View Company Online</v>
      </c>
    </row>
    <row r="3411" spans="1:18" hidden="1" x14ac:dyDescent="0.3">
      <c r="A3411" s="15" t="s">
        <v>11329</v>
      </c>
      <c r="B3411" s="15" t="s">
        <v>7476</v>
      </c>
      <c r="C3411" s="18" t="s">
        <v>28</v>
      </c>
      <c r="D3411" s="15" t="s">
        <v>7477</v>
      </c>
      <c r="E3411" s="18" t="s">
        <v>28</v>
      </c>
      <c r="F3411" s="19" t="s">
        <v>28</v>
      </c>
      <c r="G3411" s="19">
        <v>0.2</v>
      </c>
      <c r="H3411" s="19">
        <v>6.52</v>
      </c>
      <c r="I3411" s="18" t="s">
        <v>28</v>
      </c>
      <c r="J3411" s="18" t="s">
        <v>28</v>
      </c>
      <c r="K3411" s="18" t="s">
        <v>28</v>
      </c>
      <c r="L3411" s="18" t="s">
        <v>28</v>
      </c>
      <c r="M3411" s="18" t="s">
        <v>28</v>
      </c>
      <c r="N3411" s="17">
        <v>44635</v>
      </c>
      <c r="O3411" s="15" t="s">
        <v>52</v>
      </c>
      <c r="P3411" s="16" t="s">
        <v>2191</v>
      </c>
      <c r="Q3411" s="15" t="s">
        <v>37</v>
      </c>
      <c r="R3411" s="13" t="str">
        <f>HYPERLINK("https://my.pitchbook.com?c=263844-55T","View Company Online")</f>
        <v>View Company Online</v>
      </c>
    </row>
    <row r="3412" spans="1:18" hidden="1" x14ac:dyDescent="0.3">
      <c r="A3412" s="9" t="s">
        <v>11330</v>
      </c>
      <c r="B3412" s="9" t="s">
        <v>11331</v>
      </c>
      <c r="C3412" s="11" t="s">
        <v>28</v>
      </c>
      <c r="D3412" s="9" t="s">
        <v>11332</v>
      </c>
      <c r="E3412" s="11" t="s">
        <v>28</v>
      </c>
      <c r="F3412" s="10" t="s">
        <v>28</v>
      </c>
      <c r="G3412" s="10" t="s">
        <v>28</v>
      </c>
      <c r="H3412" s="10" t="s">
        <v>28</v>
      </c>
      <c r="I3412" s="11" t="s">
        <v>28</v>
      </c>
      <c r="J3412" s="11" t="s">
        <v>28</v>
      </c>
      <c r="K3412" s="11" t="s">
        <v>28</v>
      </c>
      <c r="L3412" s="11" t="s">
        <v>28</v>
      </c>
      <c r="M3412" s="11" t="s">
        <v>28</v>
      </c>
      <c r="N3412" s="8">
        <v>44635</v>
      </c>
      <c r="O3412" s="9" t="s">
        <v>30</v>
      </c>
      <c r="P3412" s="12" t="s">
        <v>10099</v>
      </c>
      <c r="Q3412" s="9" t="s">
        <v>1853</v>
      </c>
      <c r="R3412" s="14" t="str">
        <f>HYPERLINK("https://my.pitchbook.com?c=210108-43T","View Company Online")</f>
        <v>View Company Online</v>
      </c>
    </row>
    <row r="3413" spans="1:18" hidden="1" x14ac:dyDescent="0.3">
      <c r="A3413" s="15" t="s">
        <v>11333</v>
      </c>
      <c r="B3413" s="15" t="s">
        <v>11334</v>
      </c>
      <c r="C3413" s="18" t="s">
        <v>28</v>
      </c>
      <c r="D3413" s="15" t="s">
        <v>11335</v>
      </c>
      <c r="E3413" s="18" t="s">
        <v>28</v>
      </c>
      <c r="F3413" s="19" t="s">
        <v>28</v>
      </c>
      <c r="G3413" s="19" t="s">
        <v>28</v>
      </c>
      <c r="H3413" s="19" t="s">
        <v>28</v>
      </c>
      <c r="I3413" s="18" t="s">
        <v>28</v>
      </c>
      <c r="J3413" s="18" t="s">
        <v>28</v>
      </c>
      <c r="K3413" s="18" t="s">
        <v>28</v>
      </c>
      <c r="L3413" s="18" t="s">
        <v>28</v>
      </c>
      <c r="M3413" s="18" t="s">
        <v>28</v>
      </c>
      <c r="N3413" s="17">
        <v>44635</v>
      </c>
      <c r="O3413" s="15" t="s">
        <v>30</v>
      </c>
      <c r="P3413" s="16" t="s">
        <v>9512</v>
      </c>
      <c r="Q3413" s="15" t="s">
        <v>449</v>
      </c>
      <c r="R3413" s="13" t="str">
        <f>HYPERLINK("https://my.pitchbook.com?c=209963-26T","View Company Online")</f>
        <v>View Company Online</v>
      </c>
    </row>
    <row r="3414" spans="1:18" hidden="1" x14ac:dyDescent="0.3">
      <c r="A3414" s="9" t="s">
        <v>11336</v>
      </c>
      <c r="B3414" s="9" t="s">
        <v>11337</v>
      </c>
      <c r="C3414" s="11" t="s">
        <v>28</v>
      </c>
      <c r="D3414" s="9" t="s">
        <v>11338</v>
      </c>
      <c r="E3414" s="11" t="s">
        <v>28</v>
      </c>
      <c r="F3414" s="10" t="s">
        <v>28</v>
      </c>
      <c r="G3414" s="10">
        <v>2.4</v>
      </c>
      <c r="H3414" s="10" t="s">
        <v>28</v>
      </c>
      <c r="I3414" s="11" t="s">
        <v>28</v>
      </c>
      <c r="J3414" s="11" t="s">
        <v>28</v>
      </c>
      <c r="K3414" s="11" t="s">
        <v>28</v>
      </c>
      <c r="L3414" s="11" t="s">
        <v>28</v>
      </c>
      <c r="M3414" s="11" t="s">
        <v>28</v>
      </c>
      <c r="N3414" s="8">
        <v>44635</v>
      </c>
      <c r="O3414" s="9" t="s">
        <v>99</v>
      </c>
      <c r="P3414" s="12" t="s">
        <v>11339</v>
      </c>
      <c r="Q3414" s="9" t="s">
        <v>75</v>
      </c>
      <c r="R3414" s="14" t="str">
        <f>HYPERLINK("https://my.pitchbook.com?c=190303-75T","View Company Online")</f>
        <v>View Company Online</v>
      </c>
    </row>
    <row r="3415" spans="1:18" hidden="1" x14ac:dyDescent="0.3">
      <c r="A3415" s="15" t="s">
        <v>11340</v>
      </c>
      <c r="B3415" s="15" t="s">
        <v>11341</v>
      </c>
      <c r="C3415" s="18" t="s">
        <v>28</v>
      </c>
      <c r="D3415" s="15" t="s">
        <v>11342</v>
      </c>
      <c r="E3415" s="18" t="s">
        <v>28</v>
      </c>
      <c r="F3415" s="19" t="s">
        <v>28</v>
      </c>
      <c r="G3415" s="19">
        <v>0.28999999999999998</v>
      </c>
      <c r="H3415" s="19" t="s">
        <v>28</v>
      </c>
      <c r="I3415" s="18" t="s">
        <v>28</v>
      </c>
      <c r="J3415" s="18" t="s">
        <v>28</v>
      </c>
      <c r="K3415" s="18" t="s">
        <v>28</v>
      </c>
      <c r="L3415" s="18" t="s">
        <v>28</v>
      </c>
      <c r="M3415" s="18" t="s">
        <v>28</v>
      </c>
      <c r="N3415" s="17">
        <v>44634</v>
      </c>
      <c r="O3415" s="15" t="s">
        <v>99</v>
      </c>
      <c r="P3415" s="16" t="s">
        <v>28</v>
      </c>
      <c r="Q3415" s="15" t="s">
        <v>75</v>
      </c>
      <c r="R3415" s="13" t="str">
        <f>HYPERLINK("https://my.pitchbook.com?c=215467-93T","View Company Online")</f>
        <v>View Company Online</v>
      </c>
    </row>
    <row r="3416" spans="1:18" hidden="1" x14ac:dyDescent="0.3">
      <c r="A3416" s="9" t="s">
        <v>11343</v>
      </c>
      <c r="B3416" s="9" t="s">
        <v>11344</v>
      </c>
      <c r="C3416" s="11" t="s">
        <v>28</v>
      </c>
      <c r="D3416" s="9" t="s">
        <v>11345</v>
      </c>
      <c r="E3416" s="11" t="s">
        <v>28</v>
      </c>
      <c r="F3416" s="10" t="s">
        <v>28</v>
      </c>
      <c r="G3416" s="10" t="s">
        <v>28</v>
      </c>
      <c r="H3416" s="10" t="s">
        <v>28</v>
      </c>
      <c r="I3416" s="11" t="s">
        <v>28</v>
      </c>
      <c r="J3416" s="11" t="s">
        <v>28</v>
      </c>
      <c r="K3416" s="11" t="s">
        <v>28</v>
      </c>
      <c r="L3416" s="11" t="s">
        <v>28</v>
      </c>
      <c r="M3416" s="11" t="s">
        <v>28</v>
      </c>
      <c r="N3416" s="8">
        <v>44634</v>
      </c>
      <c r="O3416" s="9" t="s">
        <v>30</v>
      </c>
      <c r="P3416" s="12" t="s">
        <v>11346</v>
      </c>
      <c r="Q3416" s="9" t="s">
        <v>69</v>
      </c>
      <c r="R3416" s="14" t="str">
        <f>HYPERLINK("https://my.pitchbook.com?c=300205-81T","View Company Online")</f>
        <v>View Company Online</v>
      </c>
    </row>
    <row r="3417" spans="1:18" hidden="1" x14ac:dyDescent="0.3">
      <c r="A3417" s="15" t="s">
        <v>11347</v>
      </c>
      <c r="B3417" s="15" t="s">
        <v>11348</v>
      </c>
      <c r="C3417" s="18" t="s">
        <v>28</v>
      </c>
      <c r="D3417" s="15" t="s">
        <v>11349</v>
      </c>
      <c r="E3417" s="18" t="s">
        <v>28</v>
      </c>
      <c r="F3417" s="19" t="s">
        <v>28</v>
      </c>
      <c r="G3417" s="19" t="s">
        <v>28</v>
      </c>
      <c r="H3417" s="19" t="s">
        <v>28</v>
      </c>
      <c r="I3417" s="18" t="s">
        <v>28</v>
      </c>
      <c r="J3417" s="18" t="s">
        <v>28</v>
      </c>
      <c r="K3417" s="18">
        <v>0.06</v>
      </c>
      <c r="L3417" s="18" t="s">
        <v>28</v>
      </c>
      <c r="M3417" s="18">
        <v>0.05</v>
      </c>
      <c r="N3417" s="17">
        <v>44634</v>
      </c>
      <c r="O3417" s="15" t="s">
        <v>173</v>
      </c>
      <c r="P3417" s="16" t="s">
        <v>28</v>
      </c>
      <c r="Q3417" s="15" t="s">
        <v>174</v>
      </c>
      <c r="R3417" s="13" t="str">
        <f>HYPERLINK("https://my.pitchbook.com?c=251048-35T","View Company Online")</f>
        <v>View Company Online</v>
      </c>
    </row>
    <row r="3418" spans="1:18" hidden="1" x14ac:dyDescent="0.3">
      <c r="A3418" s="9" t="s">
        <v>11350</v>
      </c>
      <c r="B3418" s="9" t="s">
        <v>11351</v>
      </c>
      <c r="C3418" s="11" t="s">
        <v>28</v>
      </c>
      <c r="D3418" s="9" t="s">
        <v>11352</v>
      </c>
      <c r="E3418" s="11" t="s">
        <v>28</v>
      </c>
      <c r="F3418" s="10" t="s">
        <v>28</v>
      </c>
      <c r="G3418" s="10" t="s">
        <v>28</v>
      </c>
      <c r="H3418" s="10" t="s">
        <v>28</v>
      </c>
      <c r="I3418" s="11" t="s">
        <v>28</v>
      </c>
      <c r="J3418" s="11" t="s">
        <v>28</v>
      </c>
      <c r="K3418" s="11" t="s">
        <v>28</v>
      </c>
      <c r="L3418" s="11" t="s">
        <v>28</v>
      </c>
      <c r="M3418" s="11" t="s">
        <v>28</v>
      </c>
      <c r="N3418" s="8">
        <v>44634</v>
      </c>
      <c r="O3418" s="9" t="s">
        <v>379</v>
      </c>
      <c r="P3418" s="12" t="s">
        <v>11353</v>
      </c>
      <c r="Q3418" s="9" t="s">
        <v>105</v>
      </c>
      <c r="R3418" s="14" t="str">
        <f>HYPERLINK("https://my.pitchbook.com?c=190376-02T","View Company Online")</f>
        <v>View Company Online</v>
      </c>
    </row>
    <row r="3419" spans="1:18" hidden="1" x14ac:dyDescent="0.3">
      <c r="A3419" s="15" t="s">
        <v>11354</v>
      </c>
      <c r="B3419" s="15" t="s">
        <v>11355</v>
      </c>
      <c r="C3419" s="18" t="s">
        <v>28</v>
      </c>
      <c r="D3419" s="15" t="s">
        <v>11356</v>
      </c>
      <c r="E3419" s="18" t="s">
        <v>28</v>
      </c>
      <c r="F3419" s="19" t="s">
        <v>28</v>
      </c>
      <c r="G3419" s="19" t="s">
        <v>28</v>
      </c>
      <c r="H3419" s="19" t="s">
        <v>28</v>
      </c>
      <c r="I3419" s="18" t="s">
        <v>28</v>
      </c>
      <c r="J3419" s="18" t="s">
        <v>28</v>
      </c>
      <c r="K3419" s="18" t="s">
        <v>28</v>
      </c>
      <c r="L3419" s="18" t="s">
        <v>28</v>
      </c>
      <c r="M3419" s="18" t="s">
        <v>28</v>
      </c>
      <c r="N3419" s="17">
        <v>44634</v>
      </c>
      <c r="O3419" s="15" t="s">
        <v>30</v>
      </c>
      <c r="P3419" s="16" t="s">
        <v>11357</v>
      </c>
      <c r="Q3419" s="15" t="s">
        <v>424</v>
      </c>
      <c r="R3419" s="13" t="str">
        <f>HYPERLINK("https://my.pitchbook.com?c=190509-31T","View Company Online")</f>
        <v>View Company Online</v>
      </c>
    </row>
    <row r="3420" spans="1:18" hidden="1" x14ac:dyDescent="0.3">
      <c r="A3420" s="9" t="s">
        <v>11358</v>
      </c>
      <c r="B3420" s="9" t="s">
        <v>11359</v>
      </c>
      <c r="C3420" s="11" t="s">
        <v>28</v>
      </c>
      <c r="D3420" s="9" t="s">
        <v>11360</v>
      </c>
      <c r="E3420" s="11" t="s">
        <v>28</v>
      </c>
      <c r="F3420" s="10" t="s">
        <v>28</v>
      </c>
      <c r="G3420" s="10" t="s">
        <v>28</v>
      </c>
      <c r="H3420" s="10" t="s">
        <v>28</v>
      </c>
      <c r="I3420" s="11" t="s">
        <v>28</v>
      </c>
      <c r="J3420" s="11" t="s">
        <v>28</v>
      </c>
      <c r="K3420" s="11" t="s">
        <v>28</v>
      </c>
      <c r="L3420" s="11" t="s">
        <v>28</v>
      </c>
      <c r="M3420" s="11" t="s">
        <v>28</v>
      </c>
      <c r="N3420" s="8">
        <v>44634</v>
      </c>
      <c r="O3420" s="9" t="s">
        <v>41</v>
      </c>
      <c r="P3420" s="12" t="s">
        <v>28</v>
      </c>
      <c r="Q3420" s="9" t="s">
        <v>1144</v>
      </c>
      <c r="R3420" s="14" t="str">
        <f>HYPERLINK("https://my.pitchbook.com?c=190268-02T","View Company Online")</f>
        <v>View Company Online</v>
      </c>
    </row>
    <row r="3421" spans="1:18" hidden="1" x14ac:dyDescent="0.3">
      <c r="A3421" s="15" t="s">
        <v>11361</v>
      </c>
      <c r="B3421" s="15" t="s">
        <v>11362</v>
      </c>
      <c r="C3421" s="18" t="s">
        <v>28</v>
      </c>
      <c r="D3421" s="15" t="s">
        <v>11363</v>
      </c>
      <c r="E3421" s="18" t="s">
        <v>28</v>
      </c>
      <c r="F3421" s="19">
        <v>0.2</v>
      </c>
      <c r="G3421" s="19">
        <v>0.2</v>
      </c>
      <c r="H3421" s="19">
        <v>0.2</v>
      </c>
      <c r="I3421" s="18" t="s">
        <v>28</v>
      </c>
      <c r="J3421" s="18" t="s">
        <v>28</v>
      </c>
      <c r="K3421" s="18" t="s">
        <v>28</v>
      </c>
      <c r="L3421" s="18" t="s">
        <v>28</v>
      </c>
      <c r="M3421" s="18" t="s">
        <v>28</v>
      </c>
      <c r="N3421" s="17">
        <v>44633</v>
      </c>
      <c r="O3421" s="15" t="s">
        <v>30</v>
      </c>
      <c r="P3421" s="16" t="s">
        <v>11364</v>
      </c>
      <c r="Q3421" s="15" t="s">
        <v>832</v>
      </c>
      <c r="R3421" s="13" t="str">
        <f>HYPERLINK("https://my.pitchbook.com?c=210826-00T","View Company Online")</f>
        <v>View Company Online</v>
      </c>
    </row>
    <row r="3422" spans="1:18" hidden="1" x14ac:dyDescent="0.3">
      <c r="A3422" s="9" t="s">
        <v>11365</v>
      </c>
      <c r="B3422" s="9" t="s">
        <v>11366</v>
      </c>
      <c r="C3422" s="11" t="s">
        <v>28</v>
      </c>
      <c r="D3422" s="9" t="s">
        <v>11367</v>
      </c>
      <c r="E3422" s="11" t="s">
        <v>28</v>
      </c>
      <c r="F3422" s="10" t="s">
        <v>28</v>
      </c>
      <c r="G3422" s="10" t="s">
        <v>28</v>
      </c>
      <c r="H3422" s="10" t="s">
        <v>28</v>
      </c>
      <c r="I3422" s="11" t="s">
        <v>28</v>
      </c>
      <c r="J3422" s="11" t="s">
        <v>28</v>
      </c>
      <c r="K3422" s="11" t="s">
        <v>28</v>
      </c>
      <c r="L3422" s="11" t="s">
        <v>28</v>
      </c>
      <c r="M3422" s="11" t="s">
        <v>28</v>
      </c>
      <c r="N3422" s="8">
        <v>44631</v>
      </c>
      <c r="O3422" s="9" t="s">
        <v>52</v>
      </c>
      <c r="P3422" s="12" t="s">
        <v>2736</v>
      </c>
      <c r="Q3422" s="9" t="s">
        <v>1035</v>
      </c>
      <c r="R3422" s="14" t="str">
        <f>HYPERLINK("https://my.pitchbook.com?c=292587-22T","View Company Online")</f>
        <v>View Company Online</v>
      </c>
    </row>
    <row r="3423" spans="1:18" hidden="1" x14ac:dyDescent="0.3">
      <c r="A3423" s="15" t="s">
        <v>11368</v>
      </c>
      <c r="B3423" s="15" t="s">
        <v>11369</v>
      </c>
      <c r="C3423" s="18" t="s">
        <v>28</v>
      </c>
      <c r="D3423" s="15" t="s">
        <v>11370</v>
      </c>
      <c r="E3423" s="18" t="s">
        <v>28</v>
      </c>
      <c r="F3423" s="19" t="s">
        <v>28</v>
      </c>
      <c r="G3423" s="19">
        <v>0.57999999999999996</v>
      </c>
      <c r="H3423" s="19" t="s">
        <v>28</v>
      </c>
      <c r="I3423" s="18" t="s">
        <v>28</v>
      </c>
      <c r="J3423" s="18" t="s">
        <v>28</v>
      </c>
      <c r="K3423" s="18" t="s">
        <v>28</v>
      </c>
      <c r="L3423" s="18" t="s">
        <v>28</v>
      </c>
      <c r="M3423" s="18" t="s">
        <v>28</v>
      </c>
      <c r="N3423" s="17">
        <v>44631</v>
      </c>
      <c r="O3423" s="15" t="s">
        <v>99</v>
      </c>
      <c r="P3423" s="16" t="s">
        <v>11371</v>
      </c>
      <c r="Q3423" s="15" t="s">
        <v>75</v>
      </c>
      <c r="R3423" s="13" t="str">
        <f>HYPERLINK("https://my.pitchbook.com?c=181190-53T","View Company Online")</f>
        <v>View Company Online</v>
      </c>
    </row>
    <row r="3424" spans="1:18" hidden="1" x14ac:dyDescent="0.3">
      <c r="A3424" s="9" t="s">
        <v>11372</v>
      </c>
      <c r="B3424" s="9" t="s">
        <v>11373</v>
      </c>
      <c r="C3424" s="11" t="s">
        <v>28</v>
      </c>
      <c r="D3424" s="9" t="s">
        <v>11374</v>
      </c>
      <c r="E3424" s="11" t="s">
        <v>28</v>
      </c>
      <c r="F3424" s="10" t="s">
        <v>28</v>
      </c>
      <c r="G3424" s="10" t="s">
        <v>28</v>
      </c>
      <c r="H3424" s="10" t="s">
        <v>28</v>
      </c>
      <c r="I3424" s="11" t="s">
        <v>28</v>
      </c>
      <c r="J3424" s="11" t="s">
        <v>28</v>
      </c>
      <c r="K3424" s="11" t="s">
        <v>28</v>
      </c>
      <c r="L3424" s="11" t="s">
        <v>28</v>
      </c>
      <c r="M3424" s="11" t="s">
        <v>28</v>
      </c>
      <c r="N3424" s="8">
        <v>44631</v>
      </c>
      <c r="O3424" s="9" t="s">
        <v>30</v>
      </c>
      <c r="P3424" s="12" t="s">
        <v>11375</v>
      </c>
      <c r="Q3424" s="9" t="s">
        <v>285</v>
      </c>
      <c r="R3424" s="14" t="str">
        <f>HYPERLINK("https://my.pitchbook.com?c=210817-45T","View Company Online")</f>
        <v>View Company Online</v>
      </c>
    </row>
    <row r="3425" spans="1:18" hidden="1" x14ac:dyDescent="0.3">
      <c r="A3425" s="15" t="s">
        <v>11376</v>
      </c>
      <c r="B3425" s="15" t="s">
        <v>11377</v>
      </c>
      <c r="C3425" s="18" t="s">
        <v>28</v>
      </c>
      <c r="D3425" s="15" t="s">
        <v>11378</v>
      </c>
      <c r="E3425" s="18" t="s">
        <v>28</v>
      </c>
      <c r="F3425" s="19" t="s">
        <v>28</v>
      </c>
      <c r="G3425" s="19">
        <v>1.36</v>
      </c>
      <c r="H3425" s="19" t="s">
        <v>28</v>
      </c>
      <c r="I3425" s="18" t="s">
        <v>28</v>
      </c>
      <c r="J3425" s="18" t="s">
        <v>28</v>
      </c>
      <c r="K3425" s="18" t="s">
        <v>28</v>
      </c>
      <c r="L3425" s="18" t="s">
        <v>28</v>
      </c>
      <c r="M3425" s="18" t="s">
        <v>28</v>
      </c>
      <c r="N3425" s="17">
        <v>44631</v>
      </c>
      <c r="O3425" s="15" t="s">
        <v>93</v>
      </c>
      <c r="P3425" s="16" t="s">
        <v>11379</v>
      </c>
      <c r="Q3425" s="15" t="s">
        <v>37</v>
      </c>
      <c r="R3425" s="13" t="str">
        <f>HYPERLINK("https://my.pitchbook.com?c=190098-91T","View Company Online")</f>
        <v>View Company Online</v>
      </c>
    </row>
    <row r="3426" spans="1:18" hidden="1" x14ac:dyDescent="0.3">
      <c r="A3426" s="9" t="s">
        <v>11380</v>
      </c>
      <c r="B3426" s="9" t="s">
        <v>7263</v>
      </c>
      <c r="C3426" s="11" t="s">
        <v>28</v>
      </c>
      <c r="D3426" s="9" t="s">
        <v>7264</v>
      </c>
      <c r="E3426" s="11" t="s">
        <v>28</v>
      </c>
      <c r="F3426" s="10" t="s">
        <v>28</v>
      </c>
      <c r="G3426" s="10" t="s">
        <v>28</v>
      </c>
      <c r="H3426" s="10" t="s">
        <v>28</v>
      </c>
      <c r="I3426" s="11" t="s">
        <v>28</v>
      </c>
      <c r="J3426" s="11" t="s">
        <v>28</v>
      </c>
      <c r="K3426" s="11" t="s">
        <v>28</v>
      </c>
      <c r="L3426" s="11" t="s">
        <v>28</v>
      </c>
      <c r="M3426" s="11" t="s">
        <v>28</v>
      </c>
      <c r="N3426" s="8">
        <v>44631</v>
      </c>
      <c r="O3426" s="9" t="s">
        <v>52</v>
      </c>
      <c r="P3426" s="12" t="s">
        <v>2736</v>
      </c>
      <c r="Q3426" s="9" t="s">
        <v>1035</v>
      </c>
      <c r="R3426" s="14" t="str">
        <f>HYPERLINK("https://my.pitchbook.com?c=292597-57T","View Company Online")</f>
        <v>View Company Online</v>
      </c>
    </row>
    <row r="3427" spans="1:18" hidden="1" x14ac:dyDescent="0.3">
      <c r="A3427" s="15" t="s">
        <v>11381</v>
      </c>
      <c r="B3427" s="15" t="s">
        <v>11382</v>
      </c>
      <c r="C3427" s="18" t="s">
        <v>28</v>
      </c>
      <c r="D3427" s="15" t="s">
        <v>11383</v>
      </c>
      <c r="E3427" s="18" t="s">
        <v>28</v>
      </c>
      <c r="F3427" s="19" t="s">
        <v>28</v>
      </c>
      <c r="G3427" s="19">
        <v>5.95</v>
      </c>
      <c r="H3427" s="19" t="s">
        <v>28</v>
      </c>
      <c r="I3427" s="18" t="s">
        <v>28</v>
      </c>
      <c r="J3427" s="18" t="s">
        <v>28</v>
      </c>
      <c r="K3427" s="18" t="s">
        <v>28</v>
      </c>
      <c r="L3427" s="18" t="s">
        <v>28</v>
      </c>
      <c r="M3427" s="18" t="s">
        <v>28</v>
      </c>
      <c r="N3427" s="17">
        <v>44631</v>
      </c>
      <c r="O3427" s="15" t="s">
        <v>99</v>
      </c>
      <c r="P3427" s="16" t="s">
        <v>11384</v>
      </c>
      <c r="Q3427" s="15" t="s">
        <v>362</v>
      </c>
      <c r="R3427" s="13" t="str">
        <f>HYPERLINK("https://my.pitchbook.com?c=193614-31T","View Company Online")</f>
        <v>View Company Online</v>
      </c>
    </row>
    <row r="3428" spans="1:18" hidden="1" x14ac:dyDescent="0.3">
      <c r="A3428" s="9" t="s">
        <v>11385</v>
      </c>
      <c r="B3428" s="9" t="s">
        <v>11386</v>
      </c>
      <c r="C3428" s="11" t="s">
        <v>28</v>
      </c>
      <c r="D3428" s="9" t="s">
        <v>11387</v>
      </c>
      <c r="E3428" s="11" t="s">
        <v>28</v>
      </c>
      <c r="F3428" s="10" t="s">
        <v>28</v>
      </c>
      <c r="G3428" s="10">
        <v>2</v>
      </c>
      <c r="H3428" s="10">
        <v>2</v>
      </c>
      <c r="I3428" s="11" t="s">
        <v>28</v>
      </c>
      <c r="J3428" s="11" t="s">
        <v>28</v>
      </c>
      <c r="K3428" s="11" t="s">
        <v>28</v>
      </c>
      <c r="L3428" s="11" t="s">
        <v>28</v>
      </c>
      <c r="M3428" s="11" t="s">
        <v>28</v>
      </c>
      <c r="N3428" s="8">
        <v>44630</v>
      </c>
      <c r="O3428" s="9" t="s">
        <v>58</v>
      </c>
      <c r="P3428" s="12" t="s">
        <v>11388</v>
      </c>
      <c r="Q3428" s="9" t="s">
        <v>245</v>
      </c>
      <c r="R3428" s="14" t="str">
        <f>HYPERLINK("https://my.pitchbook.com?c=289457-29T","View Company Online")</f>
        <v>View Company Online</v>
      </c>
    </row>
    <row r="3429" spans="1:18" hidden="1" x14ac:dyDescent="0.3">
      <c r="A3429" s="15" t="s">
        <v>11389</v>
      </c>
      <c r="B3429" s="15" t="s">
        <v>11390</v>
      </c>
      <c r="C3429" s="18" t="s">
        <v>28</v>
      </c>
      <c r="D3429" s="15" t="s">
        <v>11391</v>
      </c>
      <c r="E3429" s="18" t="s">
        <v>28</v>
      </c>
      <c r="F3429" s="19">
        <v>186.68</v>
      </c>
      <c r="G3429" s="19">
        <v>186.68</v>
      </c>
      <c r="H3429" s="19">
        <v>186.68</v>
      </c>
      <c r="I3429" s="18" t="s">
        <v>28</v>
      </c>
      <c r="J3429" s="18" t="s">
        <v>28</v>
      </c>
      <c r="K3429" s="18" t="s">
        <v>28</v>
      </c>
      <c r="L3429" s="18" t="s">
        <v>28</v>
      </c>
      <c r="M3429" s="18" t="s">
        <v>28</v>
      </c>
      <c r="N3429" s="17">
        <v>44630</v>
      </c>
      <c r="O3429" s="15" t="s">
        <v>30</v>
      </c>
      <c r="P3429" s="16" t="s">
        <v>11392</v>
      </c>
      <c r="Q3429" s="15" t="s">
        <v>1238</v>
      </c>
      <c r="R3429" s="13" t="str">
        <f>HYPERLINK("https://my.pitchbook.com?c=185348-35T","View Company Online")</f>
        <v>View Company Online</v>
      </c>
    </row>
    <row r="3430" spans="1:18" hidden="1" x14ac:dyDescent="0.3">
      <c r="A3430" s="9" t="s">
        <v>11393</v>
      </c>
      <c r="B3430" s="9" t="s">
        <v>11394</v>
      </c>
      <c r="C3430" s="11" t="s">
        <v>28</v>
      </c>
      <c r="D3430" s="9" t="s">
        <v>11395</v>
      </c>
      <c r="E3430" s="11" t="s">
        <v>28</v>
      </c>
      <c r="F3430" s="10" t="s">
        <v>28</v>
      </c>
      <c r="G3430" s="10" t="s">
        <v>28</v>
      </c>
      <c r="H3430" s="10" t="s">
        <v>28</v>
      </c>
      <c r="I3430" s="11" t="s">
        <v>28</v>
      </c>
      <c r="J3430" s="11" t="s">
        <v>28</v>
      </c>
      <c r="K3430" s="11" t="s">
        <v>28</v>
      </c>
      <c r="L3430" s="11" t="s">
        <v>28</v>
      </c>
      <c r="M3430" s="11" t="s">
        <v>28</v>
      </c>
      <c r="N3430" s="8">
        <v>44630</v>
      </c>
      <c r="O3430" s="9" t="s">
        <v>79</v>
      </c>
      <c r="P3430" s="12" t="s">
        <v>11396</v>
      </c>
      <c r="Q3430" s="9" t="s">
        <v>54</v>
      </c>
      <c r="R3430" s="14" t="str">
        <f>HYPERLINK("https://my.pitchbook.com?c=214872-49T","View Company Online")</f>
        <v>View Company Online</v>
      </c>
    </row>
    <row r="3431" spans="1:18" hidden="1" x14ac:dyDescent="0.3">
      <c r="A3431" s="15" t="s">
        <v>11397</v>
      </c>
      <c r="B3431" s="15" t="s">
        <v>11398</v>
      </c>
      <c r="C3431" s="18" t="s">
        <v>28</v>
      </c>
      <c r="D3431" s="15" t="s">
        <v>11399</v>
      </c>
      <c r="E3431" s="18" t="s">
        <v>28</v>
      </c>
      <c r="F3431" s="19" t="s">
        <v>28</v>
      </c>
      <c r="G3431" s="19" t="s">
        <v>28</v>
      </c>
      <c r="H3431" s="19" t="s">
        <v>28</v>
      </c>
      <c r="I3431" s="18" t="s">
        <v>28</v>
      </c>
      <c r="J3431" s="18" t="s">
        <v>28</v>
      </c>
      <c r="K3431" s="18" t="s">
        <v>28</v>
      </c>
      <c r="L3431" s="18" t="s">
        <v>28</v>
      </c>
      <c r="M3431" s="18" t="s">
        <v>28</v>
      </c>
      <c r="N3431" s="17">
        <v>44630</v>
      </c>
      <c r="O3431" s="15" t="s">
        <v>30</v>
      </c>
      <c r="P3431" s="16" t="s">
        <v>10844</v>
      </c>
      <c r="Q3431" s="15" t="s">
        <v>37</v>
      </c>
      <c r="R3431" s="13" t="str">
        <f>HYPERLINK("https://my.pitchbook.com?c=190028-35T","View Company Online")</f>
        <v>View Company Online</v>
      </c>
    </row>
    <row r="3432" spans="1:18" hidden="1" x14ac:dyDescent="0.3">
      <c r="A3432" s="9" t="s">
        <v>11400</v>
      </c>
      <c r="B3432" s="9" t="s">
        <v>11401</v>
      </c>
      <c r="C3432" s="11" t="s">
        <v>28</v>
      </c>
      <c r="D3432" s="9" t="s">
        <v>11402</v>
      </c>
      <c r="E3432" s="11" t="s">
        <v>28</v>
      </c>
      <c r="F3432" s="10" t="s">
        <v>28</v>
      </c>
      <c r="G3432" s="10">
        <v>5.0599999999999996</v>
      </c>
      <c r="H3432" s="10" t="s">
        <v>28</v>
      </c>
      <c r="I3432" s="11" t="s">
        <v>28</v>
      </c>
      <c r="J3432" s="11" t="s">
        <v>28</v>
      </c>
      <c r="K3432" s="11" t="s">
        <v>28</v>
      </c>
      <c r="L3432" s="11" t="s">
        <v>28</v>
      </c>
      <c r="M3432" s="11" t="s">
        <v>28</v>
      </c>
      <c r="N3432" s="8">
        <v>44630</v>
      </c>
      <c r="O3432" s="9" t="s">
        <v>99</v>
      </c>
      <c r="P3432" s="12" t="s">
        <v>11403</v>
      </c>
      <c r="Q3432" s="9" t="s">
        <v>37</v>
      </c>
      <c r="R3432" s="14" t="str">
        <f>HYPERLINK("https://my.pitchbook.com?c=190153-81T","View Company Online")</f>
        <v>View Company Online</v>
      </c>
    </row>
    <row r="3433" spans="1:18" hidden="1" x14ac:dyDescent="0.3">
      <c r="A3433" s="15" t="s">
        <v>11404</v>
      </c>
      <c r="B3433" s="15" t="s">
        <v>2858</v>
      </c>
      <c r="C3433" s="18" t="s">
        <v>28</v>
      </c>
      <c r="D3433" s="15" t="s">
        <v>2859</v>
      </c>
      <c r="E3433" s="18" t="s">
        <v>28</v>
      </c>
      <c r="F3433" s="19" t="s">
        <v>28</v>
      </c>
      <c r="G3433" s="19">
        <v>5.5</v>
      </c>
      <c r="H3433" s="19" t="s">
        <v>28</v>
      </c>
      <c r="I3433" s="18" t="s">
        <v>28</v>
      </c>
      <c r="J3433" s="18" t="s">
        <v>28</v>
      </c>
      <c r="K3433" s="18" t="s">
        <v>28</v>
      </c>
      <c r="L3433" s="18" t="s">
        <v>28</v>
      </c>
      <c r="M3433" s="18" t="s">
        <v>28</v>
      </c>
      <c r="N3433" s="17">
        <v>44630</v>
      </c>
      <c r="O3433" s="15" t="s">
        <v>73</v>
      </c>
      <c r="P3433" s="16" t="s">
        <v>11405</v>
      </c>
      <c r="Q3433" s="15" t="s">
        <v>696</v>
      </c>
      <c r="R3433" s="13" t="str">
        <f>HYPERLINK("https://my.pitchbook.com?c=192224-44T","View Company Online")</f>
        <v>View Company Online</v>
      </c>
    </row>
    <row r="3434" spans="1:18" hidden="1" x14ac:dyDescent="0.3">
      <c r="A3434" s="9" t="s">
        <v>11406</v>
      </c>
      <c r="B3434" s="9" t="s">
        <v>11407</v>
      </c>
      <c r="C3434" s="11" t="s">
        <v>28</v>
      </c>
      <c r="D3434" s="9" t="s">
        <v>11408</v>
      </c>
      <c r="E3434" s="11" t="s">
        <v>28</v>
      </c>
      <c r="F3434" s="10" t="s">
        <v>28</v>
      </c>
      <c r="G3434" s="10" t="s">
        <v>28</v>
      </c>
      <c r="H3434" s="10" t="s">
        <v>28</v>
      </c>
      <c r="I3434" s="11" t="s">
        <v>28</v>
      </c>
      <c r="J3434" s="11" t="s">
        <v>28</v>
      </c>
      <c r="K3434" s="11" t="s">
        <v>28</v>
      </c>
      <c r="L3434" s="11" t="s">
        <v>28</v>
      </c>
      <c r="M3434" s="11" t="s">
        <v>28</v>
      </c>
      <c r="N3434" s="8">
        <v>44630</v>
      </c>
      <c r="O3434" s="9" t="s">
        <v>30</v>
      </c>
      <c r="P3434" s="12" t="s">
        <v>11409</v>
      </c>
      <c r="Q3434" s="9" t="s">
        <v>37</v>
      </c>
      <c r="R3434" s="14" t="str">
        <f>HYPERLINK("https://my.pitchbook.com?c=190144-09T","View Company Online")</f>
        <v>View Company Online</v>
      </c>
    </row>
    <row r="3435" spans="1:18" hidden="1" x14ac:dyDescent="0.3">
      <c r="A3435" s="15" t="s">
        <v>11410</v>
      </c>
      <c r="B3435" s="15" t="s">
        <v>7069</v>
      </c>
      <c r="C3435" s="18" t="s">
        <v>28</v>
      </c>
      <c r="D3435" s="15" t="s">
        <v>7070</v>
      </c>
      <c r="E3435" s="18" t="s">
        <v>28</v>
      </c>
      <c r="F3435" s="19" t="s">
        <v>28</v>
      </c>
      <c r="G3435" s="19">
        <v>0.1</v>
      </c>
      <c r="H3435" s="19">
        <v>3.24</v>
      </c>
      <c r="I3435" s="18" t="s">
        <v>28</v>
      </c>
      <c r="J3435" s="18" t="s">
        <v>28</v>
      </c>
      <c r="K3435" s="18" t="s">
        <v>28</v>
      </c>
      <c r="L3435" s="18" t="s">
        <v>28</v>
      </c>
      <c r="M3435" s="18" t="s">
        <v>28</v>
      </c>
      <c r="N3435" s="17">
        <v>44629</v>
      </c>
      <c r="O3435" s="15" t="s">
        <v>52</v>
      </c>
      <c r="P3435" s="16" t="s">
        <v>3869</v>
      </c>
      <c r="Q3435" s="15" t="s">
        <v>37</v>
      </c>
      <c r="R3435" s="13" t="str">
        <f>HYPERLINK("https://my.pitchbook.com?c=218086-30T","View Company Online")</f>
        <v>View Company Online</v>
      </c>
    </row>
    <row r="3436" spans="1:18" hidden="1" x14ac:dyDescent="0.3">
      <c r="A3436" s="9" t="s">
        <v>11411</v>
      </c>
      <c r="B3436" s="9" t="s">
        <v>6262</v>
      </c>
      <c r="C3436" s="11" t="s">
        <v>28</v>
      </c>
      <c r="D3436" s="9" t="s">
        <v>6263</v>
      </c>
      <c r="E3436" s="11" t="s">
        <v>28</v>
      </c>
      <c r="F3436" s="10" t="s">
        <v>28</v>
      </c>
      <c r="G3436" s="10">
        <v>0.49</v>
      </c>
      <c r="H3436" s="10" t="s">
        <v>28</v>
      </c>
      <c r="I3436" s="11" t="s">
        <v>28</v>
      </c>
      <c r="J3436" s="11" t="s">
        <v>28</v>
      </c>
      <c r="K3436" s="11" t="s">
        <v>28</v>
      </c>
      <c r="L3436" s="11" t="s">
        <v>28</v>
      </c>
      <c r="M3436" s="11" t="s">
        <v>28</v>
      </c>
      <c r="N3436" s="8">
        <v>44629</v>
      </c>
      <c r="O3436" s="9" t="s">
        <v>73</v>
      </c>
      <c r="P3436" s="12" t="s">
        <v>11412</v>
      </c>
      <c r="Q3436" s="9" t="s">
        <v>75</v>
      </c>
      <c r="R3436" s="14" t="str">
        <f>HYPERLINK("https://my.pitchbook.com?c=190048-24T","View Company Online")</f>
        <v>View Company Online</v>
      </c>
    </row>
    <row r="3437" spans="1:18" hidden="1" x14ac:dyDescent="0.3">
      <c r="A3437" s="15" t="s">
        <v>11413</v>
      </c>
      <c r="B3437" s="15" t="s">
        <v>8763</v>
      </c>
      <c r="C3437" s="18" t="s">
        <v>28</v>
      </c>
      <c r="D3437" s="15" t="s">
        <v>8764</v>
      </c>
      <c r="E3437" s="18" t="s">
        <v>28</v>
      </c>
      <c r="F3437" s="19" t="s">
        <v>28</v>
      </c>
      <c r="G3437" s="19" t="s">
        <v>28</v>
      </c>
      <c r="H3437" s="19" t="s">
        <v>28</v>
      </c>
      <c r="I3437" s="18" t="s">
        <v>28</v>
      </c>
      <c r="J3437" s="18" t="s">
        <v>28</v>
      </c>
      <c r="K3437" s="18" t="s">
        <v>28</v>
      </c>
      <c r="L3437" s="18" t="s">
        <v>28</v>
      </c>
      <c r="M3437" s="18" t="s">
        <v>28</v>
      </c>
      <c r="N3437" s="17">
        <v>44629</v>
      </c>
      <c r="O3437" s="15" t="s">
        <v>52</v>
      </c>
      <c r="P3437" s="16" t="s">
        <v>6790</v>
      </c>
      <c r="Q3437" s="15" t="s">
        <v>75</v>
      </c>
      <c r="R3437" s="13" t="str">
        <f>HYPERLINK("https://my.pitchbook.com?c=265212-46T","View Company Online")</f>
        <v>View Company Online</v>
      </c>
    </row>
    <row r="3438" spans="1:18" hidden="1" x14ac:dyDescent="0.3">
      <c r="A3438" s="9" t="s">
        <v>11414</v>
      </c>
      <c r="B3438" s="9" t="s">
        <v>11415</v>
      </c>
      <c r="C3438" s="11" t="s">
        <v>28</v>
      </c>
      <c r="D3438" s="9" t="s">
        <v>11416</v>
      </c>
      <c r="E3438" s="11" t="s">
        <v>28</v>
      </c>
      <c r="F3438" s="10" t="s">
        <v>28</v>
      </c>
      <c r="G3438" s="10">
        <v>26.6</v>
      </c>
      <c r="H3438" s="10" t="s">
        <v>28</v>
      </c>
      <c r="I3438" s="11" t="s">
        <v>28</v>
      </c>
      <c r="J3438" s="11" t="s">
        <v>28</v>
      </c>
      <c r="K3438" s="11" t="s">
        <v>28</v>
      </c>
      <c r="L3438" s="11" t="s">
        <v>28</v>
      </c>
      <c r="M3438" s="11" t="s">
        <v>28</v>
      </c>
      <c r="N3438" s="8">
        <v>44629</v>
      </c>
      <c r="O3438" s="9" t="s">
        <v>79</v>
      </c>
      <c r="P3438" s="12" t="s">
        <v>11417</v>
      </c>
      <c r="Q3438" s="9" t="s">
        <v>583</v>
      </c>
      <c r="R3438" s="14" t="str">
        <f>HYPERLINK("https://my.pitchbook.com?c=190019-26T","View Company Online")</f>
        <v>View Company Online</v>
      </c>
    </row>
    <row r="3439" spans="1:18" hidden="1" x14ac:dyDescent="0.3">
      <c r="A3439" s="15" t="s">
        <v>11418</v>
      </c>
      <c r="B3439" s="15" t="s">
        <v>11419</v>
      </c>
      <c r="C3439" s="18" t="s">
        <v>28</v>
      </c>
      <c r="D3439" s="15" t="s">
        <v>11420</v>
      </c>
      <c r="E3439" s="18" t="s">
        <v>28</v>
      </c>
      <c r="F3439" s="19" t="s">
        <v>28</v>
      </c>
      <c r="G3439" s="19" t="s">
        <v>28</v>
      </c>
      <c r="H3439" s="19" t="s">
        <v>28</v>
      </c>
      <c r="I3439" s="18" t="s">
        <v>28</v>
      </c>
      <c r="J3439" s="18" t="s">
        <v>28</v>
      </c>
      <c r="K3439" s="18" t="s">
        <v>28</v>
      </c>
      <c r="L3439" s="18" t="s">
        <v>28</v>
      </c>
      <c r="M3439" s="18" t="s">
        <v>28</v>
      </c>
      <c r="N3439" s="17">
        <v>44629</v>
      </c>
      <c r="O3439" s="15" t="s">
        <v>30</v>
      </c>
      <c r="P3439" s="16" t="s">
        <v>3720</v>
      </c>
      <c r="Q3439" s="15" t="s">
        <v>85</v>
      </c>
      <c r="R3439" s="13" t="str">
        <f>HYPERLINK("https://my.pitchbook.com?c=210822-76T","View Company Online")</f>
        <v>View Company Online</v>
      </c>
    </row>
    <row r="3440" spans="1:18" hidden="1" x14ac:dyDescent="0.3">
      <c r="A3440" s="9" t="s">
        <v>11421</v>
      </c>
      <c r="B3440" s="9" t="s">
        <v>11401</v>
      </c>
      <c r="C3440" s="11" t="s">
        <v>28</v>
      </c>
      <c r="D3440" s="9" t="s">
        <v>11402</v>
      </c>
      <c r="E3440" s="11" t="s">
        <v>28</v>
      </c>
      <c r="F3440" s="10" t="s">
        <v>28</v>
      </c>
      <c r="G3440" s="10" t="s">
        <v>28</v>
      </c>
      <c r="H3440" s="10" t="s">
        <v>28</v>
      </c>
      <c r="I3440" s="11" t="s">
        <v>28</v>
      </c>
      <c r="J3440" s="11" t="s">
        <v>28</v>
      </c>
      <c r="K3440" s="11" t="s">
        <v>28</v>
      </c>
      <c r="L3440" s="11" t="s">
        <v>28</v>
      </c>
      <c r="M3440" s="11" t="s">
        <v>28</v>
      </c>
      <c r="N3440" s="8">
        <v>44629</v>
      </c>
      <c r="O3440" s="9" t="s">
        <v>52</v>
      </c>
      <c r="P3440" s="12" t="s">
        <v>3375</v>
      </c>
      <c r="Q3440" s="9" t="s">
        <v>37</v>
      </c>
      <c r="R3440" s="14" t="str">
        <f>HYPERLINK("https://my.pitchbook.com?c=289045-18T","View Company Online")</f>
        <v>View Company Online</v>
      </c>
    </row>
    <row r="3441" spans="1:18" x14ac:dyDescent="0.3">
      <c r="A3441" s="15" t="s">
        <v>11422</v>
      </c>
      <c r="B3441" s="15" t="s">
        <v>10454</v>
      </c>
      <c r="C3441" s="18" t="s">
        <v>28</v>
      </c>
      <c r="D3441" s="15" t="s">
        <v>11423</v>
      </c>
      <c r="E3441" s="18">
        <v>-0.06</v>
      </c>
      <c r="F3441" s="19" t="s">
        <v>28</v>
      </c>
      <c r="G3441" s="19">
        <v>2989.72</v>
      </c>
      <c r="H3441" s="19">
        <v>2989.72</v>
      </c>
      <c r="I3441" s="18">
        <v>27.13</v>
      </c>
      <c r="J3441" s="18">
        <v>110.2</v>
      </c>
      <c r="K3441" s="18">
        <v>3941.55</v>
      </c>
      <c r="L3441" s="18">
        <v>0.76</v>
      </c>
      <c r="M3441" s="18">
        <v>61.63</v>
      </c>
      <c r="N3441" s="17">
        <v>44629</v>
      </c>
      <c r="O3441" s="15" t="s">
        <v>30</v>
      </c>
      <c r="P3441" s="16" t="s">
        <v>11424</v>
      </c>
      <c r="Q3441" s="15" t="s">
        <v>774</v>
      </c>
      <c r="R3441" s="13" t="str">
        <f>HYPERLINK("https://my.pitchbook.com?c=189101-89T","View Company Online")</f>
        <v>View Company Online</v>
      </c>
    </row>
    <row r="3442" spans="1:18" hidden="1" x14ac:dyDescent="0.3">
      <c r="A3442" s="9" t="s">
        <v>11425</v>
      </c>
      <c r="B3442" s="9" t="s">
        <v>480</v>
      </c>
      <c r="C3442" s="11" t="s">
        <v>28</v>
      </c>
      <c r="D3442" s="9" t="s">
        <v>481</v>
      </c>
      <c r="E3442" s="11" t="s">
        <v>28</v>
      </c>
      <c r="F3442" s="10" t="s">
        <v>28</v>
      </c>
      <c r="G3442" s="10">
        <v>7.75</v>
      </c>
      <c r="H3442" s="10" t="s">
        <v>28</v>
      </c>
      <c r="I3442" s="11" t="s">
        <v>28</v>
      </c>
      <c r="J3442" s="11" t="s">
        <v>28</v>
      </c>
      <c r="K3442" s="11" t="s">
        <v>28</v>
      </c>
      <c r="L3442" s="11" t="s">
        <v>28</v>
      </c>
      <c r="M3442" s="11" t="s">
        <v>28</v>
      </c>
      <c r="N3442" s="8">
        <v>44628</v>
      </c>
      <c r="O3442" s="9" t="s">
        <v>99</v>
      </c>
      <c r="P3442" s="12" t="s">
        <v>11426</v>
      </c>
      <c r="Q3442" s="9" t="s">
        <v>409</v>
      </c>
      <c r="R3442" s="14" t="str">
        <f>HYPERLINK("https://my.pitchbook.com?c=196220-44T","View Company Online")</f>
        <v>View Company Online</v>
      </c>
    </row>
    <row r="3443" spans="1:18" hidden="1" x14ac:dyDescent="0.3">
      <c r="A3443" s="15" t="s">
        <v>11427</v>
      </c>
      <c r="B3443" s="15" t="s">
        <v>2649</v>
      </c>
      <c r="C3443" s="18" t="s">
        <v>28</v>
      </c>
      <c r="D3443" s="15" t="s">
        <v>2650</v>
      </c>
      <c r="E3443" s="18" t="s">
        <v>28</v>
      </c>
      <c r="F3443" s="19" t="s">
        <v>28</v>
      </c>
      <c r="G3443" s="19">
        <v>3</v>
      </c>
      <c r="H3443" s="19" t="s">
        <v>28</v>
      </c>
      <c r="I3443" s="18" t="s">
        <v>28</v>
      </c>
      <c r="J3443" s="18" t="s">
        <v>28</v>
      </c>
      <c r="K3443" s="18" t="s">
        <v>28</v>
      </c>
      <c r="L3443" s="18" t="s">
        <v>28</v>
      </c>
      <c r="M3443" s="18" t="s">
        <v>28</v>
      </c>
      <c r="N3443" s="17">
        <v>44628</v>
      </c>
      <c r="O3443" s="15" t="s">
        <v>73</v>
      </c>
      <c r="P3443" s="16" t="s">
        <v>11428</v>
      </c>
      <c r="Q3443" s="15" t="s">
        <v>75</v>
      </c>
      <c r="R3443" s="13" t="str">
        <f>HYPERLINK("https://my.pitchbook.com?c=214238-08T","View Company Online")</f>
        <v>View Company Online</v>
      </c>
    </row>
    <row r="3444" spans="1:18" hidden="1" x14ac:dyDescent="0.3">
      <c r="A3444" s="9" t="s">
        <v>11429</v>
      </c>
      <c r="B3444" s="9" t="s">
        <v>11430</v>
      </c>
      <c r="C3444" s="11" t="s">
        <v>28</v>
      </c>
      <c r="D3444" s="9" t="s">
        <v>11431</v>
      </c>
      <c r="E3444" s="11" t="s">
        <v>28</v>
      </c>
      <c r="F3444" s="10" t="s">
        <v>28</v>
      </c>
      <c r="G3444" s="10" t="s">
        <v>28</v>
      </c>
      <c r="H3444" s="10" t="s">
        <v>28</v>
      </c>
      <c r="I3444" s="11" t="s">
        <v>28</v>
      </c>
      <c r="J3444" s="11" t="s">
        <v>28</v>
      </c>
      <c r="K3444" s="11" t="s">
        <v>28</v>
      </c>
      <c r="L3444" s="11" t="s">
        <v>28</v>
      </c>
      <c r="M3444" s="11" t="s">
        <v>28</v>
      </c>
      <c r="N3444" s="8">
        <v>44628</v>
      </c>
      <c r="O3444" s="9" t="s">
        <v>41</v>
      </c>
      <c r="P3444" s="12" t="s">
        <v>11432</v>
      </c>
      <c r="Q3444" s="9" t="s">
        <v>95</v>
      </c>
      <c r="R3444" s="14" t="str">
        <f>HYPERLINK("https://my.pitchbook.com?c=189846-55T","View Company Online")</f>
        <v>View Company Online</v>
      </c>
    </row>
    <row r="3445" spans="1:18" hidden="1" x14ac:dyDescent="0.3">
      <c r="A3445" s="15" t="s">
        <v>11433</v>
      </c>
      <c r="B3445" s="15" t="s">
        <v>5289</v>
      </c>
      <c r="C3445" s="18" t="s">
        <v>28</v>
      </c>
      <c r="D3445" s="15" t="s">
        <v>5290</v>
      </c>
      <c r="E3445" s="18" t="s">
        <v>28</v>
      </c>
      <c r="F3445" s="19" t="s">
        <v>28</v>
      </c>
      <c r="G3445" s="19">
        <v>3</v>
      </c>
      <c r="H3445" s="19" t="s">
        <v>28</v>
      </c>
      <c r="I3445" s="18" t="s">
        <v>28</v>
      </c>
      <c r="J3445" s="18" t="s">
        <v>28</v>
      </c>
      <c r="K3445" s="18" t="s">
        <v>28</v>
      </c>
      <c r="L3445" s="18" t="s">
        <v>28</v>
      </c>
      <c r="M3445" s="18" t="s">
        <v>28</v>
      </c>
      <c r="N3445" s="17">
        <v>44628</v>
      </c>
      <c r="O3445" s="15" t="s">
        <v>99</v>
      </c>
      <c r="P3445" s="16" t="s">
        <v>11434</v>
      </c>
      <c r="Q3445" s="15" t="s">
        <v>37</v>
      </c>
      <c r="R3445" s="13" t="str">
        <f>HYPERLINK("https://my.pitchbook.com?c=189822-34T","View Company Online")</f>
        <v>View Company Online</v>
      </c>
    </row>
    <row r="3446" spans="1:18" hidden="1" x14ac:dyDescent="0.3">
      <c r="A3446" s="9" t="s">
        <v>11435</v>
      </c>
      <c r="B3446" s="9" t="s">
        <v>11436</v>
      </c>
      <c r="C3446" s="11" t="s">
        <v>28</v>
      </c>
      <c r="D3446" s="9" t="s">
        <v>11437</v>
      </c>
      <c r="E3446" s="11" t="s">
        <v>28</v>
      </c>
      <c r="F3446" s="10" t="s">
        <v>28</v>
      </c>
      <c r="G3446" s="10">
        <v>25</v>
      </c>
      <c r="H3446" s="10" t="s">
        <v>28</v>
      </c>
      <c r="I3446" s="11" t="s">
        <v>28</v>
      </c>
      <c r="J3446" s="11" t="s">
        <v>28</v>
      </c>
      <c r="K3446" s="11" t="s">
        <v>28</v>
      </c>
      <c r="L3446" s="11" t="s">
        <v>28</v>
      </c>
      <c r="M3446" s="11" t="s">
        <v>28</v>
      </c>
      <c r="N3446" s="8">
        <v>44628</v>
      </c>
      <c r="O3446" s="9" t="s">
        <v>73</v>
      </c>
      <c r="P3446" s="12" t="s">
        <v>11438</v>
      </c>
      <c r="Q3446" s="9" t="s">
        <v>95</v>
      </c>
      <c r="R3446" s="14" t="str">
        <f>HYPERLINK("https://my.pitchbook.com?c=189801-01T","View Company Online")</f>
        <v>View Company Online</v>
      </c>
    </row>
    <row r="3447" spans="1:18" hidden="1" x14ac:dyDescent="0.3">
      <c r="A3447" s="15" t="s">
        <v>11439</v>
      </c>
      <c r="B3447" s="15" t="s">
        <v>11440</v>
      </c>
      <c r="C3447" s="18" t="s">
        <v>28</v>
      </c>
      <c r="D3447" s="15" t="s">
        <v>11441</v>
      </c>
      <c r="E3447" s="18" t="s">
        <v>28</v>
      </c>
      <c r="F3447" s="19" t="s">
        <v>28</v>
      </c>
      <c r="G3447" s="19" t="s">
        <v>28</v>
      </c>
      <c r="H3447" s="19" t="s">
        <v>28</v>
      </c>
      <c r="I3447" s="18" t="s">
        <v>28</v>
      </c>
      <c r="J3447" s="18" t="s">
        <v>28</v>
      </c>
      <c r="K3447" s="18" t="s">
        <v>28</v>
      </c>
      <c r="L3447" s="18" t="s">
        <v>28</v>
      </c>
      <c r="M3447" s="18" t="s">
        <v>28</v>
      </c>
      <c r="N3447" s="17">
        <v>44627</v>
      </c>
      <c r="O3447" s="15" t="s">
        <v>30</v>
      </c>
      <c r="P3447" s="16" t="s">
        <v>11442</v>
      </c>
      <c r="Q3447" s="15" t="s">
        <v>37</v>
      </c>
      <c r="R3447" s="13" t="str">
        <f>HYPERLINK("https://my.pitchbook.com?c=189727-57T","View Company Online")</f>
        <v>View Company Online</v>
      </c>
    </row>
    <row r="3448" spans="1:18" hidden="1" x14ac:dyDescent="0.3">
      <c r="A3448" s="9" t="s">
        <v>11443</v>
      </c>
      <c r="B3448" s="9" t="s">
        <v>1731</v>
      </c>
      <c r="C3448" s="11" t="s">
        <v>28</v>
      </c>
      <c r="D3448" s="9" t="s">
        <v>1732</v>
      </c>
      <c r="E3448" s="11" t="s">
        <v>28</v>
      </c>
      <c r="F3448" s="10" t="s">
        <v>28</v>
      </c>
      <c r="G3448" s="10">
        <v>19.36</v>
      </c>
      <c r="H3448" s="10" t="s">
        <v>28</v>
      </c>
      <c r="I3448" s="11" t="s">
        <v>28</v>
      </c>
      <c r="J3448" s="11" t="s">
        <v>28</v>
      </c>
      <c r="K3448" s="11" t="s">
        <v>28</v>
      </c>
      <c r="L3448" s="11" t="s">
        <v>28</v>
      </c>
      <c r="M3448" s="11" t="s">
        <v>28</v>
      </c>
      <c r="N3448" s="8">
        <v>44627</v>
      </c>
      <c r="O3448" s="9" t="s">
        <v>73</v>
      </c>
      <c r="P3448" s="12" t="s">
        <v>11444</v>
      </c>
      <c r="Q3448" s="9" t="s">
        <v>1734</v>
      </c>
      <c r="R3448" s="14" t="str">
        <f>HYPERLINK("https://my.pitchbook.com?c=180047-89T","View Company Online")</f>
        <v>View Company Online</v>
      </c>
    </row>
    <row r="3449" spans="1:18" hidden="1" x14ac:dyDescent="0.3">
      <c r="A3449" s="15" t="s">
        <v>11445</v>
      </c>
      <c r="B3449" s="15" t="s">
        <v>11446</v>
      </c>
      <c r="C3449" s="18" t="s">
        <v>28</v>
      </c>
      <c r="D3449" s="15" t="s">
        <v>11447</v>
      </c>
      <c r="E3449" s="18" t="s">
        <v>28</v>
      </c>
      <c r="F3449" s="19" t="s">
        <v>28</v>
      </c>
      <c r="G3449" s="19" t="s">
        <v>28</v>
      </c>
      <c r="H3449" s="19" t="s">
        <v>28</v>
      </c>
      <c r="I3449" s="18" t="s">
        <v>28</v>
      </c>
      <c r="J3449" s="18" t="s">
        <v>28</v>
      </c>
      <c r="K3449" s="18">
        <v>2.29</v>
      </c>
      <c r="L3449" s="18" t="s">
        <v>28</v>
      </c>
      <c r="M3449" s="18" t="s">
        <v>28</v>
      </c>
      <c r="N3449" s="17">
        <v>44627</v>
      </c>
      <c r="O3449" s="15" t="s">
        <v>30</v>
      </c>
      <c r="P3449" s="16" t="s">
        <v>11448</v>
      </c>
      <c r="Q3449" s="15" t="s">
        <v>245</v>
      </c>
      <c r="R3449" s="13" t="str">
        <f>HYPERLINK("https://my.pitchbook.com?c=189779-41T","View Company Online")</f>
        <v>View Company Online</v>
      </c>
    </row>
    <row r="3450" spans="1:18" hidden="1" x14ac:dyDescent="0.3">
      <c r="A3450" s="9" t="s">
        <v>11449</v>
      </c>
      <c r="B3450" s="9" t="s">
        <v>9223</v>
      </c>
      <c r="C3450" s="11" t="s">
        <v>28</v>
      </c>
      <c r="D3450" s="9" t="s">
        <v>11450</v>
      </c>
      <c r="E3450" s="11" t="s">
        <v>28</v>
      </c>
      <c r="F3450" s="10" t="s">
        <v>28</v>
      </c>
      <c r="G3450" s="10">
        <v>125.83</v>
      </c>
      <c r="H3450" s="10" t="s">
        <v>28</v>
      </c>
      <c r="I3450" s="11" t="s">
        <v>28</v>
      </c>
      <c r="J3450" s="11" t="s">
        <v>28</v>
      </c>
      <c r="K3450" s="11">
        <v>129.74</v>
      </c>
      <c r="L3450" s="11" t="s">
        <v>28</v>
      </c>
      <c r="M3450" s="11" t="s">
        <v>28</v>
      </c>
      <c r="N3450" s="8">
        <v>44627</v>
      </c>
      <c r="O3450" s="9" t="s">
        <v>93</v>
      </c>
      <c r="P3450" s="12" t="s">
        <v>11451</v>
      </c>
      <c r="Q3450" s="9" t="s">
        <v>409</v>
      </c>
      <c r="R3450" s="14" t="str">
        <f>HYPERLINK("https://my.pitchbook.com?c=189774-55T","View Company Online")</f>
        <v>View Company Online</v>
      </c>
    </row>
    <row r="3451" spans="1:18" hidden="1" x14ac:dyDescent="0.3">
      <c r="A3451" s="15" t="s">
        <v>11452</v>
      </c>
      <c r="B3451" s="15" t="s">
        <v>11453</v>
      </c>
      <c r="C3451" s="18" t="s">
        <v>28</v>
      </c>
      <c r="D3451" s="15" t="s">
        <v>11454</v>
      </c>
      <c r="E3451" s="18" t="s">
        <v>28</v>
      </c>
      <c r="F3451" s="19" t="s">
        <v>28</v>
      </c>
      <c r="G3451" s="19" t="s">
        <v>28</v>
      </c>
      <c r="H3451" s="19" t="s">
        <v>28</v>
      </c>
      <c r="I3451" s="18" t="s">
        <v>28</v>
      </c>
      <c r="J3451" s="18" t="s">
        <v>28</v>
      </c>
      <c r="K3451" s="18" t="s">
        <v>28</v>
      </c>
      <c r="L3451" s="18" t="s">
        <v>28</v>
      </c>
      <c r="M3451" s="18" t="s">
        <v>28</v>
      </c>
      <c r="N3451" s="17">
        <v>44625</v>
      </c>
      <c r="O3451" s="15" t="s">
        <v>30</v>
      </c>
      <c r="P3451" s="16" t="s">
        <v>11455</v>
      </c>
      <c r="Q3451" s="15" t="s">
        <v>240</v>
      </c>
      <c r="R3451" s="13" t="str">
        <f>HYPERLINK("https://my.pitchbook.com?c=209960-29T","View Company Online")</f>
        <v>View Company Online</v>
      </c>
    </row>
    <row r="3452" spans="1:18" hidden="1" x14ac:dyDescent="0.3">
      <c r="A3452" s="9" t="s">
        <v>11456</v>
      </c>
      <c r="B3452" s="9" t="s">
        <v>11457</v>
      </c>
      <c r="C3452" s="11" t="s">
        <v>28</v>
      </c>
      <c r="D3452" s="9" t="s">
        <v>11458</v>
      </c>
      <c r="E3452" s="11" t="s">
        <v>28</v>
      </c>
      <c r="F3452" s="10" t="s">
        <v>28</v>
      </c>
      <c r="G3452" s="10" t="s">
        <v>28</v>
      </c>
      <c r="H3452" s="10" t="s">
        <v>28</v>
      </c>
      <c r="I3452" s="11" t="s">
        <v>28</v>
      </c>
      <c r="J3452" s="11" t="s">
        <v>28</v>
      </c>
      <c r="K3452" s="11">
        <v>14.19</v>
      </c>
      <c r="L3452" s="11" t="s">
        <v>28</v>
      </c>
      <c r="M3452" s="11" t="s">
        <v>28</v>
      </c>
      <c r="N3452" s="8">
        <v>44624</v>
      </c>
      <c r="O3452" s="9" t="s">
        <v>30</v>
      </c>
      <c r="P3452" s="12" t="s">
        <v>11459</v>
      </c>
      <c r="Q3452" s="9" t="s">
        <v>213</v>
      </c>
      <c r="R3452" s="14" t="str">
        <f>HYPERLINK("https://my.pitchbook.com?c=211025-89T","View Company Online")</f>
        <v>View Company Online</v>
      </c>
    </row>
    <row r="3453" spans="1:18" hidden="1" x14ac:dyDescent="0.3">
      <c r="A3453" s="15" t="s">
        <v>11460</v>
      </c>
      <c r="B3453" s="15" t="s">
        <v>11461</v>
      </c>
      <c r="C3453" s="18" t="s">
        <v>28</v>
      </c>
      <c r="D3453" s="15" t="s">
        <v>11462</v>
      </c>
      <c r="E3453" s="18" t="s">
        <v>28</v>
      </c>
      <c r="F3453" s="19">
        <v>255</v>
      </c>
      <c r="G3453" s="19">
        <v>255</v>
      </c>
      <c r="H3453" s="19">
        <v>255</v>
      </c>
      <c r="I3453" s="18" t="s">
        <v>28</v>
      </c>
      <c r="J3453" s="18" t="s">
        <v>28</v>
      </c>
      <c r="K3453" s="18" t="s">
        <v>28</v>
      </c>
      <c r="L3453" s="18" t="s">
        <v>28</v>
      </c>
      <c r="M3453" s="18" t="s">
        <v>28</v>
      </c>
      <c r="N3453" s="17">
        <v>44624</v>
      </c>
      <c r="O3453" s="15" t="s">
        <v>30</v>
      </c>
      <c r="P3453" s="16" t="s">
        <v>11463</v>
      </c>
      <c r="Q3453" s="15" t="s">
        <v>449</v>
      </c>
      <c r="R3453" s="13" t="str">
        <f>HYPERLINK("https://my.pitchbook.com?c=210158-47T","View Company Online")</f>
        <v>View Company Online</v>
      </c>
    </row>
    <row r="3454" spans="1:18" hidden="1" x14ac:dyDescent="0.3">
      <c r="A3454" s="9" t="s">
        <v>11464</v>
      </c>
      <c r="B3454" s="9" t="s">
        <v>3744</v>
      </c>
      <c r="C3454" s="11" t="s">
        <v>28</v>
      </c>
      <c r="D3454" s="9" t="s">
        <v>3745</v>
      </c>
      <c r="E3454" s="11" t="s">
        <v>28</v>
      </c>
      <c r="F3454" s="10" t="s">
        <v>28</v>
      </c>
      <c r="G3454" s="10">
        <v>10</v>
      </c>
      <c r="H3454" s="10" t="s">
        <v>28</v>
      </c>
      <c r="I3454" s="11" t="s">
        <v>28</v>
      </c>
      <c r="J3454" s="11" t="s">
        <v>28</v>
      </c>
      <c r="K3454" s="11">
        <v>33.68</v>
      </c>
      <c r="L3454" s="11" t="s">
        <v>28</v>
      </c>
      <c r="M3454" s="11" t="s">
        <v>28</v>
      </c>
      <c r="N3454" s="8">
        <v>44624</v>
      </c>
      <c r="O3454" s="9" t="s">
        <v>79</v>
      </c>
      <c r="P3454" s="12" t="s">
        <v>11465</v>
      </c>
      <c r="Q3454" s="9" t="s">
        <v>85</v>
      </c>
      <c r="R3454" s="14" t="str">
        <f>HYPERLINK("https://my.pitchbook.com?c=203704-21T","View Company Online")</f>
        <v>View Company Online</v>
      </c>
    </row>
    <row r="3455" spans="1:18" hidden="1" x14ac:dyDescent="0.3">
      <c r="A3455" s="15" t="s">
        <v>11466</v>
      </c>
      <c r="B3455" s="15" t="s">
        <v>3386</v>
      </c>
      <c r="C3455" s="18" t="s">
        <v>28</v>
      </c>
      <c r="D3455" s="15" t="s">
        <v>3387</v>
      </c>
      <c r="E3455" s="18" t="s">
        <v>28</v>
      </c>
      <c r="F3455" s="19" t="s">
        <v>28</v>
      </c>
      <c r="G3455" s="19">
        <v>6.03</v>
      </c>
      <c r="H3455" s="19" t="s">
        <v>28</v>
      </c>
      <c r="I3455" s="18" t="s">
        <v>28</v>
      </c>
      <c r="J3455" s="18" t="s">
        <v>28</v>
      </c>
      <c r="K3455" s="18" t="s">
        <v>28</v>
      </c>
      <c r="L3455" s="18" t="s">
        <v>28</v>
      </c>
      <c r="M3455" s="18" t="s">
        <v>28</v>
      </c>
      <c r="N3455" s="17">
        <v>44623</v>
      </c>
      <c r="O3455" s="15" t="s">
        <v>99</v>
      </c>
      <c r="P3455" s="16" t="s">
        <v>11467</v>
      </c>
      <c r="Q3455" s="15" t="s">
        <v>37</v>
      </c>
      <c r="R3455" s="13" t="str">
        <f>HYPERLINK("https://my.pitchbook.com?c=191356-12T","View Company Online")</f>
        <v>View Company Online</v>
      </c>
    </row>
    <row r="3456" spans="1:18" hidden="1" x14ac:dyDescent="0.3">
      <c r="A3456" s="9" t="s">
        <v>11468</v>
      </c>
      <c r="B3456" s="9" t="s">
        <v>11469</v>
      </c>
      <c r="C3456" s="11" t="s">
        <v>28</v>
      </c>
      <c r="D3456" s="9" t="s">
        <v>11470</v>
      </c>
      <c r="E3456" s="11" t="s">
        <v>28</v>
      </c>
      <c r="F3456" s="10" t="s">
        <v>28</v>
      </c>
      <c r="G3456" s="10">
        <v>5.2</v>
      </c>
      <c r="H3456" s="10">
        <v>22.52</v>
      </c>
      <c r="I3456" s="11" t="s">
        <v>28</v>
      </c>
      <c r="J3456" s="11" t="s">
        <v>28</v>
      </c>
      <c r="K3456" s="11" t="s">
        <v>28</v>
      </c>
      <c r="L3456" s="11" t="s">
        <v>28</v>
      </c>
      <c r="M3456" s="11" t="s">
        <v>28</v>
      </c>
      <c r="N3456" s="8">
        <v>44623</v>
      </c>
      <c r="O3456" s="9" t="s">
        <v>58</v>
      </c>
      <c r="P3456" s="12" t="s">
        <v>11471</v>
      </c>
      <c r="Q3456" s="9" t="s">
        <v>740</v>
      </c>
      <c r="R3456" s="14" t="str">
        <f>HYPERLINK("https://my.pitchbook.com?c=275076-64T","View Company Online")</f>
        <v>View Company Online</v>
      </c>
    </row>
    <row r="3457" spans="1:18" hidden="1" x14ac:dyDescent="0.3">
      <c r="A3457" s="15" t="s">
        <v>11472</v>
      </c>
      <c r="B3457" s="15" t="s">
        <v>11473</v>
      </c>
      <c r="C3457" s="18" t="s">
        <v>28</v>
      </c>
      <c r="D3457" s="15" t="s">
        <v>11474</v>
      </c>
      <c r="E3457" s="18" t="s">
        <v>28</v>
      </c>
      <c r="F3457" s="19">
        <v>1.1499999999999999</v>
      </c>
      <c r="G3457" s="19">
        <v>1.1499999999999999</v>
      </c>
      <c r="H3457" s="19">
        <v>1.1499999999999999</v>
      </c>
      <c r="I3457" s="18" t="s">
        <v>28</v>
      </c>
      <c r="J3457" s="18" t="s">
        <v>28</v>
      </c>
      <c r="K3457" s="18" t="s">
        <v>28</v>
      </c>
      <c r="L3457" s="18" t="s">
        <v>28</v>
      </c>
      <c r="M3457" s="18" t="s">
        <v>28</v>
      </c>
      <c r="N3457" s="17">
        <v>44623</v>
      </c>
      <c r="O3457" s="15" t="s">
        <v>30</v>
      </c>
      <c r="P3457" s="16" t="s">
        <v>11475</v>
      </c>
      <c r="Q3457" s="15" t="s">
        <v>3912</v>
      </c>
      <c r="R3457" s="13" t="str">
        <f>HYPERLINK("https://my.pitchbook.com?c=202281-94T","View Company Online")</f>
        <v>View Company Online</v>
      </c>
    </row>
    <row r="3458" spans="1:18" hidden="1" x14ac:dyDescent="0.3">
      <c r="A3458" s="9" t="s">
        <v>11476</v>
      </c>
      <c r="B3458" s="9" t="s">
        <v>11477</v>
      </c>
      <c r="C3458" s="11" t="s">
        <v>28</v>
      </c>
      <c r="D3458" s="9" t="s">
        <v>11478</v>
      </c>
      <c r="E3458" s="11" t="s">
        <v>28</v>
      </c>
      <c r="F3458" s="10" t="s">
        <v>28</v>
      </c>
      <c r="G3458" s="10" t="s">
        <v>28</v>
      </c>
      <c r="H3458" s="10" t="s">
        <v>28</v>
      </c>
      <c r="I3458" s="11" t="s">
        <v>28</v>
      </c>
      <c r="J3458" s="11" t="s">
        <v>28</v>
      </c>
      <c r="K3458" s="11">
        <v>0.84</v>
      </c>
      <c r="L3458" s="11" t="s">
        <v>28</v>
      </c>
      <c r="M3458" s="11" t="s">
        <v>28</v>
      </c>
      <c r="N3458" s="8">
        <v>44623</v>
      </c>
      <c r="O3458" s="9" t="s">
        <v>30</v>
      </c>
      <c r="P3458" s="12" t="s">
        <v>11479</v>
      </c>
      <c r="Q3458" s="9" t="s">
        <v>855</v>
      </c>
      <c r="R3458" s="14" t="str">
        <f>HYPERLINK("https://my.pitchbook.com?c=199748-35T","View Company Online")</f>
        <v>View Company Online</v>
      </c>
    </row>
    <row r="3459" spans="1:18" hidden="1" x14ac:dyDescent="0.3">
      <c r="A3459" s="15" t="s">
        <v>11480</v>
      </c>
      <c r="B3459" s="15" t="s">
        <v>11481</v>
      </c>
      <c r="C3459" s="18" t="s">
        <v>28</v>
      </c>
      <c r="D3459" s="15" t="s">
        <v>11482</v>
      </c>
      <c r="E3459" s="18" t="s">
        <v>28</v>
      </c>
      <c r="F3459" s="19" t="s">
        <v>28</v>
      </c>
      <c r="G3459" s="19">
        <v>9.61</v>
      </c>
      <c r="H3459" s="19">
        <v>86.5</v>
      </c>
      <c r="I3459" s="18">
        <v>1.85</v>
      </c>
      <c r="J3459" s="18">
        <v>46.67</v>
      </c>
      <c r="K3459" s="18" t="s">
        <v>28</v>
      </c>
      <c r="L3459" s="18" t="s">
        <v>28</v>
      </c>
      <c r="M3459" s="18" t="s">
        <v>28</v>
      </c>
      <c r="N3459" s="17">
        <v>44622</v>
      </c>
      <c r="O3459" s="15" t="s">
        <v>73</v>
      </c>
      <c r="P3459" s="16" t="s">
        <v>11483</v>
      </c>
      <c r="Q3459" s="15" t="s">
        <v>75</v>
      </c>
      <c r="R3459" s="13" t="str">
        <f>HYPERLINK("https://my.pitchbook.com?c=187786-18T","View Company Online")</f>
        <v>View Company Online</v>
      </c>
    </row>
    <row r="3460" spans="1:18" hidden="1" x14ac:dyDescent="0.3">
      <c r="A3460" s="9" t="s">
        <v>11484</v>
      </c>
      <c r="B3460" s="9" t="s">
        <v>1176</v>
      </c>
      <c r="C3460" s="11" t="s">
        <v>28</v>
      </c>
      <c r="D3460" s="9" t="s">
        <v>1177</v>
      </c>
      <c r="E3460" s="11" t="s">
        <v>28</v>
      </c>
      <c r="F3460" s="10" t="s">
        <v>28</v>
      </c>
      <c r="G3460" s="10">
        <v>0.21</v>
      </c>
      <c r="H3460" s="10" t="s">
        <v>28</v>
      </c>
      <c r="I3460" s="11" t="s">
        <v>28</v>
      </c>
      <c r="J3460" s="11" t="s">
        <v>28</v>
      </c>
      <c r="K3460" s="11" t="s">
        <v>28</v>
      </c>
      <c r="L3460" s="11" t="s">
        <v>28</v>
      </c>
      <c r="M3460" s="11" t="s">
        <v>28</v>
      </c>
      <c r="N3460" s="8">
        <v>44622</v>
      </c>
      <c r="O3460" s="9" t="s">
        <v>379</v>
      </c>
      <c r="P3460" s="12" t="s">
        <v>11485</v>
      </c>
      <c r="Q3460" s="9" t="s">
        <v>1179</v>
      </c>
      <c r="R3460" s="14" t="str">
        <f>HYPERLINK("https://my.pitchbook.com?c=189876-70T","View Company Online")</f>
        <v>View Company Online</v>
      </c>
    </row>
    <row r="3461" spans="1:18" hidden="1" x14ac:dyDescent="0.3">
      <c r="A3461" s="15" t="s">
        <v>11486</v>
      </c>
      <c r="B3461" s="15" t="s">
        <v>11487</v>
      </c>
      <c r="C3461" s="18" t="s">
        <v>28</v>
      </c>
      <c r="D3461" s="15" t="s">
        <v>11488</v>
      </c>
      <c r="E3461" s="18" t="s">
        <v>28</v>
      </c>
      <c r="F3461" s="19" t="s">
        <v>28</v>
      </c>
      <c r="G3461" s="19" t="s">
        <v>28</v>
      </c>
      <c r="H3461" s="19" t="s">
        <v>28</v>
      </c>
      <c r="I3461" s="18" t="s">
        <v>28</v>
      </c>
      <c r="J3461" s="18" t="s">
        <v>28</v>
      </c>
      <c r="K3461" s="18" t="s">
        <v>28</v>
      </c>
      <c r="L3461" s="18" t="s">
        <v>28</v>
      </c>
      <c r="M3461" s="18" t="s">
        <v>28</v>
      </c>
      <c r="N3461" s="17">
        <v>44622</v>
      </c>
      <c r="O3461" s="15" t="s">
        <v>30</v>
      </c>
      <c r="P3461" s="16" t="s">
        <v>11489</v>
      </c>
      <c r="Q3461" s="15" t="s">
        <v>419</v>
      </c>
      <c r="R3461" s="13" t="str">
        <f>HYPERLINK("https://my.pitchbook.com?c=190386-82T","View Company Online")</f>
        <v>View Company Online</v>
      </c>
    </row>
    <row r="3462" spans="1:18" hidden="1" x14ac:dyDescent="0.3">
      <c r="A3462" s="9" t="s">
        <v>11490</v>
      </c>
      <c r="B3462" s="9" t="s">
        <v>11491</v>
      </c>
      <c r="C3462" s="11" t="s">
        <v>28</v>
      </c>
      <c r="D3462" s="9" t="s">
        <v>11492</v>
      </c>
      <c r="E3462" s="11" t="s">
        <v>28</v>
      </c>
      <c r="F3462" s="10" t="s">
        <v>28</v>
      </c>
      <c r="G3462" s="10" t="s">
        <v>28</v>
      </c>
      <c r="H3462" s="10" t="s">
        <v>28</v>
      </c>
      <c r="I3462" s="11" t="s">
        <v>28</v>
      </c>
      <c r="J3462" s="11" t="s">
        <v>28</v>
      </c>
      <c r="K3462" s="11" t="s">
        <v>28</v>
      </c>
      <c r="L3462" s="11" t="s">
        <v>28</v>
      </c>
      <c r="M3462" s="11" t="s">
        <v>28</v>
      </c>
      <c r="N3462" s="8">
        <v>44622</v>
      </c>
      <c r="O3462" s="9" t="s">
        <v>30</v>
      </c>
      <c r="P3462" s="12" t="s">
        <v>11493</v>
      </c>
      <c r="Q3462" s="9" t="s">
        <v>75</v>
      </c>
      <c r="R3462" s="14" t="str">
        <f>HYPERLINK("https://my.pitchbook.com?c=210828-25T","View Company Online")</f>
        <v>View Company Online</v>
      </c>
    </row>
    <row r="3463" spans="1:18" hidden="1" x14ac:dyDescent="0.3">
      <c r="A3463" s="15" t="s">
        <v>11494</v>
      </c>
      <c r="B3463" s="15" t="s">
        <v>3137</v>
      </c>
      <c r="C3463" s="18" t="s">
        <v>28</v>
      </c>
      <c r="D3463" s="15" t="s">
        <v>3138</v>
      </c>
      <c r="E3463" s="18" t="s">
        <v>28</v>
      </c>
      <c r="F3463" s="19" t="s">
        <v>28</v>
      </c>
      <c r="G3463" s="19">
        <v>1.45</v>
      </c>
      <c r="H3463" s="19" t="s">
        <v>28</v>
      </c>
      <c r="I3463" s="18" t="s">
        <v>28</v>
      </c>
      <c r="J3463" s="18" t="s">
        <v>28</v>
      </c>
      <c r="K3463" s="18" t="s">
        <v>28</v>
      </c>
      <c r="L3463" s="18" t="s">
        <v>28</v>
      </c>
      <c r="M3463" s="18" t="s">
        <v>28</v>
      </c>
      <c r="N3463" s="17">
        <v>44621</v>
      </c>
      <c r="O3463" s="15" t="s">
        <v>79</v>
      </c>
      <c r="P3463" s="16" t="s">
        <v>11495</v>
      </c>
      <c r="Q3463" s="15" t="s">
        <v>75</v>
      </c>
      <c r="R3463" s="13" t="str">
        <f>HYPERLINK("https://my.pitchbook.com?c=218579-50T","View Company Online")</f>
        <v>View Company Online</v>
      </c>
    </row>
    <row r="3464" spans="1:18" hidden="1" x14ac:dyDescent="0.3">
      <c r="A3464" s="9" t="s">
        <v>11496</v>
      </c>
      <c r="B3464" s="9" t="s">
        <v>11497</v>
      </c>
      <c r="C3464" s="11" t="s">
        <v>28</v>
      </c>
      <c r="D3464" s="9" t="s">
        <v>11498</v>
      </c>
      <c r="E3464" s="11" t="s">
        <v>28</v>
      </c>
      <c r="F3464" s="10" t="s">
        <v>28</v>
      </c>
      <c r="G3464" s="10" t="s">
        <v>28</v>
      </c>
      <c r="H3464" s="10" t="s">
        <v>28</v>
      </c>
      <c r="I3464" s="11" t="s">
        <v>28</v>
      </c>
      <c r="J3464" s="11" t="s">
        <v>28</v>
      </c>
      <c r="K3464" s="11" t="s">
        <v>28</v>
      </c>
      <c r="L3464" s="11" t="s">
        <v>28</v>
      </c>
      <c r="M3464" s="11" t="s">
        <v>28</v>
      </c>
      <c r="N3464" s="8">
        <v>44621</v>
      </c>
      <c r="O3464" s="9" t="s">
        <v>30</v>
      </c>
      <c r="P3464" s="12" t="s">
        <v>11499</v>
      </c>
      <c r="Q3464" s="9" t="s">
        <v>245</v>
      </c>
      <c r="R3464" s="14" t="str">
        <f>HYPERLINK("https://my.pitchbook.com?c=187721-02T","View Company Online")</f>
        <v>View Company Online</v>
      </c>
    </row>
    <row r="3465" spans="1:18" hidden="1" x14ac:dyDescent="0.3">
      <c r="A3465" s="15" t="s">
        <v>11500</v>
      </c>
      <c r="B3465" s="15" t="s">
        <v>4788</v>
      </c>
      <c r="C3465" s="18" t="s">
        <v>28</v>
      </c>
      <c r="D3465" s="15" t="s">
        <v>4789</v>
      </c>
      <c r="E3465" s="18" t="s">
        <v>28</v>
      </c>
      <c r="F3465" s="19" t="s">
        <v>28</v>
      </c>
      <c r="G3465" s="19" t="s">
        <v>28</v>
      </c>
      <c r="H3465" s="19" t="s">
        <v>28</v>
      </c>
      <c r="I3465" s="18" t="s">
        <v>28</v>
      </c>
      <c r="J3465" s="18" t="s">
        <v>28</v>
      </c>
      <c r="K3465" s="18" t="s">
        <v>28</v>
      </c>
      <c r="L3465" s="18" t="s">
        <v>28</v>
      </c>
      <c r="M3465" s="18" t="s">
        <v>28</v>
      </c>
      <c r="N3465" s="17">
        <v>44621</v>
      </c>
      <c r="O3465" s="15" t="s">
        <v>73</v>
      </c>
      <c r="P3465" s="16" t="s">
        <v>611</v>
      </c>
      <c r="Q3465" s="15" t="s">
        <v>75</v>
      </c>
      <c r="R3465" s="13" t="str">
        <f>HYPERLINK("https://my.pitchbook.com?c=199281-52T","View Company Online")</f>
        <v>View Company Online</v>
      </c>
    </row>
    <row r="3466" spans="1:18" hidden="1" x14ac:dyDescent="0.3">
      <c r="A3466" s="9" t="s">
        <v>11501</v>
      </c>
      <c r="B3466" s="9" t="s">
        <v>11502</v>
      </c>
      <c r="C3466" s="11" t="s">
        <v>28</v>
      </c>
      <c r="D3466" s="9" t="s">
        <v>11503</v>
      </c>
      <c r="E3466" s="11" t="s">
        <v>28</v>
      </c>
      <c r="F3466" s="10" t="s">
        <v>28</v>
      </c>
      <c r="G3466" s="10" t="s">
        <v>28</v>
      </c>
      <c r="H3466" s="10" t="s">
        <v>28</v>
      </c>
      <c r="I3466" s="11" t="s">
        <v>28</v>
      </c>
      <c r="J3466" s="11" t="s">
        <v>28</v>
      </c>
      <c r="K3466" s="11" t="s">
        <v>28</v>
      </c>
      <c r="L3466" s="11" t="s">
        <v>28</v>
      </c>
      <c r="M3466" s="11" t="s">
        <v>28</v>
      </c>
      <c r="N3466" s="8">
        <v>44621</v>
      </c>
      <c r="O3466" s="9" t="s">
        <v>30</v>
      </c>
      <c r="P3466" s="12" t="s">
        <v>28</v>
      </c>
      <c r="Q3466" s="9" t="s">
        <v>43</v>
      </c>
      <c r="R3466" s="14" t="str">
        <f>HYPERLINK("https://my.pitchbook.com?c=208195-93T","View Company Online")</f>
        <v>View Company Online</v>
      </c>
    </row>
    <row r="3467" spans="1:18" hidden="1" x14ac:dyDescent="0.3">
      <c r="A3467" s="15" t="s">
        <v>11504</v>
      </c>
      <c r="B3467" s="15" t="s">
        <v>11505</v>
      </c>
      <c r="C3467" s="18" t="s">
        <v>28</v>
      </c>
      <c r="D3467" s="15" t="s">
        <v>11506</v>
      </c>
      <c r="E3467" s="18" t="s">
        <v>28</v>
      </c>
      <c r="F3467" s="19" t="s">
        <v>28</v>
      </c>
      <c r="G3467" s="19" t="s">
        <v>28</v>
      </c>
      <c r="H3467" s="19" t="s">
        <v>28</v>
      </c>
      <c r="I3467" s="18" t="s">
        <v>28</v>
      </c>
      <c r="J3467" s="18" t="s">
        <v>28</v>
      </c>
      <c r="K3467" s="18" t="s">
        <v>28</v>
      </c>
      <c r="L3467" s="18" t="s">
        <v>28</v>
      </c>
      <c r="M3467" s="18" t="s">
        <v>28</v>
      </c>
      <c r="N3467" s="17">
        <v>44621</v>
      </c>
      <c r="O3467" s="15" t="s">
        <v>52</v>
      </c>
      <c r="P3467" s="16" t="s">
        <v>11507</v>
      </c>
      <c r="Q3467" s="15" t="s">
        <v>245</v>
      </c>
      <c r="R3467" s="13" t="str">
        <f>HYPERLINK("https://my.pitchbook.com?c=190123-12T","View Company Online")</f>
        <v>View Company Online</v>
      </c>
    </row>
    <row r="3468" spans="1:18" hidden="1" x14ac:dyDescent="0.3">
      <c r="A3468" s="9" t="s">
        <v>11508</v>
      </c>
      <c r="B3468" s="9" t="s">
        <v>9021</v>
      </c>
      <c r="C3468" s="11" t="s">
        <v>28</v>
      </c>
      <c r="D3468" s="9" t="s">
        <v>9022</v>
      </c>
      <c r="E3468" s="11" t="s">
        <v>28</v>
      </c>
      <c r="F3468" s="10" t="s">
        <v>28</v>
      </c>
      <c r="G3468" s="10" t="s">
        <v>28</v>
      </c>
      <c r="H3468" s="10" t="s">
        <v>28</v>
      </c>
      <c r="I3468" s="11" t="s">
        <v>28</v>
      </c>
      <c r="J3468" s="11" t="s">
        <v>28</v>
      </c>
      <c r="K3468" s="11">
        <v>1.35</v>
      </c>
      <c r="L3468" s="11" t="s">
        <v>28</v>
      </c>
      <c r="M3468" s="11" t="s">
        <v>28</v>
      </c>
      <c r="N3468" s="8">
        <v>44621</v>
      </c>
      <c r="O3468" s="9" t="s">
        <v>79</v>
      </c>
      <c r="P3468" s="12" t="s">
        <v>5679</v>
      </c>
      <c r="Q3468" s="9" t="s">
        <v>362</v>
      </c>
      <c r="R3468" s="14" t="str">
        <f>HYPERLINK("https://my.pitchbook.com?c=189851-59T","View Company Online")</f>
        <v>View Company Online</v>
      </c>
    </row>
    <row r="3469" spans="1:18" hidden="1" x14ac:dyDescent="0.3">
      <c r="A3469" s="15" t="s">
        <v>11509</v>
      </c>
      <c r="B3469" s="15" t="s">
        <v>11510</v>
      </c>
      <c r="C3469" s="18" t="s">
        <v>28</v>
      </c>
      <c r="D3469" s="15" t="s">
        <v>11511</v>
      </c>
      <c r="E3469" s="18" t="s">
        <v>28</v>
      </c>
      <c r="F3469" s="19" t="s">
        <v>28</v>
      </c>
      <c r="G3469" s="19">
        <v>95.98</v>
      </c>
      <c r="H3469" s="19" t="s">
        <v>28</v>
      </c>
      <c r="I3469" s="18" t="s">
        <v>28</v>
      </c>
      <c r="J3469" s="18" t="s">
        <v>28</v>
      </c>
      <c r="K3469" s="18" t="s">
        <v>28</v>
      </c>
      <c r="L3469" s="18" t="s">
        <v>28</v>
      </c>
      <c r="M3469" s="18" t="s">
        <v>28</v>
      </c>
      <c r="N3469" s="17">
        <v>44621</v>
      </c>
      <c r="O3469" s="15" t="s">
        <v>93</v>
      </c>
      <c r="P3469" s="16" t="s">
        <v>11512</v>
      </c>
      <c r="Q3469" s="15" t="s">
        <v>75</v>
      </c>
      <c r="R3469" s="13" t="str">
        <f>HYPERLINK("https://my.pitchbook.com?c=187493-95T","View Company Online")</f>
        <v>View Company Online</v>
      </c>
    </row>
    <row r="3470" spans="1:18" hidden="1" x14ac:dyDescent="0.3">
      <c r="A3470" s="9" t="s">
        <v>11513</v>
      </c>
      <c r="B3470" s="9" t="s">
        <v>11514</v>
      </c>
      <c r="C3470" s="11" t="s">
        <v>28</v>
      </c>
      <c r="D3470" s="9" t="s">
        <v>11515</v>
      </c>
      <c r="E3470" s="11" t="s">
        <v>28</v>
      </c>
      <c r="F3470" s="10" t="s">
        <v>28</v>
      </c>
      <c r="G3470" s="10">
        <v>1.1499999999999999</v>
      </c>
      <c r="H3470" s="10" t="s">
        <v>28</v>
      </c>
      <c r="I3470" s="11" t="s">
        <v>28</v>
      </c>
      <c r="J3470" s="11" t="s">
        <v>28</v>
      </c>
      <c r="K3470" s="11" t="s">
        <v>28</v>
      </c>
      <c r="L3470" s="11" t="s">
        <v>28</v>
      </c>
      <c r="M3470" s="11" t="s">
        <v>28</v>
      </c>
      <c r="N3470" s="8">
        <v>44621</v>
      </c>
      <c r="O3470" s="9" t="s">
        <v>99</v>
      </c>
      <c r="P3470" s="12" t="s">
        <v>28</v>
      </c>
      <c r="Q3470" s="9" t="s">
        <v>37</v>
      </c>
      <c r="R3470" s="14" t="str">
        <f>HYPERLINK("https://my.pitchbook.com?c=182653-66T","View Company Online")</f>
        <v>View Company Online</v>
      </c>
    </row>
    <row r="3471" spans="1:18" hidden="1" x14ac:dyDescent="0.3">
      <c r="A3471" s="15" t="s">
        <v>11516</v>
      </c>
      <c r="B3471" s="15" t="s">
        <v>5334</v>
      </c>
      <c r="C3471" s="18" t="s">
        <v>28</v>
      </c>
      <c r="D3471" s="15" t="s">
        <v>5335</v>
      </c>
      <c r="E3471" s="18" t="s">
        <v>28</v>
      </c>
      <c r="F3471" s="19" t="s">
        <v>28</v>
      </c>
      <c r="G3471" s="19">
        <v>0.15</v>
      </c>
      <c r="H3471" s="19">
        <v>8.15</v>
      </c>
      <c r="I3471" s="18" t="s">
        <v>28</v>
      </c>
      <c r="J3471" s="18" t="s">
        <v>28</v>
      </c>
      <c r="K3471" s="18" t="s">
        <v>28</v>
      </c>
      <c r="L3471" s="18" t="s">
        <v>28</v>
      </c>
      <c r="M3471" s="18" t="s">
        <v>28</v>
      </c>
      <c r="N3471" s="17">
        <v>44621</v>
      </c>
      <c r="O3471" s="15" t="s">
        <v>52</v>
      </c>
      <c r="P3471" s="16" t="s">
        <v>11517</v>
      </c>
      <c r="Q3471" s="15" t="s">
        <v>1007</v>
      </c>
      <c r="R3471" s="13" t="str">
        <f>HYPERLINK("https://my.pitchbook.com?c=205115-05T","View Company Online")</f>
        <v>View Company Online</v>
      </c>
    </row>
    <row r="3472" spans="1:18" hidden="1" x14ac:dyDescent="0.3">
      <c r="A3472" s="9" t="s">
        <v>11518</v>
      </c>
      <c r="B3472" s="9" t="s">
        <v>2854</v>
      </c>
      <c r="C3472" s="11" t="s">
        <v>28</v>
      </c>
      <c r="D3472" s="9" t="s">
        <v>2855</v>
      </c>
      <c r="E3472" s="11" t="s">
        <v>28</v>
      </c>
      <c r="F3472" s="10" t="s">
        <v>28</v>
      </c>
      <c r="G3472" s="10" t="s">
        <v>28</v>
      </c>
      <c r="H3472" s="10" t="s">
        <v>28</v>
      </c>
      <c r="I3472" s="11" t="s">
        <v>28</v>
      </c>
      <c r="J3472" s="11" t="s">
        <v>28</v>
      </c>
      <c r="K3472" s="11" t="s">
        <v>28</v>
      </c>
      <c r="L3472" s="11" t="s">
        <v>28</v>
      </c>
      <c r="M3472" s="11" t="s">
        <v>28</v>
      </c>
      <c r="N3472" s="8">
        <v>44621</v>
      </c>
      <c r="O3472" s="9" t="s">
        <v>79</v>
      </c>
      <c r="P3472" s="12" t="s">
        <v>11519</v>
      </c>
      <c r="Q3472" s="9" t="s">
        <v>85</v>
      </c>
      <c r="R3472" s="14" t="str">
        <f>HYPERLINK("https://my.pitchbook.com?c=202442-14T","View Company Online")</f>
        <v>View Company Online</v>
      </c>
    </row>
    <row r="3473" spans="1:18" hidden="1" x14ac:dyDescent="0.3">
      <c r="A3473" s="15" t="s">
        <v>11520</v>
      </c>
      <c r="B3473" s="15" t="s">
        <v>11521</v>
      </c>
      <c r="C3473" s="18" t="s">
        <v>28</v>
      </c>
      <c r="D3473" s="15" t="s">
        <v>11522</v>
      </c>
      <c r="E3473" s="18" t="s">
        <v>28</v>
      </c>
      <c r="F3473" s="19" t="s">
        <v>28</v>
      </c>
      <c r="G3473" s="19" t="s">
        <v>28</v>
      </c>
      <c r="H3473" s="19" t="s">
        <v>28</v>
      </c>
      <c r="I3473" s="18" t="s">
        <v>28</v>
      </c>
      <c r="J3473" s="18" t="s">
        <v>28</v>
      </c>
      <c r="K3473" s="18" t="s">
        <v>28</v>
      </c>
      <c r="L3473" s="18" t="s">
        <v>28</v>
      </c>
      <c r="M3473" s="18" t="s">
        <v>28</v>
      </c>
      <c r="N3473" s="17">
        <v>44621</v>
      </c>
      <c r="O3473" s="15" t="s">
        <v>41</v>
      </c>
      <c r="P3473" s="16" t="s">
        <v>11523</v>
      </c>
      <c r="Q3473" s="15" t="s">
        <v>75</v>
      </c>
      <c r="R3473" s="13" t="str">
        <f>HYPERLINK("https://my.pitchbook.com?c=188339-41T","View Company Online")</f>
        <v>View Company Online</v>
      </c>
    </row>
    <row r="3474" spans="1:18" hidden="1" x14ac:dyDescent="0.3">
      <c r="A3474" s="9" t="s">
        <v>11524</v>
      </c>
      <c r="B3474" s="9" t="s">
        <v>11525</v>
      </c>
      <c r="C3474" s="11" t="s">
        <v>28</v>
      </c>
      <c r="D3474" s="9" t="s">
        <v>11526</v>
      </c>
      <c r="E3474" s="11" t="s">
        <v>28</v>
      </c>
      <c r="F3474" s="10" t="s">
        <v>28</v>
      </c>
      <c r="G3474" s="10">
        <v>0.3</v>
      </c>
      <c r="H3474" s="10">
        <v>2</v>
      </c>
      <c r="I3474" s="11" t="s">
        <v>28</v>
      </c>
      <c r="J3474" s="11" t="s">
        <v>28</v>
      </c>
      <c r="K3474" s="11" t="s">
        <v>28</v>
      </c>
      <c r="L3474" s="11" t="s">
        <v>28</v>
      </c>
      <c r="M3474" s="11" t="s">
        <v>28</v>
      </c>
      <c r="N3474" s="8">
        <v>44621</v>
      </c>
      <c r="O3474" s="9" t="s">
        <v>73</v>
      </c>
      <c r="P3474" s="12" t="s">
        <v>11527</v>
      </c>
      <c r="Q3474" s="9" t="s">
        <v>119</v>
      </c>
      <c r="R3474" s="14" t="str">
        <f>HYPERLINK("https://my.pitchbook.com?c=190614-16T","View Company Online")</f>
        <v>View Company Online</v>
      </c>
    </row>
    <row r="3475" spans="1:18" hidden="1" x14ac:dyDescent="0.3">
      <c r="A3475" s="15" t="s">
        <v>11528</v>
      </c>
      <c r="B3475" s="15" t="s">
        <v>11529</v>
      </c>
      <c r="C3475" s="18" t="s">
        <v>28</v>
      </c>
      <c r="D3475" s="15" t="s">
        <v>11530</v>
      </c>
      <c r="E3475" s="18" t="s">
        <v>28</v>
      </c>
      <c r="F3475" s="19" t="s">
        <v>28</v>
      </c>
      <c r="G3475" s="19" t="s">
        <v>28</v>
      </c>
      <c r="H3475" s="19" t="s">
        <v>28</v>
      </c>
      <c r="I3475" s="18" t="s">
        <v>28</v>
      </c>
      <c r="J3475" s="18" t="s">
        <v>28</v>
      </c>
      <c r="K3475" s="18" t="s">
        <v>28</v>
      </c>
      <c r="L3475" s="18" t="s">
        <v>28</v>
      </c>
      <c r="M3475" s="18" t="s">
        <v>28</v>
      </c>
      <c r="N3475" s="17">
        <v>44621</v>
      </c>
      <c r="O3475" s="15" t="s">
        <v>73</v>
      </c>
      <c r="P3475" s="16" t="s">
        <v>11531</v>
      </c>
      <c r="Q3475" s="15" t="s">
        <v>95</v>
      </c>
      <c r="R3475" s="13" t="str">
        <f>HYPERLINK("https://my.pitchbook.com?c=190300-24T","View Company Online")</f>
        <v>View Company Online</v>
      </c>
    </row>
    <row r="3476" spans="1:18" hidden="1" x14ac:dyDescent="0.3">
      <c r="A3476" s="9" t="s">
        <v>11532</v>
      </c>
      <c r="B3476" s="9" t="s">
        <v>11533</v>
      </c>
      <c r="C3476" s="11" t="s">
        <v>28</v>
      </c>
      <c r="D3476" s="9" t="s">
        <v>11534</v>
      </c>
      <c r="E3476" s="11" t="s">
        <v>28</v>
      </c>
      <c r="F3476" s="10" t="s">
        <v>28</v>
      </c>
      <c r="G3476" s="10" t="s">
        <v>28</v>
      </c>
      <c r="H3476" s="10" t="s">
        <v>28</v>
      </c>
      <c r="I3476" s="11" t="s">
        <v>28</v>
      </c>
      <c r="J3476" s="11" t="s">
        <v>28</v>
      </c>
      <c r="K3476" s="11" t="s">
        <v>28</v>
      </c>
      <c r="L3476" s="11" t="s">
        <v>28</v>
      </c>
      <c r="M3476" s="11" t="s">
        <v>28</v>
      </c>
      <c r="N3476" s="8">
        <v>44621</v>
      </c>
      <c r="O3476" s="9" t="s">
        <v>79</v>
      </c>
      <c r="P3476" s="12" t="s">
        <v>11535</v>
      </c>
      <c r="Q3476" s="9" t="s">
        <v>119</v>
      </c>
      <c r="R3476" s="14" t="str">
        <f>HYPERLINK("https://my.pitchbook.com?c=190607-95T","View Company Online")</f>
        <v>View Company Online</v>
      </c>
    </row>
    <row r="3477" spans="1:18" hidden="1" x14ac:dyDescent="0.3">
      <c r="A3477" s="15" t="s">
        <v>11536</v>
      </c>
      <c r="B3477" s="15" t="s">
        <v>10273</v>
      </c>
      <c r="C3477" s="18" t="s">
        <v>28</v>
      </c>
      <c r="D3477" s="15" t="s">
        <v>10274</v>
      </c>
      <c r="E3477" s="18" t="s">
        <v>28</v>
      </c>
      <c r="F3477" s="19" t="s">
        <v>28</v>
      </c>
      <c r="G3477" s="19">
        <v>0.5</v>
      </c>
      <c r="H3477" s="19">
        <v>7.14</v>
      </c>
      <c r="I3477" s="18" t="s">
        <v>28</v>
      </c>
      <c r="J3477" s="18" t="s">
        <v>28</v>
      </c>
      <c r="K3477" s="18" t="s">
        <v>28</v>
      </c>
      <c r="L3477" s="18" t="s">
        <v>28</v>
      </c>
      <c r="M3477" s="18" t="s">
        <v>28</v>
      </c>
      <c r="N3477" s="17">
        <v>44621</v>
      </c>
      <c r="O3477" s="15" t="s">
        <v>52</v>
      </c>
      <c r="P3477" s="16" t="s">
        <v>3944</v>
      </c>
      <c r="Q3477" s="15" t="s">
        <v>75</v>
      </c>
      <c r="R3477" s="13" t="str">
        <f>HYPERLINK("https://my.pitchbook.com?c=189894-97T","View Company Online")</f>
        <v>View Company Online</v>
      </c>
    </row>
    <row r="3478" spans="1:18" hidden="1" x14ac:dyDescent="0.3">
      <c r="A3478" s="9" t="s">
        <v>11537</v>
      </c>
      <c r="B3478" s="9" t="s">
        <v>7549</v>
      </c>
      <c r="C3478" s="11" t="s">
        <v>28</v>
      </c>
      <c r="D3478" s="9" t="s">
        <v>11538</v>
      </c>
      <c r="E3478" s="11" t="s">
        <v>28</v>
      </c>
      <c r="F3478" s="10" t="s">
        <v>28</v>
      </c>
      <c r="G3478" s="10" t="s">
        <v>28</v>
      </c>
      <c r="H3478" s="10" t="s">
        <v>28</v>
      </c>
      <c r="I3478" s="11" t="s">
        <v>28</v>
      </c>
      <c r="J3478" s="11" t="s">
        <v>28</v>
      </c>
      <c r="K3478" s="11" t="s">
        <v>28</v>
      </c>
      <c r="L3478" s="11" t="s">
        <v>28</v>
      </c>
      <c r="M3478" s="11" t="s">
        <v>28</v>
      </c>
      <c r="N3478" s="8">
        <v>44621</v>
      </c>
      <c r="O3478" s="9" t="s">
        <v>52</v>
      </c>
      <c r="P3478" s="12" t="s">
        <v>11539</v>
      </c>
      <c r="Q3478" s="9" t="s">
        <v>566</v>
      </c>
      <c r="R3478" s="14" t="str">
        <f>HYPERLINK("https://my.pitchbook.com?c=279955-90T","View Company Online")</f>
        <v>View Company Online</v>
      </c>
    </row>
    <row r="3479" spans="1:18" hidden="1" x14ac:dyDescent="0.3">
      <c r="A3479" s="15" t="s">
        <v>11540</v>
      </c>
      <c r="B3479" s="15" t="s">
        <v>11541</v>
      </c>
      <c r="C3479" s="18" t="s">
        <v>28</v>
      </c>
      <c r="D3479" s="15" t="s">
        <v>11542</v>
      </c>
      <c r="E3479" s="18" t="s">
        <v>28</v>
      </c>
      <c r="F3479" s="19" t="s">
        <v>28</v>
      </c>
      <c r="G3479" s="19" t="s">
        <v>28</v>
      </c>
      <c r="H3479" s="19" t="s">
        <v>28</v>
      </c>
      <c r="I3479" s="18" t="s">
        <v>28</v>
      </c>
      <c r="J3479" s="18" t="s">
        <v>28</v>
      </c>
      <c r="K3479" s="18" t="s">
        <v>28</v>
      </c>
      <c r="L3479" s="18" t="s">
        <v>28</v>
      </c>
      <c r="M3479" s="18" t="s">
        <v>28</v>
      </c>
      <c r="N3479" s="17">
        <v>44621</v>
      </c>
      <c r="O3479" s="15" t="s">
        <v>73</v>
      </c>
      <c r="P3479" s="16" t="s">
        <v>11543</v>
      </c>
      <c r="Q3479" s="15" t="s">
        <v>75</v>
      </c>
      <c r="R3479" s="13" t="str">
        <f>HYPERLINK("https://my.pitchbook.com?c=215992-72T","View Company Online")</f>
        <v>View Company Online</v>
      </c>
    </row>
    <row r="3480" spans="1:18" hidden="1" x14ac:dyDescent="0.3">
      <c r="A3480" s="9" t="s">
        <v>11544</v>
      </c>
      <c r="B3480" s="9" t="s">
        <v>8072</v>
      </c>
      <c r="C3480" s="11" t="s">
        <v>28</v>
      </c>
      <c r="D3480" s="9" t="s">
        <v>8073</v>
      </c>
      <c r="E3480" s="11" t="s">
        <v>28</v>
      </c>
      <c r="F3480" s="10" t="s">
        <v>28</v>
      </c>
      <c r="G3480" s="10">
        <v>5</v>
      </c>
      <c r="H3480" s="10" t="s">
        <v>28</v>
      </c>
      <c r="I3480" s="11" t="s">
        <v>28</v>
      </c>
      <c r="J3480" s="11" t="s">
        <v>28</v>
      </c>
      <c r="K3480" s="11" t="s">
        <v>28</v>
      </c>
      <c r="L3480" s="11" t="s">
        <v>28</v>
      </c>
      <c r="M3480" s="11" t="s">
        <v>28</v>
      </c>
      <c r="N3480" s="8">
        <v>44621</v>
      </c>
      <c r="O3480" s="9" t="s">
        <v>99</v>
      </c>
      <c r="P3480" s="12" t="s">
        <v>11545</v>
      </c>
      <c r="Q3480" s="9" t="s">
        <v>37</v>
      </c>
      <c r="R3480" s="14" t="str">
        <f>HYPERLINK("https://my.pitchbook.com?c=214120-18T","View Company Online")</f>
        <v>View Company Online</v>
      </c>
    </row>
    <row r="3481" spans="1:18" hidden="1" x14ac:dyDescent="0.3">
      <c r="A3481" s="15" t="s">
        <v>11546</v>
      </c>
      <c r="B3481" s="15" t="s">
        <v>11547</v>
      </c>
      <c r="C3481" s="18" t="s">
        <v>28</v>
      </c>
      <c r="D3481" s="15" t="s">
        <v>11548</v>
      </c>
      <c r="E3481" s="18" t="s">
        <v>28</v>
      </c>
      <c r="F3481" s="19" t="s">
        <v>28</v>
      </c>
      <c r="G3481" s="19">
        <v>1.34</v>
      </c>
      <c r="H3481" s="19" t="s">
        <v>28</v>
      </c>
      <c r="I3481" s="18" t="s">
        <v>28</v>
      </c>
      <c r="J3481" s="18" t="s">
        <v>28</v>
      </c>
      <c r="K3481" s="18" t="s">
        <v>28</v>
      </c>
      <c r="L3481" s="18" t="s">
        <v>28</v>
      </c>
      <c r="M3481" s="18" t="s">
        <v>28</v>
      </c>
      <c r="N3481" s="17">
        <v>44621</v>
      </c>
      <c r="O3481" s="15" t="s">
        <v>99</v>
      </c>
      <c r="P3481" s="16" t="s">
        <v>28</v>
      </c>
      <c r="Q3481" s="15" t="s">
        <v>37</v>
      </c>
      <c r="R3481" s="13" t="str">
        <f>HYPERLINK("https://my.pitchbook.com?c=211521-88T","View Company Online")</f>
        <v>View Company Online</v>
      </c>
    </row>
    <row r="3482" spans="1:18" hidden="1" x14ac:dyDescent="0.3">
      <c r="A3482" s="9" t="s">
        <v>11549</v>
      </c>
      <c r="B3482" s="9" t="s">
        <v>10945</v>
      </c>
      <c r="C3482" s="11" t="s">
        <v>28</v>
      </c>
      <c r="D3482" s="9" t="s">
        <v>10946</v>
      </c>
      <c r="E3482" s="11" t="s">
        <v>28</v>
      </c>
      <c r="F3482" s="10" t="s">
        <v>28</v>
      </c>
      <c r="G3482" s="10" t="s">
        <v>28</v>
      </c>
      <c r="H3482" s="10" t="s">
        <v>28</v>
      </c>
      <c r="I3482" s="11" t="s">
        <v>28</v>
      </c>
      <c r="J3482" s="11" t="s">
        <v>28</v>
      </c>
      <c r="K3482" s="11" t="s">
        <v>28</v>
      </c>
      <c r="L3482" s="11" t="s">
        <v>28</v>
      </c>
      <c r="M3482" s="11" t="s">
        <v>28</v>
      </c>
      <c r="N3482" s="8">
        <v>44621</v>
      </c>
      <c r="O3482" s="9" t="s">
        <v>79</v>
      </c>
      <c r="P3482" s="12" t="s">
        <v>11550</v>
      </c>
      <c r="Q3482" s="9" t="s">
        <v>75</v>
      </c>
      <c r="R3482" s="14" t="str">
        <f>HYPERLINK("https://my.pitchbook.com?c=190916-83T","View Company Online")</f>
        <v>View Company Online</v>
      </c>
    </row>
    <row r="3483" spans="1:18" hidden="1" x14ac:dyDescent="0.3">
      <c r="A3483" s="15" t="s">
        <v>11551</v>
      </c>
      <c r="B3483" s="15" t="s">
        <v>9214</v>
      </c>
      <c r="C3483" s="18" t="s">
        <v>28</v>
      </c>
      <c r="D3483" s="15" t="s">
        <v>9215</v>
      </c>
      <c r="E3483" s="18" t="s">
        <v>28</v>
      </c>
      <c r="F3483" s="19" t="s">
        <v>28</v>
      </c>
      <c r="G3483" s="19">
        <v>0.05</v>
      </c>
      <c r="H3483" s="19" t="s">
        <v>28</v>
      </c>
      <c r="I3483" s="18" t="s">
        <v>28</v>
      </c>
      <c r="J3483" s="18" t="s">
        <v>28</v>
      </c>
      <c r="K3483" s="18" t="s">
        <v>28</v>
      </c>
      <c r="L3483" s="18" t="s">
        <v>28</v>
      </c>
      <c r="M3483" s="18" t="s">
        <v>28</v>
      </c>
      <c r="N3483" s="17">
        <v>44621</v>
      </c>
      <c r="O3483" s="15" t="s">
        <v>1639</v>
      </c>
      <c r="P3483" s="16" t="s">
        <v>28</v>
      </c>
      <c r="Q3483" s="15" t="s">
        <v>75</v>
      </c>
      <c r="R3483" s="13" t="str">
        <f>HYPERLINK("https://my.pitchbook.com?c=204654-16T","View Company Online")</f>
        <v>View Company Online</v>
      </c>
    </row>
    <row r="3484" spans="1:18" hidden="1" x14ac:dyDescent="0.3">
      <c r="A3484" s="9" t="s">
        <v>11552</v>
      </c>
      <c r="B3484" s="9" t="s">
        <v>11553</v>
      </c>
      <c r="C3484" s="11" t="s">
        <v>28</v>
      </c>
      <c r="D3484" s="9" t="s">
        <v>11554</v>
      </c>
      <c r="E3484" s="11" t="s">
        <v>28</v>
      </c>
      <c r="F3484" s="10" t="s">
        <v>28</v>
      </c>
      <c r="G3484" s="10" t="s">
        <v>28</v>
      </c>
      <c r="H3484" s="10" t="s">
        <v>28</v>
      </c>
      <c r="I3484" s="11" t="s">
        <v>28</v>
      </c>
      <c r="J3484" s="11" t="s">
        <v>28</v>
      </c>
      <c r="K3484" s="11" t="s">
        <v>28</v>
      </c>
      <c r="L3484" s="11" t="s">
        <v>28</v>
      </c>
      <c r="M3484" s="11" t="s">
        <v>28</v>
      </c>
      <c r="N3484" s="8">
        <v>44621</v>
      </c>
      <c r="O3484" s="9" t="s">
        <v>41</v>
      </c>
      <c r="P3484" s="12" t="s">
        <v>11555</v>
      </c>
      <c r="Q3484" s="9" t="s">
        <v>75</v>
      </c>
      <c r="R3484" s="14" t="str">
        <f>HYPERLINK("https://my.pitchbook.com?c=187337-80T","View Company Online")</f>
        <v>View Company Online</v>
      </c>
    </row>
    <row r="3485" spans="1:18" hidden="1" x14ac:dyDescent="0.3">
      <c r="A3485" s="15" t="s">
        <v>11556</v>
      </c>
      <c r="B3485" s="15" t="s">
        <v>287</v>
      </c>
      <c r="C3485" s="18" t="s">
        <v>28</v>
      </c>
      <c r="D3485" s="15" t="s">
        <v>288</v>
      </c>
      <c r="E3485" s="18" t="s">
        <v>28</v>
      </c>
      <c r="F3485" s="19" t="s">
        <v>28</v>
      </c>
      <c r="G3485" s="19" t="s">
        <v>28</v>
      </c>
      <c r="H3485" s="19" t="s">
        <v>28</v>
      </c>
      <c r="I3485" s="18" t="s">
        <v>28</v>
      </c>
      <c r="J3485" s="18" t="s">
        <v>28</v>
      </c>
      <c r="K3485" s="18" t="s">
        <v>28</v>
      </c>
      <c r="L3485" s="18" t="s">
        <v>28</v>
      </c>
      <c r="M3485" s="18" t="s">
        <v>28</v>
      </c>
      <c r="N3485" s="17">
        <v>44621</v>
      </c>
      <c r="O3485" s="15" t="s">
        <v>73</v>
      </c>
      <c r="P3485" s="16" t="s">
        <v>11557</v>
      </c>
      <c r="Q3485" s="15" t="s">
        <v>290</v>
      </c>
      <c r="R3485" s="13" t="str">
        <f>HYPERLINK("https://my.pitchbook.com?c=299641-69T","View Company Online")</f>
        <v>View Company Online</v>
      </c>
    </row>
    <row r="3486" spans="1:18" hidden="1" x14ac:dyDescent="0.3">
      <c r="A3486" s="9" t="s">
        <v>11558</v>
      </c>
      <c r="B3486" s="9" t="s">
        <v>11559</v>
      </c>
      <c r="C3486" s="11" t="s">
        <v>28</v>
      </c>
      <c r="D3486" s="9" t="s">
        <v>11560</v>
      </c>
      <c r="E3486" s="11" t="s">
        <v>28</v>
      </c>
      <c r="F3486" s="10" t="s">
        <v>28</v>
      </c>
      <c r="G3486" s="10">
        <v>3.5</v>
      </c>
      <c r="H3486" s="10" t="s">
        <v>28</v>
      </c>
      <c r="I3486" s="11" t="s">
        <v>28</v>
      </c>
      <c r="J3486" s="11" t="s">
        <v>28</v>
      </c>
      <c r="K3486" s="11" t="s">
        <v>28</v>
      </c>
      <c r="L3486" s="11" t="s">
        <v>28</v>
      </c>
      <c r="M3486" s="11" t="s">
        <v>28</v>
      </c>
      <c r="N3486" s="8">
        <v>44621</v>
      </c>
      <c r="O3486" s="9" t="s">
        <v>99</v>
      </c>
      <c r="P3486" s="12" t="s">
        <v>11561</v>
      </c>
      <c r="Q3486" s="9" t="s">
        <v>75</v>
      </c>
      <c r="R3486" s="14" t="str">
        <f>HYPERLINK("https://my.pitchbook.com?c=182640-61T","View Company Online")</f>
        <v>View Company Online</v>
      </c>
    </row>
    <row r="3487" spans="1:18" hidden="1" x14ac:dyDescent="0.3">
      <c r="A3487" s="15" t="s">
        <v>11562</v>
      </c>
      <c r="B3487" s="15" t="s">
        <v>11563</v>
      </c>
      <c r="C3487" s="18" t="s">
        <v>28</v>
      </c>
      <c r="D3487" s="15" t="s">
        <v>11564</v>
      </c>
      <c r="E3487" s="18" t="s">
        <v>28</v>
      </c>
      <c r="F3487" s="19" t="s">
        <v>28</v>
      </c>
      <c r="G3487" s="19" t="s">
        <v>28</v>
      </c>
      <c r="H3487" s="19" t="s">
        <v>28</v>
      </c>
      <c r="I3487" s="18" t="s">
        <v>28</v>
      </c>
      <c r="J3487" s="18" t="s">
        <v>28</v>
      </c>
      <c r="K3487" s="18">
        <v>340.57</v>
      </c>
      <c r="L3487" s="18" t="s">
        <v>28</v>
      </c>
      <c r="M3487" s="18" t="s">
        <v>28</v>
      </c>
      <c r="N3487" s="17">
        <v>44621</v>
      </c>
      <c r="O3487" s="15" t="s">
        <v>93</v>
      </c>
      <c r="P3487" s="16" t="s">
        <v>11565</v>
      </c>
      <c r="Q3487" s="15" t="s">
        <v>5347</v>
      </c>
      <c r="R3487" s="13" t="str">
        <f>HYPERLINK("https://my.pitchbook.com?c=189663-40T","View Company Online")</f>
        <v>View Company Online</v>
      </c>
    </row>
    <row r="3488" spans="1:18" hidden="1" x14ac:dyDescent="0.3">
      <c r="A3488" s="9" t="s">
        <v>11566</v>
      </c>
      <c r="B3488" s="9" t="s">
        <v>11567</v>
      </c>
      <c r="C3488" s="11" t="s">
        <v>28</v>
      </c>
      <c r="D3488" s="9" t="s">
        <v>11568</v>
      </c>
      <c r="E3488" s="11" t="s">
        <v>28</v>
      </c>
      <c r="F3488" s="10" t="s">
        <v>28</v>
      </c>
      <c r="G3488" s="10" t="s">
        <v>28</v>
      </c>
      <c r="H3488" s="10" t="s">
        <v>28</v>
      </c>
      <c r="I3488" s="11" t="s">
        <v>28</v>
      </c>
      <c r="J3488" s="11" t="s">
        <v>28</v>
      </c>
      <c r="K3488" s="11" t="s">
        <v>28</v>
      </c>
      <c r="L3488" s="11" t="s">
        <v>28</v>
      </c>
      <c r="M3488" s="11" t="s">
        <v>28</v>
      </c>
      <c r="N3488" s="8">
        <v>44621</v>
      </c>
      <c r="O3488" s="9" t="s">
        <v>79</v>
      </c>
      <c r="P3488" s="12" t="s">
        <v>611</v>
      </c>
      <c r="Q3488" s="9" t="s">
        <v>9705</v>
      </c>
      <c r="R3488" s="14" t="str">
        <f>HYPERLINK("https://my.pitchbook.com?c=220187-17T","View Company Online")</f>
        <v>View Company Online</v>
      </c>
    </row>
    <row r="3489" spans="1:18" hidden="1" x14ac:dyDescent="0.3">
      <c r="A3489" s="15" t="s">
        <v>11569</v>
      </c>
      <c r="B3489" s="15" t="s">
        <v>11570</v>
      </c>
      <c r="C3489" s="18" t="s">
        <v>28</v>
      </c>
      <c r="D3489" s="15" t="s">
        <v>11571</v>
      </c>
      <c r="E3489" s="18" t="s">
        <v>28</v>
      </c>
      <c r="F3489" s="19" t="s">
        <v>28</v>
      </c>
      <c r="G3489" s="19">
        <v>385</v>
      </c>
      <c r="H3489" s="19">
        <v>1000</v>
      </c>
      <c r="I3489" s="18" t="s">
        <v>28</v>
      </c>
      <c r="J3489" s="18" t="s">
        <v>28</v>
      </c>
      <c r="K3489" s="18" t="s">
        <v>28</v>
      </c>
      <c r="L3489" s="18" t="s">
        <v>28</v>
      </c>
      <c r="M3489" s="18" t="s">
        <v>28</v>
      </c>
      <c r="N3489" s="17">
        <v>44620</v>
      </c>
      <c r="O3489" s="15" t="s">
        <v>79</v>
      </c>
      <c r="P3489" s="16" t="s">
        <v>11572</v>
      </c>
      <c r="Q3489" s="15" t="s">
        <v>740</v>
      </c>
      <c r="R3489" s="13" t="str">
        <f>HYPERLINK("https://my.pitchbook.com?c=183538-00T","View Company Online")</f>
        <v>View Company Online</v>
      </c>
    </row>
    <row r="3490" spans="1:18" hidden="1" x14ac:dyDescent="0.3">
      <c r="A3490" s="9" t="s">
        <v>11573</v>
      </c>
      <c r="B3490" s="9" t="s">
        <v>11574</v>
      </c>
      <c r="C3490" s="11" t="s">
        <v>28</v>
      </c>
      <c r="D3490" s="9" t="s">
        <v>11575</v>
      </c>
      <c r="E3490" s="11" t="s">
        <v>28</v>
      </c>
      <c r="F3490" s="10">
        <v>5.25</v>
      </c>
      <c r="G3490" s="10">
        <v>5.25</v>
      </c>
      <c r="H3490" s="10">
        <v>5.25</v>
      </c>
      <c r="I3490" s="11" t="s">
        <v>28</v>
      </c>
      <c r="J3490" s="11" t="s">
        <v>28</v>
      </c>
      <c r="K3490" s="11">
        <v>2.48</v>
      </c>
      <c r="L3490" s="11">
        <v>2.11</v>
      </c>
      <c r="M3490" s="11" t="s">
        <v>28</v>
      </c>
      <c r="N3490" s="8">
        <v>44620</v>
      </c>
      <c r="O3490" s="9" t="s">
        <v>30</v>
      </c>
      <c r="P3490" s="12" t="s">
        <v>11576</v>
      </c>
      <c r="Q3490" s="9" t="s">
        <v>95</v>
      </c>
      <c r="R3490" s="14" t="str">
        <f>HYPERLINK("https://my.pitchbook.com?c=185242-69T","View Company Online")</f>
        <v>View Company Online</v>
      </c>
    </row>
    <row r="3491" spans="1:18" hidden="1" x14ac:dyDescent="0.3">
      <c r="A3491" s="15" t="s">
        <v>11577</v>
      </c>
      <c r="B3491" s="15" t="s">
        <v>1775</v>
      </c>
      <c r="C3491" s="18" t="s">
        <v>28</v>
      </c>
      <c r="D3491" s="15" t="s">
        <v>1776</v>
      </c>
      <c r="E3491" s="18" t="s">
        <v>28</v>
      </c>
      <c r="F3491" s="19" t="s">
        <v>28</v>
      </c>
      <c r="G3491" s="19">
        <v>3.5</v>
      </c>
      <c r="H3491" s="19">
        <v>20.5</v>
      </c>
      <c r="I3491" s="18" t="s">
        <v>28</v>
      </c>
      <c r="J3491" s="18" t="s">
        <v>28</v>
      </c>
      <c r="K3491" s="18" t="s">
        <v>28</v>
      </c>
      <c r="L3491" s="18" t="s">
        <v>28</v>
      </c>
      <c r="M3491" s="18" t="s">
        <v>28</v>
      </c>
      <c r="N3491" s="17">
        <v>44620</v>
      </c>
      <c r="O3491" s="15" t="s">
        <v>99</v>
      </c>
      <c r="P3491" s="16" t="s">
        <v>11578</v>
      </c>
      <c r="Q3491" s="15" t="s">
        <v>37</v>
      </c>
      <c r="R3491" s="13" t="str">
        <f>HYPERLINK("https://my.pitchbook.com?c=190989-19T","View Company Online")</f>
        <v>View Company Online</v>
      </c>
    </row>
    <row r="3492" spans="1:18" hidden="1" x14ac:dyDescent="0.3">
      <c r="A3492" s="9" t="s">
        <v>11579</v>
      </c>
      <c r="B3492" s="9" t="s">
        <v>11580</v>
      </c>
      <c r="C3492" s="11" t="s">
        <v>28</v>
      </c>
      <c r="D3492" s="9" t="s">
        <v>11581</v>
      </c>
      <c r="E3492" s="11" t="s">
        <v>28</v>
      </c>
      <c r="F3492" s="10" t="s">
        <v>28</v>
      </c>
      <c r="G3492" s="10" t="s">
        <v>28</v>
      </c>
      <c r="H3492" s="10" t="s">
        <v>28</v>
      </c>
      <c r="I3492" s="11" t="s">
        <v>28</v>
      </c>
      <c r="J3492" s="11" t="s">
        <v>28</v>
      </c>
      <c r="K3492" s="11" t="s">
        <v>28</v>
      </c>
      <c r="L3492" s="11" t="s">
        <v>28</v>
      </c>
      <c r="M3492" s="11" t="s">
        <v>28</v>
      </c>
      <c r="N3492" s="8">
        <v>44617</v>
      </c>
      <c r="O3492" s="9" t="s">
        <v>79</v>
      </c>
      <c r="P3492" s="12" t="s">
        <v>611</v>
      </c>
      <c r="Q3492" s="9" t="s">
        <v>119</v>
      </c>
      <c r="R3492" s="14" t="str">
        <f>HYPERLINK("https://my.pitchbook.com?c=196159-15T","View Company Online")</f>
        <v>View Company Online</v>
      </c>
    </row>
    <row r="3493" spans="1:18" hidden="1" x14ac:dyDescent="0.3">
      <c r="A3493" s="15" t="s">
        <v>11582</v>
      </c>
      <c r="B3493" s="15" t="s">
        <v>11583</v>
      </c>
      <c r="C3493" s="18" t="s">
        <v>28</v>
      </c>
      <c r="D3493" s="15" t="s">
        <v>11584</v>
      </c>
      <c r="E3493" s="18" t="s">
        <v>28</v>
      </c>
      <c r="F3493" s="19" t="s">
        <v>28</v>
      </c>
      <c r="G3493" s="19">
        <v>0.56999999999999995</v>
      </c>
      <c r="H3493" s="19" t="s">
        <v>28</v>
      </c>
      <c r="I3493" s="18" t="s">
        <v>28</v>
      </c>
      <c r="J3493" s="18" t="s">
        <v>28</v>
      </c>
      <c r="K3493" s="18" t="s">
        <v>28</v>
      </c>
      <c r="L3493" s="18" t="s">
        <v>28</v>
      </c>
      <c r="M3493" s="18" t="s">
        <v>28</v>
      </c>
      <c r="N3493" s="17">
        <v>44617</v>
      </c>
      <c r="O3493" s="15" t="s">
        <v>79</v>
      </c>
      <c r="P3493" s="16" t="s">
        <v>11585</v>
      </c>
      <c r="Q3493" s="15" t="s">
        <v>37</v>
      </c>
      <c r="R3493" s="13" t="str">
        <f>HYPERLINK("https://my.pitchbook.com?c=194438-44T","View Company Online")</f>
        <v>View Company Online</v>
      </c>
    </row>
    <row r="3494" spans="1:18" hidden="1" x14ac:dyDescent="0.3">
      <c r="A3494" s="9" t="s">
        <v>11586</v>
      </c>
      <c r="B3494" s="9" t="s">
        <v>11587</v>
      </c>
      <c r="C3494" s="11" t="s">
        <v>28</v>
      </c>
      <c r="D3494" s="9" t="s">
        <v>11588</v>
      </c>
      <c r="E3494" s="11" t="s">
        <v>28</v>
      </c>
      <c r="F3494" s="10" t="s">
        <v>28</v>
      </c>
      <c r="G3494" s="10" t="s">
        <v>28</v>
      </c>
      <c r="H3494" s="10" t="s">
        <v>28</v>
      </c>
      <c r="I3494" s="11" t="s">
        <v>28</v>
      </c>
      <c r="J3494" s="11" t="s">
        <v>28</v>
      </c>
      <c r="K3494" s="11" t="s">
        <v>28</v>
      </c>
      <c r="L3494" s="11" t="s">
        <v>28</v>
      </c>
      <c r="M3494" s="11" t="s">
        <v>28</v>
      </c>
      <c r="N3494" s="8">
        <v>44617</v>
      </c>
      <c r="O3494" s="9" t="s">
        <v>30</v>
      </c>
      <c r="P3494" s="12" t="s">
        <v>2099</v>
      </c>
      <c r="Q3494" s="9" t="s">
        <v>37</v>
      </c>
      <c r="R3494" s="14" t="str">
        <f>HYPERLINK("https://my.pitchbook.com?c=209088-10T","View Company Online")</f>
        <v>View Company Online</v>
      </c>
    </row>
    <row r="3495" spans="1:18" hidden="1" x14ac:dyDescent="0.3">
      <c r="A3495" s="15" t="s">
        <v>11589</v>
      </c>
      <c r="B3495" s="15" t="s">
        <v>11590</v>
      </c>
      <c r="C3495" s="18" t="s">
        <v>28</v>
      </c>
      <c r="D3495" s="15" t="s">
        <v>11591</v>
      </c>
      <c r="E3495" s="18" t="s">
        <v>28</v>
      </c>
      <c r="F3495" s="19" t="s">
        <v>28</v>
      </c>
      <c r="G3495" s="19">
        <v>3.5</v>
      </c>
      <c r="H3495" s="19" t="s">
        <v>28</v>
      </c>
      <c r="I3495" s="18" t="s">
        <v>28</v>
      </c>
      <c r="J3495" s="18" t="s">
        <v>28</v>
      </c>
      <c r="K3495" s="18">
        <v>18.91</v>
      </c>
      <c r="L3495" s="18" t="s">
        <v>28</v>
      </c>
      <c r="M3495" s="18" t="s">
        <v>28</v>
      </c>
      <c r="N3495" s="17">
        <v>44617</v>
      </c>
      <c r="O3495" s="15" t="s">
        <v>99</v>
      </c>
      <c r="P3495" s="16" t="s">
        <v>11592</v>
      </c>
      <c r="Q3495" s="15" t="s">
        <v>419</v>
      </c>
      <c r="R3495" s="13" t="str">
        <f>HYPERLINK("https://my.pitchbook.com?c=206479-81T","View Company Online")</f>
        <v>View Company Online</v>
      </c>
    </row>
    <row r="3496" spans="1:18" hidden="1" x14ac:dyDescent="0.3">
      <c r="A3496" s="9" t="s">
        <v>11593</v>
      </c>
      <c r="B3496" s="9" t="s">
        <v>11594</v>
      </c>
      <c r="C3496" s="11" t="s">
        <v>28</v>
      </c>
      <c r="D3496" s="9" t="s">
        <v>11595</v>
      </c>
      <c r="E3496" s="11" t="s">
        <v>28</v>
      </c>
      <c r="F3496" s="10">
        <v>6.7</v>
      </c>
      <c r="G3496" s="10">
        <v>6.7</v>
      </c>
      <c r="H3496" s="10">
        <v>6.7</v>
      </c>
      <c r="I3496" s="11" t="s">
        <v>28</v>
      </c>
      <c r="J3496" s="11" t="s">
        <v>28</v>
      </c>
      <c r="K3496" s="11" t="s">
        <v>28</v>
      </c>
      <c r="L3496" s="11" t="s">
        <v>28</v>
      </c>
      <c r="M3496" s="11" t="s">
        <v>28</v>
      </c>
      <c r="N3496" s="8">
        <v>44616</v>
      </c>
      <c r="O3496" s="9" t="s">
        <v>30</v>
      </c>
      <c r="P3496" s="12" t="s">
        <v>2005</v>
      </c>
      <c r="Q3496" s="9" t="s">
        <v>583</v>
      </c>
      <c r="R3496" s="14" t="str">
        <f>HYPERLINK("https://my.pitchbook.com?c=191419-84T","View Company Online")</f>
        <v>View Company Online</v>
      </c>
    </row>
    <row r="3497" spans="1:18" hidden="1" x14ac:dyDescent="0.3">
      <c r="A3497" s="15" t="s">
        <v>11596</v>
      </c>
      <c r="B3497" s="15" t="s">
        <v>11597</v>
      </c>
      <c r="C3497" s="18" t="s">
        <v>28</v>
      </c>
      <c r="D3497" s="15" t="s">
        <v>11598</v>
      </c>
      <c r="E3497" s="18" t="s">
        <v>28</v>
      </c>
      <c r="F3497" s="19" t="s">
        <v>28</v>
      </c>
      <c r="G3497" s="19" t="s">
        <v>28</v>
      </c>
      <c r="H3497" s="19" t="s">
        <v>28</v>
      </c>
      <c r="I3497" s="18" t="s">
        <v>28</v>
      </c>
      <c r="J3497" s="18" t="s">
        <v>28</v>
      </c>
      <c r="K3497" s="18" t="s">
        <v>28</v>
      </c>
      <c r="L3497" s="18" t="s">
        <v>28</v>
      </c>
      <c r="M3497" s="18" t="s">
        <v>28</v>
      </c>
      <c r="N3497" s="17">
        <v>44616</v>
      </c>
      <c r="O3497" s="15" t="s">
        <v>30</v>
      </c>
      <c r="P3497" s="16" t="s">
        <v>3736</v>
      </c>
      <c r="Q3497" s="15" t="s">
        <v>75</v>
      </c>
      <c r="R3497" s="13" t="str">
        <f>HYPERLINK("https://my.pitchbook.com?c=228271-15T","View Company Online")</f>
        <v>View Company Online</v>
      </c>
    </row>
    <row r="3498" spans="1:18" hidden="1" x14ac:dyDescent="0.3">
      <c r="A3498" s="9" t="s">
        <v>11599</v>
      </c>
      <c r="B3498" s="9" t="s">
        <v>5040</v>
      </c>
      <c r="C3498" s="11" t="s">
        <v>28</v>
      </c>
      <c r="D3498" s="9" t="s">
        <v>5041</v>
      </c>
      <c r="E3498" s="11" t="s">
        <v>28</v>
      </c>
      <c r="F3498" s="10" t="s">
        <v>28</v>
      </c>
      <c r="G3498" s="10" t="s">
        <v>28</v>
      </c>
      <c r="H3498" s="10" t="s">
        <v>28</v>
      </c>
      <c r="I3498" s="11" t="s">
        <v>28</v>
      </c>
      <c r="J3498" s="11" t="s">
        <v>28</v>
      </c>
      <c r="K3498" s="11" t="s">
        <v>28</v>
      </c>
      <c r="L3498" s="11" t="s">
        <v>28</v>
      </c>
      <c r="M3498" s="11" t="s">
        <v>28</v>
      </c>
      <c r="N3498" s="8">
        <v>44616</v>
      </c>
      <c r="O3498" s="9" t="s">
        <v>58</v>
      </c>
      <c r="P3498" s="12" t="s">
        <v>11600</v>
      </c>
      <c r="Q3498" s="9" t="s">
        <v>75</v>
      </c>
      <c r="R3498" s="14" t="str">
        <f>HYPERLINK("https://my.pitchbook.com?c=211027-06T","View Company Online")</f>
        <v>View Company Online</v>
      </c>
    </row>
    <row r="3499" spans="1:18" hidden="1" x14ac:dyDescent="0.3">
      <c r="A3499" s="15" t="s">
        <v>11601</v>
      </c>
      <c r="B3499" s="15" t="s">
        <v>11602</v>
      </c>
      <c r="C3499" s="18" t="s">
        <v>28</v>
      </c>
      <c r="D3499" s="15" t="s">
        <v>11603</v>
      </c>
      <c r="E3499" s="18" t="s">
        <v>28</v>
      </c>
      <c r="F3499" s="19" t="s">
        <v>28</v>
      </c>
      <c r="G3499" s="19">
        <v>0.56999999999999995</v>
      </c>
      <c r="H3499" s="19" t="s">
        <v>28</v>
      </c>
      <c r="I3499" s="18" t="s">
        <v>28</v>
      </c>
      <c r="J3499" s="18" t="s">
        <v>28</v>
      </c>
      <c r="K3499" s="18" t="s">
        <v>28</v>
      </c>
      <c r="L3499" s="18" t="s">
        <v>28</v>
      </c>
      <c r="M3499" s="18" t="s">
        <v>28</v>
      </c>
      <c r="N3499" s="17">
        <v>44616</v>
      </c>
      <c r="O3499" s="15" t="s">
        <v>73</v>
      </c>
      <c r="P3499" s="16" t="s">
        <v>11604</v>
      </c>
      <c r="Q3499" s="15" t="s">
        <v>75</v>
      </c>
      <c r="R3499" s="13" t="str">
        <f>HYPERLINK("https://my.pitchbook.com?c=189324-55T","View Company Online")</f>
        <v>View Company Online</v>
      </c>
    </row>
    <row r="3500" spans="1:18" hidden="1" x14ac:dyDescent="0.3">
      <c r="A3500" s="9" t="s">
        <v>11605</v>
      </c>
      <c r="B3500" s="9" t="s">
        <v>11606</v>
      </c>
      <c r="C3500" s="11" t="s">
        <v>28</v>
      </c>
      <c r="D3500" s="9" t="s">
        <v>11607</v>
      </c>
      <c r="E3500" s="11" t="s">
        <v>28</v>
      </c>
      <c r="F3500" s="10" t="s">
        <v>28</v>
      </c>
      <c r="G3500" s="10">
        <v>21</v>
      </c>
      <c r="H3500" s="10" t="s">
        <v>28</v>
      </c>
      <c r="I3500" s="11" t="s">
        <v>28</v>
      </c>
      <c r="J3500" s="11" t="s">
        <v>28</v>
      </c>
      <c r="K3500" s="11" t="s">
        <v>28</v>
      </c>
      <c r="L3500" s="11" t="s">
        <v>28</v>
      </c>
      <c r="M3500" s="11" t="s">
        <v>28</v>
      </c>
      <c r="N3500" s="8">
        <v>44615</v>
      </c>
      <c r="O3500" s="9" t="s">
        <v>79</v>
      </c>
      <c r="P3500" s="12" t="s">
        <v>11608</v>
      </c>
      <c r="Q3500" s="9" t="s">
        <v>37</v>
      </c>
      <c r="R3500" s="14" t="str">
        <f>HYPERLINK("https://my.pitchbook.com?c=189099-37T","View Company Online")</f>
        <v>View Company Online</v>
      </c>
    </row>
    <row r="3501" spans="1:18" hidden="1" x14ac:dyDescent="0.3">
      <c r="A3501" s="15" t="s">
        <v>11609</v>
      </c>
      <c r="B3501" s="15" t="s">
        <v>11610</v>
      </c>
      <c r="C3501" s="18" t="s">
        <v>28</v>
      </c>
      <c r="D3501" s="15" t="s">
        <v>11611</v>
      </c>
      <c r="E3501" s="18" t="s">
        <v>28</v>
      </c>
      <c r="F3501" s="19" t="s">
        <v>28</v>
      </c>
      <c r="G3501" s="19" t="s">
        <v>28</v>
      </c>
      <c r="H3501" s="19" t="s">
        <v>28</v>
      </c>
      <c r="I3501" s="18" t="s">
        <v>28</v>
      </c>
      <c r="J3501" s="18" t="s">
        <v>28</v>
      </c>
      <c r="K3501" s="18">
        <v>27.78</v>
      </c>
      <c r="L3501" s="18" t="s">
        <v>28</v>
      </c>
      <c r="M3501" s="18" t="s">
        <v>28</v>
      </c>
      <c r="N3501" s="17">
        <v>44615</v>
      </c>
      <c r="O3501" s="15" t="s">
        <v>41</v>
      </c>
      <c r="P3501" s="16" t="s">
        <v>11612</v>
      </c>
      <c r="Q3501" s="15" t="s">
        <v>85</v>
      </c>
      <c r="R3501" s="13" t="str">
        <f>HYPERLINK("https://my.pitchbook.com?c=220957-48T","View Company Online")</f>
        <v>View Company Online</v>
      </c>
    </row>
    <row r="3502" spans="1:18" hidden="1" x14ac:dyDescent="0.3">
      <c r="A3502" s="9" t="s">
        <v>11613</v>
      </c>
      <c r="B3502" s="9" t="s">
        <v>11614</v>
      </c>
      <c r="C3502" s="11" t="s">
        <v>28</v>
      </c>
      <c r="D3502" s="9" t="s">
        <v>11615</v>
      </c>
      <c r="E3502" s="11" t="s">
        <v>28</v>
      </c>
      <c r="F3502" s="10" t="s">
        <v>28</v>
      </c>
      <c r="G3502" s="10">
        <v>10.51</v>
      </c>
      <c r="H3502" s="10">
        <v>10.51</v>
      </c>
      <c r="I3502" s="11" t="s">
        <v>28</v>
      </c>
      <c r="J3502" s="11" t="s">
        <v>28</v>
      </c>
      <c r="K3502" s="11" t="s">
        <v>28</v>
      </c>
      <c r="L3502" s="11" t="s">
        <v>28</v>
      </c>
      <c r="M3502" s="11" t="s">
        <v>28</v>
      </c>
      <c r="N3502" s="8">
        <v>44615</v>
      </c>
      <c r="O3502" s="9" t="s">
        <v>30</v>
      </c>
      <c r="P3502" s="12" t="s">
        <v>5437</v>
      </c>
      <c r="Q3502" s="9" t="s">
        <v>774</v>
      </c>
      <c r="R3502" s="14" t="str">
        <f>HYPERLINK("https://my.pitchbook.com?c=192168-55T","View Company Online")</f>
        <v>View Company Online</v>
      </c>
    </row>
    <row r="3503" spans="1:18" hidden="1" x14ac:dyDescent="0.3">
      <c r="A3503" s="15" t="s">
        <v>11616</v>
      </c>
      <c r="B3503" s="15" t="s">
        <v>11617</v>
      </c>
      <c r="C3503" s="18" t="s">
        <v>28</v>
      </c>
      <c r="D3503" s="15" t="s">
        <v>11618</v>
      </c>
      <c r="E3503" s="18" t="s">
        <v>28</v>
      </c>
      <c r="F3503" s="19">
        <v>29.7</v>
      </c>
      <c r="G3503" s="19">
        <v>15.14</v>
      </c>
      <c r="H3503" s="19">
        <v>29.7</v>
      </c>
      <c r="I3503" s="18" t="s">
        <v>28</v>
      </c>
      <c r="J3503" s="18" t="s">
        <v>28</v>
      </c>
      <c r="K3503" s="18" t="s">
        <v>28</v>
      </c>
      <c r="L3503" s="18" t="s">
        <v>28</v>
      </c>
      <c r="M3503" s="18" t="s">
        <v>28</v>
      </c>
      <c r="N3503" s="17">
        <v>44614</v>
      </c>
      <c r="O3503" s="15" t="s">
        <v>30</v>
      </c>
      <c r="P3503" s="16" t="s">
        <v>11619</v>
      </c>
      <c r="Q3503" s="15" t="s">
        <v>37</v>
      </c>
      <c r="R3503" s="13" t="str">
        <f>HYPERLINK("https://my.pitchbook.com?c=188877-25T","View Company Online")</f>
        <v>View Company Online</v>
      </c>
    </row>
    <row r="3504" spans="1:18" hidden="1" x14ac:dyDescent="0.3">
      <c r="A3504" s="9" t="s">
        <v>11620</v>
      </c>
      <c r="B3504" s="9" t="s">
        <v>11621</v>
      </c>
      <c r="C3504" s="11" t="s">
        <v>28</v>
      </c>
      <c r="D3504" s="9" t="s">
        <v>11622</v>
      </c>
      <c r="E3504" s="11" t="s">
        <v>28</v>
      </c>
      <c r="F3504" s="10" t="s">
        <v>28</v>
      </c>
      <c r="G3504" s="10">
        <v>8.5</v>
      </c>
      <c r="H3504" s="10">
        <v>20</v>
      </c>
      <c r="I3504" s="11" t="s">
        <v>28</v>
      </c>
      <c r="J3504" s="11" t="s">
        <v>28</v>
      </c>
      <c r="K3504" s="11" t="s">
        <v>28</v>
      </c>
      <c r="L3504" s="11" t="s">
        <v>28</v>
      </c>
      <c r="M3504" s="11" t="s">
        <v>28</v>
      </c>
      <c r="N3504" s="8">
        <v>44614</v>
      </c>
      <c r="O3504" s="9" t="s">
        <v>379</v>
      </c>
      <c r="P3504" s="12" t="s">
        <v>28</v>
      </c>
      <c r="Q3504" s="9" t="s">
        <v>6513</v>
      </c>
      <c r="R3504" s="14" t="str">
        <f>HYPERLINK("https://my.pitchbook.com?c=215506-36T","View Company Online")</f>
        <v>View Company Online</v>
      </c>
    </row>
    <row r="3505" spans="1:18" hidden="1" x14ac:dyDescent="0.3">
      <c r="A3505" s="15" t="s">
        <v>11623</v>
      </c>
      <c r="B3505" s="15" t="s">
        <v>11624</v>
      </c>
      <c r="C3505" s="18" t="s">
        <v>28</v>
      </c>
      <c r="D3505" s="15" t="s">
        <v>11625</v>
      </c>
      <c r="E3505" s="18" t="s">
        <v>28</v>
      </c>
      <c r="F3505" s="19" t="s">
        <v>28</v>
      </c>
      <c r="G3505" s="19" t="s">
        <v>28</v>
      </c>
      <c r="H3505" s="19" t="s">
        <v>28</v>
      </c>
      <c r="I3505" s="18" t="s">
        <v>28</v>
      </c>
      <c r="J3505" s="18" t="s">
        <v>28</v>
      </c>
      <c r="K3505" s="18" t="s">
        <v>28</v>
      </c>
      <c r="L3505" s="18" t="s">
        <v>28</v>
      </c>
      <c r="M3505" s="18" t="s">
        <v>28</v>
      </c>
      <c r="N3505" s="17">
        <v>44614</v>
      </c>
      <c r="O3505" s="15" t="s">
        <v>73</v>
      </c>
      <c r="P3505" s="16" t="s">
        <v>11626</v>
      </c>
      <c r="Q3505" s="15" t="s">
        <v>75</v>
      </c>
      <c r="R3505" s="13" t="str">
        <f>HYPERLINK("https://my.pitchbook.com?c=194460-49T","View Company Online")</f>
        <v>View Company Online</v>
      </c>
    </row>
    <row r="3506" spans="1:18" hidden="1" x14ac:dyDescent="0.3">
      <c r="A3506" s="9" t="s">
        <v>11627</v>
      </c>
      <c r="B3506" s="9" t="s">
        <v>11628</v>
      </c>
      <c r="C3506" s="11" t="s">
        <v>28</v>
      </c>
      <c r="D3506" s="9" t="s">
        <v>11629</v>
      </c>
      <c r="E3506" s="11" t="s">
        <v>28</v>
      </c>
      <c r="F3506" s="10" t="s">
        <v>28</v>
      </c>
      <c r="G3506" s="10" t="s">
        <v>28</v>
      </c>
      <c r="H3506" s="10" t="s">
        <v>28</v>
      </c>
      <c r="I3506" s="11" t="s">
        <v>28</v>
      </c>
      <c r="J3506" s="11" t="s">
        <v>28</v>
      </c>
      <c r="K3506" s="11" t="s">
        <v>28</v>
      </c>
      <c r="L3506" s="11" t="s">
        <v>28</v>
      </c>
      <c r="M3506" s="11" t="s">
        <v>28</v>
      </c>
      <c r="N3506" s="8">
        <v>44614</v>
      </c>
      <c r="O3506" s="9" t="s">
        <v>58</v>
      </c>
      <c r="P3506" s="12" t="s">
        <v>11630</v>
      </c>
      <c r="Q3506" s="9" t="s">
        <v>226</v>
      </c>
      <c r="R3506" s="14" t="str">
        <f>HYPERLINK("https://my.pitchbook.com?c=233686-09T","View Company Online")</f>
        <v>View Company Online</v>
      </c>
    </row>
    <row r="3507" spans="1:18" hidden="1" x14ac:dyDescent="0.3">
      <c r="A3507" s="15" t="s">
        <v>11631</v>
      </c>
      <c r="B3507" s="15" t="s">
        <v>11632</v>
      </c>
      <c r="C3507" s="18" t="s">
        <v>28</v>
      </c>
      <c r="D3507" s="15" t="s">
        <v>11633</v>
      </c>
      <c r="E3507" s="18" t="s">
        <v>28</v>
      </c>
      <c r="F3507" s="19" t="s">
        <v>28</v>
      </c>
      <c r="G3507" s="19" t="s">
        <v>28</v>
      </c>
      <c r="H3507" s="19" t="s">
        <v>28</v>
      </c>
      <c r="I3507" s="18" t="s">
        <v>28</v>
      </c>
      <c r="J3507" s="18" t="s">
        <v>28</v>
      </c>
      <c r="K3507" s="18" t="s">
        <v>28</v>
      </c>
      <c r="L3507" s="18" t="s">
        <v>28</v>
      </c>
      <c r="M3507" s="18" t="s">
        <v>28</v>
      </c>
      <c r="N3507" s="17">
        <v>44614</v>
      </c>
      <c r="O3507" s="15" t="s">
        <v>58</v>
      </c>
      <c r="P3507" s="16" t="s">
        <v>11630</v>
      </c>
      <c r="Q3507" s="15" t="s">
        <v>226</v>
      </c>
      <c r="R3507" s="13" t="str">
        <f>HYPERLINK("https://my.pitchbook.com?c=233689-06T","View Company Online")</f>
        <v>View Company Online</v>
      </c>
    </row>
    <row r="3508" spans="1:18" hidden="1" x14ac:dyDescent="0.3">
      <c r="A3508" s="9" t="s">
        <v>11634</v>
      </c>
      <c r="B3508" s="9" t="s">
        <v>7558</v>
      </c>
      <c r="C3508" s="11" t="s">
        <v>28</v>
      </c>
      <c r="D3508" s="9" t="s">
        <v>11635</v>
      </c>
      <c r="E3508" s="11" t="s">
        <v>28</v>
      </c>
      <c r="F3508" s="10" t="s">
        <v>28</v>
      </c>
      <c r="G3508" s="10" t="s">
        <v>28</v>
      </c>
      <c r="H3508" s="10" t="s">
        <v>28</v>
      </c>
      <c r="I3508" s="11" t="s">
        <v>28</v>
      </c>
      <c r="J3508" s="11" t="s">
        <v>28</v>
      </c>
      <c r="K3508" s="11" t="s">
        <v>28</v>
      </c>
      <c r="L3508" s="11" t="s">
        <v>28</v>
      </c>
      <c r="M3508" s="11" t="s">
        <v>28</v>
      </c>
      <c r="N3508" s="8">
        <v>44613</v>
      </c>
      <c r="O3508" s="9" t="s">
        <v>30</v>
      </c>
      <c r="P3508" s="12" t="s">
        <v>28</v>
      </c>
      <c r="Q3508" s="9" t="s">
        <v>740</v>
      </c>
      <c r="R3508" s="14" t="str">
        <f>HYPERLINK("https://my.pitchbook.com?c=211185-10T","View Company Online")</f>
        <v>View Company Online</v>
      </c>
    </row>
    <row r="3509" spans="1:18" hidden="1" x14ac:dyDescent="0.3">
      <c r="A3509" s="15" t="s">
        <v>11636</v>
      </c>
      <c r="B3509" s="15" t="s">
        <v>11637</v>
      </c>
      <c r="C3509" s="18" t="s">
        <v>28</v>
      </c>
      <c r="D3509" s="15" t="s">
        <v>11638</v>
      </c>
      <c r="E3509" s="18" t="s">
        <v>28</v>
      </c>
      <c r="F3509" s="19" t="s">
        <v>28</v>
      </c>
      <c r="G3509" s="19">
        <v>1.46</v>
      </c>
      <c r="H3509" s="19" t="s">
        <v>28</v>
      </c>
      <c r="I3509" s="18" t="s">
        <v>28</v>
      </c>
      <c r="J3509" s="18" t="s">
        <v>28</v>
      </c>
      <c r="K3509" s="18" t="s">
        <v>28</v>
      </c>
      <c r="L3509" s="18" t="s">
        <v>28</v>
      </c>
      <c r="M3509" s="18" t="s">
        <v>28</v>
      </c>
      <c r="N3509" s="17">
        <v>44613</v>
      </c>
      <c r="O3509" s="15" t="s">
        <v>79</v>
      </c>
      <c r="P3509" s="16" t="s">
        <v>9551</v>
      </c>
      <c r="Q3509" s="15" t="s">
        <v>75</v>
      </c>
      <c r="R3509" s="13" t="str">
        <f>HYPERLINK("https://my.pitchbook.com?c=199572-04T","View Company Online")</f>
        <v>View Company Online</v>
      </c>
    </row>
    <row r="3510" spans="1:18" hidden="1" x14ac:dyDescent="0.3">
      <c r="A3510" s="9" t="s">
        <v>11639</v>
      </c>
      <c r="B3510" s="9" t="s">
        <v>2347</v>
      </c>
      <c r="C3510" s="11" t="s">
        <v>28</v>
      </c>
      <c r="D3510" s="9" t="s">
        <v>2348</v>
      </c>
      <c r="E3510" s="11" t="s">
        <v>28</v>
      </c>
      <c r="F3510" s="10" t="s">
        <v>28</v>
      </c>
      <c r="G3510" s="10">
        <v>18.89</v>
      </c>
      <c r="H3510" s="10" t="s">
        <v>28</v>
      </c>
      <c r="I3510" s="11" t="s">
        <v>28</v>
      </c>
      <c r="J3510" s="11" t="s">
        <v>28</v>
      </c>
      <c r="K3510" s="11" t="s">
        <v>28</v>
      </c>
      <c r="L3510" s="11" t="s">
        <v>28</v>
      </c>
      <c r="M3510" s="11" t="s">
        <v>28</v>
      </c>
      <c r="N3510" s="8">
        <v>44613</v>
      </c>
      <c r="O3510" s="9" t="s">
        <v>93</v>
      </c>
      <c r="P3510" s="12" t="s">
        <v>11640</v>
      </c>
      <c r="Q3510" s="9" t="s">
        <v>696</v>
      </c>
      <c r="R3510" s="14" t="str">
        <f>HYPERLINK("https://my.pitchbook.com?c=189117-82T","View Company Online")</f>
        <v>View Company Online</v>
      </c>
    </row>
    <row r="3511" spans="1:18" hidden="1" x14ac:dyDescent="0.3">
      <c r="A3511" s="15" t="s">
        <v>11641</v>
      </c>
      <c r="B3511" s="15" t="s">
        <v>11642</v>
      </c>
      <c r="C3511" s="18" t="s">
        <v>28</v>
      </c>
      <c r="D3511" s="15" t="s">
        <v>11643</v>
      </c>
      <c r="E3511" s="18" t="s">
        <v>28</v>
      </c>
      <c r="F3511" s="19" t="s">
        <v>28</v>
      </c>
      <c r="G3511" s="19" t="s">
        <v>28</v>
      </c>
      <c r="H3511" s="19" t="s">
        <v>28</v>
      </c>
      <c r="I3511" s="18" t="s">
        <v>28</v>
      </c>
      <c r="J3511" s="18" t="s">
        <v>28</v>
      </c>
      <c r="K3511" s="18" t="s">
        <v>28</v>
      </c>
      <c r="L3511" s="18" t="s">
        <v>28</v>
      </c>
      <c r="M3511" s="18" t="s">
        <v>28</v>
      </c>
      <c r="N3511" s="17">
        <v>44613</v>
      </c>
      <c r="O3511" s="15" t="s">
        <v>30</v>
      </c>
      <c r="P3511" s="16" t="s">
        <v>11644</v>
      </c>
      <c r="Q3511" s="15" t="s">
        <v>855</v>
      </c>
      <c r="R3511" s="13" t="str">
        <f>HYPERLINK("https://my.pitchbook.com?c=294009-76T","View Company Online")</f>
        <v>View Company Online</v>
      </c>
    </row>
    <row r="3512" spans="1:18" hidden="1" x14ac:dyDescent="0.3">
      <c r="A3512" s="9" t="s">
        <v>11645</v>
      </c>
      <c r="B3512" s="9" t="s">
        <v>11646</v>
      </c>
      <c r="C3512" s="11" t="s">
        <v>28</v>
      </c>
      <c r="D3512" s="9" t="s">
        <v>11647</v>
      </c>
      <c r="E3512" s="11" t="s">
        <v>28</v>
      </c>
      <c r="F3512" s="10" t="s">
        <v>28</v>
      </c>
      <c r="G3512" s="10">
        <v>7.0000000000000007E-2</v>
      </c>
      <c r="H3512" s="10" t="s">
        <v>28</v>
      </c>
      <c r="I3512" s="11" t="s">
        <v>28</v>
      </c>
      <c r="J3512" s="11" t="s">
        <v>28</v>
      </c>
      <c r="K3512" s="11" t="s">
        <v>28</v>
      </c>
      <c r="L3512" s="11" t="s">
        <v>28</v>
      </c>
      <c r="M3512" s="11" t="s">
        <v>28</v>
      </c>
      <c r="N3512" s="8">
        <v>44613</v>
      </c>
      <c r="O3512" s="9" t="s">
        <v>379</v>
      </c>
      <c r="P3512" s="12" t="s">
        <v>28</v>
      </c>
      <c r="Q3512" s="9" t="s">
        <v>105</v>
      </c>
      <c r="R3512" s="14" t="str">
        <f>HYPERLINK("https://my.pitchbook.com?c=188897-86T","View Company Online")</f>
        <v>View Company Online</v>
      </c>
    </row>
    <row r="3513" spans="1:18" hidden="1" x14ac:dyDescent="0.3">
      <c r="A3513" s="15" t="s">
        <v>11648</v>
      </c>
      <c r="B3513" s="15" t="s">
        <v>10593</v>
      </c>
      <c r="C3513" s="18" t="s">
        <v>28</v>
      </c>
      <c r="D3513" s="15" t="s">
        <v>10594</v>
      </c>
      <c r="E3513" s="18" t="s">
        <v>28</v>
      </c>
      <c r="F3513" s="19" t="s">
        <v>28</v>
      </c>
      <c r="G3513" s="19">
        <v>0.06</v>
      </c>
      <c r="H3513" s="19" t="s">
        <v>28</v>
      </c>
      <c r="I3513" s="18" t="s">
        <v>28</v>
      </c>
      <c r="J3513" s="18" t="s">
        <v>28</v>
      </c>
      <c r="K3513" s="18" t="s">
        <v>28</v>
      </c>
      <c r="L3513" s="18" t="s">
        <v>28</v>
      </c>
      <c r="M3513" s="18" t="s">
        <v>28</v>
      </c>
      <c r="N3513" s="17">
        <v>44613</v>
      </c>
      <c r="O3513" s="15" t="s">
        <v>73</v>
      </c>
      <c r="P3513" s="16" t="s">
        <v>4148</v>
      </c>
      <c r="Q3513" s="15" t="s">
        <v>43</v>
      </c>
      <c r="R3513" s="13" t="str">
        <f>HYPERLINK("https://my.pitchbook.com?c=189052-84T","View Company Online")</f>
        <v>View Company Online</v>
      </c>
    </row>
    <row r="3514" spans="1:18" hidden="1" x14ac:dyDescent="0.3">
      <c r="A3514" s="9" t="s">
        <v>11649</v>
      </c>
      <c r="B3514" s="9" t="s">
        <v>11650</v>
      </c>
      <c r="C3514" s="11" t="s">
        <v>28</v>
      </c>
      <c r="D3514" s="9" t="s">
        <v>11651</v>
      </c>
      <c r="E3514" s="11" t="s">
        <v>28</v>
      </c>
      <c r="F3514" s="10" t="s">
        <v>28</v>
      </c>
      <c r="G3514" s="10" t="s">
        <v>28</v>
      </c>
      <c r="H3514" s="10" t="s">
        <v>28</v>
      </c>
      <c r="I3514" s="11" t="s">
        <v>28</v>
      </c>
      <c r="J3514" s="11" t="s">
        <v>28</v>
      </c>
      <c r="K3514" s="11" t="s">
        <v>28</v>
      </c>
      <c r="L3514" s="11" t="s">
        <v>28</v>
      </c>
      <c r="M3514" s="11" t="s">
        <v>28</v>
      </c>
      <c r="N3514" s="8">
        <v>44612</v>
      </c>
      <c r="O3514" s="9" t="s">
        <v>30</v>
      </c>
      <c r="P3514" s="12" t="s">
        <v>11652</v>
      </c>
      <c r="Q3514" s="9" t="s">
        <v>75</v>
      </c>
      <c r="R3514" s="14" t="str">
        <f>HYPERLINK("https://my.pitchbook.com?c=210194-83T","View Company Online")</f>
        <v>View Company Online</v>
      </c>
    </row>
    <row r="3515" spans="1:18" hidden="1" x14ac:dyDescent="0.3">
      <c r="A3515" s="15" t="s">
        <v>11653</v>
      </c>
      <c r="B3515" s="15" t="s">
        <v>11654</v>
      </c>
      <c r="C3515" s="18" t="s">
        <v>28</v>
      </c>
      <c r="D3515" s="15" t="s">
        <v>11655</v>
      </c>
      <c r="E3515" s="18" t="s">
        <v>28</v>
      </c>
      <c r="F3515" s="19" t="s">
        <v>28</v>
      </c>
      <c r="G3515" s="19" t="s">
        <v>28</v>
      </c>
      <c r="H3515" s="19" t="s">
        <v>28</v>
      </c>
      <c r="I3515" s="18" t="s">
        <v>28</v>
      </c>
      <c r="J3515" s="18" t="s">
        <v>28</v>
      </c>
      <c r="K3515" s="18" t="s">
        <v>28</v>
      </c>
      <c r="L3515" s="18" t="s">
        <v>28</v>
      </c>
      <c r="M3515" s="18" t="s">
        <v>28</v>
      </c>
      <c r="N3515" s="17">
        <v>44610</v>
      </c>
      <c r="O3515" s="15" t="s">
        <v>73</v>
      </c>
      <c r="P3515" s="16" t="s">
        <v>123</v>
      </c>
      <c r="Q3515" s="15" t="s">
        <v>75</v>
      </c>
      <c r="R3515" s="13" t="str">
        <f>HYPERLINK("https://my.pitchbook.com?c=205494-49T","View Company Online")</f>
        <v>View Company Online</v>
      </c>
    </row>
    <row r="3516" spans="1:18" hidden="1" x14ac:dyDescent="0.3">
      <c r="A3516" s="9" t="s">
        <v>11656</v>
      </c>
      <c r="B3516" s="9" t="s">
        <v>11657</v>
      </c>
      <c r="C3516" s="11" t="s">
        <v>28</v>
      </c>
      <c r="D3516" s="9" t="s">
        <v>11658</v>
      </c>
      <c r="E3516" s="11" t="s">
        <v>28</v>
      </c>
      <c r="F3516" s="10" t="s">
        <v>28</v>
      </c>
      <c r="G3516" s="10" t="s">
        <v>28</v>
      </c>
      <c r="H3516" s="10" t="s">
        <v>28</v>
      </c>
      <c r="I3516" s="11" t="s">
        <v>28</v>
      </c>
      <c r="J3516" s="11" t="s">
        <v>28</v>
      </c>
      <c r="K3516" s="11" t="s">
        <v>28</v>
      </c>
      <c r="L3516" s="11" t="s">
        <v>28</v>
      </c>
      <c r="M3516" s="11" t="s">
        <v>28</v>
      </c>
      <c r="N3516" s="8">
        <v>44610</v>
      </c>
      <c r="O3516" s="9" t="s">
        <v>30</v>
      </c>
      <c r="P3516" s="12" t="s">
        <v>769</v>
      </c>
      <c r="Q3516" s="9" t="s">
        <v>188</v>
      </c>
      <c r="R3516" s="14" t="str">
        <f>HYPERLINK("https://my.pitchbook.com?c=209553-49T","View Company Online")</f>
        <v>View Company Online</v>
      </c>
    </row>
    <row r="3517" spans="1:18" hidden="1" x14ac:dyDescent="0.3">
      <c r="A3517" s="15" t="s">
        <v>11659</v>
      </c>
      <c r="B3517" s="15" t="s">
        <v>11660</v>
      </c>
      <c r="C3517" s="18" t="s">
        <v>28</v>
      </c>
      <c r="D3517" s="15" t="s">
        <v>11661</v>
      </c>
      <c r="E3517" s="18" t="s">
        <v>28</v>
      </c>
      <c r="F3517" s="19" t="s">
        <v>28</v>
      </c>
      <c r="G3517" s="19">
        <v>13.16</v>
      </c>
      <c r="H3517" s="19" t="s">
        <v>28</v>
      </c>
      <c r="I3517" s="18" t="s">
        <v>28</v>
      </c>
      <c r="J3517" s="18" t="s">
        <v>28</v>
      </c>
      <c r="K3517" s="18" t="s">
        <v>28</v>
      </c>
      <c r="L3517" s="18" t="s">
        <v>28</v>
      </c>
      <c r="M3517" s="18" t="s">
        <v>28</v>
      </c>
      <c r="N3517" s="17">
        <v>44610</v>
      </c>
      <c r="O3517" s="15" t="s">
        <v>79</v>
      </c>
      <c r="P3517" s="16" t="s">
        <v>11662</v>
      </c>
      <c r="Q3517" s="15" t="s">
        <v>285</v>
      </c>
      <c r="R3517" s="13" t="str">
        <f>HYPERLINK("https://my.pitchbook.com?c=213671-44T","View Company Online")</f>
        <v>View Company Online</v>
      </c>
    </row>
    <row r="3518" spans="1:18" hidden="1" x14ac:dyDescent="0.3">
      <c r="A3518" s="9" t="s">
        <v>11663</v>
      </c>
      <c r="B3518" s="9" t="s">
        <v>11664</v>
      </c>
      <c r="C3518" s="11" t="s">
        <v>28</v>
      </c>
      <c r="D3518" s="9" t="s">
        <v>11665</v>
      </c>
      <c r="E3518" s="11" t="s">
        <v>28</v>
      </c>
      <c r="F3518" s="10" t="s">
        <v>28</v>
      </c>
      <c r="G3518" s="10">
        <v>1.1200000000000001</v>
      </c>
      <c r="H3518" s="10" t="s">
        <v>28</v>
      </c>
      <c r="I3518" s="11" t="s">
        <v>28</v>
      </c>
      <c r="J3518" s="11" t="s">
        <v>28</v>
      </c>
      <c r="K3518" s="11" t="s">
        <v>28</v>
      </c>
      <c r="L3518" s="11" t="s">
        <v>28</v>
      </c>
      <c r="M3518" s="11" t="s">
        <v>28</v>
      </c>
      <c r="N3518" s="8">
        <v>44609</v>
      </c>
      <c r="O3518" s="9" t="s">
        <v>73</v>
      </c>
      <c r="P3518" s="12" t="s">
        <v>11666</v>
      </c>
      <c r="Q3518" s="9" t="s">
        <v>75</v>
      </c>
      <c r="R3518" s="14" t="str">
        <f>HYPERLINK("https://my.pitchbook.com?c=188743-24T","View Company Online")</f>
        <v>View Company Online</v>
      </c>
    </row>
    <row r="3519" spans="1:18" hidden="1" x14ac:dyDescent="0.3">
      <c r="A3519" s="15" t="s">
        <v>11667</v>
      </c>
      <c r="B3519" s="15" t="s">
        <v>4574</v>
      </c>
      <c r="C3519" s="18" t="s">
        <v>28</v>
      </c>
      <c r="D3519" s="15" t="s">
        <v>4575</v>
      </c>
      <c r="E3519" s="18" t="s">
        <v>28</v>
      </c>
      <c r="F3519" s="19" t="s">
        <v>28</v>
      </c>
      <c r="G3519" s="19" t="s">
        <v>28</v>
      </c>
      <c r="H3519" s="19" t="s">
        <v>28</v>
      </c>
      <c r="I3519" s="18" t="s">
        <v>28</v>
      </c>
      <c r="J3519" s="18" t="s">
        <v>28</v>
      </c>
      <c r="K3519" s="18" t="s">
        <v>28</v>
      </c>
      <c r="L3519" s="18" t="s">
        <v>28</v>
      </c>
      <c r="M3519" s="18" t="s">
        <v>28</v>
      </c>
      <c r="N3519" s="17">
        <v>44609</v>
      </c>
      <c r="O3519" s="15" t="s">
        <v>99</v>
      </c>
      <c r="P3519" s="16" t="s">
        <v>28</v>
      </c>
      <c r="Q3519" s="15" t="s">
        <v>566</v>
      </c>
      <c r="R3519" s="13" t="str">
        <f>HYPERLINK("https://my.pitchbook.com?c=188722-45T","View Company Online")</f>
        <v>View Company Online</v>
      </c>
    </row>
    <row r="3520" spans="1:18" hidden="1" x14ac:dyDescent="0.3">
      <c r="A3520" s="9" t="s">
        <v>11668</v>
      </c>
      <c r="B3520" s="9" t="s">
        <v>3095</v>
      </c>
      <c r="C3520" s="11" t="s">
        <v>28</v>
      </c>
      <c r="D3520" s="9" t="s">
        <v>3096</v>
      </c>
      <c r="E3520" s="11" t="s">
        <v>28</v>
      </c>
      <c r="F3520" s="10" t="s">
        <v>28</v>
      </c>
      <c r="G3520" s="10">
        <v>2.7</v>
      </c>
      <c r="H3520" s="10" t="s">
        <v>28</v>
      </c>
      <c r="I3520" s="11" t="s">
        <v>28</v>
      </c>
      <c r="J3520" s="11" t="s">
        <v>28</v>
      </c>
      <c r="K3520" s="11" t="s">
        <v>28</v>
      </c>
      <c r="L3520" s="11" t="s">
        <v>28</v>
      </c>
      <c r="M3520" s="11" t="s">
        <v>28</v>
      </c>
      <c r="N3520" s="8">
        <v>44609</v>
      </c>
      <c r="O3520" s="9" t="s">
        <v>99</v>
      </c>
      <c r="P3520" s="12" t="s">
        <v>11669</v>
      </c>
      <c r="Q3520" s="9" t="s">
        <v>404</v>
      </c>
      <c r="R3520" s="14" t="str">
        <f>HYPERLINK("https://my.pitchbook.com?c=188234-02T","View Company Online")</f>
        <v>View Company Online</v>
      </c>
    </row>
    <row r="3521" spans="1:18" hidden="1" x14ac:dyDescent="0.3">
      <c r="A3521" s="15" t="s">
        <v>11670</v>
      </c>
      <c r="B3521" s="15" t="s">
        <v>9620</v>
      </c>
      <c r="C3521" s="18" t="s">
        <v>28</v>
      </c>
      <c r="D3521" s="15" t="s">
        <v>9621</v>
      </c>
      <c r="E3521" s="18" t="s">
        <v>28</v>
      </c>
      <c r="F3521" s="19" t="s">
        <v>28</v>
      </c>
      <c r="G3521" s="19">
        <v>0.56000000000000005</v>
      </c>
      <c r="H3521" s="19" t="s">
        <v>28</v>
      </c>
      <c r="I3521" s="18" t="s">
        <v>28</v>
      </c>
      <c r="J3521" s="18" t="s">
        <v>28</v>
      </c>
      <c r="K3521" s="18" t="s">
        <v>28</v>
      </c>
      <c r="L3521" s="18" t="s">
        <v>28</v>
      </c>
      <c r="M3521" s="18" t="s">
        <v>28</v>
      </c>
      <c r="N3521" s="17">
        <v>44609</v>
      </c>
      <c r="O3521" s="15" t="s">
        <v>99</v>
      </c>
      <c r="P3521" s="16" t="s">
        <v>11671</v>
      </c>
      <c r="Q3521" s="15" t="s">
        <v>75</v>
      </c>
      <c r="R3521" s="13" t="str">
        <f>HYPERLINK("https://my.pitchbook.com?c=204266-17T","View Company Online")</f>
        <v>View Company Online</v>
      </c>
    </row>
    <row r="3522" spans="1:18" hidden="1" x14ac:dyDescent="0.3">
      <c r="A3522" s="9" t="s">
        <v>11672</v>
      </c>
      <c r="B3522" s="9" t="s">
        <v>11673</v>
      </c>
      <c r="C3522" s="11" t="s">
        <v>28</v>
      </c>
      <c r="D3522" s="9" t="s">
        <v>11674</v>
      </c>
      <c r="E3522" s="11" t="s">
        <v>28</v>
      </c>
      <c r="F3522" s="10" t="s">
        <v>28</v>
      </c>
      <c r="G3522" s="10" t="s">
        <v>28</v>
      </c>
      <c r="H3522" s="10" t="s">
        <v>28</v>
      </c>
      <c r="I3522" s="11" t="s">
        <v>28</v>
      </c>
      <c r="J3522" s="11" t="s">
        <v>28</v>
      </c>
      <c r="K3522" s="11" t="s">
        <v>28</v>
      </c>
      <c r="L3522" s="11" t="s">
        <v>28</v>
      </c>
      <c r="M3522" s="11" t="s">
        <v>28</v>
      </c>
      <c r="N3522" s="8">
        <v>44609</v>
      </c>
      <c r="O3522" s="9" t="s">
        <v>52</v>
      </c>
      <c r="P3522" s="12" t="s">
        <v>1880</v>
      </c>
      <c r="Q3522" s="9" t="s">
        <v>43</v>
      </c>
      <c r="R3522" s="14" t="str">
        <f>HYPERLINK("https://my.pitchbook.com?c=251909-29T","View Company Online")</f>
        <v>View Company Online</v>
      </c>
    </row>
    <row r="3523" spans="1:18" hidden="1" x14ac:dyDescent="0.3">
      <c r="A3523" s="15" t="s">
        <v>11675</v>
      </c>
      <c r="B3523" s="15" t="s">
        <v>11676</v>
      </c>
      <c r="C3523" s="18" t="s">
        <v>28</v>
      </c>
      <c r="D3523" s="15" t="s">
        <v>11677</v>
      </c>
      <c r="E3523" s="18" t="s">
        <v>28</v>
      </c>
      <c r="F3523" s="19" t="s">
        <v>28</v>
      </c>
      <c r="G3523" s="19" t="s">
        <v>28</v>
      </c>
      <c r="H3523" s="19" t="s">
        <v>28</v>
      </c>
      <c r="I3523" s="18" t="s">
        <v>28</v>
      </c>
      <c r="J3523" s="18" t="s">
        <v>28</v>
      </c>
      <c r="K3523" s="18" t="s">
        <v>28</v>
      </c>
      <c r="L3523" s="18" t="s">
        <v>28</v>
      </c>
      <c r="M3523" s="18" t="s">
        <v>28</v>
      </c>
      <c r="N3523" s="17">
        <v>44609</v>
      </c>
      <c r="O3523" s="15" t="s">
        <v>52</v>
      </c>
      <c r="P3523" s="16" t="s">
        <v>4589</v>
      </c>
      <c r="Q3523" s="15" t="s">
        <v>583</v>
      </c>
      <c r="R3523" s="13" t="str">
        <f>HYPERLINK("https://my.pitchbook.com?c=265484-44T","View Company Online")</f>
        <v>View Company Online</v>
      </c>
    </row>
    <row r="3524" spans="1:18" hidden="1" x14ac:dyDescent="0.3">
      <c r="A3524" s="9" t="s">
        <v>11678</v>
      </c>
      <c r="B3524" s="9" t="s">
        <v>11679</v>
      </c>
      <c r="C3524" s="11" t="s">
        <v>28</v>
      </c>
      <c r="D3524" s="9" t="s">
        <v>11680</v>
      </c>
      <c r="E3524" s="11" t="s">
        <v>28</v>
      </c>
      <c r="F3524" s="10" t="s">
        <v>28</v>
      </c>
      <c r="G3524" s="10" t="s">
        <v>28</v>
      </c>
      <c r="H3524" s="10" t="s">
        <v>28</v>
      </c>
      <c r="I3524" s="11" t="s">
        <v>28</v>
      </c>
      <c r="J3524" s="11" t="s">
        <v>28</v>
      </c>
      <c r="K3524" s="11" t="s">
        <v>28</v>
      </c>
      <c r="L3524" s="11" t="s">
        <v>28</v>
      </c>
      <c r="M3524" s="11" t="s">
        <v>28</v>
      </c>
      <c r="N3524" s="8">
        <v>44608</v>
      </c>
      <c r="O3524" s="9" t="s">
        <v>30</v>
      </c>
      <c r="P3524" s="12" t="s">
        <v>3631</v>
      </c>
      <c r="Q3524" s="9" t="s">
        <v>75</v>
      </c>
      <c r="R3524" s="14" t="str">
        <f>HYPERLINK("https://my.pitchbook.com?c=296041-51T","View Company Online")</f>
        <v>View Company Online</v>
      </c>
    </row>
    <row r="3525" spans="1:18" hidden="1" x14ac:dyDescent="0.3">
      <c r="A3525" s="15" t="s">
        <v>11681</v>
      </c>
      <c r="B3525" s="15" t="s">
        <v>11682</v>
      </c>
      <c r="C3525" s="18" t="s">
        <v>28</v>
      </c>
      <c r="D3525" s="15" t="s">
        <v>11683</v>
      </c>
      <c r="E3525" s="18" t="s">
        <v>28</v>
      </c>
      <c r="F3525" s="19" t="s">
        <v>28</v>
      </c>
      <c r="G3525" s="19">
        <v>1.87</v>
      </c>
      <c r="H3525" s="19" t="s">
        <v>28</v>
      </c>
      <c r="I3525" s="18" t="s">
        <v>28</v>
      </c>
      <c r="J3525" s="18" t="s">
        <v>28</v>
      </c>
      <c r="K3525" s="18" t="s">
        <v>28</v>
      </c>
      <c r="L3525" s="18" t="s">
        <v>28</v>
      </c>
      <c r="M3525" s="18" t="s">
        <v>28</v>
      </c>
      <c r="N3525" s="17">
        <v>44608</v>
      </c>
      <c r="O3525" s="15" t="s">
        <v>99</v>
      </c>
      <c r="P3525" s="16" t="s">
        <v>574</v>
      </c>
      <c r="Q3525" s="15" t="s">
        <v>419</v>
      </c>
      <c r="R3525" s="13" t="str">
        <f>HYPERLINK("https://my.pitchbook.com?c=182696-59T","View Company Online")</f>
        <v>View Company Online</v>
      </c>
    </row>
    <row r="3526" spans="1:18" hidden="1" x14ac:dyDescent="0.3">
      <c r="A3526" s="9" t="s">
        <v>11684</v>
      </c>
      <c r="B3526" s="9" t="s">
        <v>1288</v>
      </c>
      <c r="C3526" s="11" t="s">
        <v>28</v>
      </c>
      <c r="D3526" s="9" t="s">
        <v>1289</v>
      </c>
      <c r="E3526" s="11" t="s">
        <v>28</v>
      </c>
      <c r="F3526" s="10" t="s">
        <v>28</v>
      </c>
      <c r="G3526" s="10">
        <v>0.5</v>
      </c>
      <c r="H3526" s="10" t="s">
        <v>28</v>
      </c>
      <c r="I3526" s="11" t="s">
        <v>28</v>
      </c>
      <c r="J3526" s="11" t="s">
        <v>28</v>
      </c>
      <c r="K3526" s="11" t="s">
        <v>28</v>
      </c>
      <c r="L3526" s="11" t="s">
        <v>28</v>
      </c>
      <c r="M3526" s="11" t="s">
        <v>28</v>
      </c>
      <c r="N3526" s="8">
        <v>44608</v>
      </c>
      <c r="O3526" s="9" t="s">
        <v>52</v>
      </c>
      <c r="P3526" s="12" t="s">
        <v>3944</v>
      </c>
      <c r="Q3526" s="9" t="s">
        <v>75</v>
      </c>
      <c r="R3526" s="14" t="str">
        <f>HYPERLINK("https://my.pitchbook.com?c=189886-87T","View Company Online")</f>
        <v>View Company Online</v>
      </c>
    </row>
    <row r="3527" spans="1:18" hidden="1" x14ac:dyDescent="0.3">
      <c r="A3527" s="15" t="s">
        <v>11685</v>
      </c>
      <c r="B3527" s="15" t="s">
        <v>11686</v>
      </c>
      <c r="C3527" s="18" t="s">
        <v>28</v>
      </c>
      <c r="D3527" s="15" t="s">
        <v>11687</v>
      </c>
      <c r="E3527" s="18" t="s">
        <v>28</v>
      </c>
      <c r="F3527" s="19" t="s">
        <v>28</v>
      </c>
      <c r="G3527" s="19" t="s">
        <v>28</v>
      </c>
      <c r="H3527" s="19" t="s">
        <v>28</v>
      </c>
      <c r="I3527" s="18" t="s">
        <v>28</v>
      </c>
      <c r="J3527" s="18" t="s">
        <v>28</v>
      </c>
      <c r="K3527" s="18" t="s">
        <v>28</v>
      </c>
      <c r="L3527" s="18" t="s">
        <v>28</v>
      </c>
      <c r="M3527" s="18" t="s">
        <v>28</v>
      </c>
      <c r="N3527" s="17">
        <v>44608</v>
      </c>
      <c r="O3527" s="15" t="s">
        <v>41</v>
      </c>
      <c r="P3527" s="16" t="s">
        <v>11688</v>
      </c>
      <c r="Q3527" s="15" t="s">
        <v>37</v>
      </c>
      <c r="R3527" s="13" t="str">
        <f>HYPERLINK("https://my.pitchbook.com?c=220957-57T","View Company Online")</f>
        <v>View Company Online</v>
      </c>
    </row>
    <row r="3528" spans="1:18" hidden="1" x14ac:dyDescent="0.3">
      <c r="A3528" s="9" t="s">
        <v>11689</v>
      </c>
      <c r="B3528" s="9" t="s">
        <v>2658</v>
      </c>
      <c r="C3528" s="11" t="s">
        <v>28</v>
      </c>
      <c r="D3528" s="9" t="s">
        <v>2659</v>
      </c>
      <c r="E3528" s="11" t="s">
        <v>28</v>
      </c>
      <c r="F3528" s="10" t="s">
        <v>28</v>
      </c>
      <c r="G3528" s="10">
        <v>29.86</v>
      </c>
      <c r="H3528" s="10">
        <v>29.86</v>
      </c>
      <c r="I3528" s="11" t="s">
        <v>28</v>
      </c>
      <c r="J3528" s="11" t="s">
        <v>28</v>
      </c>
      <c r="K3528" s="11">
        <v>85</v>
      </c>
      <c r="L3528" s="11">
        <v>0.35</v>
      </c>
      <c r="M3528" s="11">
        <v>3</v>
      </c>
      <c r="N3528" s="8">
        <v>44607</v>
      </c>
      <c r="O3528" s="9" t="s">
        <v>41</v>
      </c>
      <c r="P3528" s="12" t="s">
        <v>11690</v>
      </c>
      <c r="Q3528" s="9" t="s">
        <v>774</v>
      </c>
      <c r="R3528" s="14" t="str">
        <f>HYPERLINK("https://my.pitchbook.com?c=181121-05T","View Company Online")</f>
        <v>View Company Online</v>
      </c>
    </row>
    <row r="3529" spans="1:18" hidden="1" x14ac:dyDescent="0.3">
      <c r="A3529" s="15" t="s">
        <v>11691</v>
      </c>
      <c r="B3529" s="15" t="s">
        <v>2959</v>
      </c>
      <c r="C3529" s="18" t="s">
        <v>28</v>
      </c>
      <c r="D3529" s="15" t="s">
        <v>2960</v>
      </c>
      <c r="E3529" s="18" t="s">
        <v>28</v>
      </c>
      <c r="F3529" s="19" t="s">
        <v>28</v>
      </c>
      <c r="G3529" s="19">
        <v>0.65</v>
      </c>
      <c r="H3529" s="19" t="s">
        <v>28</v>
      </c>
      <c r="I3529" s="18" t="s">
        <v>28</v>
      </c>
      <c r="J3529" s="18" t="s">
        <v>28</v>
      </c>
      <c r="K3529" s="18">
        <v>1.33</v>
      </c>
      <c r="L3529" s="18" t="s">
        <v>28</v>
      </c>
      <c r="M3529" s="18" t="s">
        <v>28</v>
      </c>
      <c r="N3529" s="17">
        <v>44607</v>
      </c>
      <c r="O3529" s="15" t="s">
        <v>73</v>
      </c>
      <c r="P3529" s="16" t="s">
        <v>11692</v>
      </c>
      <c r="Q3529" s="15" t="s">
        <v>583</v>
      </c>
      <c r="R3529" s="13" t="str">
        <f>HYPERLINK("https://my.pitchbook.com?c=188500-24T","View Company Online")</f>
        <v>View Company Online</v>
      </c>
    </row>
    <row r="3530" spans="1:18" hidden="1" x14ac:dyDescent="0.3">
      <c r="A3530" s="9" t="s">
        <v>11693</v>
      </c>
      <c r="B3530" s="9" t="s">
        <v>5520</v>
      </c>
      <c r="C3530" s="11" t="s">
        <v>28</v>
      </c>
      <c r="D3530" s="9" t="s">
        <v>5521</v>
      </c>
      <c r="E3530" s="11" t="s">
        <v>28</v>
      </c>
      <c r="F3530" s="10" t="s">
        <v>28</v>
      </c>
      <c r="G3530" s="10">
        <v>1.1599999999999999</v>
      </c>
      <c r="H3530" s="10" t="s">
        <v>28</v>
      </c>
      <c r="I3530" s="11" t="s">
        <v>28</v>
      </c>
      <c r="J3530" s="11" t="s">
        <v>28</v>
      </c>
      <c r="K3530" s="11" t="s">
        <v>28</v>
      </c>
      <c r="L3530" s="11" t="s">
        <v>28</v>
      </c>
      <c r="M3530" s="11" t="s">
        <v>28</v>
      </c>
      <c r="N3530" s="8">
        <v>44607</v>
      </c>
      <c r="O3530" s="9" t="s">
        <v>73</v>
      </c>
      <c r="P3530" s="12" t="s">
        <v>11694</v>
      </c>
      <c r="Q3530" s="9" t="s">
        <v>114</v>
      </c>
      <c r="R3530" s="14" t="str">
        <f>HYPERLINK("https://my.pitchbook.com?c=188572-06T","View Company Online")</f>
        <v>View Company Online</v>
      </c>
    </row>
    <row r="3531" spans="1:18" hidden="1" x14ac:dyDescent="0.3">
      <c r="A3531" s="15" t="s">
        <v>11695</v>
      </c>
      <c r="B3531" s="15" t="s">
        <v>11696</v>
      </c>
      <c r="C3531" s="18" t="s">
        <v>28</v>
      </c>
      <c r="D3531" s="15" t="s">
        <v>11697</v>
      </c>
      <c r="E3531" s="18" t="s">
        <v>28</v>
      </c>
      <c r="F3531" s="19" t="s">
        <v>28</v>
      </c>
      <c r="G3531" s="19">
        <v>4.1500000000000004</v>
      </c>
      <c r="H3531" s="19" t="s">
        <v>28</v>
      </c>
      <c r="I3531" s="18" t="s">
        <v>28</v>
      </c>
      <c r="J3531" s="18" t="s">
        <v>28</v>
      </c>
      <c r="K3531" s="18" t="s">
        <v>28</v>
      </c>
      <c r="L3531" s="18" t="s">
        <v>28</v>
      </c>
      <c r="M3531" s="18" t="s">
        <v>28</v>
      </c>
      <c r="N3531" s="17">
        <v>44607</v>
      </c>
      <c r="O3531" s="15" t="s">
        <v>99</v>
      </c>
      <c r="P3531" s="16" t="s">
        <v>11698</v>
      </c>
      <c r="Q3531" s="15" t="s">
        <v>37</v>
      </c>
      <c r="R3531" s="13" t="str">
        <f>HYPERLINK("https://my.pitchbook.com?c=188014-33T","View Company Online")</f>
        <v>View Company Online</v>
      </c>
    </row>
    <row r="3532" spans="1:18" hidden="1" x14ac:dyDescent="0.3">
      <c r="A3532" s="9" t="s">
        <v>11699</v>
      </c>
      <c r="B3532" s="9" t="s">
        <v>507</v>
      </c>
      <c r="C3532" s="11" t="s">
        <v>28</v>
      </c>
      <c r="D3532" s="9" t="s">
        <v>508</v>
      </c>
      <c r="E3532" s="11" t="s">
        <v>28</v>
      </c>
      <c r="F3532" s="10" t="s">
        <v>28</v>
      </c>
      <c r="G3532" s="10">
        <v>2</v>
      </c>
      <c r="H3532" s="10">
        <v>15.4</v>
      </c>
      <c r="I3532" s="11">
        <v>-0.1</v>
      </c>
      <c r="J3532" s="11">
        <v>-154</v>
      </c>
      <c r="K3532" s="11">
        <v>0.6</v>
      </c>
      <c r="L3532" s="11">
        <v>25.67</v>
      </c>
      <c r="M3532" s="11" t="s">
        <v>28</v>
      </c>
      <c r="N3532" s="8">
        <v>44606</v>
      </c>
      <c r="O3532" s="9" t="s">
        <v>73</v>
      </c>
      <c r="P3532" s="12" t="s">
        <v>11700</v>
      </c>
      <c r="Q3532" s="9" t="s">
        <v>75</v>
      </c>
      <c r="R3532" s="14" t="str">
        <f>HYPERLINK("https://my.pitchbook.com?c=187307-65T","View Company Online")</f>
        <v>View Company Online</v>
      </c>
    </row>
    <row r="3533" spans="1:18" hidden="1" x14ac:dyDescent="0.3">
      <c r="A3533" s="15" t="s">
        <v>11701</v>
      </c>
      <c r="B3533" s="15" t="s">
        <v>3009</v>
      </c>
      <c r="C3533" s="18" t="s">
        <v>28</v>
      </c>
      <c r="D3533" s="15" t="s">
        <v>3010</v>
      </c>
      <c r="E3533" s="18" t="s">
        <v>28</v>
      </c>
      <c r="F3533" s="19" t="s">
        <v>28</v>
      </c>
      <c r="G3533" s="19" t="s">
        <v>28</v>
      </c>
      <c r="H3533" s="19" t="s">
        <v>28</v>
      </c>
      <c r="I3533" s="18" t="s">
        <v>28</v>
      </c>
      <c r="J3533" s="18" t="s">
        <v>28</v>
      </c>
      <c r="K3533" s="18" t="s">
        <v>28</v>
      </c>
      <c r="L3533" s="18" t="s">
        <v>28</v>
      </c>
      <c r="M3533" s="18" t="s">
        <v>28</v>
      </c>
      <c r="N3533" s="17">
        <v>44606</v>
      </c>
      <c r="O3533" s="15" t="s">
        <v>52</v>
      </c>
      <c r="P3533" s="16" t="s">
        <v>1880</v>
      </c>
      <c r="Q3533" s="15" t="s">
        <v>37</v>
      </c>
      <c r="R3533" s="13" t="str">
        <f>HYPERLINK("https://my.pitchbook.com?c=199744-30T","View Company Online")</f>
        <v>View Company Online</v>
      </c>
    </row>
    <row r="3534" spans="1:18" hidden="1" x14ac:dyDescent="0.3">
      <c r="A3534" s="9" t="s">
        <v>11702</v>
      </c>
      <c r="B3534" s="9" t="s">
        <v>11703</v>
      </c>
      <c r="C3534" s="11" t="s">
        <v>28</v>
      </c>
      <c r="D3534" s="9" t="s">
        <v>11704</v>
      </c>
      <c r="E3534" s="11" t="s">
        <v>28</v>
      </c>
      <c r="F3534" s="10" t="s">
        <v>28</v>
      </c>
      <c r="G3534" s="10" t="s">
        <v>28</v>
      </c>
      <c r="H3534" s="10" t="s">
        <v>28</v>
      </c>
      <c r="I3534" s="11" t="s">
        <v>28</v>
      </c>
      <c r="J3534" s="11" t="s">
        <v>28</v>
      </c>
      <c r="K3534" s="11" t="s">
        <v>28</v>
      </c>
      <c r="L3534" s="11" t="s">
        <v>28</v>
      </c>
      <c r="M3534" s="11" t="s">
        <v>28</v>
      </c>
      <c r="N3534" s="8">
        <v>44606</v>
      </c>
      <c r="O3534" s="9" t="s">
        <v>30</v>
      </c>
      <c r="P3534" s="12" t="s">
        <v>7567</v>
      </c>
      <c r="Q3534" s="9" t="s">
        <v>75</v>
      </c>
      <c r="R3534" s="14" t="str">
        <f>HYPERLINK("https://my.pitchbook.com?c=188444-44T","View Company Online")</f>
        <v>View Company Online</v>
      </c>
    </row>
    <row r="3535" spans="1:18" hidden="1" x14ac:dyDescent="0.3">
      <c r="A3535" s="15" t="s">
        <v>11705</v>
      </c>
      <c r="B3535" s="15" t="s">
        <v>11706</v>
      </c>
      <c r="C3535" s="18" t="s">
        <v>28</v>
      </c>
      <c r="D3535" s="15" t="s">
        <v>11707</v>
      </c>
      <c r="E3535" s="18" t="s">
        <v>28</v>
      </c>
      <c r="F3535" s="19" t="s">
        <v>28</v>
      </c>
      <c r="G3535" s="19">
        <v>0.93</v>
      </c>
      <c r="H3535" s="19" t="s">
        <v>28</v>
      </c>
      <c r="I3535" s="18" t="s">
        <v>28</v>
      </c>
      <c r="J3535" s="18" t="s">
        <v>28</v>
      </c>
      <c r="K3535" s="18" t="s">
        <v>28</v>
      </c>
      <c r="L3535" s="18" t="s">
        <v>28</v>
      </c>
      <c r="M3535" s="18" t="s">
        <v>28</v>
      </c>
      <c r="N3535" s="17">
        <v>44606</v>
      </c>
      <c r="O3535" s="15" t="s">
        <v>99</v>
      </c>
      <c r="P3535" s="16" t="s">
        <v>11708</v>
      </c>
      <c r="Q3535" s="15" t="s">
        <v>37</v>
      </c>
      <c r="R3535" s="13" t="str">
        <f>HYPERLINK("https://my.pitchbook.com?c=188504-83T","View Company Online")</f>
        <v>View Company Online</v>
      </c>
    </row>
    <row r="3536" spans="1:18" hidden="1" x14ac:dyDescent="0.3">
      <c r="A3536" s="9" t="s">
        <v>11709</v>
      </c>
      <c r="B3536" s="9" t="s">
        <v>8484</v>
      </c>
      <c r="C3536" s="11" t="s">
        <v>28</v>
      </c>
      <c r="D3536" s="9" t="s">
        <v>11710</v>
      </c>
      <c r="E3536" s="11" t="s">
        <v>28</v>
      </c>
      <c r="F3536" s="10" t="s">
        <v>28</v>
      </c>
      <c r="G3536" s="10">
        <v>300</v>
      </c>
      <c r="H3536" s="10">
        <v>1700</v>
      </c>
      <c r="I3536" s="11" t="s">
        <v>28</v>
      </c>
      <c r="J3536" s="11" t="s">
        <v>28</v>
      </c>
      <c r="K3536" s="11" t="s">
        <v>28</v>
      </c>
      <c r="L3536" s="11" t="s">
        <v>28</v>
      </c>
      <c r="M3536" s="11" t="s">
        <v>28</v>
      </c>
      <c r="N3536" s="8">
        <v>44606</v>
      </c>
      <c r="O3536" s="9" t="s">
        <v>79</v>
      </c>
      <c r="P3536" s="12" t="s">
        <v>11711</v>
      </c>
      <c r="Q3536" s="9" t="s">
        <v>114</v>
      </c>
      <c r="R3536" s="14" t="str">
        <f>HYPERLINK("https://my.pitchbook.com?c=188423-65T","View Company Online")</f>
        <v>View Company Online</v>
      </c>
    </row>
    <row r="3537" spans="1:18" hidden="1" x14ac:dyDescent="0.3">
      <c r="A3537" s="15" t="s">
        <v>11712</v>
      </c>
      <c r="B3537" s="15" t="s">
        <v>6469</v>
      </c>
      <c r="C3537" s="18" t="s">
        <v>28</v>
      </c>
      <c r="D3537" s="15" t="s">
        <v>6470</v>
      </c>
      <c r="E3537" s="18" t="s">
        <v>28</v>
      </c>
      <c r="F3537" s="19" t="s">
        <v>28</v>
      </c>
      <c r="G3537" s="19">
        <v>0.25</v>
      </c>
      <c r="H3537" s="19" t="s">
        <v>28</v>
      </c>
      <c r="I3537" s="18" t="s">
        <v>28</v>
      </c>
      <c r="J3537" s="18" t="s">
        <v>28</v>
      </c>
      <c r="K3537" s="18" t="s">
        <v>28</v>
      </c>
      <c r="L3537" s="18" t="s">
        <v>28</v>
      </c>
      <c r="M3537" s="18" t="s">
        <v>28</v>
      </c>
      <c r="N3537" s="17">
        <v>44603</v>
      </c>
      <c r="O3537" s="15" t="s">
        <v>79</v>
      </c>
      <c r="P3537" s="16" t="s">
        <v>11495</v>
      </c>
      <c r="Q3537" s="15" t="s">
        <v>75</v>
      </c>
      <c r="R3537" s="13" t="str">
        <f>HYPERLINK("https://my.pitchbook.com?c=194438-71T","View Company Online")</f>
        <v>View Company Online</v>
      </c>
    </row>
    <row r="3538" spans="1:18" hidden="1" x14ac:dyDescent="0.3">
      <c r="A3538" s="9" t="s">
        <v>11713</v>
      </c>
      <c r="B3538" s="9" t="s">
        <v>11714</v>
      </c>
      <c r="C3538" s="11" t="s">
        <v>28</v>
      </c>
      <c r="D3538" s="9" t="s">
        <v>11715</v>
      </c>
      <c r="E3538" s="11" t="s">
        <v>28</v>
      </c>
      <c r="F3538" s="10" t="s">
        <v>28</v>
      </c>
      <c r="G3538" s="10" t="s">
        <v>28</v>
      </c>
      <c r="H3538" s="10" t="s">
        <v>28</v>
      </c>
      <c r="I3538" s="11" t="s">
        <v>28</v>
      </c>
      <c r="J3538" s="11" t="s">
        <v>28</v>
      </c>
      <c r="K3538" s="11" t="s">
        <v>28</v>
      </c>
      <c r="L3538" s="11" t="s">
        <v>28</v>
      </c>
      <c r="M3538" s="11" t="s">
        <v>28</v>
      </c>
      <c r="N3538" s="8">
        <v>44603</v>
      </c>
      <c r="O3538" s="9" t="s">
        <v>30</v>
      </c>
      <c r="P3538" s="12" t="s">
        <v>11716</v>
      </c>
      <c r="Q3538" s="9" t="s">
        <v>399</v>
      </c>
      <c r="R3538" s="14" t="str">
        <f>HYPERLINK("https://my.pitchbook.com?c=210785-32T","View Company Online")</f>
        <v>View Company Online</v>
      </c>
    </row>
    <row r="3539" spans="1:18" hidden="1" x14ac:dyDescent="0.3">
      <c r="A3539" s="15" t="s">
        <v>11717</v>
      </c>
      <c r="B3539" s="15" t="s">
        <v>11718</v>
      </c>
      <c r="C3539" s="18" t="s">
        <v>28</v>
      </c>
      <c r="D3539" s="15" t="s">
        <v>11719</v>
      </c>
      <c r="E3539" s="18" t="s">
        <v>28</v>
      </c>
      <c r="F3539" s="19">
        <v>18.920000000000002</v>
      </c>
      <c r="G3539" s="19">
        <v>18.920000000000002</v>
      </c>
      <c r="H3539" s="19">
        <v>18.920000000000002</v>
      </c>
      <c r="I3539" s="18" t="s">
        <v>28</v>
      </c>
      <c r="J3539" s="18" t="s">
        <v>28</v>
      </c>
      <c r="K3539" s="18">
        <v>2.02</v>
      </c>
      <c r="L3539" s="18">
        <v>9.36</v>
      </c>
      <c r="M3539" s="18" t="s">
        <v>28</v>
      </c>
      <c r="N3539" s="17">
        <v>44603</v>
      </c>
      <c r="O3539" s="15" t="s">
        <v>30</v>
      </c>
      <c r="P3539" s="16" t="s">
        <v>3516</v>
      </c>
      <c r="Q3539" s="15" t="s">
        <v>1144</v>
      </c>
      <c r="R3539" s="13" t="str">
        <f>HYPERLINK("https://my.pitchbook.com?c=184475-53T","View Company Online")</f>
        <v>View Company Online</v>
      </c>
    </row>
    <row r="3540" spans="1:18" hidden="1" x14ac:dyDescent="0.3">
      <c r="A3540" s="9" t="s">
        <v>11720</v>
      </c>
      <c r="B3540" s="9" t="s">
        <v>11721</v>
      </c>
      <c r="C3540" s="11" t="s">
        <v>28</v>
      </c>
      <c r="D3540" s="9" t="s">
        <v>11722</v>
      </c>
      <c r="E3540" s="11" t="s">
        <v>28</v>
      </c>
      <c r="F3540" s="10" t="s">
        <v>28</v>
      </c>
      <c r="G3540" s="10">
        <v>0.06</v>
      </c>
      <c r="H3540" s="10" t="s">
        <v>28</v>
      </c>
      <c r="I3540" s="11" t="s">
        <v>28</v>
      </c>
      <c r="J3540" s="11" t="s">
        <v>28</v>
      </c>
      <c r="K3540" s="11" t="s">
        <v>28</v>
      </c>
      <c r="L3540" s="11" t="s">
        <v>28</v>
      </c>
      <c r="M3540" s="11" t="s">
        <v>28</v>
      </c>
      <c r="N3540" s="8">
        <v>44603</v>
      </c>
      <c r="O3540" s="9" t="s">
        <v>52</v>
      </c>
      <c r="P3540" s="12" t="s">
        <v>2864</v>
      </c>
      <c r="Q3540" s="9" t="s">
        <v>75</v>
      </c>
      <c r="R3540" s="14" t="str">
        <f>HYPERLINK("https://my.pitchbook.com?c=202272-85T","View Company Online")</f>
        <v>View Company Online</v>
      </c>
    </row>
    <row r="3541" spans="1:18" hidden="1" x14ac:dyDescent="0.3">
      <c r="A3541" s="15" t="s">
        <v>11723</v>
      </c>
      <c r="B3541" s="15" t="s">
        <v>652</v>
      </c>
      <c r="C3541" s="18" t="s">
        <v>28</v>
      </c>
      <c r="D3541" s="15" t="s">
        <v>653</v>
      </c>
      <c r="E3541" s="18" t="s">
        <v>28</v>
      </c>
      <c r="F3541" s="19" t="s">
        <v>28</v>
      </c>
      <c r="G3541" s="19">
        <v>0.37</v>
      </c>
      <c r="H3541" s="19" t="s">
        <v>28</v>
      </c>
      <c r="I3541" s="18" t="s">
        <v>28</v>
      </c>
      <c r="J3541" s="18" t="s">
        <v>28</v>
      </c>
      <c r="K3541" s="18" t="s">
        <v>28</v>
      </c>
      <c r="L3541" s="18" t="s">
        <v>28</v>
      </c>
      <c r="M3541" s="18" t="s">
        <v>28</v>
      </c>
      <c r="N3541" s="17">
        <v>44602</v>
      </c>
      <c r="O3541" s="15" t="s">
        <v>99</v>
      </c>
      <c r="P3541" s="16" t="s">
        <v>11724</v>
      </c>
      <c r="Q3541" s="15" t="s">
        <v>414</v>
      </c>
      <c r="R3541" s="13" t="str">
        <f>HYPERLINK("https://my.pitchbook.com?c=188265-52T","View Company Online")</f>
        <v>View Company Online</v>
      </c>
    </row>
    <row r="3542" spans="1:18" hidden="1" x14ac:dyDescent="0.3">
      <c r="A3542" s="9" t="s">
        <v>11725</v>
      </c>
      <c r="B3542" s="9" t="s">
        <v>2734</v>
      </c>
      <c r="C3542" s="11" t="s">
        <v>28</v>
      </c>
      <c r="D3542" s="9" t="s">
        <v>2735</v>
      </c>
      <c r="E3542" s="11" t="s">
        <v>28</v>
      </c>
      <c r="F3542" s="10" t="s">
        <v>28</v>
      </c>
      <c r="G3542" s="10" t="s">
        <v>28</v>
      </c>
      <c r="H3542" s="10" t="s">
        <v>28</v>
      </c>
      <c r="I3542" s="11" t="s">
        <v>28</v>
      </c>
      <c r="J3542" s="11" t="s">
        <v>28</v>
      </c>
      <c r="K3542" s="11" t="s">
        <v>28</v>
      </c>
      <c r="L3542" s="11" t="s">
        <v>28</v>
      </c>
      <c r="M3542" s="11" t="s">
        <v>28</v>
      </c>
      <c r="N3542" s="8">
        <v>44601</v>
      </c>
      <c r="O3542" s="9" t="s">
        <v>52</v>
      </c>
      <c r="P3542" s="12" t="s">
        <v>11726</v>
      </c>
      <c r="Q3542" s="9" t="s">
        <v>1035</v>
      </c>
      <c r="R3542" s="14" t="str">
        <f>HYPERLINK("https://my.pitchbook.com?c=292584-61T","View Company Online")</f>
        <v>View Company Online</v>
      </c>
    </row>
    <row r="3543" spans="1:18" hidden="1" x14ac:dyDescent="0.3">
      <c r="A3543" s="15" t="s">
        <v>11727</v>
      </c>
      <c r="B3543" s="15" t="s">
        <v>11728</v>
      </c>
      <c r="C3543" s="18" t="s">
        <v>28</v>
      </c>
      <c r="D3543" s="15" t="s">
        <v>11729</v>
      </c>
      <c r="E3543" s="18" t="s">
        <v>28</v>
      </c>
      <c r="F3543" s="19" t="s">
        <v>28</v>
      </c>
      <c r="G3543" s="19" t="s">
        <v>28</v>
      </c>
      <c r="H3543" s="19" t="s">
        <v>28</v>
      </c>
      <c r="I3543" s="18" t="s">
        <v>28</v>
      </c>
      <c r="J3543" s="18" t="s">
        <v>28</v>
      </c>
      <c r="K3543" s="18" t="s">
        <v>28</v>
      </c>
      <c r="L3543" s="18" t="s">
        <v>28</v>
      </c>
      <c r="M3543" s="18" t="s">
        <v>28</v>
      </c>
      <c r="N3543" s="17">
        <v>44601</v>
      </c>
      <c r="O3543" s="15" t="s">
        <v>73</v>
      </c>
      <c r="P3543" s="16" t="s">
        <v>28</v>
      </c>
      <c r="Q3543" s="15" t="s">
        <v>37</v>
      </c>
      <c r="R3543" s="13" t="str">
        <f>HYPERLINK("https://my.pitchbook.com?c=188281-63T","View Company Online")</f>
        <v>View Company Online</v>
      </c>
    </row>
    <row r="3544" spans="1:18" hidden="1" x14ac:dyDescent="0.3">
      <c r="A3544" s="9" t="s">
        <v>11730</v>
      </c>
      <c r="B3544" s="9" t="s">
        <v>11731</v>
      </c>
      <c r="C3544" s="11" t="s">
        <v>28</v>
      </c>
      <c r="D3544" s="9" t="s">
        <v>11732</v>
      </c>
      <c r="E3544" s="11" t="s">
        <v>28</v>
      </c>
      <c r="F3544" s="10" t="s">
        <v>28</v>
      </c>
      <c r="G3544" s="10">
        <v>1.29</v>
      </c>
      <c r="H3544" s="10" t="s">
        <v>28</v>
      </c>
      <c r="I3544" s="11" t="s">
        <v>28</v>
      </c>
      <c r="J3544" s="11" t="s">
        <v>28</v>
      </c>
      <c r="K3544" s="11" t="s">
        <v>28</v>
      </c>
      <c r="L3544" s="11" t="s">
        <v>28</v>
      </c>
      <c r="M3544" s="11" t="s">
        <v>28</v>
      </c>
      <c r="N3544" s="8">
        <v>44601</v>
      </c>
      <c r="O3544" s="9" t="s">
        <v>73</v>
      </c>
      <c r="P3544" s="12" t="s">
        <v>11733</v>
      </c>
      <c r="Q3544" s="9" t="s">
        <v>75</v>
      </c>
      <c r="R3544" s="14" t="str">
        <f>HYPERLINK("https://my.pitchbook.com?c=188433-64T","View Company Online")</f>
        <v>View Company Online</v>
      </c>
    </row>
    <row r="3545" spans="1:18" hidden="1" x14ac:dyDescent="0.3">
      <c r="A3545" s="15" t="s">
        <v>11734</v>
      </c>
      <c r="B3545" s="15" t="s">
        <v>11735</v>
      </c>
      <c r="C3545" s="18" t="s">
        <v>28</v>
      </c>
      <c r="D3545" s="15" t="s">
        <v>11736</v>
      </c>
      <c r="E3545" s="18" t="s">
        <v>28</v>
      </c>
      <c r="F3545" s="19" t="s">
        <v>28</v>
      </c>
      <c r="G3545" s="19">
        <v>27.67</v>
      </c>
      <c r="H3545" s="19" t="s">
        <v>28</v>
      </c>
      <c r="I3545" s="18" t="s">
        <v>28</v>
      </c>
      <c r="J3545" s="18" t="s">
        <v>28</v>
      </c>
      <c r="K3545" s="18" t="s">
        <v>28</v>
      </c>
      <c r="L3545" s="18" t="s">
        <v>28</v>
      </c>
      <c r="M3545" s="18" t="s">
        <v>28</v>
      </c>
      <c r="N3545" s="17">
        <v>44601</v>
      </c>
      <c r="O3545" s="15" t="s">
        <v>79</v>
      </c>
      <c r="P3545" s="16" t="s">
        <v>11737</v>
      </c>
      <c r="Q3545" s="15" t="s">
        <v>307</v>
      </c>
      <c r="R3545" s="13" t="str">
        <f>HYPERLINK("https://my.pitchbook.com?c=189882-19T","View Company Online")</f>
        <v>View Company Online</v>
      </c>
    </row>
    <row r="3546" spans="1:18" hidden="1" x14ac:dyDescent="0.3">
      <c r="A3546" s="9" t="s">
        <v>11738</v>
      </c>
      <c r="B3546" s="9" t="s">
        <v>11739</v>
      </c>
      <c r="C3546" s="11" t="s">
        <v>28</v>
      </c>
      <c r="D3546" s="9" t="s">
        <v>11740</v>
      </c>
      <c r="E3546" s="11" t="s">
        <v>28</v>
      </c>
      <c r="F3546" s="10" t="s">
        <v>28</v>
      </c>
      <c r="G3546" s="10" t="s">
        <v>28</v>
      </c>
      <c r="H3546" s="10" t="s">
        <v>28</v>
      </c>
      <c r="I3546" s="11" t="s">
        <v>28</v>
      </c>
      <c r="J3546" s="11" t="s">
        <v>28</v>
      </c>
      <c r="K3546" s="11" t="s">
        <v>28</v>
      </c>
      <c r="L3546" s="11" t="s">
        <v>28</v>
      </c>
      <c r="M3546" s="11" t="s">
        <v>28</v>
      </c>
      <c r="N3546" s="8">
        <v>44600</v>
      </c>
      <c r="O3546" s="9" t="s">
        <v>30</v>
      </c>
      <c r="P3546" s="12" t="s">
        <v>11741</v>
      </c>
      <c r="Q3546" s="9" t="s">
        <v>75</v>
      </c>
      <c r="R3546" s="14" t="str">
        <f>HYPERLINK("https://my.pitchbook.com?c=188330-77T","View Company Online")</f>
        <v>View Company Online</v>
      </c>
    </row>
    <row r="3547" spans="1:18" hidden="1" x14ac:dyDescent="0.3">
      <c r="A3547" s="15" t="s">
        <v>11742</v>
      </c>
      <c r="B3547" s="15" t="s">
        <v>11743</v>
      </c>
      <c r="C3547" s="18" t="s">
        <v>28</v>
      </c>
      <c r="D3547" s="15" t="s">
        <v>11744</v>
      </c>
      <c r="E3547" s="18" t="s">
        <v>28</v>
      </c>
      <c r="F3547" s="19" t="s">
        <v>28</v>
      </c>
      <c r="G3547" s="19">
        <v>2.76</v>
      </c>
      <c r="H3547" s="19" t="s">
        <v>28</v>
      </c>
      <c r="I3547" s="18" t="s">
        <v>28</v>
      </c>
      <c r="J3547" s="18" t="s">
        <v>28</v>
      </c>
      <c r="K3547" s="18" t="s">
        <v>28</v>
      </c>
      <c r="L3547" s="18" t="s">
        <v>28</v>
      </c>
      <c r="M3547" s="18" t="s">
        <v>28</v>
      </c>
      <c r="N3547" s="17">
        <v>44600</v>
      </c>
      <c r="O3547" s="15" t="s">
        <v>58</v>
      </c>
      <c r="P3547" s="16" t="s">
        <v>11745</v>
      </c>
      <c r="Q3547" s="15" t="s">
        <v>75</v>
      </c>
      <c r="R3547" s="13" t="str">
        <f>HYPERLINK("https://my.pitchbook.com?c=188228-17T","View Company Online")</f>
        <v>View Company Online</v>
      </c>
    </row>
    <row r="3548" spans="1:18" hidden="1" x14ac:dyDescent="0.3">
      <c r="A3548" s="9" t="s">
        <v>11746</v>
      </c>
      <c r="B3548" s="9" t="s">
        <v>11237</v>
      </c>
      <c r="C3548" s="11" t="s">
        <v>28</v>
      </c>
      <c r="D3548" s="9" t="s">
        <v>11747</v>
      </c>
      <c r="E3548" s="11">
        <v>902.46</v>
      </c>
      <c r="F3548" s="10" t="s">
        <v>28</v>
      </c>
      <c r="G3548" s="10">
        <v>512.02</v>
      </c>
      <c r="H3548" s="10" t="s">
        <v>28</v>
      </c>
      <c r="I3548" s="11">
        <v>1079.3599999999999</v>
      </c>
      <c r="J3548" s="11" t="s">
        <v>28</v>
      </c>
      <c r="K3548" s="11">
        <v>4375.82</v>
      </c>
      <c r="L3548" s="11" t="s">
        <v>28</v>
      </c>
      <c r="M3548" s="11">
        <v>684.7</v>
      </c>
      <c r="N3548" s="8">
        <v>44600</v>
      </c>
      <c r="O3548" s="9" t="s">
        <v>423</v>
      </c>
      <c r="P3548" s="12" t="s">
        <v>28</v>
      </c>
      <c r="Q3548" s="9" t="s">
        <v>348</v>
      </c>
      <c r="R3548" s="14" t="str">
        <f>HYPERLINK("https://my.pitchbook.com?c=189524-89T","View Company Online")</f>
        <v>View Company Online</v>
      </c>
    </row>
    <row r="3549" spans="1:18" hidden="1" x14ac:dyDescent="0.3">
      <c r="A3549" s="15" t="s">
        <v>11748</v>
      </c>
      <c r="B3549" s="15" t="s">
        <v>11749</v>
      </c>
      <c r="C3549" s="18" t="s">
        <v>28</v>
      </c>
      <c r="D3549" s="15" t="s">
        <v>11750</v>
      </c>
      <c r="E3549" s="18" t="s">
        <v>28</v>
      </c>
      <c r="F3549" s="19" t="s">
        <v>28</v>
      </c>
      <c r="G3549" s="19" t="s">
        <v>28</v>
      </c>
      <c r="H3549" s="19" t="s">
        <v>28</v>
      </c>
      <c r="I3549" s="18" t="s">
        <v>28</v>
      </c>
      <c r="J3549" s="18" t="s">
        <v>28</v>
      </c>
      <c r="K3549" s="18" t="s">
        <v>28</v>
      </c>
      <c r="L3549" s="18" t="s">
        <v>28</v>
      </c>
      <c r="M3549" s="18" t="s">
        <v>28</v>
      </c>
      <c r="N3549" s="17">
        <v>44600</v>
      </c>
      <c r="O3549" s="15" t="s">
        <v>73</v>
      </c>
      <c r="P3549" s="16" t="s">
        <v>11751</v>
      </c>
      <c r="Q3549" s="15" t="s">
        <v>37</v>
      </c>
      <c r="R3549" s="13" t="str">
        <f>HYPERLINK("https://my.pitchbook.com?c=197048-89T","View Company Online")</f>
        <v>View Company Online</v>
      </c>
    </row>
    <row r="3550" spans="1:18" hidden="1" x14ac:dyDescent="0.3">
      <c r="A3550" s="9" t="s">
        <v>11752</v>
      </c>
      <c r="B3550" s="9" t="s">
        <v>7465</v>
      </c>
      <c r="C3550" s="11" t="s">
        <v>28</v>
      </c>
      <c r="D3550" s="9" t="s">
        <v>7466</v>
      </c>
      <c r="E3550" s="11" t="s">
        <v>28</v>
      </c>
      <c r="F3550" s="10" t="s">
        <v>28</v>
      </c>
      <c r="G3550" s="10">
        <v>0.61</v>
      </c>
      <c r="H3550" s="10">
        <v>3.14</v>
      </c>
      <c r="I3550" s="11" t="s">
        <v>28</v>
      </c>
      <c r="J3550" s="11" t="s">
        <v>28</v>
      </c>
      <c r="K3550" s="11" t="s">
        <v>28</v>
      </c>
      <c r="L3550" s="11" t="s">
        <v>28</v>
      </c>
      <c r="M3550" s="11" t="s">
        <v>28</v>
      </c>
      <c r="N3550" s="8">
        <v>44600</v>
      </c>
      <c r="O3550" s="9" t="s">
        <v>1639</v>
      </c>
      <c r="P3550" s="12" t="s">
        <v>7084</v>
      </c>
      <c r="Q3550" s="9" t="s">
        <v>1191</v>
      </c>
      <c r="R3550" s="14" t="str">
        <f>HYPERLINK("https://my.pitchbook.com?c=186115-42T","View Company Online")</f>
        <v>View Company Online</v>
      </c>
    </row>
    <row r="3551" spans="1:18" hidden="1" x14ac:dyDescent="0.3">
      <c r="A3551" s="15" t="s">
        <v>11753</v>
      </c>
      <c r="B3551" s="15" t="s">
        <v>11754</v>
      </c>
      <c r="C3551" s="18" t="s">
        <v>28</v>
      </c>
      <c r="D3551" s="15" t="s">
        <v>11755</v>
      </c>
      <c r="E3551" s="18" t="s">
        <v>28</v>
      </c>
      <c r="F3551" s="19" t="s">
        <v>28</v>
      </c>
      <c r="G3551" s="19" t="s">
        <v>28</v>
      </c>
      <c r="H3551" s="19" t="s">
        <v>28</v>
      </c>
      <c r="I3551" s="18" t="s">
        <v>28</v>
      </c>
      <c r="J3551" s="18" t="s">
        <v>28</v>
      </c>
      <c r="K3551" s="18" t="s">
        <v>28</v>
      </c>
      <c r="L3551" s="18" t="s">
        <v>28</v>
      </c>
      <c r="M3551" s="18" t="s">
        <v>28</v>
      </c>
      <c r="N3551" s="17">
        <v>44599</v>
      </c>
      <c r="O3551" s="15" t="s">
        <v>30</v>
      </c>
      <c r="P3551" s="16" t="s">
        <v>11756</v>
      </c>
      <c r="Q3551" s="15" t="s">
        <v>37</v>
      </c>
      <c r="R3551" s="13" t="str">
        <f>HYPERLINK("https://my.pitchbook.com?c=210311-65T","View Company Online")</f>
        <v>View Company Online</v>
      </c>
    </row>
    <row r="3552" spans="1:18" hidden="1" x14ac:dyDescent="0.3">
      <c r="A3552" s="9" t="s">
        <v>11757</v>
      </c>
      <c r="B3552" s="9" t="s">
        <v>11758</v>
      </c>
      <c r="C3552" s="11" t="s">
        <v>28</v>
      </c>
      <c r="D3552" s="9" t="s">
        <v>11759</v>
      </c>
      <c r="E3552" s="11" t="s">
        <v>28</v>
      </c>
      <c r="F3552" s="10" t="s">
        <v>28</v>
      </c>
      <c r="G3552" s="10" t="s">
        <v>28</v>
      </c>
      <c r="H3552" s="10" t="s">
        <v>28</v>
      </c>
      <c r="I3552" s="11" t="s">
        <v>28</v>
      </c>
      <c r="J3552" s="11" t="s">
        <v>28</v>
      </c>
      <c r="K3552" s="11" t="s">
        <v>28</v>
      </c>
      <c r="L3552" s="11" t="s">
        <v>28</v>
      </c>
      <c r="M3552" s="11" t="s">
        <v>28</v>
      </c>
      <c r="N3552" s="8">
        <v>44599</v>
      </c>
      <c r="O3552" s="9" t="s">
        <v>30</v>
      </c>
      <c r="P3552" s="12" t="s">
        <v>11276</v>
      </c>
      <c r="Q3552" s="9" t="s">
        <v>114</v>
      </c>
      <c r="R3552" s="14" t="str">
        <f>HYPERLINK("https://my.pitchbook.com?c=191559-25T","View Company Online")</f>
        <v>View Company Online</v>
      </c>
    </row>
    <row r="3553" spans="1:18" hidden="1" x14ac:dyDescent="0.3">
      <c r="A3553" s="15" t="s">
        <v>11760</v>
      </c>
      <c r="B3553" s="15" t="s">
        <v>11761</v>
      </c>
      <c r="C3553" s="18" t="s">
        <v>28</v>
      </c>
      <c r="D3553" s="15" t="s">
        <v>11762</v>
      </c>
      <c r="E3553" s="18" t="s">
        <v>28</v>
      </c>
      <c r="F3553" s="19">
        <v>40.39</v>
      </c>
      <c r="G3553" s="19">
        <v>40.39</v>
      </c>
      <c r="H3553" s="19">
        <v>40.39</v>
      </c>
      <c r="I3553" s="18" t="s">
        <v>28</v>
      </c>
      <c r="J3553" s="18" t="s">
        <v>28</v>
      </c>
      <c r="K3553" s="18" t="s">
        <v>28</v>
      </c>
      <c r="L3553" s="18" t="s">
        <v>28</v>
      </c>
      <c r="M3553" s="18" t="s">
        <v>28</v>
      </c>
      <c r="N3553" s="17">
        <v>44599</v>
      </c>
      <c r="O3553" s="15" t="s">
        <v>30</v>
      </c>
      <c r="P3553" s="16" t="s">
        <v>3631</v>
      </c>
      <c r="Q3553" s="15" t="s">
        <v>37</v>
      </c>
      <c r="R3553" s="13" t="str">
        <f>HYPERLINK("https://my.pitchbook.com?c=188382-70T","View Company Online")</f>
        <v>View Company Online</v>
      </c>
    </row>
    <row r="3554" spans="1:18" hidden="1" x14ac:dyDescent="0.3">
      <c r="A3554" s="9" t="s">
        <v>11763</v>
      </c>
      <c r="B3554" s="9" t="s">
        <v>11764</v>
      </c>
      <c r="C3554" s="11" t="s">
        <v>28</v>
      </c>
      <c r="D3554" s="9" t="s">
        <v>11765</v>
      </c>
      <c r="E3554" s="11" t="s">
        <v>28</v>
      </c>
      <c r="F3554" s="10" t="s">
        <v>28</v>
      </c>
      <c r="G3554" s="10">
        <v>6.54</v>
      </c>
      <c r="H3554" s="10" t="s">
        <v>28</v>
      </c>
      <c r="I3554" s="11" t="s">
        <v>28</v>
      </c>
      <c r="J3554" s="11" t="s">
        <v>28</v>
      </c>
      <c r="K3554" s="11" t="s">
        <v>28</v>
      </c>
      <c r="L3554" s="11" t="s">
        <v>28</v>
      </c>
      <c r="M3554" s="11" t="s">
        <v>28</v>
      </c>
      <c r="N3554" s="8">
        <v>44599</v>
      </c>
      <c r="O3554" s="9" t="s">
        <v>79</v>
      </c>
      <c r="P3554" s="12" t="s">
        <v>11766</v>
      </c>
      <c r="Q3554" s="9" t="s">
        <v>5628</v>
      </c>
      <c r="R3554" s="14" t="str">
        <f>HYPERLINK("https://my.pitchbook.com?c=188064-37T","View Company Online")</f>
        <v>View Company Online</v>
      </c>
    </row>
    <row r="3555" spans="1:18" hidden="1" x14ac:dyDescent="0.3">
      <c r="A3555" s="15" t="s">
        <v>11767</v>
      </c>
      <c r="B3555" s="15" t="s">
        <v>8042</v>
      </c>
      <c r="C3555" s="18" t="s">
        <v>28</v>
      </c>
      <c r="D3555" s="15" t="s">
        <v>8043</v>
      </c>
      <c r="E3555" s="18" t="s">
        <v>28</v>
      </c>
      <c r="F3555" s="19" t="s">
        <v>28</v>
      </c>
      <c r="G3555" s="19" t="s">
        <v>28</v>
      </c>
      <c r="H3555" s="19" t="s">
        <v>28</v>
      </c>
      <c r="I3555" s="18" t="s">
        <v>28</v>
      </c>
      <c r="J3555" s="18" t="s">
        <v>28</v>
      </c>
      <c r="K3555" s="18" t="s">
        <v>28</v>
      </c>
      <c r="L3555" s="18" t="s">
        <v>28</v>
      </c>
      <c r="M3555" s="18" t="s">
        <v>28</v>
      </c>
      <c r="N3555" s="17">
        <v>44599</v>
      </c>
      <c r="O3555" s="15" t="s">
        <v>99</v>
      </c>
      <c r="P3555" s="16" t="s">
        <v>11768</v>
      </c>
      <c r="Q3555" s="15" t="s">
        <v>75</v>
      </c>
      <c r="R3555" s="13" t="str">
        <f>HYPERLINK("https://my.pitchbook.com?c=211147-84T","View Company Online")</f>
        <v>View Company Online</v>
      </c>
    </row>
    <row r="3556" spans="1:18" hidden="1" x14ac:dyDescent="0.3">
      <c r="A3556" s="9" t="s">
        <v>11769</v>
      </c>
      <c r="B3556" s="9" t="s">
        <v>2324</v>
      </c>
      <c r="C3556" s="11" t="s">
        <v>28</v>
      </c>
      <c r="D3556" s="9" t="s">
        <v>2325</v>
      </c>
      <c r="E3556" s="11" t="s">
        <v>28</v>
      </c>
      <c r="F3556" s="10" t="s">
        <v>28</v>
      </c>
      <c r="G3556" s="10" t="s">
        <v>28</v>
      </c>
      <c r="H3556" s="10" t="s">
        <v>28</v>
      </c>
      <c r="I3556" s="11" t="s">
        <v>28</v>
      </c>
      <c r="J3556" s="11" t="s">
        <v>28</v>
      </c>
      <c r="K3556" s="11" t="s">
        <v>28</v>
      </c>
      <c r="L3556" s="11" t="s">
        <v>28</v>
      </c>
      <c r="M3556" s="11" t="s">
        <v>28</v>
      </c>
      <c r="N3556" s="8">
        <v>44596</v>
      </c>
      <c r="O3556" s="9" t="s">
        <v>52</v>
      </c>
      <c r="P3556" s="12" t="s">
        <v>2915</v>
      </c>
      <c r="Q3556" s="9" t="s">
        <v>1336</v>
      </c>
      <c r="R3556" s="14" t="str">
        <f>HYPERLINK("https://my.pitchbook.com?c=209059-93T","View Company Online")</f>
        <v>View Company Online</v>
      </c>
    </row>
    <row r="3557" spans="1:18" hidden="1" x14ac:dyDescent="0.3">
      <c r="A3557" s="15" t="s">
        <v>11770</v>
      </c>
      <c r="B3557" s="15" t="s">
        <v>11771</v>
      </c>
      <c r="C3557" s="18" t="s">
        <v>28</v>
      </c>
      <c r="D3557" s="15" t="s">
        <v>11772</v>
      </c>
      <c r="E3557" s="18" t="s">
        <v>28</v>
      </c>
      <c r="F3557" s="19" t="s">
        <v>28</v>
      </c>
      <c r="G3557" s="19" t="s">
        <v>28</v>
      </c>
      <c r="H3557" s="19" t="s">
        <v>28</v>
      </c>
      <c r="I3557" s="18" t="s">
        <v>28</v>
      </c>
      <c r="J3557" s="18" t="s">
        <v>28</v>
      </c>
      <c r="K3557" s="18" t="s">
        <v>28</v>
      </c>
      <c r="L3557" s="18" t="s">
        <v>28</v>
      </c>
      <c r="M3557" s="18" t="s">
        <v>28</v>
      </c>
      <c r="N3557" s="17">
        <v>44596</v>
      </c>
      <c r="O3557" s="15" t="s">
        <v>52</v>
      </c>
      <c r="P3557" s="16" t="s">
        <v>2915</v>
      </c>
      <c r="Q3557" s="15" t="s">
        <v>37</v>
      </c>
      <c r="R3557" s="13" t="str">
        <f>HYPERLINK("https://my.pitchbook.com?c=208920-43T","View Company Online")</f>
        <v>View Company Online</v>
      </c>
    </row>
    <row r="3558" spans="1:18" hidden="1" x14ac:dyDescent="0.3">
      <c r="A3558" s="9" t="s">
        <v>11773</v>
      </c>
      <c r="B3558" s="9" t="s">
        <v>11774</v>
      </c>
      <c r="C3558" s="11" t="s">
        <v>28</v>
      </c>
      <c r="D3558" s="9" t="s">
        <v>11775</v>
      </c>
      <c r="E3558" s="11" t="s">
        <v>28</v>
      </c>
      <c r="F3558" s="10">
        <v>91.17</v>
      </c>
      <c r="G3558" s="10">
        <v>91.17</v>
      </c>
      <c r="H3558" s="10">
        <v>91.17</v>
      </c>
      <c r="I3558" s="11" t="s">
        <v>28</v>
      </c>
      <c r="J3558" s="11" t="s">
        <v>28</v>
      </c>
      <c r="K3558" s="11" t="s">
        <v>28</v>
      </c>
      <c r="L3558" s="11" t="s">
        <v>28</v>
      </c>
      <c r="M3558" s="11" t="s">
        <v>28</v>
      </c>
      <c r="N3558" s="8">
        <v>44596</v>
      </c>
      <c r="O3558" s="9" t="s">
        <v>30</v>
      </c>
      <c r="P3558" s="12" t="s">
        <v>8683</v>
      </c>
      <c r="Q3558" s="9" t="s">
        <v>290</v>
      </c>
      <c r="R3558" s="14" t="str">
        <f>HYPERLINK("https://my.pitchbook.com?c=210349-54T","View Company Online")</f>
        <v>View Company Online</v>
      </c>
    </row>
    <row r="3559" spans="1:18" hidden="1" x14ac:dyDescent="0.3">
      <c r="A3559" s="15" t="s">
        <v>11776</v>
      </c>
      <c r="B3559" s="15" t="s">
        <v>11777</v>
      </c>
      <c r="C3559" s="18" t="s">
        <v>28</v>
      </c>
      <c r="D3559" s="15" t="s">
        <v>11778</v>
      </c>
      <c r="E3559" s="18" t="s">
        <v>28</v>
      </c>
      <c r="F3559" s="19" t="s">
        <v>28</v>
      </c>
      <c r="G3559" s="19" t="s">
        <v>28</v>
      </c>
      <c r="H3559" s="19" t="s">
        <v>28</v>
      </c>
      <c r="I3559" s="18" t="s">
        <v>28</v>
      </c>
      <c r="J3559" s="18" t="s">
        <v>28</v>
      </c>
      <c r="K3559" s="18" t="s">
        <v>28</v>
      </c>
      <c r="L3559" s="18" t="s">
        <v>28</v>
      </c>
      <c r="M3559" s="18" t="s">
        <v>28</v>
      </c>
      <c r="N3559" s="17">
        <v>44596</v>
      </c>
      <c r="O3559" s="15" t="s">
        <v>30</v>
      </c>
      <c r="P3559" s="16" t="s">
        <v>2694</v>
      </c>
      <c r="Q3559" s="15" t="s">
        <v>75</v>
      </c>
      <c r="R3559" s="13" t="str">
        <f>HYPERLINK("https://my.pitchbook.com?c=187915-15T","View Company Online")</f>
        <v>View Company Online</v>
      </c>
    </row>
    <row r="3560" spans="1:18" hidden="1" x14ac:dyDescent="0.3">
      <c r="A3560" s="9" t="s">
        <v>11779</v>
      </c>
      <c r="B3560" s="9" t="s">
        <v>11780</v>
      </c>
      <c r="C3560" s="11" t="s">
        <v>28</v>
      </c>
      <c r="D3560" s="9" t="s">
        <v>11781</v>
      </c>
      <c r="E3560" s="11" t="s">
        <v>28</v>
      </c>
      <c r="F3560" s="10" t="s">
        <v>28</v>
      </c>
      <c r="G3560" s="10">
        <v>31.4</v>
      </c>
      <c r="H3560" s="10" t="s">
        <v>28</v>
      </c>
      <c r="I3560" s="11" t="s">
        <v>28</v>
      </c>
      <c r="J3560" s="11" t="s">
        <v>28</v>
      </c>
      <c r="K3560" s="11" t="s">
        <v>28</v>
      </c>
      <c r="L3560" s="11" t="s">
        <v>28</v>
      </c>
      <c r="M3560" s="11" t="s">
        <v>28</v>
      </c>
      <c r="N3560" s="8">
        <v>44595</v>
      </c>
      <c r="O3560" s="9" t="s">
        <v>73</v>
      </c>
      <c r="P3560" s="12" t="s">
        <v>11782</v>
      </c>
      <c r="Q3560" s="9" t="s">
        <v>1341</v>
      </c>
      <c r="R3560" s="14" t="str">
        <f>HYPERLINK("https://my.pitchbook.com?c=178492-33T","View Company Online")</f>
        <v>View Company Online</v>
      </c>
    </row>
    <row r="3561" spans="1:18" hidden="1" x14ac:dyDescent="0.3">
      <c r="A3561" s="15" t="s">
        <v>11783</v>
      </c>
      <c r="B3561" s="15" t="s">
        <v>11784</v>
      </c>
      <c r="C3561" s="18" t="s">
        <v>28</v>
      </c>
      <c r="D3561" s="15" t="s">
        <v>11785</v>
      </c>
      <c r="E3561" s="18" t="s">
        <v>28</v>
      </c>
      <c r="F3561" s="19" t="s">
        <v>28</v>
      </c>
      <c r="G3561" s="19" t="s">
        <v>28</v>
      </c>
      <c r="H3561" s="19" t="s">
        <v>28</v>
      </c>
      <c r="I3561" s="18" t="s">
        <v>28</v>
      </c>
      <c r="J3561" s="18" t="s">
        <v>28</v>
      </c>
      <c r="K3561" s="18" t="s">
        <v>28</v>
      </c>
      <c r="L3561" s="18" t="s">
        <v>28</v>
      </c>
      <c r="M3561" s="18" t="s">
        <v>28</v>
      </c>
      <c r="N3561" s="17">
        <v>44595</v>
      </c>
      <c r="O3561" s="15" t="s">
        <v>30</v>
      </c>
      <c r="P3561" s="16" t="s">
        <v>11786</v>
      </c>
      <c r="Q3561" s="15" t="s">
        <v>900</v>
      </c>
      <c r="R3561" s="13" t="str">
        <f>HYPERLINK("https://my.pitchbook.com?c=210087-73T","View Company Online")</f>
        <v>View Company Online</v>
      </c>
    </row>
    <row r="3562" spans="1:18" hidden="1" x14ac:dyDescent="0.3">
      <c r="A3562" s="9" t="s">
        <v>11787</v>
      </c>
      <c r="B3562" s="9" t="s">
        <v>11788</v>
      </c>
      <c r="C3562" s="11" t="s">
        <v>28</v>
      </c>
      <c r="D3562" s="9" t="s">
        <v>11789</v>
      </c>
      <c r="E3562" s="11" t="s">
        <v>28</v>
      </c>
      <c r="F3562" s="10" t="s">
        <v>28</v>
      </c>
      <c r="G3562" s="10" t="s">
        <v>28</v>
      </c>
      <c r="H3562" s="10" t="s">
        <v>28</v>
      </c>
      <c r="I3562" s="11" t="s">
        <v>28</v>
      </c>
      <c r="J3562" s="11" t="s">
        <v>28</v>
      </c>
      <c r="K3562" s="11" t="s">
        <v>28</v>
      </c>
      <c r="L3562" s="11" t="s">
        <v>28</v>
      </c>
      <c r="M3562" s="11" t="s">
        <v>28</v>
      </c>
      <c r="N3562" s="8">
        <v>44595</v>
      </c>
      <c r="O3562" s="9" t="s">
        <v>30</v>
      </c>
      <c r="P3562" s="12" t="s">
        <v>9779</v>
      </c>
      <c r="Q3562" s="9" t="s">
        <v>75</v>
      </c>
      <c r="R3562" s="14" t="str">
        <f>HYPERLINK("https://my.pitchbook.com?c=187853-68T","View Company Online")</f>
        <v>View Company Online</v>
      </c>
    </row>
    <row r="3563" spans="1:18" hidden="1" x14ac:dyDescent="0.3">
      <c r="A3563" s="15" t="s">
        <v>11790</v>
      </c>
      <c r="B3563" s="15" t="s">
        <v>11791</v>
      </c>
      <c r="C3563" s="18" t="s">
        <v>28</v>
      </c>
      <c r="D3563" s="15" t="s">
        <v>11792</v>
      </c>
      <c r="E3563" s="18" t="s">
        <v>28</v>
      </c>
      <c r="F3563" s="19" t="s">
        <v>28</v>
      </c>
      <c r="G3563" s="19" t="s">
        <v>28</v>
      </c>
      <c r="H3563" s="19" t="s">
        <v>28</v>
      </c>
      <c r="I3563" s="18" t="s">
        <v>28</v>
      </c>
      <c r="J3563" s="18" t="s">
        <v>28</v>
      </c>
      <c r="K3563" s="18">
        <v>407.76</v>
      </c>
      <c r="L3563" s="18" t="s">
        <v>28</v>
      </c>
      <c r="M3563" s="18" t="s">
        <v>28</v>
      </c>
      <c r="N3563" s="17">
        <v>44595</v>
      </c>
      <c r="O3563" s="15" t="s">
        <v>30</v>
      </c>
      <c r="P3563" s="16" t="s">
        <v>11793</v>
      </c>
      <c r="Q3563" s="15" t="s">
        <v>409</v>
      </c>
      <c r="R3563" s="13" t="str">
        <f>HYPERLINK("https://my.pitchbook.com?c=187766-92T","View Company Online")</f>
        <v>View Company Online</v>
      </c>
    </row>
    <row r="3564" spans="1:18" hidden="1" x14ac:dyDescent="0.3">
      <c r="A3564" s="9" t="s">
        <v>11794</v>
      </c>
      <c r="B3564" s="9" t="s">
        <v>11795</v>
      </c>
      <c r="C3564" s="11" t="s">
        <v>28</v>
      </c>
      <c r="D3564" s="9" t="s">
        <v>11796</v>
      </c>
      <c r="E3564" s="11" t="s">
        <v>28</v>
      </c>
      <c r="F3564" s="10" t="s">
        <v>28</v>
      </c>
      <c r="G3564" s="10" t="s">
        <v>28</v>
      </c>
      <c r="H3564" s="10" t="s">
        <v>28</v>
      </c>
      <c r="I3564" s="11" t="s">
        <v>28</v>
      </c>
      <c r="J3564" s="11" t="s">
        <v>28</v>
      </c>
      <c r="K3564" s="11" t="s">
        <v>28</v>
      </c>
      <c r="L3564" s="11" t="s">
        <v>28</v>
      </c>
      <c r="M3564" s="11" t="s">
        <v>28</v>
      </c>
      <c r="N3564" s="8">
        <v>44595</v>
      </c>
      <c r="O3564" s="9" t="s">
        <v>30</v>
      </c>
      <c r="P3564" s="12" t="s">
        <v>4196</v>
      </c>
      <c r="Q3564" s="9" t="s">
        <v>43</v>
      </c>
      <c r="R3564" s="14" t="str">
        <f>HYPERLINK("https://my.pitchbook.com?c=201201-13T","View Company Online")</f>
        <v>View Company Online</v>
      </c>
    </row>
    <row r="3565" spans="1:18" hidden="1" x14ac:dyDescent="0.3">
      <c r="A3565" s="15" t="s">
        <v>11797</v>
      </c>
      <c r="B3565" s="15" t="s">
        <v>11798</v>
      </c>
      <c r="C3565" s="18" t="s">
        <v>28</v>
      </c>
      <c r="D3565" s="15" t="s">
        <v>6314</v>
      </c>
      <c r="E3565" s="18" t="s">
        <v>28</v>
      </c>
      <c r="F3565" s="19" t="s">
        <v>28</v>
      </c>
      <c r="G3565" s="19" t="s">
        <v>28</v>
      </c>
      <c r="H3565" s="19" t="s">
        <v>28</v>
      </c>
      <c r="I3565" s="18" t="s">
        <v>28</v>
      </c>
      <c r="J3565" s="18" t="s">
        <v>28</v>
      </c>
      <c r="K3565" s="18" t="s">
        <v>28</v>
      </c>
      <c r="L3565" s="18" t="s">
        <v>28</v>
      </c>
      <c r="M3565" s="18" t="s">
        <v>28</v>
      </c>
      <c r="N3565" s="17">
        <v>44595</v>
      </c>
      <c r="O3565" s="15" t="s">
        <v>30</v>
      </c>
      <c r="P3565" s="16" t="s">
        <v>11799</v>
      </c>
      <c r="Q3565" s="15" t="s">
        <v>1144</v>
      </c>
      <c r="R3565" s="13" t="str">
        <f>HYPERLINK("https://my.pitchbook.com?c=191427-04T","View Company Online")</f>
        <v>View Company Online</v>
      </c>
    </row>
    <row r="3566" spans="1:18" hidden="1" x14ac:dyDescent="0.3">
      <c r="A3566" s="9" t="s">
        <v>11800</v>
      </c>
      <c r="B3566" s="9" t="s">
        <v>279</v>
      </c>
      <c r="C3566" s="11" t="s">
        <v>28</v>
      </c>
      <c r="D3566" s="9" t="s">
        <v>2280</v>
      </c>
      <c r="E3566" s="11">
        <v>424.2</v>
      </c>
      <c r="F3566" s="10" t="s">
        <v>28</v>
      </c>
      <c r="G3566" s="10">
        <v>979.78</v>
      </c>
      <c r="H3566" s="10" t="s">
        <v>28</v>
      </c>
      <c r="I3566" s="11">
        <v>933.18</v>
      </c>
      <c r="J3566" s="11" t="s">
        <v>28</v>
      </c>
      <c r="K3566" s="11">
        <v>8959.43</v>
      </c>
      <c r="L3566" s="11" t="s">
        <v>28</v>
      </c>
      <c r="M3566" s="11">
        <v>77.739999999999995</v>
      </c>
      <c r="N3566" s="8">
        <v>44594</v>
      </c>
      <c r="O3566" s="9" t="s">
        <v>423</v>
      </c>
      <c r="P3566" s="12" t="s">
        <v>28</v>
      </c>
      <c r="Q3566" s="9" t="s">
        <v>136</v>
      </c>
      <c r="R3566" s="14" t="str">
        <f>HYPERLINK("https://my.pitchbook.com?c=189682-66T","View Company Online")</f>
        <v>View Company Online</v>
      </c>
    </row>
    <row r="3567" spans="1:18" hidden="1" x14ac:dyDescent="0.3">
      <c r="A3567" s="15" t="s">
        <v>11801</v>
      </c>
      <c r="B3567" s="15" t="s">
        <v>11802</v>
      </c>
      <c r="C3567" s="18" t="s">
        <v>28</v>
      </c>
      <c r="D3567" s="15" t="s">
        <v>11803</v>
      </c>
      <c r="E3567" s="18" t="s">
        <v>28</v>
      </c>
      <c r="F3567" s="19" t="s">
        <v>28</v>
      </c>
      <c r="G3567" s="19" t="s">
        <v>28</v>
      </c>
      <c r="H3567" s="19" t="s">
        <v>28</v>
      </c>
      <c r="I3567" s="18" t="s">
        <v>28</v>
      </c>
      <c r="J3567" s="18" t="s">
        <v>28</v>
      </c>
      <c r="K3567" s="18" t="s">
        <v>28</v>
      </c>
      <c r="L3567" s="18" t="s">
        <v>28</v>
      </c>
      <c r="M3567" s="18" t="s">
        <v>28</v>
      </c>
      <c r="N3567" s="17">
        <v>44594</v>
      </c>
      <c r="O3567" s="15" t="s">
        <v>79</v>
      </c>
      <c r="P3567" s="16" t="s">
        <v>11804</v>
      </c>
      <c r="Q3567" s="15" t="s">
        <v>75</v>
      </c>
      <c r="R3567" s="13" t="str">
        <f>HYPERLINK("https://my.pitchbook.com?c=194455-27T","View Company Online")</f>
        <v>View Company Online</v>
      </c>
    </row>
    <row r="3568" spans="1:18" hidden="1" x14ac:dyDescent="0.3">
      <c r="A3568" s="9" t="s">
        <v>11805</v>
      </c>
      <c r="B3568" s="9" t="s">
        <v>11806</v>
      </c>
      <c r="C3568" s="11" t="s">
        <v>28</v>
      </c>
      <c r="D3568" s="9" t="s">
        <v>11807</v>
      </c>
      <c r="E3568" s="11" t="s">
        <v>28</v>
      </c>
      <c r="F3568" s="10" t="s">
        <v>28</v>
      </c>
      <c r="G3568" s="10">
        <v>2.72</v>
      </c>
      <c r="H3568" s="10" t="s">
        <v>28</v>
      </c>
      <c r="I3568" s="11" t="s">
        <v>28</v>
      </c>
      <c r="J3568" s="11" t="s">
        <v>28</v>
      </c>
      <c r="K3568" s="11" t="s">
        <v>28</v>
      </c>
      <c r="L3568" s="11" t="s">
        <v>28</v>
      </c>
      <c r="M3568" s="11" t="s">
        <v>28</v>
      </c>
      <c r="N3568" s="8">
        <v>44594</v>
      </c>
      <c r="O3568" s="9" t="s">
        <v>79</v>
      </c>
      <c r="P3568" s="12" t="s">
        <v>11808</v>
      </c>
      <c r="Q3568" s="9" t="s">
        <v>75</v>
      </c>
      <c r="R3568" s="14" t="str">
        <f>HYPERLINK("https://my.pitchbook.com?c=187912-36T","View Company Online")</f>
        <v>View Company Online</v>
      </c>
    </row>
    <row r="3569" spans="1:18" hidden="1" x14ac:dyDescent="0.3">
      <c r="A3569" s="15" t="s">
        <v>11809</v>
      </c>
      <c r="B3569" s="15" t="s">
        <v>11810</v>
      </c>
      <c r="C3569" s="18" t="s">
        <v>28</v>
      </c>
      <c r="D3569" s="15" t="s">
        <v>11811</v>
      </c>
      <c r="E3569" s="18" t="s">
        <v>28</v>
      </c>
      <c r="F3569" s="19" t="s">
        <v>28</v>
      </c>
      <c r="G3569" s="19" t="s">
        <v>28</v>
      </c>
      <c r="H3569" s="19" t="s">
        <v>28</v>
      </c>
      <c r="I3569" s="18" t="s">
        <v>28</v>
      </c>
      <c r="J3569" s="18" t="s">
        <v>28</v>
      </c>
      <c r="K3569" s="18" t="s">
        <v>28</v>
      </c>
      <c r="L3569" s="18" t="s">
        <v>28</v>
      </c>
      <c r="M3569" s="18" t="s">
        <v>28</v>
      </c>
      <c r="N3569" s="17">
        <v>44594</v>
      </c>
      <c r="O3569" s="15" t="s">
        <v>99</v>
      </c>
      <c r="P3569" s="16" t="s">
        <v>1547</v>
      </c>
      <c r="Q3569" s="15" t="s">
        <v>9184</v>
      </c>
      <c r="R3569" s="13" t="str">
        <f>HYPERLINK("https://my.pitchbook.com?c=293643-64T","View Company Online")</f>
        <v>View Company Online</v>
      </c>
    </row>
    <row r="3570" spans="1:18" hidden="1" x14ac:dyDescent="0.3">
      <c r="A3570" s="9" t="s">
        <v>11812</v>
      </c>
      <c r="B3570" s="9" t="s">
        <v>3026</v>
      </c>
      <c r="C3570" s="11" t="s">
        <v>28</v>
      </c>
      <c r="D3570" s="9" t="s">
        <v>3027</v>
      </c>
      <c r="E3570" s="11" t="s">
        <v>28</v>
      </c>
      <c r="F3570" s="10" t="s">
        <v>28</v>
      </c>
      <c r="G3570" s="10">
        <v>1.1200000000000001</v>
      </c>
      <c r="H3570" s="10" t="s">
        <v>28</v>
      </c>
      <c r="I3570" s="11" t="s">
        <v>28</v>
      </c>
      <c r="J3570" s="11" t="s">
        <v>28</v>
      </c>
      <c r="K3570" s="11" t="s">
        <v>28</v>
      </c>
      <c r="L3570" s="11" t="s">
        <v>28</v>
      </c>
      <c r="M3570" s="11" t="s">
        <v>28</v>
      </c>
      <c r="N3570" s="8">
        <v>44594</v>
      </c>
      <c r="O3570" s="9" t="s">
        <v>73</v>
      </c>
      <c r="P3570" s="12" t="s">
        <v>11813</v>
      </c>
      <c r="Q3570" s="9" t="s">
        <v>95</v>
      </c>
      <c r="R3570" s="14" t="str">
        <f>HYPERLINK("https://my.pitchbook.com?c=187703-83T","View Company Online")</f>
        <v>View Company Online</v>
      </c>
    </row>
    <row r="3571" spans="1:18" hidden="1" x14ac:dyDescent="0.3">
      <c r="A3571" s="15" t="s">
        <v>11814</v>
      </c>
      <c r="B3571" s="15" t="s">
        <v>3026</v>
      </c>
      <c r="C3571" s="18" t="s">
        <v>28</v>
      </c>
      <c r="D3571" s="15" t="s">
        <v>3027</v>
      </c>
      <c r="E3571" s="18" t="s">
        <v>28</v>
      </c>
      <c r="F3571" s="19" t="s">
        <v>28</v>
      </c>
      <c r="G3571" s="19" t="s">
        <v>28</v>
      </c>
      <c r="H3571" s="19" t="s">
        <v>28</v>
      </c>
      <c r="I3571" s="18" t="s">
        <v>28</v>
      </c>
      <c r="J3571" s="18" t="s">
        <v>28</v>
      </c>
      <c r="K3571" s="18" t="s">
        <v>28</v>
      </c>
      <c r="L3571" s="18" t="s">
        <v>28</v>
      </c>
      <c r="M3571" s="18" t="s">
        <v>28</v>
      </c>
      <c r="N3571" s="17">
        <v>44594</v>
      </c>
      <c r="O3571" s="15" t="s">
        <v>73</v>
      </c>
      <c r="P3571" s="16" t="s">
        <v>28</v>
      </c>
      <c r="Q3571" s="15" t="s">
        <v>95</v>
      </c>
      <c r="R3571" s="13" t="str">
        <f>HYPERLINK("https://my.pitchbook.com?c=197427-34T","View Company Online")</f>
        <v>View Company Online</v>
      </c>
    </row>
    <row r="3572" spans="1:18" hidden="1" x14ac:dyDescent="0.3">
      <c r="A3572" s="9" t="s">
        <v>11815</v>
      </c>
      <c r="B3572" s="9" t="s">
        <v>11816</v>
      </c>
      <c r="C3572" s="11" t="s">
        <v>28</v>
      </c>
      <c r="D3572" s="9" t="s">
        <v>11817</v>
      </c>
      <c r="E3572" s="11" t="s">
        <v>28</v>
      </c>
      <c r="F3572" s="10" t="s">
        <v>28</v>
      </c>
      <c r="G3572" s="10" t="s">
        <v>28</v>
      </c>
      <c r="H3572" s="10" t="s">
        <v>28</v>
      </c>
      <c r="I3572" s="11" t="s">
        <v>28</v>
      </c>
      <c r="J3572" s="11" t="s">
        <v>28</v>
      </c>
      <c r="K3572" s="11" t="s">
        <v>28</v>
      </c>
      <c r="L3572" s="11" t="s">
        <v>28</v>
      </c>
      <c r="M3572" s="11" t="s">
        <v>28</v>
      </c>
      <c r="N3572" s="8">
        <v>44593</v>
      </c>
      <c r="O3572" s="9" t="s">
        <v>93</v>
      </c>
      <c r="P3572" s="12" t="s">
        <v>8788</v>
      </c>
      <c r="Q3572" s="9" t="s">
        <v>353</v>
      </c>
      <c r="R3572" s="14" t="str">
        <f>HYPERLINK("https://my.pitchbook.com?c=189397-18T","View Company Online")</f>
        <v>View Company Online</v>
      </c>
    </row>
    <row r="3573" spans="1:18" hidden="1" x14ac:dyDescent="0.3">
      <c r="A3573" s="15" t="s">
        <v>11818</v>
      </c>
      <c r="B3573" s="15" t="s">
        <v>9731</v>
      </c>
      <c r="C3573" s="18" t="s">
        <v>28</v>
      </c>
      <c r="D3573" s="15" t="s">
        <v>9732</v>
      </c>
      <c r="E3573" s="18" t="s">
        <v>28</v>
      </c>
      <c r="F3573" s="19" t="s">
        <v>28</v>
      </c>
      <c r="G3573" s="19">
        <v>0.18</v>
      </c>
      <c r="H3573" s="19">
        <v>0.9</v>
      </c>
      <c r="I3573" s="18" t="s">
        <v>28</v>
      </c>
      <c r="J3573" s="18" t="s">
        <v>28</v>
      </c>
      <c r="K3573" s="18" t="s">
        <v>28</v>
      </c>
      <c r="L3573" s="18" t="s">
        <v>28</v>
      </c>
      <c r="M3573" s="18" t="s">
        <v>28</v>
      </c>
      <c r="N3573" s="17">
        <v>44593</v>
      </c>
      <c r="O3573" s="15" t="s">
        <v>73</v>
      </c>
      <c r="P3573" s="16" t="s">
        <v>11819</v>
      </c>
      <c r="Q3573" s="15" t="s">
        <v>75</v>
      </c>
      <c r="R3573" s="13" t="str">
        <f>HYPERLINK("https://my.pitchbook.com?c=192014-02T","View Company Online")</f>
        <v>View Company Online</v>
      </c>
    </row>
    <row r="3574" spans="1:18" hidden="1" x14ac:dyDescent="0.3">
      <c r="A3574" s="9" t="s">
        <v>11820</v>
      </c>
      <c r="B3574" s="9" t="s">
        <v>11821</v>
      </c>
      <c r="C3574" s="11" t="s">
        <v>28</v>
      </c>
      <c r="D3574" s="9" t="s">
        <v>11822</v>
      </c>
      <c r="E3574" s="11" t="s">
        <v>28</v>
      </c>
      <c r="F3574" s="10" t="s">
        <v>28</v>
      </c>
      <c r="G3574" s="10" t="s">
        <v>28</v>
      </c>
      <c r="H3574" s="10" t="s">
        <v>28</v>
      </c>
      <c r="I3574" s="11" t="s">
        <v>28</v>
      </c>
      <c r="J3574" s="11" t="s">
        <v>28</v>
      </c>
      <c r="K3574" s="11" t="s">
        <v>28</v>
      </c>
      <c r="L3574" s="11" t="s">
        <v>28</v>
      </c>
      <c r="M3574" s="11" t="s">
        <v>28</v>
      </c>
      <c r="N3574" s="8">
        <v>44593</v>
      </c>
      <c r="O3574" s="9" t="s">
        <v>73</v>
      </c>
      <c r="P3574" s="12" t="s">
        <v>11823</v>
      </c>
      <c r="Q3574" s="9" t="s">
        <v>362</v>
      </c>
      <c r="R3574" s="14" t="str">
        <f>HYPERLINK("https://my.pitchbook.com?c=187920-01T","View Company Online")</f>
        <v>View Company Online</v>
      </c>
    </row>
    <row r="3575" spans="1:18" hidden="1" x14ac:dyDescent="0.3">
      <c r="A3575" s="15" t="s">
        <v>11824</v>
      </c>
      <c r="B3575" s="15" t="s">
        <v>11825</v>
      </c>
      <c r="C3575" s="18" t="s">
        <v>28</v>
      </c>
      <c r="D3575" s="15" t="s">
        <v>11826</v>
      </c>
      <c r="E3575" s="18" t="s">
        <v>28</v>
      </c>
      <c r="F3575" s="19" t="s">
        <v>28</v>
      </c>
      <c r="G3575" s="19">
        <v>0.54</v>
      </c>
      <c r="H3575" s="19" t="s">
        <v>28</v>
      </c>
      <c r="I3575" s="18" t="s">
        <v>28</v>
      </c>
      <c r="J3575" s="18" t="s">
        <v>28</v>
      </c>
      <c r="K3575" s="18" t="s">
        <v>28</v>
      </c>
      <c r="L3575" s="18" t="s">
        <v>28</v>
      </c>
      <c r="M3575" s="18" t="s">
        <v>28</v>
      </c>
      <c r="N3575" s="17">
        <v>44593</v>
      </c>
      <c r="O3575" s="15" t="s">
        <v>99</v>
      </c>
      <c r="P3575" s="16" t="s">
        <v>11827</v>
      </c>
      <c r="Q3575" s="15" t="s">
        <v>188</v>
      </c>
      <c r="R3575" s="13" t="str">
        <f>HYPERLINK("https://my.pitchbook.com?c=195723-37T","View Company Online")</f>
        <v>View Company Online</v>
      </c>
    </row>
    <row r="3576" spans="1:18" hidden="1" x14ac:dyDescent="0.3">
      <c r="A3576" s="9" t="s">
        <v>11828</v>
      </c>
      <c r="B3576" s="9" t="s">
        <v>11829</v>
      </c>
      <c r="C3576" s="11" t="s">
        <v>28</v>
      </c>
      <c r="D3576" s="9" t="s">
        <v>11830</v>
      </c>
      <c r="E3576" s="11" t="s">
        <v>28</v>
      </c>
      <c r="F3576" s="10" t="s">
        <v>28</v>
      </c>
      <c r="G3576" s="10" t="s">
        <v>28</v>
      </c>
      <c r="H3576" s="10" t="s">
        <v>28</v>
      </c>
      <c r="I3576" s="11" t="s">
        <v>28</v>
      </c>
      <c r="J3576" s="11" t="s">
        <v>28</v>
      </c>
      <c r="K3576" s="11" t="s">
        <v>28</v>
      </c>
      <c r="L3576" s="11" t="s">
        <v>28</v>
      </c>
      <c r="M3576" s="11" t="s">
        <v>28</v>
      </c>
      <c r="N3576" s="8">
        <v>44593</v>
      </c>
      <c r="O3576" s="9" t="s">
        <v>30</v>
      </c>
      <c r="P3576" s="12" t="s">
        <v>11831</v>
      </c>
      <c r="Q3576" s="9" t="s">
        <v>37</v>
      </c>
      <c r="R3576" s="14" t="str">
        <f>HYPERLINK("https://my.pitchbook.com?c=233567-74T","View Company Online")</f>
        <v>View Company Online</v>
      </c>
    </row>
    <row r="3577" spans="1:18" hidden="1" x14ac:dyDescent="0.3">
      <c r="A3577" s="15" t="s">
        <v>11832</v>
      </c>
      <c r="B3577" s="15" t="s">
        <v>11833</v>
      </c>
      <c r="C3577" s="18" t="s">
        <v>28</v>
      </c>
      <c r="D3577" s="15" t="s">
        <v>11834</v>
      </c>
      <c r="E3577" s="18" t="s">
        <v>28</v>
      </c>
      <c r="F3577" s="19" t="s">
        <v>28</v>
      </c>
      <c r="G3577" s="19" t="s">
        <v>28</v>
      </c>
      <c r="H3577" s="19" t="s">
        <v>28</v>
      </c>
      <c r="I3577" s="18" t="s">
        <v>28</v>
      </c>
      <c r="J3577" s="18" t="s">
        <v>28</v>
      </c>
      <c r="K3577" s="18" t="s">
        <v>28</v>
      </c>
      <c r="L3577" s="18" t="s">
        <v>28</v>
      </c>
      <c r="M3577" s="18" t="s">
        <v>28</v>
      </c>
      <c r="N3577" s="17">
        <v>44593</v>
      </c>
      <c r="O3577" s="15" t="s">
        <v>30</v>
      </c>
      <c r="P3577" s="16" t="s">
        <v>4961</v>
      </c>
      <c r="Q3577" s="15" t="s">
        <v>424</v>
      </c>
      <c r="R3577" s="13" t="str">
        <f>HYPERLINK("https://my.pitchbook.com?c=214014-88T","View Company Online")</f>
        <v>View Company Online</v>
      </c>
    </row>
    <row r="3578" spans="1:18" hidden="1" x14ac:dyDescent="0.3">
      <c r="A3578" s="9" t="s">
        <v>11835</v>
      </c>
      <c r="B3578" s="9" t="s">
        <v>4487</v>
      </c>
      <c r="C3578" s="11" t="s">
        <v>28</v>
      </c>
      <c r="D3578" s="9" t="s">
        <v>4488</v>
      </c>
      <c r="E3578" s="11" t="s">
        <v>28</v>
      </c>
      <c r="F3578" s="10" t="s">
        <v>28</v>
      </c>
      <c r="G3578" s="10" t="s">
        <v>28</v>
      </c>
      <c r="H3578" s="10" t="s">
        <v>28</v>
      </c>
      <c r="I3578" s="11" t="s">
        <v>28</v>
      </c>
      <c r="J3578" s="11" t="s">
        <v>28</v>
      </c>
      <c r="K3578" s="11" t="s">
        <v>28</v>
      </c>
      <c r="L3578" s="11" t="s">
        <v>28</v>
      </c>
      <c r="M3578" s="11" t="s">
        <v>28</v>
      </c>
      <c r="N3578" s="8">
        <v>44593</v>
      </c>
      <c r="O3578" s="9" t="s">
        <v>73</v>
      </c>
      <c r="P3578" s="12" t="s">
        <v>11836</v>
      </c>
      <c r="Q3578" s="9" t="s">
        <v>75</v>
      </c>
      <c r="R3578" s="14" t="str">
        <f>HYPERLINK("https://my.pitchbook.com?c=209041-21T","View Company Online")</f>
        <v>View Company Online</v>
      </c>
    </row>
    <row r="3579" spans="1:18" hidden="1" x14ac:dyDescent="0.3">
      <c r="A3579" s="15" t="s">
        <v>11837</v>
      </c>
      <c r="B3579" s="15" t="s">
        <v>4842</v>
      </c>
      <c r="C3579" s="18" t="s">
        <v>28</v>
      </c>
      <c r="D3579" s="15" t="s">
        <v>4843</v>
      </c>
      <c r="E3579" s="18" t="s">
        <v>28</v>
      </c>
      <c r="F3579" s="19" t="s">
        <v>28</v>
      </c>
      <c r="G3579" s="19" t="s">
        <v>28</v>
      </c>
      <c r="H3579" s="19" t="s">
        <v>28</v>
      </c>
      <c r="I3579" s="18" t="s">
        <v>28</v>
      </c>
      <c r="J3579" s="18" t="s">
        <v>28</v>
      </c>
      <c r="K3579" s="18" t="s">
        <v>28</v>
      </c>
      <c r="L3579" s="18" t="s">
        <v>28</v>
      </c>
      <c r="M3579" s="18" t="s">
        <v>28</v>
      </c>
      <c r="N3579" s="17">
        <v>44593</v>
      </c>
      <c r="O3579" s="15" t="s">
        <v>52</v>
      </c>
      <c r="P3579" s="16" t="s">
        <v>1970</v>
      </c>
      <c r="Q3579" s="15" t="s">
        <v>75</v>
      </c>
      <c r="R3579" s="13" t="str">
        <f>HYPERLINK("https://my.pitchbook.com?c=257613-67T","View Company Online")</f>
        <v>View Company Online</v>
      </c>
    </row>
    <row r="3580" spans="1:18" hidden="1" x14ac:dyDescent="0.3">
      <c r="A3580" s="9" t="s">
        <v>11838</v>
      </c>
      <c r="B3580" s="9" t="s">
        <v>11839</v>
      </c>
      <c r="C3580" s="11" t="s">
        <v>28</v>
      </c>
      <c r="D3580" s="9" t="s">
        <v>11840</v>
      </c>
      <c r="E3580" s="11" t="s">
        <v>28</v>
      </c>
      <c r="F3580" s="10" t="s">
        <v>28</v>
      </c>
      <c r="G3580" s="10" t="s">
        <v>28</v>
      </c>
      <c r="H3580" s="10" t="s">
        <v>28</v>
      </c>
      <c r="I3580" s="11" t="s">
        <v>28</v>
      </c>
      <c r="J3580" s="11" t="s">
        <v>28</v>
      </c>
      <c r="K3580" s="11" t="s">
        <v>28</v>
      </c>
      <c r="L3580" s="11" t="s">
        <v>28</v>
      </c>
      <c r="M3580" s="11" t="s">
        <v>28</v>
      </c>
      <c r="N3580" s="8">
        <v>44593</v>
      </c>
      <c r="O3580" s="9" t="s">
        <v>30</v>
      </c>
      <c r="P3580" s="12" t="s">
        <v>4872</v>
      </c>
      <c r="Q3580" s="9" t="s">
        <v>424</v>
      </c>
      <c r="R3580" s="14" t="str">
        <f>HYPERLINK("https://my.pitchbook.com?c=191040-58T","View Company Online")</f>
        <v>View Company Online</v>
      </c>
    </row>
    <row r="3581" spans="1:18" hidden="1" x14ac:dyDescent="0.3">
      <c r="A3581" s="15" t="s">
        <v>11841</v>
      </c>
      <c r="B3581" s="15" t="s">
        <v>11842</v>
      </c>
      <c r="C3581" s="18" t="s">
        <v>28</v>
      </c>
      <c r="D3581" s="15" t="s">
        <v>11843</v>
      </c>
      <c r="E3581" s="18" t="s">
        <v>28</v>
      </c>
      <c r="F3581" s="19" t="s">
        <v>28</v>
      </c>
      <c r="G3581" s="19">
        <v>9.9499999999999993</v>
      </c>
      <c r="H3581" s="19" t="s">
        <v>28</v>
      </c>
      <c r="I3581" s="18" t="s">
        <v>28</v>
      </c>
      <c r="J3581" s="18" t="s">
        <v>28</v>
      </c>
      <c r="K3581" s="18" t="s">
        <v>28</v>
      </c>
      <c r="L3581" s="18" t="s">
        <v>28</v>
      </c>
      <c r="M3581" s="18" t="s">
        <v>28</v>
      </c>
      <c r="N3581" s="17">
        <v>44593</v>
      </c>
      <c r="O3581" s="15" t="s">
        <v>73</v>
      </c>
      <c r="P3581" s="16" t="s">
        <v>11844</v>
      </c>
      <c r="Q3581" s="15" t="s">
        <v>37</v>
      </c>
      <c r="R3581" s="13" t="str">
        <f>HYPERLINK("https://my.pitchbook.com?c=178280-02T","View Company Online")</f>
        <v>View Company Online</v>
      </c>
    </row>
    <row r="3582" spans="1:18" hidden="1" x14ac:dyDescent="0.3">
      <c r="A3582" s="9" t="s">
        <v>11845</v>
      </c>
      <c r="B3582" s="9" t="s">
        <v>11846</v>
      </c>
      <c r="C3582" s="11" t="s">
        <v>28</v>
      </c>
      <c r="D3582" s="9" t="s">
        <v>11847</v>
      </c>
      <c r="E3582" s="11" t="s">
        <v>28</v>
      </c>
      <c r="F3582" s="10" t="s">
        <v>28</v>
      </c>
      <c r="G3582" s="10" t="s">
        <v>28</v>
      </c>
      <c r="H3582" s="10" t="s">
        <v>28</v>
      </c>
      <c r="I3582" s="11" t="s">
        <v>28</v>
      </c>
      <c r="J3582" s="11" t="s">
        <v>28</v>
      </c>
      <c r="K3582" s="11" t="s">
        <v>28</v>
      </c>
      <c r="L3582" s="11" t="s">
        <v>28</v>
      </c>
      <c r="M3582" s="11" t="s">
        <v>28</v>
      </c>
      <c r="N3582" s="8">
        <v>44593</v>
      </c>
      <c r="O3582" s="9" t="s">
        <v>30</v>
      </c>
      <c r="P3582" s="12" t="s">
        <v>11848</v>
      </c>
      <c r="Q3582" s="9" t="s">
        <v>43</v>
      </c>
      <c r="R3582" s="14" t="str">
        <f>HYPERLINK("https://my.pitchbook.com?c=187635-61T","View Company Online")</f>
        <v>View Company Online</v>
      </c>
    </row>
    <row r="3583" spans="1:18" hidden="1" x14ac:dyDescent="0.3">
      <c r="A3583" s="15" t="s">
        <v>11849</v>
      </c>
      <c r="B3583" s="15" t="s">
        <v>6435</v>
      </c>
      <c r="C3583" s="18" t="s">
        <v>28</v>
      </c>
      <c r="D3583" s="15" t="s">
        <v>6436</v>
      </c>
      <c r="E3583" s="18" t="s">
        <v>28</v>
      </c>
      <c r="F3583" s="19" t="s">
        <v>28</v>
      </c>
      <c r="G3583" s="19">
        <v>7.7</v>
      </c>
      <c r="H3583" s="19">
        <v>19.25</v>
      </c>
      <c r="I3583" s="18" t="s">
        <v>28</v>
      </c>
      <c r="J3583" s="18" t="s">
        <v>28</v>
      </c>
      <c r="K3583" s="18" t="s">
        <v>28</v>
      </c>
      <c r="L3583" s="18" t="s">
        <v>28</v>
      </c>
      <c r="M3583" s="18" t="s">
        <v>28</v>
      </c>
      <c r="N3583" s="17">
        <v>44593</v>
      </c>
      <c r="O3583" s="15" t="s">
        <v>93</v>
      </c>
      <c r="P3583" s="16" t="s">
        <v>4220</v>
      </c>
      <c r="Q3583" s="15" t="s">
        <v>399</v>
      </c>
      <c r="R3583" s="13" t="str">
        <f>HYPERLINK("https://my.pitchbook.com?c=233071-39T","View Company Online")</f>
        <v>View Company Online</v>
      </c>
    </row>
    <row r="3584" spans="1:18" hidden="1" x14ac:dyDescent="0.3">
      <c r="A3584" s="9" t="s">
        <v>11850</v>
      </c>
      <c r="B3584" s="9" t="s">
        <v>11851</v>
      </c>
      <c r="C3584" s="11" t="s">
        <v>28</v>
      </c>
      <c r="D3584" s="9" t="s">
        <v>11852</v>
      </c>
      <c r="E3584" s="11" t="s">
        <v>28</v>
      </c>
      <c r="F3584" s="10" t="s">
        <v>28</v>
      </c>
      <c r="G3584" s="10" t="s">
        <v>28</v>
      </c>
      <c r="H3584" s="10" t="s">
        <v>28</v>
      </c>
      <c r="I3584" s="11" t="s">
        <v>28</v>
      </c>
      <c r="J3584" s="11" t="s">
        <v>28</v>
      </c>
      <c r="K3584" s="11" t="s">
        <v>28</v>
      </c>
      <c r="L3584" s="11" t="s">
        <v>28</v>
      </c>
      <c r="M3584" s="11" t="s">
        <v>28</v>
      </c>
      <c r="N3584" s="8">
        <v>44593</v>
      </c>
      <c r="O3584" s="9" t="s">
        <v>79</v>
      </c>
      <c r="P3584" s="12" t="s">
        <v>611</v>
      </c>
      <c r="Q3584" s="9" t="s">
        <v>583</v>
      </c>
      <c r="R3584" s="14" t="str">
        <f>HYPERLINK("https://my.pitchbook.com?c=194456-89T","View Company Online")</f>
        <v>View Company Online</v>
      </c>
    </row>
    <row r="3585" spans="1:18" hidden="1" x14ac:dyDescent="0.3">
      <c r="A3585" s="15" t="s">
        <v>11853</v>
      </c>
      <c r="B3585" s="15" t="s">
        <v>11854</v>
      </c>
      <c r="C3585" s="18" t="s">
        <v>28</v>
      </c>
      <c r="D3585" s="15" t="s">
        <v>11855</v>
      </c>
      <c r="E3585" s="18" t="s">
        <v>28</v>
      </c>
      <c r="F3585" s="19" t="s">
        <v>28</v>
      </c>
      <c r="G3585" s="19" t="s">
        <v>28</v>
      </c>
      <c r="H3585" s="19" t="s">
        <v>28</v>
      </c>
      <c r="I3585" s="18" t="s">
        <v>28</v>
      </c>
      <c r="J3585" s="18" t="s">
        <v>28</v>
      </c>
      <c r="K3585" s="18" t="s">
        <v>28</v>
      </c>
      <c r="L3585" s="18" t="s">
        <v>28</v>
      </c>
      <c r="M3585" s="18" t="s">
        <v>28</v>
      </c>
      <c r="N3585" s="17">
        <v>44593</v>
      </c>
      <c r="O3585" s="15" t="s">
        <v>41</v>
      </c>
      <c r="P3585" s="16" t="s">
        <v>11856</v>
      </c>
      <c r="Q3585" s="15" t="s">
        <v>95</v>
      </c>
      <c r="R3585" s="13" t="str">
        <f>HYPERLINK("https://my.pitchbook.com?c=196286-14T","View Company Online")</f>
        <v>View Company Online</v>
      </c>
    </row>
    <row r="3586" spans="1:18" hidden="1" x14ac:dyDescent="0.3">
      <c r="A3586" s="9" t="s">
        <v>11857</v>
      </c>
      <c r="B3586" s="9" t="s">
        <v>11858</v>
      </c>
      <c r="C3586" s="11" t="s">
        <v>28</v>
      </c>
      <c r="D3586" s="9" t="s">
        <v>11859</v>
      </c>
      <c r="E3586" s="11" t="s">
        <v>28</v>
      </c>
      <c r="F3586" s="10" t="s">
        <v>28</v>
      </c>
      <c r="G3586" s="10">
        <v>0.9</v>
      </c>
      <c r="H3586" s="10" t="s">
        <v>28</v>
      </c>
      <c r="I3586" s="11" t="s">
        <v>28</v>
      </c>
      <c r="J3586" s="11" t="s">
        <v>28</v>
      </c>
      <c r="K3586" s="11" t="s">
        <v>28</v>
      </c>
      <c r="L3586" s="11" t="s">
        <v>28</v>
      </c>
      <c r="M3586" s="11" t="s">
        <v>28</v>
      </c>
      <c r="N3586" s="8">
        <v>44593</v>
      </c>
      <c r="O3586" s="9" t="s">
        <v>1639</v>
      </c>
      <c r="P3586" s="12" t="s">
        <v>28</v>
      </c>
      <c r="Q3586" s="9" t="s">
        <v>105</v>
      </c>
      <c r="R3586" s="14" t="str">
        <f>HYPERLINK("https://my.pitchbook.com?c=249990-40T","View Company Online")</f>
        <v>View Company Online</v>
      </c>
    </row>
    <row r="3587" spans="1:18" hidden="1" x14ac:dyDescent="0.3">
      <c r="A3587" s="15" t="s">
        <v>11860</v>
      </c>
      <c r="B3587" s="15" t="s">
        <v>11861</v>
      </c>
      <c r="C3587" s="18" t="s">
        <v>28</v>
      </c>
      <c r="D3587" s="15" t="s">
        <v>11862</v>
      </c>
      <c r="E3587" s="18" t="s">
        <v>28</v>
      </c>
      <c r="F3587" s="19">
        <v>4.87</v>
      </c>
      <c r="G3587" s="19">
        <v>4.87</v>
      </c>
      <c r="H3587" s="19">
        <v>4.87</v>
      </c>
      <c r="I3587" s="18" t="s">
        <v>28</v>
      </c>
      <c r="J3587" s="18" t="s">
        <v>28</v>
      </c>
      <c r="K3587" s="18" t="s">
        <v>28</v>
      </c>
      <c r="L3587" s="18" t="s">
        <v>28</v>
      </c>
      <c r="M3587" s="18" t="s">
        <v>28</v>
      </c>
      <c r="N3587" s="17">
        <v>44593</v>
      </c>
      <c r="O3587" s="15" t="s">
        <v>30</v>
      </c>
      <c r="P3587" s="16" t="s">
        <v>3561</v>
      </c>
      <c r="Q3587" s="15" t="s">
        <v>245</v>
      </c>
      <c r="R3587" s="13" t="str">
        <f>HYPERLINK("https://my.pitchbook.com?c=219627-46T","View Company Online")</f>
        <v>View Company Online</v>
      </c>
    </row>
    <row r="3588" spans="1:18" hidden="1" x14ac:dyDescent="0.3">
      <c r="A3588" s="9" t="s">
        <v>11863</v>
      </c>
      <c r="B3588" s="9" t="s">
        <v>11864</v>
      </c>
      <c r="C3588" s="11" t="s">
        <v>28</v>
      </c>
      <c r="D3588" s="9" t="s">
        <v>11865</v>
      </c>
      <c r="E3588" s="11" t="s">
        <v>28</v>
      </c>
      <c r="F3588" s="10" t="s">
        <v>28</v>
      </c>
      <c r="G3588" s="10">
        <v>0.06</v>
      </c>
      <c r="H3588" s="10" t="s">
        <v>28</v>
      </c>
      <c r="I3588" s="11" t="s">
        <v>28</v>
      </c>
      <c r="J3588" s="11" t="s">
        <v>28</v>
      </c>
      <c r="K3588" s="11" t="s">
        <v>28</v>
      </c>
      <c r="L3588" s="11" t="s">
        <v>28</v>
      </c>
      <c r="M3588" s="11" t="s">
        <v>28</v>
      </c>
      <c r="N3588" s="8">
        <v>44593</v>
      </c>
      <c r="O3588" s="9" t="s">
        <v>8420</v>
      </c>
      <c r="P3588" s="12" t="s">
        <v>28</v>
      </c>
      <c r="Q3588" s="9" t="s">
        <v>419</v>
      </c>
      <c r="R3588" s="14" t="str">
        <f>HYPERLINK("https://my.pitchbook.com?c=95363-65T","View Company Online")</f>
        <v>View Company Online</v>
      </c>
    </row>
    <row r="3589" spans="1:18" hidden="1" x14ac:dyDescent="0.3">
      <c r="A3589" s="15" t="s">
        <v>11866</v>
      </c>
      <c r="B3589" s="15" t="s">
        <v>11867</v>
      </c>
      <c r="C3589" s="18" t="s">
        <v>28</v>
      </c>
      <c r="D3589" s="15" t="s">
        <v>11868</v>
      </c>
      <c r="E3589" s="18" t="s">
        <v>28</v>
      </c>
      <c r="F3589" s="19" t="s">
        <v>28</v>
      </c>
      <c r="G3589" s="19">
        <v>0.43</v>
      </c>
      <c r="H3589" s="19" t="s">
        <v>28</v>
      </c>
      <c r="I3589" s="18" t="s">
        <v>28</v>
      </c>
      <c r="J3589" s="18" t="s">
        <v>28</v>
      </c>
      <c r="K3589" s="18" t="s">
        <v>28</v>
      </c>
      <c r="L3589" s="18" t="s">
        <v>28</v>
      </c>
      <c r="M3589" s="18" t="s">
        <v>28</v>
      </c>
      <c r="N3589" s="17">
        <v>44593</v>
      </c>
      <c r="O3589" s="15" t="s">
        <v>73</v>
      </c>
      <c r="P3589" s="16" t="s">
        <v>11869</v>
      </c>
      <c r="Q3589" s="15" t="s">
        <v>404</v>
      </c>
      <c r="R3589" s="13" t="str">
        <f>HYPERLINK("https://my.pitchbook.com?c=133097-05T","View Company Online")</f>
        <v>View Company Online</v>
      </c>
    </row>
    <row r="3590" spans="1:18" hidden="1" x14ac:dyDescent="0.3">
      <c r="A3590" s="9" t="s">
        <v>11870</v>
      </c>
      <c r="B3590" s="9" t="s">
        <v>11871</v>
      </c>
      <c r="C3590" s="11" t="s">
        <v>28</v>
      </c>
      <c r="D3590" s="9" t="s">
        <v>11872</v>
      </c>
      <c r="E3590" s="11" t="s">
        <v>28</v>
      </c>
      <c r="F3590" s="10" t="s">
        <v>28</v>
      </c>
      <c r="G3590" s="10">
        <v>1.63</v>
      </c>
      <c r="H3590" s="10" t="s">
        <v>28</v>
      </c>
      <c r="I3590" s="11" t="s">
        <v>28</v>
      </c>
      <c r="J3590" s="11" t="s">
        <v>28</v>
      </c>
      <c r="K3590" s="11" t="s">
        <v>28</v>
      </c>
      <c r="L3590" s="11" t="s">
        <v>28</v>
      </c>
      <c r="M3590" s="11" t="s">
        <v>28</v>
      </c>
      <c r="N3590" s="8">
        <v>44593</v>
      </c>
      <c r="O3590" s="9" t="s">
        <v>99</v>
      </c>
      <c r="P3590" s="12" t="s">
        <v>11873</v>
      </c>
      <c r="Q3590" s="9" t="s">
        <v>128</v>
      </c>
      <c r="R3590" s="14" t="str">
        <f>HYPERLINK("https://my.pitchbook.com?c=191440-63T","View Company Online")</f>
        <v>View Company Online</v>
      </c>
    </row>
    <row r="3591" spans="1:18" hidden="1" x14ac:dyDescent="0.3">
      <c r="A3591" s="15" t="s">
        <v>11874</v>
      </c>
      <c r="B3591" s="15" t="s">
        <v>11875</v>
      </c>
      <c r="C3591" s="18" t="s">
        <v>28</v>
      </c>
      <c r="D3591" s="15" t="s">
        <v>11876</v>
      </c>
      <c r="E3591" s="18" t="s">
        <v>28</v>
      </c>
      <c r="F3591" s="19">
        <v>47.15</v>
      </c>
      <c r="G3591" s="19">
        <v>47.15</v>
      </c>
      <c r="H3591" s="19">
        <v>47.15</v>
      </c>
      <c r="I3591" s="18" t="s">
        <v>28</v>
      </c>
      <c r="J3591" s="18" t="s">
        <v>28</v>
      </c>
      <c r="K3591" s="18" t="s">
        <v>28</v>
      </c>
      <c r="L3591" s="18" t="s">
        <v>28</v>
      </c>
      <c r="M3591" s="18" t="s">
        <v>28</v>
      </c>
      <c r="N3591" s="17">
        <v>44592</v>
      </c>
      <c r="O3591" s="15" t="s">
        <v>30</v>
      </c>
      <c r="P3591" s="16" t="s">
        <v>11877</v>
      </c>
      <c r="Q3591" s="15" t="s">
        <v>348</v>
      </c>
      <c r="R3591" s="13" t="str">
        <f>HYPERLINK("https://my.pitchbook.com?c=189885-70T","View Company Online")</f>
        <v>View Company Online</v>
      </c>
    </row>
    <row r="3592" spans="1:18" hidden="1" x14ac:dyDescent="0.3">
      <c r="A3592" s="9" t="s">
        <v>11878</v>
      </c>
      <c r="B3592" s="9" t="s">
        <v>11879</v>
      </c>
      <c r="C3592" s="11" t="s">
        <v>28</v>
      </c>
      <c r="D3592" s="9" t="s">
        <v>11880</v>
      </c>
      <c r="E3592" s="11" t="s">
        <v>28</v>
      </c>
      <c r="F3592" s="10">
        <v>40</v>
      </c>
      <c r="G3592" s="10">
        <v>40</v>
      </c>
      <c r="H3592" s="10">
        <v>40</v>
      </c>
      <c r="I3592" s="11" t="s">
        <v>28</v>
      </c>
      <c r="J3592" s="11" t="s">
        <v>28</v>
      </c>
      <c r="K3592" s="11" t="s">
        <v>28</v>
      </c>
      <c r="L3592" s="11" t="s">
        <v>28</v>
      </c>
      <c r="M3592" s="11" t="s">
        <v>28</v>
      </c>
      <c r="N3592" s="8">
        <v>44592</v>
      </c>
      <c r="O3592" s="9" t="s">
        <v>30</v>
      </c>
      <c r="P3592" s="12" t="s">
        <v>6126</v>
      </c>
      <c r="Q3592" s="9" t="s">
        <v>566</v>
      </c>
      <c r="R3592" s="14" t="str">
        <f>HYPERLINK("https://my.pitchbook.com?c=214334-83T","View Company Online")</f>
        <v>View Company Online</v>
      </c>
    </row>
    <row r="3593" spans="1:18" hidden="1" x14ac:dyDescent="0.3">
      <c r="A3593" s="15" t="s">
        <v>11881</v>
      </c>
      <c r="B3593" s="15" t="s">
        <v>11882</v>
      </c>
      <c r="C3593" s="18" t="s">
        <v>28</v>
      </c>
      <c r="D3593" s="15" t="s">
        <v>11883</v>
      </c>
      <c r="E3593" s="18" t="s">
        <v>28</v>
      </c>
      <c r="F3593" s="19">
        <v>4.5199999999999996</v>
      </c>
      <c r="G3593" s="19">
        <v>4.5199999999999996</v>
      </c>
      <c r="H3593" s="19">
        <v>4.5199999999999996</v>
      </c>
      <c r="I3593" s="18" t="s">
        <v>28</v>
      </c>
      <c r="J3593" s="18" t="s">
        <v>28</v>
      </c>
      <c r="K3593" s="18" t="s">
        <v>28</v>
      </c>
      <c r="L3593" s="18" t="s">
        <v>28</v>
      </c>
      <c r="M3593" s="18" t="s">
        <v>28</v>
      </c>
      <c r="N3593" s="17">
        <v>44592</v>
      </c>
      <c r="O3593" s="15" t="s">
        <v>30</v>
      </c>
      <c r="P3593" s="16" t="s">
        <v>11884</v>
      </c>
      <c r="Q3593" s="15" t="s">
        <v>75</v>
      </c>
      <c r="R3593" s="13" t="str">
        <f>HYPERLINK("https://my.pitchbook.com?c=185886-55T","View Company Online")</f>
        <v>View Company Online</v>
      </c>
    </row>
    <row r="3594" spans="1:18" hidden="1" x14ac:dyDescent="0.3">
      <c r="A3594" s="9" t="s">
        <v>11885</v>
      </c>
      <c r="B3594" s="9" t="s">
        <v>11886</v>
      </c>
      <c r="C3594" s="11" t="s">
        <v>28</v>
      </c>
      <c r="D3594" s="9" t="s">
        <v>11887</v>
      </c>
      <c r="E3594" s="11" t="s">
        <v>28</v>
      </c>
      <c r="F3594" s="10" t="s">
        <v>28</v>
      </c>
      <c r="G3594" s="10">
        <v>0.05</v>
      </c>
      <c r="H3594" s="10" t="s">
        <v>28</v>
      </c>
      <c r="I3594" s="11" t="s">
        <v>28</v>
      </c>
      <c r="J3594" s="11" t="s">
        <v>28</v>
      </c>
      <c r="K3594" s="11" t="s">
        <v>28</v>
      </c>
      <c r="L3594" s="11" t="s">
        <v>28</v>
      </c>
      <c r="M3594" s="11" t="s">
        <v>28</v>
      </c>
      <c r="N3594" s="8">
        <v>44592</v>
      </c>
      <c r="O3594" s="9" t="s">
        <v>73</v>
      </c>
      <c r="P3594" s="12" t="s">
        <v>5673</v>
      </c>
      <c r="Q3594" s="9" t="s">
        <v>75</v>
      </c>
      <c r="R3594" s="14" t="str">
        <f>HYPERLINK("https://my.pitchbook.com?c=232954-12T","View Company Online")</f>
        <v>View Company Online</v>
      </c>
    </row>
    <row r="3595" spans="1:18" hidden="1" x14ac:dyDescent="0.3">
      <c r="A3595" s="15" t="s">
        <v>11888</v>
      </c>
      <c r="B3595" s="15" t="s">
        <v>7576</v>
      </c>
      <c r="C3595" s="18" t="s">
        <v>28</v>
      </c>
      <c r="D3595" s="15" t="s">
        <v>7577</v>
      </c>
      <c r="E3595" s="18">
        <v>11.57</v>
      </c>
      <c r="F3595" s="19" t="s">
        <v>28</v>
      </c>
      <c r="G3595" s="19" t="s">
        <v>28</v>
      </c>
      <c r="H3595" s="19" t="s">
        <v>28</v>
      </c>
      <c r="I3595" s="18">
        <v>16.829999999999998</v>
      </c>
      <c r="J3595" s="18" t="s">
        <v>28</v>
      </c>
      <c r="K3595" s="18">
        <v>34.42</v>
      </c>
      <c r="L3595" s="18" t="s">
        <v>28</v>
      </c>
      <c r="M3595" s="18">
        <v>10.53</v>
      </c>
      <c r="N3595" s="17">
        <v>44589</v>
      </c>
      <c r="O3595" s="15" t="s">
        <v>41</v>
      </c>
      <c r="P3595" s="16" t="s">
        <v>11889</v>
      </c>
      <c r="Q3595" s="15" t="s">
        <v>226</v>
      </c>
      <c r="R3595" s="13" t="str">
        <f>HYPERLINK("https://my.pitchbook.com?c=192503-17T","View Company Online")</f>
        <v>View Company Online</v>
      </c>
    </row>
    <row r="3596" spans="1:18" hidden="1" x14ac:dyDescent="0.3">
      <c r="A3596" s="9" t="s">
        <v>11890</v>
      </c>
      <c r="B3596" s="9" t="s">
        <v>5965</v>
      </c>
      <c r="C3596" s="11" t="s">
        <v>28</v>
      </c>
      <c r="D3596" s="9" t="s">
        <v>11891</v>
      </c>
      <c r="E3596" s="11" t="s">
        <v>28</v>
      </c>
      <c r="F3596" s="10">
        <v>431.72</v>
      </c>
      <c r="G3596" s="10">
        <v>215.86</v>
      </c>
      <c r="H3596" s="10">
        <v>431.72</v>
      </c>
      <c r="I3596" s="11" t="s">
        <v>28</v>
      </c>
      <c r="J3596" s="11" t="s">
        <v>28</v>
      </c>
      <c r="K3596" s="11" t="s">
        <v>28</v>
      </c>
      <c r="L3596" s="11" t="s">
        <v>28</v>
      </c>
      <c r="M3596" s="11" t="s">
        <v>28</v>
      </c>
      <c r="N3596" s="8">
        <v>44589</v>
      </c>
      <c r="O3596" s="9" t="s">
        <v>30</v>
      </c>
      <c r="P3596" s="12" t="s">
        <v>11892</v>
      </c>
      <c r="Q3596" s="9" t="s">
        <v>226</v>
      </c>
      <c r="R3596" s="14" t="str">
        <f>HYPERLINK("https://my.pitchbook.com?c=241363-54T","View Company Online")</f>
        <v>View Company Online</v>
      </c>
    </row>
    <row r="3597" spans="1:18" hidden="1" x14ac:dyDescent="0.3">
      <c r="A3597" s="15" t="s">
        <v>11893</v>
      </c>
      <c r="B3597" s="15" t="s">
        <v>11894</v>
      </c>
      <c r="C3597" s="18" t="s">
        <v>28</v>
      </c>
      <c r="D3597" s="15" t="s">
        <v>11895</v>
      </c>
      <c r="E3597" s="18" t="s">
        <v>28</v>
      </c>
      <c r="F3597" s="19" t="s">
        <v>28</v>
      </c>
      <c r="G3597" s="19" t="s">
        <v>28</v>
      </c>
      <c r="H3597" s="19" t="s">
        <v>28</v>
      </c>
      <c r="I3597" s="18" t="s">
        <v>28</v>
      </c>
      <c r="J3597" s="18" t="s">
        <v>28</v>
      </c>
      <c r="K3597" s="18" t="s">
        <v>28</v>
      </c>
      <c r="L3597" s="18" t="s">
        <v>28</v>
      </c>
      <c r="M3597" s="18" t="s">
        <v>28</v>
      </c>
      <c r="N3597" s="17">
        <v>44589</v>
      </c>
      <c r="O3597" s="15" t="s">
        <v>30</v>
      </c>
      <c r="P3597" s="16" t="s">
        <v>5249</v>
      </c>
      <c r="Q3597" s="15" t="s">
        <v>75</v>
      </c>
      <c r="R3597" s="13" t="str">
        <f>HYPERLINK("https://my.pitchbook.com?c=211377-52T","View Company Online")</f>
        <v>View Company Online</v>
      </c>
    </row>
    <row r="3598" spans="1:18" hidden="1" x14ac:dyDescent="0.3">
      <c r="A3598" s="9" t="s">
        <v>11896</v>
      </c>
      <c r="B3598" s="9" t="s">
        <v>11897</v>
      </c>
      <c r="C3598" s="11" t="s">
        <v>28</v>
      </c>
      <c r="D3598" s="9" t="s">
        <v>11898</v>
      </c>
      <c r="E3598" s="11" t="s">
        <v>28</v>
      </c>
      <c r="F3598" s="10" t="s">
        <v>28</v>
      </c>
      <c r="G3598" s="10">
        <v>0.36</v>
      </c>
      <c r="H3598" s="10" t="s">
        <v>28</v>
      </c>
      <c r="I3598" s="11" t="s">
        <v>28</v>
      </c>
      <c r="J3598" s="11" t="s">
        <v>28</v>
      </c>
      <c r="K3598" s="11" t="s">
        <v>28</v>
      </c>
      <c r="L3598" s="11" t="s">
        <v>28</v>
      </c>
      <c r="M3598" s="11" t="s">
        <v>28</v>
      </c>
      <c r="N3598" s="8">
        <v>44589</v>
      </c>
      <c r="O3598" s="9" t="s">
        <v>99</v>
      </c>
      <c r="P3598" s="12" t="s">
        <v>28</v>
      </c>
      <c r="Q3598" s="9" t="s">
        <v>188</v>
      </c>
      <c r="R3598" s="14" t="str">
        <f>HYPERLINK("https://my.pitchbook.com?c=210995-02T","View Company Online")</f>
        <v>View Company Online</v>
      </c>
    </row>
    <row r="3599" spans="1:18" hidden="1" x14ac:dyDescent="0.3">
      <c r="A3599" s="15" t="s">
        <v>11899</v>
      </c>
      <c r="B3599" s="15" t="s">
        <v>11900</v>
      </c>
      <c r="C3599" s="18" t="s">
        <v>28</v>
      </c>
      <c r="D3599" s="15" t="s">
        <v>11901</v>
      </c>
      <c r="E3599" s="18" t="s">
        <v>28</v>
      </c>
      <c r="F3599" s="19" t="s">
        <v>28</v>
      </c>
      <c r="G3599" s="19" t="s">
        <v>28</v>
      </c>
      <c r="H3599" s="19" t="s">
        <v>28</v>
      </c>
      <c r="I3599" s="18" t="s">
        <v>28</v>
      </c>
      <c r="J3599" s="18" t="s">
        <v>28</v>
      </c>
      <c r="K3599" s="18" t="s">
        <v>28</v>
      </c>
      <c r="L3599" s="18" t="s">
        <v>28</v>
      </c>
      <c r="M3599" s="18" t="s">
        <v>28</v>
      </c>
      <c r="N3599" s="17">
        <v>44589</v>
      </c>
      <c r="O3599" s="15" t="s">
        <v>173</v>
      </c>
      <c r="P3599" s="16" t="s">
        <v>28</v>
      </c>
      <c r="Q3599" s="15" t="s">
        <v>174</v>
      </c>
      <c r="R3599" s="13" t="str">
        <f>HYPERLINK("https://my.pitchbook.com?c=287223-67T","View Company Online")</f>
        <v>View Company Online</v>
      </c>
    </row>
    <row r="3600" spans="1:18" hidden="1" x14ac:dyDescent="0.3">
      <c r="A3600" s="9" t="s">
        <v>11902</v>
      </c>
      <c r="B3600" s="9" t="s">
        <v>4476</v>
      </c>
      <c r="C3600" s="11" t="s">
        <v>28</v>
      </c>
      <c r="D3600" s="9" t="s">
        <v>4477</v>
      </c>
      <c r="E3600" s="11" t="s">
        <v>28</v>
      </c>
      <c r="F3600" s="10" t="s">
        <v>28</v>
      </c>
      <c r="G3600" s="10" t="s">
        <v>28</v>
      </c>
      <c r="H3600" s="10" t="s">
        <v>28</v>
      </c>
      <c r="I3600" s="11" t="s">
        <v>28</v>
      </c>
      <c r="J3600" s="11" t="s">
        <v>28</v>
      </c>
      <c r="K3600" s="11" t="s">
        <v>28</v>
      </c>
      <c r="L3600" s="11" t="s">
        <v>28</v>
      </c>
      <c r="M3600" s="11" t="s">
        <v>28</v>
      </c>
      <c r="N3600" s="8">
        <v>44588</v>
      </c>
      <c r="O3600" s="9" t="s">
        <v>73</v>
      </c>
      <c r="P3600" s="12" t="s">
        <v>11903</v>
      </c>
      <c r="Q3600" s="9" t="s">
        <v>105</v>
      </c>
      <c r="R3600" s="14" t="str">
        <f>HYPERLINK("https://my.pitchbook.com?c=187460-47T","View Company Online")</f>
        <v>View Company Online</v>
      </c>
    </row>
    <row r="3601" spans="1:18" hidden="1" x14ac:dyDescent="0.3">
      <c r="A3601" s="15" t="s">
        <v>11904</v>
      </c>
      <c r="B3601" s="15" t="s">
        <v>11905</v>
      </c>
      <c r="C3601" s="18" t="s">
        <v>28</v>
      </c>
      <c r="D3601" s="15" t="s">
        <v>11906</v>
      </c>
      <c r="E3601" s="18" t="s">
        <v>28</v>
      </c>
      <c r="F3601" s="19" t="s">
        <v>28</v>
      </c>
      <c r="G3601" s="19">
        <v>5.39</v>
      </c>
      <c r="H3601" s="19" t="s">
        <v>28</v>
      </c>
      <c r="I3601" s="18" t="s">
        <v>28</v>
      </c>
      <c r="J3601" s="18" t="s">
        <v>28</v>
      </c>
      <c r="K3601" s="18" t="s">
        <v>28</v>
      </c>
      <c r="L3601" s="18" t="s">
        <v>28</v>
      </c>
      <c r="M3601" s="18" t="s">
        <v>28</v>
      </c>
      <c r="N3601" s="17">
        <v>44588</v>
      </c>
      <c r="O3601" s="15" t="s">
        <v>73</v>
      </c>
      <c r="P3601" s="16" t="s">
        <v>11907</v>
      </c>
      <c r="Q3601" s="15" t="s">
        <v>5628</v>
      </c>
      <c r="R3601" s="13" t="str">
        <f>HYPERLINK("https://my.pitchbook.com?c=187318-54T","View Company Online")</f>
        <v>View Company Online</v>
      </c>
    </row>
    <row r="3602" spans="1:18" hidden="1" x14ac:dyDescent="0.3">
      <c r="A3602" s="9" t="s">
        <v>11908</v>
      </c>
      <c r="B3602" s="9" t="s">
        <v>11909</v>
      </c>
      <c r="C3602" s="11" t="s">
        <v>28</v>
      </c>
      <c r="D3602" s="9" t="s">
        <v>11910</v>
      </c>
      <c r="E3602" s="11" t="s">
        <v>28</v>
      </c>
      <c r="F3602" s="10" t="s">
        <v>28</v>
      </c>
      <c r="G3602" s="10" t="s">
        <v>28</v>
      </c>
      <c r="H3602" s="10" t="s">
        <v>28</v>
      </c>
      <c r="I3602" s="11" t="s">
        <v>28</v>
      </c>
      <c r="J3602" s="11" t="s">
        <v>28</v>
      </c>
      <c r="K3602" s="11" t="s">
        <v>28</v>
      </c>
      <c r="L3602" s="11" t="s">
        <v>28</v>
      </c>
      <c r="M3602" s="11" t="s">
        <v>28</v>
      </c>
      <c r="N3602" s="8">
        <v>44588</v>
      </c>
      <c r="O3602" s="9" t="s">
        <v>93</v>
      </c>
      <c r="P3602" s="12" t="s">
        <v>11911</v>
      </c>
      <c r="Q3602" s="9" t="s">
        <v>43</v>
      </c>
      <c r="R3602" s="14" t="str">
        <f>HYPERLINK("https://my.pitchbook.com?c=190773-46T","View Company Online")</f>
        <v>View Company Online</v>
      </c>
    </row>
    <row r="3603" spans="1:18" hidden="1" x14ac:dyDescent="0.3">
      <c r="A3603" s="15" t="s">
        <v>11912</v>
      </c>
      <c r="B3603" s="15" t="s">
        <v>11913</v>
      </c>
      <c r="C3603" s="18" t="s">
        <v>28</v>
      </c>
      <c r="D3603" s="15" t="s">
        <v>11914</v>
      </c>
      <c r="E3603" s="18" t="s">
        <v>28</v>
      </c>
      <c r="F3603" s="19" t="s">
        <v>28</v>
      </c>
      <c r="G3603" s="19" t="s">
        <v>28</v>
      </c>
      <c r="H3603" s="19" t="s">
        <v>28</v>
      </c>
      <c r="I3603" s="18" t="s">
        <v>28</v>
      </c>
      <c r="J3603" s="18" t="s">
        <v>28</v>
      </c>
      <c r="K3603" s="18">
        <v>300</v>
      </c>
      <c r="L3603" s="18" t="s">
        <v>28</v>
      </c>
      <c r="M3603" s="18" t="s">
        <v>28</v>
      </c>
      <c r="N3603" s="17">
        <v>44588</v>
      </c>
      <c r="O3603" s="15" t="s">
        <v>58</v>
      </c>
      <c r="P3603" s="16" t="s">
        <v>11915</v>
      </c>
      <c r="Q3603" s="15" t="s">
        <v>1238</v>
      </c>
      <c r="R3603" s="13" t="str">
        <f>HYPERLINK("https://my.pitchbook.com?c=192645-55T","View Company Online")</f>
        <v>View Company Online</v>
      </c>
    </row>
    <row r="3604" spans="1:18" hidden="1" x14ac:dyDescent="0.3">
      <c r="A3604" s="9" t="s">
        <v>11916</v>
      </c>
      <c r="B3604" s="9" t="s">
        <v>11917</v>
      </c>
      <c r="C3604" s="11" t="s">
        <v>28</v>
      </c>
      <c r="D3604" s="9" t="s">
        <v>11918</v>
      </c>
      <c r="E3604" s="11" t="s">
        <v>28</v>
      </c>
      <c r="F3604" s="10" t="s">
        <v>28</v>
      </c>
      <c r="G3604" s="10" t="s">
        <v>28</v>
      </c>
      <c r="H3604" s="10" t="s">
        <v>28</v>
      </c>
      <c r="I3604" s="11" t="s">
        <v>28</v>
      </c>
      <c r="J3604" s="11" t="s">
        <v>28</v>
      </c>
      <c r="K3604" s="11" t="s">
        <v>28</v>
      </c>
      <c r="L3604" s="11" t="s">
        <v>28</v>
      </c>
      <c r="M3604" s="11" t="s">
        <v>28</v>
      </c>
      <c r="N3604" s="8">
        <v>44588</v>
      </c>
      <c r="O3604" s="9" t="s">
        <v>30</v>
      </c>
      <c r="P3604" s="12" t="s">
        <v>28</v>
      </c>
      <c r="Q3604" s="9" t="s">
        <v>307</v>
      </c>
      <c r="R3604" s="14" t="str">
        <f>HYPERLINK("https://my.pitchbook.com?c=187678-45T","View Company Online")</f>
        <v>View Company Online</v>
      </c>
    </row>
    <row r="3605" spans="1:18" hidden="1" x14ac:dyDescent="0.3">
      <c r="A3605" s="15" t="s">
        <v>11919</v>
      </c>
      <c r="B3605" s="15" t="s">
        <v>11920</v>
      </c>
      <c r="C3605" s="18" t="s">
        <v>28</v>
      </c>
      <c r="D3605" s="15" t="s">
        <v>11921</v>
      </c>
      <c r="E3605" s="18" t="s">
        <v>28</v>
      </c>
      <c r="F3605" s="19" t="s">
        <v>28</v>
      </c>
      <c r="G3605" s="19" t="s">
        <v>28</v>
      </c>
      <c r="H3605" s="19" t="s">
        <v>28</v>
      </c>
      <c r="I3605" s="18" t="s">
        <v>28</v>
      </c>
      <c r="J3605" s="18" t="s">
        <v>28</v>
      </c>
      <c r="K3605" s="18" t="s">
        <v>28</v>
      </c>
      <c r="L3605" s="18" t="s">
        <v>28</v>
      </c>
      <c r="M3605" s="18" t="s">
        <v>28</v>
      </c>
      <c r="N3605" s="17">
        <v>44587</v>
      </c>
      <c r="O3605" s="15" t="s">
        <v>30</v>
      </c>
      <c r="P3605" s="16" t="s">
        <v>8484</v>
      </c>
      <c r="Q3605" s="15" t="s">
        <v>1336</v>
      </c>
      <c r="R3605" s="13" t="str">
        <f>HYPERLINK("https://my.pitchbook.com?c=210085-30T","View Company Online")</f>
        <v>View Company Online</v>
      </c>
    </row>
    <row r="3606" spans="1:18" hidden="1" x14ac:dyDescent="0.3">
      <c r="A3606" s="9" t="s">
        <v>11922</v>
      </c>
      <c r="B3606" s="9" t="s">
        <v>11923</v>
      </c>
      <c r="C3606" s="11" t="s">
        <v>28</v>
      </c>
      <c r="D3606" s="9" t="s">
        <v>11924</v>
      </c>
      <c r="E3606" s="11" t="s">
        <v>28</v>
      </c>
      <c r="F3606" s="10" t="s">
        <v>28</v>
      </c>
      <c r="G3606" s="10" t="s">
        <v>28</v>
      </c>
      <c r="H3606" s="10" t="s">
        <v>28</v>
      </c>
      <c r="I3606" s="11" t="s">
        <v>28</v>
      </c>
      <c r="J3606" s="11" t="s">
        <v>28</v>
      </c>
      <c r="K3606" s="11" t="s">
        <v>28</v>
      </c>
      <c r="L3606" s="11" t="s">
        <v>28</v>
      </c>
      <c r="M3606" s="11" t="s">
        <v>28</v>
      </c>
      <c r="N3606" s="8">
        <v>44587</v>
      </c>
      <c r="O3606" s="9" t="s">
        <v>41</v>
      </c>
      <c r="P3606" s="12" t="s">
        <v>11925</v>
      </c>
      <c r="Q3606" s="9" t="s">
        <v>37</v>
      </c>
      <c r="R3606" s="14" t="str">
        <f>HYPERLINK("https://my.pitchbook.com?c=187286-41T","View Company Online")</f>
        <v>View Company Online</v>
      </c>
    </row>
    <row r="3607" spans="1:18" hidden="1" x14ac:dyDescent="0.3">
      <c r="A3607" s="15" t="s">
        <v>11926</v>
      </c>
      <c r="B3607" s="15" t="s">
        <v>11927</v>
      </c>
      <c r="C3607" s="18" t="s">
        <v>28</v>
      </c>
      <c r="D3607" s="15" t="s">
        <v>11928</v>
      </c>
      <c r="E3607" s="18" t="s">
        <v>28</v>
      </c>
      <c r="F3607" s="19" t="s">
        <v>28</v>
      </c>
      <c r="G3607" s="19" t="s">
        <v>28</v>
      </c>
      <c r="H3607" s="19" t="s">
        <v>28</v>
      </c>
      <c r="I3607" s="18" t="s">
        <v>28</v>
      </c>
      <c r="J3607" s="18" t="s">
        <v>28</v>
      </c>
      <c r="K3607" s="18" t="s">
        <v>28</v>
      </c>
      <c r="L3607" s="18" t="s">
        <v>28</v>
      </c>
      <c r="M3607" s="18" t="s">
        <v>28</v>
      </c>
      <c r="N3607" s="17">
        <v>44587</v>
      </c>
      <c r="O3607" s="15" t="s">
        <v>93</v>
      </c>
      <c r="P3607" s="16" t="s">
        <v>11929</v>
      </c>
      <c r="Q3607" s="15" t="s">
        <v>37</v>
      </c>
      <c r="R3607" s="13" t="str">
        <f>HYPERLINK("https://my.pitchbook.com?c=187282-09T","View Company Online")</f>
        <v>View Company Online</v>
      </c>
    </row>
    <row r="3608" spans="1:18" hidden="1" x14ac:dyDescent="0.3">
      <c r="A3608" s="9" t="s">
        <v>11930</v>
      </c>
      <c r="B3608" s="9" t="s">
        <v>11931</v>
      </c>
      <c r="C3608" s="11" t="s">
        <v>28</v>
      </c>
      <c r="D3608" s="9" t="s">
        <v>11932</v>
      </c>
      <c r="E3608" s="11" t="s">
        <v>28</v>
      </c>
      <c r="F3608" s="10" t="s">
        <v>28</v>
      </c>
      <c r="G3608" s="10" t="s">
        <v>28</v>
      </c>
      <c r="H3608" s="10" t="s">
        <v>28</v>
      </c>
      <c r="I3608" s="11" t="s">
        <v>28</v>
      </c>
      <c r="J3608" s="11" t="s">
        <v>28</v>
      </c>
      <c r="K3608" s="11" t="s">
        <v>28</v>
      </c>
      <c r="L3608" s="11" t="s">
        <v>28</v>
      </c>
      <c r="M3608" s="11" t="s">
        <v>28</v>
      </c>
      <c r="N3608" s="8">
        <v>44587</v>
      </c>
      <c r="O3608" s="9" t="s">
        <v>58</v>
      </c>
      <c r="P3608" s="12" t="s">
        <v>2281</v>
      </c>
      <c r="Q3608" s="9" t="s">
        <v>855</v>
      </c>
      <c r="R3608" s="14" t="str">
        <f>HYPERLINK("https://my.pitchbook.com?c=211718-80T","View Company Online")</f>
        <v>View Company Online</v>
      </c>
    </row>
    <row r="3609" spans="1:18" hidden="1" x14ac:dyDescent="0.3">
      <c r="A3609" s="15" t="s">
        <v>11933</v>
      </c>
      <c r="B3609" s="15" t="s">
        <v>8090</v>
      </c>
      <c r="C3609" s="18" t="s">
        <v>28</v>
      </c>
      <c r="D3609" s="15" t="s">
        <v>8091</v>
      </c>
      <c r="E3609" s="18" t="s">
        <v>28</v>
      </c>
      <c r="F3609" s="19" t="s">
        <v>28</v>
      </c>
      <c r="G3609" s="19">
        <v>4.8</v>
      </c>
      <c r="H3609" s="19" t="s">
        <v>28</v>
      </c>
      <c r="I3609" s="18" t="s">
        <v>28</v>
      </c>
      <c r="J3609" s="18" t="s">
        <v>28</v>
      </c>
      <c r="K3609" s="18" t="s">
        <v>28</v>
      </c>
      <c r="L3609" s="18" t="s">
        <v>28</v>
      </c>
      <c r="M3609" s="18" t="s">
        <v>28</v>
      </c>
      <c r="N3609" s="17">
        <v>44587</v>
      </c>
      <c r="O3609" s="15" t="s">
        <v>79</v>
      </c>
      <c r="P3609" s="16" t="s">
        <v>28</v>
      </c>
      <c r="Q3609" s="15" t="s">
        <v>95</v>
      </c>
      <c r="R3609" s="13" t="str">
        <f>HYPERLINK("https://my.pitchbook.com?c=187310-35T","View Company Online")</f>
        <v>View Company Online</v>
      </c>
    </row>
    <row r="3610" spans="1:18" hidden="1" x14ac:dyDescent="0.3">
      <c r="A3610" s="9" t="s">
        <v>11934</v>
      </c>
      <c r="B3610" s="9" t="s">
        <v>2945</v>
      </c>
      <c r="C3610" s="11" t="s">
        <v>28</v>
      </c>
      <c r="D3610" s="9" t="s">
        <v>2946</v>
      </c>
      <c r="E3610" s="11" t="s">
        <v>28</v>
      </c>
      <c r="F3610" s="10" t="s">
        <v>28</v>
      </c>
      <c r="G3610" s="10">
        <v>0.16</v>
      </c>
      <c r="H3610" s="10" t="s">
        <v>28</v>
      </c>
      <c r="I3610" s="11" t="s">
        <v>28</v>
      </c>
      <c r="J3610" s="11" t="s">
        <v>28</v>
      </c>
      <c r="K3610" s="11" t="s">
        <v>28</v>
      </c>
      <c r="L3610" s="11" t="s">
        <v>28</v>
      </c>
      <c r="M3610" s="11" t="s">
        <v>28</v>
      </c>
      <c r="N3610" s="8">
        <v>44587</v>
      </c>
      <c r="O3610" s="9" t="s">
        <v>73</v>
      </c>
      <c r="P3610" s="12" t="s">
        <v>11935</v>
      </c>
      <c r="Q3610" s="9" t="s">
        <v>386</v>
      </c>
      <c r="R3610" s="14" t="str">
        <f>HYPERLINK("https://my.pitchbook.com?c=187406-92T","View Company Online")</f>
        <v>View Company Online</v>
      </c>
    </row>
    <row r="3611" spans="1:18" hidden="1" x14ac:dyDescent="0.3">
      <c r="A3611" s="15" t="s">
        <v>11936</v>
      </c>
      <c r="B3611" s="15" t="s">
        <v>1116</v>
      </c>
      <c r="C3611" s="18" t="s">
        <v>28</v>
      </c>
      <c r="D3611" s="15" t="s">
        <v>1117</v>
      </c>
      <c r="E3611" s="18" t="s">
        <v>28</v>
      </c>
      <c r="F3611" s="19" t="s">
        <v>28</v>
      </c>
      <c r="G3611" s="19">
        <v>20.85</v>
      </c>
      <c r="H3611" s="19">
        <v>80.849999999999994</v>
      </c>
      <c r="I3611" s="18" t="s">
        <v>28</v>
      </c>
      <c r="J3611" s="18" t="s">
        <v>28</v>
      </c>
      <c r="K3611" s="18">
        <v>1</v>
      </c>
      <c r="L3611" s="18">
        <v>80.849999999999994</v>
      </c>
      <c r="M3611" s="18" t="s">
        <v>28</v>
      </c>
      <c r="N3611" s="17">
        <v>44586</v>
      </c>
      <c r="O3611" s="15" t="s">
        <v>73</v>
      </c>
      <c r="P3611" s="16" t="s">
        <v>11937</v>
      </c>
      <c r="Q3611" s="15" t="s">
        <v>75</v>
      </c>
      <c r="R3611" s="13" t="str">
        <f>HYPERLINK("https://my.pitchbook.com?c=184104-64T","View Company Online")</f>
        <v>View Company Online</v>
      </c>
    </row>
    <row r="3612" spans="1:18" hidden="1" x14ac:dyDescent="0.3">
      <c r="A3612" s="9" t="s">
        <v>11938</v>
      </c>
      <c r="B3612" s="9" t="s">
        <v>11939</v>
      </c>
      <c r="C3612" s="11" t="s">
        <v>28</v>
      </c>
      <c r="D3612" s="9" t="s">
        <v>11940</v>
      </c>
      <c r="E3612" s="11" t="s">
        <v>28</v>
      </c>
      <c r="F3612" s="10" t="s">
        <v>28</v>
      </c>
      <c r="G3612" s="10">
        <v>10</v>
      </c>
      <c r="H3612" s="10">
        <v>46</v>
      </c>
      <c r="I3612" s="11" t="s">
        <v>28</v>
      </c>
      <c r="J3612" s="11" t="s">
        <v>28</v>
      </c>
      <c r="K3612" s="11" t="s">
        <v>28</v>
      </c>
      <c r="L3612" s="11" t="s">
        <v>28</v>
      </c>
      <c r="M3612" s="11" t="s">
        <v>28</v>
      </c>
      <c r="N3612" s="8">
        <v>44586</v>
      </c>
      <c r="O3612" s="9" t="s">
        <v>79</v>
      </c>
      <c r="P3612" s="12" t="s">
        <v>11941</v>
      </c>
      <c r="Q3612" s="9" t="s">
        <v>75</v>
      </c>
      <c r="R3612" s="14" t="str">
        <f>HYPERLINK("https://my.pitchbook.com?c=184406-77T","View Company Online")</f>
        <v>View Company Online</v>
      </c>
    </row>
    <row r="3613" spans="1:18" hidden="1" x14ac:dyDescent="0.3">
      <c r="A3613" s="15" t="s">
        <v>11942</v>
      </c>
      <c r="B3613" s="15" t="s">
        <v>11943</v>
      </c>
      <c r="C3613" s="18" t="s">
        <v>28</v>
      </c>
      <c r="D3613" s="15" t="s">
        <v>11944</v>
      </c>
      <c r="E3613" s="18" t="s">
        <v>28</v>
      </c>
      <c r="F3613" s="19" t="s">
        <v>28</v>
      </c>
      <c r="G3613" s="19" t="s">
        <v>28</v>
      </c>
      <c r="H3613" s="19" t="s">
        <v>28</v>
      </c>
      <c r="I3613" s="18" t="s">
        <v>28</v>
      </c>
      <c r="J3613" s="18" t="s">
        <v>28</v>
      </c>
      <c r="K3613" s="18" t="s">
        <v>28</v>
      </c>
      <c r="L3613" s="18" t="s">
        <v>28</v>
      </c>
      <c r="M3613" s="18" t="s">
        <v>28</v>
      </c>
      <c r="N3613" s="17">
        <v>44585</v>
      </c>
      <c r="O3613" s="15" t="s">
        <v>30</v>
      </c>
      <c r="P3613" s="16" t="s">
        <v>11945</v>
      </c>
      <c r="Q3613" s="15" t="s">
        <v>1007</v>
      </c>
      <c r="R3613" s="13" t="str">
        <f>HYPERLINK("https://my.pitchbook.com?c=220178-35T","View Company Online")</f>
        <v>View Company Online</v>
      </c>
    </row>
    <row r="3614" spans="1:18" hidden="1" x14ac:dyDescent="0.3">
      <c r="A3614" s="9" t="s">
        <v>11946</v>
      </c>
      <c r="B3614" s="9" t="s">
        <v>11947</v>
      </c>
      <c r="C3614" s="11" t="s">
        <v>28</v>
      </c>
      <c r="D3614" s="9" t="s">
        <v>11948</v>
      </c>
      <c r="E3614" s="11" t="s">
        <v>28</v>
      </c>
      <c r="F3614" s="10" t="s">
        <v>28</v>
      </c>
      <c r="G3614" s="10" t="s">
        <v>28</v>
      </c>
      <c r="H3614" s="10" t="s">
        <v>28</v>
      </c>
      <c r="I3614" s="11" t="s">
        <v>28</v>
      </c>
      <c r="J3614" s="11" t="s">
        <v>28</v>
      </c>
      <c r="K3614" s="11" t="s">
        <v>28</v>
      </c>
      <c r="L3614" s="11" t="s">
        <v>28</v>
      </c>
      <c r="M3614" s="11" t="s">
        <v>28</v>
      </c>
      <c r="N3614" s="8">
        <v>44585</v>
      </c>
      <c r="O3614" s="9" t="s">
        <v>30</v>
      </c>
      <c r="P3614" s="12" t="s">
        <v>11949</v>
      </c>
      <c r="Q3614" s="9" t="s">
        <v>7449</v>
      </c>
      <c r="R3614" s="14" t="str">
        <f>HYPERLINK("https://my.pitchbook.com?c=211133-71T","View Company Online")</f>
        <v>View Company Online</v>
      </c>
    </row>
    <row r="3615" spans="1:18" hidden="1" x14ac:dyDescent="0.3">
      <c r="A3615" s="15" t="s">
        <v>11950</v>
      </c>
      <c r="B3615" s="15" t="s">
        <v>6230</v>
      </c>
      <c r="C3615" s="18" t="s">
        <v>28</v>
      </c>
      <c r="D3615" s="15" t="s">
        <v>6231</v>
      </c>
      <c r="E3615" s="18">
        <v>-19.73</v>
      </c>
      <c r="F3615" s="19" t="s">
        <v>28</v>
      </c>
      <c r="G3615" s="19">
        <v>7.16</v>
      </c>
      <c r="H3615" s="19" t="s">
        <v>28</v>
      </c>
      <c r="I3615" s="18">
        <v>0.78</v>
      </c>
      <c r="J3615" s="18" t="s">
        <v>28</v>
      </c>
      <c r="K3615" s="18">
        <v>133.79</v>
      </c>
      <c r="L3615" s="18" t="s">
        <v>28</v>
      </c>
      <c r="M3615" s="18">
        <v>-19.79</v>
      </c>
      <c r="N3615" s="17">
        <v>44585</v>
      </c>
      <c r="O3615" s="15" t="s">
        <v>93</v>
      </c>
      <c r="P3615" s="16" t="s">
        <v>11951</v>
      </c>
      <c r="Q3615" s="15" t="s">
        <v>740</v>
      </c>
      <c r="R3615" s="13" t="str">
        <f>HYPERLINK("https://my.pitchbook.com?c=199442-62T","View Company Online")</f>
        <v>View Company Online</v>
      </c>
    </row>
    <row r="3616" spans="1:18" hidden="1" x14ac:dyDescent="0.3">
      <c r="A3616" s="9" t="s">
        <v>11952</v>
      </c>
      <c r="B3616" s="9" t="s">
        <v>11953</v>
      </c>
      <c r="C3616" s="11" t="s">
        <v>28</v>
      </c>
      <c r="D3616" s="9" t="s">
        <v>11954</v>
      </c>
      <c r="E3616" s="11" t="s">
        <v>28</v>
      </c>
      <c r="F3616" s="10" t="s">
        <v>28</v>
      </c>
      <c r="G3616" s="10" t="s">
        <v>28</v>
      </c>
      <c r="H3616" s="10" t="s">
        <v>28</v>
      </c>
      <c r="I3616" s="11" t="s">
        <v>28</v>
      </c>
      <c r="J3616" s="11" t="s">
        <v>28</v>
      </c>
      <c r="K3616" s="11" t="s">
        <v>28</v>
      </c>
      <c r="L3616" s="11" t="s">
        <v>28</v>
      </c>
      <c r="M3616" s="11" t="s">
        <v>28</v>
      </c>
      <c r="N3616" s="8">
        <v>44585</v>
      </c>
      <c r="O3616" s="9" t="s">
        <v>52</v>
      </c>
      <c r="P3616" s="12" t="s">
        <v>11955</v>
      </c>
      <c r="Q3616" s="9" t="s">
        <v>37</v>
      </c>
      <c r="R3616" s="14" t="str">
        <f>HYPERLINK("https://my.pitchbook.com?c=190418-41T","View Company Online")</f>
        <v>View Company Online</v>
      </c>
    </row>
    <row r="3617" spans="1:18" hidden="1" x14ac:dyDescent="0.3">
      <c r="A3617" s="15" t="s">
        <v>11956</v>
      </c>
      <c r="B3617" s="15" t="s">
        <v>10836</v>
      </c>
      <c r="C3617" s="18" t="s">
        <v>28</v>
      </c>
      <c r="D3617" s="15" t="s">
        <v>10837</v>
      </c>
      <c r="E3617" s="18" t="s">
        <v>28</v>
      </c>
      <c r="F3617" s="19" t="s">
        <v>28</v>
      </c>
      <c r="G3617" s="19">
        <v>20</v>
      </c>
      <c r="H3617" s="19" t="s">
        <v>28</v>
      </c>
      <c r="I3617" s="18" t="s">
        <v>28</v>
      </c>
      <c r="J3617" s="18" t="s">
        <v>28</v>
      </c>
      <c r="K3617" s="18" t="s">
        <v>28</v>
      </c>
      <c r="L3617" s="18" t="s">
        <v>28</v>
      </c>
      <c r="M3617" s="18" t="s">
        <v>28</v>
      </c>
      <c r="N3617" s="17">
        <v>44585</v>
      </c>
      <c r="O3617" s="15" t="s">
        <v>73</v>
      </c>
      <c r="P3617" s="16" t="s">
        <v>11957</v>
      </c>
      <c r="Q3617" s="15" t="s">
        <v>75</v>
      </c>
      <c r="R3617" s="13" t="str">
        <f>HYPERLINK("https://my.pitchbook.com?c=187091-56T","View Company Online")</f>
        <v>View Company Online</v>
      </c>
    </row>
    <row r="3618" spans="1:18" hidden="1" x14ac:dyDescent="0.3">
      <c r="A3618" s="9" t="s">
        <v>11958</v>
      </c>
      <c r="B3618" s="9" t="s">
        <v>11959</v>
      </c>
      <c r="C3618" s="11" t="s">
        <v>28</v>
      </c>
      <c r="D3618" s="9" t="s">
        <v>11960</v>
      </c>
      <c r="E3618" s="11" t="s">
        <v>28</v>
      </c>
      <c r="F3618" s="10" t="s">
        <v>28</v>
      </c>
      <c r="G3618" s="10">
        <v>7.52</v>
      </c>
      <c r="H3618" s="10" t="s">
        <v>28</v>
      </c>
      <c r="I3618" s="11" t="s">
        <v>28</v>
      </c>
      <c r="J3618" s="11" t="s">
        <v>28</v>
      </c>
      <c r="K3618" s="11" t="s">
        <v>28</v>
      </c>
      <c r="L3618" s="11" t="s">
        <v>28</v>
      </c>
      <c r="M3618" s="11" t="s">
        <v>28</v>
      </c>
      <c r="N3618" s="8">
        <v>44585</v>
      </c>
      <c r="O3618" s="9" t="s">
        <v>73</v>
      </c>
      <c r="P3618" s="12" t="s">
        <v>11961</v>
      </c>
      <c r="Q3618" s="9" t="s">
        <v>75</v>
      </c>
      <c r="R3618" s="14" t="str">
        <f>HYPERLINK("https://my.pitchbook.com?c=187280-11T","View Company Online")</f>
        <v>View Company Online</v>
      </c>
    </row>
    <row r="3619" spans="1:18" hidden="1" x14ac:dyDescent="0.3">
      <c r="A3619" s="15" t="s">
        <v>11962</v>
      </c>
      <c r="B3619" s="15" t="s">
        <v>11025</v>
      </c>
      <c r="C3619" s="18" t="s">
        <v>28</v>
      </c>
      <c r="D3619" s="15" t="s">
        <v>11026</v>
      </c>
      <c r="E3619" s="18" t="s">
        <v>28</v>
      </c>
      <c r="F3619" s="19" t="s">
        <v>28</v>
      </c>
      <c r="G3619" s="19" t="s">
        <v>28</v>
      </c>
      <c r="H3619" s="19" t="s">
        <v>28</v>
      </c>
      <c r="I3619" s="18" t="s">
        <v>28</v>
      </c>
      <c r="J3619" s="18" t="s">
        <v>28</v>
      </c>
      <c r="K3619" s="18" t="s">
        <v>28</v>
      </c>
      <c r="L3619" s="18" t="s">
        <v>28</v>
      </c>
      <c r="M3619" s="18" t="s">
        <v>28</v>
      </c>
      <c r="N3619" s="17">
        <v>44585</v>
      </c>
      <c r="O3619" s="15" t="s">
        <v>379</v>
      </c>
      <c r="P3619" s="16" t="s">
        <v>11963</v>
      </c>
      <c r="Q3619" s="15" t="s">
        <v>75</v>
      </c>
      <c r="R3619" s="13" t="str">
        <f>HYPERLINK("https://my.pitchbook.com?c=190058-59T","View Company Online")</f>
        <v>View Company Online</v>
      </c>
    </row>
    <row r="3620" spans="1:18" hidden="1" x14ac:dyDescent="0.3">
      <c r="A3620" s="9" t="s">
        <v>11964</v>
      </c>
      <c r="B3620" s="9" t="s">
        <v>11965</v>
      </c>
      <c r="C3620" s="11" t="s">
        <v>28</v>
      </c>
      <c r="D3620" s="9" t="s">
        <v>11966</v>
      </c>
      <c r="E3620" s="11" t="s">
        <v>28</v>
      </c>
      <c r="F3620" s="10" t="s">
        <v>28</v>
      </c>
      <c r="G3620" s="10" t="s">
        <v>28</v>
      </c>
      <c r="H3620" s="10" t="s">
        <v>28</v>
      </c>
      <c r="I3620" s="11" t="s">
        <v>28</v>
      </c>
      <c r="J3620" s="11" t="s">
        <v>28</v>
      </c>
      <c r="K3620" s="11" t="s">
        <v>28</v>
      </c>
      <c r="L3620" s="11" t="s">
        <v>28</v>
      </c>
      <c r="M3620" s="11" t="s">
        <v>28</v>
      </c>
      <c r="N3620" s="8">
        <v>44583</v>
      </c>
      <c r="O3620" s="9" t="s">
        <v>30</v>
      </c>
      <c r="P3620" s="12" t="s">
        <v>11967</v>
      </c>
      <c r="Q3620" s="9" t="s">
        <v>386</v>
      </c>
      <c r="R3620" s="14" t="str">
        <f>HYPERLINK("https://my.pitchbook.com?c=210822-40T","View Company Online")</f>
        <v>View Company Online</v>
      </c>
    </row>
    <row r="3621" spans="1:18" x14ac:dyDescent="0.3">
      <c r="A3621" s="15" t="s">
        <v>11968</v>
      </c>
      <c r="B3621" s="15" t="s">
        <v>9265</v>
      </c>
      <c r="C3621" s="18">
        <v>161.1</v>
      </c>
      <c r="D3621" s="15" t="s">
        <v>11969</v>
      </c>
      <c r="E3621" s="18" t="s">
        <v>28</v>
      </c>
      <c r="F3621" s="19">
        <v>1158.4100000000001</v>
      </c>
      <c r="G3621" s="19">
        <v>579.21</v>
      </c>
      <c r="H3621" s="19">
        <v>1158.4100000000001</v>
      </c>
      <c r="I3621" s="18">
        <v>7.19</v>
      </c>
      <c r="J3621" s="18">
        <v>161.1</v>
      </c>
      <c r="K3621" s="18" t="s">
        <v>28</v>
      </c>
      <c r="L3621" s="18" t="s">
        <v>28</v>
      </c>
      <c r="M3621" s="18" t="s">
        <v>28</v>
      </c>
      <c r="N3621" s="17">
        <v>44582</v>
      </c>
      <c r="O3621" s="15" t="s">
        <v>30</v>
      </c>
      <c r="P3621" s="16" t="s">
        <v>9256</v>
      </c>
      <c r="Q3621" s="15" t="s">
        <v>1238</v>
      </c>
      <c r="R3621" s="13" t="str">
        <f>HYPERLINK("https://my.pitchbook.com?c=181474-66T","View Company Online")</f>
        <v>View Company Online</v>
      </c>
    </row>
    <row r="3622" spans="1:18" hidden="1" x14ac:dyDescent="0.3">
      <c r="A3622" s="9" t="s">
        <v>11970</v>
      </c>
      <c r="B3622" s="9" t="s">
        <v>11971</v>
      </c>
      <c r="C3622" s="11" t="s">
        <v>28</v>
      </c>
      <c r="D3622" s="9" t="s">
        <v>11972</v>
      </c>
      <c r="E3622" s="11" t="s">
        <v>28</v>
      </c>
      <c r="F3622" s="10" t="s">
        <v>28</v>
      </c>
      <c r="G3622" s="10" t="s">
        <v>28</v>
      </c>
      <c r="H3622" s="10" t="s">
        <v>28</v>
      </c>
      <c r="I3622" s="11" t="s">
        <v>28</v>
      </c>
      <c r="J3622" s="11" t="s">
        <v>28</v>
      </c>
      <c r="K3622" s="11" t="s">
        <v>28</v>
      </c>
      <c r="L3622" s="11" t="s">
        <v>28</v>
      </c>
      <c r="M3622" s="11" t="s">
        <v>28</v>
      </c>
      <c r="N3622" s="8">
        <v>44582</v>
      </c>
      <c r="O3622" s="9" t="s">
        <v>30</v>
      </c>
      <c r="P3622" s="12" t="s">
        <v>11973</v>
      </c>
      <c r="Q3622" s="9" t="s">
        <v>37</v>
      </c>
      <c r="R3622" s="14" t="str">
        <f>HYPERLINK("https://my.pitchbook.com?c=187146-91T","View Company Online")</f>
        <v>View Company Online</v>
      </c>
    </row>
    <row r="3623" spans="1:18" hidden="1" x14ac:dyDescent="0.3">
      <c r="A3623" s="15" t="s">
        <v>11974</v>
      </c>
      <c r="B3623" s="15" t="s">
        <v>11975</v>
      </c>
      <c r="C3623" s="18" t="s">
        <v>28</v>
      </c>
      <c r="D3623" s="15" t="s">
        <v>11976</v>
      </c>
      <c r="E3623" s="18" t="s">
        <v>28</v>
      </c>
      <c r="F3623" s="19" t="s">
        <v>28</v>
      </c>
      <c r="G3623" s="19" t="s">
        <v>28</v>
      </c>
      <c r="H3623" s="19" t="s">
        <v>28</v>
      </c>
      <c r="I3623" s="18" t="s">
        <v>28</v>
      </c>
      <c r="J3623" s="18" t="s">
        <v>28</v>
      </c>
      <c r="K3623" s="18" t="s">
        <v>28</v>
      </c>
      <c r="L3623" s="18" t="s">
        <v>28</v>
      </c>
      <c r="M3623" s="18" t="s">
        <v>28</v>
      </c>
      <c r="N3623" s="17">
        <v>44582</v>
      </c>
      <c r="O3623" s="15" t="s">
        <v>379</v>
      </c>
      <c r="P3623" s="16" t="s">
        <v>11977</v>
      </c>
      <c r="Q3623" s="15" t="s">
        <v>75</v>
      </c>
      <c r="R3623" s="13" t="str">
        <f>HYPERLINK("https://my.pitchbook.com?c=207055-09T","View Company Online")</f>
        <v>View Company Online</v>
      </c>
    </row>
    <row r="3624" spans="1:18" hidden="1" x14ac:dyDescent="0.3">
      <c r="A3624" s="9" t="s">
        <v>11978</v>
      </c>
      <c r="B3624" s="9" t="s">
        <v>11979</v>
      </c>
      <c r="C3624" s="11" t="s">
        <v>28</v>
      </c>
      <c r="D3624" s="9" t="s">
        <v>11980</v>
      </c>
      <c r="E3624" s="11" t="s">
        <v>28</v>
      </c>
      <c r="F3624" s="10" t="s">
        <v>28</v>
      </c>
      <c r="G3624" s="10">
        <v>25</v>
      </c>
      <c r="H3624" s="10" t="s">
        <v>28</v>
      </c>
      <c r="I3624" s="11" t="s">
        <v>28</v>
      </c>
      <c r="J3624" s="11" t="s">
        <v>28</v>
      </c>
      <c r="K3624" s="11" t="s">
        <v>28</v>
      </c>
      <c r="L3624" s="11" t="s">
        <v>28</v>
      </c>
      <c r="M3624" s="11" t="s">
        <v>28</v>
      </c>
      <c r="N3624" s="8">
        <v>44582</v>
      </c>
      <c r="O3624" s="9" t="s">
        <v>73</v>
      </c>
      <c r="P3624" s="12" t="s">
        <v>11981</v>
      </c>
      <c r="Q3624" s="9" t="s">
        <v>37</v>
      </c>
      <c r="R3624" s="14" t="str">
        <f>HYPERLINK("https://my.pitchbook.com?c=182463-58T","View Company Online")</f>
        <v>View Company Online</v>
      </c>
    </row>
    <row r="3625" spans="1:18" hidden="1" x14ac:dyDescent="0.3">
      <c r="A3625" s="15" t="s">
        <v>11982</v>
      </c>
      <c r="B3625" s="15" t="s">
        <v>2998</v>
      </c>
      <c r="C3625" s="18" t="s">
        <v>28</v>
      </c>
      <c r="D3625" s="15" t="s">
        <v>2999</v>
      </c>
      <c r="E3625" s="18" t="s">
        <v>28</v>
      </c>
      <c r="F3625" s="19" t="s">
        <v>28</v>
      </c>
      <c r="G3625" s="19">
        <v>0.09</v>
      </c>
      <c r="H3625" s="19" t="s">
        <v>28</v>
      </c>
      <c r="I3625" s="18" t="s">
        <v>28</v>
      </c>
      <c r="J3625" s="18" t="s">
        <v>28</v>
      </c>
      <c r="K3625" s="18" t="s">
        <v>28</v>
      </c>
      <c r="L3625" s="18" t="s">
        <v>28</v>
      </c>
      <c r="M3625" s="18" t="s">
        <v>28</v>
      </c>
      <c r="N3625" s="17">
        <v>44581</v>
      </c>
      <c r="O3625" s="15" t="s">
        <v>99</v>
      </c>
      <c r="P3625" s="16" t="s">
        <v>611</v>
      </c>
      <c r="Q3625" s="15" t="s">
        <v>75</v>
      </c>
      <c r="R3625" s="13" t="str">
        <f>HYPERLINK("https://my.pitchbook.com?c=211153-06T","View Company Online")</f>
        <v>View Company Online</v>
      </c>
    </row>
    <row r="3626" spans="1:18" hidden="1" x14ac:dyDescent="0.3">
      <c r="A3626" s="9" t="s">
        <v>11983</v>
      </c>
      <c r="B3626" s="9" t="s">
        <v>10704</v>
      </c>
      <c r="C3626" s="11" t="s">
        <v>28</v>
      </c>
      <c r="D3626" s="9" t="s">
        <v>10705</v>
      </c>
      <c r="E3626" s="11" t="s">
        <v>28</v>
      </c>
      <c r="F3626" s="10" t="s">
        <v>28</v>
      </c>
      <c r="G3626" s="10" t="s">
        <v>28</v>
      </c>
      <c r="H3626" s="10" t="s">
        <v>28</v>
      </c>
      <c r="I3626" s="11" t="s">
        <v>28</v>
      </c>
      <c r="J3626" s="11" t="s">
        <v>28</v>
      </c>
      <c r="K3626" s="11">
        <v>7310</v>
      </c>
      <c r="L3626" s="11" t="s">
        <v>28</v>
      </c>
      <c r="M3626" s="11" t="s">
        <v>28</v>
      </c>
      <c r="N3626" s="8">
        <v>44581</v>
      </c>
      <c r="O3626" s="9" t="s">
        <v>79</v>
      </c>
      <c r="P3626" s="12" t="s">
        <v>11984</v>
      </c>
      <c r="Q3626" s="9" t="s">
        <v>114</v>
      </c>
      <c r="R3626" s="14" t="str">
        <f>HYPERLINK("https://my.pitchbook.com?c=187083-01T","View Company Online")</f>
        <v>View Company Online</v>
      </c>
    </row>
    <row r="3627" spans="1:18" hidden="1" x14ac:dyDescent="0.3">
      <c r="A3627" s="15" t="s">
        <v>11985</v>
      </c>
      <c r="B3627" s="15" t="s">
        <v>11986</v>
      </c>
      <c r="C3627" s="18" t="s">
        <v>28</v>
      </c>
      <c r="D3627" s="15" t="s">
        <v>11987</v>
      </c>
      <c r="E3627" s="18" t="s">
        <v>28</v>
      </c>
      <c r="F3627" s="19" t="s">
        <v>28</v>
      </c>
      <c r="G3627" s="19">
        <v>3.2</v>
      </c>
      <c r="H3627" s="19" t="s">
        <v>28</v>
      </c>
      <c r="I3627" s="18" t="s">
        <v>28</v>
      </c>
      <c r="J3627" s="18" t="s">
        <v>28</v>
      </c>
      <c r="K3627" s="18" t="s">
        <v>28</v>
      </c>
      <c r="L3627" s="18" t="s">
        <v>28</v>
      </c>
      <c r="M3627" s="18" t="s">
        <v>28</v>
      </c>
      <c r="N3627" s="17">
        <v>44581</v>
      </c>
      <c r="O3627" s="15" t="s">
        <v>79</v>
      </c>
      <c r="P3627" s="16" t="s">
        <v>11988</v>
      </c>
      <c r="Q3627" s="15" t="s">
        <v>75</v>
      </c>
      <c r="R3627" s="13" t="str">
        <f>HYPERLINK("https://my.pitchbook.com?c=207682-93T","View Company Online")</f>
        <v>View Company Online</v>
      </c>
    </row>
    <row r="3628" spans="1:18" hidden="1" x14ac:dyDescent="0.3">
      <c r="A3628" s="9" t="s">
        <v>11989</v>
      </c>
      <c r="B3628" s="9" t="s">
        <v>11990</v>
      </c>
      <c r="C3628" s="11" t="s">
        <v>28</v>
      </c>
      <c r="D3628" s="9" t="s">
        <v>11991</v>
      </c>
      <c r="E3628" s="11" t="s">
        <v>28</v>
      </c>
      <c r="F3628" s="10" t="s">
        <v>28</v>
      </c>
      <c r="G3628" s="10" t="s">
        <v>28</v>
      </c>
      <c r="H3628" s="10" t="s">
        <v>28</v>
      </c>
      <c r="I3628" s="11" t="s">
        <v>28</v>
      </c>
      <c r="J3628" s="11" t="s">
        <v>28</v>
      </c>
      <c r="K3628" s="11" t="s">
        <v>28</v>
      </c>
      <c r="L3628" s="11" t="s">
        <v>28</v>
      </c>
      <c r="M3628" s="11" t="s">
        <v>28</v>
      </c>
      <c r="N3628" s="8">
        <v>44581</v>
      </c>
      <c r="O3628" s="9" t="s">
        <v>30</v>
      </c>
      <c r="P3628" s="12" t="s">
        <v>11992</v>
      </c>
      <c r="Q3628" s="9" t="s">
        <v>419</v>
      </c>
      <c r="R3628" s="14" t="str">
        <f>HYPERLINK("https://my.pitchbook.com?c=256589-92T","View Company Online")</f>
        <v>View Company Online</v>
      </c>
    </row>
    <row r="3629" spans="1:18" hidden="1" x14ac:dyDescent="0.3">
      <c r="A3629" s="15" t="s">
        <v>11993</v>
      </c>
      <c r="B3629" s="15" t="s">
        <v>11994</v>
      </c>
      <c r="C3629" s="18" t="s">
        <v>28</v>
      </c>
      <c r="D3629" s="15" t="s">
        <v>11995</v>
      </c>
      <c r="E3629" s="18" t="s">
        <v>28</v>
      </c>
      <c r="F3629" s="19" t="s">
        <v>28</v>
      </c>
      <c r="G3629" s="19">
        <v>30</v>
      </c>
      <c r="H3629" s="19" t="s">
        <v>28</v>
      </c>
      <c r="I3629" s="18" t="s">
        <v>28</v>
      </c>
      <c r="J3629" s="18" t="s">
        <v>28</v>
      </c>
      <c r="K3629" s="18" t="s">
        <v>28</v>
      </c>
      <c r="L3629" s="18" t="s">
        <v>28</v>
      </c>
      <c r="M3629" s="18" t="s">
        <v>28</v>
      </c>
      <c r="N3629" s="17">
        <v>44581</v>
      </c>
      <c r="O3629" s="15" t="s">
        <v>73</v>
      </c>
      <c r="P3629" s="16" t="s">
        <v>11996</v>
      </c>
      <c r="Q3629" s="15" t="s">
        <v>696</v>
      </c>
      <c r="R3629" s="13" t="str">
        <f>HYPERLINK("https://my.pitchbook.com?c=149079-70T","View Company Online")</f>
        <v>View Company Online</v>
      </c>
    </row>
    <row r="3630" spans="1:18" hidden="1" x14ac:dyDescent="0.3">
      <c r="A3630" s="9" t="s">
        <v>11997</v>
      </c>
      <c r="B3630" s="9" t="s">
        <v>8857</v>
      </c>
      <c r="C3630" s="11" t="s">
        <v>28</v>
      </c>
      <c r="D3630" s="9" t="s">
        <v>8858</v>
      </c>
      <c r="E3630" s="11" t="s">
        <v>28</v>
      </c>
      <c r="F3630" s="10" t="s">
        <v>28</v>
      </c>
      <c r="G3630" s="10">
        <v>14.2</v>
      </c>
      <c r="H3630" s="10" t="s">
        <v>28</v>
      </c>
      <c r="I3630" s="11" t="s">
        <v>28</v>
      </c>
      <c r="J3630" s="11" t="s">
        <v>28</v>
      </c>
      <c r="K3630" s="11" t="s">
        <v>28</v>
      </c>
      <c r="L3630" s="11" t="s">
        <v>28</v>
      </c>
      <c r="M3630" s="11" t="s">
        <v>28</v>
      </c>
      <c r="N3630" s="8">
        <v>44580</v>
      </c>
      <c r="O3630" s="9" t="s">
        <v>73</v>
      </c>
      <c r="P3630" s="12" t="s">
        <v>11998</v>
      </c>
      <c r="Q3630" s="9" t="s">
        <v>1336</v>
      </c>
      <c r="R3630" s="14" t="str">
        <f>HYPERLINK("https://my.pitchbook.com?c=186841-63T","View Company Online")</f>
        <v>View Company Online</v>
      </c>
    </row>
    <row r="3631" spans="1:18" hidden="1" x14ac:dyDescent="0.3">
      <c r="A3631" s="15" t="s">
        <v>11999</v>
      </c>
      <c r="B3631" s="15" t="s">
        <v>12000</v>
      </c>
      <c r="C3631" s="18" t="s">
        <v>28</v>
      </c>
      <c r="D3631" s="15" t="s">
        <v>12001</v>
      </c>
      <c r="E3631" s="18" t="s">
        <v>28</v>
      </c>
      <c r="F3631" s="19" t="s">
        <v>28</v>
      </c>
      <c r="G3631" s="19" t="s">
        <v>28</v>
      </c>
      <c r="H3631" s="19" t="s">
        <v>28</v>
      </c>
      <c r="I3631" s="18" t="s">
        <v>28</v>
      </c>
      <c r="J3631" s="18" t="s">
        <v>28</v>
      </c>
      <c r="K3631" s="18" t="s">
        <v>28</v>
      </c>
      <c r="L3631" s="18" t="s">
        <v>28</v>
      </c>
      <c r="M3631" s="18" t="s">
        <v>28</v>
      </c>
      <c r="N3631" s="17">
        <v>44580</v>
      </c>
      <c r="O3631" s="15" t="s">
        <v>41</v>
      </c>
      <c r="P3631" s="16" t="s">
        <v>5561</v>
      </c>
      <c r="Q3631" s="15" t="s">
        <v>290</v>
      </c>
      <c r="R3631" s="13" t="str">
        <f>HYPERLINK("https://my.pitchbook.com?c=207346-33T","View Company Online")</f>
        <v>View Company Online</v>
      </c>
    </row>
    <row r="3632" spans="1:18" hidden="1" x14ac:dyDescent="0.3">
      <c r="A3632" s="9" t="s">
        <v>12002</v>
      </c>
      <c r="B3632" s="9" t="s">
        <v>12003</v>
      </c>
      <c r="C3632" s="11" t="s">
        <v>28</v>
      </c>
      <c r="D3632" s="9" t="s">
        <v>12004</v>
      </c>
      <c r="E3632" s="11" t="s">
        <v>28</v>
      </c>
      <c r="F3632" s="10">
        <v>2.66</v>
      </c>
      <c r="G3632" s="10">
        <v>2.66</v>
      </c>
      <c r="H3632" s="10">
        <v>2.66</v>
      </c>
      <c r="I3632" s="11" t="s">
        <v>28</v>
      </c>
      <c r="J3632" s="11" t="s">
        <v>28</v>
      </c>
      <c r="K3632" s="11" t="s">
        <v>28</v>
      </c>
      <c r="L3632" s="11" t="s">
        <v>28</v>
      </c>
      <c r="M3632" s="11" t="s">
        <v>28</v>
      </c>
      <c r="N3632" s="8">
        <v>44580</v>
      </c>
      <c r="O3632" s="9" t="s">
        <v>30</v>
      </c>
      <c r="P3632" s="12" t="s">
        <v>12005</v>
      </c>
      <c r="Q3632" s="9" t="s">
        <v>245</v>
      </c>
      <c r="R3632" s="14" t="str">
        <f>HYPERLINK("https://my.pitchbook.com?c=274293-28T","View Company Online")</f>
        <v>View Company Online</v>
      </c>
    </row>
    <row r="3633" spans="1:18" hidden="1" x14ac:dyDescent="0.3">
      <c r="A3633" s="15" t="s">
        <v>12006</v>
      </c>
      <c r="B3633" s="15" t="s">
        <v>12007</v>
      </c>
      <c r="C3633" s="18" t="s">
        <v>28</v>
      </c>
      <c r="D3633" s="15" t="s">
        <v>12008</v>
      </c>
      <c r="E3633" s="18" t="s">
        <v>28</v>
      </c>
      <c r="F3633" s="19" t="s">
        <v>28</v>
      </c>
      <c r="G3633" s="19" t="s">
        <v>28</v>
      </c>
      <c r="H3633" s="19" t="s">
        <v>28</v>
      </c>
      <c r="I3633" s="18" t="s">
        <v>28</v>
      </c>
      <c r="J3633" s="18" t="s">
        <v>28</v>
      </c>
      <c r="K3633" s="18">
        <v>26.48</v>
      </c>
      <c r="L3633" s="18" t="s">
        <v>28</v>
      </c>
      <c r="M3633" s="18" t="s">
        <v>28</v>
      </c>
      <c r="N3633" s="17">
        <v>44580</v>
      </c>
      <c r="O3633" s="15" t="s">
        <v>93</v>
      </c>
      <c r="P3633" s="16" t="s">
        <v>12009</v>
      </c>
      <c r="Q3633" s="15" t="s">
        <v>381</v>
      </c>
      <c r="R3633" s="13" t="str">
        <f>HYPERLINK("https://my.pitchbook.com?c=187061-41T","View Company Online")</f>
        <v>View Company Online</v>
      </c>
    </row>
    <row r="3634" spans="1:18" hidden="1" x14ac:dyDescent="0.3">
      <c r="A3634" s="9" t="s">
        <v>12010</v>
      </c>
      <c r="B3634" s="9" t="s">
        <v>4512</v>
      </c>
      <c r="C3634" s="11" t="s">
        <v>28</v>
      </c>
      <c r="D3634" s="9" t="s">
        <v>4513</v>
      </c>
      <c r="E3634" s="11" t="s">
        <v>28</v>
      </c>
      <c r="F3634" s="10" t="s">
        <v>28</v>
      </c>
      <c r="G3634" s="10">
        <v>0.02</v>
      </c>
      <c r="H3634" s="10" t="s">
        <v>28</v>
      </c>
      <c r="I3634" s="11" t="s">
        <v>28</v>
      </c>
      <c r="J3634" s="11" t="s">
        <v>28</v>
      </c>
      <c r="K3634" s="11" t="s">
        <v>28</v>
      </c>
      <c r="L3634" s="11" t="s">
        <v>28</v>
      </c>
      <c r="M3634" s="11" t="s">
        <v>28</v>
      </c>
      <c r="N3634" s="8">
        <v>44579</v>
      </c>
      <c r="O3634" s="9" t="s">
        <v>52</v>
      </c>
      <c r="P3634" s="12" t="s">
        <v>12011</v>
      </c>
      <c r="Q3634" s="9" t="s">
        <v>245</v>
      </c>
      <c r="R3634" s="14" t="str">
        <f>HYPERLINK("https://my.pitchbook.com?c=288198-64T","View Company Online")</f>
        <v>View Company Online</v>
      </c>
    </row>
    <row r="3635" spans="1:18" hidden="1" x14ac:dyDescent="0.3">
      <c r="A3635" s="15" t="s">
        <v>12012</v>
      </c>
      <c r="B3635" s="15" t="s">
        <v>12013</v>
      </c>
      <c r="C3635" s="18" t="s">
        <v>28</v>
      </c>
      <c r="D3635" s="15" t="s">
        <v>12014</v>
      </c>
      <c r="E3635" s="18" t="s">
        <v>28</v>
      </c>
      <c r="F3635" s="19">
        <v>112.22</v>
      </c>
      <c r="G3635" s="19">
        <v>112.22</v>
      </c>
      <c r="H3635" s="19">
        <v>112.22</v>
      </c>
      <c r="I3635" s="18" t="s">
        <v>28</v>
      </c>
      <c r="J3635" s="18" t="s">
        <v>28</v>
      </c>
      <c r="K3635" s="18" t="s">
        <v>28</v>
      </c>
      <c r="L3635" s="18" t="s">
        <v>28</v>
      </c>
      <c r="M3635" s="18" t="s">
        <v>28</v>
      </c>
      <c r="N3635" s="17">
        <v>44579</v>
      </c>
      <c r="O3635" s="15" t="s">
        <v>30</v>
      </c>
      <c r="P3635" s="16" t="s">
        <v>12015</v>
      </c>
      <c r="Q3635" s="15" t="s">
        <v>105</v>
      </c>
      <c r="R3635" s="13" t="str">
        <f>HYPERLINK("https://my.pitchbook.com?c=185453-83T","View Company Online")</f>
        <v>View Company Online</v>
      </c>
    </row>
    <row r="3636" spans="1:18" hidden="1" x14ac:dyDescent="0.3">
      <c r="A3636" s="9" t="s">
        <v>12016</v>
      </c>
      <c r="B3636" s="9" t="s">
        <v>12017</v>
      </c>
      <c r="C3636" s="11" t="s">
        <v>28</v>
      </c>
      <c r="D3636" s="9" t="s">
        <v>12018</v>
      </c>
      <c r="E3636" s="11" t="s">
        <v>28</v>
      </c>
      <c r="F3636" s="10" t="s">
        <v>28</v>
      </c>
      <c r="G3636" s="10">
        <v>0.09</v>
      </c>
      <c r="H3636" s="10" t="s">
        <v>28</v>
      </c>
      <c r="I3636" s="11" t="s">
        <v>28</v>
      </c>
      <c r="J3636" s="11" t="s">
        <v>28</v>
      </c>
      <c r="K3636" s="11" t="s">
        <v>28</v>
      </c>
      <c r="L3636" s="11" t="s">
        <v>28</v>
      </c>
      <c r="M3636" s="11" t="s">
        <v>28</v>
      </c>
      <c r="N3636" s="8">
        <v>44579</v>
      </c>
      <c r="O3636" s="9" t="s">
        <v>1639</v>
      </c>
      <c r="P3636" s="12" t="s">
        <v>28</v>
      </c>
      <c r="Q3636" s="9" t="s">
        <v>75</v>
      </c>
      <c r="R3636" s="14" t="str">
        <f>HYPERLINK("https://my.pitchbook.com?c=188352-19T","View Company Online")</f>
        <v>View Company Online</v>
      </c>
    </row>
    <row r="3637" spans="1:18" hidden="1" x14ac:dyDescent="0.3">
      <c r="A3637" s="15" t="s">
        <v>12019</v>
      </c>
      <c r="B3637" s="15" t="s">
        <v>12020</v>
      </c>
      <c r="C3637" s="18" t="s">
        <v>28</v>
      </c>
      <c r="D3637" s="15" t="s">
        <v>12021</v>
      </c>
      <c r="E3637" s="18" t="s">
        <v>28</v>
      </c>
      <c r="F3637" s="19" t="s">
        <v>28</v>
      </c>
      <c r="G3637" s="19" t="s">
        <v>28</v>
      </c>
      <c r="H3637" s="19" t="s">
        <v>28</v>
      </c>
      <c r="I3637" s="18" t="s">
        <v>28</v>
      </c>
      <c r="J3637" s="18" t="s">
        <v>28</v>
      </c>
      <c r="K3637" s="18" t="s">
        <v>28</v>
      </c>
      <c r="L3637" s="18" t="s">
        <v>28</v>
      </c>
      <c r="M3637" s="18" t="s">
        <v>28</v>
      </c>
      <c r="N3637" s="17">
        <v>44579</v>
      </c>
      <c r="O3637" s="15" t="s">
        <v>30</v>
      </c>
      <c r="P3637" s="16" t="s">
        <v>665</v>
      </c>
      <c r="Q3637" s="15" t="s">
        <v>37</v>
      </c>
      <c r="R3637" s="13" t="str">
        <f>HYPERLINK("https://my.pitchbook.com?c=210691-72T","View Company Online")</f>
        <v>View Company Online</v>
      </c>
    </row>
    <row r="3638" spans="1:18" hidden="1" x14ac:dyDescent="0.3">
      <c r="A3638" s="9" t="s">
        <v>12022</v>
      </c>
      <c r="B3638" s="9" t="s">
        <v>12023</v>
      </c>
      <c r="C3638" s="11" t="s">
        <v>28</v>
      </c>
      <c r="D3638" s="9" t="s">
        <v>12024</v>
      </c>
      <c r="E3638" s="11" t="s">
        <v>28</v>
      </c>
      <c r="F3638" s="10" t="s">
        <v>28</v>
      </c>
      <c r="G3638" s="10" t="s">
        <v>28</v>
      </c>
      <c r="H3638" s="10" t="s">
        <v>28</v>
      </c>
      <c r="I3638" s="11" t="s">
        <v>28</v>
      </c>
      <c r="J3638" s="11" t="s">
        <v>28</v>
      </c>
      <c r="K3638" s="11" t="s">
        <v>28</v>
      </c>
      <c r="L3638" s="11" t="s">
        <v>28</v>
      </c>
      <c r="M3638" s="11" t="s">
        <v>28</v>
      </c>
      <c r="N3638" s="8">
        <v>44579</v>
      </c>
      <c r="O3638" s="9" t="s">
        <v>30</v>
      </c>
      <c r="P3638" s="12" t="s">
        <v>6098</v>
      </c>
      <c r="Q3638" s="9" t="s">
        <v>75</v>
      </c>
      <c r="R3638" s="14" t="str">
        <f>HYPERLINK("https://my.pitchbook.com?c=209978-11T","View Company Online")</f>
        <v>View Company Online</v>
      </c>
    </row>
    <row r="3639" spans="1:18" hidden="1" x14ac:dyDescent="0.3">
      <c r="A3639" s="15" t="s">
        <v>12025</v>
      </c>
      <c r="B3639" s="15" t="s">
        <v>12026</v>
      </c>
      <c r="C3639" s="18" t="s">
        <v>28</v>
      </c>
      <c r="D3639" s="15" t="s">
        <v>12027</v>
      </c>
      <c r="E3639" s="18" t="s">
        <v>28</v>
      </c>
      <c r="F3639" s="19">
        <v>32.1</v>
      </c>
      <c r="G3639" s="19">
        <v>16.690000000000001</v>
      </c>
      <c r="H3639" s="19">
        <v>32.1</v>
      </c>
      <c r="I3639" s="18" t="s">
        <v>28</v>
      </c>
      <c r="J3639" s="18" t="s">
        <v>28</v>
      </c>
      <c r="K3639" s="18" t="s">
        <v>28</v>
      </c>
      <c r="L3639" s="18" t="s">
        <v>28</v>
      </c>
      <c r="M3639" s="18" t="s">
        <v>28</v>
      </c>
      <c r="N3639" s="17">
        <v>44579</v>
      </c>
      <c r="O3639" s="15" t="s">
        <v>30</v>
      </c>
      <c r="P3639" s="16" t="s">
        <v>4616</v>
      </c>
      <c r="Q3639" s="15" t="s">
        <v>37</v>
      </c>
      <c r="R3639" s="13" t="str">
        <f>HYPERLINK("https://my.pitchbook.com?c=210628-63T","View Company Online")</f>
        <v>View Company Online</v>
      </c>
    </row>
    <row r="3640" spans="1:18" hidden="1" x14ac:dyDescent="0.3">
      <c r="A3640" s="9" t="s">
        <v>12028</v>
      </c>
      <c r="B3640" s="9" t="s">
        <v>12029</v>
      </c>
      <c r="C3640" s="11" t="s">
        <v>28</v>
      </c>
      <c r="D3640" s="9" t="s">
        <v>12030</v>
      </c>
      <c r="E3640" s="11" t="s">
        <v>28</v>
      </c>
      <c r="F3640" s="10" t="s">
        <v>28</v>
      </c>
      <c r="G3640" s="10">
        <v>3</v>
      </c>
      <c r="H3640" s="10" t="s">
        <v>28</v>
      </c>
      <c r="I3640" s="11" t="s">
        <v>28</v>
      </c>
      <c r="J3640" s="11" t="s">
        <v>28</v>
      </c>
      <c r="K3640" s="11" t="s">
        <v>28</v>
      </c>
      <c r="L3640" s="11" t="s">
        <v>28</v>
      </c>
      <c r="M3640" s="11" t="s">
        <v>28</v>
      </c>
      <c r="N3640" s="8">
        <v>44579</v>
      </c>
      <c r="O3640" s="9" t="s">
        <v>99</v>
      </c>
      <c r="P3640" s="12" t="s">
        <v>12031</v>
      </c>
      <c r="Q3640" s="9" t="s">
        <v>37</v>
      </c>
      <c r="R3640" s="14" t="str">
        <f>HYPERLINK("https://my.pitchbook.com?c=187056-28T","View Company Online")</f>
        <v>View Company Online</v>
      </c>
    </row>
    <row r="3641" spans="1:18" hidden="1" x14ac:dyDescent="0.3">
      <c r="A3641" s="15" t="s">
        <v>12032</v>
      </c>
      <c r="B3641" s="15" t="s">
        <v>3403</v>
      </c>
      <c r="C3641" s="18" t="s">
        <v>28</v>
      </c>
      <c r="D3641" s="15" t="s">
        <v>3404</v>
      </c>
      <c r="E3641" s="18" t="s">
        <v>28</v>
      </c>
      <c r="F3641" s="19" t="s">
        <v>28</v>
      </c>
      <c r="G3641" s="19" t="s">
        <v>28</v>
      </c>
      <c r="H3641" s="19" t="s">
        <v>28</v>
      </c>
      <c r="I3641" s="18" t="s">
        <v>28</v>
      </c>
      <c r="J3641" s="18" t="s">
        <v>28</v>
      </c>
      <c r="K3641" s="18" t="s">
        <v>28</v>
      </c>
      <c r="L3641" s="18" t="s">
        <v>28</v>
      </c>
      <c r="M3641" s="18" t="s">
        <v>28</v>
      </c>
      <c r="N3641" s="17">
        <v>44579</v>
      </c>
      <c r="O3641" s="15" t="s">
        <v>52</v>
      </c>
      <c r="P3641" s="16" t="s">
        <v>12033</v>
      </c>
      <c r="Q3641" s="15" t="s">
        <v>37</v>
      </c>
      <c r="R3641" s="13" t="str">
        <f>HYPERLINK("https://my.pitchbook.com?c=284387-77T","View Company Online")</f>
        <v>View Company Online</v>
      </c>
    </row>
    <row r="3642" spans="1:18" hidden="1" x14ac:dyDescent="0.3">
      <c r="A3642" s="9" t="s">
        <v>12034</v>
      </c>
      <c r="B3642" s="9" t="s">
        <v>12035</v>
      </c>
      <c r="C3642" s="11" t="s">
        <v>28</v>
      </c>
      <c r="D3642" s="9" t="s">
        <v>12036</v>
      </c>
      <c r="E3642" s="11" t="s">
        <v>28</v>
      </c>
      <c r="F3642" s="10" t="s">
        <v>28</v>
      </c>
      <c r="G3642" s="10">
        <v>0.02</v>
      </c>
      <c r="H3642" s="10" t="s">
        <v>28</v>
      </c>
      <c r="I3642" s="11" t="s">
        <v>28</v>
      </c>
      <c r="J3642" s="11" t="s">
        <v>28</v>
      </c>
      <c r="K3642" s="11" t="s">
        <v>28</v>
      </c>
      <c r="L3642" s="11" t="s">
        <v>28</v>
      </c>
      <c r="M3642" s="11" t="s">
        <v>28</v>
      </c>
      <c r="N3642" s="8">
        <v>44579</v>
      </c>
      <c r="O3642" s="9" t="s">
        <v>52</v>
      </c>
      <c r="P3642" s="12" t="s">
        <v>12011</v>
      </c>
      <c r="Q3642" s="9" t="s">
        <v>114</v>
      </c>
      <c r="R3642" s="14" t="str">
        <f>HYPERLINK("https://my.pitchbook.com?c=288175-96T","View Company Online")</f>
        <v>View Company Online</v>
      </c>
    </row>
    <row r="3643" spans="1:18" hidden="1" x14ac:dyDescent="0.3">
      <c r="A3643" s="15" t="s">
        <v>12037</v>
      </c>
      <c r="B3643" s="15" t="s">
        <v>12038</v>
      </c>
      <c r="C3643" s="18" t="s">
        <v>28</v>
      </c>
      <c r="D3643" s="15" t="s">
        <v>12039</v>
      </c>
      <c r="E3643" s="18" t="s">
        <v>28</v>
      </c>
      <c r="F3643" s="19" t="s">
        <v>28</v>
      </c>
      <c r="G3643" s="19" t="s">
        <v>28</v>
      </c>
      <c r="H3643" s="19" t="s">
        <v>28</v>
      </c>
      <c r="I3643" s="18" t="s">
        <v>28</v>
      </c>
      <c r="J3643" s="18" t="s">
        <v>28</v>
      </c>
      <c r="K3643" s="18">
        <v>9.27</v>
      </c>
      <c r="L3643" s="18" t="s">
        <v>28</v>
      </c>
      <c r="M3643" s="18" t="s">
        <v>28</v>
      </c>
      <c r="N3643" s="17">
        <v>44579</v>
      </c>
      <c r="O3643" s="15" t="s">
        <v>30</v>
      </c>
      <c r="P3643" s="16" t="s">
        <v>457</v>
      </c>
      <c r="Q3643" s="15" t="s">
        <v>9184</v>
      </c>
      <c r="R3643" s="13" t="str">
        <f>HYPERLINK("https://my.pitchbook.com?c=209166-58T","View Company Online")</f>
        <v>View Company Online</v>
      </c>
    </row>
    <row r="3644" spans="1:18" hidden="1" x14ac:dyDescent="0.3">
      <c r="A3644" s="9" t="s">
        <v>12040</v>
      </c>
      <c r="B3644" s="9" t="s">
        <v>11547</v>
      </c>
      <c r="C3644" s="11" t="s">
        <v>28</v>
      </c>
      <c r="D3644" s="9" t="s">
        <v>11548</v>
      </c>
      <c r="E3644" s="11" t="s">
        <v>28</v>
      </c>
      <c r="F3644" s="10" t="s">
        <v>28</v>
      </c>
      <c r="G3644" s="10" t="s">
        <v>28</v>
      </c>
      <c r="H3644" s="10" t="s">
        <v>28</v>
      </c>
      <c r="I3644" s="11" t="s">
        <v>28</v>
      </c>
      <c r="J3644" s="11" t="s">
        <v>28</v>
      </c>
      <c r="K3644" s="11" t="s">
        <v>28</v>
      </c>
      <c r="L3644" s="11" t="s">
        <v>28</v>
      </c>
      <c r="M3644" s="11" t="s">
        <v>28</v>
      </c>
      <c r="N3644" s="8">
        <v>44579</v>
      </c>
      <c r="O3644" s="9" t="s">
        <v>73</v>
      </c>
      <c r="P3644" s="12" t="s">
        <v>28</v>
      </c>
      <c r="Q3644" s="9" t="s">
        <v>37</v>
      </c>
      <c r="R3644" s="14" t="str">
        <f>HYPERLINK("https://my.pitchbook.com?c=211522-33T","View Company Online")</f>
        <v>View Company Online</v>
      </c>
    </row>
    <row r="3645" spans="1:18" hidden="1" x14ac:dyDescent="0.3">
      <c r="A3645" s="15" t="s">
        <v>12041</v>
      </c>
      <c r="B3645" s="15" t="s">
        <v>8154</v>
      </c>
      <c r="C3645" s="18" t="s">
        <v>28</v>
      </c>
      <c r="D3645" s="15" t="s">
        <v>8155</v>
      </c>
      <c r="E3645" s="18" t="s">
        <v>28</v>
      </c>
      <c r="F3645" s="19" t="s">
        <v>28</v>
      </c>
      <c r="G3645" s="19">
        <v>14</v>
      </c>
      <c r="H3645" s="19" t="s">
        <v>28</v>
      </c>
      <c r="I3645" s="18" t="s">
        <v>28</v>
      </c>
      <c r="J3645" s="18" t="s">
        <v>28</v>
      </c>
      <c r="K3645" s="18" t="s">
        <v>28</v>
      </c>
      <c r="L3645" s="18" t="s">
        <v>28</v>
      </c>
      <c r="M3645" s="18" t="s">
        <v>28</v>
      </c>
      <c r="N3645" s="17">
        <v>44579</v>
      </c>
      <c r="O3645" s="15" t="s">
        <v>73</v>
      </c>
      <c r="P3645" s="16" t="s">
        <v>12042</v>
      </c>
      <c r="Q3645" s="15" t="s">
        <v>119</v>
      </c>
      <c r="R3645" s="13" t="str">
        <f>HYPERLINK("https://my.pitchbook.com?c=186833-17T","View Company Online")</f>
        <v>View Company Online</v>
      </c>
    </row>
    <row r="3646" spans="1:18" hidden="1" x14ac:dyDescent="0.3">
      <c r="A3646" s="9" t="s">
        <v>12043</v>
      </c>
      <c r="B3646" s="9" t="s">
        <v>12044</v>
      </c>
      <c r="C3646" s="11" t="s">
        <v>28</v>
      </c>
      <c r="D3646" s="9" t="s">
        <v>12045</v>
      </c>
      <c r="E3646" s="11" t="s">
        <v>28</v>
      </c>
      <c r="F3646" s="10" t="s">
        <v>28</v>
      </c>
      <c r="G3646" s="10">
        <v>0.02</v>
      </c>
      <c r="H3646" s="10" t="s">
        <v>28</v>
      </c>
      <c r="I3646" s="11" t="s">
        <v>28</v>
      </c>
      <c r="J3646" s="11" t="s">
        <v>28</v>
      </c>
      <c r="K3646" s="11" t="s">
        <v>28</v>
      </c>
      <c r="L3646" s="11" t="s">
        <v>28</v>
      </c>
      <c r="M3646" s="11" t="s">
        <v>28</v>
      </c>
      <c r="N3646" s="8">
        <v>44579</v>
      </c>
      <c r="O3646" s="9" t="s">
        <v>52</v>
      </c>
      <c r="P3646" s="12" t="s">
        <v>1792</v>
      </c>
      <c r="Q3646" s="9" t="s">
        <v>43</v>
      </c>
      <c r="R3646" s="14" t="str">
        <f>HYPERLINK("https://my.pitchbook.com?c=288198-37T","View Company Online")</f>
        <v>View Company Online</v>
      </c>
    </row>
    <row r="3647" spans="1:18" hidden="1" x14ac:dyDescent="0.3">
      <c r="A3647" s="15" t="s">
        <v>12046</v>
      </c>
      <c r="B3647" s="15" t="s">
        <v>12047</v>
      </c>
      <c r="C3647" s="18" t="s">
        <v>28</v>
      </c>
      <c r="D3647" s="15" t="s">
        <v>12048</v>
      </c>
      <c r="E3647" s="18" t="s">
        <v>28</v>
      </c>
      <c r="F3647" s="19">
        <v>9.25</v>
      </c>
      <c r="G3647" s="19">
        <v>9.25</v>
      </c>
      <c r="H3647" s="19">
        <v>9.25</v>
      </c>
      <c r="I3647" s="18" t="s">
        <v>28</v>
      </c>
      <c r="J3647" s="18" t="s">
        <v>28</v>
      </c>
      <c r="K3647" s="18" t="s">
        <v>28</v>
      </c>
      <c r="L3647" s="18" t="s">
        <v>28</v>
      </c>
      <c r="M3647" s="18" t="s">
        <v>28</v>
      </c>
      <c r="N3647" s="17">
        <v>44578</v>
      </c>
      <c r="O3647" s="15" t="s">
        <v>30</v>
      </c>
      <c r="P3647" s="16" t="s">
        <v>12049</v>
      </c>
      <c r="Q3647" s="15" t="s">
        <v>245</v>
      </c>
      <c r="R3647" s="13" t="str">
        <f>HYPERLINK("https://my.pitchbook.com?c=186867-28T","View Company Online")</f>
        <v>View Company Online</v>
      </c>
    </row>
    <row r="3648" spans="1:18" hidden="1" x14ac:dyDescent="0.3">
      <c r="A3648" s="9" t="s">
        <v>12050</v>
      </c>
      <c r="B3648" s="9" t="s">
        <v>7576</v>
      </c>
      <c r="C3648" s="11" t="s">
        <v>28</v>
      </c>
      <c r="D3648" s="9" t="s">
        <v>7577</v>
      </c>
      <c r="E3648" s="11">
        <v>11.57</v>
      </c>
      <c r="F3648" s="10" t="s">
        <v>28</v>
      </c>
      <c r="G3648" s="10" t="s">
        <v>28</v>
      </c>
      <c r="H3648" s="10" t="s">
        <v>28</v>
      </c>
      <c r="I3648" s="11">
        <v>16.829999999999998</v>
      </c>
      <c r="J3648" s="11" t="s">
        <v>28</v>
      </c>
      <c r="K3648" s="11">
        <v>34.42</v>
      </c>
      <c r="L3648" s="11" t="s">
        <v>28</v>
      </c>
      <c r="M3648" s="11">
        <v>10.53</v>
      </c>
      <c r="N3648" s="8">
        <v>44578</v>
      </c>
      <c r="O3648" s="9" t="s">
        <v>159</v>
      </c>
      <c r="P3648" s="12" t="s">
        <v>11889</v>
      </c>
      <c r="Q3648" s="9" t="s">
        <v>226</v>
      </c>
      <c r="R3648" s="14" t="str">
        <f>HYPERLINK("https://my.pitchbook.com?c=192503-44T","View Company Online")</f>
        <v>View Company Online</v>
      </c>
    </row>
    <row r="3649" spans="1:18" hidden="1" x14ac:dyDescent="0.3">
      <c r="A3649" s="15" t="s">
        <v>12051</v>
      </c>
      <c r="B3649" s="15" t="s">
        <v>12052</v>
      </c>
      <c r="C3649" s="18" t="s">
        <v>28</v>
      </c>
      <c r="D3649" s="15" t="s">
        <v>12053</v>
      </c>
      <c r="E3649" s="18" t="s">
        <v>28</v>
      </c>
      <c r="F3649" s="19" t="s">
        <v>28</v>
      </c>
      <c r="G3649" s="19" t="s">
        <v>28</v>
      </c>
      <c r="H3649" s="19" t="s">
        <v>28</v>
      </c>
      <c r="I3649" s="18" t="s">
        <v>28</v>
      </c>
      <c r="J3649" s="18" t="s">
        <v>28</v>
      </c>
      <c r="K3649" s="18">
        <v>0.93</v>
      </c>
      <c r="L3649" s="18" t="s">
        <v>28</v>
      </c>
      <c r="M3649" s="18" t="s">
        <v>28</v>
      </c>
      <c r="N3649" s="17">
        <v>44578</v>
      </c>
      <c r="O3649" s="15" t="s">
        <v>30</v>
      </c>
      <c r="P3649" s="16" t="s">
        <v>12054</v>
      </c>
      <c r="Q3649" s="15" t="s">
        <v>75</v>
      </c>
      <c r="R3649" s="13" t="str">
        <f>HYPERLINK("https://my.pitchbook.com?c=189219-52T","View Company Online")</f>
        <v>View Company Online</v>
      </c>
    </row>
    <row r="3650" spans="1:18" hidden="1" x14ac:dyDescent="0.3">
      <c r="A3650" s="9" t="s">
        <v>12055</v>
      </c>
      <c r="B3650" s="9" t="s">
        <v>12056</v>
      </c>
      <c r="C3650" s="11" t="s">
        <v>28</v>
      </c>
      <c r="D3650" s="9" t="s">
        <v>12057</v>
      </c>
      <c r="E3650" s="11" t="s">
        <v>28</v>
      </c>
      <c r="F3650" s="10" t="s">
        <v>28</v>
      </c>
      <c r="G3650" s="10" t="s">
        <v>28</v>
      </c>
      <c r="H3650" s="10" t="s">
        <v>28</v>
      </c>
      <c r="I3650" s="11" t="s">
        <v>28</v>
      </c>
      <c r="J3650" s="11" t="s">
        <v>28</v>
      </c>
      <c r="K3650" s="11" t="s">
        <v>28</v>
      </c>
      <c r="L3650" s="11" t="s">
        <v>28</v>
      </c>
      <c r="M3650" s="11" t="s">
        <v>28</v>
      </c>
      <c r="N3650" s="8">
        <v>44578</v>
      </c>
      <c r="O3650" s="9" t="s">
        <v>30</v>
      </c>
      <c r="P3650" s="12" t="s">
        <v>28</v>
      </c>
      <c r="Q3650" s="9" t="s">
        <v>240</v>
      </c>
      <c r="R3650" s="14" t="str">
        <f>HYPERLINK("https://my.pitchbook.com?c=280702-45T","View Company Online")</f>
        <v>View Company Online</v>
      </c>
    </row>
    <row r="3651" spans="1:18" hidden="1" x14ac:dyDescent="0.3">
      <c r="A3651" s="15" t="s">
        <v>12058</v>
      </c>
      <c r="B3651" s="15" t="s">
        <v>2187</v>
      </c>
      <c r="C3651" s="18" t="s">
        <v>28</v>
      </c>
      <c r="D3651" s="15" t="s">
        <v>2188</v>
      </c>
      <c r="E3651" s="18" t="s">
        <v>28</v>
      </c>
      <c r="F3651" s="19" t="s">
        <v>28</v>
      </c>
      <c r="G3651" s="19">
        <v>5.67</v>
      </c>
      <c r="H3651" s="19">
        <v>472.17</v>
      </c>
      <c r="I3651" s="18" t="s">
        <v>28</v>
      </c>
      <c r="J3651" s="18" t="s">
        <v>28</v>
      </c>
      <c r="K3651" s="18" t="s">
        <v>28</v>
      </c>
      <c r="L3651" s="18" t="s">
        <v>28</v>
      </c>
      <c r="M3651" s="18" t="s">
        <v>28</v>
      </c>
      <c r="N3651" s="17">
        <v>44577</v>
      </c>
      <c r="O3651" s="15" t="s">
        <v>99</v>
      </c>
      <c r="P3651" s="16" t="s">
        <v>12059</v>
      </c>
      <c r="Q3651" s="15" t="s">
        <v>75</v>
      </c>
      <c r="R3651" s="13" t="str">
        <f>HYPERLINK("https://my.pitchbook.com?c=187281-19T","View Company Online")</f>
        <v>View Company Online</v>
      </c>
    </row>
    <row r="3652" spans="1:18" hidden="1" x14ac:dyDescent="0.3">
      <c r="A3652" s="9" t="s">
        <v>12060</v>
      </c>
      <c r="B3652" s="9" t="s">
        <v>10593</v>
      </c>
      <c r="C3652" s="11" t="s">
        <v>28</v>
      </c>
      <c r="D3652" s="9" t="s">
        <v>10594</v>
      </c>
      <c r="E3652" s="11" t="s">
        <v>28</v>
      </c>
      <c r="F3652" s="10" t="s">
        <v>28</v>
      </c>
      <c r="G3652" s="10">
        <v>0.05</v>
      </c>
      <c r="H3652" s="10" t="s">
        <v>28</v>
      </c>
      <c r="I3652" s="11" t="s">
        <v>28</v>
      </c>
      <c r="J3652" s="11" t="s">
        <v>28</v>
      </c>
      <c r="K3652" s="11" t="s">
        <v>28</v>
      </c>
      <c r="L3652" s="11" t="s">
        <v>28</v>
      </c>
      <c r="M3652" s="11" t="s">
        <v>28</v>
      </c>
      <c r="N3652" s="8">
        <v>44577</v>
      </c>
      <c r="O3652" s="9" t="s">
        <v>47</v>
      </c>
      <c r="P3652" s="12" t="s">
        <v>12061</v>
      </c>
      <c r="Q3652" s="9" t="s">
        <v>43</v>
      </c>
      <c r="R3652" s="14" t="str">
        <f>HYPERLINK("https://my.pitchbook.com?c=189052-75T","View Company Online")</f>
        <v>View Company Online</v>
      </c>
    </row>
    <row r="3653" spans="1:18" hidden="1" x14ac:dyDescent="0.3">
      <c r="A3653" s="15" t="s">
        <v>12062</v>
      </c>
      <c r="B3653" s="15" t="s">
        <v>2170</v>
      </c>
      <c r="C3653" s="18" t="s">
        <v>28</v>
      </c>
      <c r="D3653" s="15" t="s">
        <v>2171</v>
      </c>
      <c r="E3653" s="18" t="s">
        <v>28</v>
      </c>
      <c r="F3653" s="19" t="s">
        <v>28</v>
      </c>
      <c r="G3653" s="19">
        <v>16.64</v>
      </c>
      <c r="H3653" s="19" t="s">
        <v>28</v>
      </c>
      <c r="I3653" s="18" t="s">
        <v>28</v>
      </c>
      <c r="J3653" s="18" t="s">
        <v>28</v>
      </c>
      <c r="K3653" s="18" t="s">
        <v>28</v>
      </c>
      <c r="L3653" s="18" t="s">
        <v>28</v>
      </c>
      <c r="M3653" s="18" t="s">
        <v>28</v>
      </c>
      <c r="N3653" s="17">
        <v>44575</v>
      </c>
      <c r="O3653" s="15" t="s">
        <v>79</v>
      </c>
      <c r="P3653" s="16" t="s">
        <v>12063</v>
      </c>
      <c r="Q3653" s="15" t="s">
        <v>1336</v>
      </c>
      <c r="R3653" s="13" t="str">
        <f>HYPERLINK("https://my.pitchbook.com?c=186645-43T","View Company Online")</f>
        <v>View Company Online</v>
      </c>
    </row>
    <row r="3654" spans="1:18" hidden="1" x14ac:dyDescent="0.3">
      <c r="A3654" s="9" t="s">
        <v>12064</v>
      </c>
      <c r="B3654" s="9" t="s">
        <v>2921</v>
      </c>
      <c r="C3654" s="11" t="s">
        <v>28</v>
      </c>
      <c r="D3654" s="9" t="s">
        <v>2922</v>
      </c>
      <c r="E3654" s="11" t="s">
        <v>28</v>
      </c>
      <c r="F3654" s="10" t="s">
        <v>28</v>
      </c>
      <c r="G3654" s="10">
        <v>2.25</v>
      </c>
      <c r="H3654" s="10" t="s">
        <v>28</v>
      </c>
      <c r="I3654" s="11" t="s">
        <v>28</v>
      </c>
      <c r="J3654" s="11" t="s">
        <v>28</v>
      </c>
      <c r="K3654" s="11" t="s">
        <v>28</v>
      </c>
      <c r="L3654" s="11" t="s">
        <v>28</v>
      </c>
      <c r="M3654" s="11" t="s">
        <v>28</v>
      </c>
      <c r="N3654" s="8">
        <v>44575</v>
      </c>
      <c r="O3654" s="9" t="s">
        <v>99</v>
      </c>
      <c r="P3654" s="12" t="s">
        <v>12065</v>
      </c>
      <c r="Q3654" s="9" t="s">
        <v>37</v>
      </c>
      <c r="R3654" s="14" t="str">
        <f>HYPERLINK("https://my.pitchbook.com?c=177049-90T","View Company Online")</f>
        <v>View Company Online</v>
      </c>
    </row>
    <row r="3655" spans="1:18" hidden="1" x14ac:dyDescent="0.3">
      <c r="A3655" s="15" t="s">
        <v>12066</v>
      </c>
      <c r="B3655" s="15" t="s">
        <v>9410</v>
      </c>
      <c r="C3655" s="18" t="s">
        <v>28</v>
      </c>
      <c r="D3655" s="15" t="s">
        <v>9411</v>
      </c>
      <c r="E3655" s="18" t="s">
        <v>28</v>
      </c>
      <c r="F3655" s="19" t="s">
        <v>28</v>
      </c>
      <c r="G3655" s="19">
        <v>0.28000000000000003</v>
      </c>
      <c r="H3655" s="19" t="s">
        <v>28</v>
      </c>
      <c r="I3655" s="18" t="s">
        <v>28</v>
      </c>
      <c r="J3655" s="18" t="s">
        <v>28</v>
      </c>
      <c r="K3655" s="18" t="s">
        <v>28</v>
      </c>
      <c r="L3655" s="18" t="s">
        <v>28</v>
      </c>
      <c r="M3655" s="18" t="s">
        <v>28</v>
      </c>
      <c r="N3655" s="17">
        <v>44575</v>
      </c>
      <c r="O3655" s="15" t="s">
        <v>379</v>
      </c>
      <c r="P3655" s="16" t="s">
        <v>10444</v>
      </c>
      <c r="Q3655" s="15" t="s">
        <v>75</v>
      </c>
      <c r="R3655" s="13" t="str">
        <f>HYPERLINK("https://my.pitchbook.com?c=186715-00T","View Company Online")</f>
        <v>View Company Online</v>
      </c>
    </row>
    <row r="3656" spans="1:18" hidden="1" x14ac:dyDescent="0.3">
      <c r="A3656" s="9" t="s">
        <v>12067</v>
      </c>
      <c r="B3656" s="9" t="s">
        <v>12068</v>
      </c>
      <c r="C3656" s="11" t="s">
        <v>28</v>
      </c>
      <c r="D3656" s="9" t="s">
        <v>12069</v>
      </c>
      <c r="E3656" s="11" t="s">
        <v>28</v>
      </c>
      <c r="F3656" s="10" t="s">
        <v>28</v>
      </c>
      <c r="G3656" s="10" t="s">
        <v>28</v>
      </c>
      <c r="H3656" s="10" t="s">
        <v>28</v>
      </c>
      <c r="I3656" s="11" t="s">
        <v>28</v>
      </c>
      <c r="J3656" s="11" t="s">
        <v>28</v>
      </c>
      <c r="K3656" s="11">
        <v>0.1</v>
      </c>
      <c r="L3656" s="11" t="s">
        <v>28</v>
      </c>
      <c r="M3656" s="11">
        <v>-0.33</v>
      </c>
      <c r="N3656" s="8">
        <v>44575</v>
      </c>
      <c r="O3656" s="9" t="s">
        <v>173</v>
      </c>
      <c r="P3656" s="12" t="s">
        <v>28</v>
      </c>
      <c r="Q3656" s="9" t="s">
        <v>174</v>
      </c>
      <c r="R3656" s="14" t="str">
        <f>HYPERLINK("https://my.pitchbook.com?c=251487-91T","View Company Online")</f>
        <v>View Company Online</v>
      </c>
    </row>
    <row r="3657" spans="1:18" hidden="1" x14ac:dyDescent="0.3">
      <c r="A3657" s="15" t="s">
        <v>12070</v>
      </c>
      <c r="B3657" s="15" t="s">
        <v>6850</v>
      </c>
      <c r="C3657" s="18" t="s">
        <v>28</v>
      </c>
      <c r="D3657" s="15" t="s">
        <v>12071</v>
      </c>
      <c r="E3657" s="18" t="s">
        <v>28</v>
      </c>
      <c r="F3657" s="19" t="s">
        <v>28</v>
      </c>
      <c r="G3657" s="19">
        <v>6.1</v>
      </c>
      <c r="H3657" s="19" t="s">
        <v>28</v>
      </c>
      <c r="I3657" s="18" t="s">
        <v>28</v>
      </c>
      <c r="J3657" s="18" t="s">
        <v>28</v>
      </c>
      <c r="K3657" s="18" t="s">
        <v>28</v>
      </c>
      <c r="L3657" s="18" t="s">
        <v>28</v>
      </c>
      <c r="M3657" s="18" t="s">
        <v>28</v>
      </c>
      <c r="N3657" s="17">
        <v>44575</v>
      </c>
      <c r="O3657" s="15" t="s">
        <v>99</v>
      </c>
      <c r="P3657" s="16" t="s">
        <v>12072</v>
      </c>
      <c r="Q3657" s="15" t="s">
        <v>37</v>
      </c>
      <c r="R3657" s="13" t="str">
        <f>HYPERLINK("https://my.pitchbook.com?c=190375-12T","View Company Online")</f>
        <v>View Company Online</v>
      </c>
    </row>
    <row r="3658" spans="1:18" hidden="1" x14ac:dyDescent="0.3">
      <c r="A3658" s="9" t="s">
        <v>12073</v>
      </c>
      <c r="B3658" s="9" t="s">
        <v>12074</v>
      </c>
      <c r="C3658" s="11" t="s">
        <v>28</v>
      </c>
      <c r="D3658" s="9" t="s">
        <v>12075</v>
      </c>
      <c r="E3658" s="11" t="s">
        <v>28</v>
      </c>
      <c r="F3658" s="10" t="s">
        <v>28</v>
      </c>
      <c r="G3658" s="10" t="s">
        <v>28</v>
      </c>
      <c r="H3658" s="10" t="s">
        <v>28</v>
      </c>
      <c r="I3658" s="11" t="s">
        <v>28</v>
      </c>
      <c r="J3658" s="11" t="s">
        <v>28</v>
      </c>
      <c r="K3658" s="11" t="s">
        <v>28</v>
      </c>
      <c r="L3658" s="11" t="s">
        <v>28</v>
      </c>
      <c r="M3658" s="11" t="s">
        <v>28</v>
      </c>
      <c r="N3658" s="8">
        <v>44575</v>
      </c>
      <c r="O3658" s="9" t="s">
        <v>41</v>
      </c>
      <c r="P3658" s="12" t="s">
        <v>12076</v>
      </c>
      <c r="Q3658" s="9" t="s">
        <v>583</v>
      </c>
      <c r="R3658" s="14" t="str">
        <f>HYPERLINK("https://my.pitchbook.com?c=188492-05T","View Company Online")</f>
        <v>View Company Online</v>
      </c>
    </row>
    <row r="3659" spans="1:18" hidden="1" x14ac:dyDescent="0.3">
      <c r="A3659" s="15" t="s">
        <v>12077</v>
      </c>
      <c r="B3659" s="15" t="s">
        <v>12078</v>
      </c>
      <c r="C3659" s="18" t="s">
        <v>28</v>
      </c>
      <c r="D3659" s="15" t="s">
        <v>12079</v>
      </c>
      <c r="E3659" s="18" t="s">
        <v>28</v>
      </c>
      <c r="F3659" s="19" t="s">
        <v>28</v>
      </c>
      <c r="G3659" s="19">
        <v>1</v>
      </c>
      <c r="H3659" s="19" t="s">
        <v>28</v>
      </c>
      <c r="I3659" s="18" t="s">
        <v>28</v>
      </c>
      <c r="J3659" s="18" t="s">
        <v>28</v>
      </c>
      <c r="K3659" s="18" t="s">
        <v>28</v>
      </c>
      <c r="L3659" s="18" t="s">
        <v>28</v>
      </c>
      <c r="M3659" s="18" t="s">
        <v>28</v>
      </c>
      <c r="N3659" s="17">
        <v>44574</v>
      </c>
      <c r="O3659" s="15" t="s">
        <v>99</v>
      </c>
      <c r="P3659" s="16" t="s">
        <v>12080</v>
      </c>
      <c r="Q3659" s="15" t="s">
        <v>583</v>
      </c>
      <c r="R3659" s="13" t="str">
        <f>HYPERLINK("https://my.pitchbook.com?c=194437-54T","View Company Online")</f>
        <v>View Company Online</v>
      </c>
    </row>
    <row r="3660" spans="1:18" hidden="1" x14ac:dyDescent="0.3">
      <c r="A3660" s="9" t="s">
        <v>12081</v>
      </c>
      <c r="B3660" s="9" t="s">
        <v>12082</v>
      </c>
      <c r="C3660" s="11" t="s">
        <v>28</v>
      </c>
      <c r="D3660" s="9" t="s">
        <v>12083</v>
      </c>
      <c r="E3660" s="11" t="s">
        <v>28</v>
      </c>
      <c r="F3660" s="10" t="s">
        <v>28</v>
      </c>
      <c r="G3660" s="10">
        <v>0.79</v>
      </c>
      <c r="H3660" s="10" t="s">
        <v>28</v>
      </c>
      <c r="I3660" s="11" t="s">
        <v>28</v>
      </c>
      <c r="J3660" s="11" t="s">
        <v>28</v>
      </c>
      <c r="K3660" s="11" t="s">
        <v>28</v>
      </c>
      <c r="L3660" s="11" t="s">
        <v>28</v>
      </c>
      <c r="M3660" s="11" t="s">
        <v>28</v>
      </c>
      <c r="N3660" s="8">
        <v>44574</v>
      </c>
      <c r="O3660" s="9" t="s">
        <v>8420</v>
      </c>
      <c r="P3660" s="12" t="s">
        <v>12084</v>
      </c>
      <c r="Q3660" s="9" t="s">
        <v>136</v>
      </c>
      <c r="R3660" s="14" t="str">
        <f>HYPERLINK("https://my.pitchbook.com?c=186559-57T","View Company Online")</f>
        <v>View Company Online</v>
      </c>
    </row>
    <row r="3661" spans="1:18" hidden="1" x14ac:dyDescent="0.3">
      <c r="A3661" s="15" t="s">
        <v>12085</v>
      </c>
      <c r="B3661" s="15" t="s">
        <v>12086</v>
      </c>
      <c r="C3661" s="18" t="s">
        <v>28</v>
      </c>
      <c r="D3661" s="15" t="s">
        <v>12087</v>
      </c>
      <c r="E3661" s="18" t="s">
        <v>28</v>
      </c>
      <c r="F3661" s="19">
        <v>78.48</v>
      </c>
      <c r="G3661" s="19">
        <v>70.63</v>
      </c>
      <c r="H3661" s="19">
        <v>78.48</v>
      </c>
      <c r="I3661" s="18" t="s">
        <v>28</v>
      </c>
      <c r="J3661" s="18" t="s">
        <v>28</v>
      </c>
      <c r="K3661" s="18" t="s">
        <v>28</v>
      </c>
      <c r="L3661" s="18" t="s">
        <v>28</v>
      </c>
      <c r="M3661" s="18" t="s">
        <v>28</v>
      </c>
      <c r="N3661" s="17">
        <v>44574</v>
      </c>
      <c r="O3661" s="15" t="s">
        <v>30</v>
      </c>
      <c r="P3661" s="16" t="s">
        <v>28</v>
      </c>
      <c r="Q3661" s="15" t="s">
        <v>566</v>
      </c>
      <c r="R3661" s="13" t="str">
        <f>HYPERLINK("https://my.pitchbook.com?c=188393-95T","View Company Online")</f>
        <v>View Company Online</v>
      </c>
    </row>
    <row r="3662" spans="1:18" hidden="1" x14ac:dyDescent="0.3">
      <c r="A3662" s="9" t="s">
        <v>12088</v>
      </c>
      <c r="B3662" s="9" t="s">
        <v>12089</v>
      </c>
      <c r="C3662" s="11" t="s">
        <v>28</v>
      </c>
      <c r="D3662" s="9" t="s">
        <v>12090</v>
      </c>
      <c r="E3662" s="11" t="s">
        <v>28</v>
      </c>
      <c r="F3662" s="10" t="s">
        <v>28</v>
      </c>
      <c r="G3662" s="10" t="s">
        <v>28</v>
      </c>
      <c r="H3662" s="10" t="s">
        <v>28</v>
      </c>
      <c r="I3662" s="11" t="s">
        <v>28</v>
      </c>
      <c r="J3662" s="11" t="s">
        <v>28</v>
      </c>
      <c r="K3662" s="11" t="s">
        <v>28</v>
      </c>
      <c r="L3662" s="11" t="s">
        <v>28</v>
      </c>
      <c r="M3662" s="11" t="s">
        <v>28</v>
      </c>
      <c r="N3662" s="8">
        <v>44574</v>
      </c>
      <c r="O3662" s="9" t="s">
        <v>30</v>
      </c>
      <c r="P3662" s="12" t="s">
        <v>12091</v>
      </c>
      <c r="Q3662" s="9" t="s">
        <v>1853</v>
      </c>
      <c r="R3662" s="14" t="str">
        <f>HYPERLINK("https://my.pitchbook.com?c=210832-93T","View Company Online")</f>
        <v>View Company Online</v>
      </c>
    </row>
    <row r="3663" spans="1:18" hidden="1" x14ac:dyDescent="0.3">
      <c r="A3663" s="15" t="s">
        <v>12092</v>
      </c>
      <c r="B3663" s="15" t="s">
        <v>12093</v>
      </c>
      <c r="C3663" s="18" t="s">
        <v>28</v>
      </c>
      <c r="D3663" s="15" t="s">
        <v>12094</v>
      </c>
      <c r="E3663" s="18" t="s">
        <v>28</v>
      </c>
      <c r="F3663" s="19" t="s">
        <v>28</v>
      </c>
      <c r="G3663" s="19">
        <v>0.18</v>
      </c>
      <c r="H3663" s="19" t="s">
        <v>28</v>
      </c>
      <c r="I3663" s="18" t="s">
        <v>28</v>
      </c>
      <c r="J3663" s="18" t="s">
        <v>28</v>
      </c>
      <c r="K3663" s="18" t="s">
        <v>28</v>
      </c>
      <c r="L3663" s="18" t="s">
        <v>28</v>
      </c>
      <c r="M3663" s="18" t="s">
        <v>28</v>
      </c>
      <c r="N3663" s="17">
        <v>44574</v>
      </c>
      <c r="O3663" s="15" t="s">
        <v>99</v>
      </c>
      <c r="P3663" s="16" t="s">
        <v>12095</v>
      </c>
      <c r="Q3663" s="15" t="s">
        <v>75</v>
      </c>
      <c r="R3663" s="13" t="str">
        <f>HYPERLINK("https://my.pitchbook.com?c=186594-31T","View Company Online")</f>
        <v>View Company Online</v>
      </c>
    </row>
    <row r="3664" spans="1:18" hidden="1" x14ac:dyDescent="0.3">
      <c r="A3664" s="9" t="s">
        <v>12096</v>
      </c>
      <c r="B3664" s="9" t="s">
        <v>1510</v>
      </c>
      <c r="C3664" s="11" t="s">
        <v>28</v>
      </c>
      <c r="D3664" s="9" t="s">
        <v>1511</v>
      </c>
      <c r="E3664" s="11" t="s">
        <v>28</v>
      </c>
      <c r="F3664" s="10" t="s">
        <v>28</v>
      </c>
      <c r="G3664" s="10">
        <v>0.62</v>
      </c>
      <c r="H3664" s="10" t="s">
        <v>28</v>
      </c>
      <c r="I3664" s="11" t="s">
        <v>28</v>
      </c>
      <c r="J3664" s="11" t="s">
        <v>28</v>
      </c>
      <c r="K3664" s="11" t="s">
        <v>28</v>
      </c>
      <c r="L3664" s="11" t="s">
        <v>28</v>
      </c>
      <c r="M3664" s="11" t="s">
        <v>28</v>
      </c>
      <c r="N3664" s="8">
        <v>44574</v>
      </c>
      <c r="O3664" s="9" t="s">
        <v>79</v>
      </c>
      <c r="P3664" s="12" t="s">
        <v>12097</v>
      </c>
      <c r="Q3664" s="9" t="s">
        <v>75</v>
      </c>
      <c r="R3664" s="14" t="str">
        <f>HYPERLINK("https://my.pitchbook.com?c=204045-94T","View Company Online")</f>
        <v>View Company Online</v>
      </c>
    </row>
    <row r="3665" spans="1:18" hidden="1" x14ac:dyDescent="0.3">
      <c r="A3665" s="15" t="s">
        <v>12098</v>
      </c>
      <c r="B3665" s="15" t="s">
        <v>3526</v>
      </c>
      <c r="C3665" s="18" t="s">
        <v>28</v>
      </c>
      <c r="D3665" s="15" t="s">
        <v>3527</v>
      </c>
      <c r="E3665" s="18" t="s">
        <v>28</v>
      </c>
      <c r="F3665" s="19">
        <v>229.55</v>
      </c>
      <c r="G3665" s="19">
        <v>115</v>
      </c>
      <c r="H3665" s="19">
        <v>229.55</v>
      </c>
      <c r="I3665" s="18" t="s">
        <v>28</v>
      </c>
      <c r="J3665" s="18" t="s">
        <v>28</v>
      </c>
      <c r="K3665" s="18" t="s">
        <v>28</v>
      </c>
      <c r="L3665" s="18" t="s">
        <v>28</v>
      </c>
      <c r="M3665" s="18" t="s">
        <v>28</v>
      </c>
      <c r="N3665" s="17">
        <v>44574</v>
      </c>
      <c r="O3665" s="15" t="s">
        <v>30</v>
      </c>
      <c r="P3665" s="16" t="s">
        <v>12099</v>
      </c>
      <c r="Q3665" s="15" t="s">
        <v>424</v>
      </c>
      <c r="R3665" s="13" t="str">
        <f>HYPERLINK("https://my.pitchbook.com?c=186582-16T","View Company Online")</f>
        <v>View Company Online</v>
      </c>
    </row>
    <row r="3666" spans="1:18" x14ac:dyDescent="0.3">
      <c r="A3666" s="9" t="s">
        <v>12100</v>
      </c>
      <c r="B3666" s="9" t="s">
        <v>12101</v>
      </c>
      <c r="C3666" s="11">
        <v>5.42</v>
      </c>
      <c r="D3666" s="9" t="s">
        <v>12102</v>
      </c>
      <c r="E3666" s="11">
        <v>43.82</v>
      </c>
      <c r="F3666" s="10">
        <v>360.82</v>
      </c>
      <c r="G3666" s="10">
        <v>313.51</v>
      </c>
      <c r="H3666" s="10">
        <v>467.92</v>
      </c>
      <c r="I3666" s="11">
        <v>66.53</v>
      </c>
      <c r="J3666" s="11">
        <v>7.03</v>
      </c>
      <c r="K3666" s="11">
        <v>258.91000000000003</v>
      </c>
      <c r="L3666" s="11">
        <v>1.81</v>
      </c>
      <c r="M3666" s="11">
        <v>18.07</v>
      </c>
      <c r="N3666" s="8">
        <v>44574</v>
      </c>
      <c r="O3666" s="9" t="s">
        <v>30</v>
      </c>
      <c r="P3666" s="12" t="s">
        <v>12103</v>
      </c>
      <c r="Q3666" s="9" t="s">
        <v>5347</v>
      </c>
      <c r="R3666" s="14" t="str">
        <f>HYPERLINK("https://my.pitchbook.com?c=180287-74T","View Company Online")</f>
        <v>View Company Online</v>
      </c>
    </row>
    <row r="3667" spans="1:18" hidden="1" x14ac:dyDescent="0.3">
      <c r="A3667" s="15" t="s">
        <v>12104</v>
      </c>
      <c r="B3667" s="15" t="s">
        <v>12105</v>
      </c>
      <c r="C3667" s="18" t="s">
        <v>28</v>
      </c>
      <c r="D3667" s="15" t="s">
        <v>12106</v>
      </c>
      <c r="E3667" s="18" t="s">
        <v>28</v>
      </c>
      <c r="F3667" s="19" t="s">
        <v>28</v>
      </c>
      <c r="G3667" s="19" t="s">
        <v>28</v>
      </c>
      <c r="H3667" s="19" t="s">
        <v>28</v>
      </c>
      <c r="I3667" s="18" t="s">
        <v>28</v>
      </c>
      <c r="J3667" s="18" t="s">
        <v>28</v>
      </c>
      <c r="K3667" s="18" t="s">
        <v>28</v>
      </c>
      <c r="L3667" s="18" t="s">
        <v>28</v>
      </c>
      <c r="M3667" s="18" t="s">
        <v>28</v>
      </c>
      <c r="N3667" s="17">
        <v>44574</v>
      </c>
      <c r="O3667" s="15" t="s">
        <v>30</v>
      </c>
      <c r="P3667" s="16" t="s">
        <v>12107</v>
      </c>
      <c r="Q3667" s="15" t="s">
        <v>245</v>
      </c>
      <c r="R3667" s="13" t="str">
        <f>HYPERLINK("https://my.pitchbook.com?c=208971-91T","View Company Online")</f>
        <v>View Company Online</v>
      </c>
    </row>
    <row r="3668" spans="1:18" hidden="1" x14ac:dyDescent="0.3">
      <c r="A3668" s="9" t="s">
        <v>12108</v>
      </c>
      <c r="B3668" s="9" t="s">
        <v>12109</v>
      </c>
      <c r="C3668" s="11" t="s">
        <v>28</v>
      </c>
      <c r="D3668" s="9" t="s">
        <v>12110</v>
      </c>
      <c r="E3668" s="11" t="s">
        <v>28</v>
      </c>
      <c r="F3668" s="10" t="s">
        <v>28</v>
      </c>
      <c r="G3668" s="10" t="s">
        <v>28</v>
      </c>
      <c r="H3668" s="10" t="s">
        <v>28</v>
      </c>
      <c r="I3668" s="11" t="s">
        <v>28</v>
      </c>
      <c r="J3668" s="11" t="s">
        <v>28</v>
      </c>
      <c r="K3668" s="11" t="s">
        <v>28</v>
      </c>
      <c r="L3668" s="11" t="s">
        <v>28</v>
      </c>
      <c r="M3668" s="11" t="s">
        <v>28</v>
      </c>
      <c r="N3668" s="8">
        <v>44574</v>
      </c>
      <c r="O3668" s="9" t="s">
        <v>30</v>
      </c>
      <c r="P3668" s="12" t="s">
        <v>6889</v>
      </c>
      <c r="Q3668" s="9" t="s">
        <v>566</v>
      </c>
      <c r="R3668" s="14" t="str">
        <f>HYPERLINK("https://my.pitchbook.com?c=211592-89T","View Company Online")</f>
        <v>View Company Online</v>
      </c>
    </row>
    <row r="3669" spans="1:18" hidden="1" x14ac:dyDescent="0.3">
      <c r="A3669" s="15" t="s">
        <v>12111</v>
      </c>
      <c r="B3669" s="15" t="s">
        <v>1713</v>
      </c>
      <c r="C3669" s="18" t="s">
        <v>28</v>
      </c>
      <c r="D3669" s="15" t="s">
        <v>1714</v>
      </c>
      <c r="E3669" s="18" t="s">
        <v>28</v>
      </c>
      <c r="F3669" s="19" t="s">
        <v>28</v>
      </c>
      <c r="G3669" s="19">
        <v>32</v>
      </c>
      <c r="H3669" s="19" t="s">
        <v>28</v>
      </c>
      <c r="I3669" s="18" t="s">
        <v>28</v>
      </c>
      <c r="J3669" s="18" t="s">
        <v>28</v>
      </c>
      <c r="K3669" s="18" t="s">
        <v>28</v>
      </c>
      <c r="L3669" s="18" t="s">
        <v>28</v>
      </c>
      <c r="M3669" s="18" t="s">
        <v>28</v>
      </c>
      <c r="N3669" s="17">
        <v>44574</v>
      </c>
      <c r="O3669" s="15" t="s">
        <v>73</v>
      </c>
      <c r="P3669" s="16" t="s">
        <v>12112</v>
      </c>
      <c r="Q3669" s="15" t="s">
        <v>419</v>
      </c>
      <c r="R3669" s="13" t="str">
        <f>HYPERLINK("https://my.pitchbook.com?c=186535-18T","View Company Online")</f>
        <v>View Company Online</v>
      </c>
    </row>
    <row r="3670" spans="1:18" hidden="1" x14ac:dyDescent="0.3">
      <c r="A3670" s="9" t="s">
        <v>12113</v>
      </c>
      <c r="B3670" s="9" t="s">
        <v>9973</v>
      </c>
      <c r="C3670" s="11" t="s">
        <v>28</v>
      </c>
      <c r="D3670" s="9" t="s">
        <v>9974</v>
      </c>
      <c r="E3670" s="11" t="s">
        <v>28</v>
      </c>
      <c r="F3670" s="10" t="s">
        <v>28</v>
      </c>
      <c r="G3670" s="10" t="s">
        <v>28</v>
      </c>
      <c r="H3670" s="10" t="s">
        <v>28</v>
      </c>
      <c r="I3670" s="11" t="s">
        <v>28</v>
      </c>
      <c r="J3670" s="11" t="s">
        <v>28</v>
      </c>
      <c r="K3670" s="11" t="s">
        <v>28</v>
      </c>
      <c r="L3670" s="11" t="s">
        <v>28</v>
      </c>
      <c r="M3670" s="11">
        <v>71.33</v>
      </c>
      <c r="N3670" s="8">
        <v>44574</v>
      </c>
      <c r="O3670" s="9" t="s">
        <v>173</v>
      </c>
      <c r="P3670" s="12" t="s">
        <v>28</v>
      </c>
      <c r="Q3670" s="9" t="s">
        <v>290</v>
      </c>
      <c r="R3670" s="14" t="str">
        <f>HYPERLINK("https://my.pitchbook.com?c=199453-78T","View Company Online")</f>
        <v>View Company Online</v>
      </c>
    </row>
    <row r="3671" spans="1:18" hidden="1" x14ac:dyDescent="0.3">
      <c r="A3671" s="15" t="s">
        <v>12114</v>
      </c>
      <c r="B3671" s="15" t="s">
        <v>6798</v>
      </c>
      <c r="C3671" s="18" t="s">
        <v>28</v>
      </c>
      <c r="D3671" s="15" t="s">
        <v>6799</v>
      </c>
      <c r="E3671" s="18" t="s">
        <v>28</v>
      </c>
      <c r="F3671" s="19" t="s">
        <v>28</v>
      </c>
      <c r="G3671" s="19">
        <v>30</v>
      </c>
      <c r="H3671" s="19" t="s">
        <v>28</v>
      </c>
      <c r="I3671" s="18" t="s">
        <v>28</v>
      </c>
      <c r="J3671" s="18" t="s">
        <v>28</v>
      </c>
      <c r="K3671" s="18" t="s">
        <v>28</v>
      </c>
      <c r="L3671" s="18" t="s">
        <v>28</v>
      </c>
      <c r="M3671" s="18" t="s">
        <v>28</v>
      </c>
      <c r="N3671" s="17">
        <v>44573</v>
      </c>
      <c r="O3671" s="15" t="s">
        <v>73</v>
      </c>
      <c r="P3671" s="16" t="s">
        <v>2579</v>
      </c>
      <c r="Q3671" s="15" t="s">
        <v>119</v>
      </c>
      <c r="R3671" s="13" t="str">
        <f>HYPERLINK("https://my.pitchbook.com?c=269675-29T","View Company Online")</f>
        <v>View Company Online</v>
      </c>
    </row>
    <row r="3672" spans="1:18" hidden="1" x14ac:dyDescent="0.3">
      <c r="A3672" s="9" t="s">
        <v>12115</v>
      </c>
      <c r="B3672" s="9" t="s">
        <v>12116</v>
      </c>
      <c r="C3672" s="11" t="s">
        <v>28</v>
      </c>
      <c r="D3672" s="9" t="s">
        <v>12117</v>
      </c>
      <c r="E3672" s="11" t="s">
        <v>28</v>
      </c>
      <c r="F3672" s="10" t="s">
        <v>28</v>
      </c>
      <c r="G3672" s="10">
        <v>4.0599999999999996</v>
      </c>
      <c r="H3672" s="10" t="s">
        <v>28</v>
      </c>
      <c r="I3672" s="11" t="s">
        <v>28</v>
      </c>
      <c r="J3672" s="11" t="s">
        <v>28</v>
      </c>
      <c r="K3672" s="11" t="s">
        <v>28</v>
      </c>
      <c r="L3672" s="11" t="s">
        <v>28</v>
      </c>
      <c r="M3672" s="11" t="s">
        <v>28</v>
      </c>
      <c r="N3672" s="8">
        <v>44573</v>
      </c>
      <c r="O3672" s="9" t="s">
        <v>99</v>
      </c>
      <c r="P3672" s="12" t="s">
        <v>12118</v>
      </c>
      <c r="Q3672" s="9" t="s">
        <v>37</v>
      </c>
      <c r="R3672" s="14" t="str">
        <f>HYPERLINK("https://my.pitchbook.com?c=186439-06T","View Company Online")</f>
        <v>View Company Online</v>
      </c>
    </row>
    <row r="3673" spans="1:18" hidden="1" x14ac:dyDescent="0.3">
      <c r="A3673" s="15" t="s">
        <v>12119</v>
      </c>
      <c r="B3673" s="15" t="s">
        <v>1418</v>
      </c>
      <c r="C3673" s="18" t="s">
        <v>28</v>
      </c>
      <c r="D3673" s="15" t="s">
        <v>1419</v>
      </c>
      <c r="E3673" s="18" t="s">
        <v>28</v>
      </c>
      <c r="F3673" s="19" t="s">
        <v>28</v>
      </c>
      <c r="G3673" s="19">
        <v>4.8499999999999996</v>
      </c>
      <c r="H3673" s="19" t="s">
        <v>28</v>
      </c>
      <c r="I3673" s="18" t="s">
        <v>28</v>
      </c>
      <c r="J3673" s="18" t="s">
        <v>28</v>
      </c>
      <c r="K3673" s="18" t="s">
        <v>28</v>
      </c>
      <c r="L3673" s="18" t="s">
        <v>28</v>
      </c>
      <c r="M3673" s="18" t="s">
        <v>28</v>
      </c>
      <c r="N3673" s="17">
        <v>44573</v>
      </c>
      <c r="O3673" s="15" t="s">
        <v>73</v>
      </c>
      <c r="P3673" s="16" t="s">
        <v>12120</v>
      </c>
      <c r="Q3673" s="15" t="s">
        <v>37</v>
      </c>
      <c r="R3673" s="13" t="str">
        <f>HYPERLINK("https://my.pitchbook.com?c=186456-25T","View Company Online")</f>
        <v>View Company Online</v>
      </c>
    </row>
    <row r="3674" spans="1:18" hidden="1" x14ac:dyDescent="0.3">
      <c r="A3674" s="9" t="s">
        <v>12121</v>
      </c>
      <c r="B3674" s="9" t="s">
        <v>12122</v>
      </c>
      <c r="C3674" s="11" t="s">
        <v>28</v>
      </c>
      <c r="D3674" s="9" t="s">
        <v>12123</v>
      </c>
      <c r="E3674" s="11" t="s">
        <v>28</v>
      </c>
      <c r="F3674" s="10" t="s">
        <v>28</v>
      </c>
      <c r="G3674" s="10" t="s">
        <v>28</v>
      </c>
      <c r="H3674" s="10" t="s">
        <v>28</v>
      </c>
      <c r="I3674" s="11" t="s">
        <v>28</v>
      </c>
      <c r="J3674" s="11" t="s">
        <v>28</v>
      </c>
      <c r="K3674" s="11" t="s">
        <v>28</v>
      </c>
      <c r="L3674" s="11" t="s">
        <v>28</v>
      </c>
      <c r="M3674" s="11" t="s">
        <v>28</v>
      </c>
      <c r="N3674" s="8">
        <v>44573</v>
      </c>
      <c r="O3674" s="9" t="s">
        <v>30</v>
      </c>
      <c r="P3674" s="12" t="s">
        <v>12124</v>
      </c>
      <c r="Q3674" s="9" t="s">
        <v>740</v>
      </c>
      <c r="R3674" s="14" t="str">
        <f>HYPERLINK("https://my.pitchbook.com?c=233225-02T","View Company Online")</f>
        <v>View Company Online</v>
      </c>
    </row>
    <row r="3675" spans="1:18" hidden="1" x14ac:dyDescent="0.3">
      <c r="A3675" s="15" t="s">
        <v>12125</v>
      </c>
      <c r="B3675" s="15" t="s">
        <v>12126</v>
      </c>
      <c r="C3675" s="18" t="s">
        <v>28</v>
      </c>
      <c r="D3675" s="15" t="s">
        <v>12127</v>
      </c>
      <c r="E3675" s="18" t="s">
        <v>28</v>
      </c>
      <c r="F3675" s="19" t="s">
        <v>28</v>
      </c>
      <c r="G3675" s="19" t="s">
        <v>28</v>
      </c>
      <c r="H3675" s="19" t="s">
        <v>28</v>
      </c>
      <c r="I3675" s="18" t="s">
        <v>28</v>
      </c>
      <c r="J3675" s="18" t="s">
        <v>28</v>
      </c>
      <c r="K3675" s="18" t="s">
        <v>28</v>
      </c>
      <c r="L3675" s="18" t="s">
        <v>28</v>
      </c>
      <c r="M3675" s="18" t="s">
        <v>28</v>
      </c>
      <c r="N3675" s="17">
        <v>44572</v>
      </c>
      <c r="O3675" s="15" t="s">
        <v>30</v>
      </c>
      <c r="P3675" s="16" t="s">
        <v>12128</v>
      </c>
      <c r="Q3675" s="15" t="s">
        <v>616</v>
      </c>
      <c r="R3675" s="13" t="str">
        <f>HYPERLINK("https://my.pitchbook.com?c=211031-47T","View Company Online")</f>
        <v>View Company Online</v>
      </c>
    </row>
    <row r="3676" spans="1:18" hidden="1" x14ac:dyDescent="0.3">
      <c r="A3676" s="9" t="s">
        <v>12129</v>
      </c>
      <c r="B3676" s="9" t="s">
        <v>12130</v>
      </c>
      <c r="C3676" s="11" t="s">
        <v>28</v>
      </c>
      <c r="D3676" s="9" t="s">
        <v>12131</v>
      </c>
      <c r="E3676" s="11" t="s">
        <v>28</v>
      </c>
      <c r="F3676" s="10" t="s">
        <v>28</v>
      </c>
      <c r="G3676" s="10" t="s">
        <v>28</v>
      </c>
      <c r="H3676" s="10" t="s">
        <v>28</v>
      </c>
      <c r="I3676" s="11" t="s">
        <v>28</v>
      </c>
      <c r="J3676" s="11" t="s">
        <v>28</v>
      </c>
      <c r="K3676" s="11">
        <v>8.48</v>
      </c>
      <c r="L3676" s="11" t="s">
        <v>28</v>
      </c>
      <c r="M3676" s="11">
        <v>2.61</v>
      </c>
      <c r="N3676" s="8">
        <v>44572</v>
      </c>
      <c r="O3676" s="9" t="s">
        <v>173</v>
      </c>
      <c r="P3676" s="12" t="s">
        <v>28</v>
      </c>
      <c r="Q3676" s="9" t="s">
        <v>174</v>
      </c>
      <c r="R3676" s="14" t="str">
        <f>HYPERLINK("https://my.pitchbook.com?c=252180-10T","View Company Online")</f>
        <v>View Company Online</v>
      </c>
    </row>
    <row r="3677" spans="1:18" hidden="1" x14ac:dyDescent="0.3">
      <c r="A3677" s="15" t="s">
        <v>12132</v>
      </c>
      <c r="B3677" s="15" t="s">
        <v>12133</v>
      </c>
      <c r="C3677" s="18" t="s">
        <v>28</v>
      </c>
      <c r="D3677" s="15" t="s">
        <v>12134</v>
      </c>
      <c r="E3677" s="18" t="s">
        <v>28</v>
      </c>
      <c r="F3677" s="19" t="s">
        <v>28</v>
      </c>
      <c r="G3677" s="19">
        <v>7.41</v>
      </c>
      <c r="H3677" s="19" t="s">
        <v>28</v>
      </c>
      <c r="I3677" s="18" t="s">
        <v>28</v>
      </c>
      <c r="J3677" s="18" t="s">
        <v>28</v>
      </c>
      <c r="K3677" s="18" t="s">
        <v>28</v>
      </c>
      <c r="L3677" s="18" t="s">
        <v>28</v>
      </c>
      <c r="M3677" s="18" t="s">
        <v>28</v>
      </c>
      <c r="N3677" s="17">
        <v>44572</v>
      </c>
      <c r="O3677" s="15" t="s">
        <v>79</v>
      </c>
      <c r="P3677" s="16" t="s">
        <v>12135</v>
      </c>
      <c r="Q3677" s="15" t="s">
        <v>95</v>
      </c>
      <c r="R3677" s="13" t="str">
        <f>HYPERLINK("https://my.pitchbook.com?c=178212-43T","View Company Online")</f>
        <v>View Company Online</v>
      </c>
    </row>
    <row r="3678" spans="1:18" hidden="1" x14ac:dyDescent="0.3">
      <c r="A3678" s="9" t="s">
        <v>12136</v>
      </c>
      <c r="B3678" s="9" t="s">
        <v>12137</v>
      </c>
      <c r="C3678" s="11" t="s">
        <v>28</v>
      </c>
      <c r="D3678" s="9" t="s">
        <v>12138</v>
      </c>
      <c r="E3678" s="11" t="s">
        <v>28</v>
      </c>
      <c r="F3678" s="10" t="s">
        <v>28</v>
      </c>
      <c r="G3678" s="10">
        <v>3.6</v>
      </c>
      <c r="H3678" s="10" t="s">
        <v>28</v>
      </c>
      <c r="I3678" s="11" t="s">
        <v>28</v>
      </c>
      <c r="J3678" s="11" t="s">
        <v>28</v>
      </c>
      <c r="K3678" s="11" t="s">
        <v>28</v>
      </c>
      <c r="L3678" s="11" t="s">
        <v>28</v>
      </c>
      <c r="M3678" s="11" t="s">
        <v>28</v>
      </c>
      <c r="N3678" s="8">
        <v>44572</v>
      </c>
      <c r="O3678" s="9" t="s">
        <v>99</v>
      </c>
      <c r="P3678" s="12" t="s">
        <v>12139</v>
      </c>
      <c r="Q3678" s="9" t="s">
        <v>566</v>
      </c>
      <c r="R3678" s="14" t="str">
        <f>HYPERLINK("https://my.pitchbook.com?c=186361-21T","View Company Online")</f>
        <v>View Company Online</v>
      </c>
    </row>
    <row r="3679" spans="1:18" hidden="1" x14ac:dyDescent="0.3">
      <c r="A3679" s="15" t="s">
        <v>12140</v>
      </c>
      <c r="B3679" s="15" t="s">
        <v>12141</v>
      </c>
      <c r="C3679" s="18" t="s">
        <v>28</v>
      </c>
      <c r="D3679" s="15" t="s">
        <v>12142</v>
      </c>
      <c r="E3679" s="18" t="s">
        <v>28</v>
      </c>
      <c r="F3679" s="19" t="s">
        <v>28</v>
      </c>
      <c r="G3679" s="19" t="s">
        <v>28</v>
      </c>
      <c r="H3679" s="19" t="s">
        <v>28</v>
      </c>
      <c r="I3679" s="18" t="s">
        <v>28</v>
      </c>
      <c r="J3679" s="18" t="s">
        <v>28</v>
      </c>
      <c r="K3679" s="18" t="s">
        <v>28</v>
      </c>
      <c r="L3679" s="18" t="s">
        <v>28</v>
      </c>
      <c r="M3679" s="18" t="s">
        <v>28</v>
      </c>
      <c r="N3679" s="17">
        <v>44572</v>
      </c>
      <c r="O3679" s="15" t="s">
        <v>41</v>
      </c>
      <c r="P3679" s="16" t="s">
        <v>12143</v>
      </c>
      <c r="Q3679" s="15" t="s">
        <v>240</v>
      </c>
      <c r="R3679" s="13" t="str">
        <f>HYPERLINK("https://my.pitchbook.com?c=186422-77T","View Company Online")</f>
        <v>View Company Online</v>
      </c>
    </row>
    <row r="3680" spans="1:18" hidden="1" x14ac:dyDescent="0.3">
      <c r="A3680" s="9" t="s">
        <v>12144</v>
      </c>
      <c r="B3680" s="9" t="s">
        <v>5221</v>
      </c>
      <c r="C3680" s="11" t="s">
        <v>28</v>
      </c>
      <c r="D3680" s="9" t="s">
        <v>5222</v>
      </c>
      <c r="E3680" s="11" t="s">
        <v>28</v>
      </c>
      <c r="F3680" s="10" t="s">
        <v>28</v>
      </c>
      <c r="G3680" s="10">
        <v>11</v>
      </c>
      <c r="H3680" s="10" t="s">
        <v>28</v>
      </c>
      <c r="I3680" s="11" t="s">
        <v>28</v>
      </c>
      <c r="J3680" s="11" t="s">
        <v>28</v>
      </c>
      <c r="K3680" s="11" t="s">
        <v>28</v>
      </c>
      <c r="L3680" s="11" t="s">
        <v>28</v>
      </c>
      <c r="M3680" s="11" t="s">
        <v>28</v>
      </c>
      <c r="N3680" s="8">
        <v>44571</v>
      </c>
      <c r="O3680" s="9" t="s">
        <v>79</v>
      </c>
      <c r="P3680" s="12" t="s">
        <v>12145</v>
      </c>
      <c r="Q3680" s="9" t="s">
        <v>43</v>
      </c>
      <c r="R3680" s="14" t="str">
        <f>HYPERLINK("https://my.pitchbook.com?c=179710-12T","View Company Online")</f>
        <v>View Company Online</v>
      </c>
    </row>
    <row r="3681" spans="1:18" hidden="1" x14ac:dyDescent="0.3">
      <c r="A3681" s="15" t="s">
        <v>12146</v>
      </c>
      <c r="B3681" s="15" t="s">
        <v>12147</v>
      </c>
      <c r="C3681" s="18" t="s">
        <v>28</v>
      </c>
      <c r="D3681" s="15" t="s">
        <v>12148</v>
      </c>
      <c r="E3681" s="18">
        <v>3.17</v>
      </c>
      <c r="F3681" s="19" t="s">
        <v>28</v>
      </c>
      <c r="G3681" s="19" t="s">
        <v>28</v>
      </c>
      <c r="H3681" s="19" t="s">
        <v>28</v>
      </c>
      <c r="I3681" s="18">
        <v>3.17</v>
      </c>
      <c r="J3681" s="18" t="s">
        <v>28</v>
      </c>
      <c r="K3681" s="18">
        <v>3.53</v>
      </c>
      <c r="L3681" s="18" t="s">
        <v>28</v>
      </c>
      <c r="M3681" s="18">
        <v>3.17</v>
      </c>
      <c r="N3681" s="17">
        <v>44571</v>
      </c>
      <c r="O3681" s="15" t="s">
        <v>173</v>
      </c>
      <c r="P3681" s="16" t="s">
        <v>28</v>
      </c>
      <c r="Q3681" s="15" t="s">
        <v>174</v>
      </c>
      <c r="R3681" s="13" t="str">
        <f>HYPERLINK("https://my.pitchbook.com?c=251572-96T","View Company Online")</f>
        <v>View Company Online</v>
      </c>
    </row>
    <row r="3682" spans="1:18" hidden="1" x14ac:dyDescent="0.3">
      <c r="A3682" s="9" t="s">
        <v>12149</v>
      </c>
      <c r="B3682" s="9" t="s">
        <v>12150</v>
      </c>
      <c r="C3682" s="11" t="s">
        <v>28</v>
      </c>
      <c r="D3682" s="9" t="s">
        <v>12151</v>
      </c>
      <c r="E3682" s="11" t="s">
        <v>28</v>
      </c>
      <c r="F3682" s="10">
        <v>4.1500000000000004</v>
      </c>
      <c r="G3682" s="10">
        <v>4.1500000000000004</v>
      </c>
      <c r="H3682" s="10">
        <v>4.1500000000000004</v>
      </c>
      <c r="I3682" s="11" t="s">
        <v>28</v>
      </c>
      <c r="J3682" s="11" t="s">
        <v>28</v>
      </c>
      <c r="K3682" s="11" t="s">
        <v>28</v>
      </c>
      <c r="L3682" s="11" t="s">
        <v>28</v>
      </c>
      <c r="M3682" s="11" t="s">
        <v>28</v>
      </c>
      <c r="N3682" s="8">
        <v>44571</v>
      </c>
      <c r="O3682" s="9" t="s">
        <v>30</v>
      </c>
      <c r="P3682" s="12" t="s">
        <v>4262</v>
      </c>
      <c r="Q3682" s="9" t="s">
        <v>75</v>
      </c>
      <c r="R3682" s="14" t="str">
        <f>HYPERLINK("https://my.pitchbook.com?c=186257-62T","View Company Online")</f>
        <v>View Company Online</v>
      </c>
    </row>
    <row r="3683" spans="1:18" hidden="1" x14ac:dyDescent="0.3">
      <c r="A3683" s="15" t="s">
        <v>12152</v>
      </c>
      <c r="B3683" s="15" t="s">
        <v>12153</v>
      </c>
      <c r="C3683" s="18" t="s">
        <v>28</v>
      </c>
      <c r="D3683" s="15" t="s">
        <v>12154</v>
      </c>
      <c r="E3683" s="18" t="s">
        <v>28</v>
      </c>
      <c r="F3683" s="19">
        <v>9.5299999999999994</v>
      </c>
      <c r="G3683" s="19">
        <v>9.2899999999999991</v>
      </c>
      <c r="H3683" s="19">
        <v>9.5299999999999994</v>
      </c>
      <c r="I3683" s="18" t="s">
        <v>28</v>
      </c>
      <c r="J3683" s="18" t="s">
        <v>28</v>
      </c>
      <c r="K3683" s="18" t="s">
        <v>28</v>
      </c>
      <c r="L3683" s="18" t="s">
        <v>28</v>
      </c>
      <c r="M3683" s="18" t="s">
        <v>28</v>
      </c>
      <c r="N3683" s="17">
        <v>44571</v>
      </c>
      <c r="O3683" s="15" t="s">
        <v>41</v>
      </c>
      <c r="P3683" s="16" t="s">
        <v>12155</v>
      </c>
      <c r="Q3683" s="15" t="s">
        <v>75</v>
      </c>
      <c r="R3683" s="13" t="str">
        <f>HYPERLINK("https://my.pitchbook.com?c=187173-82T","View Company Online")</f>
        <v>View Company Online</v>
      </c>
    </row>
    <row r="3684" spans="1:18" hidden="1" x14ac:dyDescent="0.3">
      <c r="A3684" s="9" t="s">
        <v>12156</v>
      </c>
      <c r="B3684" s="9" t="s">
        <v>2734</v>
      </c>
      <c r="C3684" s="11" t="s">
        <v>28</v>
      </c>
      <c r="D3684" s="9" t="s">
        <v>2735</v>
      </c>
      <c r="E3684" s="11" t="s">
        <v>28</v>
      </c>
      <c r="F3684" s="10" t="s">
        <v>28</v>
      </c>
      <c r="G3684" s="10" t="s">
        <v>28</v>
      </c>
      <c r="H3684" s="10" t="s">
        <v>28</v>
      </c>
      <c r="I3684" s="11" t="s">
        <v>28</v>
      </c>
      <c r="J3684" s="11" t="s">
        <v>28</v>
      </c>
      <c r="K3684" s="11" t="s">
        <v>28</v>
      </c>
      <c r="L3684" s="11" t="s">
        <v>28</v>
      </c>
      <c r="M3684" s="11" t="s">
        <v>28</v>
      </c>
      <c r="N3684" s="8">
        <v>44570</v>
      </c>
      <c r="O3684" s="9" t="s">
        <v>58</v>
      </c>
      <c r="P3684" s="12" t="s">
        <v>12157</v>
      </c>
      <c r="Q3684" s="9" t="s">
        <v>1035</v>
      </c>
      <c r="R3684" s="14" t="str">
        <f>HYPERLINK("https://my.pitchbook.com?c=292582-72T","View Company Online")</f>
        <v>View Company Online</v>
      </c>
    </row>
    <row r="3685" spans="1:18" hidden="1" x14ac:dyDescent="0.3">
      <c r="A3685" s="15" t="s">
        <v>12158</v>
      </c>
      <c r="B3685" s="15" t="s">
        <v>12159</v>
      </c>
      <c r="C3685" s="18" t="s">
        <v>28</v>
      </c>
      <c r="D3685" s="15" t="s">
        <v>12160</v>
      </c>
      <c r="E3685" s="18" t="s">
        <v>28</v>
      </c>
      <c r="F3685" s="19" t="s">
        <v>28</v>
      </c>
      <c r="G3685" s="19">
        <v>0.33</v>
      </c>
      <c r="H3685" s="19">
        <v>5.65</v>
      </c>
      <c r="I3685" s="18" t="s">
        <v>28</v>
      </c>
      <c r="J3685" s="18" t="s">
        <v>28</v>
      </c>
      <c r="K3685" s="18" t="s">
        <v>28</v>
      </c>
      <c r="L3685" s="18" t="s">
        <v>28</v>
      </c>
      <c r="M3685" s="18" t="s">
        <v>28</v>
      </c>
      <c r="N3685" s="17">
        <v>44570</v>
      </c>
      <c r="O3685" s="15" t="s">
        <v>1639</v>
      </c>
      <c r="P3685" s="16" t="s">
        <v>28</v>
      </c>
      <c r="Q3685" s="15" t="s">
        <v>409</v>
      </c>
      <c r="R3685" s="13" t="str">
        <f>HYPERLINK("https://my.pitchbook.com?c=188348-77T","View Company Online")</f>
        <v>View Company Online</v>
      </c>
    </row>
    <row r="3686" spans="1:18" hidden="1" x14ac:dyDescent="0.3">
      <c r="A3686" s="9" t="s">
        <v>12161</v>
      </c>
      <c r="B3686" s="9" t="s">
        <v>11327</v>
      </c>
      <c r="C3686" s="11" t="s">
        <v>28</v>
      </c>
      <c r="D3686" s="9" t="s">
        <v>11328</v>
      </c>
      <c r="E3686" s="11" t="s">
        <v>28</v>
      </c>
      <c r="F3686" s="10" t="s">
        <v>28</v>
      </c>
      <c r="G3686" s="10">
        <v>1</v>
      </c>
      <c r="H3686" s="10" t="s">
        <v>28</v>
      </c>
      <c r="I3686" s="11" t="s">
        <v>28</v>
      </c>
      <c r="J3686" s="11" t="s">
        <v>28</v>
      </c>
      <c r="K3686" s="11" t="s">
        <v>28</v>
      </c>
      <c r="L3686" s="11" t="s">
        <v>28</v>
      </c>
      <c r="M3686" s="11" t="s">
        <v>28</v>
      </c>
      <c r="N3686" s="8">
        <v>44569</v>
      </c>
      <c r="O3686" s="9" t="s">
        <v>99</v>
      </c>
      <c r="P3686" s="12" t="s">
        <v>12162</v>
      </c>
      <c r="Q3686" s="9" t="s">
        <v>583</v>
      </c>
      <c r="R3686" s="14" t="str">
        <f>HYPERLINK("https://my.pitchbook.com?c=186215-32T","View Company Online")</f>
        <v>View Company Online</v>
      </c>
    </row>
    <row r="3687" spans="1:18" hidden="1" x14ac:dyDescent="0.3">
      <c r="A3687" s="15" t="s">
        <v>12163</v>
      </c>
      <c r="B3687" s="15" t="s">
        <v>12164</v>
      </c>
      <c r="C3687" s="18" t="s">
        <v>28</v>
      </c>
      <c r="D3687" s="15" t="s">
        <v>12165</v>
      </c>
      <c r="E3687" s="18" t="s">
        <v>28</v>
      </c>
      <c r="F3687" s="19" t="s">
        <v>28</v>
      </c>
      <c r="G3687" s="19" t="s">
        <v>28</v>
      </c>
      <c r="H3687" s="19" t="s">
        <v>28</v>
      </c>
      <c r="I3687" s="18" t="s">
        <v>28</v>
      </c>
      <c r="J3687" s="18" t="s">
        <v>28</v>
      </c>
      <c r="K3687" s="18" t="s">
        <v>28</v>
      </c>
      <c r="L3687" s="18" t="s">
        <v>28</v>
      </c>
      <c r="M3687" s="18" t="s">
        <v>28</v>
      </c>
      <c r="N3687" s="17">
        <v>44568</v>
      </c>
      <c r="O3687" s="15" t="s">
        <v>30</v>
      </c>
      <c r="P3687" s="16" t="s">
        <v>12166</v>
      </c>
      <c r="Q3687" s="15" t="s">
        <v>280</v>
      </c>
      <c r="R3687" s="13" t="str">
        <f>HYPERLINK("https://my.pitchbook.com?c=191494-09T","View Company Online")</f>
        <v>View Company Online</v>
      </c>
    </row>
    <row r="3688" spans="1:18" hidden="1" x14ac:dyDescent="0.3">
      <c r="A3688" s="9" t="s">
        <v>12167</v>
      </c>
      <c r="B3688" s="9" t="s">
        <v>7784</v>
      </c>
      <c r="C3688" s="11" t="s">
        <v>28</v>
      </c>
      <c r="D3688" s="9" t="s">
        <v>7785</v>
      </c>
      <c r="E3688" s="11" t="s">
        <v>28</v>
      </c>
      <c r="F3688" s="10" t="s">
        <v>28</v>
      </c>
      <c r="G3688" s="10">
        <v>0.53</v>
      </c>
      <c r="H3688" s="10" t="s">
        <v>28</v>
      </c>
      <c r="I3688" s="11" t="s">
        <v>28</v>
      </c>
      <c r="J3688" s="11" t="s">
        <v>28</v>
      </c>
      <c r="K3688" s="11" t="s">
        <v>28</v>
      </c>
      <c r="L3688" s="11" t="s">
        <v>28</v>
      </c>
      <c r="M3688" s="11" t="s">
        <v>28</v>
      </c>
      <c r="N3688" s="8">
        <v>44567</v>
      </c>
      <c r="O3688" s="9" t="s">
        <v>73</v>
      </c>
      <c r="P3688" s="12" t="s">
        <v>11495</v>
      </c>
      <c r="Q3688" s="9" t="s">
        <v>75</v>
      </c>
      <c r="R3688" s="14" t="str">
        <f>HYPERLINK("https://my.pitchbook.com?c=190862-11T","View Company Online")</f>
        <v>View Company Online</v>
      </c>
    </row>
    <row r="3689" spans="1:18" hidden="1" x14ac:dyDescent="0.3">
      <c r="A3689" s="15" t="s">
        <v>12168</v>
      </c>
      <c r="B3689" s="15" t="s">
        <v>12169</v>
      </c>
      <c r="C3689" s="18" t="s">
        <v>28</v>
      </c>
      <c r="D3689" s="15" t="s">
        <v>12170</v>
      </c>
      <c r="E3689" s="18" t="s">
        <v>28</v>
      </c>
      <c r="F3689" s="19">
        <v>8.83</v>
      </c>
      <c r="G3689" s="19">
        <v>4.42</v>
      </c>
      <c r="H3689" s="19">
        <v>8.83</v>
      </c>
      <c r="I3689" s="18" t="s">
        <v>28</v>
      </c>
      <c r="J3689" s="18" t="s">
        <v>28</v>
      </c>
      <c r="K3689" s="18" t="s">
        <v>28</v>
      </c>
      <c r="L3689" s="18" t="s">
        <v>28</v>
      </c>
      <c r="M3689" s="18" t="s">
        <v>28</v>
      </c>
      <c r="N3689" s="17">
        <v>44567</v>
      </c>
      <c r="O3689" s="15" t="s">
        <v>30</v>
      </c>
      <c r="P3689" s="16" t="s">
        <v>12171</v>
      </c>
      <c r="Q3689" s="15" t="s">
        <v>75</v>
      </c>
      <c r="R3689" s="13" t="str">
        <f>HYPERLINK("https://my.pitchbook.com?c=211315-78T","View Company Online")</f>
        <v>View Company Online</v>
      </c>
    </row>
    <row r="3690" spans="1:18" hidden="1" x14ac:dyDescent="0.3">
      <c r="A3690" s="9" t="s">
        <v>12172</v>
      </c>
      <c r="B3690" s="9" t="s">
        <v>12173</v>
      </c>
      <c r="C3690" s="11" t="s">
        <v>28</v>
      </c>
      <c r="D3690" s="9" t="s">
        <v>12174</v>
      </c>
      <c r="E3690" s="11" t="s">
        <v>28</v>
      </c>
      <c r="F3690" s="10" t="s">
        <v>28</v>
      </c>
      <c r="G3690" s="10" t="s">
        <v>28</v>
      </c>
      <c r="H3690" s="10" t="s">
        <v>28</v>
      </c>
      <c r="I3690" s="11" t="s">
        <v>28</v>
      </c>
      <c r="J3690" s="11" t="s">
        <v>28</v>
      </c>
      <c r="K3690" s="11" t="s">
        <v>28</v>
      </c>
      <c r="L3690" s="11" t="s">
        <v>28</v>
      </c>
      <c r="M3690" s="11" t="s">
        <v>28</v>
      </c>
      <c r="N3690" s="8">
        <v>44567</v>
      </c>
      <c r="O3690" s="9" t="s">
        <v>30</v>
      </c>
      <c r="P3690" s="12" t="s">
        <v>12175</v>
      </c>
      <c r="Q3690" s="9" t="s">
        <v>855</v>
      </c>
      <c r="R3690" s="14" t="str">
        <f>HYPERLINK("https://my.pitchbook.com?c=211373-11T","View Company Online")</f>
        <v>View Company Online</v>
      </c>
    </row>
    <row r="3691" spans="1:18" hidden="1" x14ac:dyDescent="0.3">
      <c r="A3691" s="15" t="s">
        <v>12176</v>
      </c>
      <c r="B3691" s="15" t="s">
        <v>12177</v>
      </c>
      <c r="C3691" s="18" t="s">
        <v>28</v>
      </c>
      <c r="D3691" s="15" t="s">
        <v>12178</v>
      </c>
      <c r="E3691" s="18" t="s">
        <v>28</v>
      </c>
      <c r="F3691" s="19" t="s">
        <v>28</v>
      </c>
      <c r="G3691" s="19" t="s">
        <v>28</v>
      </c>
      <c r="H3691" s="19" t="s">
        <v>28</v>
      </c>
      <c r="I3691" s="18" t="s">
        <v>28</v>
      </c>
      <c r="J3691" s="18" t="s">
        <v>28</v>
      </c>
      <c r="K3691" s="18" t="s">
        <v>28</v>
      </c>
      <c r="L3691" s="18" t="s">
        <v>28</v>
      </c>
      <c r="M3691" s="18" t="s">
        <v>28</v>
      </c>
      <c r="N3691" s="17">
        <v>44567</v>
      </c>
      <c r="O3691" s="15" t="s">
        <v>79</v>
      </c>
      <c r="P3691" s="16" t="s">
        <v>12179</v>
      </c>
      <c r="Q3691" s="15" t="s">
        <v>245</v>
      </c>
      <c r="R3691" s="13" t="str">
        <f>HYPERLINK("https://my.pitchbook.com?c=186369-94T","View Company Online")</f>
        <v>View Company Online</v>
      </c>
    </row>
    <row r="3692" spans="1:18" hidden="1" x14ac:dyDescent="0.3">
      <c r="A3692" s="9" t="s">
        <v>12180</v>
      </c>
      <c r="B3692" s="9" t="s">
        <v>5851</v>
      </c>
      <c r="C3692" s="11" t="s">
        <v>28</v>
      </c>
      <c r="D3692" s="9" t="s">
        <v>5852</v>
      </c>
      <c r="E3692" s="11" t="s">
        <v>28</v>
      </c>
      <c r="F3692" s="10" t="s">
        <v>28</v>
      </c>
      <c r="G3692" s="10">
        <v>0.35</v>
      </c>
      <c r="H3692" s="10" t="s">
        <v>28</v>
      </c>
      <c r="I3692" s="11" t="s">
        <v>28</v>
      </c>
      <c r="J3692" s="11" t="s">
        <v>28</v>
      </c>
      <c r="K3692" s="11" t="s">
        <v>28</v>
      </c>
      <c r="L3692" s="11" t="s">
        <v>28</v>
      </c>
      <c r="M3692" s="11" t="s">
        <v>28</v>
      </c>
      <c r="N3692" s="8">
        <v>44566</v>
      </c>
      <c r="O3692" s="9" t="s">
        <v>79</v>
      </c>
      <c r="P3692" s="12" t="s">
        <v>8183</v>
      </c>
      <c r="Q3692" s="9" t="s">
        <v>75</v>
      </c>
      <c r="R3692" s="14" t="str">
        <f>HYPERLINK("https://my.pitchbook.com?c=192789-10T","View Company Online")</f>
        <v>View Company Online</v>
      </c>
    </row>
    <row r="3693" spans="1:18" hidden="1" x14ac:dyDescent="0.3">
      <c r="A3693" s="15" t="s">
        <v>12181</v>
      </c>
      <c r="B3693" s="15" t="s">
        <v>8970</v>
      </c>
      <c r="C3693" s="18" t="s">
        <v>28</v>
      </c>
      <c r="D3693" s="15" t="s">
        <v>8971</v>
      </c>
      <c r="E3693" s="18" t="s">
        <v>28</v>
      </c>
      <c r="F3693" s="19" t="s">
        <v>28</v>
      </c>
      <c r="G3693" s="19" t="s">
        <v>28</v>
      </c>
      <c r="H3693" s="19" t="s">
        <v>28</v>
      </c>
      <c r="I3693" s="18" t="s">
        <v>28</v>
      </c>
      <c r="J3693" s="18" t="s">
        <v>28</v>
      </c>
      <c r="K3693" s="18" t="s">
        <v>28</v>
      </c>
      <c r="L3693" s="18" t="s">
        <v>28</v>
      </c>
      <c r="M3693" s="18" t="s">
        <v>28</v>
      </c>
      <c r="N3693" s="17">
        <v>44566</v>
      </c>
      <c r="O3693" s="15" t="s">
        <v>99</v>
      </c>
      <c r="P3693" s="16" t="s">
        <v>12182</v>
      </c>
      <c r="Q3693" s="15" t="s">
        <v>75</v>
      </c>
      <c r="R3693" s="13" t="str">
        <f>HYPERLINK("https://my.pitchbook.com?c=205398-91T","View Company Online")</f>
        <v>View Company Online</v>
      </c>
    </row>
    <row r="3694" spans="1:18" x14ac:dyDescent="0.3">
      <c r="A3694" s="9" t="s">
        <v>12183</v>
      </c>
      <c r="B3694" s="9" t="s">
        <v>12184</v>
      </c>
      <c r="C3694" s="11">
        <v>9.99</v>
      </c>
      <c r="D3694" s="9" t="s">
        <v>12185</v>
      </c>
      <c r="E3694" s="11" t="s">
        <v>28</v>
      </c>
      <c r="F3694" s="10">
        <v>74.67</v>
      </c>
      <c r="G3694" s="10">
        <v>74.67</v>
      </c>
      <c r="H3694" s="10">
        <v>74.67</v>
      </c>
      <c r="I3694" s="11">
        <v>7.47</v>
      </c>
      <c r="J3694" s="11">
        <v>9.99</v>
      </c>
      <c r="K3694" s="11">
        <v>14.2</v>
      </c>
      <c r="L3694" s="11">
        <v>5.26</v>
      </c>
      <c r="M3694" s="11" t="s">
        <v>28</v>
      </c>
      <c r="N3694" s="8">
        <v>44565</v>
      </c>
      <c r="O3694" s="9" t="s">
        <v>30</v>
      </c>
      <c r="P3694" s="12" t="s">
        <v>6796</v>
      </c>
      <c r="Q3694" s="9" t="s">
        <v>75</v>
      </c>
      <c r="R3694" s="14" t="str">
        <f>HYPERLINK("https://my.pitchbook.com?c=185992-75T","View Company Online")</f>
        <v>View Company Online</v>
      </c>
    </row>
    <row r="3695" spans="1:18" hidden="1" x14ac:dyDescent="0.3">
      <c r="A3695" s="15" t="s">
        <v>12186</v>
      </c>
      <c r="B3695" s="15" t="s">
        <v>12187</v>
      </c>
      <c r="C3695" s="18" t="s">
        <v>28</v>
      </c>
      <c r="D3695" s="15" t="s">
        <v>12188</v>
      </c>
      <c r="E3695" s="18" t="s">
        <v>28</v>
      </c>
      <c r="F3695" s="19" t="s">
        <v>28</v>
      </c>
      <c r="G3695" s="19" t="s">
        <v>28</v>
      </c>
      <c r="H3695" s="19" t="s">
        <v>28</v>
      </c>
      <c r="I3695" s="18" t="s">
        <v>28</v>
      </c>
      <c r="J3695" s="18" t="s">
        <v>28</v>
      </c>
      <c r="K3695" s="18" t="s">
        <v>28</v>
      </c>
      <c r="L3695" s="18" t="s">
        <v>28</v>
      </c>
      <c r="M3695" s="18" t="s">
        <v>28</v>
      </c>
      <c r="N3695" s="17">
        <v>44565</v>
      </c>
      <c r="O3695" s="15" t="s">
        <v>99</v>
      </c>
      <c r="P3695" s="16" t="s">
        <v>28</v>
      </c>
      <c r="Q3695" s="15" t="s">
        <v>3912</v>
      </c>
      <c r="R3695" s="13" t="str">
        <f>HYPERLINK("https://my.pitchbook.com?c=185950-54T","View Company Online")</f>
        <v>View Company Online</v>
      </c>
    </row>
    <row r="3696" spans="1:18" hidden="1" x14ac:dyDescent="0.3">
      <c r="A3696" s="9" t="s">
        <v>12189</v>
      </c>
      <c r="B3696" s="9" t="s">
        <v>4559</v>
      </c>
      <c r="C3696" s="11" t="s">
        <v>28</v>
      </c>
      <c r="D3696" s="9" t="s">
        <v>4560</v>
      </c>
      <c r="E3696" s="11" t="s">
        <v>28</v>
      </c>
      <c r="F3696" s="10" t="s">
        <v>28</v>
      </c>
      <c r="G3696" s="10" t="s">
        <v>28</v>
      </c>
      <c r="H3696" s="10" t="s">
        <v>28</v>
      </c>
      <c r="I3696" s="11" t="s">
        <v>28</v>
      </c>
      <c r="J3696" s="11" t="s">
        <v>28</v>
      </c>
      <c r="K3696" s="11" t="s">
        <v>28</v>
      </c>
      <c r="L3696" s="11" t="s">
        <v>28</v>
      </c>
      <c r="M3696" s="11" t="s">
        <v>28</v>
      </c>
      <c r="N3696" s="8">
        <v>44565</v>
      </c>
      <c r="O3696" s="9" t="s">
        <v>159</v>
      </c>
      <c r="P3696" s="12" t="s">
        <v>421</v>
      </c>
      <c r="Q3696" s="9" t="s">
        <v>240</v>
      </c>
      <c r="R3696" s="14" t="str">
        <f>HYPERLINK("https://my.pitchbook.com?c=211839-22T","View Company Online")</f>
        <v>View Company Online</v>
      </c>
    </row>
    <row r="3697" spans="1:18" hidden="1" x14ac:dyDescent="0.3">
      <c r="A3697" s="15" t="s">
        <v>12190</v>
      </c>
      <c r="B3697" s="15" t="s">
        <v>12191</v>
      </c>
      <c r="C3697" s="18" t="s">
        <v>28</v>
      </c>
      <c r="D3697" s="15" t="s">
        <v>12192</v>
      </c>
      <c r="E3697" s="18" t="s">
        <v>28</v>
      </c>
      <c r="F3697" s="19">
        <v>58.33</v>
      </c>
      <c r="G3697" s="19">
        <v>58.33</v>
      </c>
      <c r="H3697" s="19">
        <v>58.33</v>
      </c>
      <c r="I3697" s="18" t="s">
        <v>28</v>
      </c>
      <c r="J3697" s="18" t="s">
        <v>28</v>
      </c>
      <c r="K3697" s="18" t="s">
        <v>28</v>
      </c>
      <c r="L3697" s="18" t="s">
        <v>28</v>
      </c>
      <c r="M3697" s="18" t="s">
        <v>28</v>
      </c>
      <c r="N3697" s="17">
        <v>44564</v>
      </c>
      <c r="O3697" s="15" t="s">
        <v>30</v>
      </c>
      <c r="P3697" s="16" t="s">
        <v>12193</v>
      </c>
      <c r="Q3697" s="15" t="s">
        <v>2181</v>
      </c>
      <c r="R3697" s="13" t="str">
        <f>HYPERLINK("https://my.pitchbook.com?c=198938-62T","View Company Online")</f>
        <v>View Company Online</v>
      </c>
    </row>
    <row r="3698" spans="1:18" hidden="1" x14ac:dyDescent="0.3">
      <c r="A3698" s="9" t="s">
        <v>12194</v>
      </c>
      <c r="B3698" s="9" t="s">
        <v>12195</v>
      </c>
      <c r="C3698" s="11" t="s">
        <v>28</v>
      </c>
      <c r="D3698" s="9" t="s">
        <v>12196</v>
      </c>
      <c r="E3698" s="11" t="s">
        <v>28</v>
      </c>
      <c r="F3698" s="10">
        <v>2.5499999999999998</v>
      </c>
      <c r="G3698" s="10">
        <v>2.5499999999999998</v>
      </c>
      <c r="H3698" s="10">
        <v>2.5499999999999998</v>
      </c>
      <c r="I3698" s="11" t="s">
        <v>28</v>
      </c>
      <c r="J3698" s="11" t="s">
        <v>28</v>
      </c>
      <c r="K3698" s="11" t="s">
        <v>28</v>
      </c>
      <c r="L3698" s="11" t="s">
        <v>28</v>
      </c>
      <c r="M3698" s="11" t="s">
        <v>28</v>
      </c>
      <c r="N3698" s="8">
        <v>44564</v>
      </c>
      <c r="O3698" s="9" t="s">
        <v>30</v>
      </c>
      <c r="P3698" s="12" t="s">
        <v>5646</v>
      </c>
      <c r="Q3698" s="9" t="s">
        <v>290</v>
      </c>
      <c r="R3698" s="14" t="str">
        <f>HYPERLINK("https://my.pitchbook.com?c=186208-93T","View Company Online")</f>
        <v>View Company Online</v>
      </c>
    </row>
    <row r="3699" spans="1:18" hidden="1" x14ac:dyDescent="0.3">
      <c r="A3699" s="15" t="s">
        <v>12197</v>
      </c>
      <c r="B3699" s="15" t="s">
        <v>12198</v>
      </c>
      <c r="C3699" s="18" t="s">
        <v>28</v>
      </c>
      <c r="D3699" s="15" t="s">
        <v>12199</v>
      </c>
      <c r="E3699" s="18" t="s">
        <v>28</v>
      </c>
      <c r="F3699" s="19">
        <v>211</v>
      </c>
      <c r="G3699" s="19">
        <v>211</v>
      </c>
      <c r="H3699" s="19">
        <v>211</v>
      </c>
      <c r="I3699" s="18" t="s">
        <v>28</v>
      </c>
      <c r="J3699" s="18" t="s">
        <v>28</v>
      </c>
      <c r="K3699" s="18" t="s">
        <v>28</v>
      </c>
      <c r="L3699" s="18" t="s">
        <v>28</v>
      </c>
      <c r="M3699" s="18" t="s">
        <v>28</v>
      </c>
      <c r="N3699" s="17">
        <v>44563</v>
      </c>
      <c r="O3699" s="15" t="s">
        <v>30</v>
      </c>
      <c r="P3699" s="16" t="s">
        <v>12200</v>
      </c>
      <c r="Q3699" s="15" t="s">
        <v>136</v>
      </c>
      <c r="R3699" s="13" t="str">
        <f>HYPERLINK("https://my.pitchbook.com?c=180583-75T","View Company Online")</f>
        <v>View Company Online</v>
      </c>
    </row>
    <row r="3700" spans="1:18" hidden="1" x14ac:dyDescent="0.3">
      <c r="A3700" s="9" t="s">
        <v>12201</v>
      </c>
      <c r="B3700" s="9" t="s">
        <v>12202</v>
      </c>
      <c r="C3700" s="11" t="s">
        <v>28</v>
      </c>
      <c r="D3700" s="9" t="s">
        <v>12203</v>
      </c>
      <c r="E3700" s="11" t="s">
        <v>28</v>
      </c>
      <c r="F3700" s="10" t="s">
        <v>28</v>
      </c>
      <c r="G3700" s="10">
        <v>0.09</v>
      </c>
      <c r="H3700" s="10" t="s">
        <v>28</v>
      </c>
      <c r="I3700" s="11" t="s">
        <v>28</v>
      </c>
      <c r="J3700" s="11" t="s">
        <v>28</v>
      </c>
      <c r="K3700" s="11" t="s">
        <v>28</v>
      </c>
      <c r="L3700" s="11" t="s">
        <v>28</v>
      </c>
      <c r="M3700" s="11" t="s">
        <v>28</v>
      </c>
      <c r="N3700" s="8">
        <v>44562</v>
      </c>
      <c r="O3700" s="9" t="s">
        <v>52</v>
      </c>
      <c r="P3700" s="12" t="s">
        <v>2915</v>
      </c>
      <c r="Q3700" s="9" t="s">
        <v>37</v>
      </c>
      <c r="R3700" s="14" t="str">
        <f>HYPERLINK("https://my.pitchbook.com?c=247227-31T","View Company Online")</f>
        <v>View Company Online</v>
      </c>
    </row>
    <row r="3701" spans="1:18" hidden="1" x14ac:dyDescent="0.3">
      <c r="A3701" s="15" t="s">
        <v>12204</v>
      </c>
      <c r="B3701" s="15" t="s">
        <v>910</v>
      </c>
      <c r="C3701" s="18" t="s">
        <v>28</v>
      </c>
      <c r="D3701" s="15" t="s">
        <v>911</v>
      </c>
      <c r="E3701" s="18" t="s">
        <v>28</v>
      </c>
      <c r="F3701" s="19" t="s">
        <v>28</v>
      </c>
      <c r="G3701" s="19" t="s">
        <v>28</v>
      </c>
      <c r="H3701" s="19" t="s">
        <v>28</v>
      </c>
      <c r="I3701" s="18" t="s">
        <v>28</v>
      </c>
      <c r="J3701" s="18" t="s">
        <v>28</v>
      </c>
      <c r="K3701" s="18" t="s">
        <v>28</v>
      </c>
      <c r="L3701" s="18" t="s">
        <v>28</v>
      </c>
      <c r="M3701" s="18" t="s">
        <v>28</v>
      </c>
      <c r="N3701" s="17">
        <v>44562</v>
      </c>
      <c r="O3701" s="15" t="s">
        <v>379</v>
      </c>
      <c r="P3701" s="16" t="s">
        <v>28</v>
      </c>
      <c r="Q3701" s="15" t="s">
        <v>913</v>
      </c>
      <c r="R3701" s="13" t="str">
        <f>HYPERLINK("https://my.pitchbook.com?c=274980-97T","View Company Online")</f>
        <v>View Company Online</v>
      </c>
    </row>
    <row r="3702" spans="1:18" hidden="1" x14ac:dyDescent="0.3">
      <c r="A3702" s="9" t="s">
        <v>12205</v>
      </c>
      <c r="B3702" s="9" t="s">
        <v>6958</v>
      </c>
      <c r="C3702" s="11" t="s">
        <v>28</v>
      </c>
      <c r="D3702" s="9" t="s">
        <v>6959</v>
      </c>
      <c r="E3702" s="11" t="s">
        <v>28</v>
      </c>
      <c r="F3702" s="10" t="s">
        <v>28</v>
      </c>
      <c r="G3702" s="10" t="s">
        <v>28</v>
      </c>
      <c r="H3702" s="10" t="s">
        <v>28</v>
      </c>
      <c r="I3702" s="11" t="s">
        <v>28</v>
      </c>
      <c r="J3702" s="11" t="s">
        <v>28</v>
      </c>
      <c r="K3702" s="11" t="s">
        <v>28</v>
      </c>
      <c r="L3702" s="11" t="s">
        <v>28</v>
      </c>
      <c r="M3702" s="11" t="s">
        <v>28</v>
      </c>
      <c r="N3702" s="8">
        <v>44562</v>
      </c>
      <c r="O3702" s="9" t="s">
        <v>73</v>
      </c>
      <c r="P3702" s="12" t="s">
        <v>28</v>
      </c>
      <c r="Q3702" s="9" t="s">
        <v>371</v>
      </c>
      <c r="R3702" s="14" t="str">
        <f>HYPERLINK("https://my.pitchbook.com?c=215812-45T","View Company Online")</f>
        <v>View Company Online</v>
      </c>
    </row>
    <row r="3703" spans="1:18" hidden="1" x14ac:dyDescent="0.3">
      <c r="A3703" s="15" t="s">
        <v>12206</v>
      </c>
      <c r="B3703" s="15" t="s">
        <v>292</v>
      </c>
      <c r="C3703" s="18" t="s">
        <v>28</v>
      </c>
      <c r="D3703" s="15" t="s">
        <v>293</v>
      </c>
      <c r="E3703" s="18" t="s">
        <v>28</v>
      </c>
      <c r="F3703" s="19" t="s">
        <v>28</v>
      </c>
      <c r="G3703" s="19" t="s">
        <v>28</v>
      </c>
      <c r="H3703" s="19" t="s">
        <v>28</v>
      </c>
      <c r="I3703" s="18" t="s">
        <v>28</v>
      </c>
      <c r="J3703" s="18" t="s">
        <v>28</v>
      </c>
      <c r="K3703" s="18" t="s">
        <v>28</v>
      </c>
      <c r="L3703" s="18" t="s">
        <v>28</v>
      </c>
      <c r="M3703" s="18" t="s">
        <v>28</v>
      </c>
      <c r="N3703" s="17">
        <v>44562</v>
      </c>
      <c r="O3703" s="15" t="s">
        <v>52</v>
      </c>
      <c r="P3703" s="16" t="s">
        <v>2442</v>
      </c>
      <c r="Q3703" s="15" t="s">
        <v>75</v>
      </c>
      <c r="R3703" s="13" t="str">
        <f>HYPERLINK("https://my.pitchbook.com?c=264449-17T","View Company Online")</f>
        <v>View Company Online</v>
      </c>
    </row>
    <row r="3704" spans="1:18" hidden="1" x14ac:dyDescent="0.3">
      <c r="A3704" s="9" t="s">
        <v>12207</v>
      </c>
      <c r="B3704" s="9" t="s">
        <v>12208</v>
      </c>
      <c r="C3704" s="11" t="s">
        <v>28</v>
      </c>
      <c r="D3704" s="9" t="s">
        <v>12209</v>
      </c>
      <c r="E3704" s="11" t="s">
        <v>28</v>
      </c>
      <c r="F3704" s="10" t="s">
        <v>28</v>
      </c>
      <c r="G3704" s="10" t="s">
        <v>28</v>
      </c>
      <c r="H3704" s="10" t="s">
        <v>28</v>
      </c>
      <c r="I3704" s="11" t="s">
        <v>28</v>
      </c>
      <c r="J3704" s="11" t="s">
        <v>28</v>
      </c>
      <c r="K3704" s="11" t="s">
        <v>28</v>
      </c>
      <c r="L3704" s="11" t="s">
        <v>28</v>
      </c>
      <c r="M3704" s="11" t="s">
        <v>28</v>
      </c>
      <c r="N3704" s="8">
        <v>44562</v>
      </c>
      <c r="O3704" s="9" t="s">
        <v>73</v>
      </c>
      <c r="P3704" s="12" t="s">
        <v>1600</v>
      </c>
      <c r="Q3704" s="9" t="s">
        <v>114</v>
      </c>
      <c r="R3704" s="14" t="str">
        <f>HYPERLINK("https://my.pitchbook.com?c=233498-17T","View Company Online")</f>
        <v>View Company Online</v>
      </c>
    </row>
    <row r="3705" spans="1:18" hidden="1" x14ac:dyDescent="0.3">
      <c r="A3705" s="15" t="s">
        <v>12210</v>
      </c>
      <c r="B3705" s="15" t="s">
        <v>1952</v>
      </c>
      <c r="C3705" s="18" t="s">
        <v>28</v>
      </c>
      <c r="D3705" s="15" t="s">
        <v>1953</v>
      </c>
      <c r="E3705" s="18" t="s">
        <v>28</v>
      </c>
      <c r="F3705" s="19" t="s">
        <v>28</v>
      </c>
      <c r="G3705" s="19" t="s">
        <v>28</v>
      </c>
      <c r="H3705" s="19" t="s">
        <v>28</v>
      </c>
      <c r="I3705" s="18" t="s">
        <v>28</v>
      </c>
      <c r="J3705" s="18" t="s">
        <v>28</v>
      </c>
      <c r="K3705" s="18" t="s">
        <v>28</v>
      </c>
      <c r="L3705" s="18" t="s">
        <v>28</v>
      </c>
      <c r="M3705" s="18" t="s">
        <v>28</v>
      </c>
      <c r="N3705" s="17">
        <v>44562</v>
      </c>
      <c r="O3705" s="15" t="s">
        <v>52</v>
      </c>
      <c r="P3705" s="16" t="s">
        <v>6543</v>
      </c>
      <c r="Q3705" s="15" t="s">
        <v>75</v>
      </c>
      <c r="R3705" s="13" t="str">
        <f>HYPERLINK("https://my.pitchbook.com?c=243884-89T","View Company Online")</f>
        <v>View Company Online</v>
      </c>
    </row>
    <row r="3706" spans="1:18" hidden="1" x14ac:dyDescent="0.3">
      <c r="A3706" s="9" t="s">
        <v>12211</v>
      </c>
      <c r="B3706" s="9" t="s">
        <v>12212</v>
      </c>
      <c r="C3706" s="11" t="s">
        <v>28</v>
      </c>
      <c r="D3706" s="9" t="s">
        <v>12213</v>
      </c>
      <c r="E3706" s="11" t="s">
        <v>28</v>
      </c>
      <c r="F3706" s="10" t="s">
        <v>28</v>
      </c>
      <c r="G3706" s="10" t="s">
        <v>28</v>
      </c>
      <c r="H3706" s="10" t="s">
        <v>28</v>
      </c>
      <c r="I3706" s="11" t="s">
        <v>28</v>
      </c>
      <c r="J3706" s="11" t="s">
        <v>28</v>
      </c>
      <c r="K3706" s="11" t="s">
        <v>28</v>
      </c>
      <c r="L3706" s="11" t="s">
        <v>28</v>
      </c>
      <c r="M3706" s="11" t="s">
        <v>28</v>
      </c>
      <c r="N3706" s="8">
        <v>44562</v>
      </c>
      <c r="O3706" s="9" t="s">
        <v>73</v>
      </c>
      <c r="P3706" s="12" t="s">
        <v>8812</v>
      </c>
      <c r="Q3706" s="9" t="s">
        <v>37</v>
      </c>
      <c r="R3706" s="14" t="str">
        <f>HYPERLINK("https://my.pitchbook.com?c=285614-56T","View Company Online")</f>
        <v>View Company Online</v>
      </c>
    </row>
    <row r="3707" spans="1:18" hidden="1" x14ac:dyDescent="0.3">
      <c r="A3707" s="15" t="s">
        <v>12214</v>
      </c>
      <c r="B3707" s="15" t="s">
        <v>10268</v>
      </c>
      <c r="C3707" s="18" t="s">
        <v>28</v>
      </c>
      <c r="D3707" s="15" t="s">
        <v>12215</v>
      </c>
      <c r="E3707" s="18">
        <v>63.69</v>
      </c>
      <c r="F3707" s="19" t="s">
        <v>28</v>
      </c>
      <c r="G3707" s="19" t="s">
        <v>28</v>
      </c>
      <c r="H3707" s="19" t="s">
        <v>28</v>
      </c>
      <c r="I3707" s="18">
        <v>80.25</v>
      </c>
      <c r="J3707" s="18" t="s">
        <v>28</v>
      </c>
      <c r="K3707" s="18">
        <v>1219.58</v>
      </c>
      <c r="L3707" s="18" t="s">
        <v>28</v>
      </c>
      <c r="M3707" s="18">
        <v>21.93</v>
      </c>
      <c r="N3707" s="17">
        <v>44562</v>
      </c>
      <c r="O3707" s="15" t="s">
        <v>159</v>
      </c>
      <c r="P3707" s="16" t="s">
        <v>9551</v>
      </c>
      <c r="Q3707" s="15" t="s">
        <v>75</v>
      </c>
      <c r="R3707" s="13" t="str">
        <f>HYPERLINK("https://my.pitchbook.com?c=196230-25T","View Company Online")</f>
        <v>View Company Online</v>
      </c>
    </row>
    <row r="3708" spans="1:18" hidden="1" x14ac:dyDescent="0.3">
      <c r="A3708" s="9" t="s">
        <v>12216</v>
      </c>
      <c r="B3708" s="9" t="s">
        <v>3802</v>
      </c>
      <c r="C3708" s="11" t="s">
        <v>28</v>
      </c>
      <c r="D3708" s="9" t="s">
        <v>3803</v>
      </c>
      <c r="E3708" s="11" t="s">
        <v>28</v>
      </c>
      <c r="F3708" s="10" t="s">
        <v>28</v>
      </c>
      <c r="G3708" s="10">
        <v>0.05</v>
      </c>
      <c r="H3708" s="10" t="s">
        <v>28</v>
      </c>
      <c r="I3708" s="11" t="s">
        <v>28</v>
      </c>
      <c r="J3708" s="11" t="s">
        <v>28</v>
      </c>
      <c r="K3708" s="11" t="s">
        <v>28</v>
      </c>
      <c r="L3708" s="11" t="s">
        <v>28</v>
      </c>
      <c r="M3708" s="11" t="s">
        <v>28</v>
      </c>
      <c r="N3708" s="8">
        <v>44562</v>
      </c>
      <c r="O3708" s="9" t="s">
        <v>52</v>
      </c>
      <c r="P3708" s="12" t="s">
        <v>2628</v>
      </c>
      <c r="Q3708" s="9" t="s">
        <v>386</v>
      </c>
      <c r="R3708" s="14" t="str">
        <f>HYPERLINK("https://my.pitchbook.com?c=201796-21T","View Company Online")</f>
        <v>View Company Online</v>
      </c>
    </row>
    <row r="3709" spans="1:18" hidden="1" x14ac:dyDescent="0.3">
      <c r="A3709" s="15" t="s">
        <v>12217</v>
      </c>
      <c r="B3709" s="15" t="s">
        <v>12218</v>
      </c>
      <c r="C3709" s="18" t="s">
        <v>28</v>
      </c>
      <c r="D3709" s="15" t="s">
        <v>12219</v>
      </c>
      <c r="E3709" s="18" t="s">
        <v>28</v>
      </c>
      <c r="F3709" s="19" t="s">
        <v>28</v>
      </c>
      <c r="G3709" s="19" t="s">
        <v>28</v>
      </c>
      <c r="H3709" s="19" t="s">
        <v>28</v>
      </c>
      <c r="I3709" s="18" t="s">
        <v>28</v>
      </c>
      <c r="J3709" s="18" t="s">
        <v>28</v>
      </c>
      <c r="K3709" s="18" t="s">
        <v>28</v>
      </c>
      <c r="L3709" s="18" t="s">
        <v>28</v>
      </c>
      <c r="M3709" s="18" t="s">
        <v>28</v>
      </c>
      <c r="N3709" s="17">
        <v>44562</v>
      </c>
      <c r="O3709" s="15" t="s">
        <v>52</v>
      </c>
      <c r="P3709" s="16" t="s">
        <v>2830</v>
      </c>
      <c r="Q3709" s="15" t="s">
        <v>75</v>
      </c>
      <c r="R3709" s="13" t="str">
        <f>HYPERLINK("https://my.pitchbook.com?c=292853-35T","View Company Online")</f>
        <v>View Company Online</v>
      </c>
    </row>
    <row r="3710" spans="1:18" hidden="1" x14ac:dyDescent="0.3">
      <c r="A3710" s="9" t="s">
        <v>12220</v>
      </c>
      <c r="B3710" s="9" t="s">
        <v>12221</v>
      </c>
      <c r="C3710" s="11" t="s">
        <v>28</v>
      </c>
      <c r="D3710" s="9" t="s">
        <v>12222</v>
      </c>
      <c r="E3710" s="11" t="s">
        <v>28</v>
      </c>
      <c r="F3710" s="10" t="s">
        <v>28</v>
      </c>
      <c r="G3710" s="10" t="s">
        <v>28</v>
      </c>
      <c r="H3710" s="10" t="s">
        <v>28</v>
      </c>
      <c r="I3710" s="11" t="s">
        <v>28</v>
      </c>
      <c r="J3710" s="11" t="s">
        <v>28</v>
      </c>
      <c r="K3710" s="11" t="s">
        <v>28</v>
      </c>
      <c r="L3710" s="11" t="s">
        <v>28</v>
      </c>
      <c r="M3710" s="11" t="s">
        <v>28</v>
      </c>
      <c r="N3710" s="8">
        <v>44562</v>
      </c>
      <c r="O3710" s="9" t="s">
        <v>52</v>
      </c>
      <c r="P3710" s="12" t="s">
        <v>2830</v>
      </c>
      <c r="Q3710" s="9" t="s">
        <v>249</v>
      </c>
      <c r="R3710" s="14" t="str">
        <f>HYPERLINK("https://my.pitchbook.com?c=266533-03T","View Company Online")</f>
        <v>View Company Online</v>
      </c>
    </row>
    <row r="3711" spans="1:18" hidden="1" x14ac:dyDescent="0.3">
      <c r="A3711" s="15" t="s">
        <v>12223</v>
      </c>
      <c r="B3711" s="15" t="s">
        <v>6445</v>
      </c>
      <c r="C3711" s="18" t="s">
        <v>28</v>
      </c>
      <c r="D3711" s="15" t="s">
        <v>6446</v>
      </c>
      <c r="E3711" s="18" t="s">
        <v>28</v>
      </c>
      <c r="F3711" s="19" t="s">
        <v>28</v>
      </c>
      <c r="G3711" s="19" t="s">
        <v>28</v>
      </c>
      <c r="H3711" s="19" t="s">
        <v>28</v>
      </c>
      <c r="I3711" s="18" t="s">
        <v>28</v>
      </c>
      <c r="J3711" s="18" t="s">
        <v>28</v>
      </c>
      <c r="K3711" s="18" t="s">
        <v>28</v>
      </c>
      <c r="L3711" s="18" t="s">
        <v>28</v>
      </c>
      <c r="M3711" s="18" t="s">
        <v>28</v>
      </c>
      <c r="N3711" s="17">
        <v>44562</v>
      </c>
      <c r="O3711" s="15" t="s">
        <v>99</v>
      </c>
      <c r="P3711" s="16" t="s">
        <v>12224</v>
      </c>
      <c r="Q3711" s="15" t="s">
        <v>75</v>
      </c>
      <c r="R3711" s="13" t="str">
        <f>HYPERLINK("https://my.pitchbook.com?c=226698-67T","View Company Online")</f>
        <v>View Company Online</v>
      </c>
    </row>
    <row r="3712" spans="1:18" hidden="1" x14ac:dyDescent="0.3">
      <c r="A3712" s="9" t="s">
        <v>12225</v>
      </c>
      <c r="B3712" s="9" t="s">
        <v>12226</v>
      </c>
      <c r="C3712" s="11" t="s">
        <v>28</v>
      </c>
      <c r="D3712" s="9" t="s">
        <v>12227</v>
      </c>
      <c r="E3712" s="11" t="s">
        <v>28</v>
      </c>
      <c r="F3712" s="10" t="s">
        <v>28</v>
      </c>
      <c r="G3712" s="10" t="s">
        <v>28</v>
      </c>
      <c r="H3712" s="10" t="s">
        <v>28</v>
      </c>
      <c r="I3712" s="11" t="s">
        <v>28</v>
      </c>
      <c r="J3712" s="11" t="s">
        <v>28</v>
      </c>
      <c r="K3712" s="11" t="s">
        <v>28</v>
      </c>
      <c r="L3712" s="11" t="s">
        <v>28</v>
      </c>
      <c r="M3712" s="11" t="s">
        <v>28</v>
      </c>
      <c r="N3712" s="8">
        <v>44562</v>
      </c>
      <c r="O3712" s="9" t="s">
        <v>30</v>
      </c>
      <c r="P3712" s="12" t="s">
        <v>12228</v>
      </c>
      <c r="Q3712" s="9" t="s">
        <v>362</v>
      </c>
      <c r="R3712" s="14" t="str">
        <f>HYPERLINK("https://my.pitchbook.com?c=244849-15T","View Company Online")</f>
        <v>View Company Online</v>
      </c>
    </row>
    <row r="3713" spans="1:18" hidden="1" x14ac:dyDescent="0.3">
      <c r="A3713" s="15" t="s">
        <v>12229</v>
      </c>
      <c r="B3713" s="15" t="s">
        <v>12230</v>
      </c>
      <c r="C3713" s="18" t="s">
        <v>28</v>
      </c>
      <c r="D3713" s="15" t="s">
        <v>12231</v>
      </c>
      <c r="E3713" s="18" t="s">
        <v>28</v>
      </c>
      <c r="F3713" s="19" t="s">
        <v>28</v>
      </c>
      <c r="G3713" s="19" t="s">
        <v>28</v>
      </c>
      <c r="H3713" s="19" t="s">
        <v>28</v>
      </c>
      <c r="I3713" s="18" t="s">
        <v>28</v>
      </c>
      <c r="J3713" s="18" t="s">
        <v>28</v>
      </c>
      <c r="K3713" s="18" t="s">
        <v>28</v>
      </c>
      <c r="L3713" s="18" t="s">
        <v>28</v>
      </c>
      <c r="M3713" s="18" t="s">
        <v>28</v>
      </c>
      <c r="N3713" s="17">
        <v>44562</v>
      </c>
      <c r="O3713" s="15" t="s">
        <v>30</v>
      </c>
      <c r="P3713" s="16" t="s">
        <v>12232</v>
      </c>
      <c r="Q3713" s="15" t="s">
        <v>419</v>
      </c>
      <c r="R3713" s="13" t="str">
        <f>HYPERLINK("https://my.pitchbook.com?c=279787-24T","View Company Online")</f>
        <v>View Company Online</v>
      </c>
    </row>
    <row r="3714" spans="1:18" hidden="1" x14ac:dyDescent="0.3">
      <c r="A3714" s="9" t="s">
        <v>12233</v>
      </c>
      <c r="B3714" s="9" t="s">
        <v>12234</v>
      </c>
      <c r="C3714" s="11" t="s">
        <v>28</v>
      </c>
      <c r="D3714" s="9" t="s">
        <v>12235</v>
      </c>
      <c r="E3714" s="11" t="s">
        <v>28</v>
      </c>
      <c r="F3714" s="10" t="s">
        <v>28</v>
      </c>
      <c r="G3714" s="10" t="s">
        <v>28</v>
      </c>
      <c r="H3714" s="10" t="s">
        <v>28</v>
      </c>
      <c r="I3714" s="11" t="s">
        <v>28</v>
      </c>
      <c r="J3714" s="11" t="s">
        <v>28</v>
      </c>
      <c r="K3714" s="11" t="s">
        <v>28</v>
      </c>
      <c r="L3714" s="11" t="s">
        <v>28</v>
      </c>
      <c r="M3714" s="11" t="s">
        <v>28</v>
      </c>
      <c r="N3714" s="8">
        <v>44562</v>
      </c>
      <c r="O3714" s="9" t="s">
        <v>30</v>
      </c>
      <c r="P3714" s="12" t="s">
        <v>12228</v>
      </c>
      <c r="Q3714" s="9" t="s">
        <v>409</v>
      </c>
      <c r="R3714" s="14" t="str">
        <f>HYPERLINK("https://my.pitchbook.com?c=244840-96T","View Company Online")</f>
        <v>View Company Online</v>
      </c>
    </row>
    <row r="3715" spans="1:18" hidden="1" x14ac:dyDescent="0.3">
      <c r="A3715" s="15" t="s">
        <v>12236</v>
      </c>
      <c r="B3715" s="15" t="s">
        <v>12237</v>
      </c>
      <c r="C3715" s="18" t="s">
        <v>28</v>
      </c>
      <c r="D3715" s="15" t="s">
        <v>12238</v>
      </c>
      <c r="E3715" s="18" t="s">
        <v>28</v>
      </c>
      <c r="F3715" s="19" t="s">
        <v>28</v>
      </c>
      <c r="G3715" s="19" t="s">
        <v>28</v>
      </c>
      <c r="H3715" s="19" t="s">
        <v>28</v>
      </c>
      <c r="I3715" s="18" t="s">
        <v>28</v>
      </c>
      <c r="J3715" s="18" t="s">
        <v>28</v>
      </c>
      <c r="K3715" s="18" t="s">
        <v>28</v>
      </c>
      <c r="L3715" s="18" t="s">
        <v>28</v>
      </c>
      <c r="M3715" s="18" t="s">
        <v>28</v>
      </c>
      <c r="N3715" s="17">
        <v>44562</v>
      </c>
      <c r="O3715" s="15" t="s">
        <v>52</v>
      </c>
      <c r="P3715" s="16" t="s">
        <v>2830</v>
      </c>
      <c r="Q3715" s="15" t="s">
        <v>245</v>
      </c>
      <c r="R3715" s="13" t="str">
        <f>HYPERLINK("https://my.pitchbook.com?c=292845-52T","View Company Online")</f>
        <v>View Company Online</v>
      </c>
    </row>
    <row r="3716" spans="1:18" hidden="1" x14ac:dyDescent="0.3">
      <c r="A3716" s="9" t="s">
        <v>12239</v>
      </c>
      <c r="B3716" s="9" t="s">
        <v>888</v>
      </c>
      <c r="C3716" s="11" t="s">
        <v>28</v>
      </c>
      <c r="D3716" s="9" t="s">
        <v>12240</v>
      </c>
      <c r="E3716" s="11" t="s">
        <v>28</v>
      </c>
      <c r="F3716" s="10" t="s">
        <v>28</v>
      </c>
      <c r="G3716" s="10" t="s">
        <v>28</v>
      </c>
      <c r="H3716" s="10" t="s">
        <v>28</v>
      </c>
      <c r="I3716" s="11" t="s">
        <v>28</v>
      </c>
      <c r="J3716" s="11" t="s">
        <v>28</v>
      </c>
      <c r="K3716" s="11" t="s">
        <v>28</v>
      </c>
      <c r="L3716" s="11" t="s">
        <v>28</v>
      </c>
      <c r="M3716" s="11" t="s">
        <v>28</v>
      </c>
      <c r="N3716" s="8">
        <v>44562</v>
      </c>
      <c r="O3716" s="9" t="s">
        <v>52</v>
      </c>
      <c r="P3716" s="12" t="s">
        <v>12241</v>
      </c>
      <c r="Q3716" s="9" t="s">
        <v>213</v>
      </c>
      <c r="R3716" s="14" t="str">
        <f>HYPERLINK("https://my.pitchbook.com?c=261688-51T","View Company Online")</f>
        <v>View Company Online</v>
      </c>
    </row>
    <row r="3717" spans="1:18" hidden="1" x14ac:dyDescent="0.3">
      <c r="A3717" s="15" t="s">
        <v>12242</v>
      </c>
      <c r="B3717" s="15" t="s">
        <v>888</v>
      </c>
      <c r="C3717" s="18" t="s">
        <v>28</v>
      </c>
      <c r="D3717" s="15" t="s">
        <v>12240</v>
      </c>
      <c r="E3717" s="18" t="s">
        <v>28</v>
      </c>
      <c r="F3717" s="19" t="s">
        <v>28</v>
      </c>
      <c r="G3717" s="19" t="s">
        <v>28</v>
      </c>
      <c r="H3717" s="19" t="s">
        <v>28</v>
      </c>
      <c r="I3717" s="18" t="s">
        <v>28</v>
      </c>
      <c r="J3717" s="18" t="s">
        <v>28</v>
      </c>
      <c r="K3717" s="18" t="s">
        <v>28</v>
      </c>
      <c r="L3717" s="18" t="s">
        <v>28</v>
      </c>
      <c r="M3717" s="18" t="s">
        <v>28</v>
      </c>
      <c r="N3717" s="17">
        <v>44562</v>
      </c>
      <c r="O3717" s="15" t="s">
        <v>52</v>
      </c>
      <c r="P3717" s="16" t="s">
        <v>2830</v>
      </c>
      <c r="Q3717" s="15" t="s">
        <v>213</v>
      </c>
      <c r="R3717" s="13" t="str">
        <f>HYPERLINK("https://my.pitchbook.com?c=261694-00T","View Company Online")</f>
        <v>View Company Online</v>
      </c>
    </row>
    <row r="3718" spans="1:18" hidden="1" x14ac:dyDescent="0.3">
      <c r="A3718" s="9" t="s">
        <v>12243</v>
      </c>
      <c r="B3718" s="9" t="s">
        <v>867</v>
      </c>
      <c r="C3718" s="11" t="s">
        <v>28</v>
      </c>
      <c r="D3718" s="9" t="s">
        <v>868</v>
      </c>
      <c r="E3718" s="11" t="s">
        <v>28</v>
      </c>
      <c r="F3718" s="10" t="s">
        <v>28</v>
      </c>
      <c r="G3718" s="10" t="s">
        <v>28</v>
      </c>
      <c r="H3718" s="10" t="s">
        <v>28</v>
      </c>
      <c r="I3718" s="11" t="s">
        <v>28</v>
      </c>
      <c r="J3718" s="11" t="s">
        <v>28</v>
      </c>
      <c r="K3718" s="11" t="s">
        <v>28</v>
      </c>
      <c r="L3718" s="11" t="s">
        <v>28</v>
      </c>
      <c r="M3718" s="11" t="s">
        <v>28</v>
      </c>
      <c r="N3718" s="8">
        <v>44562</v>
      </c>
      <c r="O3718" s="9" t="s">
        <v>99</v>
      </c>
      <c r="P3718" s="12" t="s">
        <v>10444</v>
      </c>
      <c r="Q3718" s="9" t="s">
        <v>75</v>
      </c>
      <c r="R3718" s="14" t="str">
        <f>HYPERLINK("https://my.pitchbook.com?c=215502-04T","View Company Online")</f>
        <v>View Company Online</v>
      </c>
    </row>
    <row r="3719" spans="1:18" hidden="1" x14ac:dyDescent="0.3">
      <c r="A3719" s="15" t="s">
        <v>12244</v>
      </c>
      <c r="B3719" s="15" t="s">
        <v>12245</v>
      </c>
      <c r="C3719" s="18" t="s">
        <v>28</v>
      </c>
      <c r="D3719" s="15" t="s">
        <v>12246</v>
      </c>
      <c r="E3719" s="18" t="s">
        <v>28</v>
      </c>
      <c r="F3719" s="19" t="s">
        <v>28</v>
      </c>
      <c r="G3719" s="19" t="s">
        <v>28</v>
      </c>
      <c r="H3719" s="19" t="s">
        <v>28</v>
      </c>
      <c r="I3719" s="18" t="s">
        <v>28</v>
      </c>
      <c r="J3719" s="18" t="s">
        <v>28</v>
      </c>
      <c r="K3719" s="18" t="s">
        <v>28</v>
      </c>
      <c r="L3719" s="18" t="s">
        <v>28</v>
      </c>
      <c r="M3719" s="18" t="s">
        <v>28</v>
      </c>
      <c r="N3719" s="17">
        <v>44562</v>
      </c>
      <c r="O3719" s="15" t="s">
        <v>52</v>
      </c>
      <c r="P3719" s="16" t="s">
        <v>11535</v>
      </c>
      <c r="Q3719" s="15" t="s">
        <v>832</v>
      </c>
      <c r="R3719" s="13" t="str">
        <f>HYPERLINK("https://my.pitchbook.com?c=190617-40T","View Company Online")</f>
        <v>View Company Online</v>
      </c>
    </row>
    <row r="3720" spans="1:18" hidden="1" x14ac:dyDescent="0.3">
      <c r="A3720" s="9" t="s">
        <v>12247</v>
      </c>
      <c r="B3720" s="9" t="s">
        <v>12248</v>
      </c>
      <c r="C3720" s="11" t="s">
        <v>28</v>
      </c>
      <c r="D3720" s="9" t="s">
        <v>12249</v>
      </c>
      <c r="E3720" s="11" t="s">
        <v>28</v>
      </c>
      <c r="F3720" s="10" t="s">
        <v>28</v>
      </c>
      <c r="G3720" s="10" t="s">
        <v>28</v>
      </c>
      <c r="H3720" s="10" t="s">
        <v>28</v>
      </c>
      <c r="I3720" s="11" t="s">
        <v>28</v>
      </c>
      <c r="J3720" s="11" t="s">
        <v>28</v>
      </c>
      <c r="K3720" s="11" t="s">
        <v>28</v>
      </c>
      <c r="L3720" s="11" t="s">
        <v>28</v>
      </c>
      <c r="M3720" s="11" t="s">
        <v>28</v>
      </c>
      <c r="N3720" s="8">
        <v>44562</v>
      </c>
      <c r="O3720" s="9" t="s">
        <v>73</v>
      </c>
      <c r="P3720" s="12" t="s">
        <v>6834</v>
      </c>
      <c r="Q3720" s="9" t="s">
        <v>1341</v>
      </c>
      <c r="R3720" s="14" t="str">
        <f>HYPERLINK("https://my.pitchbook.com?c=215818-39T","View Company Online")</f>
        <v>View Company Online</v>
      </c>
    </row>
    <row r="3721" spans="1:18" hidden="1" x14ac:dyDescent="0.3">
      <c r="A3721" s="15" t="s">
        <v>12250</v>
      </c>
      <c r="B3721" s="15" t="s">
        <v>12251</v>
      </c>
      <c r="C3721" s="18" t="s">
        <v>28</v>
      </c>
      <c r="D3721" s="15" t="s">
        <v>12252</v>
      </c>
      <c r="E3721" s="18" t="s">
        <v>28</v>
      </c>
      <c r="F3721" s="19" t="s">
        <v>28</v>
      </c>
      <c r="G3721" s="19" t="s">
        <v>28</v>
      </c>
      <c r="H3721" s="19" t="s">
        <v>28</v>
      </c>
      <c r="I3721" s="18" t="s">
        <v>28</v>
      </c>
      <c r="J3721" s="18" t="s">
        <v>28</v>
      </c>
      <c r="K3721" s="18" t="s">
        <v>28</v>
      </c>
      <c r="L3721" s="18" t="s">
        <v>28</v>
      </c>
      <c r="M3721" s="18" t="s">
        <v>28</v>
      </c>
      <c r="N3721" s="17">
        <v>44562</v>
      </c>
      <c r="O3721" s="15" t="s">
        <v>52</v>
      </c>
      <c r="P3721" s="16" t="s">
        <v>2830</v>
      </c>
      <c r="Q3721" s="15" t="s">
        <v>249</v>
      </c>
      <c r="R3721" s="13" t="str">
        <f>HYPERLINK("https://my.pitchbook.com?c=264269-80T","View Company Online")</f>
        <v>View Company Online</v>
      </c>
    </row>
    <row r="3722" spans="1:18" hidden="1" x14ac:dyDescent="0.3">
      <c r="A3722" s="9" t="s">
        <v>12253</v>
      </c>
      <c r="B3722" s="9" t="s">
        <v>6180</v>
      </c>
      <c r="C3722" s="11" t="s">
        <v>28</v>
      </c>
      <c r="D3722" s="9" t="s">
        <v>6181</v>
      </c>
      <c r="E3722" s="11" t="s">
        <v>28</v>
      </c>
      <c r="F3722" s="10" t="s">
        <v>28</v>
      </c>
      <c r="G3722" s="10" t="s">
        <v>28</v>
      </c>
      <c r="H3722" s="10" t="s">
        <v>28</v>
      </c>
      <c r="I3722" s="11" t="s">
        <v>28</v>
      </c>
      <c r="J3722" s="11" t="s">
        <v>28</v>
      </c>
      <c r="K3722" s="11">
        <v>1.2</v>
      </c>
      <c r="L3722" s="11" t="s">
        <v>28</v>
      </c>
      <c r="M3722" s="11" t="s">
        <v>28</v>
      </c>
      <c r="N3722" s="8">
        <v>44562</v>
      </c>
      <c r="O3722" s="9" t="s">
        <v>52</v>
      </c>
      <c r="P3722" s="12" t="s">
        <v>2830</v>
      </c>
      <c r="Q3722" s="9" t="s">
        <v>75</v>
      </c>
      <c r="R3722" s="14" t="str">
        <f>HYPERLINK("https://my.pitchbook.com?c=263850-94T","View Company Online")</f>
        <v>View Company Online</v>
      </c>
    </row>
    <row r="3723" spans="1:18" hidden="1" x14ac:dyDescent="0.3">
      <c r="A3723" s="15" t="s">
        <v>12254</v>
      </c>
      <c r="B3723" s="15" t="s">
        <v>12255</v>
      </c>
      <c r="C3723" s="18" t="s">
        <v>28</v>
      </c>
      <c r="D3723" s="15" t="s">
        <v>12256</v>
      </c>
      <c r="E3723" s="18" t="s">
        <v>28</v>
      </c>
      <c r="F3723" s="19" t="s">
        <v>28</v>
      </c>
      <c r="G3723" s="19" t="s">
        <v>28</v>
      </c>
      <c r="H3723" s="19" t="s">
        <v>28</v>
      </c>
      <c r="I3723" s="18" t="s">
        <v>28</v>
      </c>
      <c r="J3723" s="18" t="s">
        <v>28</v>
      </c>
      <c r="K3723" s="18" t="s">
        <v>28</v>
      </c>
      <c r="L3723" s="18" t="s">
        <v>28</v>
      </c>
      <c r="M3723" s="18" t="s">
        <v>28</v>
      </c>
      <c r="N3723" s="17">
        <v>44562</v>
      </c>
      <c r="O3723" s="15" t="s">
        <v>73</v>
      </c>
      <c r="P3723" s="16" t="s">
        <v>28</v>
      </c>
      <c r="Q3723" s="15" t="s">
        <v>404</v>
      </c>
      <c r="R3723" s="13" t="str">
        <f>HYPERLINK("https://my.pitchbook.com?c=215621-20T","View Company Online")</f>
        <v>View Company Online</v>
      </c>
    </row>
    <row r="3724" spans="1:18" hidden="1" x14ac:dyDescent="0.3">
      <c r="A3724" s="9" t="s">
        <v>12257</v>
      </c>
      <c r="B3724" s="9" t="s">
        <v>2340</v>
      </c>
      <c r="C3724" s="11" t="s">
        <v>28</v>
      </c>
      <c r="D3724" s="9" t="s">
        <v>2341</v>
      </c>
      <c r="E3724" s="11" t="s">
        <v>28</v>
      </c>
      <c r="F3724" s="10" t="s">
        <v>28</v>
      </c>
      <c r="G3724" s="10" t="s">
        <v>28</v>
      </c>
      <c r="H3724" s="10" t="s">
        <v>28</v>
      </c>
      <c r="I3724" s="11" t="s">
        <v>28</v>
      </c>
      <c r="J3724" s="11" t="s">
        <v>28</v>
      </c>
      <c r="K3724" s="11" t="s">
        <v>28</v>
      </c>
      <c r="L3724" s="11" t="s">
        <v>28</v>
      </c>
      <c r="M3724" s="11" t="s">
        <v>28</v>
      </c>
      <c r="N3724" s="8">
        <v>44562</v>
      </c>
      <c r="O3724" s="9" t="s">
        <v>52</v>
      </c>
      <c r="P3724" s="12" t="s">
        <v>2830</v>
      </c>
      <c r="Q3724" s="9" t="s">
        <v>75</v>
      </c>
      <c r="R3724" s="14" t="str">
        <f>HYPERLINK("https://my.pitchbook.com?c=264267-55T","View Company Online")</f>
        <v>View Company Online</v>
      </c>
    </row>
    <row r="3725" spans="1:18" hidden="1" x14ac:dyDescent="0.3">
      <c r="A3725" s="15" t="s">
        <v>12258</v>
      </c>
      <c r="B3725" s="15" t="s">
        <v>12259</v>
      </c>
      <c r="C3725" s="18" t="s">
        <v>28</v>
      </c>
      <c r="D3725" s="15" t="s">
        <v>12260</v>
      </c>
      <c r="E3725" s="18" t="s">
        <v>28</v>
      </c>
      <c r="F3725" s="19" t="s">
        <v>28</v>
      </c>
      <c r="G3725" s="19" t="s">
        <v>28</v>
      </c>
      <c r="H3725" s="19" t="s">
        <v>28</v>
      </c>
      <c r="I3725" s="18" t="s">
        <v>28</v>
      </c>
      <c r="J3725" s="18" t="s">
        <v>28</v>
      </c>
      <c r="K3725" s="18" t="s">
        <v>28</v>
      </c>
      <c r="L3725" s="18" t="s">
        <v>28</v>
      </c>
      <c r="M3725" s="18" t="s">
        <v>28</v>
      </c>
      <c r="N3725" s="17">
        <v>44562</v>
      </c>
      <c r="O3725" s="15" t="s">
        <v>30</v>
      </c>
      <c r="P3725" s="16" t="s">
        <v>12261</v>
      </c>
      <c r="Q3725" s="15" t="s">
        <v>43</v>
      </c>
      <c r="R3725" s="13" t="str">
        <f>HYPERLINK("https://my.pitchbook.com?c=257890-06T","View Company Online")</f>
        <v>View Company Online</v>
      </c>
    </row>
    <row r="3726" spans="1:18" hidden="1" x14ac:dyDescent="0.3">
      <c r="A3726" s="9" t="s">
        <v>12262</v>
      </c>
      <c r="B3726" s="9" t="s">
        <v>12263</v>
      </c>
      <c r="C3726" s="11" t="s">
        <v>28</v>
      </c>
      <c r="D3726" s="9" t="s">
        <v>12264</v>
      </c>
      <c r="E3726" s="11">
        <v>150.82</v>
      </c>
      <c r="F3726" s="10" t="s">
        <v>28</v>
      </c>
      <c r="G3726" s="10" t="s">
        <v>28</v>
      </c>
      <c r="H3726" s="10" t="s">
        <v>28</v>
      </c>
      <c r="I3726" s="11">
        <v>228.85</v>
      </c>
      <c r="J3726" s="11" t="s">
        <v>28</v>
      </c>
      <c r="K3726" s="11">
        <v>424.93</v>
      </c>
      <c r="L3726" s="11" t="s">
        <v>28</v>
      </c>
      <c r="M3726" s="11">
        <v>81.7</v>
      </c>
      <c r="N3726" s="8">
        <v>44562</v>
      </c>
      <c r="O3726" s="9" t="s">
        <v>30</v>
      </c>
      <c r="P3726" s="12" t="s">
        <v>813</v>
      </c>
      <c r="Q3726" s="9" t="s">
        <v>226</v>
      </c>
      <c r="R3726" s="14" t="str">
        <f>HYPERLINK("https://my.pitchbook.com?c=194980-42T","View Company Online")</f>
        <v>View Company Online</v>
      </c>
    </row>
    <row r="3727" spans="1:18" hidden="1" x14ac:dyDescent="0.3">
      <c r="A3727" s="15" t="s">
        <v>12265</v>
      </c>
      <c r="B3727" s="15" t="s">
        <v>5911</v>
      </c>
      <c r="C3727" s="18" t="s">
        <v>28</v>
      </c>
      <c r="D3727" s="15" t="s">
        <v>5912</v>
      </c>
      <c r="E3727" s="18" t="s">
        <v>28</v>
      </c>
      <c r="F3727" s="19" t="s">
        <v>28</v>
      </c>
      <c r="G3727" s="19">
        <v>0.5</v>
      </c>
      <c r="H3727" s="19" t="s">
        <v>28</v>
      </c>
      <c r="I3727" s="18" t="s">
        <v>28</v>
      </c>
      <c r="J3727" s="18" t="s">
        <v>28</v>
      </c>
      <c r="K3727" s="18" t="s">
        <v>28</v>
      </c>
      <c r="L3727" s="18" t="s">
        <v>28</v>
      </c>
      <c r="M3727" s="18" t="s">
        <v>28</v>
      </c>
      <c r="N3727" s="17">
        <v>44562</v>
      </c>
      <c r="O3727" s="15" t="s">
        <v>52</v>
      </c>
      <c r="P3727" s="16" t="s">
        <v>3944</v>
      </c>
      <c r="Q3727" s="15" t="s">
        <v>75</v>
      </c>
      <c r="R3727" s="13" t="str">
        <f>HYPERLINK("https://my.pitchbook.com?c=186626-71T","View Company Online")</f>
        <v>View Company Online</v>
      </c>
    </row>
    <row r="3728" spans="1:18" hidden="1" x14ac:dyDescent="0.3">
      <c r="A3728" s="9" t="s">
        <v>12266</v>
      </c>
      <c r="B3728" s="9" t="s">
        <v>3119</v>
      </c>
      <c r="C3728" s="11" t="s">
        <v>28</v>
      </c>
      <c r="D3728" s="9" t="s">
        <v>3120</v>
      </c>
      <c r="E3728" s="11" t="s">
        <v>28</v>
      </c>
      <c r="F3728" s="10" t="s">
        <v>28</v>
      </c>
      <c r="G3728" s="10" t="s">
        <v>28</v>
      </c>
      <c r="H3728" s="10" t="s">
        <v>28</v>
      </c>
      <c r="I3728" s="11" t="s">
        <v>28</v>
      </c>
      <c r="J3728" s="11" t="s">
        <v>28</v>
      </c>
      <c r="K3728" s="11" t="s">
        <v>28</v>
      </c>
      <c r="L3728" s="11" t="s">
        <v>28</v>
      </c>
      <c r="M3728" s="11" t="s">
        <v>28</v>
      </c>
      <c r="N3728" s="8">
        <v>44562</v>
      </c>
      <c r="O3728" s="9" t="s">
        <v>73</v>
      </c>
      <c r="P3728" s="12" t="s">
        <v>28</v>
      </c>
      <c r="Q3728" s="9" t="s">
        <v>37</v>
      </c>
      <c r="R3728" s="14" t="str">
        <f>HYPERLINK("https://my.pitchbook.com?c=215509-42T","View Company Online")</f>
        <v>View Company Online</v>
      </c>
    </row>
    <row r="3729" spans="1:18" hidden="1" x14ac:dyDescent="0.3">
      <c r="A3729" s="15" t="s">
        <v>12267</v>
      </c>
      <c r="B3729" s="15" t="s">
        <v>7742</v>
      </c>
      <c r="C3729" s="18" t="s">
        <v>28</v>
      </c>
      <c r="D3729" s="15" t="s">
        <v>7743</v>
      </c>
      <c r="E3729" s="18" t="s">
        <v>28</v>
      </c>
      <c r="F3729" s="19" t="s">
        <v>28</v>
      </c>
      <c r="G3729" s="19">
        <v>0.01</v>
      </c>
      <c r="H3729" s="19" t="s">
        <v>28</v>
      </c>
      <c r="I3729" s="18" t="s">
        <v>28</v>
      </c>
      <c r="J3729" s="18" t="s">
        <v>28</v>
      </c>
      <c r="K3729" s="18" t="s">
        <v>28</v>
      </c>
      <c r="L3729" s="18" t="s">
        <v>28</v>
      </c>
      <c r="M3729" s="18" t="s">
        <v>28</v>
      </c>
      <c r="N3729" s="17">
        <v>44562</v>
      </c>
      <c r="O3729" s="15" t="s">
        <v>52</v>
      </c>
      <c r="P3729" s="16" t="s">
        <v>2628</v>
      </c>
      <c r="Q3729" s="15" t="s">
        <v>75</v>
      </c>
      <c r="R3729" s="13" t="str">
        <f>HYPERLINK("https://my.pitchbook.com?c=296766-91T","View Company Online")</f>
        <v>View Company Online</v>
      </c>
    </row>
    <row r="3730" spans="1:18" hidden="1" x14ac:dyDescent="0.3">
      <c r="A3730" s="9" t="s">
        <v>12268</v>
      </c>
      <c r="B3730" s="9" t="s">
        <v>12269</v>
      </c>
      <c r="C3730" s="11" t="s">
        <v>28</v>
      </c>
      <c r="D3730" s="9" t="s">
        <v>12270</v>
      </c>
      <c r="E3730" s="11" t="s">
        <v>28</v>
      </c>
      <c r="F3730" s="10" t="s">
        <v>28</v>
      </c>
      <c r="G3730" s="10" t="s">
        <v>28</v>
      </c>
      <c r="H3730" s="10" t="s">
        <v>28</v>
      </c>
      <c r="I3730" s="11" t="s">
        <v>28</v>
      </c>
      <c r="J3730" s="11" t="s">
        <v>28</v>
      </c>
      <c r="K3730" s="11" t="s">
        <v>28</v>
      </c>
      <c r="L3730" s="11" t="s">
        <v>28</v>
      </c>
      <c r="M3730" s="11" t="s">
        <v>28</v>
      </c>
      <c r="N3730" s="8">
        <v>44562</v>
      </c>
      <c r="O3730" s="9" t="s">
        <v>52</v>
      </c>
      <c r="P3730" s="12" t="s">
        <v>2830</v>
      </c>
      <c r="Q3730" s="9" t="s">
        <v>75</v>
      </c>
      <c r="R3730" s="14" t="str">
        <f>HYPERLINK("https://my.pitchbook.com?c=292851-46T","View Company Online")</f>
        <v>View Company Online</v>
      </c>
    </row>
    <row r="3731" spans="1:18" hidden="1" x14ac:dyDescent="0.3">
      <c r="A3731" s="15" t="s">
        <v>12271</v>
      </c>
      <c r="B3731" s="15" t="s">
        <v>10756</v>
      </c>
      <c r="C3731" s="18" t="s">
        <v>28</v>
      </c>
      <c r="D3731" s="15" t="s">
        <v>10757</v>
      </c>
      <c r="E3731" s="18" t="s">
        <v>28</v>
      </c>
      <c r="F3731" s="19" t="s">
        <v>28</v>
      </c>
      <c r="G3731" s="19" t="s">
        <v>28</v>
      </c>
      <c r="H3731" s="19" t="s">
        <v>28</v>
      </c>
      <c r="I3731" s="18" t="s">
        <v>28</v>
      </c>
      <c r="J3731" s="18" t="s">
        <v>28</v>
      </c>
      <c r="K3731" s="18" t="s">
        <v>28</v>
      </c>
      <c r="L3731" s="18" t="s">
        <v>28</v>
      </c>
      <c r="M3731" s="18" t="s">
        <v>28</v>
      </c>
      <c r="N3731" s="17">
        <v>44562</v>
      </c>
      <c r="O3731" s="15" t="s">
        <v>52</v>
      </c>
      <c r="P3731" s="16" t="s">
        <v>2830</v>
      </c>
      <c r="Q3731" s="15" t="s">
        <v>54</v>
      </c>
      <c r="R3731" s="13" t="str">
        <f>HYPERLINK("https://my.pitchbook.com?c=264274-57T","View Company Online")</f>
        <v>View Company Online</v>
      </c>
    </row>
    <row r="3732" spans="1:18" hidden="1" x14ac:dyDescent="0.3">
      <c r="A3732" s="9" t="s">
        <v>12272</v>
      </c>
      <c r="B3732" s="9" t="s">
        <v>5161</v>
      </c>
      <c r="C3732" s="11" t="s">
        <v>28</v>
      </c>
      <c r="D3732" s="9" t="s">
        <v>5162</v>
      </c>
      <c r="E3732" s="11" t="s">
        <v>28</v>
      </c>
      <c r="F3732" s="10" t="s">
        <v>28</v>
      </c>
      <c r="G3732" s="10">
        <v>1</v>
      </c>
      <c r="H3732" s="10" t="s">
        <v>28</v>
      </c>
      <c r="I3732" s="11" t="s">
        <v>28</v>
      </c>
      <c r="J3732" s="11" t="s">
        <v>28</v>
      </c>
      <c r="K3732" s="11" t="s">
        <v>28</v>
      </c>
      <c r="L3732" s="11" t="s">
        <v>28</v>
      </c>
      <c r="M3732" s="11" t="s">
        <v>28</v>
      </c>
      <c r="N3732" s="8">
        <v>44562</v>
      </c>
      <c r="O3732" s="9" t="s">
        <v>99</v>
      </c>
      <c r="P3732" s="12" t="s">
        <v>12273</v>
      </c>
      <c r="Q3732" s="9" t="s">
        <v>37</v>
      </c>
      <c r="R3732" s="14" t="str">
        <f>HYPERLINK("https://my.pitchbook.com?c=187874-65T","View Company Online")</f>
        <v>View Company Online</v>
      </c>
    </row>
    <row r="3733" spans="1:18" hidden="1" x14ac:dyDescent="0.3">
      <c r="A3733" s="15" t="s">
        <v>12274</v>
      </c>
      <c r="B3733" s="15" t="s">
        <v>12275</v>
      </c>
      <c r="C3733" s="18" t="s">
        <v>28</v>
      </c>
      <c r="D3733" s="15" t="s">
        <v>12276</v>
      </c>
      <c r="E3733" s="18" t="s">
        <v>28</v>
      </c>
      <c r="F3733" s="19">
        <v>1.77</v>
      </c>
      <c r="G3733" s="19">
        <v>1.77</v>
      </c>
      <c r="H3733" s="19">
        <v>1.77</v>
      </c>
      <c r="I3733" s="18" t="s">
        <v>28</v>
      </c>
      <c r="J3733" s="18" t="s">
        <v>28</v>
      </c>
      <c r="K3733" s="18" t="s">
        <v>28</v>
      </c>
      <c r="L3733" s="18" t="s">
        <v>28</v>
      </c>
      <c r="M3733" s="18" t="s">
        <v>28</v>
      </c>
      <c r="N3733" s="17">
        <v>44562</v>
      </c>
      <c r="O3733" s="15" t="s">
        <v>30</v>
      </c>
      <c r="P3733" s="16" t="s">
        <v>28</v>
      </c>
      <c r="Q3733" s="15" t="s">
        <v>607</v>
      </c>
      <c r="R3733" s="13" t="str">
        <f>HYPERLINK("https://my.pitchbook.com?c=218960-56T","View Company Online")</f>
        <v>View Company Online</v>
      </c>
    </row>
    <row r="3734" spans="1:18" hidden="1" x14ac:dyDescent="0.3">
      <c r="A3734" s="9" t="s">
        <v>12277</v>
      </c>
      <c r="B3734" s="9" t="s">
        <v>12278</v>
      </c>
      <c r="C3734" s="11" t="s">
        <v>28</v>
      </c>
      <c r="D3734" s="9" t="s">
        <v>12279</v>
      </c>
      <c r="E3734" s="11" t="s">
        <v>28</v>
      </c>
      <c r="F3734" s="10" t="s">
        <v>28</v>
      </c>
      <c r="G3734" s="10" t="s">
        <v>28</v>
      </c>
      <c r="H3734" s="10" t="s">
        <v>28</v>
      </c>
      <c r="I3734" s="11" t="s">
        <v>28</v>
      </c>
      <c r="J3734" s="11" t="s">
        <v>28</v>
      </c>
      <c r="K3734" s="11" t="s">
        <v>28</v>
      </c>
      <c r="L3734" s="11" t="s">
        <v>28</v>
      </c>
      <c r="M3734" s="11" t="s">
        <v>28</v>
      </c>
      <c r="N3734" s="8">
        <v>44562</v>
      </c>
      <c r="O3734" s="9" t="s">
        <v>99</v>
      </c>
      <c r="P3734" s="12" t="s">
        <v>12280</v>
      </c>
      <c r="Q3734" s="9" t="s">
        <v>37</v>
      </c>
      <c r="R3734" s="14" t="str">
        <f>HYPERLINK("https://my.pitchbook.com?c=258047-20T","View Company Online")</f>
        <v>View Company Online</v>
      </c>
    </row>
    <row r="3735" spans="1:18" hidden="1" x14ac:dyDescent="0.3">
      <c r="A3735" s="15" t="s">
        <v>12281</v>
      </c>
      <c r="B3735" s="15" t="s">
        <v>3389</v>
      </c>
      <c r="C3735" s="18" t="s">
        <v>28</v>
      </c>
      <c r="D3735" s="15" t="s">
        <v>3390</v>
      </c>
      <c r="E3735" s="18" t="s">
        <v>28</v>
      </c>
      <c r="F3735" s="19" t="s">
        <v>28</v>
      </c>
      <c r="G3735" s="19">
        <v>0.6</v>
      </c>
      <c r="H3735" s="19" t="s">
        <v>28</v>
      </c>
      <c r="I3735" s="18" t="s">
        <v>28</v>
      </c>
      <c r="J3735" s="18" t="s">
        <v>28</v>
      </c>
      <c r="K3735" s="18" t="s">
        <v>28</v>
      </c>
      <c r="L3735" s="18" t="s">
        <v>28</v>
      </c>
      <c r="M3735" s="18" t="s">
        <v>28</v>
      </c>
      <c r="N3735" s="17">
        <v>44562</v>
      </c>
      <c r="O3735" s="15" t="s">
        <v>379</v>
      </c>
      <c r="P3735" s="16" t="s">
        <v>12282</v>
      </c>
      <c r="Q3735" s="15" t="s">
        <v>75</v>
      </c>
      <c r="R3735" s="13" t="str">
        <f>HYPERLINK("https://my.pitchbook.com?c=249050-53T","View Company Online")</f>
        <v>View Company Online</v>
      </c>
    </row>
    <row r="3736" spans="1:18" hidden="1" x14ac:dyDescent="0.3">
      <c r="A3736" s="9" t="s">
        <v>12283</v>
      </c>
      <c r="B3736" s="9" t="s">
        <v>2692</v>
      </c>
      <c r="C3736" s="11" t="s">
        <v>28</v>
      </c>
      <c r="D3736" s="9" t="s">
        <v>2693</v>
      </c>
      <c r="E3736" s="11" t="s">
        <v>28</v>
      </c>
      <c r="F3736" s="10" t="s">
        <v>28</v>
      </c>
      <c r="G3736" s="10" t="s">
        <v>28</v>
      </c>
      <c r="H3736" s="10" t="s">
        <v>28</v>
      </c>
      <c r="I3736" s="11" t="s">
        <v>28</v>
      </c>
      <c r="J3736" s="11" t="s">
        <v>28</v>
      </c>
      <c r="K3736" s="11" t="s">
        <v>28</v>
      </c>
      <c r="L3736" s="11" t="s">
        <v>28</v>
      </c>
      <c r="M3736" s="11" t="s">
        <v>28</v>
      </c>
      <c r="N3736" s="8">
        <v>44562</v>
      </c>
      <c r="O3736" s="9" t="s">
        <v>52</v>
      </c>
      <c r="P3736" s="12" t="s">
        <v>2442</v>
      </c>
      <c r="Q3736" s="9" t="s">
        <v>75</v>
      </c>
      <c r="R3736" s="14" t="str">
        <f>HYPERLINK("https://my.pitchbook.com?c=258789-34T","View Company Online")</f>
        <v>View Company Online</v>
      </c>
    </row>
    <row r="3737" spans="1:18" hidden="1" x14ac:dyDescent="0.3">
      <c r="A3737" s="15" t="s">
        <v>12284</v>
      </c>
      <c r="B3737" s="15" t="s">
        <v>12285</v>
      </c>
      <c r="C3737" s="18" t="s">
        <v>28</v>
      </c>
      <c r="D3737" s="15" t="s">
        <v>12286</v>
      </c>
      <c r="E3737" s="18" t="s">
        <v>28</v>
      </c>
      <c r="F3737" s="19" t="s">
        <v>28</v>
      </c>
      <c r="G3737" s="19" t="s">
        <v>28</v>
      </c>
      <c r="H3737" s="19" t="s">
        <v>28</v>
      </c>
      <c r="I3737" s="18" t="s">
        <v>28</v>
      </c>
      <c r="J3737" s="18" t="s">
        <v>28</v>
      </c>
      <c r="K3737" s="18" t="s">
        <v>28</v>
      </c>
      <c r="L3737" s="18" t="s">
        <v>28</v>
      </c>
      <c r="M3737" s="18" t="s">
        <v>28</v>
      </c>
      <c r="N3737" s="17">
        <v>44562</v>
      </c>
      <c r="O3737" s="15" t="s">
        <v>30</v>
      </c>
      <c r="P3737" s="16" t="s">
        <v>12287</v>
      </c>
      <c r="Q3737" s="15" t="s">
        <v>136</v>
      </c>
      <c r="R3737" s="13" t="str">
        <f>HYPERLINK("https://my.pitchbook.com?c=259066-00T","View Company Online")</f>
        <v>View Company Online</v>
      </c>
    </row>
    <row r="3738" spans="1:18" hidden="1" x14ac:dyDescent="0.3">
      <c r="A3738" s="9" t="s">
        <v>12288</v>
      </c>
      <c r="B3738" s="9" t="s">
        <v>9459</v>
      </c>
      <c r="C3738" s="11" t="s">
        <v>28</v>
      </c>
      <c r="D3738" s="9" t="s">
        <v>9460</v>
      </c>
      <c r="E3738" s="11" t="s">
        <v>28</v>
      </c>
      <c r="F3738" s="10" t="s">
        <v>28</v>
      </c>
      <c r="G3738" s="10" t="s">
        <v>28</v>
      </c>
      <c r="H3738" s="10" t="s">
        <v>28</v>
      </c>
      <c r="I3738" s="11" t="s">
        <v>28</v>
      </c>
      <c r="J3738" s="11" t="s">
        <v>28</v>
      </c>
      <c r="K3738" s="11" t="s">
        <v>28</v>
      </c>
      <c r="L3738" s="11" t="s">
        <v>28</v>
      </c>
      <c r="M3738" s="11" t="s">
        <v>28</v>
      </c>
      <c r="N3738" s="8">
        <v>44562</v>
      </c>
      <c r="O3738" s="9" t="s">
        <v>52</v>
      </c>
      <c r="P3738" s="12" t="s">
        <v>12289</v>
      </c>
      <c r="Q3738" s="9" t="s">
        <v>583</v>
      </c>
      <c r="R3738" s="14" t="str">
        <f>HYPERLINK("https://my.pitchbook.com?c=262711-99T","View Company Online")</f>
        <v>View Company Online</v>
      </c>
    </row>
    <row r="3739" spans="1:18" hidden="1" x14ac:dyDescent="0.3">
      <c r="A3739" s="15" t="s">
        <v>12290</v>
      </c>
      <c r="B3739" s="15" t="s">
        <v>270</v>
      </c>
      <c r="C3739" s="18" t="s">
        <v>28</v>
      </c>
      <c r="D3739" s="15" t="s">
        <v>271</v>
      </c>
      <c r="E3739" s="18" t="s">
        <v>28</v>
      </c>
      <c r="F3739" s="19" t="s">
        <v>28</v>
      </c>
      <c r="G3739" s="19">
        <v>0.5</v>
      </c>
      <c r="H3739" s="19" t="s">
        <v>28</v>
      </c>
      <c r="I3739" s="18" t="s">
        <v>28</v>
      </c>
      <c r="J3739" s="18" t="s">
        <v>28</v>
      </c>
      <c r="K3739" s="18" t="s">
        <v>28</v>
      </c>
      <c r="L3739" s="18" t="s">
        <v>28</v>
      </c>
      <c r="M3739" s="18" t="s">
        <v>28</v>
      </c>
      <c r="N3739" s="17">
        <v>44562</v>
      </c>
      <c r="O3739" s="15" t="s">
        <v>52</v>
      </c>
      <c r="P3739" s="16" t="s">
        <v>3944</v>
      </c>
      <c r="Q3739" s="15" t="s">
        <v>37</v>
      </c>
      <c r="R3739" s="13" t="str">
        <f>HYPERLINK("https://my.pitchbook.com?c=199843-39T","View Company Online")</f>
        <v>View Company Online</v>
      </c>
    </row>
    <row r="3740" spans="1:18" hidden="1" x14ac:dyDescent="0.3">
      <c r="A3740" s="9" t="s">
        <v>12291</v>
      </c>
      <c r="B3740" s="9" t="s">
        <v>12292</v>
      </c>
      <c r="C3740" s="11" t="s">
        <v>28</v>
      </c>
      <c r="D3740" s="9" t="s">
        <v>12293</v>
      </c>
      <c r="E3740" s="11" t="s">
        <v>28</v>
      </c>
      <c r="F3740" s="10" t="s">
        <v>28</v>
      </c>
      <c r="G3740" s="10" t="s">
        <v>28</v>
      </c>
      <c r="H3740" s="10" t="s">
        <v>28</v>
      </c>
      <c r="I3740" s="11" t="s">
        <v>28</v>
      </c>
      <c r="J3740" s="11" t="s">
        <v>28</v>
      </c>
      <c r="K3740" s="11" t="s">
        <v>28</v>
      </c>
      <c r="L3740" s="11" t="s">
        <v>28</v>
      </c>
      <c r="M3740" s="11" t="s">
        <v>28</v>
      </c>
      <c r="N3740" s="8">
        <v>44562</v>
      </c>
      <c r="O3740" s="9" t="s">
        <v>79</v>
      </c>
      <c r="P3740" s="12" t="s">
        <v>12294</v>
      </c>
      <c r="Q3740" s="9" t="s">
        <v>566</v>
      </c>
      <c r="R3740" s="14" t="str">
        <f>HYPERLINK("https://my.pitchbook.com?c=275926-78T","View Company Online")</f>
        <v>View Company Online</v>
      </c>
    </row>
    <row r="3741" spans="1:18" hidden="1" x14ac:dyDescent="0.3">
      <c r="A3741" s="15" t="s">
        <v>12295</v>
      </c>
      <c r="B3741" s="15" t="s">
        <v>9303</v>
      </c>
      <c r="C3741" s="18" t="s">
        <v>28</v>
      </c>
      <c r="D3741" s="15" t="s">
        <v>9304</v>
      </c>
      <c r="E3741" s="18" t="s">
        <v>28</v>
      </c>
      <c r="F3741" s="19" t="s">
        <v>28</v>
      </c>
      <c r="G3741" s="19">
        <v>0.5</v>
      </c>
      <c r="H3741" s="19" t="s">
        <v>28</v>
      </c>
      <c r="I3741" s="18" t="s">
        <v>28</v>
      </c>
      <c r="J3741" s="18" t="s">
        <v>28</v>
      </c>
      <c r="K3741" s="18" t="s">
        <v>28</v>
      </c>
      <c r="L3741" s="18" t="s">
        <v>28</v>
      </c>
      <c r="M3741" s="18" t="s">
        <v>28</v>
      </c>
      <c r="N3741" s="17">
        <v>44562</v>
      </c>
      <c r="O3741" s="15" t="s">
        <v>52</v>
      </c>
      <c r="P3741" s="16" t="s">
        <v>3944</v>
      </c>
      <c r="Q3741" s="15" t="s">
        <v>37</v>
      </c>
      <c r="R3741" s="13" t="str">
        <f>HYPERLINK("https://my.pitchbook.com?c=266245-57T","View Company Online")</f>
        <v>View Company Online</v>
      </c>
    </row>
    <row r="3742" spans="1:18" hidden="1" x14ac:dyDescent="0.3">
      <c r="A3742" s="9" t="s">
        <v>12296</v>
      </c>
      <c r="B3742" s="9" t="s">
        <v>857</v>
      </c>
      <c r="C3742" s="11" t="s">
        <v>28</v>
      </c>
      <c r="D3742" s="9" t="s">
        <v>858</v>
      </c>
      <c r="E3742" s="11" t="s">
        <v>28</v>
      </c>
      <c r="F3742" s="10" t="s">
        <v>28</v>
      </c>
      <c r="G3742" s="10" t="s">
        <v>28</v>
      </c>
      <c r="H3742" s="10" t="s">
        <v>28</v>
      </c>
      <c r="I3742" s="11" t="s">
        <v>28</v>
      </c>
      <c r="J3742" s="11" t="s">
        <v>28</v>
      </c>
      <c r="K3742" s="11" t="s">
        <v>28</v>
      </c>
      <c r="L3742" s="11" t="s">
        <v>28</v>
      </c>
      <c r="M3742" s="11" t="s">
        <v>28</v>
      </c>
      <c r="N3742" s="8">
        <v>44562</v>
      </c>
      <c r="O3742" s="9" t="s">
        <v>52</v>
      </c>
      <c r="P3742" s="12" t="s">
        <v>1970</v>
      </c>
      <c r="Q3742" s="9" t="s">
        <v>583</v>
      </c>
      <c r="R3742" s="14" t="str">
        <f>HYPERLINK("https://my.pitchbook.com?c=292070-44T","View Company Online")</f>
        <v>View Company Online</v>
      </c>
    </row>
    <row r="3743" spans="1:18" hidden="1" x14ac:dyDescent="0.3">
      <c r="A3743" s="15" t="s">
        <v>12297</v>
      </c>
      <c r="B3743" s="15" t="s">
        <v>12298</v>
      </c>
      <c r="C3743" s="18" t="s">
        <v>28</v>
      </c>
      <c r="D3743" s="15" t="s">
        <v>12299</v>
      </c>
      <c r="E3743" s="18" t="s">
        <v>28</v>
      </c>
      <c r="F3743" s="19" t="s">
        <v>28</v>
      </c>
      <c r="G3743" s="19" t="s">
        <v>28</v>
      </c>
      <c r="H3743" s="19" t="s">
        <v>28</v>
      </c>
      <c r="I3743" s="18" t="s">
        <v>28</v>
      </c>
      <c r="J3743" s="18" t="s">
        <v>28</v>
      </c>
      <c r="K3743" s="18" t="s">
        <v>28</v>
      </c>
      <c r="L3743" s="18" t="s">
        <v>28</v>
      </c>
      <c r="M3743" s="18" t="s">
        <v>28</v>
      </c>
      <c r="N3743" s="17">
        <v>44562</v>
      </c>
      <c r="O3743" s="15" t="s">
        <v>58</v>
      </c>
      <c r="P3743" s="16" t="s">
        <v>28</v>
      </c>
      <c r="Q3743" s="15" t="s">
        <v>1982</v>
      </c>
      <c r="R3743" s="13" t="str">
        <f>HYPERLINK("https://my.pitchbook.com?c=300276-55T","View Company Online")</f>
        <v>View Company Online</v>
      </c>
    </row>
    <row r="3744" spans="1:18" hidden="1" x14ac:dyDescent="0.3">
      <c r="A3744" s="9" t="s">
        <v>12300</v>
      </c>
      <c r="B3744" s="9" t="s">
        <v>4955</v>
      </c>
      <c r="C3744" s="11" t="s">
        <v>28</v>
      </c>
      <c r="D3744" s="9" t="s">
        <v>4956</v>
      </c>
      <c r="E3744" s="11" t="s">
        <v>28</v>
      </c>
      <c r="F3744" s="10" t="s">
        <v>28</v>
      </c>
      <c r="G3744" s="10" t="s">
        <v>28</v>
      </c>
      <c r="H3744" s="10" t="s">
        <v>28</v>
      </c>
      <c r="I3744" s="11" t="s">
        <v>28</v>
      </c>
      <c r="J3744" s="11" t="s">
        <v>28</v>
      </c>
      <c r="K3744" s="11" t="s">
        <v>28</v>
      </c>
      <c r="L3744" s="11" t="s">
        <v>28</v>
      </c>
      <c r="M3744" s="11" t="s">
        <v>28</v>
      </c>
      <c r="N3744" s="8">
        <v>44562</v>
      </c>
      <c r="O3744" s="9" t="s">
        <v>379</v>
      </c>
      <c r="P3744" s="12" t="s">
        <v>28</v>
      </c>
      <c r="Q3744" s="9" t="s">
        <v>386</v>
      </c>
      <c r="R3744" s="14" t="str">
        <f>HYPERLINK("https://my.pitchbook.com?c=241979-77T","View Company Online")</f>
        <v>View Company Online</v>
      </c>
    </row>
    <row r="3745" spans="1:18" hidden="1" x14ac:dyDescent="0.3">
      <c r="A3745" s="15" t="s">
        <v>12301</v>
      </c>
      <c r="B3745" s="15" t="s">
        <v>12302</v>
      </c>
      <c r="C3745" s="18" t="s">
        <v>28</v>
      </c>
      <c r="D3745" s="15" t="s">
        <v>12303</v>
      </c>
      <c r="E3745" s="18" t="s">
        <v>28</v>
      </c>
      <c r="F3745" s="19" t="s">
        <v>28</v>
      </c>
      <c r="G3745" s="19" t="s">
        <v>28</v>
      </c>
      <c r="H3745" s="19" t="s">
        <v>28</v>
      </c>
      <c r="I3745" s="18" t="s">
        <v>28</v>
      </c>
      <c r="J3745" s="18" t="s">
        <v>28</v>
      </c>
      <c r="K3745" s="18" t="s">
        <v>28</v>
      </c>
      <c r="L3745" s="18" t="s">
        <v>28</v>
      </c>
      <c r="M3745" s="18" t="s">
        <v>28</v>
      </c>
      <c r="N3745" s="17">
        <v>44562</v>
      </c>
      <c r="O3745" s="15" t="s">
        <v>79</v>
      </c>
      <c r="P3745" s="16" t="s">
        <v>12304</v>
      </c>
      <c r="Q3745" s="15" t="s">
        <v>404</v>
      </c>
      <c r="R3745" s="13" t="str">
        <f>HYPERLINK("https://my.pitchbook.com?c=215817-58T","View Company Online")</f>
        <v>View Company Online</v>
      </c>
    </row>
    <row r="3746" spans="1:18" hidden="1" x14ac:dyDescent="0.3">
      <c r="A3746" s="9" t="s">
        <v>12305</v>
      </c>
      <c r="B3746" s="9" t="s">
        <v>7820</v>
      </c>
      <c r="C3746" s="11" t="s">
        <v>28</v>
      </c>
      <c r="D3746" s="9" t="s">
        <v>7821</v>
      </c>
      <c r="E3746" s="11" t="s">
        <v>28</v>
      </c>
      <c r="F3746" s="10" t="s">
        <v>28</v>
      </c>
      <c r="G3746" s="10" t="s">
        <v>28</v>
      </c>
      <c r="H3746" s="10" t="s">
        <v>28</v>
      </c>
      <c r="I3746" s="11" t="s">
        <v>28</v>
      </c>
      <c r="J3746" s="11" t="s">
        <v>28</v>
      </c>
      <c r="K3746" s="11" t="s">
        <v>28</v>
      </c>
      <c r="L3746" s="11" t="s">
        <v>28</v>
      </c>
      <c r="M3746" s="11" t="s">
        <v>28</v>
      </c>
      <c r="N3746" s="8">
        <v>44562</v>
      </c>
      <c r="O3746" s="9" t="s">
        <v>52</v>
      </c>
      <c r="P3746" s="12" t="s">
        <v>7823</v>
      </c>
      <c r="Q3746" s="9" t="s">
        <v>75</v>
      </c>
      <c r="R3746" s="14" t="str">
        <f>HYPERLINK("https://my.pitchbook.com?c=295752-52T","View Company Online")</f>
        <v>View Company Online</v>
      </c>
    </row>
    <row r="3747" spans="1:18" hidden="1" x14ac:dyDescent="0.3">
      <c r="A3747" s="15" t="s">
        <v>12306</v>
      </c>
      <c r="B3747" s="15" t="s">
        <v>8877</v>
      </c>
      <c r="C3747" s="18" t="s">
        <v>28</v>
      </c>
      <c r="D3747" s="15" t="s">
        <v>8878</v>
      </c>
      <c r="E3747" s="18" t="s">
        <v>28</v>
      </c>
      <c r="F3747" s="19" t="s">
        <v>28</v>
      </c>
      <c r="G3747" s="19">
        <v>45.96</v>
      </c>
      <c r="H3747" s="19" t="s">
        <v>28</v>
      </c>
      <c r="I3747" s="18" t="s">
        <v>28</v>
      </c>
      <c r="J3747" s="18" t="s">
        <v>28</v>
      </c>
      <c r="K3747" s="18" t="s">
        <v>28</v>
      </c>
      <c r="L3747" s="18" t="s">
        <v>28</v>
      </c>
      <c r="M3747" s="18" t="s">
        <v>28</v>
      </c>
      <c r="N3747" s="17">
        <v>44562</v>
      </c>
      <c r="O3747" s="15" t="s">
        <v>79</v>
      </c>
      <c r="P3747" s="16" t="s">
        <v>12307</v>
      </c>
      <c r="Q3747" s="15" t="s">
        <v>75</v>
      </c>
      <c r="R3747" s="13" t="str">
        <f>HYPERLINK("https://my.pitchbook.com?c=207006-13T","View Company Online")</f>
        <v>View Company Online</v>
      </c>
    </row>
    <row r="3748" spans="1:18" hidden="1" x14ac:dyDescent="0.3">
      <c r="A3748" s="9" t="s">
        <v>12308</v>
      </c>
      <c r="B3748" s="9" t="s">
        <v>12309</v>
      </c>
      <c r="C3748" s="11" t="s">
        <v>28</v>
      </c>
      <c r="D3748" s="9" t="s">
        <v>12310</v>
      </c>
      <c r="E3748" s="11" t="s">
        <v>28</v>
      </c>
      <c r="F3748" s="10" t="s">
        <v>28</v>
      </c>
      <c r="G3748" s="10" t="s">
        <v>28</v>
      </c>
      <c r="H3748" s="10" t="s">
        <v>28</v>
      </c>
      <c r="I3748" s="11" t="s">
        <v>28</v>
      </c>
      <c r="J3748" s="11" t="s">
        <v>28</v>
      </c>
      <c r="K3748" s="11" t="s">
        <v>28</v>
      </c>
      <c r="L3748" s="11" t="s">
        <v>28</v>
      </c>
      <c r="M3748" s="11" t="s">
        <v>28</v>
      </c>
      <c r="N3748" s="8">
        <v>44562</v>
      </c>
      <c r="O3748" s="9" t="s">
        <v>52</v>
      </c>
      <c r="P3748" s="12" t="s">
        <v>2830</v>
      </c>
      <c r="Q3748" s="9" t="s">
        <v>75</v>
      </c>
      <c r="R3748" s="14" t="str">
        <f>HYPERLINK("https://my.pitchbook.com?c=292584-88T","View Company Online")</f>
        <v>View Company Online</v>
      </c>
    </row>
    <row r="3749" spans="1:18" hidden="1" x14ac:dyDescent="0.3">
      <c r="A3749" s="15" t="s">
        <v>12311</v>
      </c>
      <c r="B3749" s="15" t="s">
        <v>12312</v>
      </c>
      <c r="C3749" s="18" t="s">
        <v>28</v>
      </c>
      <c r="D3749" s="15" t="s">
        <v>12313</v>
      </c>
      <c r="E3749" s="18" t="s">
        <v>28</v>
      </c>
      <c r="F3749" s="19" t="s">
        <v>28</v>
      </c>
      <c r="G3749" s="19" t="s">
        <v>28</v>
      </c>
      <c r="H3749" s="19" t="s">
        <v>28</v>
      </c>
      <c r="I3749" s="18" t="s">
        <v>28</v>
      </c>
      <c r="J3749" s="18" t="s">
        <v>28</v>
      </c>
      <c r="K3749" s="18" t="s">
        <v>28</v>
      </c>
      <c r="L3749" s="18" t="s">
        <v>28</v>
      </c>
      <c r="M3749" s="18" t="s">
        <v>28</v>
      </c>
      <c r="N3749" s="17">
        <v>44562</v>
      </c>
      <c r="O3749" s="15" t="s">
        <v>52</v>
      </c>
      <c r="P3749" s="16" t="s">
        <v>2830</v>
      </c>
      <c r="Q3749" s="15" t="s">
        <v>404</v>
      </c>
      <c r="R3749" s="13" t="str">
        <f>HYPERLINK("https://my.pitchbook.com?c=264271-60T","View Company Online")</f>
        <v>View Company Online</v>
      </c>
    </row>
    <row r="3750" spans="1:18" hidden="1" x14ac:dyDescent="0.3">
      <c r="A3750" s="9" t="s">
        <v>12314</v>
      </c>
      <c r="B3750" s="9" t="s">
        <v>12315</v>
      </c>
      <c r="C3750" s="11" t="s">
        <v>28</v>
      </c>
      <c r="D3750" s="9" t="s">
        <v>12316</v>
      </c>
      <c r="E3750" s="11" t="s">
        <v>28</v>
      </c>
      <c r="F3750" s="10" t="s">
        <v>28</v>
      </c>
      <c r="G3750" s="10" t="s">
        <v>28</v>
      </c>
      <c r="H3750" s="10" t="s">
        <v>28</v>
      </c>
      <c r="I3750" s="11" t="s">
        <v>28</v>
      </c>
      <c r="J3750" s="11" t="s">
        <v>28</v>
      </c>
      <c r="K3750" s="11" t="s">
        <v>28</v>
      </c>
      <c r="L3750" s="11" t="s">
        <v>28</v>
      </c>
      <c r="M3750" s="11" t="s">
        <v>28</v>
      </c>
      <c r="N3750" s="8">
        <v>44562</v>
      </c>
      <c r="O3750" s="9" t="s">
        <v>93</v>
      </c>
      <c r="P3750" s="12" t="s">
        <v>10618</v>
      </c>
      <c r="Q3750" s="9" t="s">
        <v>136</v>
      </c>
      <c r="R3750" s="14" t="str">
        <f>HYPERLINK("https://my.pitchbook.com?c=290269-36T","View Company Online")</f>
        <v>View Company Online</v>
      </c>
    </row>
    <row r="3751" spans="1:18" hidden="1" x14ac:dyDescent="0.3">
      <c r="A3751" s="15" t="s">
        <v>12317</v>
      </c>
      <c r="B3751" s="15" t="s">
        <v>5266</v>
      </c>
      <c r="C3751" s="18" t="s">
        <v>28</v>
      </c>
      <c r="D3751" s="15" t="s">
        <v>5267</v>
      </c>
      <c r="E3751" s="18" t="s">
        <v>28</v>
      </c>
      <c r="F3751" s="19" t="s">
        <v>28</v>
      </c>
      <c r="G3751" s="19" t="s">
        <v>28</v>
      </c>
      <c r="H3751" s="19" t="s">
        <v>28</v>
      </c>
      <c r="I3751" s="18" t="s">
        <v>28</v>
      </c>
      <c r="J3751" s="18" t="s">
        <v>28</v>
      </c>
      <c r="K3751" s="18" t="s">
        <v>28</v>
      </c>
      <c r="L3751" s="18" t="s">
        <v>28</v>
      </c>
      <c r="M3751" s="18" t="s">
        <v>28</v>
      </c>
      <c r="N3751" s="17">
        <v>44562</v>
      </c>
      <c r="O3751" s="15" t="s">
        <v>52</v>
      </c>
      <c r="P3751" s="16" t="s">
        <v>2442</v>
      </c>
      <c r="Q3751" s="15" t="s">
        <v>245</v>
      </c>
      <c r="R3751" s="13" t="str">
        <f>HYPERLINK("https://my.pitchbook.com?c=266741-56T","View Company Online")</f>
        <v>View Company Online</v>
      </c>
    </row>
    <row r="3752" spans="1:18" hidden="1" x14ac:dyDescent="0.3">
      <c r="A3752" s="9" t="s">
        <v>12318</v>
      </c>
      <c r="B3752" s="9" t="s">
        <v>7207</v>
      </c>
      <c r="C3752" s="11" t="s">
        <v>28</v>
      </c>
      <c r="D3752" s="9" t="s">
        <v>7208</v>
      </c>
      <c r="E3752" s="11" t="s">
        <v>28</v>
      </c>
      <c r="F3752" s="10" t="s">
        <v>28</v>
      </c>
      <c r="G3752" s="10">
        <v>0.01</v>
      </c>
      <c r="H3752" s="10" t="s">
        <v>28</v>
      </c>
      <c r="I3752" s="11" t="s">
        <v>28</v>
      </c>
      <c r="J3752" s="11" t="s">
        <v>28</v>
      </c>
      <c r="K3752" s="11" t="s">
        <v>28</v>
      </c>
      <c r="L3752" s="11" t="s">
        <v>28</v>
      </c>
      <c r="M3752" s="11" t="s">
        <v>28</v>
      </c>
      <c r="N3752" s="8">
        <v>44562</v>
      </c>
      <c r="O3752" s="9" t="s">
        <v>52</v>
      </c>
      <c r="P3752" s="12" t="s">
        <v>12319</v>
      </c>
      <c r="Q3752" s="9" t="s">
        <v>7209</v>
      </c>
      <c r="R3752" s="14" t="str">
        <f>HYPERLINK("https://my.pitchbook.com?c=270014-32T","View Company Online")</f>
        <v>View Company Online</v>
      </c>
    </row>
    <row r="3753" spans="1:18" hidden="1" x14ac:dyDescent="0.3">
      <c r="A3753" s="15" t="s">
        <v>12320</v>
      </c>
      <c r="B3753" s="15" t="s">
        <v>12321</v>
      </c>
      <c r="C3753" s="18" t="s">
        <v>28</v>
      </c>
      <c r="D3753" s="15" t="s">
        <v>12322</v>
      </c>
      <c r="E3753" s="18" t="s">
        <v>28</v>
      </c>
      <c r="F3753" s="19" t="s">
        <v>28</v>
      </c>
      <c r="G3753" s="19" t="s">
        <v>28</v>
      </c>
      <c r="H3753" s="19" t="s">
        <v>28</v>
      </c>
      <c r="I3753" s="18" t="s">
        <v>28</v>
      </c>
      <c r="J3753" s="18" t="s">
        <v>28</v>
      </c>
      <c r="K3753" s="18" t="s">
        <v>28</v>
      </c>
      <c r="L3753" s="18" t="s">
        <v>28</v>
      </c>
      <c r="M3753" s="18" t="s">
        <v>28</v>
      </c>
      <c r="N3753" s="17">
        <v>44562</v>
      </c>
      <c r="O3753" s="15" t="s">
        <v>52</v>
      </c>
      <c r="P3753" s="16" t="s">
        <v>2830</v>
      </c>
      <c r="Q3753" s="15" t="s">
        <v>75</v>
      </c>
      <c r="R3753" s="13" t="str">
        <f>HYPERLINK("https://my.pitchbook.com?c=292594-33T","View Company Online")</f>
        <v>View Company Online</v>
      </c>
    </row>
    <row r="3754" spans="1:18" hidden="1" x14ac:dyDescent="0.3">
      <c r="A3754" s="9" t="s">
        <v>12323</v>
      </c>
      <c r="B3754" s="9" t="s">
        <v>12324</v>
      </c>
      <c r="C3754" s="11" t="s">
        <v>28</v>
      </c>
      <c r="D3754" s="9" t="s">
        <v>12325</v>
      </c>
      <c r="E3754" s="11" t="s">
        <v>28</v>
      </c>
      <c r="F3754" s="10" t="s">
        <v>28</v>
      </c>
      <c r="G3754" s="10" t="s">
        <v>28</v>
      </c>
      <c r="H3754" s="10" t="s">
        <v>28</v>
      </c>
      <c r="I3754" s="11" t="s">
        <v>28</v>
      </c>
      <c r="J3754" s="11" t="s">
        <v>28</v>
      </c>
      <c r="K3754" s="11" t="s">
        <v>28</v>
      </c>
      <c r="L3754" s="11" t="s">
        <v>28</v>
      </c>
      <c r="M3754" s="11" t="s">
        <v>28</v>
      </c>
      <c r="N3754" s="8">
        <v>44562</v>
      </c>
      <c r="O3754" s="9" t="s">
        <v>52</v>
      </c>
      <c r="P3754" s="12" t="s">
        <v>2830</v>
      </c>
      <c r="Q3754" s="9" t="s">
        <v>75</v>
      </c>
      <c r="R3754" s="14" t="str">
        <f>HYPERLINK("https://my.pitchbook.com?c=292603-42T","View Company Online")</f>
        <v>View Company Online</v>
      </c>
    </row>
    <row r="3755" spans="1:18" hidden="1" x14ac:dyDescent="0.3">
      <c r="A3755" s="15" t="s">
        <v>12326</v>
      </c>
      <c r="B3755" s="15" t="s">
        <v>7889</v>
      </c>
      <c r="C3755" s="18" t="s">
        <v>28</v>
      </c>
      <c r="D3755" s="15" t="s">
        <v>7890</v>
      </c>
      <c r="E3755" s="18" t="s">
        <v>28</v>
      </c>
      <c r="F3755" s="19" t="s">
        <v>28</v>
      </c>
      <c r="G3755" s="19" t="s">
        <v>28</v>
      </c>
      <c r="H3755" s="19" t="s">
        <v>28</v>
      </c>
      <c r="I3755" s="18" t="s">
        <v>28</v>
      </c>
      <c r="J3755" s="18" t="s">
        <v>28</v>
      </c>
      <c r="K3755" s="18" t="s">
        <v>28</v>
      </c>
      <c r="L3755" s="18" t="s">
        <v>28</v>
      </c>
      <c r="M3755" s="18" t="s">
        <v>28</v>
      </c>
      <c r="N3755" s="17">
        <v>44562</v>
      </c>
      <c r="O3755" s="15" t="s">
        <v>52</v>
      </c>
      <c r="P3755" s="16" t="s">
        <v>1970</v>
      </c>
      <c r="Q3755" s="15" t="s">
        <v>75</v>
      </c>
      <c r="R3755" s="13" t="str">
        <f>HYPERLINK("https://my.pitchbook.com?c=265663-81T","View Company Online")</f>
        <v>View Company Online</v>
      </c>
    </row>
    <row r="3756" spans="1:18" hidden="1" x14ac:dyDescent="0.3">
      <c r="A3756" s="9" t="s">
        <v>12327</v>
      </c>
      <c r="B3756" s="9" t="s">
        <v>12328</v>
      </c>
      <c r="C3756" s="11" t="s">
        <v>28</v>
      </c>
      <c r="D3756" s="9" t="s">
        <v>12329</v>
      </c>
      <c r="E3756" s="11" t="s">
        <v>28</v>
      </c>
      <c r="F3756" s="10" t="s">
        <v>28</v>
      </c>
      <c r="G3756" s="10" t="s">
        <v>28</v>
      </c>
      <c r="H3756" s="10" t="s">
        <v>28</v>
      </c>
      <c r="I3756" s="11" t="s">
        <v>28</v>
      </c>
      <c r="J3756" s="11" t="s">
        <v>28</v>
      </c>
      <c r="K3756" s="11" t="s">
        <v>28</v>
      </c>
      <c r="L3756" s="11" t="s">
        <v>28</v>
      </c>
      <c r="M3756" s="11" t="s">
        <v>28</v>
      </c>
      <c r="N3756" s="8">
        <v>44562</v>
      </c>
      <c r="O3756" s="9" t="s">
        <v>52</v>
      </c>
      <c r="P3756" s="12" t="s">
        <v>2442</v>
      </c>
      <c r="Q3756" s="9" t="s">
        <v>54</v>
      </c>
      <c r="R3756" s="14" t="str">
        <f>HYPERLINK("https://my.pitchbook.com?c=260250-31T","View Company Online")</f>
        <v>View Company Online</v>
      </c>
    </row>
    <row r="3757" spans="1:18" hidden="1" x14ac:dyDescent="0.3">
      <c r="A3757" s="15" t="s">
        <v>12330</v>
      </c>
      <c r="B3757" s="15" t="s">
        <v>12331</v>
      </c>
      <c r="C3757" s="18" t="s">
        <v>28</v>
      </c>
      <c r="D3757" s="15" t="s">
        <v>12332</v>
      </c>
      <c r="E3757" s="18" t="s">
        <v>28</v>
      </c>
      <c r="F3757" s="19" t="s">
        <v>28</v>
      </c>
      <c r="G3757" s="19" t="s">
        <v>28</v>
      </c>
      <c r="H3757" s="19" t="s">
        <v>28</v>
      </c>
      <c r="I3757" s="18" t="s">
        <v>28</v>
      </c>
      <c r="J3757" s="18" t="s">
        <v>28</v>
      </c>
      <c r="K3757" s="18" t="s">
        <v>28</v>
      </c>
      <c r="L3757" s="18" t="s">
        <v>28</v>
      </c>
      <c r="M3757" s="18" t="s">
        <v>28</v>
      </c>
      <c r="N3757" s="17">
        <v>44562</v>
      </c>
      <c r="O3757" s="15" t="s">
        <v>52</v>
      </c>
      <c r="P3757" s="16" t="s">
        <v>2830</v>
      </c>
      <c r="Q3757" s="15" t="s">
        <v>75</v>
      </c>
      <c r="R3757" s="13" t="str">
        <f>HYPERLINK("https://my.pitchbook.com?c=266562-28T","View Company Online")</f>
        <v>View Company Online</v>
      </c>
    </row>
    <row r="3758" spans="1:18" hidden="1" x14ac:dyDescent="0.3">
      <c r="A3758" s="9" t="s">
        <v>12333</v>
      </c>
      <c r="B3758" s="9" t="s">
        <v>1347</v>
      </c>
      <c r="C3758" s="11" t="s">
        <v>28</v>
      </c>
      <c r="D3758" s="9" t="s">
        <v>1348</v>
      </c>
      <c r="E3758" s="11" t="s">
        <v>28</v>
      </c>
      <c r="F3758" s="10" t="s">
        <v>28</v>
      </c>
      <c r="G3758" s="10" t="s">
        <v>28</v>
      </c>
      <c r="H3758" s="10" t="s">
        <v>28</v>
      </c>
      <c r="I3758" s="11" t="s">
        <v>28</v>
      </c>
      <c r="J3758" s="11" t="s">
        <v>28</v>
      </c>
      <c r="K3758" s="11" t="s">
        <v>28</v>
      </c>
      <c r="L3758" s="11" t="s">
        <v>28</v>
      </c>
      <c r="M3758" s="11" t="s">
        <v>28</v>
      </c>
      <c r="N3758" s="8">
        <v>44562</v>
      </c>
      <c r="O3758" s="9" t="s">
        <v>52</v>
      </c>
      <c r="P3758" s="12" t="s">
        <v>12334</v>
      </c>
      <c r="Q3758" s="9" t="s">
        <v>583</v>
      </c>
      <c r="R3758" s="14" t="str">
        <f>HYPERLINK("https://my.pitchbook.com?c=220533-40T","View Company Online")</f>
        <v>View Company Online</v>
      </c>
    </row>
    <row r="3759" spans="1:18" hidden="1" x14ac:dyDescent="0.3">
      <c r="A3759" s="15" t="s">
        <v>12335</v>
      </c>
      <c r="B3759" s="15" t="s">
        <v>3877</v>
      </c>
      <c r="C3759" s="18" t="s">
        <v>28</v>
      </c>
      <c r="D3759" s="15" t="s">
        <v>3878</v>
      </c>
      <c r="E3759" s="18" t="s">
        <v>28</v>
      </c>
      <c r="F3759" s="19" t="s">
        <v>28</v>
      </c>
      <c r="G3759" s="19">
        <v>0.35</v>
      </c>
      <c r="H3759" s="19" t="s">
        <v>28</v>
      </c>
      <c r="I3759" s="18" t="s">
        <v>28</v>
      </c>
      <c r="J3759" s="18" t="s">
        <v>28</v>
      </c>
      <c r="K3759" s="18" t="s">
        <v>28</v>
      </c>
      <c r="L3759" s="18" t="s">
        <v>28</v>
      </c>
      <c r="M3759" s="18" t="s">
        <v>28</v>
      </c>
      <c r="N3759" s="17">
        <v>44562</v>
      </c>
      <c r="O3759" s="15" t="s">
        <v>79</v>
      </c>
      <c r="P3759" s="16" t="s">
        <v>12336</v>
      </c>
      <c r="Q3759" s="15" t="s">
        <v>75</v>
      </c>
      <c r="R3759" s="13" t="str">
        <f>HYPERLINK("https://my.pitchbook.com?c=267209-92T","View Company Online")</f>
        <v>View Company Online</v>
      </c>
    </row>
    <row r="3760" spans="1:18" hidden="1" x14ac:dyDescent="0.3">
      <c r="A3760" s="9" t="s">
        <v>12337</v>
      </c>
      <c r="B3760" s="9" t="s">
        <v>12338</v>
      </c>
      <c r="C3760" s="11" t="s">
        <v>28</v>
      </c>
      <c r="D3760" s="9" t="s">
        <v>12339</v>
      </c>
      <c r="E3760" s="11" t="s">
        <v>28</v>
      </c>
      <c r="F3760" s="10" t="s">
        <v>28</v>
      </c>
      <c r="G3760" s="10" t="s">
        <v>28</v>
      </c>
      <c r="H3760" s="10" t="s">
        <v>28</v>
      </c>
      <c r="I3760" s="11" t="s">
        <v>28</v>
      </c>
      <c r="J3760" s="11" t="s">
        <v>28</v>
      </c>
      <c r="K3760" s="11" t="s">
        <v>28</v>
      </c>
      <c r="L3760" s="11" t="s">
        <v>28</v>
      </c>
      <c r="M3760" s="11" t="s">
        <v>28</v>
      </c>
      <c r="N3760" s="8">
        <v>44562</v>
      </c>
      <c r="O3760" s="9" t="s">
        <v>30</v>
      </c>
      <c r="P3760" s="12" t="s">
        <v>694</v>
      </c>
      <c r="Q3760" s="9" t="s">
        <v>114</v>
      </c>
      <c r="R3760" s="14" t="str">
        <f>HYPERLINK("https://my.pitchbook.com?c=235082-71T","View Company Online")</f>
        <v>View Company Online</v>
      </c>
    </row>
    <row r="3761" spans="1:18" hidden="1" x14ac:dyDescent="0.3">
      <c r="A3761" s="15" t="s">
        <v>12340</v>
      </c>
      <c r="B3761" s="15" t="s">
        <v>7520</v>
      </c>
      <c r="C3761" s="18" t="s">
        <v>28</v>
      </c>
      <c r="D3761" s="15" t="s">
        <v>7521</v>
      </c>
      <c r="E3761" s="18" t="s">
        <v>28</v>
      </c>
      <c r="F3761" s="19" t="s">
        <v>28</v>
      </c>
      <c r="G3761" s="19">
        <v>0.5</v>
      </c>
      <c r="H3761" s="19" t="s">
        <v>28</v>
      </c>
      <c r="I3761" s="18" t="s">
        <v>28</v>
      </c>
      <c r="J3761" s="18" t="s">
        <v>28</v>
      </c>
      <c r="K3761" s="18" t="s">
        <v>28</v>
      </c>
      <c r="L3761" s="18" t="s">
        <v>28</v>
      </c>
      <c r="M3761" s="18" t="s">
        <v>28</v>
      </c>
      <c r="N3761" s="17">
        <v>44562</v>
      </c>
      <c r="O3761" s="15" t="s">
        <v>52</v>
      </c>
      <c r="P3761" s="16" t="s">
        <v>3944</v>
      </c>
      <c r="Q3761" s="15" t="s">
        <v>37</v>
      </c>
      <c r="R3761" s="13" t="str">
        <f>HYPERLINK("https://my.pitchbook.com?c=199796-77T","View Company Online")</f>
        <v>View Company Online</v>
      </c>
    </row>
    <row r="3762" spans="1:18" hidden="1" x14ac:dyDescent="0.3">
      <c r="A3762" s="9" t="s">
        <v>12341</v>
      </c>
      <c r="B3762" s="9" t="s">
        <v>12342</v>
      </c>
      <c r="C3762" s="11" t="s">
        <v>28</v>
      </c>
      <c r="D3762" s="9" t="s">
        <v>12343</v>
      </c>
      <c r="E3762" s="11" t="s">
        <v>28</v>
      </c>
      <c r="F3762" s="10" t="s">
        <v>28</v>
      </c>
      <c r="G3762" s="10" t="s">
        <v>28</v>
      </c>
      <c r="H3762" s="10" t="s">
        <v>28</v>
      </c>
      <c r="I3762" s="11" t="s">
        <v>28</v>
      </c>
      <c r="J3762" s="11" t="s">
        <v>28</v>
      </c>
      <c r="K3762" s="11" t="s">
        <v>28</v>
      </c>
      <c r="L3762" s="11" t="s">
        <v>28</v>
      </c>
      <c r="M3762" s="11" t="s">
        <v>28</v>
      </c>
      <c r="N3762" s="8">
        <v>44562</v>
      </c>
      <c r="O3762" s="9" t="s">
        <v>73</v>
      </c>
      <c r="P3762" s="12" t="s">
        <v>123</v>
      </c>
      <c r="Q3762" s="9" t="s">
        <v>114</v>
      </c>
      <c r="R3762" s="14" t="str">
        <f>HYPERLINK("https://my.pitchbook.com?c=205508-35T","View Company Online")</f>
        <v>View Company Online</v>
      </c>
    </row>
    <row r="3763" spans="1:18" hidden="1" x14ac:dyDescent="0.3">
      <c r="A3763" s="15" t="s">
        <v>12344</v>
      </c>
      <c r="B3763" s="15" t="s">
        <v>6562</v>
      </c>
      <c r="C3763" s="18" t="s">
        <v>28</v>
      </c>
      <c r="D3763" s="15" t="s">
        <v>6563</v>
      </c>
      <c r="E3763" s="18" t="s">
        <v>28</v>
      </c>
      <c r="F3763" s="19" t="s">
        <v>28</v>
      </c>
      <c r="G3763" s="19" t="s">
        <v>28</v>
      </c>
      <c r="H3763" s="19" t="s">
        <v>28</v>
      </c>
      <c r="I3763" s="18" t="s">
        <v>28</v>
      </c>
      <c r="J3763" s="18" t="s">
        <v>28</v>
      </c>
      <c r="K3763" s="18" t="s">
        <v>28</v>
      </c>
      <c r="L3763" s="18" t="s">
        <v>28</v>
      </c>
      <c r="M3763" s="18" t="s">
        <v>28</v>
      </c>
      <c r="N3763" s="17">
        <v>44562</v>
      </c>
      <c r="O3763" s="15" t="s">
        <v>52</v>
      </c>
      <c r="P3763" s="16" t="s">
        <v>8261</v>
      </c>
      <c r="Q3763" s="15" t="s">
        <v>75</v>
      </c>
      <c r="R3763" s="13" t="str">
        <f>HYPERLINK("https://my.pitchbook.com?c=297536-95T","View Company Online")</f>
        <v>View Company Online</v>
      </c>
    </row>
    <row r="3764" spans="1:18" hidden="1" x14ac:dyDescent="0.3">
      <c r="A3764" s="9" t="s">
        <v>12345</v>
      </c>
      <c r="B3764" s="9" t="s">
        <v>12346</v>
      </c>
      <c r="C3764" s="11" t="s">
        <v>28</v>
      </c>
      <c r="D3764" s="9" t="s">
        <v>12347</v>
      </c>
      <c r="E3764" s="11" t="s">
        <v>28</v>
      </c>
      <c r="F3764" s="10" t="s">
        <v>28</v>
      </c>
      <c r="G3764" s="10" t="s">
        <v>28</v>
      </c>
      <c r="H3764" s="10" t="s">
        <v>28</v>
      </c>
      <c r="I3764" s="11" t="s">
        <v>28</v>
      </c>
      <c r="J3764" s="11" t="s">
        <v>28</v>
      </c>
      <c r="K3764" s="11" t="s">
        <v>28</v>
      </c>
      <c r="L3764" s="11" t="s">
        <v>28</v>
      </c>
      <c r="M3764" s="11" t="s">
        <v>28</v>
      </c>
      <c r="N3764" s="8">
        <v>44562</v>
      </c>
      <c r="O3764" s="9" t="s">
        <v>99</v>
      </c>
      <c r="P3764" s="12" t="s">
        <v>7354</v>
      </c>
      <c r="Q3764" s="9" t="s">
        <v>307</v>
      </c>
      <c r="R3764" s="14" t="str">
        <f>HYPERLINK("https://my.pitchbook.com?c=216127-45T","View Company Online")</f>
        <v>View Company Online</v>
      </c>
    </row>
    <row r="3765" spans="1:18" hidden="1" x14ac:dyDescent="0.3">
      <c r="A3765" s="15" t="s">
        <v>12348</v>
      </c>
      <c r="B3765" s="15" t="s">
        <v>12349</v>
      </c>
      <c r="C3765" s="18" t="s">
        <v>28</v>
      </c>
      <c r="D3765" s="15" t="s">
        <v>12350</v>
      </c>
      <c r="E3765" s="18" t="s">
        <v>28</v>
      </c>
      <c r="F3765" s="19" t="s">
        <v>28</v>
      </c>
      <c r="G3765" s="19" t="s">
        <v>28</v>
      </c>
      <c r="H3765" s="19" t="s">
        <v>28</v>
      </c>
      <c r="I3765" s="18" t="s">
        <v>28</v>
      </c>
      <c r="J3765" s="18" t="s">
        <v>28</v>
      </c>
      <c r="K3765" s="18" t="s">
        <v>28</v>
      </c>
      <c r="L3765" s="18" t="s">
        <v>28</v>
      </c>
      <c r="M3765" s="18" t="s">
        <v>28</v>
      </c>
      <c r="N3765" s="17">
        <v>44562</v>
      </c>
      <c r="O3765" s="15" t="s">
        <v>379</v>
      </c>
      <c r="P3765" s="16" t="s">
        <v>28</v>
      </c>
      <c r="Q3765" s="15" t="s">
        <v>9051</v>
      </c>
      <c r="R3765" s="13" t="str">
        <f>HYPERLINK("https://my.pitchbook.com?c=241350-85T","View Company Online")</f>
        <v>View Company Online</v>
      </c>
    </row>
    <row r="3766" spans="1:18" hidden="1" x14ac:dyDescent="0.3">
      <c r="A3766" s="9" t="s">
        <v>12351</v>
      </c>
      <c r="B3766" s="9" t="s">
        <v>12352</v>
      </c>
      <c r="C3766" s="11" t="s">
        <v>28</v>
      </c>
      <c r="D3766" s="9" t="s">
        <v>12353</v>
      </c>
      <c r="E3766" s="11" t="s">
        <v>28</v>
      </c>
      <c r="F3766" s="10" t="s">
        <v>28</v>
      </c>
      <c r="G3766" s="10" t="s">
        <v>28</v>
      </c>
      <c r="H3766" s="10" t="s">
        <v>28</v>
      </c>
      <c r="I3766" s="11" t="s">
        <v>28</v>
      </c>
      <c r="J3766" s="11" t="s">
        <v>28</v>
      </c>
      <c r="K3766" s="11" t="s">
        <v>28</v>
      </c>
      <c r="L3766" s="11" t="s">
        <v>28</v>
      </c>
      <c r="M3766" s="11" t="s">
        <v>28</v>
      </c>
      <c r="N3766" s="8">
        <v>44562</v>
      </c>
      <c r="O3766" s="9" t="s">
        <v>79</v>
      </c>
      <c r="P3766" s="12" t="s">
        <v>3000</v>
      </c>
      <c r="Q3766" s="9" t="s">
        <v>583</v>
      </c>
      <c r="R3766" s="14" t="str">
        <f>HYPERLINK("https://my.pitchbook.com?c=244350-82T","View Company Online")</f>
        <v>View Company Online</v>
      </c>
    </row>
    <row r="3767" spans="1:18" hidden="1" x14ac:dyDescent="0.3">
      <c r="A3767" s="15" t="s">
        <v>12354</v>
      </c>
      <c r="B3767" s="15" t="s">
        <v>3732</v>
      </c>
      <c r="C3767" s="18" t="s">
        <v>28</v>
      </c>
      <c r="D3767" s="15" t="s">
        <v>3733</v>
      </c>
      <c r="E3767" s="18" t="s">
        <v>28</v>
      </c>
      <c r="F3767" s="19" t="s">
        <v>28</v>
      </c>
      <c r="G3767" s="19">
        <v>1.33</v>
      </c>
      <c r="H3767" s="19" t="s">
        <v>28</v>
      </c>
      <c r="I3767" s="18" t="s">
        <v>28</v>
      </c>
      <c r="J3767" s="18" t="s">
        <v>28</v>
      </c>
      <c r="K3767" s="18" t="s">
        <v>28</v>
      </c>
      <c r="L3767" s="18" t="s">
        <v>28</v>
      </c>
      <c r="M3767" s="18" t="s">
        <v>28</v>
      </c>
      <c r="N3767" s="17">
        <v>44562</v>
      </c>
      <c r="O3767" s="15" t="s">
        <v>73</v>
      </c>
      <c r="P3767" s="16" t="s">
        <v>12355</v>
      </c>
      <c r="Q3767" s="15" t="s">
        <v>37</v>
      </c>
      <c r="R3767" s="13" t="str">
        <f>HYPERLINK("https://my.pitchbook.com?c=249110-20T","View Company Online")</f>
        <v>View Company Online</v>
      </c>
    </row>
    <row r="3768" spans="1:18" hidden="1" x14ac:dyDescent="0.3">
      <c r="A3768" s="9" t="s">
        <v>12356</v>
      </c>
      <c r="B3768" s="9" t="s">
        <v>12357</v>
      </c>
      <c r="C3768" s="11" t="s">
        <v>28</v>
      </c>
      <c r="D3768" s="9" t="s">
        <v>12358</v>
      </c>
      <c r="E3768" s="11" t="s">
        <v>28</v>
      </c>
      <c r="F3768" s="10" t="s">
        <v>28</v>
      </c>
      <c r="G3768" s="10" t="s">
        <v>28</v>
      </c>
      <c r="H3768" s="10" t="s">
        <v>28</v>
      </c>
      <c r="I3768" s="11" t="s">
        <v>28</v>
      </c>
      <c r="J3768" s="11" t="s">
        <v>28</v>
      </c>
      <c r="K3768" s="11" t="s">
        <v>28</v>
      </c>
      <c r="L3768" s="11" t="s">
        <v>28</v>
      </c>
      <c r="M3768" s="11" t="s">
        <v>28</v>
      </c>
      <c r="N3768" s="8">
        <v>44562</v>
      </c>
      <c r="O3768" s="9" t="s">
        <v>99</v>
      </c>
      <c r="P3768" s="12" t="s">
        <v>12359</v>
      </c>
      <c r="Q3768" s="9" t="s">
        <v>419</v>
      </c>
      <c r="R3768" s="14" t="str">
        <f>HYPERLINK("https://my.pitchbook.com?c=287915-95T","View Company Online")</f>
        <v>View Company Online</v>
      </c>
    </row>
    <row r="3769" spans="1:18" hidden="1" x14ac:dyDescent="0.3">
      <c r="A3769" s="15" t="s">
        <v>12360</v>
      </c>
      <c r="B3769" s="15" t="s">
        <v>9415</v>
      </c>
      <c r="C3769" s="18" t="s">
        <v>28</v>
      </c>
      <c r="D3769" s="15" t="s">
        <v>9416</v>
      </c>
      <c r="E3769" s="18" t="s">
        <v>28</v>
      </c>
      <c r="F3769" s="19" t="s">
        <v>28</v>
      </c>
      <c r="G3769" s="19" t="s">
        <v>28</v>
      </c>
      <c r="H3769" s="19" t="s">
        <v>28</v>
      </c>
      <c r="I3769" s="18" t="s">
        <v>28</v>
      </c>
      <c r="J3769" s="18" t="s">
        <v>28</v>
      </c>
      <c r="K3769" s="18" t="s">
        <v>28</v>
      </c>
      <c r="L3769" s="18" t="s">
        <v>28</v>
      </c>
      <c r="M3769" s="18" t="s">
        <v>28</v>
      </c>
      <c r="N3769" s="17">
        <v>44562</v>
      </c>
      <c r="O3769" s="15" t="s">
        <v>52</v>
      </c>
      <c r="P3769" s="16" t="s">
        <v>2830</v>
      </c>
      <c r="Q3769" s="15" t="s">
        <v>75</v>
      </c>
      <c r="R3769" s="13" t="str">
        <f>HYPERLINK("https://my.pitchbook.com?c=264269-08T","View Company Online")</f>
        <v>View Company Online</v>
      </c>
    </row>
    <row r="3770" spans="1:18" hidden="1" x14ac:dyDescent="0.3">
      <c r="A3770" s="9" t="s">
        <v>12361</v>
      </c>
      <c r="B3770" s="9" t="s">
        <v>1984</v>
      </c>
      <c r="C3770" s="11" t="s">
        <v>28</v>
      </c>
      <c r="D3770" s="9" t="s">
        <v>1985</v>
      </c>
      <c r="E3770" s="11" t="s">
        <v>28</v>
      </c>
      <c r="F3770" s="10" t="s">
        <v>28</v>
      </c>
      <c r="G3770" s="10" t="s">
        <v>28</v>
      </c>
      <c r="H3770" s="10" t="s">
        <v>28</v>
      </c>
      <c r="I3770" s="11" t="s">
        <v>28</v>
      </c>
      <c r="J3770" s="11" t="s">
        <v>28</v>
      </c>
      <c r="K3770" s="11">
        <v>0.18</v>
      </c>
      <c r="L3770" s="11" t="s">
        <v>28</v>
      </c>
      <c r="M3770" s="11" t="s">
        <v>28</v>
      </c>
      <c r="N3770" s="8">
        <v>44562</v>
      </c>
      <c r="O3770" s="9" t="s">
        <v>52</v>
      </c>
      <c r="P3770" s="12" t="s">
        <v>12362</v>
      </c>
      <c r="Q3770" s="9" t="s">
        <v>75</v>
      </c>
      <c r="R3770" s="14" t="str">
        <f>HYPERLINK("https://my.pitchbook.com?c=284319-28T","View Company Online")</f>
        <v>View Company Online</v>
      </c>
    </row>
    <row r="3771" spans="1:18" hidden="1" x14ac:dyDescent="0.3">
      <c r="A3771" s="15" t="s">
        <v>12363</v>
      </c>
      <c r="B3771" s="15" t="s">
        <v>4795</v>
      </c>
      <c r="C3771" s="18" t="s">
        <v>28</v>
      </c>
      <c r="D3771" s="15" t="s">
        <v>4796</v>
      </c>
      <c r="E3771" s="18" t="s">
        <v>28</v>
      </c>
      <c r="F3771" s="19" t="s">
        <v>28</v>
      </c>
      <c r="G3771" s="19">
        <v>0.21</v>
      </c>
      <c r="H3771" s="19" t="s">
        <v>28</v>
      </c>
      <c r="I3771" s="18" t="s">
        <v>28</v>
      </c>
      <c r="J3771" s="18" t="s">
        <v>28</v>
      </c>
      <c r="K3771" s="18" t="s">
        <v>28</v>
      </c>
      <c r="L3771" s="18" t="s">
        <v>28</v>
      </c>
      <c r="M3771" s="18" t="s">
        <v>28</v>
      </c>
      <c r="N3771" s="17">
        <v>44562</v>
      </c>
      <c r="O3771" s="15" t="s">
        <v>379</v>
      </c>
      <c r="P3771" s="16" t="s">
        <v>28</v>
      </c>
      <c r="Q3771" s="15" t="s">
        <v>316</v>
      </c>
      <c r="R3771" s="13" t="str">
        <f>HYPERLINK("https://my.pitchbook.com?c=223274-98T","View Company Online")</f>
        <v>View Company Online</v>
      </c>
    </row>
    <row r="3772" spans="1:18" hidden="1" x14ac:dyDescent="0.3">
      <c r="A3772" s="9" t="s">
        <v>12364</v>
      </c>
      <c r="B3772" s="9" t="s">
        <v>12365</v>
      </c>
      <c r="C3772" s="11" t="s">
        <v>28</v>
      </c>
      <c r="D3772" s="9" t="s">
        <v>12366</v>
      </c>
      <c r="E3772" s="11" t="s">
        <v>28</v>
      </c>
      <c r="F3772" s="10" t="s">
        <v>28</v>
      </c>
      <c r="G3772" s="10">
        <v>1.41</v>
      </c>
      <c r="H3772" s="10" t="s">
        <v>28</v>
      </c>
      <c r="I3772" s="11" t="s">
        <v>28</v>
      </c>
      <c r="J3772" s="11" t="s">
        <v>28</v>
      </c>
      <c r="K3772" s="11" t="s">
        <v>28</v>
      </c>
      <c r="L3772" s="11" t="s">
        <v>28</v>
      </c>
      <c r="M3772" s="11" t="s">
        <v>28</v>
      </c>
      <c r="N3772" s="8">
        <v>44562</v>
      </c>
      <c r="O3772" s="9" t="s">
        <v>99</v>
      </c>
      <c r="P3772" s="12" t="s">
        <v>12367</v>
      </c>
      <c r="Q3772" s="9" t="s">
        <v>119</v>
      </c>
      <c r="R3772" s="14" t="str">
        <f>HYPERLINK("https://my.pitchbook.com?c=294822-10T","View Company Online")</f>
        <v>View Company Online</v>
      </c>
    </row>
    <row r="3773" spans="1:18" hidden="1" x14ac:dyDescent="0.3">
      <c r="A3773" s="15" t="s">
        <v>12368</v>
      </c>
      <c r="B3773" s="15" t="s">
        <v>12369</v>
      </c>
      <c r="C3773" s="18" t="s">
        <v>28</v>
      </c>
      <c r="D3773" s="15" t="s">
        <v>12370</v>
      </c>
      <c r="E3773" s="18" t="s">
        <v>28</v>
      </c>
      <c r="F3773" s="19" t="s">
        <v>28</v>
      </c>
      <c r="G3773" s="19" t="s">
        <v>28</v>
      </c>
      <c r="H3773" s="19" t="s">
        <v>28</v>
      </c>
      <c r="I3773" s="18" t="s">
        <v>28</v>
      </c>
      <c r="J3773" s="18" t="s">
        <v>28</v>
      </c>
      <c r="K3773" s="18" t="s">
        <v>28</v>
      </c>
      <c r="L3773" s="18" t="s">
        <v>28</v>
      </c>
      <c r="M3773" s="18" t="s">
        <v>28</v>
      </c>
      <c r="N3773" s="17">
        <v>44562</v>
      </c>
      <c r="O3773" s="15" t="s">
        <v>379</v>
      </c>
      <c r="P3773" s="16" t="s">
        <v>12371</v>
      </c>
      <c r="Q3773" s="15" t="s">
        <v>75</v>
      </c>
      <c r="R3773" s="13" t="str">
        <f>HYPERLINK("https://my.pitchbook.com?c=275109-04T","View Company Online")</f>
        <v>View Company Online</v>
      </c>
    </row>
    <row r="3774" spans="1:18" hidden="1" x14ac:dyDescent="0.3">
      <c r="A3774" s="9" t="s">
        <v>12372</v>
      </c>
      <c r="B3774" s="9" t="s">
        <v>7286</v>
      </c>
      <c r="C3774" s="11" t="s">
        <v>28</v>
      </c>
      <c r="D3774" s="9" t="s">
        <v>7287</v>
      </c>
      <c r="E3774" s="11" t="s">
        <v>28</v>
      </c>
      <c r="F3774" s="10" t="s">
        <v>28</v>
      </c>
      <c r="G3774" s="10" t="s">
        <v>28</v>
      </c>
      <c r="H3774" s="10" t="s">
        <v>28</v>
      </c>
      <c r="I3774" s="11" t="s">
        <v>28</v>
      </c>
      <c r="J3774" s="11" t="s">
        <v>28</v>
      </c>
      <c r="K3774" s="11" t="s">
        <v>28</v>
      </c>
      <c r="L3774" s="11" t="s">
        <v>28</v>
      </c>
      <c r="M3774" s="11" t="s">
        <v>28</v>
      </c>
      <c r="N3774" s="8">
        <v>44562</v>
      </c>
      <c r="O3774" s="9" t="s">
        <v>99</v>
      </c>
      <c r="P3774" s="12" t="s">
        <v>4268</v>
      </c>
      <c r="Q3774" s="9" t="s">
        <v>119</v>
      </c>
      <c r="R3774" s="14" t="str">
        <f>HYPERLINK("https://my.pitchbook.com?c=200070-37T","View Company Online")</f>
        <v>View Company Online</v>
      </c>
    </row>
    <row r="3775" spans="1:18" hidden="1" x14ac:dyDescent="0.3">
      <c r="A3775" s="15" t="s">
        <v>12373</v>
      </c>
      <c r="B3775" s="15" t="s">
        <v>12374</v>
      </c>
      <c r="C3775" s="18" t="s">
        <v>28</v>
      </c>
      <c r="D3775" s="15" t="s">
        <v>12375</v>
      </c>
      <c r="E3775" s="18" t="s">
        <v>28</v>
      </c>
      <c r="F3775" s="19" t="s">
        <v>28</v>
      </c>
      <c r="G3775" s="19" t="s">
        <v>28</v>
      </c>
      <c r="H3775" s="19" t="s">
        <v>28</v>
      </c>
      <c r="I3775" s="18" t="s">
        <v>28</v>
      </c>
      <c r="J3775" s="18" t="s">
        <v>28</v>
      </c>
      <c r="K3775" s="18" t="s">
        <v>28</v>
      </c>
      <c r="L3775" s="18" t="s">
        <v>28</v>
      </c>
      <c r="M3775" s="18" t="s">
        <v>28</v>
      </c>
      <c r="N3775" s="17">
        <v>44562</v>
      </c>
      <c r="O3775" s="15" t="s">
        <v>30</v>
      </c>
      <c r="P3775" s="16" t="s">
        <v>12376</v>
      </c>
      <c r="Q3775" s="15" t="s">
        <v>566</v>
      </c>
      <c r="R3775" s="13" t="str">
        <f>HYPERLINK("https://my.pitchbook.com?c=233116-39T","View Company Online")</f>
        <v>View Company Online</v>
      </c>
    </row>
    <row r="3776" spans="1:18" hidden="1" x14ac:dyDescent="0.3">
      <c r="A3776" s="9" t="s">
        <v>12377</v>
      </c>
      <c r="B3776" s="9" t="s">
        <v>9192</v>
      </c>
      <c r="C3776" s="11" t="s">
        <v>28</v>
      </c>
      <c r="D3776" s="9" t="s">
        <v>9193</v>
      </c>
      <c r="E3776" s="11" t="s">
        <v>28</v>
      </c>
      <c r="F3776" s="10" t="s">
        <v>28</v>
      </c>
      <c r="G3776" s="10" t="s">
        <v>28</v>
      </c>
      <c r="H3776" s="10" t="s">
        <v>28</v>
      </c>
      <c r="I3776" s="11" t="s">
        <v>28</v>
      </c>
      <c r="J3776" s="11" t="s">
        <v>28</v>
      </c>
      <c r="K3776" s="11" t="s">
        <v>28</v>
      </c>
      <c r="L3776" s="11" t="s">
        <v>28</v>
      </c>
      <c r="M3776" s="11" t="s">
        <v>28</v>
      </c>
      <c r="N3776" s="8">
        <v>44562</v>
      </c>
      <c r="O3776" s="9" t="s">
        <v>52</v>
      </c>
      <c r="P3776" s="12" t="s">
        <v>2442</v>
      </c>
      <c r="Q3776" s="9" t="s">
        <v>1336</v>
      </c>
      <c r="R3776" s="14" t="str">
        <f>HYPERLINK("https://my.pitchbook.com?c=261373-15T","View Company Online")</f>
        <v>View Company Online</v>
      </c>
    </row>
    <row r="3777" spans="1:18" hidden="1" x14ac:dyDescent="0.3">
      <c r="A3777" s="15" t="s">
        <v>12378</v>
      </c>
      <c r="B3777" s="15" t="s">
        <v>1739</v>
      </c>
      <c r="C3777" s="18" t="s">
        <v>28</v>
      </c>
      <c r="D3777" s="15" t="s">
        <v>1740</v>
      </c>
      <c r="E3777" s="18" t="s">
        <v>28</v>
      </c>
      <c r="F3777" s="19" t="s">
        <v>28</v>
      </c>
      <c r="G3777" s="19" t="s">
        <v>28</v>
      </c>
      <c r="H3777" s="19" t="s">
        <v>28</v>
      </c>
      <c r="I3777" s="18" t="s">
        <v>28</v>
      </c>
      <c r="J3777" s="18" t="s">
        <v>28</v>
      </c>
      <c r="K3777" s="18">
        <v>0.81</v>
      </c>
      <c r="L3777" s="18" t="s">
        <v>28</v>
      </c>
      <c r="M3777" s="18" t="s">
        <v>28</v>
      </c>
      <c r="N3777" s="17">
        <v>44562</v>
      </c>
      <c r="O3777" s="15" t="s">
        <v>58</v>
      </c>
      <c r="P3777" s="16" t="s">
        <v>12379</v>
      </c>
      <c r="Q3777" s="15" t="s">
        <v>880</v>
      </c>
      <c r="R3777" s="13" t="str">
        <f>HYPERLINK("https://my.pitchbook.com?c=268522-66T","View Company Online")</f>
        <v>View Company Online</v>
      </c>
    </row>
    <row r="3778" spans="1:18" hidden="1" x14ac:dyDescent="0.3">
      <c r="A3778" s="9" t="s">
        <v>12380</v>
      </c>
      <c r="B3778" s="9" t="s">
        <v>12381</v>
      </c>
      <c r="C3778" s="11" t="s">
        <v>28</v>
      </c>
      <c r="D3778" s="9" t="s">
        <v>12382</v>
      </c>
      <c r="E3778" s="11" t="s">
        <v>28</v>
      </c>
      <c r="F3778" s="10" t="s">
        <v>28</v>
      </c>
      <c r="G3778" s="10" t="s">
        <v>28</v>
      </c>
      <c r="H3778" s="10" t="s">
        <v>28</v>
      </c>
      <c r="I3778" s="11" t="s">
        <v>28</v>
      </c>
      <c r="J3778" s="11" t="s">
        <v>28</v>
      </c>
      <c r="K3778" s="11" t="s">
        <v>28</v>
      </c>
      <c r="L3778" s="11" t="s">
        <v>28</v>
      </c>
      <c r="M3778" s="11" t="s">
        <v>28</v>
      </c>
      <c r="N3778" s="8">
        <v>44562</v>
      </c>
      <c r="O3778" s="9" t="s">
        <v>30</v>
      </c>
      <c r="P3778" s="12" t="s">
        <v>6375</v>
      </c>
      <c r="Q3778" s="9" t="s">
        <v>449</v>
      </c>
      <c r="R3778" s="14" t="str">
        <f>HYPERLINK("https://my.pitchbook.com?c=233760-52T","View Company Online")</f>
        <v>View Company Online</v>
      </c>
    </row>
    <row r="3779" spans="1:18" hidden="1" x14ac:dyDescent="0.3">
      <c r="A3779" s="15" t="s">
        <v>12383</v>
      </c>
      <c r="B3779" s="15" t="s">
        <v>12384</v>
      </c>
      <c r="C3779" s="18" t="s">
        <v>28</v>
      </c>
      <c r="D3779" s="15" t="s">
        <v>12385</v>
      </c>
      <c r="E3779" s="18" t="s">
        <v>28</v>
      </c>
      <c r="F3779" s="19" t="s">
        <v>28</v>
      </c>
      <c r="G3779" s="19" t="s">
        <v>28</v>
      </c>
      <c r="H3779" s="19" t="s">
        <v>28</v>
      </c>
      <c r="I3779" s="18" t="s">
        <v>28</v>
      </c>
      <c r="J3779" s="18" t="s">
        <v>28</v>
      </c>
      <c r="K3779" s="18" t="s">
        <v>28</v>
      </c>
      <c r="L3779" s="18" t="s">
        <v>28</v>
      </c>
      <c r="M3779" s="18" t="s">
        <v>28</v>
      </c>
      <c r="N3779" s="17">
        <v>44562</v>
      </c>
      <c r="O3779" s="15" t="s">
        <v>79</v>
      </c>
      <c r="P3779" s="16" t="s">
        <v>10767</v>
      </c>
      <c r="Q3779" s="15" t="s">
        <v>75</v>
      </c>
      <c r="R3779" s="13" t="str">
        <f>HYPERLINK("https://my.pitchbook.com?c=194723-20T","View Company Online")</f>
        <v>View Company Online</v>
      </c>
    </row>
    <row r="3780" spans="1:18" hidden="1" x14ac:dyDescent="0.3">
      <c r="A3780" s="9" t="s">
        <v>12386</v>
      </c>
      <c r="B3780" s="9" t="s">
        <v>12387</v>
      </c>
      <c r="C3780" s="11" t="s">
        <v>28</v>
      </c>
      <c r="D3780" s="9" t="s">
        <v>12388</v>
      </c>
      <c r="E3780" s="11" t="s">
        <v>28</v>
      </c>
      <c r="F3780" s="10" t="s">
        <v>28</v>
      </c>
      <c r="G3780" s="10">
        <v>115</v>
      </c>
      <c r="H3780" s="10" t="s">
        <v>28</v>
      </c>
      <c r="I3780" s="11" t="s">
        <v>28</v>
      </c>
      <c r="J3780" s="11" t="s">
        <v>28</v>
      </c>
      <c r="K3780" s="11">
        <v>47.47</v>
      </c>
      <c r="L3780" s="11" t="s">
        <v>28</v>
      </c>
      <c r="M3780" s="11" t="s">
        <v>28</v>
      </c>
      <c r="N3780" s="8">
        <v>44562</v>
      </c>
      <c r="O3780" s="9" t="s">
        <v>79</v>
      </c>
      <c r="P3780" s="12" t="s">
        <v>12389</v>
      </c>
      <c r="Q3780" s="9" t="s">
        <v>696</v>
      </c>
      <c r="R3780" s="14" t="str">
        <f>HYPERLINK("https://my.pitchbook.com?c=185178-07T","View Company Online")</f>
        <v>View Company Online</v>
      </c>
    </row>
    <row r="3781" spans="1:18" hidden="1" x14ac:dyDescent="0.3">
      <c r="A3781" s="15" t="s">
        <v>12390</v>
      </c>
      <c r="B3781" s="15" t="s">
        <v>12391</v>
      </c>
      <c r="C3781" s="18" t="s">
        <v>28</v>
      </c>
      <c r="D3781" s="15" t="s">
        <v>12392</v>
      </c>
      <c r="E3781" s="18" t="s">
        <v>28</v>
      </c>
      <c r="F3781" s="19" t="s">
        <v>28</v>
      </c>
      <c r="G3781" s="19">
        <v>5.3</v>
      </c>
      <c r="H3781" s="19" t="s">
        <v>28</v>
      </c>
      <c r="I3781" s="18" t="s">
        <v>28</v>
      </c>
      <c r="J3781" s="18" t="s">
        <v>28</v>
      </c>
      <c r="K3781" s="18" t="s">
        <v>28</v>
      </c>
      <c r="L3781" s="18" t="s">
        <v>28</v>
      </c>
      <c r="M3781" s="18" t="s">
        <v>28</v>
      </c>
      <c r="N3781" s="17">
        <v>44562</v>
      </c>
      <c r="O3781" s="15" t="s">
        <v>73</v>
      </c>
      <c r="P3781" s="16" t="s">
        <v>12393</v>
      </c>
      <c r="Q3781" s="15" t="s">
        <v>37</v>
      </c>
      <c r="R3781" s="13" t="str">
        <f>HYPERLINK("https://my.pitchbook.com?c=213010-84T","View Company Online")</f>
        <v>View Company Online</v>
      </c>
    </row>
    <row r="3782" spans="1:18" hidden="1" x14ac:dyDescent="0.3">
      <c r="A3782" s="9" t="s">
        <v>12394</v>
      </c>
      <c r="B3782" s="9" t="s">
        <v>12395</v>
      </c>
      <c r="C3782" s="11" t="s">
        <v>28</v>
      </c>
      <c r="D3782" s="9" t="s">
        <v>12396</v>
      </c>
      <c r="E3782" s="11" t="s">
        <v>28</v>
      </c>
      <c r="F3782" s="10" t="s">
        <v>28</v>
      </c>
      <c r="G3782" s="10" t="s">
        <v>28</v>
      </c>
      <c r="H3782" s="10" t="s">
        <v>28</v>
      </c>
      <c r="I3782" s="11" t="s">
        <v>28</v>
      </c>
      <c r="J3782" s="11" t="s">
        <v>28</v>
      </c>
      <c r="K3782" s="11" t="s">
        <v>28</v>
      </c>
      <c r="L3782" s="11" t="s">
        <v>28</v>
      </c>
      <c r="M3782" s="11" t="s">
        <v>28</v>
      </c>
      <c r="N3782" s="8">
        <v>44562</v>
      </c>
      <c r="O3782" s="9" t="s">
        <v>52</v>
      </c>
      <c r="P3782" s="12" t="s">
        <v>1970</v>
      </c>
      <c r="Q3782" s="9" t="s">
        <v>285</v>
      </c>
      <c r="R3782" s="14" t="str">
        <f>HYPERLINK("https://my.pitchbook.com?c=292076-65T","View Company Online")</f>
        <v>View Company Online</v>
      </c>
    </row>
    <row r="3783" spans="1:18" hidden="1" x14ac:dyDescent="0.3">
      <c r="A3783" s="15" t="s">
        <v>12397</v>
      </c>
      <c r="B3783" s="15" t="s">
        <v>11025</v>
      </c>
      <c r="C3783" s="18" t="s">
        <v>28</v>
      </c>
      <c r="D3783" s="15" t="s">
        <v>11026</v>
      </c>
      <c r="E3783" s="18" t="s">
        <v>28</v>
      </c>
      <c r="F3783" s="19" t="s">
        <v>28</v>
      </c>
      <c r="G3783" s="19" t="s">
        <v>28</v>
      </c>
      <c r="H3783" s="19" t="s">
        <v>28</v>
      </c>
      <c r="I3783" s="18" t="s">
        <v>28</v>
      </c>
      <c r="J3783" s="18" t="s">
        <v>28</v>
      </c>
      <c r="K3783" s="18" t="s">
        <v>28</v>
      </c>
      <c r="L3783" s="18" t="s">
        <v>28</v>
      </c>
      <c r="M3783" s="18" t="s">
        <v>28</v>
      </c>
      <c r="N3783" s="17">
        <v>44562</v>
      </c>
      <c r="O3783" s="15" t="s">
        <v>52</v>
      </c>
      <c r="P3783" s="16" t="s">
        <v>8008</v>
      </c>
      <c r="Q3783" s="15" t="s">
        <v>75</v>
      </c>
      <c r="R3783" s="13" t="str">
        <f>HYPERLINK("https://my.pitchbook.com?c=288317-44T","View Company Online")</f>
        <v>View Company Online</v>
      </c>
    </row>
    <row r="3784" spans="1:18" hidden="1" x14ac:dyDescent="0.3">
      <c r="A3784" s="9" t="s">
        <v>12398</v>
      </c>
      <c r="B3784" s="9" t="s">
        <v>12399</v>
      </c>
      <c r="C3784" s="11" t="s">
        <v>28</v>
      </c>
      <c r="D3784" s="9" t="s">
        <v>12400</v>
      </c>
      <c r="E3784" s="11" t="s">
        <v>28</v>
      </c>
      <c r="F3784" s="10" t="s">
        <v>28</v>
      </c>
      <c r="G3784" s="10" t="s">
        <v>28</v>
      </c>
      <c r="H3784" s="10" t="s">
        <v>28</v>
      </c>
      <c r="I3784" s="11" t="s">
        <v>28</v>
      </c>
      <c r="J3784" s="11" t="s">
        <v>28</v>
      </c>
      <c r="K3784" s="11" t="s">
        <v>28</v>
      </c>
      <c r="L3784" s="11" t="s">
        <v>28</v>
      </c>
      <c r="M3784" s="11" t="s">
        <v>28</v>
      </c>
      <c r="N3784" s="8">
        <v>44562</v>
      </c>
      <c r="O3784" s="9" t="s">
        <v>79</v>
      </c>
      <c r="P3784" s="12" t="s">
        <v>3825</v>
      </c>
      <c r="Q3784" s="9" t="s">
        <v>95</v>
      </c>
      <c r="R3784" s="14" t="str">
        <f>HYPERLINK("https://my.pitchbook.com?c=216118-45T","View Company Online")</f>
        <v>View Company Online</v>
      </c>
    </row>
    <row r="3785" spans="1:18" hidden="1" x14ac:dyDescent="0.3">
      <c r="A3785" s="15" t="s">
        <v>12401</v>
      </c>
      <c r="B3785" s="15" t="s">
        <v>12402</v>
      </c>
      <c r="C3785" s="18" t="s">
        <v>28</v>
      </c>
      <c r="D3785" s="15" t="s">
        <v>12403</v>
      </c>
      <c r="E3785" s="18" t="s">
        <v>28</v>
      </c>
      <c r="F3785" s="19" t="s">
        <v>28</v>
      </c>
      <c r="G3785" s="19" t="s">
        <v>28</v>
      </c>
      <c r="H3785" s="19" t="s">
        <v>28</v>
      </c>
      <c r="I3785" s="18" t="s">
        <v>28</v>
      </c>
      <c r="J3785" s="18" t="s">
        <v>28</v>
      </c>
      <c r="K3785" s="18" t="s">
        <v>28</v>
      </c>
      <c r="L3785" s="18" t="s">
        <v>28</v>
      </c>
      <c r="M3785" s="18" t="s">
        <v>28</v>
      </c>
      <c r="N3785" s="17">
        <v>44562</v>
      </c>
      <c r="O3785" s="15" t="s">
        <v>79</v>
      </c>
      <c r="P3785" s="16" t="s">
        <v>12404</v>
      </c>
      <c r="Q3785" s="15" t="s">
        <v>43</v>
      </c>
      <c r="R3785" s="13" t="str">
        <f>HYPERLINK("https://my.pitchbook.com?c=221096-17T","View Company Online")</f>
        <v>View Company Online</v>
      </c>
    </row>
    <row r="3786" spans="1:18" hidden="1" x14ac:dyDescent="0.3">
      <c r="A3786" s="9" t="s">
        <v>12405</v>
      </c>
      <c r="B3786" s="9" t="s">
        <v>12406</v>
      </c>
      <c r="C3786" s="11" t="s">
        <v>28</v>
      </c>
      <c r="D3786" s="9" t="s">
        <v>12407</v>
      </c>
      <c r="E3786" s="11" t="s">
        <v>28</v>
      </c>
      <c r="F3786" s="10" t="s">
        <v>28</v>
      </c>
      <c r="G3786" s="10">
        <v>0.27</v>
      </c>
      <c r="H3786" s="10" t="s">
        <v>28</v>
      </c>
      <c r="I3786" s="11" t="s">
        <v>28</v>
      </c>
      <c r="J3786" s="11" t="s">
        <v>28</v>
      </c>
      <c r="K3786" s="11" t="s">
        <v>28</v>
      </c>
      <c r="L3786" s="11" t="s">
        <v>28</v>
      </c>
      <c r="M3786" s="11" t="s">
        <v>28</v>
      </c>
      <c r="N3786" s="8">
        <v>44562</v>
      </c>
      <c r="O3786" s="9" t="s">
        <v>79</v>
      </c>
      <c r="P3786" s="12" t="s">
        <v>12408</v>
      </c>
      <c r="Q3786" s="9" t="s">
        <v>75</v>
      </c>
      <c r="R3786" s="14" t="str">
        <f>HYPERLINK("https://my.pitchbook.com?c=289403-11T","View Company Online")</f>
        <v>View Company Online</v>
      </c>
    </row>
    <row r="3787" spans="1:18" hidden="1" x14ac:dyDescent="0.3">
      <c r="A3787" s="15" t="s">
        <v>12409</v>
      </c>
      <c r="B3787" s="15" t="s">
        <v>12410</v>
      </c>
      <c r="C3787" s="18" t="s">
        <v>28</v>
      </c>
      <c r="D3787" s="15" t="s">
        <v>12411</v>
      </c>
      <c r="E3787" s="18" t="s">
        <v>28</v>
      </c>
      <c r="F3787" s="19" t="s">
        <v>28</v>
      </c>
      <c r="G3787" s="19" t="s">
        <v>28</v>
      </c>
      <c r="H3787" s="19" t="s">
        <v>28</v>
      </c>
      <c r="I3787" s="18" t="s">
        <v>28</v>
      </c>
      <c r="J3787" s="18" t="s">
        <v>28</v>
      </c>
      <c r="K3787" s="18" t="s">
        <v>28</v>
      </c>
      <c r="L3787" s="18" t="s">
        <v>28</v>
      </c>
      <c r="M3787" s="18" t="s">
        <v>28</v>
      </c>
      <c r="N3787" s="17">
        <v>44562</v>
      </c>
      <c r="O3787" s="15" t="s">
        <v>52</v>
      </c>
      <c r="P3787" s="16" t="s">
        <v>2830</v>
      </c>
      <c r="Q3787" s="15" t="s">
        <v>371</v>
      </c>
      <c r="R3787" s="13" t="str">
        <f>HYPERLINK("https://my.pitchbook.com?c=292596-31T","View Company Online")</f>
        <v>View Company Online</v>
      </c>
    </row>
    <row r="3788" spans="1:18" hidden="1" x14ac:dyDescent="0.3">
      <c r="A3788" s="9" t="s">
        <v>12412</v>
      </c>
      <c r="B3788" s="9" t="s">
        <v>12413</v>
      </c>
      <c r="C3788" s="11" t="s">
        <v>28</v>
      </c>
      <c r="D3788" s="9" t="s">
        <v>12414</v>
      </c>
      <c r="E3788" s="11" t="s">
        <v>28</v>
      </c>
      <c r="F3788" s="10" t="s">
        <v>28</v>
      </c>
      <c r="G3788" s="10">
        <v>3</v>
      </c>
      <c r="H3788" s="10" t="s">
        <v>28</v>
      </c>
      <c r="I3788" s="11" t="s">
        <v>28</v>
      </c>
      <c r="J3788" s="11" t="s">
        <v>28</v>
      </c>
      <c r="K3788" s="11" t="s">
        <v>28</v>
      </c>
      <c r="L3788" s="11" t="s">
        <v>28</v>
      </c>
      <c r="M3788" s="11" t="s">
        <v>28</v>
      </c>
      <c r="N3788" s="8">
        <v>44562</v>
      </c>
      <c r="O3788" s="9" t="s">
        <v>79</v>
      </c>
      <c r="P3788" s="12" t="s">
        <v>12415</v>
      </c>
      <c r="Q3788" s="9" t="s">
        <v>75</v>
      </c>
      <c r="R3788" s="14" t="str">
        <f>HYPERLINK("https://my.pitchbook.com?c=198837-55T","View Company Online")</f>
        <v>View Company Online</v>
      </c>
    </row>
    <row r="3789" spans="1:18" hidden="1" x14ac:dyDescent="0.3">
      <c r="A3789" s="15" t="s">
        <v>12416</v>
      </c>
      <c r="B3789" s="15" t="s">
        <v>12417</v>
      </c>
      <c r="C3789" s="18" t="s">
        <v>28</v>
      </c>
      <c r="D3789" s="15" t="s">
        <v>12418</v>
      </c>
      <c r="E3789" s="18" t="s">
        <v>28</v>
      </c>
      <c r="F3789" s="19" t="s">
        <v>28</v>
      </c>
      <c r="G3789" s="19" t="s">
        <v>28</v>
      </c>
      <c r="H3789" s="19" t="s">
        <v>28</v>
      </c>
      <c r="I3789" s="18" t="s">
        <v>28</v>
      </c>
      <c r="J3789" s="18" t="s">
        <v>28</v>
      </c>
      <c r="K3789" s="18" t="s">
        <v>28</v>
      </c>
      <c r="L3789" s="18" t="s">
        <v>28</v>
      </c>
      <c r="M3789" s="18" t="s">
        <v>28</v>
      </c>
      <c r="N3789" s="17">
        <v>44562</v>
      </c>
      <c r="O3789" s="15" t="s">
        <v>52</v>
      </c>
      <c r="P3789" s="16" t="s">
        <v>2830</v>
      </c>
      <c r="Q3789" s="15" t="s">
        <v>75</v>
      </c>
      <c r="R3789" s="13" t="str">
        <f>HYPERLINK("https://my.pitchbook.com?c=273587-95T","View Company Online")</f>
        <v>View Company Online</v>
      </c>
    </row>
    <row r="3790" spans="1:18" hidden="1" x14ac:dyDescent="0.3">
      <c r="A3790" s="9" t="s">
        <v>12419</v>
      </c>
      <c r="B3790" s="9" t="s">
        <v>12420</v>
      </c>
      <c r="C3790" s="11" t="s">
        <v>28</v>
      </c>
      <c r="D3790" s="9" t="s">
        <v>12421</v>
      </c>
      <c r="E3790" s="11" t="s">
        <v>28</v>
      </c>
      <c r="F3790" s="10" t="s">
        <v>28</v>
      </c>
      <c r="G3790" s="10">
        <v>80</v>
      </c>
      <c r="H3790" s="10">
        <v>280</v>
      </c>
      <c r="I3790" s="11" t="s">
        <v>28</v>
      </c>
      <c r="J3790" s="11" t="s">
        <v>28</v>
      </c>
      <c r="K3790" s="11">
        <v>59.67</v>
      </c>
      <c r="L3790" s="11">
        <v>4.6900000000000004</v>
      </c>
      <c r="M3790" s="11" t="s">
        <v>28</v>
      </c>
      <c r="N3790" s="8">
        <v>44562</v>
      </c>
      <c r="O3790" s="9" t="s">
        <v>79</v>
      </c>
      <c r="P3790" s="12" t="s">
        <v>12422</v>
      </c>
      <c r="Q3790" s="9" t="s">
        <v>37</v>
      </c>
      <c r="R3790" s="14" t="str">
        <f>HYPERLINK("https://my.pitchbook.com?c=167327-65T","View Company Online")</f>
        <v>View Company Online</v>
      </c>
    </row>
    <row r="3791" spans="1:18" hidden="1" x14ac:dyDescent="0.3">
      <c r="A3791" s="15" t="s">
        <v>12423</v>
      </c>
      <c r="B3791" s="15" t="s">
        <v>12424</v>
      </c>
      <c r="C3791" s="18" t="s">
        <v>28</v>
      </c>
      <c r="D3791" s="15" t="s">
        <v>12425</v>
      </c>
      <c r="E3791" s="18" t="s">
        <v>28</v>
      </c>
      <c r="F3791" s="19" t="s">
        <v>28</v>
      </c>
      <c r="G3791" s="19" t="s">
        <v>28</v>
      </c>
      <c r="H3791" s="19" t="s">
        <v>28</v>
      </c>
      <c r="I3791" s="18" t="s">
        <v>28</v>
      </c>
      <c r="J3791" s="18" t="s">
        <v>28</v>
      </c>
      <c r="K3791" s="18" t="s">
        <v>28</v>
      </c>
      <c r="L3791" s="18" t="s">
        <v>28</v>
      </c>
      <c r="M3791" s="18" t="s">
        <v>28</v>
      </c>
      <c r="N3791" s="17">
        <v>44562</v>
      </c>
      <c r="O3791" s="15" t="s">
        <v>52</v>
      </c>
      <c r="P3791" s="16" t="s">
        <v>4500</v>
      </c>
      <c r="Q3791" s="15" t="s">
        <v>4901</v>
      </c>
      <c r="R3791" s="13" t="str">
        <f>HYPERLINK("https://my.pitchbook.com?c=267522-49T","View Company Online")</f>
        <v>View Company Online</v>
      </c>
    </row>
    <row r="3792" spans="1:18" hidden="1" x14ac:dyDescent="0.3">
      <c r="A3792" s="9" t="s">
        <v>12426</v>
      </c>
      <c r="B3792" s="9" t="s">
        <v>12427</v>
      </c>
      <c r="C3792" s="11" t="s">
        <v>28</v>
      </c>
      <c r="D3792" s="9" t="s">
        <v>12428</v>
      </c>
      <c r="E3792" s="11" t="s">
        <v>28</v>
      </c>
      <c r="F3792" s="10" t="s">
        <v>28</v>
      </c>
      <c r="G3792" s="10" t="s">
        <v>28</v>
      </c>
      <c r="H3792" s="10" t="s">
        <v>28</v>
      </c>
      <c r="I3792" s="11" t="s">
        <v>28</v>
      </c>
      <c r="J3792" s="11" t="s">
        <v>28</v>
      </c>
      <c r="K3792" s="11" t="s">
        <v>28</v>
      </c>
      <c r="L3792" s="11" t="s">
        <v>28</v>
      </c>
      <c r="M3792" s="11" t="s">
        <v>28</v>
      </c>
      <c r="N3792" s="8">
        <v>44562</v>
      </c>
      <c r="O3792" s="9" t="s">
        <v>379</v>
      </c>
      <c r="P3792" s="12" t="s">
        <v>12429</v>
      </c>
      <c r="Q3792" s="9" t="s">
        <v>75</v>
      </c>
      <c r="R3792" s="14" t="str">
        <f>HYPERLINK("https://my.pitchbook.com?c=215125-84T","View Company Online")</f>
        <v>View Company Online</v>
      </c>
    </row>
    <row r="3793" spans="1:18" hidden="1" x14ac:dyDescent="0.3">
      <c r="A3793" s="15" t="s">
        <v>12430</v>
      </c>
      <c r="B3793" s="15" t="s">
        <v>12431</v>
      </c>
      <c r="C3793" s="18" t="s">
        <v>28</v>
      </c>
      <c r="D3793" s="15" t="s">
        <v>12432</v>
      </c>
      <c r="E3793" s="18" t="s">
        <v>28</v>
      </c>
      <c r="F3793" s="19" t="s">
        <v>28</v>
      </c>
      <c r="G3793" s="19">
        <v>0.19</v>
      </c>
      <c r="H3793" s="19" t="s">
        <v>28</v>
      </c>
      <c r="I3793" s="18" t="s">
        <v>28</v>
      </c>
      <c r="J3793" s="18" t="s">
        <v>28</v>
      </c>
      <c r="K3793" s="18" t="s">
        <v>28</v>
      </c>
      <c r="L3793" s="18" t="s">
        <v>28</v>
      </c>
      <c r="M3793" s="18" t="s">
        <v>28</v>
      </c>
      <c r="N3793" s="17">
        <v>44562</v>
      </c>
      <c r="O3793" s="15" t="s">
        <v>79</v>
      </c>
      <c r="P3793" s="16" t="s">
        <v>12433</v>
      </c>
      <c r="Q3793" s="15" t="s">
        <v>75</v>
      </c>
      <c r="R3793" s="13" t="str">
        <f>HYPERLINK("https://my.pitchbook.com?c=190544-77T","View Company Online")</f>
        <v>View Company Online</v>
      </c>
    </row>
    <row r="3794" spans="1:18" hidden="1" x14ac:dyDescent="0.3">
      <c r="A3794" s="9" t="s">
        <v>12434</v>
      </c>
      <c r="B3794" s="9" t="s">
        <v>12435</v>
      </c>
      <c r="C3794" s="11" t="s">
        <v>28</v>
      </c>
      <c r="D3794" s="9" t="s">
        <v>12436</v>
      </c>
      <c r="E3794" s="11" t="s">
        <v>28</v>
      </c>
      <c r="F3794" s="10" t="s">
        <v>28</v>
      </c>
      <c r="G3794" s="10" t="s">
        <v>28</v>
      </c>
      <c r="H3794" s="10" t="s">
        <v>28</v>
      </c>
      <c r="I3794" s="11" t="s">
        <v>28</v>
      </c>
      <c r="J3794" s="11" t="s">
        <v>28</v>
      </c>
      <c r="K3794" s="11" t="s">
        <v>28</v>
      </c>
      <c r="L3794" s="11" t="s">
        <v>28</v>
      </c>
      <c r="M3794" s="11" t="s">
        <v>28</v>
      </c>
      <c r="N3794" s="8">
        <v>44562</v>
      </c>
      <c r="O3794" s="9" t="s">
        <v>99</v>
      </c>
      <c r="P3794" s="12" t="s">
        <v>12437</v>
      </c>
      <c r="Q3794" s="9" t="s">
        <v>583</v>
      </c>
      <c r="R3794" s="14" t="str">
        <f>HYPERLINK("https://my.pitchbook.com?c=215342-02T","View Company Online")</f>
        <v>View Company Online</v>
      </c>
    </row>
    <row r="3795" spans="1:18" hidden="1" x14ac:dyDescent="0.3">
      <c r="A3795" s="15" t="s">
        <v>12438</v>
      </c>
      <c r="B3795" s="15" t="s">
        <v>6114</v>
      </c>
      <c r="C3795" s="18" t="s">
        <v>28</v>
      </c>
      <c r="D3795" s="15" t="s">
        <v>6115</v>
      </c>
      <c r="E3795" s="18" t="s">
        <v>28</v>
      </c>
      <c r="F3795" s="19" t="s">
        <v>28</v>
      </c>
      <c r="G3795" s="19" t="s">
        <v>28</v>
      </c>
      <c r="H3795" s="19" t="s">
        <v>28</v>
      </c>
      <c r="I3795" s="18" t="s">
        <v>28</v>
      </c>
      <c r="J3795" s="18" t="s">
        <v>28</v>
      </c>
      <c r="K3795" s="18" t="s">
        <v>28</v>
      </c>
      <c r="L3795" s="18" t="s">
        <v>28</v>
      </c>
      <c r="M3795" s="18" t="s">
        <v>28</v>
      </c>
      <c r="N3795" s="17">
        <v>44562</v>
      </c>
      <c r="O3795" s="15" t="s">
        <v>52</v>
      </c>
      <c r="P3795" s="16" t="s">
        <v>2915</v>
      </c>
      <c r="Q3795" s="15" t="s">
        <v>37</v>
      </c>
      <c r="R3795" s="13" t="str">
        <f>HYPERLINK("https://my.pitchbook.com?c=247230-46T","View Company Online")</f>
        <v>View Company Online</v>
      </c>
    </row>
    <row r="3796" spans="1:18" hidden="1" x14ac:dyDescent="0.3">
      <c r="A3796" s="9" t="s">
        <v>12439</v>
      </c>
      <c r="B3796" s="9" t="s">
        <v>12440</v>
      </c>
      <c r="C3796" s="11" t="s">
        <v>28</v>
      </c>
      <c r="D3796" s="9" t="s">
        <v>12441</v>
      </c>
      <c r="E3796" s="11" t="s">
        <v>28</v>
      </c>
      <c r="F3796" s="10" t="s">
        <v>28</v>
      </c>
      <c r="G3796" s="10" t="s">
        <v>28</v>
      </c>
      <c r="H3796" s="10" t="s">
        <v>28</v>
      </c>
      <c r="I3796" s="11" t="s">
        <v>28</v>
      </c>
      <c r="J3796" s="11" t="s">
        <v>28</v>
      </c>
      <c r="K3796" s="11" t="s">
        <v>28</v>
      </c>
      <c r="L3796" s="11" t="s">
        <v>28</v>
      </c>
      <c r="M3796" s="11" t="s">
        <v>28</v>
      </c>
      <c r="N3796" s="8">
        <v>44562</v>
      </c>
      <c r="O3796" s="9" t="s">
        <v>52</v>
      </c>
      <c r="P3796" s="12" t="s">
        <v>2830</v>
      </c>
      <c r="Q3796" s="9" t="s">
        <v>583</v>
      </c>
      <c r="R3796" s="14" t="str">
        <f>HYPERLINK("https://my.pitchbook.com?c=292601-35T","View Company Online")</f>
        <v>View Company Online</v>
      </c>
    </row>
    <row r="3797" spans="1:18" hidden="1" x14ac:dyDescent="0.3">
      <c r="A3797" s="15" t="s">
        <v>12442</v>
      </c>
      <c r="B3797" s="15" t="s">
        <v>11355</v>
      </c>
      <c r="C3797" s="18" t="s">
        <v>28</v>
      </c>
      <c r="D3797" s="15" t="s">
        <v>11356</v>
      </c>
      <c r="E3797" s="18" t="s">
        <v>28</v>
      </c>
      <c r="F3797" s="19" t="s">
        <v>28</v>
      </c>
      <c r="G3797" s="19" t="s">
        <v>28</v>
      </c>
      <c r="H3797" s="19" t="s">
        <v>28</v>
      </c>
      <c r="I3797" s="18" t="s">
        <v>28</v>
      </c>
      <c r="J3797" s="18" t="s">
        <v>28</v>
      </c>
      <c r="K3797" s="18" t="s">
        <v>28</v>
      </c>
      <c r="L3797" s="18" t="s">
        <v>28</v>
      </c>
      <c r="M3797" s="18" t="s">
        <v>28</v>
      </c>
      <c r="N3797" s="17">
        <v>44562</v>
      </c>
      <c r="O3797" s="15" t="s">
        <v>30</v>
      </c>
      <c r="P3797" s="16" t="s">
        <v>12443</v>
      </c>
      <c r="Q3797" s="15" t="s">
        <v>424</v>
      </c>
      <c r="R3797" s="13" t="str">
        <f>HYPERLINK("https://my.pitchbook.com?c=190212-13T","View Company Online")</f>
        <v>View Company Online</v>
      </c>
    </row>
    <row r="3798" spans="1:18" hidden="1" x14ac:dyDescent="0.3">
      <c r="A3798" s="9" t="s">
        <v>12444</v>
      </c>
      <c r="B3798" s="9" t="s">
        <v>12445</v>
      </c>
      <c r="C3798" s="11" t="s">
        <v>28</v>
      </c>
      <c r="D3798" s="9" t="s">
        <v>12446</v>
      </c>
      <c r="E3798" s="11" t="s">
        <v>28</v>
      </c>
      <c r="F3798" s="10" t="s">
        <v>28</v>
      </c>
      <c r="G3798" s="10" t="s">
        <v>28</v>
      </c>
      <c r="H3798" s="10" t="s">
        <v>28</v>
      </c>
      <c r="I3798" s="11" t="s">
        <v>28</v>
      </c>
      <c r="J3798" s="11" t="s">
        <v>28</v>
      </c>
      <c r="K3798" s="11" t="s">
        <v>28</v>
      </c>
      <c r="L3798" s="11" t="s">
        <v>28</v>
      </c>
      <c r="M3798" s="11" t="s">
        <v>28</v>
      </c>
      <c r="N3798" s="8">
        <v>44562</v>
      </c>
      <c r="O3798" s="9" t="s">
        <v>52</v>
      </c>
      <c r="P3798" s="12" t="s">
        <v>2830</v>
      </c>
      <c r="Q3798" s="9" t="s">
        <v>75</v>
      </c>
      <c r="R3798" s="14" t="str">
        <f>HYPERLINK("https://my.pitchbook.com?c=267686-56T","View Company Online")</f>
        <v>View Company Online</v>
      </c>
    </row>
    <row r="3799" spans="1:18" hidden="1" x14ac:dyDescent="0.3">
      <c r="A3799" s="15" t="s">
        <v>12447</v>
      </c>
      <c r="B3799" s="15" t="s">
        <v>8123</v>
      </c>
      <c r="C3799" s="18" t="s">
        <v>28</v>
      </c>
      <c r="D3799" s="15" t="s">
        <v>8124</v>
      </c>
      <c r="E3799" s="18" t="s">
        <v>28</v>
      </c>
      <c r="F3799" s="19" t="s">
        <v>28</v>
      </c>
      <c r="G3799" s="19" t="s">
        <v>28</v>
      </c>
      <c r="H3799" s="19" t="s">
        <v>28</v>
      </c>
      <c r="I3799" s="18" t="s">
        <v>28</v>
      </c>
      <c r="J3799" s="18" t="s">
        <v>28</v>
      </c>
      <c r="K3799" s="18" t="s">
        <v>28</v>
      </c>
      <c r="L3799" s="18" t="s">
        <v>28</v>
      </c>
      <c r="M3799" s="18" t="s">
        <v>28</v>
      </c>
      <c r="N3799" s="17">
        <v>44562</v>
      </c>
      <c r="O3799" s="15" t="s">
        <v>52</v>
      </c>
      <c r="P3799" s="16" t="s">
        <v>2830</v>
      </c>
      <c r="Q3799" s="15" t="s">
        <v>75</v>
      </c>
      <c r="R3799" s="13" t="str">
        <f>HYPERLINK("https://my.pitchbook.com?c=265539-88T","View Company Online")</f>
        <v>View Company Online</v>
      </c>
    </row>
    <row r="3800" spans="1:18" hidden="1" x14ac:dyDescent="0.3">
      <c r="A3800" s="9" t="s">
        <v>12448</v>
      </c>
      <c r="B3800" s="9" t="s">
        <v>12449</v>
      </c>
      <c r="C3800" s="11" t="s">
        <v>28</v>
      </c>
      <c r="D3800" s="9" t="s">
        <v>12450</v>
      </c>
      <c r="E3800" s="11" t="s">
        <v>28</v>
      </c>
      <c r="F3800" s="10" t="s">
        <v>28</v>
      </c>
      <c r="G3800" s="10" t="s">
        <v>28</v>
      </c>
      <c r="H3800" s="10" t="s">
        <v>28</v>
      </c>
      <c r="I3800" s="11" t="s">
        <v>28</v>
      </c>
      <c r="J3800" s="11" t="s">
        <v>28</v>
      </c>
      <c r="K3800" s="11" t="s">
        <v>28</v>
      </c>
      <c r="L3800" s="11" t="s">
        <v>28</v>
      </c>
      <c r="M3800" s="11" t="s">
        <v>28</v>
      </c>
      <c r="N3800" s="8">
        <v>44562</v>
      </c>
      <c r="O3800" s="9" t="s">
        <v>30</v>
      </c>
      <c r="P3800" s="12" t="s">
        <v>12451</v>
      </c>
      <c r="Q3800" s="9" t="s">
        <v>105</v>
      </c>
      <c r="R3800" s="14" t="str">
        <f>HYPERLINK("https://my.pitchbook.com?c=214646-05T","View Company Online")</f>
        <v>View Company Online</v>
      </c>
    </row>
    <row r="3801" spans="1:18" hidden="1" x14ac:dyDescent="0.3">
      <c r="A3801" s="15" t="s">
        <v>12452</v>
      </c>
      <c r="B3801" s="15" t="s">
        <v>12453</v>
      </c>
      <c r="C3801" s="18" t="s">
        <v>28</v>
      </c>
      <c r="D3801" s="15" t="s">
        <v>12454</v>
      </c>
      <c r="E3801" s="18" t="s">
        <v>28</v>
      </c>
      <c r="F3801" s="19" t="s">
        <v>28</v>
      </c>
      <c r="G3801" s="19" t="s">
        <v>28</v>
      </c>
      <c r="H3801" s="19" t="s">
        <v>28</v>
      </c>
      <c r="I3801" s="18" t="s">
        <v>28</v>
      </c>
      <c r="J3801" s="18" t="s">
        <v>28</v>
      </c>
      <c r="K3801" s="18" t="s">
        <v>28</v>
      </c>
      <c r="L3801" s="18" t="s">
        <v>28</v>
      </c>
      <c r="M3801" s="18" t="s">
        <v>28</v>
      </c>
      <c r="N3801" s="17">
        <v>44562</v>
      </c>
      <c r="O3801" s="15" t="s">
        <v>30</v>
      </c>
      <c r="P3801" s="16" t="s">
        <v>902</v>
      </c>
      <c r="Q3801" s="15" t="s">
        <v>10419</v>
      </c>
      <c r="R3801" s="13" t="str">
        <f>HYPERLINK("https://my.pitchbook.com?c=239543-83T","View Company Online")</f>
        <v>View Company Online</v>
      </c>
    </row>
    <row r="3802" spans="1:18" hidden="1" x14ac:dyDescent="0.3">
      <c r="A3802" s="9" t="s">
        <v>12455</v>
      </c>
      <c r="B3802" s="9" t="s">
        <v>6345</v>
      </c>
      <c r="C3802" s="11" t="s">
        <v>28</v>
      </c>
      <c r="D3802" s="9" t="s">
        <v>6346</v>
      </c>
      <c r="E3802" s="11" t="s">
        <v>28</v>
      </c>
      <c r="F3802" s="10" t="s">
        <v>28</v>
      </c>
      <c r="G3802" s="10" t="s">
        <v>28</v>
      </c>
      <c r="H3802" s="10" t="s">
        <v>28</v>
      </c>
      <c r="I3802" s="11" t="s">
        <v>28</v>
      </c>
      <c r="J3802" s="11" t="s">
        <v>28</v>
      </c>
      <c r="K3802" s="11" t="s">
        <v>28</v>
      </c>
      <c r="L3802" s="11" t="s">
        <v>28</v>
      </c>
      <c r="M3802" s="11" t="s">
        <v>28</v>
      </c>
      <c r="N3802" s="8">
        <v>44562</v>
      </c>
      <c r="O3802" s="9" t="s">
        <v>99</v>
      </c>
      <c r="P3802" s="12" t="s">
        <v>12456</v>
      </c>
      <c r="Q3802" s="9" t="s">
        <v>6348</v>
      </c>
      <c r="R3802" s="14" t="str">
        <f>HYPERLINK("https://my.pitchbook.com?c=289455-40T","View Company Online")</f>
        <v>View Company Online</v>
      </c>
    </row>
    <row r="3803" spans="1:18" hidden="1" x14ac:dyDescent="0.3">
      <c r="A3803" s="15" t="s">
        <v>12457</v>
      </c>
      <c r="B3803" s="15" t="s">
        <v>846</v>
      </c>
      <c r="C3803" s="18" t="s">
        <v>28</v>
      </c>
      <c r="D3803" s="15" t="s">
        <v>847</v>
      </c>
      <c r="E3803" s="18" t="s">
        <v>28</v>
      </c>
      <c r="F3803" s="19" t="s">
        <v>28</v>
      </c>
      <c r="G3803" s="19" t="s">
        <v>28</v>
      </c>
      <c r="H3803" s="19" t="s">
        <v>28</v>
      </c>
      <c r="I3803" s="18" t="s">
        <v>28</v>
      </c>
      <c r="J3803" s="18" t="s">
        <v>28</v>
      </c>
      <c r="K3803" s="18" t="s">
        <v>28</v>
      </c>
      <c r="L3803" s="18" t="s">
        <v>28</v>
      </c>
      <c r="M3803" s="18" t="s">
        <v>28</v>
      </c>
      <c r="N3803" s="17">
        <v>44562</v>
      </c>
      <c r="O3803" s="15" t="s">
        <v>52</v>
      </c>
      <c r="P3803" s="16" t="s">
        <v>2628</v>
      </c>
      <c r="Q3803" s="15" t="s">
        <v>75</v>
      </c>
      <c r="R3803" s="13" t="str">
        <f>HYPERLINK("https://my.pitchbook.com?c=295561-90T","View Company Online")</f>
        <v>View Company Online</v>
      </c>
    </row>
    <row r="3804" spans="1:18" hidden="1" x14ac:dyDescent="0.3">
      <c r="A3804" s="9" t="s">
        <v>12458</v>
      </c>
      <c r="B3804" s="9" t="s">
        <v>12459</v>
      </c>
      <c r="C3804" s="11" t="s">
        <v>28</v>
      </c>
      <c r="D3804" s="9" t="s">
        <v>12460</v>
      </c>
      <c r="E3804" s="11" t="s">
        <v>28</v>
      </c>
      <c r="F3804" s="10" t="s">
        <v>28</v>
      </c>
      <c r="G3804" s="10" t="s">
        <v>28</v>
      </c>
      <c r="H3804" s="10" t="s">
        <v>28</v>
      </c>
      <c r="I3804" s="11" t="s">
        <v>28</v>
      </c>
      <c r="J3804" s="11" t="s">
        <v>28</v>
      </c>
      <c r="K3804" s="11" t="s">
        <v>28</v>
      </c>
      <c r="L3804" s="11" t="s">
        <v>28</v>
      </c>
      <c r="M3804" s="11" t="s">
        <v>28</v>
      </c>
      <c r="N3804" s="8">
        <v>44562</v>
      </c>
      <c r="O3804" s="9" t="s">
        <v>52</v>
      </c>
      <c r="P3804" s="12" t="s">
        <v>2830</v>
      </c>
      <c r="Q3804" s="9" t="s">
        <v>75</v>
      </c>
      <c r="R3804" s="14" t="str">
        <f>HYPERLINK("https://my.pitchbook.com?c=292676-41T","View Company Online")</f>
        <v>View Company Online</v>
      </c>
    </row>
    <row r="3805" spans="1:18" hidden="1" x14ac:dyDescent="0.3">
      <c r="A3805" s="15" t="s">
        <v>12461</v>
      </c>
      <c r="B3805" s="15" t="s">
        <v>12462</v>
      </c>
      <c r="C3805" s="18" t="s">
        <v>28</v>
      </c>
      <c r="D3805" s="15" t="s">
        <v>12463</v>
      </c>
      <c r="E3805" s="18" t="s">
        <v>28</v>
      </c>
      <c r="F3805" s="19" t="s">
        <v>28</v>
      </c>
      <c r="G3805" s="19" t="s">
        <v>28</v>
      </c>
      <c r="H3805" s="19" t="s">
        <v>28</v>
      </c>
      <c r="I3805" s="18" t="s">
        <v>28</v>
      </c>
      <c r="J3805" s="18" t="s">
        <v>28</v>
      </c>
      <c r="K3805" s="18" t="s">
        <v>28</v>
      </c>
      <c r="L3805" s="18" t="s">
        <v>28</v>
      </c>
      <c r="M3805" s="18" t="s">
        <v>28</v>
      </c>
      <c r="N3805" s="17">
        <v>44562</v>
      </c>
      <c r="O3805" s="15" t="s">
        <v>379</v>
      </c>
      <c r="P3805" s="16" t="s">
        <v>5324</v>
      </c>
      <c r="Q3805" s="15" t="s">
        <v>37</v>
      </c>
      <c r="R3805" s="13" t="str">
        <f>HYPERLINK("https://my.pitchbook.com?c=207008-47T","View Company Online")</f>
        <v>View Company Online</v>
      </c>
    </row>
    <row r="3806" spans="1:18" hidden="1" x14ac:dyDescent="0.3">
      <c r="A3806" s="9" t="s">
        <v>12464</v>
      </c>
      <c r="B3806" s="9" t="s">
        <v>12465</v>
      </c>
      <c r="C3806" s="11" t="s">
        <v>28</v>
      </c>
      <c r="D3806" s="9" t="s">
        <v>12466</v>
      </c>
      <c r="E3806" s="11" t="s">
        <v>28</v>
      </c>
      <c r="F3806" s="10" t="s">
        <v>28</v>
      </c>
      <c r="G3806" s="10">
        <v>0.28000000000000003</v>
      </c>
      <c r="H3806" s="10" t="s">
        <v>28</v>
      </c>
      <c r="I3806" s="11" t="s">
        <v>28</v>
      </c>
      <c r="J3806" s="11" t="s">
        <v>28</v>
      </c>
      <c r="K3806" s="11" t="s">
        <v>28</v>
      </c>
      <c r="L3806" s="11" t="s">
        <v>28</v>
      </c>
      <c r="M3806" s="11" t="s">
        <v>28</v>
      </c>
      <c r="N3806" s="8">
        <v>44562</v>
      </c>
      <c r="O3806" s="9" t="s">
        <v>52</v>
      </c>
      <c r="P3806" s="12" t="s">
        <v>3960</v>
      </c>
      <c r="Q3806" s="9" t="s">
        <v>1035</v>
      </c>
      <c r="R3806" s="14" t="str">
        <f>HYPERLINK("https://my.pitchbook.com?c=256340-80T","View Company Online")</f>
        <v>View Company Online</v>
      </c>
    </row>
    <row r="3807" spans="1:18" hidden="1" x14ac:dyDescent="0.3">
      <c r="A3807" s="15" t="s">
        <v>12467</v>
      </c>
      <c r="B3807" s="15" t="s">
        <v>12468</v>
      </c>
      <c r="C3807" s="18" t="s">
        <v>28</v>
      </c>
      <c r="D3807" s="15" t="s">
        <v>12469</v>
      </c>
      <c r="E3807" s="18" t="s">
        <v>28</v>
      </c>
      <c r="F3807" s="19" t="s">
        <v>28</v>
      </c>
      <c r="G3807" s="19" t="s">
        <v>28</v>
      </c>
      <c r="H3807" s="19" t="s">
        <v>28</v>
      </c>
      <c r="I3807" s="18" t="s">
        <v>28</v>
      </c>
      <c r="J3807" s="18" t="s">
        <v>28</v>
      </c>
      <c r="K3807" s="18" t="s">
        <v>28</v>
      </c>
      <c r="L3807" s="18" t="s">
        <v>28</v>
      </c>
      <c r="M3807" s="18" t="s">
        <v>28</v>
      </c>
      <c r="N3807" s="17">
        <v>44562</v>
      </c>
      <c r="O3807" s="15" t="s">
        <v>93</v>
      </c>
      <c r="P3807" s="16" t="s">
        <v>8768</v>
      </c>
      <c r="Q3807" s="15" t="s">
        <v>43</v>
      </c>
      <c r="R3807" s="13" t="str">
        <f>HYPERLINK("https://my.pitchbook.com?c=189389-89T","View Company Online")</f>
        <v>View Company Online</v>
      </c>
    </row>
    <row r="3808" spans="1:18" hidden="1" x14ac:dyDescent="0.3">
      <c r="A3808" s="9" t="s">
        <v>12470</v>
      </c>
      <c r="B3808" s="9" t="s">
        <v>12471</v>
      </c>
      <c r="C3808" s="11" t="s">
        <v>28</v>
      </c>
      <c r="D3808" s="9" t="s">
        <v>12472</v>
      </c>
      <c r="E3808" s="11" t="s">
        <v>28</v>
      </c>
      <c r="F3808" s="10" t="s">
        <v>28</v>
      </c>
      <c r="G3808" s="10" t="s">
        <v>28</v>
      </c>
      <c r="H3808" s="10" t="s">
        <v>28</v>
      </c>
      <c r="I3808" s="11" t="s">
        <v>28</v>
      </c>
      <c r="J3808" s="11" t="s">
        <v>28</v>
      </c>
      <c r="K3808" s="11" t="s">
        <v>28</v>
      </c>
      <c r="L3808" s="11" t="s">
        <v>28</v>
      </c>
      <c r="M3808" s="11" t="s">
        <v>28</v>
      </c>
      <c r="N3808" s="8">
        <v>44562</v>
      </c>
      <c r="O3808" s="9" t="s">
        <v>30</v>
      </c>
      <c r="P3808" s="12" t="s">
        <v>12473</v>
      </c>
      <c r="Q3808" s="9" t="s">
        <v>160</v>
      </c>
      <c r="R3808" s="14" t="str">
        <f>HYPERLINK("https://my.pitchbook.com?c=225568-27T","View Company Online")</f>
        <v>View Company Online</v>
      </c>
    </row>
    <row r="3809" spans="1:18" hidden="1" x14ac:dyDescent="0.3">
      <c r="A3809" s="15" t="s">
        <v>12474</v>
      </c>
      <c r="B3809" s="15" t="s">
        <v>12475</v>
      </c>
      <c r="C3809" s="18" t="s">
        <v>28</v>
      </c>
      <c r="D3809" s="15" t="s">
        <v>12476</v>
      </c>
      <c r="E3809" s="18" t="s">
        <v>28</v>
      </c>
      <c r="F3809" s="19" t="s">
        <v>28</v>
      </c>
      <c r="G3809" s="19">
        <v>0.3</v>
      </c>
      <c r="H3809" s="19">
        <v>1</v>
      </c>
      <c r="I3809" s="18" t="s">
        <v>28</v>
      </c>
      <c r="J3809" s="18" t="s">
        <v>28</v>
      </c>
      <c r="K3809" s="18" t="s">
        <v>28</v>
      </c>
      <c r="L3809" s="18" t="s">
        <v>28</v>
      </c>
      <c r="M3809" s="18" t="s">
        <v>28</v>
      </c>
      <c r="N3809" s="17">
        <v>44562</v>
      </c>
      <c r="O3809" s="15" t="s">
        <v>73</v>
      </c>
      <c r="P3809" s="16" t="s">
        <v>11535</v>
      </c>
      <c r="Q3809" s="15" t="s">
        <v>37</v>
      </c>
      <c r="R3809" s="13" t="str">
        <f>HYPERLINK("https://my.pitchbook.com?c=210526-21T","View Company Online")</f>
        <v>View Company Online</v>
      </c>
    </row>
    <row r="3810" spans="1:18" hidden="1" x14ac:dyDescent="0.3">
      <c r="A3810" s="9" t="s">
        <v>12477</v>
      </c>
      <c r="B3810" s="9" t="s">
        <v>12478</v>
      </c>
      <c r="C3810" s="11" t="s">
        <v>28</v>
      </c>
      <c r="D3810" s="9" t="s">
        <v>12479</v>
      </c>
      <c r="E3810" s="11" t="s">
        <v>28</v>
      </c>
      <c r="F3810" s="10" t="s">
        <v>28</v>
      </c>
      <c r="G3810" s="10" t="s">
        <v>28</v>
      </c>
      <c r="H3810" s="10" t="s">
        <v>28</v>
      </c>
      <c r="I3810" s="11" t="s">
        <v>28</v>
      </c>
      <c r="J3810" s="11" t="s">
        <v>28</v>
      </c>
      <c r="K3810" s="11" t="s">
        <v>28</v>
      </c>
      <c r="L3810" s="11" t="s">
        <v>28</v>
      </c>
      <c r="M3810" s="11" t="s">
        <v>28</v>
      </c>
      <c r="N3810" s="8">
        <v>44562</v>
      </c>
      <c r="O3810" s="9" t="s">
        <v>41</v>
      </c>
      <c r="P3810" s="12" t="s">
        <v>12480</v>
      </c>
      <c r="Q3810" s="9" t="s">
        <v>75</v>
      </c>
      <c r="R3810" s="14" t="str">
        <f>HYPERLINK("https://my.pitchbook.com?c=258454-36T","View Company Online")</f>
        <v>View Company Online</v>
      </c>
    </row>
    <row r="3811" spans="1:18" hidden="1" x14ac:dyDescent="0.3">
      <c r="A3811" s="15" t="s">
        <v>12481</v>
      </c>
      <c r="B3811" s="15" t="s">
        <v>2011</v>
      </c>
      <c r="C3811" s="18" t="s">
        <v>28</v>
      </c>
      <c r="D3811" s="15" t="s">
        <v>2012</v>
      </c>
      <c r="E3811" s="18" t="s">
        <v>28</v>
      </c>
      <c r="F3811" s="19" t="s">
        <v>28</v>
      </c>
      <c r="G3811" s="19" t="s">
        <v>28</v>
      </c>
      <c r="H3811" s="19" t="s">
        <v>28</v>
      </c>
      <c r="I3811" s="18" t="s">
        <v>28</v>
      </c>
      <c r="J3811" s="18" t="s">
        <v>28</v>
      </c>
      <c r="K3811" s="18" t="s">
        <v>28</v>
      </c>
      <c r="L3811" s="18" t="s">
        <v>28</v>
      </c>
      <c r="M3811" s="18" t="s">
        <v>28</v>
      </c>
      <c r="N3811" s="17">
        <v>44562</v>
      </c>
      <c r="O3811" s="15" t="s">
        <v>99</v>
      </c>
      <c r="P3811" s="16" t="s">
        <v>12482</v>
      </c>
      <c r="Q3811" s="15" t="s">
        <v>37</v>
      </c>
      <c r="R3811" s="13" t="str">
        <f>HYPERLINK("https://my.pitchbook.com?c=198801-82T","View Company Online")</f>
        <v>View Company Online</v>
      </c>
    </row>
    <row r="3812" spans="1:18" hidden="1" x14ac:dyDescent="0.3">
      <c r="A3812" s="9" t="s">
        <v>12483</v>
      </c>
      <c r="B3812" s="9" t="s">
        <v>12484</v>
      </c>
      <c r="C3812" s="11" t="s">
        <v>28</v>
      </c>
      <c r="D3812" s="9" t="s">
        <v>12485</v>
      </c>
      <c r="E3812" s="11" t="s">
        <v>28</v>
      </c>
      <c r="F3812" s="10" t="s">
        <v>28</v>
      </c>
      <c r="G3812" s="10" t="s">
        <v>28</v>
      </c>
      <c r="H3812" s="10" t="s">
        <v>28</v>
      </c>
      <c r="I3812" s="11" t="s">
        <v>28</v>
      </c>
      <c r="J3812" s="11" t="s">
        <v>28</v>
      </c>
      <c r="K3812" s="11" t="s">
        <v>28</v>
      </c>
      <c r="L3812" s="11" t="s">
        <v>28</v>
      </c>
      <c r="M3812" s="11" t="s">
        <v>28</v>
      </c>
      <c r="N3812" s="8">
        <v>44562</v>
      </c>
      <c r="O3812" s="9" t="s">
        <v>52</v>
      </c>
      <c r="P3812" s="12" t="s">
        <v>12486</v>
      </c>
      <c r="Q3812" s="9" t="s">
        <v>362</v>
      </c>
      <c r="R3812" s="14" t="str">
        <f>HYPERLINK("https://my.pitchbook.com?c=277314-85T","View Company Online")</f>
        <v>View Company Online</v>
      </c>
    </row>
    <row r="3813" spans="1:18" hidden="1" x14ac:dyDescent="0.3">
      <c r="A3813" s="15" t="s">
        <v>12487</v>
      </c>
      <c r="B3813" s="15" t="s">
        <v>12488</v>
      </c>
      <c r="C3813" s="18" t="s">
        <v>28</v>
      </c>
      <c r="D3813" s="15" t="s">
        <v>12489</v>
      </c>
      <c r="E3813" s="18" t="s">
        <v>28</v>
      </c>
      <c r="F3813" s="19" t="s">
        <v>28</v>
      </c>
      <c r="G3813" s="19" t="s">
        <v>28</v>
      </c>
      <c r="H3813" s="19" t="s">
        <v>28</v>
      </c>
      <c r="I3813" s="18" t="s">
        <v>28</v>
      </c>
      <c r="J3813" s="18" t="s">
        <v>28</v>
      </c>
      <c r="K3813" s="18" t="s">
        <v>28</v>
      </c>
      <c r="L3813" s="18" t="s">
        <v>28</v>
      </c>
      <c r="M3813" s="18" t="s">
        <v>28</v>
      </c>
      <c r="N3813" s="17">
        <v>44562</v>
      </c>
      <c r="O3813" s="15" t="s">
        <v>52</v>
      </c>
      <c r="P3813" s="16" t="s">
        <v>1970</v>
      </c>
      <c r="Q3813" s="15" t="s">
        <v>75</v>
      </c>
      <c r="R3813" s="13" t="str">
        <f>HYPERLINK("https://my.pitchbook.com?c=292159-18T","View Company Online")</f>
        <v>View Company Online</v>
      </c>
    </row>
    <row r="3814" spans="1:18" hidden="1" x14ac:dyDescent="0.3">
      <c r="A3814" s="9" t="s">
        <v>12490</v>
      </c>
      <c r="B3814" s="9" t="s">
        <v>10738</v>
      </c>
      <c r="C3814" s="11" t="s">
        <v>28</v>
      </c>
      <c r="D3814" s="9" t="s">
        <v>10739</v>
      </c>
      <c r="E3814" s="11" t="s">
        <v>28</v>
      </c>
      <c r="F3814" s="10" t="s">
        <v>28</v>
      </c>
      <c r="G3814" s="10" t="s">
        <v>28</v>
      </c>
      <c r="H3814" s="10" t="s">
        <v>28</v>
      </c>
      <c r="I3814" s="11" t="s">
        <v>28</v>
      </c>
      <c r="J3814" s="11" t="s">
        <v>28</v>
      </c>
      <c r="K3814" s="11" t="s">
        <v>28</v>
      </c>
      <c r="L3814" s="11" t="s">
        <v>28</v>
      </c>
      <c r="M3814" s="11" t="s">
        <v>28</v>
      </c>
      <c r="N3814" s="8">
        <v>44562</v>
      </c>
      <c r="O3814" s="9" t="s">
        <v>52</v>
      </c>
      <c r="P3814" s="12" t="s">
        <v>2830</v>
      </c>
      <c r="Q3814" s="9" t="s">
        <v>245</v>
      </c>
      <c r="R3814" s="14" t="str">
        <f>HYPERLINK("https://my.pitchbook.com?c=292854-79T","View Company Online")</f>
        <v>View Company Online</v>
      </c>
    </row>
    <row r="3815" spans="1:18" hidden="1" x14ac:dyDescent="0.3">
      <c r="A3815" s="15" t="s">
        <v>12491</v>
      </c>
      <c r="B3815" s="15" t="s">
        <v>12492</v>
      </c>
      <c r="C3815" s="18" t="s">
        <v>28</v>
      </c>
      <c r="D3815" s="15" t="s">
        <v>12493</v>
      </c>
      <c r="E3815" s="18" t="s">
        <v>28</v>
      </c>
      <c r="F3815" s="19" t="s">
        <v>28</v>
      </c>
      <c r="G3815" s="19" t="s">
        <v>28</v>
      </c>
      <c r="H3815" s="19" t="s">
        <v>28</v>
      </c>
      <c r="I3815" s="18" t="s">
        <v>28</v>
      </c>
      <c r="J3815" s="18" t="s">
        <v>28</v>
      </c>
      <c r="K3815" s="18" t="s">
        <v>28</v>
      </c>
      <c r="L3815" s="18" t="s">
        <v>28</v>
      </c>
      <c r="M3815" s="18" t="s">
        <v>28</v>
      </c>
      <c r="N3815" s="17">
        <v>44562</v>
      </c>
      <c r="O3815" s="15" t="s">
        <v>30</v>
      </c>
      <c r="P3815" s="16" t="s">
        <v>12494</v>
      </c>
      <c r="Q3815" s="15" t="s">
        <v>75</v>
      </c>
      <c r="R3815" s="13" t="str">
        <f>HYPERLINK("https://my.pitchbook.com?c=215552-08T","View Company Online")</f>
        <v>View Company Online</v>
      </c>
    </row>
    <row r="3816" spans="1:18" hidden="1" x14ac:dyDescent="0.3">
      <c r="A3816" s="9" t="s">
        <v>12495</v>
      </c>
      <c r="B3816" s="9" t="s">
        <v>11731</v>
      </c>
      <c r="C3816" s="11" t="s">
        <v>28</v>
      </c>
      <c r="D3816" s="9" t="s">
        <v>11732</v>
      </c>
      <c r="E3816" s="11" t="s">
        <v>28</v>
      </c>
      <c r="F3816" s="10" t="s">
        <v>28</v>
      </c>
      <c r="G3816" s="10">
        <v>0.5</v>
      </c>
      <c r="H3816" s="10">
        <v>7.14</v>
      </c>
      <c r="I3816" s="11" t="s">
        <v>28</v>
      </c>
      <c r="J3816" s="11" t="s">
        <v>28</v>
      </c>
      <c r="K3816" s="11" t="s">
        <v>28</v>
      </c>
      <c r="L3816" s="11" t="s">
        <v>28</v>
      </c>
      <c r="M3816" s="11" t="s">
        <v>28</v>
      </c>
      <c r="N3816" s="8">
        <v>44562</v>
      </c>
      <c r="O3816" s="9" t="s">
        <v>52</v>
      </c>
      <c r="P3816" s="12" t="s">
        <v>3944</v>
      </c>
      <c r="Q3816" s="9" t="s">
        <v>75</v>
      </c>
      <c r="R3816" s="14" t="str">
        <f>HYPERLINK("https://my.pitchbook.com?c=209553-58T","View Company Online")</f>
        <v>View Company Online</v>
      </c>
    </row>
    <row r="3817" spans="1:18" hidden="1" x14ac:dyDescent="0.3">
      <c r="A3817" s="15" t="s">
        <v>12496</v>
      </c>
      <c r="B3817" s="15" t="s">
        <v>5715</v>
      </c>
      <c r="C3817" s="18" t="s">
        <v>28</v>
      </c>
      <c r="D3817" s="15" t="s">
        <v>5716</v>
      </c>
      <c r="E3817" s="18" t="s">
        <v>28</v>
      </c>
      <c r="F3817" s="19" t="s">
        <v>28</v>
      </c>
      <c r="G3817" s="19" t="s">
        <v>28</v>
      </c>
      <c r="H3817" s="19" t="s">
        <v>28</v>
      </c>
      <c r="I3817" s="18" t="s">
        <v>28</v>
      </c>
      <c r="J3817" s="18" t="s">
        <v>28</v>
      </c>
      <c r="K3817" s="18" t="s">
        <v>28</v>
      </c>
      <c r="L3817" s="18" t="s">
        <v>28</v>
      </c>
      <c r="M3817" s="18" t="s">
        <v>28</v>
      </c>
      <c r="N3817" s="17">
        <v>44562</v>
      </c>
      <c r="O3817" s="15" t="s">
        <v>73</v>
      </c>
      <c r="P3817" s="16" t="s">
        <v>12497</v>
      </c>
      <c r="Q3817" s="15" t="s">
        <v>75</v>
      </c>
      <c r="R3817" s="13" t="str">
        <f>HYPERLINK("https://my.pitchbook.com?c=201533-59T","View Company Online")</f>
        <v>View Company Online</v>
      </c>
    </row>
    <row r="3818" spans="1:18" hidden="1" x14ac:dyDescent="0.3">
      <c r="A3818" s="9" t="s">
        <v>12498</v>
      </c>
      <c r="B3818" s="9" t="s">
        <v>12499</v>
      </c>
      <c r="C3818" s="11" t="s">
        <v>28</v>
      </c>
      <c r="D3818" s="9" t="s">
        <v>12500</v>
      </c>
      <c r="E3818" s="11" t="s">
        <v>28</v>
      </c>
      <c r="F3818" s="10" t="s">
        <v>28</v>
      </c>
      <c r="G3818" s="10" t="s">
        <v>28</v>
      </c>
      <c r="H3818" s="10" t="s">
        <v>28</v>
      </c>
      <c r="I3818" s="11" t="s">
        <v>28</v>
      </c>
      <c r="J3818" s="11" t="s">
        <v>28</v>
      </c>
      <c r="K3818" s="11" t="s">
        <v>28</v>
      </c>
      <c r="L3818" s="11" t="s">
        <v>28</v>
      </c>
      <c r="M3818" s="11" t="s">
        <v>28</v>
      </c>
      <c r="N3818" s="8">
        <v>44562</v>
      </c>
      <c r="O3818" s="9" t="s">
        <v>73</v>
      </c>
      <c r="P3818" s="12" t="s">
        <v>12501</v>
      </c>
      <c r="Q3818" s="9" t="s">
        <v>740</v>
      </c>
      <c r="R3818" s="14" t="str">
        <f>HYPERLINK("https://my.pitchbook.com?c=270093-34T","View Company Online")</f>
        <v>View Company Online</v>
      </c>
    </row>
    <row r="3819" spans="1:18" hidden="1" x14ac:dyDescent="0.3">
      <c r="A3819" s="15" t="s">
        <v>12502</v>
      </c>
      <c r="B3819" s="15" t="s">
        <v>12503</v>
      </c>
      <c r="C3819" s="18" t="s">
        <v>28</v>
      </c>
      <c r="D3819" s="15" t="s">
        <v>12504</v>
      </c>
      <c r="E3819" s="18" t="s">
        <v>28</v>
      </c>
      <c r="F3819" s="19" t="s">
        <v>28</v>
      </c>
      <c r="G3819" s="19" t="s">
        <v>28</v>
      </c>
      <c r="H3819" s="19" t="s">
        <v>28</v>
      </c>
      <c r="I3819" s="18" t="s">
        <v>28</v>
      </c>
      <c r="J3819" s="18" t="s">
        <v>28</v>
      </c>
      <c r="K3819" s="18">
        <v>10.01</v>
      </c>
      <c r="L3819" s="18" t="s">
        <v>28</v>
      </c>
      <c r="M3819" s="18" t="s">
        <v>28</v>
      </c>
      <c r="N3819" s="17">
        <v>44562</v>
      </c>
      <c r="O3819" s="15" t="s">
        <v>30</v>
      </c>
      <c r="P3819" s="16" t="s">
        <v>28</v>
      </c>
      <c r="Q3819" s="15" t="s">
        <v>114</v>
      </c>
      <c r="R3819" s="13" t="str">
        <f>HYPERLINK("https://my.pitchbook.com?c=185196-07T","View Company Online")</f>
        <v>View Company Online</v>
      </c>
    </row>
    <row r="3820" spans="1:18" hidden="1" x14ac:dyDescent="0.3">
      <c r="A3820" s="9" t="s">
        <v>12505</v>
      </c>
      <c r="B3820" s="9" t="s">
        <v>12506</v>
      </c>
      <c r="C3820" s="11" t="s">
        <v>28</v>
      </c>
      <c r="D3820" s="9" t="s">
        <v>12507</v>
      </c>
      <c r="E3820" s="11" t="s">
        <v>28</v>
      </c>
      <c r="F3820" s="10" t="s">
        <v>28</v>
      </c>
      <c r="G3820" s="10">
        <v>1.5</v>
      </c>
      <c r="H3820" s="10">
        <v>32</v>
      </c>
      <c r="I3820" s="11" t="s">
        <v>28</v>
      </c>
      <c r="J3820" s="11" t="s">
        <v>28</v>
      </c>
      <c r="K3820" s="11" t="s">
        <v>28</v>
      </c>
      <c r="L3820" s="11" t="s">
        <v>28</v>
      </c>
      <c r="M3820" s="11" t="s">
        <v>28</v>
      </c>
      <c r="N3820" s="8">
        <v>44561</v>
      </c>
      <c r="O3820" s="9" t="s">
        <v>73</v>
      </c>
      <c r="P3820" s="12" t="s">
        <v>12508</v>
      </c>
      <c r="Q3820" s="9" t="s">
        <v>419</v>
      </c>
      <c r="R3820" s="14" t="str">
        <f>HYPERLINK("https://my.pitchbook.com?c=224940-52T","View Company Online")</f>
        <v>View Company Online</v>
      </c>
    </row>
    <row r="3821" spans="1:18" hidden="1" x14ac:dyDescent="0.3">
      <c r="A3821" s="15" t="s">
        <v>12509</v>
      </c>
      <c r="B3821" s="15" t="s">
        <v>12510</v>
      </c>
      <c r="C3821" s="18" t="s">
        <v>28</v>
      </c>
      <c r="D3821" s="15" t="s">
        <v>12511</v>
      </c>
      <c r="E3821" s="18" t="s">
        <v>28</v>
      </c>
      <c r="F3821" s="19" t="s">
        <v>28</v>
      </c>
      <c r="G3821" s="19" t="s">
        <v>28</v>
      </c>
      <c r="H3821" s="19" t="s">
        <v>28</v>
      </c>
      <c r="I3821" s="18" t="s">
        <v>28</v>
      </c>
      <c r="J3821" s="18" t="s">
        <v>28</v>
      </c>
      <c r="K3821" s="18" t="s">
        <v>28</v>
      </c>
      <c r="L3821" s="18" t="s">
        <v>28</v>
      </c>
      <c r="M3821" s="18" t="s">
        <v>28</v>
      </c>
      <c r="N3821" s="17">
        <v>44561</v>
      </c>
      <c r="O3821" s="15" t="s">
        <v>30</v>
      </c>
      <c r="P3821" s="16" t="s">
        <v>12512</v>
      </c>
      <c r="Q3821" s="15" t="s">
        <v>188</v>
      </c>
      <c r="R3821" s="13" t="str">
        <f>HYPERLINK("https://my.pitchbook.com?c=294650-38T","View Company Online")</f>
        <v>View Company Online</v>
      </c>
    </row>
    <row r="3822" spans="1:18" hidden="1" x14ac:dyDescent="0.3">
      <c r="A3822" s="9" t="s">
        <v>12513</v>
      </c>
      <c r="B3822" s="9" t="s">
        <v>12514</v>
      </c>
      <c r="C3822" s="11" t="s">
        <v>28</v>
      </c>
      <c r="D3822" s="9" t="s">
        <v>12515</v>
      </c>
      <c r="E3822" s="11" t="s">
        <v>28</v>
      </c>
      <c r="F3822" s="10" t="s">
        <v>28</v>
      </c>
      <c r="G3822" s="10">
        <v>0.01</v>
      </c>
      <c r="H3822" s="10" t="s">
        <v>28</v>
      </c>
      <c r="I3822" s="11" t="s">
        <v>28</v>
      </c>
      <c r="J3822" s="11" t="s">
        <v>28</v>
      </c>
      <c r="K3822" s="11" t="s">
        <v>28</v>
      </c>
      <c r="L3822" s="11" t="s">
        <v>28</v>
      </c>
      <c r="M3822" s="11" t="s">
        <v>28</v>
      </c>
      <c r="N3822" s="8">
        <v>44561</v>
      </c>
      <c r="O3822" s="9" t="s">
        <v>47</v>
      </c>
      <c r="P3822" s="12" t="s">
        <v>12516</v>
      </c>
      <c r="Q3822" s="9" t="s">
        <v>245</v>
      </c>
      <c r="R3822" s="14" t="str">
        <f>HYPERLINK("https://my.pitchbook.com?c=239401-27T","View Company Online")</f>
        <v>View Company Online</v>
      </c>
    </row>
    <row r="3823" spans="1:18" hidden="1" x14ac:dyDescent="0.3">
      <c r="A3823" s="15" t="s">
        <v>12517</v>
      </c>
      <c r="B3823" s="15" t="s">
        <v>12518</v>
      </c>
      <c r="C3823" s="18" t="s">
        <v>28</v>
      </c>
      <c r="D3823" s="15" t="s">
        <v>12519</v>
      </c>
      <c r="E3823" s="18" t="s">
        <v>28</v>
      </c>
      <c r="F3823" s="19" t="s">
        <v>28</v>
      </c>
      <c r="G3823" s="19" t="s">
        <v>28</v>
      </c>
      <c r="H3823" s="19" t="s">
        <v>28</v>
      </c>
      <c r="I3823" s="18" t="s">
        <v>28</v>
      </c>
      <c r="J3823" s="18" t="s">
        <v>28</v>
      </c>
      <c r="K3823" s="18" t="s">
        <v>28</v>
      </c>
      <c r="L3823" s="18" t="s">
        <v>28</v>
      </c>
      <c r="M3823" s="18" t="s">
        <v>28</v>
      </c>
      <c r="N3823" s="17">
        <v>44561</v>
      </c>
      <c r="O3823" s="15" t="s">
        <v>30</v>
      </c>
      <c r="P3823" s="16" t="s">
        <v>10730</v>
      </c>
      <c r="Q3823" s="15" t="s">
        <v>285</v>
      </c>
      <c r="R3823" s="13" t="str">
        <f>HYPERLINK("https://my.pitchbook.com?c=211784-32T","View Company Online")</f>
        <v>View Company Online</v>
      </c>
    </row>
    <row r="3824" spans="1:18" hidden="1" x14ac:dyDescent="0.3">
      <c r="A3824" s="9" t="s">
        <v>12520</v>
      </c>
      <c r="B3824" s="9" t="s">
        <v>12521</v>
      </c>
      <c r="C3824" s="11" t="s">
        <v>28</v>
      </c>
      <c r="D3824" s="9" t="s">
        <v>12522</v>
      </c>
      <c r="E3824" s="11" t="s">
        <v>28</v>
      </c>
      <c r="F3824" s="10" t="s">
        <v>28</v>
      </c>
      <c r="G3824" s="10" t="s">
        <v>28</v>
      </c>
      <c r="H3824" s="10" t="s">
        <v>28</v>
      </c>
      <c r="I3824" s="11" t="s">
        <v>28</v>
      </c>
      <c r="J3824" s="11" t="s">
        <v>28</v>
      </c>
      <c r="K3824" s="11" t="s">
        <v>28</v>
      </c>
      <c r="L3824" s="11" t="s">
        <v>28</v>
      </c>
      <c r="M3824" s="11" t="s">
        <v>28</v>
      </c>
      <c r="N3824" s="8">
        <v>44561</v>
      </c>
      <c r="O3824" s="9" t="s">
        <v>41</v>
      </c>
      <c r="P3824" s="12" t="s">
        <v>9465</v>
      </c>
      <c r="Q3824" s="9" t="s">
        <v>290</v>
      </c>
      <c r="R3824" s="14" t="str">
        <f>HYPERLINK("https://my.pitchbook.com?c=223829-38T","View Company Online")</f>
        <v>View Company Online</v>
      </c>
    </row>
    <row r="3825" spans="1:18" hidden="1" x14ac:dyDescent="0.3">
      <c r="A3825" s="15" t="s">
        <v>12523</v>
      </c>
      <c r="B3825" s="15" t="s">
        <v>2570</v>
      </c>
      <c r="C3825" s="18" t="s">
        <v>28</v>
      </c>
      <c r="D3825" s="15" t="s">
        <v>2571</v>
      </c>
      <c r="E3825" s="18" t="s">
        <v>28</v>
      </c>
      <c r="F3825" s="19" t="s">
        <v>28</v>
      </c>
      <c r="G3825" s="19">
        <v>0.18</v>
      </c>
      <c r="H3825" s="19">
        <v>1.94</v>
      </c>
      <c r="I3825" s="18" t="s">
        <v>28</v>
      </c>
      <c r="J3825" s="18" t="s">
        <v>28</v>
      </c>
      <c r="K3825" s="18" t="s">
        <v>28</v>
      </c>
      <c r="L3825" s="18" t="s">
        <v>28</v>
      </c>
      <c r="M3825" s="18" t="s">
        <v>28</v>
      </c>
      <c r="N3825" s="17">
        <v>44560</v>
      </c>
      <c r="O3825" s="15" t="s">
        <v>1639</v>
      </c>
      <c r="P3825" s="16" t="s">
        <v>12524</v>
      </c>
      <c r="Q3825" s="15" t="s">
        <v>75</v>
      </c>
      <c r="R3825" s="13" t="str">
        <f>HYPERLINK("https://my.pitchbook.com?c=187395-85T","View Company Online")</f>
        <v>View Company Online</v>
      </c>
    </row>
    <row r="3826" spans="1:18" hidden="1" x14ac:dyDescent="0.3">
      <c r="A3826" s="9" t="s">
        <v>12525</v>
      </c>
      <c r="B3826" s="9" t="s">
        <v>12526</v>
      </c>
      <c r="C3826" s="11" t="s">
        <v>28</v>
      </c>
      <c r="D3826" s="9" t="s">
        <v>12527</v>
      </c>
      <c r="E3826" s="11" t="s">
        <v>28</v>
      </c>
      <c r="F3826" s="10" t="s">
        <v>28</v>
      </c>
      <c r="G3826" s="10" t="s">
        <v>28</v>
      </c>
      <c r="H3826" s="10" t="s">
        <v>28</v>
      </c>
      <c r="I3826" s="11" t="s">
        <v>28</v>
      </c>
      <c r="J3826" s="11" t="s">
        <v>28</v>
      </c>
      <c r="K3826" s="11" t="s">
        <v>28</v>
      </c>
      <c r="L3826" s="11" t="s">
        <v>28</v>
      </c>
      <c r="M3826" s="11" t="s">
        <v>28</v>
      </c>
      <c r="N3826" s="8">
        <v>44560</v>
      </c>
      <c r="O3826" s="9" t="s">
        <v>173</v>
      </c>
      <c r="P3826" s="12" t="s">
        <v>28</v>
      </c>
      <c r="Q3826" s="9" t="s">
        <v>174</v>
      </c>
      <c r="R3826" s="14" t="str">
        <f>HYPERLINK("https://my.pitchbook.com?c=224051-32T","View Company Online")</f>
        <v>View Company Online</v>
      </c>
    </row>
    <row r="3827" spans="1:18" hidden="1" x14ac:dyDescent="0.3">
      <c r="A3827" s="15" t="s">
        <v>12528</v>
      </c>
      <c r="B3827" s="15" t="s">
        <v>12529</v>
      </c>
      <c r="C3827" s="18" t="s">
        <v>28</v>
      </c>
      <c r="D3827" s="15" t="s">
        <v>12530</v>
      </c>
      <c r="E3827" s="18">
        <v>0.42</v>
      </c>
      <c r="F3827" s="19" t="s">
        <v>28</v>
      </c>
      <c r="G3827" s="19">
        <v>17.96</v>
      </c>
      <c r="H3827" s="19" t="s">
        <v>28</v>
      </c>
      <c r="I3827" s="18">
        <v>0.42</v>
      </c>
      <c r="J3827" s="18" t="s">
        <v>28</v>
      </c>
      <c r="K3827" s="18">
        <v>0</v>
      </c>
      <c r="L3827" s="18" t="s">
        <v>28</v>
      </c>
      <c r="M3827" s="18">
        <v>0.42</v>
      </c>
      <c r="N3827" s="17">
        <v>44560</v>
      </c>
      <c r="O3827" s="15" t="s">
        <v>173</v>
      </c>
      <c r="P3827" s="16" t="s">
        <v>28</v>
      </c>
      <c r="Q3827" s="15" t="s">
        <v>174</v>
      </c>
      <c r="R3827" s="13" t="str">
        <f>HYPERLINK("https://my.pitchbook.com?c=194191-66T","View Company Online")</f>
        <v>View Company Online</v>
      </c>
    </row>
    <row r="3828" spans="1:18" hidden="1" x14ac:dyDescent="0.3">
      <c r="A3828" s="9" t="s">
        <v>12531</v>
      </c>
      <c r="B3828" s="9" t="s">
        <v>12532</v>
      </c>
      <c r="C3828" s="11" t="s">
        <v>28</v>
      </c>
      <c r="D3828" s="9" t="s">
        <v>12533</v>
      </c>
      <c r="E3828" s="11" t="s">
        <v>28</v>
      </c>
      <c r="F3828" s="10" t="s">
        <v>28</v>
      </c>
      <c r="G3828" s="10" t="s">
        <v>28</v>
      </c>
      <c r="H3828" s="10" t="s">
        <v>28</v>
      </c>
      <c r="I3828" s="11" t="s">
        <v>28</v>
      </c>
      <c r="J3828" s="11" t="s">
        <v>28</v>
      </c>
      <c r="K3828" s="11">
        <v>0.1</v>
      </c>
      <c r="L3828" s="11" t="s">
        <v>28</v>
      </c>
      <c r="M3828" s="11">
        <v>0.03</v>
      </c>
      <c r="N3828" s="8">
        <v>44560</v>
      </c>
      <c r="O3828" s="9" t="s">
        <v>173</v>
      </c>
      <c r="P3828" s="12" t="s">
        <v>28</v>
      </c>
      <c r="Q3828" s="9" t="s">
        <v>174</v>
      </c>
      <c r="R3828" s="14" t="str">
        <f>HYPERLINK("https://my.pitchbook.com?c=251351-83T","View Company Online")</f>
        <v>View Company Online</v>
      </c>
    </row>
    <row r="3829" spans="1:18" hidden="1" x14ac:dyDescent="0.3">
      <c r="A3829" s="15" t="s">
        <v>12534</v>
      </c>
      <c r="B3829" s="15" t="s">
        <v>3314</v>
      </c>
      <c r="C3829" s="18" t="s">
        <v>28</v>
      </c>
      <c r="D3829" s="15" t="s">
        <v>3315</v>
      </c>
      <c r="E3829" s="18" t="s">
        <v>28</v>
      </c>
      <c r="F3829" s="19" t="s">
        <v>28</v>
      </c>
      <c r="G3829" s="19" t="s">
        <v>28</v>
      </c>
      <c r="H3829" s="19" t="s">
        <v>28</v>
      </c>
      <c r="I3829" s="18" t="s">
        <v>28</v>
      </c>
      <c r="J3829" s="18" t="s">
        <v>28</v>
      </c>
      <c r="K3829" s="18" t="s">
        <v>28</v>
      </c>
      <c r="L3829" s="18" t="s">
        <v>28</v>
      </c>
      <c r="M3829" s="18" t="s">
        <v>28</v>
      </c>
      <c r="N3829" s="17">
        <v>44560</v>
      </c>
      <c r="O3829" s="15" t="s">
        <v>379</v>
      </c>
      <c r="P3829" s="16" t="s">
        <v>10444</v>
      </c>
      <c r="Q3829" s="15" t="s">
        <v>95</v>
      </c>
      <c r="R3829" s="13" t="str">
        <f>HYPERLINK("https://my.pitchbook.com?c=197038-45T","View Company Online")</f>
        <v>View Company Online</v>
      </c>
    </row>
    <row r="3830" spans="1:18" hidden="1" x14ac:dyDescent="0.3">
      <c r="A3830" s="9" t="s">
        <v>12535</v>
      </c>
      <c r="B3830" s="9" t="s">
        <v>12536</v>
      </c>
      <c r="C3830" s="11" t="s">
        <v>28</v>
      </c>
      <c r="D3830" s="9" t="s">
        <v>12537</v>
      </c>
      <c r="E3830" s="11" t="s">
        <v>28</v>
      </c>
      <c r="F3830" s="10">
        <v>50.35</v>
      </c>
      <c r="G3830" s="10">
        <v>50.35</v>
      </c>
      <c r="H3830" s="10">
        <v>50.35</v>
      </c>
      <c r="I3830" s="11" t="s">
        <v>28</v>
      </c>
      <c r="J3830" s="11" t="s">
        <v>28</v>
      </c>
      <c r="K3830" s="11" t="s">
        <v>28</v>
      </c>
      <c r="L3830" s="11" t="s">
        <v>28</v>
      </c>
      <c r="M3830" s="11" t="s">
        <v>28</v>
      </c>
      <c r="N3830" s="8">
        <v>44559</v>
      </c>
      <c r="O3830" s="9" t="s">
        <v>30</v>
      </c>
      <c r="P3830" s="12" t="s">
        <v>12538</v>
      </c>
      <c r="Q3830" s="9" t="s">
        <v>109</v>
      </c>
      <c r="R3830" s="14" t="str">
        <f>HYPERLINK("https://my.pitchbook.com?c=186997-42T","View Company Online")</f>
        <v>View Company Online</v>
      </c>
    </row>
    <row r="3831" spans="1:18" hidden="1" x14ac:dyDescent="0.3">
      <c r="A3831" s="15" t="s">
        <v>12539</v>
      </c>
      <c r="B3831" s="15" t="s">
        <v>12540</v>
      </c>
      <c r="C3831" s="18" t="s">
        <v>28</v>
      </c>
      <c r="D3831" s="15" t="s">
        <v>12541</v>
      </c>
      <c r="E3831" s="18" t="s">
        <v>28</v>
      </c>
      <c r="F3831" s="19">
        <v>229.68</v>
      </c>
      <c r="G3831" s="19">
        <v>229.68</v>
      </c>
      <c r="H3831" s="19">
        <v>229.68</v>
      </c>
      <c r="I3831" s="18" t="s">
        <v>28</v>
      </c>
      <c r="J3831" s="18" t="s">
        <v>28</v>
      </c>
      <c r="K3831" s="18" t="s">
        <v>28</v>
      </c>
      <c r="L3831" s="18" t="s">
        <v>28</v>
      </c>
      <c r="M3831" s="18" t="s">
        <v>28</v>
      </c>
      <c r="N3831" s="17">
        <v>44559</v>
      </c>
      <c r="O3831" s="15" t="s">
        <v>30</v>
      </c>
      <c r="P3831" s="16" t="s">
        <v>12542</v>
      </c>
      <c r="Q3831" s="15" t="s">
        <v>54</v>
      </c>
      <c r="R3831" s="13" t="str">
        <f>HYPERLINK("https://my.pitchbook.com?c=257922-37T","View Company Online")</f>
        <v>View Company Online</v>
      </c>
    </row>
    <row r="3832" spans="1:18" hidden="1" x14ac:dyDescent="0.3">
      <c r="A3832" s="9" t="s">
        <v>12543</v>
      </c>
      <c r="B3832" s="9" t="s">
        <v>4051</v>
      </c>
      <c r="C3832" s="11" t="s">
        <v>28</v>
      </c>
      <c r="D3832" s="9" t="s">
        <v>4052</v>
      </c>
      <c r="E3832" s="11" t="s">
        <v>28</v>
      </c>
      <c r="F3832" s="10" t="s">
        <v>28</v>
      </c>
      <c r="G3832" s="10">
        <v>15.9</v>
      </c>
      <c r="H3832" s="10" t="s">
        <v>28</v>
      </c>
      <c r="I3832" s="11" t="s">
        <v>28</v>
      </c>
      <c r="J3832" s="11" t="s">
        <v>28</v>
      </c>
      <c r="K3832" s="11" t="s">
        <v>28</v>
      </c>
      <c r="L3832" s="11" t="s">
        <v>28</v>
      </c>
      <c r="M3832" s="11" t="s">
        <v>28</v>
      </c>
      <c r="N3832" s="8">
        <v>44559</v>
      </c>
      <c r="O3832" s="9" t="s">
        <v>93</v>
      </c>
      <c r="P3832" s="12" t="s">
        <v>12544</v>
      </c>
      <c r="Q3832" s="9" t="s">
        <v>169</v>
      </c>
      <c r="R3832" s="14" t="str">
        <f>HYPERLINK("https://my.pitchbook.com?c=248296-51T","View Company Online")</f>
        <v>View Company Online</v>
      </c>
    </row>
    <row r="3833" spans="1:18" hidden="1" x14ac:dyDescent="0.3">
      <c r="A3833" s="15" t="s">
        <v>12545</v>
      </c>
      <c r="B3833" s="15" t="s">
        <v>12546</v>
      </c>
      <c r="C3833" s="18" t="s">
        <v>28</v>
      </c>
      <c r="D3833" s="15" t="s">
        <v>12547</v>
      </c>
      <c r="E3833" s="18" t="s">
        <v>28</v>
      </c>
      <c r="F3833" s="19" t="s">
        <v>28</v>
      </c>
      <c r="G3833" s="19" t="s">
        <v>28</v>
      </c>
      <c r="H3833" s="19" t="s">
        <v>28</v>
      </c>
      <c r="I3833" s="18" t="s">
        <v>28</v>
      </c>
      <c r="J3833" s="18" t="s">
        <v>28</v>
      </c>
      <c r="K3833" s="18" t="s">
        <v>28</v>
      </c>
      <c r="L3833" s="18" t="s">
        <v>28</v>
      </c>
      <c r="M3833" s="18" t="s">
        <v>28</v>
      </c>
      <c r="N3833" s="17">
        <v>44559</v>
      </c>
      <c r="O3833" s="15" t="s">
        <v>173</v>
      </c>
      <c r="P3833" s="16" t="s">
        <v>28</v>
      </c>
      <c r="Q3833" s="15" t="s">
        <v>174</v>
      </c>
      <c r="R3833" s="13" t="str">
        <f>HYPERLINK("https://my.pitchbook.com?c=251674-66T","View Company Online")</f>
        <v>View Company Online</v>
      </c>
    </row>
    <row r="3834" spans="1:18" hidden="1" x14ac:dyDescent="0.3">
      <c r="A3834" s="9" t="s">
        <v>12548</v>
      </c>
      <c r="B3834" s="9" t="s">
        <v>3331</v>
      </c>
      <c r="C3834" s="11" t="s">
        <v>28</v>
      </c>
      <c r="D3834" s="9" t="s">
        <v>3332</v>
      </c>
      <c r="E3834" s="11" t="s">
        <v>28</v>
      </c>
      <c r="F3834" s="10" t="s">
        <v>28</v>
      </c>
      <c r="G3834" s="10">
        <v>5.03</v>
      </c>
      <c r="H3834" s="10" t="s">
        <v>28</v>
      </c>
      <c r="I3834" s="11" t="s">
        <v>28</v>
      </c>
      <c r="J3834" s="11" t="s">
        <v>28</v>
      </c>
      <c r="K3834" s="11" t="s">
        <v>28</v>
      </c>
      <c r="L3834" s="11" t="s">
        <v>28</v>
      </c>
      <c r="M3834" s="11" t="s">
        <v>28</v>
      </c>
      <c r="N3834" s="8">
        <v>44558</v>
      </c>
      <c r="O3834" s="9" t="s">
        <v>99</v>
      </c>
      <c r="P3834" s="12" t="s">
        <v>12549</v>
      </c>
      <c r="Q3834" s="9" t="s">
        <v>37</v>
      </c>
      <c r="R3834" s="14" t="str">
        <f>HYPERLINK("https://my.pitchbook.com?c=192784-69T","View Company Online")</f>
        <v>View Company Online</v>
      </c>
    </row>
    <row r="3835" spans="1:18" hidden="1" x14ac:dyDescent="0.3">
      <c r="A3835" s="15" t="s">
        <v>12550</v>
      </c>
      <c r="B3835" s="15" t="s">
        <v>12551</v>
      </c>
      <c r="C3835" s="18" t="s">
        <v>28</v>
      </c>
      <c r="D3835" s="15" t="s">
        <v>12552</v>
      </c>
      <c r="E3835" s="18" t="s">
        <v>28</v>
      </c>
      <c r="F3835" s="19" t="s">
        <v>28</v>
      </c>
      <c r="G3835" s="19">
        <v>5.8</v>
      </c>
      <c r="H3835" s="19" t="s">
        <v>28</v>
      </c>
      <c r="I3835" s="18" t="s">
        <v>28</v>
      </c>
      <c r="J3835" s="18" t="s">
        <v>28</v>
      </c>
      <c r="K3835" s="18" t="s">
        <v>28</v>
      </c>
      <c r="L3835" s="18" t="s">
        <v>28</v>
      </c>
      <c r="M3835" s="18" t="s">
        <v>28</v>
      </c>
      <c r="N3835" s="17">
        <v>44558</v>
      </c>
      <c r="O3835" s="15" t="s">
        <v>99</v>
      </c>
      <c r="P3835" s="16" t="s">
        <v>12553</v>
      </c>
      <c r="Q3835" s="15" t="s">
        <v>37</v>
      </c>
      <c r="R3835" s="13" t="str">
        <f>HYPERLINK("https://my.pitchbook.com?c=209672-74T","View Company Online")</f>
        <v>View Company Online</v>
      </c>
    </row>
    <row r="3836" spans="1:18" hidden="1" x14ac:dyDescent="0.3">
      <c r="A3836" s="9" t="s">
        <v>12554</v>
      </c>
      <c r="B3836" s="9" t="s">
        <v>12555</v>
      </c>
      <c r="C3836" s="11" t="s">
        <v>28</v>
      </c>
      <c r="D3836" s="9" t="s">
        <v>12556</v>
      </c>
      <c r="E3836" s="11" t="s">
        <v>28</v>
      </c>
      <c r="F3836" s="10" t="s">
        <v>28</v>
      </c>
      <c r="G3836" s="10" t="s">
        <v>28</v>
      </c>
      <c r="H3836" s="10" t="s">
        <v>28</v>
      </c>
      <c r="I3836" s="11" t="s">
        <v>28</v>
      </c>
      <c r="J3836" s="11" t="s">
        <v>28</v>
      </c>
      <c r="K3836" s="11">
        <v>6.14</v>
      </c>
      <c r="L3836" s="11" t="s">
        <v>28</v>
      </c>
      <c r="M3836" s="11">
        <v>5.61</v>
      </c>
      <c r="N3836" s="8">
        <v>44557</v>
      </c>
      <c r="O3836" s="9" t="s">
        <v>173</v>
      </c>
      <c r="P3836" s="12" t="s">
        <v>28</v>
      </c>
      <c r="Q3836" s="9" t="s">
        <v>174</v>
      </c>
      <c r="R3836" s="14" t="str">
        <f>HYPERLINK("https://my.pitchbook.com?c=251574-67T","View Company Online")</f>
        <v>View Company Online</v>
      </c>
    </row>
    <row r="3837" spans="1:18" hidden="1" x14ac:dyDescent="0.3">
      <c r="A3837" s="15" t="s">
        <v>12557</v>
      </c>
      <c r="B3837" s="15" t="s">
        <v>12558</v>
      </c>
      <c r="C3837" s="18" t="s">
        <v>28</v>
      </c>
      <c r="D3837" s="15" t="s">
        <v>12559</v>
      </c>
      <c r="E3837" s="18" t="s">
        <v>28</v>
      </c>
      <c r="F3837" s="19" t="s">
        <v>28</v>
      </c>
      <c r="G3837" s="19">
        <v>0.01</v>
      </c>
      <c r="H3837" s="19" t="s">
        <v>28</v>
      </c>
      <c r="I3837" s="18" t="s">
        <v>28</v>
      </c>
      <c r="J3837" s="18" t="s">
        <v>28</v>
      </c>
      <c r="K3837" s="18" t="s">
        <v>28</v>
      </c>
      <c r="L3837" s="18" t="s">
        <v>28</v>
      </c>
      <c r="M3837" s="18" t="s">
        <v>28</v>
      </c>
      <c r="N3837" s="17">
        <v>44557</v>
      </c>
      <c r="O3837" s="15" t="s">
        <v>52</v>
      </c>
      <c r="P3837" s="16" t="s">
        <v>408</v>
      </c>
      <c r="Q3837" s="15" t="s">
        <v>607</v>
      </c>
      <c r="R3837" s="13" t="str">
        <f>HYPERLINK("https://my.pitchbook.com?c=252590-95T","View Company Online")</f>
        <v>View Company Online</v>
      </c>
    </row>
    <row r="3838" spans="1:18" hidden="1" x14ac:dyDescent="0.3">
      <c r="A3838" s="9" t="s">
        <v>12560</v>
      </c>
      <c r="B3838" s="9" t="s">
        <v>12561</v>
      </c>
      <c r="C3838" s="11" t="s">
        <v>28</v>
      </c>
      <c r="D3838" s="9" t="s">
        <v>12562</v>
      </c>
      <c r="E3838" s="11" t="s">
        <v>28</v>
      </c>
      <c r="F3838" s="10">
        <v>1.77</v>
      </c>
      <c r="G3838" s="10">
        <v>1.77</v>
      </c>
      <c r="H3838" s="10">
        <v>1.77</v>
      </c>
      <c r="I3838" s="11" t="s">
        <v>28</v>
      </c>
      <c r="J3838" s="11" t="s">
        <v>28</v>
      </c>
      <c r="K3838" s="11" t="s">
        <v>28</v>
      </c>
      <c r="L3838" s="11" t="s">
        <v>28</v>
      </c>
      <c r="M3838" s="11" t="s">
        <v>28</v>
      </c>
      <c r="N3838" s="8">
        <v>44555</v>
      </c>
      <c r="O3838" s="9" t="s">
        <v>30</v>
      </c>
      <c r="P3838" s="12" t="s">
        <v>12563</v>
      </c>
      <c r="Q3838" s="9" t="s">
        <v>290</v>
      </c>
      <c r="R3838" s="14" t="str">
        <f>HYPERLINK("https://my.pitchbook.com?c=260897-95T","View Company Online")</f>
        <v>View Company Online</v>
      </c>
    </row>
    <row r="3839" spans="1:18" hidden="1" x14ac:dyDescent="0.3">
      <c r="A3839" s="15" t="s">
        <v>12564</v>
      </c>
      <c r="B3839" s="15" t="s">
        <v>5600</v>
      </c>
      <c r="C3839" s="18" t="s">
        <v>28</v>
      </c>
      <c r="D3839" s="15" t="s">
        <v>5601</v>
      </c>
      <c r="E3839" s="18" t="s">
        <v>28</v>
      </c>
      <c r="F3839" s="19" t="s">
        <v>28</v>
      </c>
      <c r="G3839" s="19">
        <v>0.01</v>
      </c>
      <c r="H3839" s="19" t="s">
        <v>28</v>
      </c>
      <c r="I3839" s="18" t="s">
        <v>28</v>
      </c>
      <c r="J3839" s="18" t="s">
        <v>28</v>
      </c>
      <c r="K3839" s="18" t="s">
        <v>28</v>
      </c>
      <c r="L3839" s="18" t="s">
        <v>28</v>
      </c>
      <c r="M3839" s="18" t="s">
        <v>28</v>
      </c>
      <c r="N3839" s="17">
        <v>44553</v>
      </c>
      <c r="O3839" s="15" t="s">
        <v>52</v>
      </c>
      <c r="P3839" s="16" t="s">
        <v>12565</v>
      </c>
      <c r="Q3839" s="15" t="s">
        <v>75</v>
      </c>
      <c r="R3839" s="13" t="str">
        <f>HYPERLINK("https://my.pitchbook.com?c=264021-76T","View Company Online")</f>
        <v>View Company Online</v>
      </c>
    </row>
    <row r="3840" spans="1:18" hidden="1" x14ac:dyDescent="0.3">
      <c r="A3840" s="9" t="s">
        <v>12566</v>
      </c>
      <c r="B3840" s="9" t="s">
        <v>12567</v>
      </c>
      <c r="C3840" s="11" t="s">
        <v>28</v>
      </c>
      <c r="D3840" s="9" t="s">
        <v>12568</v>
      </c>
      <c r="E3840" s="11" t="s">
        <v>28</v>
      </c>
      <c r="F3840" s="10">
        <v>8.41</v>
      </c>
      <c r="G3840" s="10">
        <v>8.41</v>
      </c>
      <c r="H3840" s="10">
        <v>8.41</v>
      </c>
      <c r="I3840" s="11" t="s">
        <v>28</v>
      </c>
      <c r="J3840" s="11" t="s">
        <v>28</v>
      </c>
      <c r="K3840" s="11" t="s">
        <v>28</v>
      </c>
      <c r="L3840" s="11" t="s">
        <v>28</v>
      </c>
      <c r="M3840" s="11" t="s">
        <v>28</v>
      </c>
      <c r="N3840" s="8">
        <v>44553</v>
      </c>
      <c r="O3840" s="9" t="s">
        <v>30</v>
      </c>
      <c r="P3840" s="12" t="s">
        <v>3797</v>
      </c>
      <c r="Q3840" s="9" t="s">
        <v>290</v>
      </c>
      <c r="R3840" s="14" t="str">
        <f>HYPERLINK("https://my.pitchbook.com?c=185685-40T","View Company Online")</f>
        <v>View Company Online</v>
      </c>
    </row>
    <row r="3841" spans="1:18" hidden="1" x14ac:dyDescent="0.3">
      <c r="A3841" s="15" t="s">
        <v>12569</v>
      </c>
      <c r="B3841" s="15" t="s">
        <v>12570</v>
      </c>
      <c r="C3841" s="18" t="s">
        <v>28</v>
      </c>
      <c r="D3841" s="15" t="s">
        <v>12571</v>
      </c>
      <c r="E3841" s="18" t="s">
        <v>28</v>
      </c>
      <c r="F3841" s="19" t="s">
        <v>28</v>
      </c>
      <c r="G3841" s="19" t="s">
        <v>28</v>
      </c>
      <c r="H3841" s="19" t="s">
        <v>28</v>
      </c>
      <c r="I3841" s="18" t="s">
        <v>28</v>
      </c>
      <c r="J3841" s="18" t="s">
        <v>28</v>
      </c>
      <c r="K3841" s="18" t="s">
        <v>28</v>
      </c>
      <c r="L3841" s="18" t="s">
        <v>28</v>
      </c>
      <c r="M3841" s="18" t="s">
        <v>28</v>
      </c>
      <c r="N3841" s="17">
        <v>44553</v>
      </c>
      <c r="O3841" s="15" t="s">
        <v>173</v>
      </c>
      <c r="P3841" s="16" t="s">
        <v>28</v>
      </c>
      <c r="Q3841" s="15" t="s">
        <v>174</v>
      </c>
      <c r="R3841" s="13" t="str">
        <f>HYPERLINK("https://my.pitchbook.com?c=226886-32T","View Company Online")</f>
        <v>View Company Online</v>
      </c>
    </row>
    <row r="3842" spans="1:18" hidden="1" x14ac:dyDescent="0.3">
      <c r="A3842" s="9" t="s">
        <v>12572</v>
      </c>
      <c r="B3842" s="9" t="s">
        <v>1218</v>
      </c>
      <c r="C3842" s="11" t="s">
        <v>28</v>
      </c>
      <c r="D3842" s="9" t="s">
        <v>1219</v>
      </c>
      <c r="E3842" s="11" t="s">
        <v>28</v>
      </c>
      <c r="F3842" s="10" t="s">
        <v>28</v>
      </c>
      <c r="G3842" s="10" t="s">
        <v>28</v>
      </c>
      <c r="H3842" s="10" t="s">
        <v>28</v>
      </c>
      <c r="I3842" s="11" t="s">
        <v>28</v>
      </c>
      <c r="J3842" s="11" t="s">
        <v>28</v>
      </c>
      <c r="K3842" s="11" t="s">
        <v>28</v>
      </c>
      <c r="L3842" s="11" t="s">
        <v>28</v>
      </c>
      <c r="M3842" s="11" t="s">
        <v>28</v>
      </c>
      <c r="N3842" s="8">
        <v>44553</v>
      </c>
      <c r="O3842" s="9" t="s">
        <v>99</v>
      </c>
      <c r="P3842" s="12" t="s">
        <v>80</v>
      </c>
      <c r="Q3842" s="9" t="s">
        <v>75</v>
      </c>
      <c r="R3842" s="14" t="str">
        <f>HYPERLINK("https://my.pitchbook.com?c=215802-19T","View Company Online")</f>
        <v>View Company Online</v>
      </c>
    </row>
    <row r="3843" spans="1:18" hidden="1" x14ac:dyDescent="0.3">
      <c r="A3843" s="15" t="s">
        <v>12573</v>
      </c>
      <c r="B3843" s="15" t="s">
        <v>10704</v>
      </c>
      <c r="C3843" s="18" t="s">
        <v>28</v>
      </c>
      <c r="D3843" s="15" t="s">
        <v>10705</v>
      </c>
      <c r="E3843" s="18" t="s">
        <v>28</v>
      </c>
      <c r="F3843" s="19" t="s">
        <v>28</v>
      </c>
      <c r="G3843" s="19">
        <v>250.3</v>
      </c>
      <c r="H3843" s="19" t="s">
        <v>28</v>
      </c>
      <c r="I3843" s="18" t="s">
        <v>28</v>
      </c>
      <c r="J3843" s="18" t="s">
        <v>28</v>
      </c>
      <c r="K3843" s="18">
        <v>7310</v>
      </c>
      <c r="L3843" s="18" t="s">
        <v>28</v>
      </c>
      <c r="M3843" s="18" t="s">
        <v>28</v>
      </c>
      <c r="N3843" s="17">
        <v>44553</v>
      </c>
      <c r="O3843" s="15" t="s">
        <v>79</v>
      </c>
      <c r="P3843" s="16" t="s">
        <v>12574</v>
      </c>
      <c r="Q3843" s="15" t="s">
        <v>114</v>
      </c>
      <c r="R3843" s="13" t="str">
        <f>HYPERLINK("https://my.pitchbook.com?c=175565-80T","View Company Online")</f>
        <v>View Company Online</v>
      </c>
    </row>
    <row r="3844" spans="1:18" hidden="1" x14ac:dyDescent="0.3">
      <c r="A3844" s="9" t="s">
        <v>12575</v>
      </c>
      <c r="B3844" s="9" t="s">
        <v>12576</v>
      </c>
      <c r="C3844" s="11" t="s">
        <v>28</v>
      </c>
      <c r="D3844" s="9" t="s">
        <v>12577</v>
      </c>
      <c r="E3844" s="11" t="s">
        <v>28</v>
      </c>
      <c r="F3844" s="10">
        <v>8.5</v>
      </c>
      <c r="G3844" s="10">
        <v>8.5</v>
      </c>
      <c r="H3844" s="10">
        <v>8.5</v>
      </c>
      <c r="I3844" s="11" t="s">
        <v>28</v>
      </c>
      <c r="J3844" s="11" t="s">
        <v>28</v>
      </c>
      <c r="K3844" s="11" t="s">
        <v>28</v>
      </c>
      <c r="L3844" s="11" t="s">
        <v>28</v>
      </c>
      <c r="M3844" s="11" t="s">
        <v>28</v>
      </c>
      <c r="N3844" s="8">
        <v>44553</v>
      </c>
      <c r="O3844" s="9" t="s">
        <v>30</v>
      </c>
      <c r="P3844" s="12" t="s">
        <v>12578</v>
      </c>
      <c r="Q3844" s="9" t="s">
        <v>348</v>
      </c>
      <c r="R3844" s="14" t="str">
        <f>HYPERLINK("https://my.pitchbook.com?c=211596-22T","View Company Online")</f>
        <v>View Company Online</v>
      </c>
    </row>
    <row r="3845" spans="1:18" hidden="1" x14ac:dyDescent="0.3">
      <c r="A3845" s="15" t="s">
        <v>12579</v>
      </c>
      <c r="B3845" s="15" t="s">
        <v>3710</v>
      </c>
      <c r="C3845" s="18" t="s">
        <v>28</v>
      </c>
      <c r="D3845" s="15" t="s">
        <v>3711</v>
      </c>
      <c r="E3845" s="18">
        <v>-15.07</v>
      </c>
      <c r="F3845" s="19" t="s">
        <v>28</v>
      </c>
      <c r="G3845" s="19">
        <v>106.91</v>
      </c>
      <c r="H3845" s="19" t="s">
        <v>28</v>
      </c>
      <c r="I3845" s="18">
        <v>-15.02</v>
      </c>
      <c r="J3845" s="18" t="s">
        <v>28</v>
      </c>
      <c r="K3845" s="18">
        <v>0</v>
      </c>
      <c r="L3845" s="18" t="s">
        <v>28</v>
      </c>
      <c r="M3845" s="18">
        <v>-15.32</v>
      </c>
      <c r="N3845" s="17">
        <v>44553</v>
      </c>
      <c r="O3845" s="15" t="s">
        <v>159</v>
      </c>
      <c r="P3845" s="16" t="s">
        <v>28</v>
      </c>
      <c r="Q3845" s="15" t="s">
        <v>470</v>
      </c>
      <c r="R3845" s="13" t="str">
        <f>HYPERLINK("https://my.pitchbook.com?c=185044-15T","View Company Online")</f>
        <v>View Company Online</v>
      </c>
    </row>
    <row r="3846" spans="1:18" hidden="1" x14ac:dyDescent="0.3">
      <c r="A3846" s="9" t="s">
        <v>12580</v>
      </c>
      <c r="B3846" s="9" t="s">
        <v>3744</v>
      </c>
      <c r="C3846" s="11" t="s">
        <v>28</v>
      </c>
      <c r="D3846" s="9" t="s">
        <v>3745</v>
      </c>
      <c r="E3846" s="11" t="s">
        <v>28</v>
      </c>
      <c r="F3846" s="10" t="s">
        <v>28</v>
      </c>
      <c r="G3846" s="10">
        <v>80</v>
      </c>
      <c r="H3846" s="10" t="s">
        <v>28</v>
      </c>
      <c r="I3846" s="11" t="s">
        <v>28</v>
      </c>
      <c r="J3846" s="11" t="s">
        <v>28</v>
      </c>
      <c r="K3846" s="11">
        <v>33.68</v>
      </c>
      <c r="L3846" s="11" t="s">
        <v>28</v>
      </c>
      <c r="M3846" s="11" t="s">
        <v>28</v>
      </c>
      <c r="N3846" s="8">
        <v>44553</v>
      </c>
      <c r="O3846" s="9" t="s">
        <v>79</v>
      </c>
      <c r="P3846" s="12" t="s">
        <v>12581</v>
      </c>
      <c r="Q3846" s="9" t="s">
        <v>85</v>
      </c>
      <c r="R3846" s="14" t="str">
        <f>HYPERLINK("https://my.pitchbook.com?c=180951-13T","View Company Online")</f>
        <v>View Company Online</v>
      </c>
    </row>
    <row r="3847" spans="1:18" hidden="1" x14ac:dyDescent="0.3">
      <c r="A3847" s="15" t="s">
        <v>12582</v>
      </c>
      <c r="B3847" s="15" t="s">
        <v>12583</v>
      </c>
      <c r="C3847" s="18" t="s">
        <v>28</v>
      </c>
      <c r="D3847" s="15" t="s">
        <v>12584</v>
      </c>
      <c r="E3847" s="18" t="s">
        <v>28</v>
      </c>
      <c r="F3847" s="19" t="s">
        <v>28</v>
      </c>
      <c r="G3847" s="19" t="s">
        <v>28</v>
      </c>
      <c r="H3847" s="19" t="s">
        <v>28</v>
      </c>
      <c r="I3847" s="18" t="s">
        <v>28</v>
      </c>
      <c r="J3847" s="18" t="s">
        <v>28</v>
      </c>
      <c r="K3847" s="18" t="s">
        <v>28</v>
      </c>
      <c r="L3847" s="18" t="s">
        <v>28</v>
      </c>
      <c r="M3847" s="18" t="s">
        <v>28</v>
      </c>
      <c r="N3847" s="17">
        <v>44552</v>
      </c>
      <c r="O3847" s="15" t="s">
        <v>30</v>
      </c>
      <c r="P3847" s="16" t="s">
        <v>12585</v>
      </c>
      <c r="Q3847" s="15" t="s">
        <v>75</v>
      </c>
      <c r="R3847" s="13" t="str">
        <f>HYPERLINK("https://my.pitchbook.com?c=186486-49T","View Company Online")</f>
        <v>View Company Online</v>
      </c>
    </row>
    <row r="3848" spans="1:18" hidden="1" x14ac:dyDescent="0.3">
      <c r="A3848" s="9" t="s">
        <v>12586</v>
      </c>
      <c r="B3848" s="9" t="s">
        <v>12406</v>
      </c>
      <c r="C3848" s="11" t="s">
        <v>28</v>
      </c>
      <c r="D3848" s="9" t="s">
        <v>12407</v>
      </c>
      <c r="E3848" s="11" t="s">
        <v>28</v>
      </c>
      <c r="F3848" s="10" t="s">
        <v>28</v>
      </c>
      <c r="G3848" s="10">
        <v>0.03</v>
      </c>
      <c r="H3848" s="10" t="s">
        <v>28</v>
      </c>
      <c r="I3848" s="11" t="s">
        <v>28</v>
      </c>
      <c r="J3848" s="11" t="s">
        <v>28</v>
      </c>
      <c r="K3848" s="11" t="s">
        <v>28</v>
      </c>
      <c r="L3848" s="11" t="s">
        <v>28</v>
      </c>
      <c r="M3848" s="11" t="s">
        <v>28</v>
      </c>
      <c r="N3848" s="8">
        <v>44552</v>
      </c>
      <c r="O3848" s="9" t="s">
        <v>73</v>
      </c>
      <c r="P3848" s="12" t="s">
        <v>12587</v>
      </c>
      <c r="Q3848" s="9" t="s">
        <v>75</v>
      </c>
      <c r="R3848" s="14" t="str">
        <f>HYPERLINK("https://my.pitchbook.com?c=177009-22T","View Company Online")</f>
        <v>View Company Online</v>
      </c>
    </row>
    <row r="3849" spans="1:18" hidden="1" x14ac:dyDescent="0.3">
      <c r="A3849" s="15" t="s">
        <v>12588</v>
      </c>
      <c r="B3849" s="15" t="s">
        <v>12589</v>
      </c>
      <c r="C3849" s="18" t="s">
        <v>28</v>
      </c>
      <c r="D3849" s="15" t="s">
        <v>12590</v>
      </c>
      <c r="E3849" s="18" t="s">
        <v>28</v>
      </c>
      <c r="F3849" s="19" t="s">
        <v>28</v>
      </c>
      <c r="G3849" s="19" t="s">
        <v>28</v>
      </c>
      <c r="H3849" s="19" t="s">
        <v>28</v>
      </c>
      <c r="I3849" s="18" t="s">
        <v>28</v>
      </c>
      <c r="J3849" s="18" t="s">
        <v>28</v>
      </c>
      <c r="K3849" s="18" t="s">
        <v>28</v>
      </c>
      <c r="L3849" s="18" t="s">
        <v>28</v>
      </c>
      <c r="M3849" s="18" t="s">
        <v>28</v>
      </c>
      <c r="N3849" s="17">
        <v>44552</v>
      </c>
      <c r="O3849" s="15" t="s">
        <v>379</v>
      </c>
      <c r="P3849" s="16" t="s">
        <v>28</v>
      </c>
      <c r="Q3849" s="15" t="s">
        <v>583</v>
      </c>
      <c r="R3849" s="13" t="str">
        <f>HYPERLINK("https://my.pitchbook.com?c=185615-38T","View Company Online")</f>
        <v>View Company Online</v>
      </c>
    </row>
    <row r="3850" spans="1:18" hidden="1" x14ac:dyDescent="0.3">
      <c r="A3850" s="9" t="s">
        <v>12591</v>
      </c>
      <c r="B3850" s="9" t="s">
        <v>4641</v>
      </c>
      <c r="C3850" s="11" t="s">
        <v>28</v>
      </c>
      <c r="D3850" s="9" t="s">
        <v>4642</v>
      </c>
      <c r="E3850" s="11" t="s">
        <v>28</v>
      </c>
      <c r="F3850" s="10" t="s">
        <v>28</v>
      </c>
      <c r="G3850" s="10">
        <v>2.66</v>
      </c>
      <c r="H3850" s="10" t="s">
        <v>28</v>
      </c>
      <c r="I3850" s="11" t="s">
        <v>28</v>
      </c>
      <c r="J3850" s="11" t="s">
        <v>28</v>
      </c>
      <c r="K3850" s="11" t="s">
        <v>28</v>
      </c>
      <c r="L3850" s="11" t="s">
        <v>28</v>
      </c>
      <c r="M3850" s="11" t="s">
        <v>28</v>
      </c>
      <c r="N3850" s="8">
        <v>44552</v>
      </c>
      <c r="O3850" s="9" t="s">
        <v>79</v>
      </c>
      <c r="P3850" s="12" t="s">
        <v>12592</v>
      </c>
      <c r="Q3850" s="9" t="s">
        <v>37</v>
      </c>
      <c r="R3850" s="14" t="str">
        <f>HYPERLINK("https://my.pitchbook.com?c=200390-41T","View Company Online")</f>
        <v>View Company Online</v>
      </c>
    </row>
    <row r="3851" spans="1:18" hidden="1" x14ac:dyDescent="0.3">
      <c r="A3851" s="15" t="s">
        <v>12593</v>
      </c>
      <c r="B3851" s="15" t="s">
        <v>11251</v>
      </c>
      <c r="C3851" s="18" t="s">
        <v>28</v>
      </c>
      <c r="D3851" s="15" t="s">
        <v>11252</v>
      </c>
      <c r="E3851" s="18" t="s">
        <v>28</v>
      </c>
      <c r="F3851" s="19" t="s">
        <v>28</v>
      </c>
      <c r="G3851" s="19" t="s">
        <v>28</v>
      </c>
      <c r="H3851" s="19" t="s">
        <v>28</v>
      </c>
      <c r="I3851" s="18" t="s">
        <v>28</v>
      </c>
      <c r="J3851" s="18" t="s">
        <v>28</v>
      </c>
      <c r="K3851" s="18" t="s">
        <v>28</v>
      </c>
      <c r="L3851" s="18" t="s">
        <v>28</v>
      </c>
      <c r="M3851" s="18" t="s">
        <v>28</v>
      </c>
      <c r="N3851" s="17">
        <v>44552</v>
      </c>
      <c r="O3851" s="15" t="s">
        <v>99</v>
      </c>
      <c r="P3851" s="16" t="s">
        <v>28</v>
      </c>
      <c r="Q3851" s="15" t="s">
        <v>75</v>
      </c>
      <c r="R3851" s="13" t="str">
        <f>HYPERLINK("https://my.pitchbook.com?c=200583-10T","View Company Online")</f>
        <v>View Company Online</v>
      </c>
    </row>
    <row r="3852" spans="1:18" hidden="1" x14ac:dyDescent="0.3">
      <c r="A3852" s="9" t="s">
        <v>12594</v>
      </c>
      <c r="B3852" s="9" t="s">
        <v>6326</v>
      </c>
      <c r="C3852" s="11" t="s">
        <v>28</v>
      </c>
      <c r="D3852" s="9" t="s">
        <v>6327</v>
      </c>
      <c r="E3852" s="11" t="s">
        <v>28</v>
      </c>
      <c r="F3852" s="10" t="s">
        <v>28</v>
      </c>
      <c r="G3852" s="10" t="s">
        <v>28</v>
      </c>
      <c r="H3852" s="10" t="s">
        <v>28</v>
      </c>
      <c r="I3852" s="11" t="s">
        <v>28</v>
      </c>
      <c r="J3852" s="11" t="s">
        <v>28</v>
      </c>
      <c r="K3852" s="11" t="s">
        <v>28</v>
      </c>
      <c r="L3852" s="11" t="s">
        <v>28</v>
      </c>
      <c r="M3852" s="11" t="s">
        <v>28</v>
      </c>
      <c r="N3852" s="8">
        <v>44551</v>
      </c>
      <c r="O3852" s="9" t="s">
        <v>79</v>
      </c>
      <c r="P3852" s="12" t="s">
        <v>12595</v>
      </c>
      <c r="Q3852" s="9" t="s">
        <v>37</v>
      </c>
      <c r="R3852" s="14" t="str">
        <f>HYPERLINK("https://my.pitchbook.com?c=221131-90T","View Company Online")</f>
        <v>View Company Online</v>
      </c>
    </row>
    <row r="3853" spans="1:18" hidden="1" x14ac:dyDescent="0.3">
      <c r="A3853" s="15" t="s">
        <v>12596</v>
      </c>
      <c r="B3853" s="15" t="s">
        <v>12597</v>
      </c>
      <c r="C3853" s="18" t="s">
        <v>28</v>
      </c>
      <c r="D3853" s="15" t="s">
        <v>12598</v>
      </c>
      <c r="E3853" s="18" t="s">
        <v>28</v>
      </c>
      <c r="F3853" s="19" t="s">
        <v>28</v>
      </c>
      <c r="G3853" s="19" t="s">
        <v>28</v>
      </c>
      <c r="H3853" s="19" t="s">
        <v>28</v>
      </c>
      <c r="I3853" s="18" t="s">
        <v>28</v>
      </c>
      <c r="J3853" s="18" t="s">
        <v>28</v>
      </c>
      <c r="K3853" s="18" t="s">
        <v>28</v>
      </c>
      <c r="L3853" s="18" t="s">
        <v>28</v>
      </c>
      <c r="M3853" s="18" t="s">
        <v>28</v>
      </c>
      <c r="N3853" s="17">
        <v>44551</v>
      </c>
      <c r="O3853" s="15" t="s">
        <v>30</v>
      </c>
      <c r="P3853" s="16" t="s">
        <v>3058</v>
      </c>
      <c r="Q3853" s="15" t="s">
        <v>43</v>
      </c>
      <c r="R3853" s="13" t="str">
        <f>HYPERLINK("https://my.pitchbook.com?c=211075-12T","View Company Online")</f>
        <v>View Company Online</v>
      </c>
    </row>
    <row r="3854" spans="1:18" hidden="1" x14ac:dyDescent="0.3">
      <c r="A3854" s="9" t="s">
        <v>12599</v>
      </c>
      <c r="B3854" s="9" t="s">
        <v>11394</v>
      </c>
      <c r="C3854" s="11" t="s">
        <v>28</v>
      </c>
      <c r="D3854" s="9" t="s">
        <v>11395</v>
      </c>
      <c r="E3854" s="11" t="s">
        <v>28</v>
      </c>
      <c r="F3854" s="10" t="s">
        <v>28</v>
      </c>
      <c r="G3854" s="10">
        <v>0.04</v>
      </c>
      <c r="H3854" s="10" t="s">
        <v>28</v>
      </c>
      <c r="I3854" s="11" t="s">
        <v>28</v>
      </c>
      <c r="J3854" s="11" t="s">
        <v>28</v>
      </c>
      <c r="K3854" s="11" t="s">
        <v>28</v>
      </c>
      <c r="L3854" s="11" t="s">
        <v>28</v>
      </c>
      <c r="M3854" s="11" t="s">
        <v>28</v>
      </c>
      <c r="N3854" s="8">
        <v>44551</v>
      </c>
      <c r="O3854" s="9" t="s">
        <v>99</v>
      </c>
      <c r="P3854" s="12" t="s">
        <v>12600</v>
      </c>
      <c r="Q3854" s="9" t="s">
        <v>54</v>
      </c>
      <c r="R3854" s="14" t="str">
        <f>HYPERLINK("https://my.pitchbook.com?c=214877-44T","View Company Online")</f>
        <v>View Company Online</v>
      </c>
    </row>
    <row r="3855" spans="1:18" hidden="1" x14ac:dyDescent="0.3">
      <c r="A3855" s="15" t="s">
        <v>12601</v>
      </c>
      <c r="B3855" s="15" t="s">
        <v>6671</v>
      </c>
      <c r="C3855" s="18" t="s">
        <v>28</v>
      </c>
      <c r="D3855" s="15" t="s">
        <v>6672</v>
      </c>
      <c r="E3855" s="18" t="s">
        <v>28</v>
      </c>
      <c r="F3855" s="19" t="s">
        <v>28</v>
      </c>
      <c r="G3855" s="19">
        <v>4</v>
      </c>
      <c r="H3855" s="19" t="s">
        <v>28</v>
      </c>
      <c r="I3855" s="18" t="s">
        <v>28</v>
      </c>
      <c r="J3855" s="18" t="s">
        <v>28</v>
      </c>
      <c r="K3855" s="18" t="s">
        <v>28</v>
      </c>
      <c r="L3855" s="18" t="s">
        <v>28</v>
      </c>
      <c r="M3855" s="18" t="s">
        <v>28</v>
      </c>
      <c r="N3855" s="17">
        <v>44551</v>
      </c>
      <c r="O3855" s="15" t="s">
        <v>99</v>
      </c>
      <c r="P3855" s="16" t="s">
        <v>12602</v>
      </c>
      <c r="Q3855" s="15" t="s">
        <v>5628</v>
      </c>
      <c r="R3855" s="13" t="str">
        <f>HYPERLINK("https://my.pitchbook.com?c=186901-57T","View Company Online")</f>
        <v>View Company Online</v>
      </c>
    </row>
    <row r="3856" spans="1:18" hidden="1" x14ac:dyDescent="0.3">
      <c r="A3856" s="9" t="s">
        <v>12603</v>
      </c>
      <c r="B3856" s="9" t="s">
        <v>12604</v>
      </c>
      <c r="C3856" s="11" t="s">
        <v>28</v>
      </c>
      <c r="D3856" s="9" t="s">
        <v>12605</v>
      </c>
      <c r="E3856" s="11" t="s">
        <v>28</v>
      </c>
      <c r="F3856" s="10">
        <v>74.959999999999994</v>
      </c>
      <c r="G3856" s="10">
        <v>74.959999999999994</v>
      </c>
      <c r="H3856" s="10">
        <v>74.959999999999994</v>
      </c>
      <c r="I3856" s="11" t="s">
        <v>28</v>
      </c>
      <c r="J3856" s="11" t="s">
        <v>28</v>
      </c>
      <c r="K3856" s="11" t="s">
        <v>28</v>
      </c>
      <c r="L3856" s="11" t="s">
        <v>28</v>
      </c>
      <c r="M3856" s="11" t="s">
        <v>28</v>
      </c>
      <c r="N3856" s="8">
        <v>44551</v>
      </c>
      <c r="O3856" s="9" t="s">
        <v>30</v>
      </c>
      <c r="P3856" s="12" t="s">
        <v>12606</v>
      </c>
      <c r="Q3856" s="9" t="s">
        <v>235</v>
      </c>
      <c r="R3856" s="14" t="str">
        <f>HYPERLINK("https://my.pitchbook.com?c=211709-26T","View Company Online")</f>
        <v>View Company Online</v>
      </c>
    </row>
    <row r="3857" spans="1:18" hidden="1" x14ac:dyDescent="0.3">
      <c r="A3857" s="15" t="s">
        <v>12607</v>
      </c>
      <c r="B3857" s="15" t="s">
        <v>11728</v>
      </c>
      <c r="C3857" s="18" t="s">
        <v>28</v>
      </c>
      <c r="D3857" s="15" t="s">
        <v>11729</v>
      </c>
      <c r="E3857" s="18" t="s">
        <v>28</v>
      </c>
      <c r="F3857" s="19" t="s">
        <v>28</v>
      </c>
      <c r="G3857" s="19">
        <v>4</v>
      </c>
      <c r="H3857" s="19" t="s">
        <v>28</v>
      </c>
      <c r="I3857" s="18" t="s">
        <v>28</v>
      </c>
      <c r="J3857" s="18" t="s">
        <v>28</v>
      </c>
      <c r="K3857" s="18" t="s">
        <v>28</v>
      </c>
      <c r="L3857" s="18" t="s">
        <v>28</v>
      </c>
      <c r="M3857" s="18" t="s">
        <v>28</v>
      </c>
      <c r="N3857" s="17">
        <v>44551</v>
      </c>
      <c r="O3857" s="15" t="s">
        <v>99</v>
      </c>
      <c r="P3857" s="16" t="s">
        <v>12608</v>
      </c>
      <c r="Q3857" s="15" t="s">
        <v>37</v>
      </c>
      <c r="R3857" s="13" t="str">
        <f>HYPERLINK("https://my.pitchbook.com?c=188281-27T","View Company Online")</f>
        <v>View Company Online</v>
      </c>
    </row>
    <row r="3858" spans="1:18" hidden="1" x14ac:dyDescent="0.3">
      <c r="A3858" s="9" t="s">
        <v>12609</v>
      </c>
      <c r="B3858" s="9" t="s">
        <v>3432</v>
      </c>
      <c r="C3858" s="11" t="s">
        <v>28</v>
      </c>
      <c r="D3858" s="9" t="s">
        <v>3433</v>
      </c>
      <c r="E3858" s="11" t="s">
        <v>28</v>
      </c>
      <c r="F3858" s="10" t="s">
        <v>28</v>
      </c>
      <c r="G3858" s="10">
        <v>0.18</v>
      </c>
      <c r="H3858" s="10" t="s">
        <v>28</v>
      </c>
      <c r="I3858" s="11" t="s">
        <v>28</v>
      </c>
      <c r="J3858" s="11" t="s">
        <v>28</v>
      </c>
      <c r="K3858" s="11" t="s">
        <v>28</v>
      </c>
      <c r="L3858" s="11" t="s">
        <v>28</v>
      </c>
      <c r="M3858" s="11" t="s">
        <v>28</v>
      </c>
      <c r="N3858" s="8">
        <v>44550</v>
      </c>
      <c r="O3858" s="9" t="s">
        <v>79</v>
      </c>
      <c r="P3858" s="12" t="s">
        <v>12610</v>
      </c>
      <c r="Q3858" s="9" t="s">
        <v>75</v>
      </c>
      <c r="R3858" s="14" t="str">
        <f>HYPERLINK("https://my.pitchbook.com?c=185433-76T","View Company Online")</f>
        <v>View Company Online</v>
      </c>
    </row>
    <row r="3859" spans="1:18" hidden="1" x14ac:dyDescent="0.3">
      <c r="A3859" s="15" t="s">
        <v>12611</v>
      </c>
      <c r="B3859" s="15" t="s">
        <v>12612</v>
      </c>
      <c r="C3859" s="18" t="s">
        <v>28</v>
      </c>
      <c r="D3859" s="15" t="s">
        <v>12613</v>
      </c>
      <c r="E3859" s="18" t="s">
        <v>28</v>
      </c>
      <c r="F3859" s="19" t="s">
        <v>28</v>
      </c>
      <c r="G3859" s="19" t="s">
        <v>28</v>
      </c>
      <c r="H3859" s="19" t="s">
        <v>28</v>
      </c>
      <c r="I3859" s="18" t="s">
        <v>28</v>
      </c>
      <c r="J3859" s="18" t="s">
        <v>28</v>
      </c>
      <c r="K3859" s="18" t="s">
        <v>28</v>
      </c>
      <c r="L3859" s="18" t="s">
        <v>28</v>
      </c>
      <c r="M3859" s="18" t="s">
        <v>28</v>
      </c>
      <c r="N3859" s="17">
        <v>44550</v>
      </c>
      <c r="O3859" s="15" t="s">
        <v>30</v>
      </c>
      <c r="P3859" s="16" t="s">
        <v>12614</v>
      </c>
      <c r="Q3859" s="15" t="s">
        <v>880</v>
      </c>
      <c r="R3859" s="13" t="str">
        <f>HYPERLINK("https://my.pitchbook.com?c=255960-10T","View Company Online")</f>
        <v>View Company Online</v>
      </c>
    </row>
    <row r="3860" spans="1:18" hidden="1" x14ac:dyDescent="0.3">
      <c r="A3860" s="9" t="s">
        <v>12615</v>
      </c>
      <c r="B3860" s="9" t="s">
        <v>12616</v>
      </c>
      <c r="C3860" s="11" t="s">
        <v>28</v>
      </c>
      <c r="D3860" s="9" t="s">
        <v>12617</v>
      </c>
      <c r="E3860" s="11" t="s">
        <v>28</v>
      </c>
      <c r="F3860" s="10" t="s">
        <v>28</v>
      </c>
      <c r="G3860" s="10">
        <v>3</v>
      </c>
      <c r="H3860" s="10" t="s">
        <v>28</v>
      </c>
      <c r="I3860" s="11" t="s">
        <v>28</v>
      </c>
      <c r="J3860" s="11" t="s">
        <v>28</v>
      </c>
      <c r="K3860" s="11" t="s">
        <v>28</v>
      </c>
      <c r="L3860" s="11" t="s">
        <v>28</v>
      </c>
      <c r="M3860" s="11" t="s">
        <v>28</v>
      </c>
      <c r="N3860" s="8">
        <v>44550</v>
      </c>
      <c r="O3860" s="9" t="s">
        <v>99</v>
      </c>
      <c r="P3860" s="12" t="s">
        <v>12618</v>
      </c>
      <c r="Q3860" s="9" t="s">
        <v>75</v>
      </c>
      <c r="R3860" s="14" t="str">
        <f>HYPERLINK("https://my.pitchbook.com?c=189129-07T","View Company Online")</f>
        <v>View Company Online</v>
      </c>
    </row>
    <row r="3861" spans="1:18" hidden="1" x14ac:dyDescent="0.3">
      <c r="A3861" s="15" t="s">
        <v>12619</v>
      </c>
      <c r="B3861" s="15" t="s">
        <v>12620</v>
      </c>
      <c r="C3861" s="18" t="s">
        <v>28</v>
      </c>
      <c r="D3861" s="15" t="s">
        <v>12621</v>
      </c>
      <c r="E3861" s="18" t="s">
        <v>28</v>
      </c>
      <c r="F3861" s="19" t="s">
        <v>28</v>
      </c>
      <c r="G3861" s="19" t="s">
        <v>28</v>
      </c>
      <c r="H3861" s="19" t="s">
        <v>28</v>
      </c>
      <c r="I3861" s="18" t="s">
        <v>28</v>
      </c>
      <c r="J3861" s="18" t="s">
        <v>28</v>
      </c>
      <c r="K3861" s="18" t="s">
        <v>28</v>
      </c>
      <c r="L3861" s="18" t="s">
        <v>28</v>
      </c>
      <c r="M3861" s="18" t="s">
        <v>28</v>
      </c>
      <c r="N3861" s="17">
        <v>44550</v>
      </c>
      <c r="O3861" s="15" t="s">
        <v>30</v>
      </c>
      <c r="P3861" s="16" t="s">
        <v>12622</v>
      </c>
      <c r="Q3861" s="15" t="s">
        <v>566</v>
      </c>
      <c r="R3861" s="13" t="str">
        <f>HYPERLINK("https://my.pitchbook.com?c=185490-91T","View Company Online")</f>
        <v>View Company Online</v>
      </c>
    </row>
    <row r="3862" spans="1:18" hidden="1" x14ac:dyDescent="0.3">
      <c r="A3862" s="9" t="s">
        <v>12623</v>
      </c>
      <c r="B3862" s="9" t="s">
        <v>12624</v>
      </c>
      <c r="C3862" s="11" t="s">
        <v>28</v>
      </c>
      <c r="D3862" s="9" t="s">
        <v>12625</v>
      </c>
      <c r="E3862" s="11" t="s">
        <v>28</v>
      </c>
      <c r="F3862" s="10" t="s">
        <v>28</v>
      </c>
      <c r="G3862" s="10" t="s">
        <v>28</v>
      </c>
      <c r="H3862" s="10" t="s">
        <v>28</v>
      </c>
      <c r="I3862" s="11" t="s">
        <v>28</v>
      </c>
      <c r="J3862" s="11" t="s">
        <v>28</v>
      </c>
      <c r="K3862" s="11" t="s">
        <v>28</v>
      </c>
      <c r="L3862" s="11" t="s">
        <v>28</v>
      </c>
      <c r="M3862" s="11" t="s">
        <v>28</v>
      </c>
      <c r="N3862" s="8">
        <v>44550</v>
      </c>
      <c r="O3862" s="9" t="s">
        <v>173</v>
      </c>
      <c r="P3862" s="12" t="s">
        <v>28</v>
      </c>
      <c r="Q3862" s="9" t="s">
        <v>174</v>
      </c>
      <c r="R3862" s="14" t="str">
        <f>HYPERLINK("https://my.pitchbook.com?c=225405-82T","View Company Online")</f>
        <v>View Company Online</v>
      </c>
    </row>
    <row r="3863" spans="1:18" x14ac:dyDescent="0.3">
      <c r="A3863" s="15" t="s">
        <v>12626</v>
      </c>
      <c r="B3863" s="15" t="s">
        <v>12627</v>
      </c>
      <c r="C3863" s="18">
        <v>6.16</v>
      </c>
      <c r="D3863" s="15" t="s">
        <v>12628</v>
      </c>
      <c r="E3863" s="18" t="s">
        <v>28</v>
      </c>
      <c r="F3863" s="19">
        <v>19.100000000000001</v>
      </c>
      <c r="G3863" s="19">
        <v>19.100000000000001</v>
      </c>
      <c r="H3863" s="19">
        <v>19.100000000000001</v>
      </c>
      <c r="I3863" s="18">
        <v>3.1</v>
      </c>
      <c r="J3863" s="18">
        <v>6.16</v>
      </c>
      <c r="K3863" s="18">
        <v>17.600000000000001</v>
      </c>
      <c r="L3863" s="18">
        <v>1.0900000000000001</v>
      </c>
      <c r="M3863" s="18" t="s">
        <v>28</v>
      </c>
      <c r="N3863" s="17">
        <v>44550</v>
      </c>
      <c r="O3863" s="15" t="s">
        <v>30</v>
      </c>
      <c r="P3863" s="16" t="s">
        <v>12629</v>
      </c>
      <c r="Q3863" s="15" t="s">
        <v>1643</v>
      </c>
      <c r="R3863" s="13" t="str">
        <f>HYPERLINK("https://my.pitchbook.com?c=185451-40T","View Company Online")</f>
        <v>View Company Online</v>
      </c>
    </row>
    <row r="3864" spans="1:18" hidden="1" x14ac:dyDescent="0.3">
      <c r="A3864" s="9" t="s">
        <v>12630</v>
      </c>
      <c r="B3864" s="9" t="s">
        <v>12631</v>
      </c>
      <c r="C3864" s="11" t="s">
        <v>28</v>
      </c>
      <c r="D3864" s="9" t="s">
        <v>12632</v>
      </c>
      <c r="E3864" s="11" t="s">
        <v>28</v>
      </c>
      <c r="F3864" s="10" t="s">
        <v>28</v>
      </c>
      <c r="G3864" s="10">
        <v>0.43</v>
      </c>
      <c r="H3864" s="10" t="s">
        <v>28</v>
      </c>
      <c r="I3864" s="11" t="s">
        <v>28</v>
      </c>
      <c r="J3864" s="11" t="s">
        <v>28</v>
      </c>
      <c r="K3864" s="11" t="s">
        <v>28</v>
      </c>
      <c r="L3864" s="11" t="s">
        <v>28</v>
      </c>
      <c r="M3864" s="11" t="s">
        <v>28</v>
      </c>
      <c r="N3864" s="8">
        <v>44549</v>
      </c>
      <c r="O3864" s="9" t="s">
        <v>99</v>
      </c>
      <c r="P3864" s="12" t="s">
        <v>12633</v>
      </c>
      <c r="Q3864" s="9" t="s">
        <v>75</v>
      </c>
      <c r="R3864" s="14" t="str">
        <f>HYPERLINK("https://my.pitchbook.com?c=185413-69T","View Company Online")</f>
        <v>View Company Online</v>
      </c>
    </row>
    <row r="3865" spans="1:18" hidden="1" x14ac:dyDescent="0.3">
      <c r="A3865" s="15" t="s">
        <v>12634</v>
      </c>
      <c r="B3865" s="15" t="s">
        <v>12635</v>
      </c>
      <c r="C3865" s="18" t="s">
        <v>28</v>
      </c>
      <c r="D3865" s="15" t="s">
        <v>12636</v>
      </c>
      <c r="E3865" s="18" t="s">
        <v>28</v>
      </c>
      <c r="F3865" s="19" t="s">
        <v>28</v>
      </c>
      <c r="G3865" s="19">
        <v>0.89</v>
      </c>
      <c r="H3865" s="19">
        <v>5.34</v>
      </c>
      <c r="I3865" s="18">
        <v>-1.35</v>
      </c>
      <c r="J3865" s="18">
        <v>-3.95</v>
      </c>
      <c r="K3865" s="18">
        <v>1.56</v>
      </c>
      <c r="L3865" s="18">
        <v>3.43</v>
      </c>
      <c r="M3865" s="18" t="s">
        <v>28</v>
      </c>
      <c r="N3865" s="17">
        <v>44547</v>
      </c>
      <c r="O3865" s="15" t="s">
        <v>79</v>
      </c>
      <c r="P3865" s="16" t="s">
        <v>12637</v>
      </c>
      <c r="Q3865" s="15" t="s">
        <v>75</v>
      </c>
      <c r="R3865" s="13" t="str">
        <f>HYPERLINK("https://my.pitchbook.com?c=184760-56T","View Company Online")</f>
        <v>View Company Online</v>
      </c>
    </row>
    <row r="3866" spans="1:18" hidden="1" x14ac:dyDescent="0.3">
      <c r="A3866" s="9" t="s">
        <v>12638</v>
      </c>
      <c r="B3866" s="9" t="s">
        <v>12639</v>
      </c>
      <c r="C3866" s="11" t="s">
        <v>28</v>
      </c>
      <c r="D3866" s="9" t="s">
        <v>12640</v>
      </c>
      <c r="E3866" s="11" t="s">
        <v>28</v>
      </c>
      <c r="F3866" s="10" t="s">
        <v>28</v>
      </c>
      <c r="G3866" s="10" t="s">
        <v>28</v>
      </c>
      <c r="H3866" s="10" t="s">
        <v>28</v>
      </c>
      <c r="I3866" s="11" t="s">
        <v>28</v>
      </c>
      <c r="J3866" s="11" t="s">
        <v>28</v>
      </c>
      <c r="K3866" s="11" t="s">
        <v>28</v>
      </c>
      <c r="L3866" s="11" t="s">
        <v>28</v>
      </c>
      <c r="M3866" s="11" t="s">
        <v>28</v>
      </c>
      <c r="N3866" s="8">
        <v>44547</v>
      </c>
      <c r="O3866" s="9" t="s">
        <v>99</v>
      </c>
      <c r="P3866" s="12" t="s">
        <v>12641</v>
      </c>
      <c r="Q3866" s="9" t="s">
        <v>75</v>
      </c>
      <c r="R3866" s="14" t="str">
        <f>HYPERLINK("https://my.pitchbook.com?c=194439-07T","View Company Online")</f>
        <v>View Company Online</v>
      </c>
    </row>
    <row r="3867" spans="1:18" hidden="1" x14ac:dyDescent="0.3">
      <c r="A3867" s="15" t="s">
        <v>12642</v>
      </c>
      <c r="B3867" s="15" t="s">
        <v>12643</v>
      </c>
      <c r="C3867" s="18" t="s">
        <v>28</v>
      </c>
      <c r="D3867" s="15" t="s">
        <v>12644</v>
      </c>
      <c r="E3867" s="18" t="s">
        <v>28</v>
      </c>
      <c r="F3867" s="19" t="s">
        <v>28</v>
      </c>
      <c r="G3867" s="19" t="s">
        <v>28</v>
      </c>
      <c r="H3867" s="19" t="s">
        <v>28</v>
      </c>
      <c r="I3867" s="18" t="s">
        <v>28</v>
      </c>
      <c r="J3867" s="18" t="s">
        <v>28</v>
      </c>
      <c r="K3867" s="18" t="s">
        <v>28</v>
      </c>
      <c r="L3867" s="18" t="s">
        <v>28</v>
      </c>
      <c r="M3867" s="18" t="s">
        <v>28</v>
      </c>
      <c r="N3867" s="17">
        <v>44547</v>
      </c>
      <c r="O3867" s="15" t="s">
        <v>173</v>
      </c>
      <c r="P3867" s="16" t="s">
        <v>28</v>
      </c>
      <c r="Q3867" s="15" t="s">
        <v>174</v>
      </c>
      <c r="R3867" s="13" t="str">
        <f>HYPERLINK("https://my.pitchbook.com?c=251671-15T","View Company Online")</f>
        <v>View Company Online</v>
      </c>
    </row>
    <row r="3868" spans="1:18" hidden="1" x14ac:dyDescent="0.3">
      <c r="A3868" s="9" t="s">
        <v>12645</v>
      </c>
      <c r="B3868" s="9" t="s">
        <v>12646</v>
      </c>
      <c r="C3868" s="11" t="s">
        <v>28</v>
      </c>
      <c r="D3868" s="9" t="s">
        <v>12647</v>
      </c>
      <c r="E3868" s="11" t="s">
        <v>28</v>
      </c>
      <c r="F3868" s="10" t="s">
        <v>28</v>
      </c>
      <c r="G3868" s="10" t="s">
        <v>28</v>
      </c>
      <c r="H3868" s="10" t="s">
        <v>28</v>
      </c>
      <c r="I3868" s="11" t="s">
        <v>28</v>
      </c>
      <c r="J3868" s="11" t="s">
        <v>28</v>
      </c>
      <c r="K3868" s="11" t="s">
        <v>28</v>
      </c>
      <c r="L3868" s="11" t="s">
        <v>28</v>
      </c>
      <c r="M3868" s="11" t="s">
        <v>28</v>
      </c>
      <c r="N3868" s="8">
        <v>44547</v>
      </c>
      <c r="O3868" s="9" t="s">
        <v>93</v>
      </c>
      <c r="P3868" s="12" t="s">
        <v>12648</v>
      </c>
      <c r="Q3868" s="9" t="s">
        <v>75</v>
      </c>
      <c r="R3868" s="14" t="str">
        <f>HYPERLINK("https://my.pitchbook.com?c=185464-90T","View Company Online")</f>
        <v>View Company Online</v>
      </c>
    </row>
    <row r="3869" spans="1:18" hidden="1" x14ac:dyDescent="0.3">
      <c r="A3869" s="15" t="s">
        <v>12649</v>
      </c>
      <c r="B3869" s="15" t="s">
        <v>7420</v>
      </c>
      <c r="C3869" s="18" t="s">
        <v>28</v>
      </c>
      <c r="D3869" s="15" t="s">
        <v>7421</v>
      </c>
      <c r="E3869" s="18" t="s">
        <v>28</v>
      </c>
      <c r="F3869" s="19" t="s">
        <v>28</v>
      </c>
      <c r="G3869" s="19" t="s">
        <v>28</v>
      </c>
      <c r="H3869" s="19" t="s">
        <v>28</v>
      </c>
      <c r="I3869" s="18" t="s">
        <v>28</v>
      </c>
      <c r="J3869" s="18" t="s">
        <v>28</v>
      </c>
      <c r="K3869" s="18" t="s">
        <v>28</v>
      </c>
      <c r="L3869" s="18" t="s">
        <v>28</v>
      </c>
      <c r="M3869" s="18" t="s">
        <v>28</v>
      </c>
      <c r="N3869" s="17">
        <v>44547</v>
      </c>
      <c r="O3869" s="15" t="s">
        <v>99</v>
      </c>
      <c r="P3869" s="16" t="s">
        <v>611</v>
      </c>
      <c r="Q3869" s="15" t="s">
        <v>75</v>
      </c>
      <c r="R3869" s="13" t="str">
        <f>HYPERLINK("https://my.pitchbook.com?c=210911-86T","View Company Online")</f>
        <v>View Company Online</v>
      </c>
    </row>
    <row r="3870" spans="1:18" hidden="1" x14ac:dyDescent="0.3">
      <c r="A3870" s="9" t="s">
        <v>12650</v>
      </c>
      <c r="B3870" s="9" t="s">
        <v>12651</v>
      </c>
      <c r="C3870" s="11" t="s">
        <v>28</v>
      </c>
      <c r="D3870" s="9" t="s">
        <v>12652</v>
      </c>
      <c r="E3870" s="11" t="s">
        <v>28</v>
      </c>
      <c r="F3870" s="10" t="s">
        <v>28</v>
      </c>
      <c r="G3870" s="10" t="s">
        <v>28</v>
      </c>
      <c r="H3870" s="10" t="s">
        <v>28</v>
      </c>
      <c r="I3870" s="11" t="s">
        <v>28</v>
      </c>
      <c r="J3870" s="11" t="s">
        <v>28</v>
      </c>
      <c r="K3870" s="11">
        <v>1.4</v>
      </c>
      <c r="L3870" s="11" t="s">
        <v>28</v>
      </c>
      <c r="M3870" s="11" t="s">
        <v>28</v>
      </c>
      <c r="N3870" s="8">
        <v>44547</v>
      </c>
      <c r="O3870" s="9" t="s">
        <v>79</v>
      </c>
      <c r="P3870" s="12" t="s">
        <v>12653</v>
      </c>
      <c r="Q3870" s="9" t="s">
        <v>75</v>
      </c>
      <c r="R3870" s="14" t="str">
        <f>HYPERLINK("https://my.pitchbook.com?c=175733-92T","View Company Online")</f>
        <v>View Company Online</v>
      </c>
    </row>
    <row r="3871" spans="1:18" hidden="1" x14ac:dyDescent="0.3">
      <c r="A3871" s="15" t="s">
        <v>12654</v>
      </c>
      <c r="B3871" s="15" t="s">
        <v>3549</v>
      </c>
      <c r="C3871" s="18" t="s">
        <v>28</v>
      </c>
      <c r="D3871" s="15" t="s">
        <v>3550</v>
      </c>
      <c r="E3871" s="18" t="s">
        <v>28</v>
      </c>
      <c r="F3871" s="19" t="s">
        <v>28</v>
      </c>
      <c r="G3871" s="19">
        <v>0.4</v>
      </c>
      <c r="H3871" s="19" t="s">
        <v>28</v>
      </c>
      <c r="I3871" s="18" t="s">
        <v>28</v>
      </c>
      <c r="J3871" s="18" t="s">
        <v>28</v>
      </c>
      <c r="K3871" s="18" t="s">
        <v>28</v>
      </c>
      <c r="L3871" s="18" t="s">
        <v>28</v>
      </c>
      <c r="M3871" s="18" t="s">
        <v>28</v>
      </c>
      <c r="N3871" s="17">
        <v>44547</v>
      </c>
      <c r="O3871" s="15" t="s">
        <v>99</v>
      </c>
      <c r="P3871" s="16" t="s">
        <v>221</v>
      </c>
      <c r="Q3871" s="15" t="s">
        <v>75</v>
      </c>
      <c r="R3871" s="13" t="str">
        <f>HYPERLINK("https://my.pitchbook.com?c=210323-26T","View Company Online")</f>
        <v>View Company Online</v>
      </c>
    </row>
    <row r="3872" spans="1:18" hidden="1" x14ac:dyDescent="0.3">
      <c r="A3872" s="9" t="s">
        <v>12655</v>
      </c>
      <c r="B3872" s="9" t="s">
        <v>12656</v>
      </c>
      <c r="C3872" s="11" t="s">
        <v>28</v>
      </c>
      <c r="D3872" s="9" t="s">
        <v>12657</v>
      </c>
      <c r="E3872" s="11" t="s">
        <v>28</v>
      </c>
      <c r="F3872" s="10" t="s">
        <v>28</v>
      </c>
      <c r="G3872" s="10" t="s">
        <v>28</v>
      </c>
      <c r="H3872" s="10" t="s">
        <v>28</v>
      </c>
      <c r="I3872" s="11" t="s">
        <v>28</v>
      </c>
      <c r="J3872" s="11" t="s">
        <v>28</v>
      </c>
      <c r="K3872" s="11" t="s">
        <v>28</v>
      </c>
      <c r="L3872" s="11" t="s">
        <v>28</v>
      </c>
      <c r="M3872" s="11" t="s">
        <v>28</v>
      </c>
      <c r="N3872" s="8">
        <v>44547</v>
      </c>
      <c r="O3872" s="9" t="s">
        <v>30</v>
      </c>
      <c r="P3872" s="12" t="s">
        <v>4953</v>
      </c>
      <c r="Q3872" s="9" t="s">
        <v>226</v>
      </c>
      <c r="R3872" s="14" t="str">
        <f>HYPERLINK("https://my.pitchbook.com?c=210929-68T","View Company Online")</f>
        <v>View Company Online</v>
      </c>
    </row>
    <row r="3873" spans="1:18" hidden="1" x14ac:dyDescent="0.3">
      <c r="A3873" s="15" t="s">
        <v>12658</v>
      </c>
      <c r="B3873" s="15" t="s">
        <v>8567</v>
      </c>
      <c r="C3873" s="18" t="s">
        <v>28</v>
      </c>
      <c r="D3873" s="15" t="s">
        <v>8568</v>
      </c>
      <c r="E3873" s="18" t="s">
        <v>28</v>
      </c>
      <c r="F3873" s="19" t="s">
        <v>28</v>
      </c>
      <c r="G3873" s="19">
        <v>2.54</v>
      </c>
      <c r="H3873" s="19">
        <v>21.41</v>
      </c>
      <c r="I3873" s="18" t="s">
        <v>28</v>
      </c>
      <c r="J3873" s="18" t="s">
        <v>28</v>
      </c>
      <c r="K3873" s="18" t="s">
        <v>28</v>
      </c>
      <c r="L3873" s="18" t="s">
        <v>28</v>
      </c>
      <c r="M3873" s="18" t="s">
        <v>28</v>
      </c>
      <c r="N3873" s="17">
        <v>44546</v>
      </c>
      <c r="O3873" s="15" t="s">
        <v>73</v>
      </c>
      <c r="P3873" s="16" t="s">
        <v>12659</v>
      </c>
      <c r="Q3873" s="15" t="s">
        <v>37</v>
      </c>
      <c r="R3873" s="13" t="str">
        <f>HYPERLINK("https://my.pitchbook.com?c=185300-47T","View Company Online")</f>
        <v>View Company Online</v>
      </c>
    </row>
    <row r="3874" spans="1:18" hidden="1" x14ac:dyDescent="0.3">
      <c r="A3874" s="9" t="s">
        <v>12660</v>
      </c>
      <c r="B3874" s="9" t="s">
        <v>12661</v>
      </c>
      <c r="C3874" s="11" t="s">
        <v>28</v>
      </c>
      <c r="D3874" s="9" t="s">
        <v>12662</v>
      </c>
      <c r="E3874" s="11" t="s">
        <v>28</v>
      </c>
      <c r="F3874" s="10">
        <v>11.32</v>
      </c>
      <c r="G3874" s="10">
        <v>11.06</v>
      </c>
      <c r="H3874" s="10">
        <v>11.32</v>
      </c>
      <c r="I3874" s="11" t="s">
        <v>28</v>
      </c>
      <c r="J3874" s="11" t="s">
        <v>28</v>
      </c>
      <c r="K3874" s="11" t="s">
        <v>28</v>
      </c>
      <c r="L3874" s="11" t="s">
        <v>28</v>
      </c>
      <c r="M3874" s="11" t="s">
        <v>28</v>
      </c>
      <c r="N3874" s="8">
        <v>44546</v>
      </c>
      <c r="O3874" s="9" t="s">
        <v>30</v>
      </c>
      <c r="P3874" s="12" t="s">
        <v>8776</v>
      </c>
      <c r="Q3874" s="9" t="s">
        <v>105</v>
      </c>
      <c r="R3874" s="14" t="str">
        <f>HYPERLINK("https://my.pitchbook.com?c=209549-80T","View Company Online")</f>
        <v>View Company Online</v>
      </c>
    </row>
    <row r="3875" spans="1:18" hidden="1" x14ac:dyDescent="0.3">
      <c r="A3875" s="15" t="s">
        <v>12663</v>
      </c>
      <c r="B3875" s="15" t="s">
        <v>3119</v>
      </c>
      <c r="C3875" s="18" t="s">
        <v>28</v>
      </c>
      <c r="D3875" s="15" t="s">
        <v>3120</v>
      </c>
      <c r="E3875" s="18" t="s">
        <v>28</v>
      </c>
      <c r="F3875" s="19" t="s">
        <v>28</v>
      </c>
      <c r="G3875" s="19">
        <v>21.66</v>
      </c>
      <c r="H3875" s="19" t="s">
        <v>28</v>
      </c>
      <c r="I3875" s="18" t="s">
        <v>28</v>
      </c>
      <c r="J3875" s="18" t="s">
        <v>28</v>
      </c>
      <c r="K3875" s="18" t="s">
        <v>28</v>
      </c>
      <c r="L3875" s="18" t="s">
        <v>28</v>
      </c>
      <c r="M3875" s="18" t="s">
        <v>28</v>
      </c>
      <c r="N3875" s="17">
        <v>44546</v>
      </c>
      <c r="O3875" s="15" t="s">
        <v>73</v>
      </c>
      <c r="P3875" s="16" t="s">
        <v>12664</v>
      </c>
      <c r="Q3875" s="15" t="s">
        <v>37</v>
      </c>
      <c r="R3875" s="13" t="str">
        <f>HYPERLINK("https://my.pitchbook.com?c=185232-16T","View Company Online")</f>
        <v>View Company Online</v>
      </c>
    </row>
    <row r="3876" spans="1:18" hidden="1" x14ac:dyDescent="0.3">
      <c r="A3876" s="9" t="s">
        <v>12665</v>
      </c>
      <c r="B3876" s="9" t="s">
        <v>12666</v>
      </c>
      <c r="C3876" s="11" t="s">
        <v>28</v>
      </c>
      <c r="D3876" s="9" t="s">
        <v>12667</v>
      </c>
      <c r="E3876" s="11" t="s">
        <v>28</v>
      </c>
      <c r="F3876" s="10" t="s">
        <v>28</v>
      </c>
      <c r="G3876" s="10" t="s">
        <v>28</v>
      </c>
      <c r="H3876" s="10" t="s">
        <v>28</v>
      </c>
      <c r="I3876" s="11" t="s">
        <v>28</v>
      </c>
      <c r="J3876" s="11" t="s">
        <v>28</v>
      </c>
      <c r="K3876" s="11" t="s">
        <v>28</v>
      </c>
      <c r="L3876" s="11" t="s">
        <v>28</v>
      </c>
      <c r="M3876" s="11" t="s">
        <v>28</v>
      </c>
      <c r="N3876" s="8">
        <v>44546</v>
      </c>
      <c r="O3876" s="9" t="s">
        <v>173</v>
      </c>
      <c r="P3876" s="12" t="s">
        <v>28</v>
      </c>
      <c r="Q3876" s="9" t="s">
        <v>174</v>
      </c>
      <c r="R3876" s="14" t="str">
        <f>HYPERLINK("https://my.pitchbook.com?c=251371-54T","View Company Online")</f>
        <v>View Company Online</v>
      </c>
    </row>
    <row r="3877" spans="1:18" hidden="1" x14ac:dyDescent="0.3">
      <c r="A3877" s="15" t="s">
        <v>12668</v>
      </c>
      <c r="B3877" s="15" t="s">
        <v>12669</v>
      </c>
      <c r="C3877" s="18" t="s">
        <v>28</v>
      </c>
      <c r="D3877" s="15" t="s">
        <v>12670</v>
      </c>
      <c r="E3877" s="18" t="s">
        <v>28</v>
      </c>
      <c r="F3877" s="19" t="s">
        <v>28</v>
      </c>
      <c r="G3877" s="19" t="s">
        <v>28</v>
      </c>
      <c r="H3877" s="19" t="s">
        <v>28</v>
      </c>
      <c r="I3877" s="18" t="s">
        <v>28</v>
      </c>
      <c r="J3877" s="18" t="s">
        <v>28</v>
      </c>
      <c r="K3877" s="18" t="s">
        <v>28</v>
      </c>
      <c r="L3877" s="18" t="s">
        <v>28</v>
      </c>
      <c r="M3877" s="18" t="s">
        <v>28</v>
      </c>
      <c r="N3877" s="17">
        <v>44546</v>
      </c>
      <c r="O3877" s="15" t="s">
        <v>30</v>
      </c>
      <c r="P3877" s="16" t="s">
        <v>12671</v>
      </c>
      <c r="Q3877" s="15" t="s">
        <v>75</v>
      </c>
      <c r="R3877" s="13" t="str">
        <f>HYPERLINK("https://my.pitchbook.com?c=185270-32T","View Company Online")</f>
        <v>View Company Online</v>
      </c>
    </row>
    <row r="3878" spans="1:18" hidden="1" x14ac:dyDescent="0.3">
      <c r="A3878" s="9" t="s">
        <v>12672</v>
      </c>
      <c r="B3878" s="9" t="s">
        <v>12673</v>
      </c>
      <c r="C3878" s="11" t="s">
        <v>28</v>
      </c>
      <c r="D3878" s="9" t="s">
        <v>12674</v>
      </c>
      <c r="E3878" s="11" t="s">
        <v>28</v>
      </c>
      <c r="F3878" s="10" t="s">
        <v>28</v>
      </c>
      <c r="G3878" s="10">
        <v>10.7</v>
      </c>
      <c r="H3878" s="10" t="s">
        <v>28</v>
      </c>
      <c r="I3878" s="11" t="s">
        <v>28</v>
      </c>
      <c r="J3878" s="11" t="s">
        <v>28</v>
      </c>
      <c r="K3878" s="11" t="s">
        <v>28</v>
      </c>
      <c r="L3878" s="11" t="s">
        <v>28</v>
      </c>
      <c r="M3878" s="11" t="s">
        <v>28</v>
      </c>
      <c r="N3878" s="8">
        <v>44546</v>
      </c>
      <c r="O3878" s="9" t="s">
        <v>79</v>
      </c>
      <c r="P3878" s="12" t="s">
        <v>12675</v>
      </c>
      <c r="Q3878" s="9" t="s">
        <v>54</v>
      </c>
      <c r="R3878" s="14" t="str">
        <f>HYPERLINK("https://my.pitchbook.com?c=185270-23T","View Company Online")</f>
        <v>View Company Online</v>
      </c>
    </row>
    <row r="3879" spans="1:18" hidden="1" x14ac:dyDescent="0.3">
      <c r="A3879" s="15" t="s">
        <v>12676</v>
      </c>
      <c r="B3879" s="15" t="s">
        <v>12677</v>
      </c>
      <c r="C3879" s="18" t="s">
        <v>28</v>
      </c>
      <c r="D3879" s="15" t="s">
        <v>12678</v>
      </c>
      <c r="E3879" s="18" t="s">
        <v>28</v>
      </c>
      <c r="F3879" s="19" t="s">
        <v>28</v>
      </c>
      <c r="G3879" s="19" t="s">
        <v>28</v>
      </c>
      <c r="H3879" s="19" t="s">
        <v>28</v>
      </c>
      <c r="I3879" s="18" t="s">
        <v>28</v>
      </c>
      <c r="J3879" s="18" t="s">
        <v>28</v>
      </c>
      <c r="K3879" s="18" t="s">
        <v>28</v>
      </c>
      <c r="L3879" s="18" t="s">
        <v>28</v>
      </c>
      <c r="M3879" s="18" t="s">
        <v>28</v>
      </c>
      <c r="N3879" s="17">
        <v>44546</v>
      </c>
      <c r="O3879" s="15" t="s">
        <v>173</v>
      </c>
      <c r="P3879" s="16" t="s">
        <v>28</v>
      </c>
      <c r="Q3879" s="15" t="s">
        <v>174</v>
      </c>
      <c r="R3879" s="13" t="str">
        <f>HYPERLINK("https://my.pitchbook.com?c=251777-89T","View Company Online")</f>
        <v>View Company Online</v>
      </c>
    </row>
    <row r="3880" spans="1:18" hidden="1" x14ac:dyDescent="0.3">
      <c r="A3880" s="9" t="s">
        <v>12679</v>
      </c>
      <c r="B3880" s="9" t="s">
        <v>3563</v>
      </c>
      <c r="C3880" s="11" t="s">
        <v>28</v>
      </c>
      <c r="D3880" s="9" t="s">
        <v>3564</v>
      </c>
      <c r="E3880" s="11" t="s">
        <v>28</v>
      </c>
      <c r="F3880" s="10" t="s">
        <v>28</v>
      </c>
      <c r="G3880" s="10">
        <v>0.03</v>
      </c>
      <c r="H3880" s="10" t="s">
        <v>28</v>
      </c>
      <c r="I3880" s="11" t="s">
        <v>28</v>
      </c>
      <c r="J3880" s="11" t="s">
        <v>28</v>
      </c>
      <c r="K3880" s="11" t="s">
        <v>28</v>
      </c>
      <c r="L3880" s="11" t="s">
        <v>28</v>
      </c>
      <c r="M3880" s="11" t="s">
        <v>28</v>
      </c>
      <c r="N3880" s="8">
        <v>44546</v>
      </c>
      <c r="O3880" s="9" t="s">
        <v>52</v>
      </c>
      <c r="P3880" s="12" t="s">
        <v>221</v>
      </c>
      <c r="Q3880" s="9" t="s">
        <v>75</v>
      </c>
      <c r="R3880" s="14" t="str">
        <f>HYPERLINK("https://my.pitchbook.com?c=215418-34T","View Company Online")</f>
        <v>View Company Online</v>
      </c>
    </row>
    <row r="3881" spans="1:18" hidden="1" x14ac:dyDescent="0.3">
      <c r="A3881" s="15" t="s">
        <v>12680</v>
      </c>
      <c r="B3881" s="15" t="s">
        <v>12681</v>
      </c>
      <c r="C3881" s="18" t="s">
        <v>28</v>
      </c>
      <c r="D3881" s="15" t="s">
        <v>12682</v>
      </c>
      <c r="E3881" s="18" t="s">
        <v>28</v>
      </c>
      <c r="F3881" s="19" t="s">
        <v>28</v>
      </c>
      <c r="G3881" s="19" t="s">
        <v>28</v>
      </c>
      <c r="H3881" s="19" t="s">
        <v>28</v>
      </c>
      <c r="I3881" s="18" t="s">
        <v>28</v>
      </c>
      <c r="J3881" s="18" t="s">
        <v>28</v>
      </c>
      <c r="K3881" s="18" t="s">
        <v>28</v>
      </c>
      <c r="L3881" s="18" t="s">
        <v>28</v>
      </c>
      <c r="M3881" s="18" t="s">
        <v>28</v>
      </c>
      <c r="N3881" s="17">
        <v>44546</v>
      </c>
      <c r="O3881" s="15" t="s">
        <v>58</v>
      </c>
      <c r="P3881" s="16" t="s">
        <v>12683</v>
      </c>
      <c r="Q3881" s="15" t="s">
        <v>855</v>
      </c>
      <c r="R3881" s="13" t="str">
        <f>HYPERLINK("https://my.pitchbook.com?c=275079-07T","View Company Online")</f>
        <v>View Company Online</v>
      </c>
    </row>
    <row r="3882" spans="1:18" hidden="1" x14ac:dyDescent="0.3">
      <c r="A3882" s="9" t="s">
        <v>12684</v>
      </c>
      <c r="B3882" s="9" t="s">
        <v>12685</v>
      </c>
      <c r="C3882" s="11" t="s">
        <v>28</v>
      </c>
      <c r="D3882" s="9" t="s">
        <v>12686</v>
      </c>
      <c r="E3882" s="11" t="s">
        <v>28</v>
      </c>
      <c r="F3882" s="10" t="s">
        <v>28</v>
      </c>
      <c r="G3882" s="10" t="s">
        <v>28</v>
      </c>
      <c r="H3882" s="10" t="s">
        <v>28</v>
      </c>
      <c r="I3882" s="11" t="s">
        <v>28</v>
      </c>
      <c r="J3882" s="11" t="s">
        <v>28</v>
      </c>
      <c r="K3882" s="11" t="s">
        <v>28</v>
      </c>
      <c r="L3882" s="11" t="s">
        <v>28</v>
      </c>
      <c r="M3882" s="11" t="s">
        <v>28</v>
      </c>
      <c r="N3882" s="8">
        <v>44545</v>
      </c>
      <c r="O3882" s="9" t="s">
        <v>58</v>
      </c>
      <c r="P3882" s="12" t="s">
        <v>28</v>
      </c>
      <c r="Q3882" s="9" t="s">
        <v>522</v>
      </c>
      <c r="R3882" s="14" t="str">
        <f>HYPERLINK("https://my.pitchbook.com?c=185171-95T","View Company Online")</f>
        <v>View Company Online</v>
      </c>
    </row>
    <row r="3883" spans="1:18" hidden="1" x14ac:dyDescent="0.3">
      <c r="A3883" s="15" t="s">
        <v>12687</v>
      </c>
      <c r="B3883" s="15" t="s">
        <v>12688</v>
      </c>
      <c r="C3883" s="18" t="s">
        <v>28</v>
      </c>
      <c r="D3883" s="15" t="s">
        <v>12689</v>
      </c>
      <c r="E3883" s="18">
        <v>9.06</v>
      </c>
      <c r="F3883" s="19" t="s">
        <v>28</v>
      </c>
      <c r="G3883" s="19">
        <v>24.58</v>
      </c>
      <c r="H3883" s="19" t="s">
        <v>28</v>
      </c>
      <c r="I3883" s="18">
        <v>9.06</v>
      </c>
      <c r="J3883" s="18" t="s">
        <v>28</v>
      </c>
      <c r="K3883" s="18">
        <v>1.23</v>
      </c>
      <c r="L3883" s="18" t="s">
        <v>28</v>
      </c>
      <c r="M3883" s="18">
        <v>6.64</v>
      </c>
      <c r="N3883" s="17">
        <v>44545</v>
      </c>
      <c r="O3883" s="15" t="s">
        <v>173</v>
      </c>
      <c r="P3883" s="16" t="s">
        <v>28</v>
      </c>
      <c r="Q3883" s="15" t="s">
        <v>174</v>
      </c>
      <c r="R3883" s="13" t="str">
        <f>HYPERLINK("https://my.pitchbook.com?c=221408-29T","View Company Online")</f>
        <v>View Company Online</v>
      </c>
    </row>
    <row r="3884" spans="1:18" hidden="1" x14ac:dyDescent="0.3">
      <c r="A3884" s="9" t="s">
        <v>12690</v>
      </c>
      <c r="B3884" s="9" t="s">
        <v>1013</v>
      </c>
      <c r="C3884" s="11" t="s">
        <v>28</v>
      </c>
      <c r="D3884" s="9" t="s">
        <v>1014</v>
      </c>
      <c r="E3884" s="11" t="s">
        <v>28</v>
      </c>
      <c r="F3884" s="10" t="s">
        <v>28</v>
      </c>
      <c r="G3884" s="10">
        <v>0.01</v>
      </c>
      <c r="H3884" s="10" t="s">
        <v>28</v>
      </c>
      <c r="I3884" s="11" t="s">
        <v>28</v>
      </c>
      <c r="J3884" s="11" t="s">
        <v>28</v>
      </c>
      <c r="K3884" s="11" t="s">
        <v>28</v>
      </c>
      <c r="L3884" s="11" t="s">
        <v>28</v>
      </c>
      <c r="M3884" s="11" t="s">
        <v>28</v>
      </c>
      <c r="N3884" s="8">
        <v>44545</v>
      </c>
      <c r="O3884" s="9" t="s">
        <v>47</v>
      </c>
      <c r="P3884" s="12" t="s">
        <v>28</v>
      </c>
      <c r="Q3884" s="9" t="s">
        <v>75</v>
      </c>
      <c r="R3884" s="14" t="str">
        <f>HYPERLINK("https://my.pitchbook.com?c=211035-43T","View Company Online")</f>
        <v>View Company Online</v>
      </c>
    </row>
    <row r="3885" spans="1:18" hidden="1" x14ac:dyDescent="0.3">
      <c r="A3885" s="15" t="s">
        <v>12691</v>
      </c>
      <c r="B3885" s="15" t="s">
        <v>5706</v>
      </c>
      <c r="C3885" s="18" t="s">
        <v>28</v>
      </c>
      <c r="D3885" s="15" t="s">
        <v>5707</v>
      </c>
      <c r="E3885" s="18" t="s">
        <v>28</v>
      </c>
      <c r="F3885" s="19" t="s">
        <v>28</v>
      </c>
      <c r="G3885" s="19">
        <v>0.27</v>
      </c>
      <c r="H3885" s="19" t="s">
        <v>28</v>
      </c>
      <c r="I3885" s="18" t="s">
        <v>28</v>
      </c>
      <c r="J3885" s="18" t="s">
        <v>28</v>
      </c>
      <c r="K3885" s="18" t="s">
        <v>28</v>
      </c>
      <c r="L3885" s="18" t="s">
        <v>28</v>
      </c>
      <c r="M3885" s="18" t="s">
        <v>28</v>
      </c>
      <c r="N3885" s="17">
        <v>44545</v>
      </c>
      <c r="O3885" s="15" t="s">
        <v>73</v>
      </c>
      <c r="P3885" s="16" t="s">
        <v>12692</v>
      </c>
      <c r="Q3885" s="15" t="s">
        <v>75</v>
      </c>
      <c r="R3885" s="13" t="str">
        <f>HYPERLINK("https://my.pitchbook.com?c=185219-65T","View Company Online")</f>
        <v>View Company Online</v>
      </c>
    </row>
    <row r="3886" spans="1:18" hidden="1" x14ac:dyDescent="0.3">
      <c r="A3886" s="9" t="s">
        <v>12693</v>
      </c>
      <c r="B3886" s="9" t="s">
        <v>12694</v>
      </c>
      <c r="C3886" s="11" t="s">
        <v>28</v>
      </c>
      <c r="D3886" s="9" t="s">
        <v>12695</v>
      </c>
      <c r="E3886" s="11" t="s">
        <v>28</v>
      </c>
      <c r="F3886" s="10" t="s">
        <v>28</v>
      </c>
      <c r="G3886" s="10" t="s">
        <v>28</v>
      </c>
      <c r="H3886" s="10" t="s">
        <v>28</v>
      </c>
      <c r="I3886" s="11" t="s">
        <v>28</v>
      </c>
      <c r="J3886" s="11" t="s">
        <v>28</v>
      </c>
      <c r="K3886" s="11" t="s">
        <v>28</v>
      </c>
      <c r="L3886" s="11" t="s">
        <v>28</v>
      </c>
      <c r="M3886" s="11" t="s">
        <v>28</v>
      </c>
      <c r="N3886" s="8">
        <v>44545</v>
      </c>
      <c r="O3886" s="9" t="s">
        <v>30</v>
      </c>
      <c r="P3886" s="12" t="s">
        <v>6913</v>
      </c>
      <c r="Q3886" s="9" t="s">
        <v>75</v>
      </c>
      <c r="R3886" s="14" t="str">
        <f>HYPERLINK("https://my.pitchbook.com?c=200029-60T","View Company Online")</f>
        <v>View Company Online</v>
      </c>
    </row>
    <row r="3887" spans="1:18" hidden="1" x14ac:dyDescent="0.3">
      <c r="A3887" s="15" t="s">
        <v>12696</v>
      </c>
      <c r="B3887" s="15" t="s">
        <v>12697</v>
      </c>
      <c r="C3887" s="18" t="s">
        <v>28</v>
      </c>
      <c r="D3887" s="15" t="s">
        <v>12698</v>
      </c>
      <c r="E3887" s="18">
        <v>26.82</v>
      </c>
      <c r="F3887" s="19" t="s">
        <v>28</v>
      </c>
      <c r="G3887" s="19" t="s">
        <v>28</v>
      </c>
      <c r="H3887" s="19" t="s">
        <v>28</v>
      </c>
      <c r="I3887" s="18">
        <v>26.82</v>
      </c>
      <c r="J3887" s="18" t="s">
        <v>28</v>
      </c>
      <c r="K3887" s="18">
        <v>3.86</v>
      </c>
      <c r="L3887" s="18" t="s">
        <v>28</v>
      </c>
      <c r="M3887" s="18">
        <v>26.83</v>
      </c>
      <c r="N3887" s="17">
        <v>44545</v>
      </c>
      <c r="O3887" s="15" t="s">
        <v>173</v>
      </c>
      <c r="P3887" s="16" t="s">
        <v>28</v>
      </c>
      <c r="Q3887" s="15" t="s">
        <v>174</v>
      </c>
      <c r="R3887" s="13" t="str">
        <f>HYPERLINK("https://my.pitchbook.com?c=251775-82T","View Company Online")</f>
        <v>View Company Online</v>
      </c>
    </row>
    <row r="3888" spans="1:18" hidden="1" x14ac:dyDescent="0.3">
      <c r="A3888" s="9" t="s">
        <v>12699</v>
      </c>
      <c r="B3888" s="9" t="s">
        <v>12700</v>
      </c>
      <c r="C3888" s="11" t="s">
        <v>28</v>
      </c>
      <c r="D3888" s="9" t="s">
        <v>12701</v>
      </c>
      <c r="E3888" s="11" t="s">
        <v>28</v>
      </c>
      <c r="F3888" s="10">
        <v>1.5</v>
      </c>
      <c r="G3888" s="10">
        <v>0.77</v>
      </c>
      <c r="H3888" s="10">
        <v>1.5</v>
      </c>
      <c r="I3888" s="11" t="s">
        <v>28</v>
      </c>
      <c r="J3888" s="11" t="s">
        <v>28</v>
      </c>
      <c r="K3888" s="11" t="s">
        <v>28</v>
      </c>
      <c r="L3888" s="11" t="s">
        <v>28</v>
      </c>
      <c r="M3888" s="11" t="s">
        <v>28</v>
      </c>
      <c r="N3888" s="8">
        <v>44544</v>
      </c>
      <c r="O3888" s="9" t="s">
        <v>30</v>
      </c>
      <c r="P3888" s="12" t="s">
        <v>12702</v>
      </c>
      <c r="Q3888" s="9" t="s">
        <v>75</v>
      </c>
      <c r="R3888" s="14" t="str">
        <f>HYPERLINK("https://my.pitchbook.com?c=185064-67T","View Company Online")</f>
        <v>View Company Online</v>
      </c>
    </row>
    <row r="3889" spans="1:18" hidden="1" x14ac:dyDescent="0.3">
      <c r="A3889" s="15" t="s">
        <v>12703</v>
      </c>
      <c r="B3889" s="15" t="s">
        <v>12704</v>
      </c>
      <c r="C3889" s="18" t="s">
        <v>28</v>
      </c>
      <c r="D3889" s="15" t="s">
        <v>12705</v>
      </c>
      <c r="E3889" s="18" t="s">
        <v>28</v>
      </c>
      <c r="F3889" s="19" t="s">
        <v>28</v>
      </c>
      <c r="G3889" s="19">
        <v>52</v>
      </c>
      <c r="H3889" s="19" t="s">
        <v>28</v>
      </c>
      <c r="I3889" s="18" t="s">
        <v>28</v>
      </c>
      <c r="J3889" s="18" t="s">
        <v>28</v>
      </c>
      <c r="K3889" s="18">
        <v>16.5</v>
      </c>
      <c r="L3889" s="18" t="s">
        <v>28</v>
      </c>
      <c r="M3889" s="18" t="s">
        <v>28</v>
      </c>
      <c r="N3889" s="17">
        <v>44544</v>
      </c>
      <c r="O3889" s="15" t="s">
        <v>79</v>
      </c>
      <c r="P3889" s="16" t="s">
        <v>12706</v>
      </c>
      <c r="Q3889" s="15" t="s">
        <v>75</v>
      </c>
      <c r="R3889" s="13" t="str">
        <f>HYPERLINK("https://my.pitchbook.com?c=182645-20T","View Company Online")</f>
        <v>View Company Online</v>
      </c>
    </row>
    <row r="3890" spans="1:18" hidden="1" x14ac:dyDescent="0.3">
      <c r="A3890" s="9" t="s">
        <v>12707</v>
      </c>
      <c r="B3890" s="9" t="s">
        <v>12708</v>
      </c>
      <c r="C3890" s="11" t="s">
        <v>28</v>
      </c>
      <c r="D3890" s="9" t="s">
        <v>12709</v>
      </c>
      <c r="E3890" s="11" t="s">
        <v>28</v>
      </c>
      <c r="F3890" s="10">
        <v>229</v>
      </c>
      <c r="G3890" s="10">
        <v>229</v>
      </c>
      <c r="H3890" s="10">
        <v>229</v>
      </c>
      <c r="I3890" s="11" t="s">
        <v>28</v>
      </c>
      <c r="J3890" s="11" t="s">
        <v>28</v>
      </c>
      <c r="K3890" s="11" t="s">
        <v>28</v>
      </c>
      <c r="L3890" s="11" t="s">
        <v>28</v>
      </c>
      <c r="M3890" s="11" t="s">
        <v>28</v>
      </c>
      <c r="N3890" s="8">
        <v>44544</v>
      </c>
      <c r="O3890" s="9" t="s">
        <v>41</v>
      </c>
      <c r="P3890" s="12" t="s">
        <v>12710</v>
      </c>
      <c r="Q3890" s="9" t="s">
        <v>37</v>
      </c>
      <c r="R3890" s="14" t="str">
        <f>HYPERLINK("https://my.pitchbook.com?c=185185-90T","View Company Online")</f>
        <v>View Company Online</v>
      </c>
    </row>
    <row r="3891" spans="1:18" hidden="1" x14ac:dyDescent="0.3">
      <c r="A3891" s="15" t="s">
        <v>12711</v>
      </c>
      <c r="B3891" s="15" t="s">
        <v>12712</v>
      </c>
      <c r="C3891" s="18" t="s">
        <v>28</v>
      </c>
      <c r="D3891" s="15" t="s">
        <v>12713</v>
      </c>
      <c r="E3891" s="18" t="s">
        <v>28</v>
      </c>
      <c r="F3891" s="19" t="s">
        <v>28</v>
      </c>
      <c r="G3891" s="19" t="s">
        <v>28</v>
      </c>
      <c r="H3891" s="19" t="s">
        <v>28</v>
      </c>
      <c r="I3891" s="18" t="s">
        <v>28</v>
      </c>
      <c r="J3891" s="18" t="s">
        <v>28</v>
      </c>
      <c r="K3891" s="18" t="s">
        <v>28</v>
      </c>
      <c r="L3891" s="18" t="s">
        <v>28</v>
      </c>
      <c r="M3891" s="18" t="s">
        <v>28</v>
      </c>
      <c r="N3891" s="17">
        <v>44543</v>
      </c>
      <c r="O3891" s="15" t="s">
        <v>30</v>
      </c>
      <c r="P3891" s="16" t="s">
        <v>12714</v>
      </c>
      <c r="Q3891" s="15" t="s">
        <v>880</v>
      </c>
      <c r="R3891" s="13" t="str">
        <f>HYPERLINK("https://my.pitchbook.com?c=211622-68T","View Company Online")</f>
        <v>View Company Online</v>
      </c>
    </row>
    <row r="3892" spans="1:18" hidden="1" x14ac:dyDescent="0.3">
      <c r="A3892" s="9" t="s">
        <v>12715</v>
      </c>
      <c r="B3892" s="9" t="s">
        <v>12716</v>
      </c>
      <c r="C3892" s="11" t="s">
        <v>28</v>
      </c>
      <c r="D3892" s="9" t="s">
        <v>12717</v>
      </c>
      <c r="E3892" s="11" t="s">
        <v>28</v>
      </c>
      <c r="F3892" s="10" t="s">
        <v>28</v>
      </c>
      <c r="G3892" s="10" t="s">
        <v>28</v>
      </c>
      <c r="H3892" s="10" t="s">
        <v>28</v>
      </c>
      <c r="I3892" s="11" t="s">
        <v>28</v>
      </c>
      <c r="J3892" s="11" t="s">
        <v>28</v>
      </c>
      <c r="K3892" s="11" t="s">
        <v>28</v>
      </c>
      <c r="L3892" s="11" t="s">
        <v>28</v>
      </c>
      <c r="M3892" s="11" t="s">
        <v>28</v>
      </c>
      <c r="N3892" s="8">
        <v>44543</v>
      </c>
      <c r="O3892" s="9" t="s">
        <v>79</v>
      </c>
      <c r="P3892" s="12" t="s">
        <v>12718</v>
      </c>
      <c r="Q3892" s="9" t="s">
        <v>290</v>
      </c>
      <c r="R3892" s="14" t="str">
        <f>HYPERLINK("https://my.pitchbook.com?c=207586-18T","View Company Online")</f>
        <v>View Company Online</v>
      </c>
    </row>
    <row r="3893" spans="1:18" hidden="1" x14ac:dyDescent="0.3">
      <c r="A3893" s="15" t="s">
        <v>12719</v>
      </c>
      <c r="B3893" s="15" t="s">
        <v>6428</v>
      </c>
      <c r="C3893" s="18" t="s">
        <v>28</v>
      </c>
      <c r="D3893" s="15" t="s">
        <v>6429</v>
      </c>
      <c r="E3893" s="18" t="s">
        <v>28</v>
      </c>
      <c r="F3893" s="19" t="s">
        <v>28</v>
      </c>
      <c r="G3893" s="19" t="s">
        <v>28</v>
      </c>
      <c r="H3893" s="19" t="s">
        <v>28</v>
      </c>
      <c r="I3893" s="18" t="s">
        <v>28</v>
      </c>
      <c r="J3893" s="18" t="s">
        <v>28</v>
      </c>
      <c r="K3893" s="18" t="s">
        <v>28</v>
      </c>
      <c r="L3893" s="18" t="s">
        <v>28</v>
      </c>
      <c r="M3893" s="18" t="s">
        <v>28</v>
      </c>
      <c r="N3893" s="17">
        <v>44543</v>
      </c>
      <c r="O3893" s="15" t="s">
        <v>30</v>
      </c>
      <c r="P3893" s="16" t="s">
        <v>12720</v>
      </c>
      <c r="Q3893" s="15" t="s">
        <v>245</v>
      </c>
      <c r="R3893" s="13" t="str">
        <f>HYPERLINK("https://my.pitchbook.com?c=195566-95T","View Company Online")</f>
        <v>View Company Online</v>
      </c>
    </row>
    <row r="3894" spans="1:18" hidden="1" x14ac:dyDescent="0.3">
      <c r="A3894" s="9" t="s">
        <v>12721</v>
      </c>
      <c r="B3894" s="9" t="s">
        <v>12722</v>
      </c>
      <c r="C3894" s="11" t="s">
        <v>28</v>
      </c>
      <c r="D3894" s="9" t="s">
        <v>12723</v>
      </c>
      <c r="E3894" s="11" t="s">
        <v>28</v>
      </c>
      <c r="F3894" s="10" t="s">
        <v>28</v>
      </c>
      <c r="G3894" s="10">
        <v>0.33</v>
      </c>
      <c r="H3894" s="10" t="s">
        <v>28</v>
      </c>
      <c r="I3894" s="11" t="s">
        <v>28</v>
      </c>
      <c r="J3894" s="11" t="s">
        <v>28</v>
      </c>
      <c r="K3894" s="11" t="s">
        <v>28</v>
      </c>
      <c r="L3894" s="11" t="s">
        <v>28</v>
      </c>
      <c r="M3894" s="11" t="s">
        <v>28</v>
      </c>
      <c r="N3894" s="8">
        <v>44543</v>
      </c>
      <c r="O3894" s="9" t="s">
        <v>1639</v>
      </c>
      <c r="P3894" s="12" t="s">
        <v>28</v>
      </c>
      <c r="Q3894" s="9" t="s">
        <v>5132</v>
      </c>
      <c r="R3894" s="14" t="str">
        <f>HYPERLINK("https://my.pitchbook.com?c=190835-38T","View Company Online")</f>
        <v>View Company Online</v>
      </c>
    </row>
    <row r="3895" spans="1:18" hidden="1" x14ac:dyDescent="0.3">
      <c r="A3895" s="15" t="s">
        <v>12724</v>
      </c>
      <c r="B3895" s="15" t="s">
        <v>12725</v>
      </c>
      <c r="C3895" s="18" t="s">
        <v>28</v>
      </c>
      <c r="D3895" s="15" t="s">
        <v>12726</v>
      </c>
      <c r="E3895" s="18" t="s">
        <v>28</v>
      </c>
      <c r="F3895" s="19">
        <v>692.88</v>
      </c>
      <c r="G3895" s="19">
        <v>692.88</v>
      </c>
      <c r="H3895" s="19">
        <v>692.88</v>
      </c>
      <c r="I3895" s="18" t="s">
        <v>28</v>
      </c>
      <c r="J3895" s="18" t="s">
        <v>28</v>
      </c>
      <c r="K3895" s="18" t="s">
        <v>28</v>
      </c>
      <c r="L3895" s="18" t="s">
        <v>28</v>
      </c>
      <c r="M3895" s="18" t="s">
        <v>28</v>
      </c>
      <c r="N3895" s="17">
        <v>44543</v>
      </c>
      <c r="O3895" s="15" t="s">
        <v>30</v>
      </c>
      <c r="P3895" s="16" t="s">
        <v>12727</v>
      </c>
      <c r="Q3895" s="15" t="s">
        <v>740</v>
      </c>
      <c r="R3895" s="13" t="str">
        <f>HYPERLINK("https://my.pitchbook.com?c=176573-62T","View Company Online")</f>
        <v>View Company Online</v>
      </c>
    </row>
    <row r="3896" spans="1:18" hidden="1" x14ac:dyDescent="0.3">
      <c r="A3896" s="9" t="s">
        <v>12728</v>
      </c>
      <c r="B3896" s="9" t="s">
        <v>12729</v>
      </c>
      <c r="C3896" s="11" t="s">
        <v>28</v>
      </c>
      <c r="D3896" s="9" t="s">
        <v>12730</v>
      </c>
      <c r="E3896" s="11" t="s">
        <v>28</v>
      </c>
      <c r="F3896" s="10" t="s">
        <v>28</v>
      </c>
      <c r="G3896" s="10" t="s">
        <v>28</v>
      </c>
      <c r="H3896" s="10" t="s">
        <v>28</v>
      </c>
      <c r="I3896" s="11" t="s">
        <v>28</v>
      </c>
      <c r="J3896" s="11" t="s">
        <v>28</v>
      </c>
      <c r="K3896" s="11" t="s">
        <v>28</v>
      </c>
      <c r="L3896" s="11" t="s">
        <v>28</v>
      </c>
      <c r="M3896" s="11" t="s">
        <v>28</v>
      </c>
      <c r="N3896" s="8">
        <v>44543</v>
      </c>
      <c r="O3896" s="9" t="s">
        <v>30</v>
      </c>
      <c r="P3896" s="12" t="s">
        <v>12731</v>
      </c>
      <c r="Q3896" s="9" t="s">
        <v>566</v>
      </c>
      <c r="R3896" s="14" t="str">
        <f>HYPERLINK("https://my.pitchbook.com?c=202488-94T","View Company Online")</f>
        <v>View Company Online</v>
      </c>
    </row>
    <row r="3897" spans="1:18" hidden="1" x14ac:dyDescent="0.3">
      <c r="A3897" s="15" t="s">
        <v>12732</v>
      </c>
      <c r="B3897" s="15" t="s">
        <v>737</v>
      </c>
      <c r="C3897" s="18" t="s">
        <v>28</v>
      </c>
      <c r="D3897" s="15" t="s">
        <v>738</v>
      </c>
      <c r="E3897" s="18" t="s">
        <v>28</v>
      </c>
      <c r="F3897" s="19" t="s">
        <v>28</v>
      </c>
      <c r="G3897" s="19">
        <v>30.47</v>
      </c>
      <c r="H3897" s="19" t="s">
        <v>28</v>
      </c>
      <c r="I3897" s="18" t="s">
        <v>28</v>
      </c>
      <c r="J3897" s="18" t="s">
        <v>28</v>
      </c>
      <c r="K3897" s="18">
        <v>112.27</v>
      </c>
      <c r="L3897" s="18" t="s">
        <v>28</v>
      </c>
      <c r="M3897" s="18" t="s">
        <v>28</v>
      </c>
      <c r="N3897" s="17">
        <v>44543</v>
      </c>
      <c r="O3897" s="15" t="s">
        <v>79</v>
      </c>
      <c r="P3897" s="16" t="s">
        <v>12733</v>
      </c>
      <c r="Q3897" s="15" t="s">
        <v>740</v>
      </c>
      <c r="R3897" s="13" t="str">
        <f>HYPERLINK("https://my.pitchbook.com?c=184979-89T","View Company Online")</f>
        <v>View Company Online</v>
      </c>
    </row>
    <row r="3898" spans="1:18" hidden="1" x14ac:dyDescent="0.3">
      <c r="A3898" s="9" t="s">
        <v>12734</v>
      </c>
      <c r="B3898" s="9" t="s">
        <v>737</v>
      </c>
      <c r="C3898" s="11" t="s">
        <v>28</v>
      </c>
      <c r="D3898" s="9" t="s">
        <v>738</v>
      </c>
      <c r="E3898" s="11" t="s">
        <v>28</v>
      </c>
      <c r="F3898" s="10" t="s">
        <v>28</v>
      </c>
      <c r="G3898" s="10" t="s">
        <v>28</v>
      </c>
      <c r="H3898" s="10" t="s">
        <v>28</v>
      </c>
      <c r="I3898" s="11" t="s">
        <v>28</v>
      </c>
      <c r="J3898" s="11" t="s">
        <v>28</v>
      </c>
      <c r="K3898" s="11">
        <v>112.27</v>
      </c>
      <c r="L3898" s="11" t="s">
        <v>28</v>
      </c>
      <c r="M3898" s="11" t="s">
        <v>28</v>
      </c>
      <c r="N3898" s="8">
        <v>44543</v>
      </c>
      <c r="O3898" s="9" t="s">
        <v>79</v>
      </c>
      <c r="P3898" s="12" t="s">
        <v>28</v>
      </c>
      <c r="Q3898" s="9" t="s">
        <v>740</v>
      </c>
      <c r="R3898" s="14" t="str">
        <f>HYPERLINK("https://my.pitchbook.com?c=184981-15T","View Company Online")</f>
        <v>View Company Online</v>
      </c>
    </row>
    <row r="3899" spans="1:18" hidden="1" x14ac:dyDescent="0.3">
      <c r="A3899" s="15" t="s">
        <v>12735</v>
      </c>
      <c r="B3899" s="15" t="s">
        <v>5673</v>
      </c>
      <c r="C3899" s="18" t="s">
        <v>28</v>
      </c>
      <c r="D3899" s="15" t="s">
        <v>5674</v>
      </c>
      <c r="E3899" s="18" t="s">
        <v>28</v>
      </c>
      <c r="F3899" s="19" t="s">
        <v>28</v>
      </c>
      <c r="G3899" s="19">
        <v>1.5</v>
      </c>
      <c r="H3899" s="19" t="s">
        <v>28</v>
      </c>
      <c r="I3899" s="18" t="s">
        <v>28</v>
      </c>
      <c r="J3899" s="18" t="s">
        <v>28</v>
      </c>
      <c r="K3899" s="18" t="s">
        <v>28</v>
      </c>
      <c r="L3899" s="18" t="s">
        <v>28</v>
      </c>
      <c r="M3899" s="18" t="s">
        <v>28</v>
      </c>
      <c r="N3899" s="17">
        <v>44542</v>
      </c>
      <c r="O3899" s="15" t="s">
        <v>1639</v>
      </c>
      <c r="P3899" s="16" t="s">
        <v>12736</v>
      </c>
      <c r="Q3899" s="15" t="s">
        <v>399</v>
      </c>
      <c r="R3899" s="13" t="str">
        <f>HYPERLINK("https://my.pitchbook.com?c=214593-40T","View Company Online")</f>
        <v>View Company Online</v>
      </c>
    </row>
    <row r="3900" spans="1:18" hidden="1" x14ac:dyDescent="0.3">
      <c r="A3900" s="9" t="s">
        <v>12737</v>
      </c>
      <c r="B3900" s="9" t="s">
        <v>12738</v>
      </c>
      <c r="C3900" s="11" t="s">
        <v>28</v>
      </c>
      <c r="D3900" s="9" t="s">
        <v>12739</v>
      </c>
      <c r="E3900" s="11" t="s">
        <v>28</v>
      </c>
      <c r="F3900" s="10">
        <v>54.91</v>
      </c>
      <c r="G3900" s="10">
        <v>54.91</v>
      </c>
      <c r="H3900" s="10">
        <v>54.91</v>
      </c>
      <c r="I3900" s="11" t="s">
        <v>28</v>
      </c>
      <c r="J3900" s="11" t="s">
        <v>28</v>
      </c>
      <c r="K3900" s="11" t="s">
        <v>28</v>
      </c>
      <c r="L3900" s="11" t="s">
        <v>28</v>
      </c>
      <c r="M3900" s="11" t="s">
        <v>28</v>
      </c>
      <c r="N3900" s="8">
        <v>44542</v>
      </c>
      <c r="O3900" s="9" t="s">
        <v>30</v>
      </c>
      <c r="P3900" s="12" t="s">
        <v>12740</v>
      </c>
      <c r="Q3900" s="9" t="s">
        <v>85</v>
      </c>
      <c r="R3900" s="14" t="str">
        <f>HYPERLINK("https://my.pitchbook.com?c=211720-51T","View Company Online")</f>
        <v>View Company Online</v>
      </c>
    </row>
    <row r="3901" spans="1:18" hidden="1" x14ac:dyDescent="0.3">
      <c r="A3901" s="15" t="s">
        <v>12741</v>
      </c>
      <c r="B3901" s="15" t="s">
        <v>12742</v>
      </c>
      <c r="C3901" s="18" t="s">
        <v>28</v>
      </c>
      <c r="D3901" s="15" t="s">
        <v>12743</v>
      </c>
      <c r="E3901" s="18" t="s">
        <v>28</v>
      </c>
      <c r="F3901" s="19" t="s">
        <v>28</v>
      </c>
      <c r="G3901" s="19" t="s">
        <v>28</v>
      </c>
      <c r="H3901" s="19" t="s">
        <v>28</v>
      </c>
      <c r="I3901" s="18" t="s">
        <v>28</v>
      </c>
      <c r="J3901" s="18" t="s">
        <v>28</v>
      </c>
      <c r="K3901" s="18" t="s">
        <v>28</v>
      </c>
      <c r="L3901" s="18" t="s">
        <v>28</v>
      </c>
      <c r="M3901" s="18" t="s">
        <v>28</v>
      </c>
      <c r="N3901" s="17">
        <v>44540</v>
      </c>
      <c r="O3901" s="15" t="s">
        <v>173</v>
      </c>
      <c r="P3901" s="16" t="s">
        <v>28</v>
      </c>
      <c r="Q3901" s="15" t="s">
        <v>174</v>
      </c>
      <c r="R3901" s="13" t="str">
        <f>HYPERLINK("https://my.pitchbook.com?c=222832-45T","View Company Online")</f>
        <v>View Company Online</v>
      </c>
    </row>
    <row r="3902" spans="1:18" hidden="1" x14ac:dyDescent="0.3">
      <c r="A3902" s="9" t="s">
        <v>12744</v>
      </c>
      <c r="B3902" s="9" t="s">
        <v>12745</v>
      </c>
      <c r="C3902" s="11" t="s">
        <v>28</v>
      </c>
      <c r="D3902" s="9" t="s">
        <v>12746</v>
      </c>
      <c r="E3902" s="11" t="s">
        <v>28</v>
      </c>
      <c r="F3902" s="10" t="s">
        <v>28</v>
      </c>
      <c r="G3902" s="10">
        <v>5.75</v>
      </c>
      <c r="H3902" s="10" t="s">
        <v>28</v>
      </c>
      <c r="I3902" s="11" t="s">
        <v>28</v>
      </c>
      <c r="J3902" s="11" t="s">
        <v>28</v>
      </c>
      <c r="K3902" s="11" t="s">
        <v>28</v>
      </c>
      <c r="L3902" s="11" t="s">
        <v>28</v>
      </c>
      <c r="M3902" s="11" t="s">
        <v>28</v>
      </c>
      <c r="N3902" s="8">
        <v>44540</v>
      </c>
      <c r="O3902" s="9" t="s">
        <v>79</v>
      </c>
      <c r="P3902" s="12" t="s">
        <v>28</v>
      </c>
      <c r="Q3902" s="9" t="s">
        <v>399</v>
      </c>
      <c r="R3902" s="14" t="str">
        <f>HYPERLINK("https://my.pitchbook.com?c=184920-85T","View Company Online")</f>
        <v>View Company Online</v>
      </c>
    </row>
    <row r="3903" spans="1:18" hidden="1" x14ac:dyDescent="0.3">
      <c r="A3903" s="15" t="s">
        <v>12747</v>
      </c>
      <c r="B3903" s="15" t="s">
        <v>12748</v>
      </c>
      <c r="C3903" s="18" t="s">
        <v>28</v>
      </c>
      <c r="D3903" s="15" t="s">
        <v>12749</v>
      </c>
      <c r="E3903" s="18" t="s">
        <v>28</v>
      </c>
      <c r="F3903" s="19">
        <v>0.54</v>
      </c>
      <c r="G3903" s="19">
        <v>0.54</v>
      </c>
      <c r="H3903" s="19">
        <v>0.54</v>
      </c>
      <c r="I3903" s="18" t="s">
        <v>28</v>
      </c>
      <c r="J3903" s="18" t="s">
        <v>28</v>
      </c>
      <c r="K3903" s="18" t="s">
        <v>28</v>
      </c>
      <c r="L3903" s="18" t="s">
        <v>28</v>
      </c>
      <c r="M3903" s="18" t="s">
        <v>28</v>
      </c>
      <c r="N3903" s="17">
        <v>44540</v>
      </c>
      <c r="O3903" s="15" t="s">
        <v>30</v>
      </c>
      <c r="P3903" s="16" t="s">
        <v>2679</v>
      </c>
      <c r="Q3903" s="15" t="s">
        <v>855</v>
      </c>
      <c r="R3903" s="13" t="str">
        <f>HYPERLINK("https://my.pitchbook.com?c=211701-34T","View Company Online")</f>
        <v>View Company Online</v>
      </c>
    </row>
    <row r="3904" spans="1:18" hidden="1" x14ac:dyDescent="0.3">
      <c r="A3904" s="9" t="s">
        <v>12750</v>
      </c>
      <c r="B3904" s="9" t="s">
        <v>3710</v>
      </c>
      <c r="C3904" s="11" t="s">
        <v>28</v>
      </c>
      <c r="D3904" s="9" t="s">
        <v>3711</v>
      </c>
      <c r="E3904" s="11">
        <v>-15.07</v>
      </c>
      <c r="F3904" s="10" t="s">
        <v>28</v>
      </c>
      <c r="G3904" s="10">
        <v>47.32</v>
      </c>
      <c r="H3904" s="10" t="s">
        <v>28</v>
      </c>
      <c r="I3904" s="11">
        <v>-15.02</v>
      </c>
      <c r="J3904" s="11" t="s">
        <v>28</v>
      </c>
      <c r="K3904" s="11">
        <v>0</v>
      </c>
      <c r="L3904" s="11" t="s">
        <v>28</v>
      </c>
      <c r="M3904" s="11">
        <v>-15.32</v>
      </c>
      <c r="N3904" s="8">
        <v>44540</v>
      </c>
      <c r="O3904" s="9" t="s">
        <v>159</v>
      </c>
      <c r="P3904" s="12" t="s">
        <v>28</v>
      </c>
      <c r="Q3904" s="9" t="s">
        <v>470</v>
      </c>
      <c r="R3904" s="14" t="str">
        <f>HYPERLINK("https://my.pitchbook.com?c=215487-82T","View Company Online")</f>
        <v>View Company Online</v>
      </c>
    </row>
    <row r="3905" spans="1:18" hidden="1" x14ac:dyDescent="0.3">
      <c r="A3905" s="15" t="s">
        <v>12751</v>
      </c>
      <c r="B3905" s="15" t="s">
        <v>12752</v>
      </c>
      <c r="C3905" s="18" t="s">
        <v>28</v>
      </c>
      <c r="D3905" s="15" t="s">
        <v>12753</v>
      </c>
      <c r="E3905" s="18" t="s">
        <v>28</v>
      </c>
      <c r="F3905" s="19" t="s">
        <v>28</v>
      </c>
      <c r="G3905" s="19" t="s">
        <v>28</v>
      </c>
      <c r="H3905" s="19" t="s">
        <v>28</v>
      </c>
      <c r="I3905" s="18" t="s">
        <v>28</v>
      </c>
      <c r="J3905" s="18" t="s">
        <v>28</v>
      </c>
      <c r="K3905" s="18" t="s">
        <v>28</v>
      </c>
      <c r="L3905" s="18" t="s">
        <v>28</v>
      </c>
      <c r="M3905" s="18" t="s">
        <v>28</v>
      </c>
      <c r="N3905" s="17">
        <v>44540</v>
      </c>
      <c r="O3905" s="15" t="s">
        <v>30</v>
      </c>
      <c r="P3905" s="16" t="s">
        <v>8637</v>
      </c>
      <c r="Q3905" s="15" t="s">
        <v>119</v>
      </c>
      <c r="R3905" s="13" t="str">
        <f>HYPERLINK("https://my.pitchbook.com?c=211727-89T","View Company Online")</f>
        <v>View Company Online</v>
      </c>
    </row>
    <row r="3906" spans="1:18" hidden="1" x14ac:dyDescent="0.3">
      <c r="A3906" s="9" t="s">
        <v>12754</v>
      </c>
      <c r="B3906" s="9" t="s">
        <v>11302</v>
      </c>
      <c r="C3906" s="11" t="s">
        <v>28</v>
      </c>
      <c r="D3906" s="9" t="s">
        <v>11303</v>
      </c>
      <c r="E3906" s="11" t="s">
        <v>28</v>
      </c>
      <c r="F3906" s="10" t="s">
        <v>28</v>
      </c>
      <c r="G3906" s="10">
        <v>4</v>
      </c>
      <c r="H3906" s="10">
        <v>20</v>
      </c>
      <c r="I3906" s="11" t="s">
        <v>28</v>
      </c>
      <c r="J3906" s="11" t="s">
        <v>28</v>
      </c>
      <c r="K3906" s="11" t="s">
        <v>28</v>
      </c>
      <c r="L3906" s="11" t="s">
        <v>28</v>
      </c>
      <c r="M3906" s="11" t="s">
        <v>28</v>
      </c>
      <c r="N3906" s="8">
        <v>44539</v>
      </c>
      <c r="O3906" s="9" t="s">
        <v>99</v>
      </c>
      <c r="P3906" s="12" t="s">
        <v>12755</v>
      </c>
      <c r="Q3906" s="9" t="s">
        <v>419</v>
      </c>
      <c r="R3906" s="14" t="str">
        <f>HYPERLINK("https://my.pitchbook.com?c=184852-72T","View Company Online")</f>
        <v>View Company Online</v>
      </c>
    </row>
    <row r="3907" spans="1:18" hidden="1" x14ac:dyDescent="0.3">
      <c r="A3907" s="15" t="s">
        <v>12756</v>
      </c>
      <c r="B3907" s="15" t="s">
        <v>12757</v>
      </c>
      <c r="C3907" s="18" t="s">
        <v>28</v>
      </c>
      <c r="D3907" s="15" t="s">
        <v>12758</v>
      </c>
      <c r="E3907" s="18" t="s">
        <v>28</v>
      </c>
      <c r="F3907" s="19" t="s">
        <v>28</v>
      </c>
      <c r="G3907" s="19" t="s">
        <v>28</v>
      </c>
      <c r="H3907" s="19" t="s">
        <v>28</v>
      </c>
      <c r="I3907" s="18" t="s">
        <v>28</v>
      </c>
      <c r="J3907" s="18" t="s">
        <v>28</v>
      </c>
      <c r="K3907" s="18" t="s">
        <v>28</v>
      </c>
      <c r="L3907" s="18" t="s">
        <v>28</v>
      </c>
      <c r="M3907" s="18" t="s">
        <v>28</v>
      </c>
      <c r="N3907" s="17">
        <v>44539</v>
      </c>
      <c r="O3907" s="15" t="s">
        <v>30</v>
      </c>
      <c r="P3907" s="16" t="s">
        <v>8374</v>
      </c>
      <c r="Q3907" s="15" t="s">
        <v>1035</v>
      </c>
      <c r="R3907" s="13" t="str">
        <f>HYPERLINK("https://my.pitchbook.com?c=232675-84T","View Company Online")</f>
        <v>View Company Online</v>
      </c>
    </row>
    <row r="3908" spans="1:18" hidden="1" x14ac:dyDescent="0.3">
      <c r="A3908" s="9" t="s">
        <v>12759</v>
      </c>
      <c r="B3908" s="9" t="s">
        <v>12760</v>
      </c>
      <c r="C3908" s="11" t="s">
        <v>28</v>
      </c>
      <c r="D3908" s="9" t="s">
        <v>12761</v>
      </c>
      <c r="E3908" s="11" t="s">
        <v>28</v>
      </c>
      <c r="F3908" s="10" t="s">
        <v>28</v>
      </c>
      <c r="G3908" s="10" t="s">
        <v>28</v>
      </c>
      <c r="H3908" s="10" t="s">
        <v>28</v>
      </c>
      <c r="I3908" s="11" t="s">
        <v>28</v>
      </c>
      <c r="J3908" s="11" t="s">
        <v>28</v>
      </c>
      <c r="K3908" s="11" t="s">
        <v>28</v>
      </c>
      <c r="L3908" s="11" t="s">
        <v>28</v>
      </c>
      <c r="M3908" s="11" t="s">
        <v>28</v>
      </c>
      <c r="N3908" s="8">
        <v>44539</v>
      </c>
      <c r="O3908" s="9" t="s">
        <v>58</v>
      </c>
      <c r="P3908" s="12" t="s">
        <v>12762</v>
      </c>
      <c r="Q3908" s="9" t="s">
        <v>75</v>
      </c>
      <c r="R3908" s="14" t="str">
        <f>HYPERLINK("https://my.pitchbook.com?c=185841-64T","View Company Online")</f>
        <v>View Company Online</v>
      </c>
    </row>
    <row r="3909" spans="1:18" x14ac:dyDescent="0.3">
      <c r="A3909" s="15" t="s">
        <v>12763</v>
      </c>
      <c r="B3909" s="15" t="s">
        <v>12764</v>
      </c>
      <c r="C3909" s="18">
        <v>3.93</v>
      </c>
      <c r="D3909" s="15" t="s">
        <v>12765</v>
      </c>
      <c r="E3909" s="18" t="s">
        <v>28</v>
      </c>
      <c r="F3909" s="19">
        <v>26.96</v>
      </c>
      <c r="G3909" s="19">
        <v>26.96</v>
      </c>
      <c r="H3909" s="19">
        <v>26.96</v>
      </c>
      <c r="I3909" s="18">
        <v>6.86</v>
      </c>
      <c r="J3909" s="18">
        <v>3.93</v>
      </c>
      <c r="K3909" s="18">
        <v>15.57</v>
      </c>
      <c r="L3909" s="18">
        <v>1.73</v>
      </c>
      <c r="M3909" s="18" t="s">
        <v>28</v>
      </c>
      <c r="N3909" s="17">
        <v>44539</v>
      </c>
      <c r="O3909" s="15" t="s">
        <v>30</v>
      </c>
      <c r="P3909" s="16" t="s">
        <v>6332</v>
      </c>
      <c r="Q3909" s="15" t="s">
        <v>900</v>
      </c>
      <c r="R3909" s="13" t="str">
        <f>HYPERLINK("https://my.pitchbook.com?c=191888-38T","View Company Online")</f>
        <v>View Company Online</v>
      </c>
    </row>
    <row r="3910" spans="1:18" hidden="1" x14ac:dyDescent="0.3">
      <c r="A3910" s="9" t="s">
        <v>12766</v>
      </c>
      <c r="B3910" s="9" t="s">
        <v>12767</v>
      </c>
      <c r="C3910" s="11" t="s">
        <v>28</v>
      </c>
      <c r="D3910" s="9" t="s">
        <v>12768</v>
      </c>
      <c r="E3910" s="11" t="s">
        <v>28</v>
      </c>
      <c r="F3910" s="10" t="s">
        <v>28</v>
      </c>
      <c r="G3910" s="10">
        <v>6</v>
      </c>
      <c r="H3910" s="10" t="s">
        <v>28</v>
      </c>
      <c r="I3910" s="11" t="s">
        <v>28</v>
      </c>
      <c r="J3910" s="11" t="s">
        <v>28</v>
      </c>
      <c r="K3910" s="11" t="s">
        <v>28</v>
      </c>
      <c r="L3910" s="11" t="s">
        <v>28</v>
      </c>
      <c r="M3910" s="11" t="s">
        <v>28</v>
      </c>
      <c r="N3910" s="8">
        <v>44539</v>
      </c>
      <c r="O3910" s="9" t="s">
        <v>99</v>
      </c>
      <c r="P3910" s="12" t="s">
        <v>12769</v>
      </c>
      <c r="Q3910" s="9" t="s">
        <v>740</v>
      </c>
      <c r="R3910" s="14" t="str">
        <f>HYPERLINK("https://my.pitchbook.com?c=189910-54T","View Company Online")</f>
        <v>View Company Online</v>
      </c>
    </row>
    <row r="3911" spans="1:18" hidden="1" x14ac:dyDescent="0.3">
      <c r="A3911" s="15" t="s">
        <v>12770</v>
      </c>
      <c r="B3911" s="15" t="s">
        <v>5037</v>
      </c>
      <c r="C3911" s="18" t="s">
        <v>28</v>
      </c>
      <c r="D3911" s="15" t="s">
        <v>5038</v>
      </c>
      <c r="E3911" s="18" t="s">
        <v>28</v>
      </c>
      <c r="F3911" s="19" t="s">
        <v>28</v>
      </c>
      <c r="G3911" s="19" t="s">
        <v>28</v>
      </c>
      <c r="H3911" s="19" t="s">
        <v>28</v>
      </c>
      <c r="I3911" s="18" t="s">
        <v>28</v>
      </c>
      <c r="J3911" s="18" t="s">
        <v>28</v>
      </c>
      <c r="K3911" s="18" t="s">
        <v>28</v>
      </c>
      <c r="L3911" s="18" t="s">
        <v>28</v>
      </c>
      <c r="M3911" s="18" t="s">
        <v>28</v>
      </c>
      <c r="N3911" s="17">
        <v>44539</v>
      </c>
      <c r="O3911" s="15" t="s">
        <v>52</v>
      </c>
      <c r="P3911" s="16" t="s">
        <v>5476</v>
      </c>
      <c r="Q3911" s="15" t="s">
        <v>75</v>
      </c>
      <c r="R3911" s="13" t="str">
        <f>HYPERLINK("https://my.pitchbook.com?c=301239-01T","View Company Online")</f>
        <v>View Company Online</v>
      </c>
    </row>
    <row r="3912" spans="1:18" hidden="1" x14ac:dyDescent="0.3">
      <c r="A3912" s="9" t="s">
        <v>12771</v>
      </c>
      <c r="B3912" s="9" t="s">
        <v>12772</v>
      </c>
      <c r="C3912" s="11" t="s">
        <v>28</v>
      </c>
      <c r="D3912" s="9" t="s">
        <v>12773</v>
      </c>
      <c r="E3912" s="11" t="s">
        <v>28</v>
      </c>
      <c r="F3912" s="10" t="s">
        <v>28</v>
      </c>
      <c r="G3912" s="10" t="s">
        <v>28</v>
      </c>
      <c r="H3912" s="10" t="s">
        <v>28</v>
      </c>
      <c r="I3912" s="11" t="s">
        <v>28</v>
      </c>
      <c r="J3912" s="11" t="s">
        <v>28</v>
      </c>
      <c r="K3912" s="11" t="s">
        <v>28</v>
      </c>
      <c r="L3912" s="11" t="s">
        <v>28</v>
      </c>
      <c r="M3912" s="11" t="s">
        <v>28</v>
      </c>
      <c r="N3912" s="8">
        <v>44539</v>
      </c>
      <c r="O3912" s="9" t="s">
        <v>52</v>
      </c>
      <c r="P3912" s="12" t="s">
        <v>5476</v>
      </c>
      <c r="Q3912" s="9" t="s">
        <v>37</v>
      </c>
      <c r="R3912" s="14" t="str">
        <f>HYPERLINK("https://my.pitchbook.com?c=301239-46T","View Company Online")</f>
        <v>View Company Online</v>
      </c>
    </row>
    <row r="3913" spans="1:18" hidden="1" x14ac:dyDescent="0.3">
      <c r="A3913" s="15" t="s">
        <v>12774</v>
      </c>
      <c r="B3913" s="15" t="s">
        <v>5785</v>
      </c>
      <c r="C3913" s="18" t="s">
        <v>28</v>
      </c>
      <c r="D3913" s="15" t="s">
        <v>12775</v>
      </c>
      <c r="E3913" s="18" t="s">
        <v>28</v>
      </c>
      <c r="F3913" s="19" t="s">
        <v>28</v>
      </c>
      <c r="G3913" s="19">
        <v>2602.35</v>
      </c>
      <c r="H3913" s="19">
        <v>41478.160000000003</v>
      </c>
      <c r="I3913" s="18" t="s">
        <v>28</v>
      </c>
      <c r="J3913" s="18" t="s">
        <v>28</v>
      </c>
      <c r="K3913" s="18">
        <v>774.92</v>
      </c>
      <c r="L3913" s="18">
        <v>53.53</v>
      </c>
      <c r="M3913" s="18">
        <v>-205.97</v>
      </c>
      <c r="N3913" s="17">
        <v>44539</v>
      </c>
      <c r="O3913" s="15" t="s">
        <v>173</v>
      </c>
      <c r="P3913" s="16" t="s">
        <v>28</v>
      </c>
      <c r="Q3913" s="15" t="s">
        <v>1213</v>
      </c>
      <c r="R3913" s="13" t="str">
        <f>HYPERLINK("https://my.pitchbook.com?c=179436-52T","View Company Online")</f>
        <v>View Company Online</v>
      </c>
    </row>
    <row r="3914" spans="1:18" hidden="1" x14ac:dyDescent="0.3">
      <c r="A3914" s="9" t="s">
        <v>12776</v>
      </c>
      <c r="B3914" s="9" t="s">
        <v>12777</v>
      </c>
      <c r="C3914" s="11" t="s">
        <v>28</v>
      </c>
      <c r="D3914" s="9" t="s">
        <v>12778</v>
      </c>
      <c r="E3914" s="11" t="s">
        <v>28</v>
      </c>
      <c r="F3914" s="10" t="s">
        <v>28</v>
      </c>
      <c r="G3914" s="10">
        <v>17.98</v>
      </c>
      <c r="H3914" s="10" t="s">
        <v>28</v>
      </c>
      <c r="I3914" s="11" t="s">
        <v>28</v>
      </c>
      <c r="J3914" s="11" t="s">
        <v>28</v>
      </c>
      <c r="K3914" s="11" t="s">
        <v>28</v>
      </c>
      <c r="L3914" s="11" t="s">
        <v>28</v>
      </c>
      <c r="M3914" s="11" t="s">
        <v>28</v>
      </c>
      <c r="N3914" s="8">
        <v>44539</v>
      </c>
      <c r="O3914" s="9" t="s">
        <v>73</v>
      </c>
      <c r="P3914" s="12" t="s">
        <v>12779</v>
      </c>
      <c r="Q3914" s="9" t="s">
        <v>85</v>
      </c>
      <c r="R3914" s="14" t="str">
        <f>HYPERLINK("https://my.pitchbook.com?c=184829-59T","View Company Online")</f>
        <v>View Company Online</v>
      </c>
    </row>
    <row r="3915" spans="1:18" hidden="1" x14ac:dyDescent="0.3">
      <c r="A3915" s="15" t="s">
        <v>12780</v>
      </c>
      <c r="B3915" s="15" t="s">
        <v>12781</v>
      </c>
      <c r="C3915" s="18" t="s">
        <v>28</v>
      </c>
      <c r="D3915" s="15" t="s">
        <v>12782</v>
      </c>
      <c r="E3915" s="18" t="s">
        <v>28</v>
      </c>
      <c r="F3915" s="19" t="s">
        <v>28</v>
      </c>
      <c r="G3915" s="19">
        <v>0.4</v>
      </c>
      <c r="H3915" s="19" t="s">
        <v>28</v>
      </c>
      <c r="I3915" s="18" t="s">
        <v>28</v>
      </c>
      <c r="J3915" s="18" t="s">
        <v>28</v>
      </c>
      <c r="K3915" s="18" t="s">
        <v>28</v>
      </c>
      <c r="L3915" s="18" t="s">
        <v>28</v>
      </c>
      <c r="M3915" s="18" t="s">
        <v>28</v>
      </c>
      <c r="N3915" s="17">
        <v>44539</v>
      </c>
      <c r="O3915" s="15" t="s">
        <v>379</v>
      </c>
      <c r="P3915" s="16" t="s">
        <v>28</v>
      </c>
      <c r="Q3915" s="15" t="s">
        <v>114</v>
      </c>
      <c r="R3915" s="13" t="str">
        <f>HYPERLINK("https://my.pitchbook.com?c=287938-90T","View Company Online")</f>
        <v>View Company Online</v>
      </c>
    </row>
    <row r="3916" spans="1:18" hidden="1" x14ac:dyDescent="0.3">
      <c r="A3916" s="9" t="s">
        <v>12783</v>
      </c>
      <c r="B3916" s="9" t="s">
        <v>12784</v>
      </c>
      <c r="C3916" s="11" t="s">
        <v>28</v>
      </c>
      <c r="D3916" s="9" t="s">
        <v>12785</v>
      </c>
      <c r="E3916" s="11" t="s">
        <v>28</v>
      </c>
      <c r="F3916" s="10" t="s">
        <v>28</v>
      </c>
      <c r="G3916" s="10">
        <v>0.81</v>
      </c>
      <c r="H3916" s="10" t="s">
        <v>28</v>
      </c>
      <c r="I3916" s="11" t="s">
        <v>28</v>
      </c>
      <c r="J3916" s="11" t="s">
        <v>28</v>
      </c>
      <c r="K3916" s="11" t="s">
        <v>28</v>
      </c>
      <c r="L3916" s="11" t="s">
        <v>28</v>
      </c>
      <c r="M3916" s="11" t="s">
        <v>28</v>
      </c>
      <c r="N3916" s="8">
        <v>44539</v>
      </c>
      <c r="O3916" s="9" t="s">
        <v>79</v>
      </c>
      <c r="P3916" s="12" t="s">
        <v>12786</v>
      </c>
      <c r="Q3916" s="9" t="s">
        <v>75</v>
      </c>
      <c r="R3916" s="14" t="str">
        <f>HYPERLINK("https://my.pitchbook.com?c=197017-30T","View Company Online")</f>
        <v>View Company Online</v>
      </c>
    </row>
    <row r="3917" spans="1:18" hidden="1" x14ac:dyDescent="0.3">
      <c r="A3917" s="15" t="s">
        <v>12787</v>
      </c>
      <c r="B3917" s="15" t="s">
        <v>9391</v>
      </c>
      <c r="C3917" s="18" t="s">
        <v>28</v>
      </c>
      <c r="D3917" s="15" t="s">
        <v>9392</v>
      </c>
      <c r="E3917" s="18" t="s">
        <v>28</v>
      </c>
      <c r="F3917" s="19" t="s">
        <v>28</v>
      </c>
      <c r="G3917" s="19">
        <v>1.8</v>
      </c>
      <c r="H3917" s="19" t="s">
        <v>28</v>
      </c>
      <c r="I3917" s="18" t="s">
        <v>28</v>
      </c>
      <c r="J3917" s="18" t="s">
        <v>28</v>
      </c>
      <c r="K3917" s="18" t="s">
        <v>28</v>
      </c>
      <c r="L3917" s="18" t="s">
        <v>28</v>
      </c>
      <c r="M3917" s="18" t="s">
        <v>28</v>
      </c>
      <c r="N3917" s="17">
        <v>44538</v>
      </c>
      <c r="O3917" s="15" t="s">
        <v>99</v>
      </c>
      <c r="P3917" s="16" t="s">
        <v>12788</v>
      </c>
      <c r="Q3917" s="15" t="s">
        <v>75</v>
      </c>
      <c r="R3917" s="13" t="str">
        <f>HYPERLINK("https://my.pitchbook.com?c=184776-40T","View Company Online")</f>
        <v>View Company Online</v>
      </c>
    </row>
    <row r="3918" spans="1:18" hidden="1" x14ac:dyDescent="0.3">
      <c r="A3918" s="9" t="s">
        <v>12789</v>
      </c>
      <c r="B3918" s="9" t="s">
        <v>12790</v>
      </c>
      <c r="C3918" s="11" t="s">
        <v>28</v>
      </c>
      <c r="D3918" s="9" t="s">
        <v>12791</v>
      </c>
      <c r="E3918" s="11" t="s">
        <v>28</v>
      </c>
      <c r="F3918" s="10" t="s">
        <v>28</v>
      </c>
      <c r="G3918" s="10" t="s">
        <v>28</v>
      </c>
      <c r="H3918" s="10" t="s">
        <v>28</v>
      </c>
      <c r="I3918" s="11" t="s">
        <v>28</v>
      </c>
      <c r="J3918" s="11" t="s">
        <v>28</v>
      </c>
      <c r="K3918" s="11" t="s">
        <v>28</v>
      </c>
      <c r="L3918" s="11" t="s">
        <v>28</v>
      </c>
      <c r="M3918" s="11" t="s">
        <v>28</v>
      </c>
      <c r="N3918" s="8">
        <v>44538</v>
      </c>
      <c r="O3918" s="9" t="s">
        <v>41</v>
      </c>
      <c r="P3918" s="12" t="s">
        <v>12792</v>
      </c>
      <c r="Q3918" s="9" t="s">
        <v>226</v>
      </c>
      <c r="R3918" s="14" t="str">
        <f>HYPERLINK("https://my.pitchbook.com?c=221381-65T","View Company Online")</f>
        <v>View Company Online</v>
      </c>
    </row>
    <row r="3919" spans="1:18" hidden="1" x14ac:dyDescent="0.3">
      <c r="A3919" s="15" t="s">
        <v>12793</v>
      </c>
      <c r="B3919" s="15" t="s">
        <v>9523</v>
      </c>
      <c r="C3919" s="18" t="s">
        <v>28</v>
      </c>
      <c r="D3919" s="15" t="s">
        <v>9524</v>
      </c>
      <c r="E3919" s="18" t="s">
        <v>28</v>
      </c>
      <c r="F3919" s="19" t="s">
        <v>28</v>
      </c>
      <c r="G3919" s="19" t="s">
        <v>28</v>
      </c>
      <c r="H3919" s="19" t="s">
        <v>28</v>
      </c>
      <c r="I3919" s="18" t="s">
        <v>28</v>
      </c>
      <c r="J3919" s="18" t="s">
        <v>28</v>
      </c>
      <c r="K3919" s="18" t="s">
        <v>28</v>
      </c>
      <c r="L3919" s="18" t="s">
        <v>28</v>
      </c>
      <c r="M3919" s="18" t="s">
        <v>28</v>
      </c>
      <c r="N3919" s="17">
        <v>44538</v>
      </c>
      <c r="O3919" s="15" t="s">
        <v>30</v>
      </c>
      <c r="P3919" s="16" t="s">
        <v>10546</v>
      </c>
      <c r="Q3919" s="15" t="s">
        <v>1643</v>
      </c>
      <c r="R3919" s="13" t="str">
        <f>HYPERLINK("https://my.pitchbook.com?c=199960-93T","View Company Online")</f>
        <v>View Company Online</v>
      </c>
    </row>
    <row r="3920" spans="1:18" hidden="1" x14ac:dyDescent="0.3">
      <c r="A3920" s="9" t="s">
        <v>12794</v>
      </c>
      <c r="B3920" s="9" t="s">
        <v>12795</v>
      </c>
      <c r="C3920" s="11" t="s">
        <v>28</v>
      </c>
      <c r="D3920" s="9" t="s">
        <v>12796</v>
      </c>
      <c r="E3920" s="11" t="s">
        <v>28</v>
      </c>
      <c r="F3920" s="10" t="s">
        <v>28</v>
      </c>
      <c r="G3920" s="10">
        <v>0.45</v>
      </c>
      <c r="H3920" s="10" t="s">
        <v>28</v>
      </c>
      <c r="I3920" s="11" t="s">
        <v>28</v>
      </c>
      <c r="J3920" s="11" t="s">
        <v>28</v>
      </c>
      <c r="K3920" s="11" t="s">
        <v>28</v>
      </c>
      <c r="L3920" s="11" t="s">
        <v>28</v>
      </c>
      <c r="M3920" s="11" t="s">
        <v>28</v>
      </c>
      <c r="N3920" s="8">
        <v>44538</v>
      </c>
      <c r="O3920" s="9" t="s">
        <v>379</v>
      </c>
      <c r="P3920" s="12" t="s">
        <v>12797</v>
      </c>
      <c r="Q3920" s="9" t="s">
        <v>105</v>
      </c>
      <c r="R3920" s="14" t="str">
        <f>HYPERLINK("https://my.pitchbook.com?c=188431-21T","View Company Online")</f>
        <v>View Company Online</v>
      </c>
    </row>
    <row r="3921" spans="1:18" hidden="1" x14ac:dyDescent="0.3">
      <c r="A3921" s="15" t="s">
        <v>12798</v>
      </c>
      <c r="B3921" s="15" t="s">
        <v>2011</v>
      </c>
      <c r="C3921" s="18" t="s">
        <v>28</v>
      </c>
      <c r="D3921" s="15" t="s">
        <v>2012</v>
      </c>
      <c r="E3921" s="18" t="s">
        <v>28</v>
      </c>
      <c r="F3921" s="19" t="s">
        <v>28</v>
      </c>
      <c r="G3921" s="19" t="s">
        <v>28</v>
      </c>
      <c r="H3921" s="19" t="s">
        <v>28</v>
      </c>
      <c r="I3921" s="18" t="s">
        <v>28</v>
      </c>
      <c r="J3921" s="18" t="s">
        <v>28</v>
      </c>
      <c r="K3921" s="18" t="s">
        <v>28</v>
      </c>
      <c r="L3921" s="18" t="s">
        <v>28</v>
      </c>
      <c r="M3921" s="18" t="s">
        <v>28</v>
      </c>
      <c r="N3921" s="17">
        <v>44538</v>
      </c>
      <c r="O3921" s="15" t="s">
        <v>99</v>
      </c>
      <c r="P3921" s="16" t="s">
        <v>12799</v>
      </c>
      <c r="Q3921" s="15" t="s">
        <v>37</v>
      </c>
      <c r="R3921" s="13" t="str">
        <f>HYPERLINK("https://my.pitchbook.com?c=186350-50T","View Company Online")</f>
        <v>View Company Online</v>
      </c>
    </row>
    <row r="3922" spans="1:18" hidden="1" x14ac:dyDescent="0.3">
      <c r="A3922" s="9" t="s">
        <v>12800</v>
      </c>
      <c r="B3922" s="9" t="s">
        <v>12801</v>
      </c>
      <c r="C3922" s="11" t="s">
        <v>28</v>
      </c>
      <c r="D3922" s="9" t="s">
        <v>12802</v>
      </c>
      <c r="E3922" s="11" t="s">
        <v>28</v>
      </c>
      <c r="F3922" s="10" t="s">
        <v>28</v>
      </c>
      <c r="G3922" s="10" t="s">
        <v>28</v>
      </c>
      <c r="H3922" s="10" t="s">
        <v>28</v>
      </c>
      <c r="I3922" s="11" t="s">
        <v>28</v>
      </c>
      <c r="J3922" s="11" t="s">
        <v>28</v>
      </c>
      <c r="K3922" s="11" t="s">
        <v>28</v>
      </c>
      <c r="L3922" s="11" t="s">
        <v>28</v>
      </c>
      <c r="M3922" s="11" t="s">
        <v>28</v>
      </c>
      <c r="N3922" s="8">
        <v>44537</v>
      </c>
      <c r="O3922" s="9" t="s">
        <v>41</v>
      </c>
      <c r="P3922" s="12" t="s">
        <v>12803</v>
      </c>
      <c r="Q3922" s="9" t="s">
        <v>245</v>
      </c>
      <c r="R3922" s="14" t="str">
        <f>HYPERLINK("https://my.pitchbook.com?c=184691-17T","View Company Online")</f>
        <v>View Company Online</v>
      </c>
    </row>
    <row r="3923" spans="1:18" hidden="1" x14ac:dyDescent="0.3">
      <c r="A3923" s="15" t="s">
        <v>12804</v>
      </c>
      <c r="B3923" s="15" t="s">
        <v>8517</v>
      </c>
      <c r="C3923" s="18" t="s">
        <v>28</v>
      </c>
      <c r="D3923" s="15" t="s">
        <v>8518</v>
      </c>
      <c r="E3923" s="18" t="s">
        <v>28</v>
      </c>
      <c r="F3923" s="19" t="s">
        <v>28</v>
      </c>
      <c r="G3923" s="19">
        <v>0.8</v>
      </c>
      <c r="H3923" s="19" t="s">
        <v>28</v>
      </c>
      <c r="I3923" s="18" t="s">
        <v>28</v>
      </c>
      <c r="J3923" s="18" t="s">
        <v>28</v>
      </c>
      <c r="K3923" s="18" t="s">
        <v>28</v>
      </c>
      <c r="L3923" s="18" t="s">
        <v>28</v>
      </c>
      <c r="M3923" s="18" t="s">
        <v>28</v>
      </c>
      <c r="N3923" s="17">
        <v>44537</v>
      </c>
      <c r="O3923" s="15" t="s">
        <v>99</v>
      </c>
      <c r="P3923" s="16" t="s">
        <v>12805</v>
      </c>
      <c r="Q3923" s="15" t="s">
        <v>353</v>
      </c>
      <c r="R3923" s="13" t="str">
        <f>HYPERLINK("https://my.pitchbook.com?c=226795-69T","View Company Online")</f>
        <v>View Company Online</v>
      </c>
    </row>
    <row r="3924" spans="1:18" hidden="1" x14ac:dyDescent="0.3">
      <c r="A3924" s="9" t="s">
        <v>12806</v>
      </c>
      <c r="B3924" s="9" t="s">
        <v>12807</v>
      </c>
      <c r="C3924" s="11" t="s">
        <v>28</v>
      </c>
      <c r="D3924" s="9" t="s">
        <v>12808</v>
      </c>
      <c r="E3924" s="11" t="s">
        <v>28</v>
      </c>
      <c r="F3924" s="10" t="s">
        <v>28</v>
      </c>
      <c r="G3924" s="10">
        <v>0.57999999999999996</v>
      </c>
      <c r="H3924" s="10" t="s">
        <v>28</v>
      </c>
      <c r="I3924" s="11" t="s">
        <v>28</v>
      </c>
      <c r="J3924" s="11" t="s">
        <v>28</v>
      </c>
      <c r="K3924" s="11" t="s">
        <v>28</v>
      </c>
      <c r="L3924" s="11" t="s">
        <v>28</v>
      </c>
      <c r="M3924" s="11" t="s">
        <v>28</v>
      </c>
      <c r="N3924" s="8">
        <v>44537</v>
      </c>
      <c r="O3924" s="9" t="s">
        <v>99</v>
      </c>
      <c r="P3924" s="12" t="s">
        <v>12809</v>
      </c>
      <c r="Q3924" s="9" t="s">
        <v>409</v>
      </c>
      <c r="R3924" s="14" t="str">
        <f>HYPERLINK("https://my.pitchbook.com?c=184735-27T","View Company Online")</f>
        <v>View Company Online</v>
      </c>
    </row>
    <row r="3925" spans="1:18" hidden="1" x14ac:dyDescent="0.3">
      <c r="A3925" s="15" t="s">
        <v>12810</v>
      </c>
      <c r="B3925" s="15" t="s">
        <v>12807</v>
      </c>
      <c r="C3925" s="18" t="s">
        <v>28</v>
      </c>
      <c r="D3925" s="15" t="s">
        <v>12808</v>
      </c>
      <c r="E3925" s="18" t="s">
        <v>28</v>
      </c>
      <c r="F3925" s="19" t="s">
        <v>28</v>
      </c>
      <c r="G3925" s="19">
        <v>0.13</v>
      </c>
      <c r="H3925" s="19" t="s">
        <v>28</v>
      </c>
      <c r="I3925" s="18" t="s">
        <v>28</v>
      </c>
      <c r="J3925" s="18" t="s">
        <v>28</v>
      </c>
      <c r="K3925" s="18" t="s">
        <v>28</v>
      </c>
      <c r="L3925" s="18" t="s">
        <v>28</v>
      </c>
      <c r="M3925" s="18" t="s">
        <v>28</v>
      </c>
      <c r="N3925" s="17">
        <v>44537</v>
      </c>
      <c r="O3925" s="15" t="s">
        <v>1639</v>
      </c>
      <c r="P3925" s="16" t="s">
        <v>28</v>
      </c>
      <c r="Q3925" s="15" t="s">
        <v>409</v>
      </c>
      <c r="R3925" s="13" t="str">
        <f>HYPERLINK("https://my.pitchbook.com?c=222979-06T","View Company Online")</f>
        <v>View Company Online</v>
      </c>
    </row>
    <row r="3926" spans="1:18" hidden="1" x14ac:dyDescent="0.3">
      <c r="A3926" s="9" t="s">
        <v>12811</v>
      </c>
      <c r="B3926" s="9" t="s">
        <v>12812</v>
      </c>
      <c r="C3926" s="11" t="s">
        <v>28</v>
      </c>
      <c r="D3926" s="9" t="s">
        <v>12813</v>
      </c>
      <c r="E3926" s="11" t="s">
        <v>28</v>
      </c>
      <c r="F3926" s="10" t="s">
        <v>28</v>
      </c>
      <c r="G3926" s="10" t="s">
        <v>28</v>
      </c>
      <c r="H3926" s="10" t="s">
        <v>28</v>
      </c>
      <c r="I3926" s="11" t="s">
        <v>28</v>
      </c>
      <c r="J3926" s="11" t="s">
        <v>28</v>
      </c>
      <c r="K3926" s="11" t="s">
        <v>28</v>
      </c>
      <c r="L3926" s="11" t="s">
        <v>28</v>
      </c>
      <c r="M3926" s="11" t="s">
        <v>28</v>
      </c>
      <c r="N3926" s="8">
        <v>44537</v>
      </c>
      <c r="O3926" s="9" t="s">
        <v>79</v>
      </c>
      <c r="P3926" s="12" t="s">
        <v>28</v>
      </c>
      <c r="Q3926" s="9" t="s">
        <v>419</v>
      </c>
      <c r="R3926" s="14" t="str">
        <f>HYPERLINK("https://my.pitchbook.com?c=218658-25T","View Company Online")</f>
        <v>View Company Online</v>
      </c>
    </row>
    <row r="3927" spans="1:18" hidden="1" x14ac:dyDescent="0.3">
      <c r="A3927" s="15" t="s">
        <v>12814</v>
      </c>
      <c r="B3927" s="15" t="s">
        <v>12815</v>
      </c>
      <c r="C3927" s="18" t="s">
        <v>28</v>
      </c>
      <c r="D3927" s="15" t="s">
        <v>12816</v>
      </c>
      <c r="E3927" s="18" t="s">
        <v>28</v>
      </c>
      <c r="F3927" s="19" t="s">
        <v>28</v>
      </c>
      <c r="G3927" s="19" t="s">
        <v>28</v>
      </c>
      <c r="H3927" s="19" t="s">
        <v>28</v>
      </c>
      <c r="I3927" s="18">
        <v>1</v>
      </c>
      <c r="J3927" s="18" t="s">
        <v>28</v>
      </c>
      <c r="K3927" s="18">
        <v>3</v>
      </c>
      <c r="L3927" s="18" t="s">
        <v>28</v>
      </c>
      <c r="M3927" s="18" t="s">
        <v>28</v>
      </c>
      <c r="N3927" s="17">
        <v>44536</v>
      </c>
      <c r="O3927" s="15" t="s">
        <v>41</v>
      </c>
      <c r="P3927" s="16" t="s">
        <v>12817</v>
      </c>
      <c r="Q3927" s="15" t="s">
        <v>75</v>
      </c>
      <c r="R3927" s="13" t="str">
        <f>HYPERLINK("https://my.pitchbook.com?c=184652-56T","View Company Online")</f>
        <v>View Company Online</v>
      </c>
    </row>
    <row r="3928" spans="1:18" hidden="1" x14ac:dyDescent="0.3">
      <c r="A3928" s="9" t="s">
        <v>12818</v>
      </c>
      <c r="B3928" s="9" t="s">
        <v>3009</v>
      </c>
      <c r="C3928" s="11" t="s">
        <v>28</v>
      </c>
      <c r="D3928" s="9" t="s">
        <v>3010</v>
      </c>
      <c r="E3928" s="11" t="s">
        <v>28</v>
      </c>
      <c r="F3928" s="10" t="s">
        <v>28</v>
      </c>
      <c r="G3928" s="10">
        <v>70</v>
      </c>
      <c r="H3928" s="10">
        <v>1000</v>
      </c>
      <c r="I3928" s="11" t="s">
        <v>28</v>
      </c>
      <c r="J3928" s="11" t="s">
        <v>28</v>
      </c>
      <c r="K3928" s="11" t="s">
        <v>28</v>
      </c>
      <c r="L3928" s="11" t="s">
        <v>28</v>
      </c>
      <c r="M3928" s="11" t="s">
        <v>28</v>
      </c>
      <c r="N3928" s="8">
        <v>44536</v>
      </c>
      <c r="O3928" s="9" t="s">
        <v>73</v>
      </c>
      <c r="P3928" s="12" t="s">
        <v>12819</v>
      </c>
      <c r="Q3928" s="9" t="s">
        <v>37</v>
      </c>
      <c r="R3928" s="14" t="str">
        <f>HYPERLINK("https://my.pitchbook.com?c=184597-03T","View Company Online")</f>
        <v>View Company Online</v>
      </c>
    </row>
    <row r="3929" spans="1:18" hidden="1" x14ac:dyDescent="0.3">
      <c r="A3929" s="15" t="s">
        <v>12820</v>
      </c>
      <c r="B3929" s="15" t="s">
        <v>6091</v>
      </c>
      <c r="C3929" s="18" t="s">
        <v>28</v>
      </c>
      <c r="D3929" s="15" t="s">
        <v>6092</v>
      </c>
      <c r="E3929" s="18" t="s">
        <v>28</v>
      </c>
      <c r="F3929" s="19" t="s">
        <v>28</v>
      </c>
      <c r="G3929" s="19">
        <v>1.08</v>
      </c>
      <c r="H3929" s="19" t="s">
        <v>28</v>
      </c>
      <c r="I3929" s="18" t="s">
        <v>28</v>
      </c>
      <c r="J3929" s="18" t="s">
        <v>28</v>
      </c>
      <c r="K3929" s="18" t="s">
        <v>28</v>
      </c>
      <c r="L3929" s="18" t="s">
        <v>28</v>
      </c>
      <c r="M3929" s="18" t="s">
        <v>28</v>
      </c>
      <c r="N3929" s="17">
        <v>44536</v>
      </c>
      <c r="O3929" s="15" t="s">
        <v>79</v>
      </c>
      <c r="P3929" s="16" t="s">
        <v>80</v>
      </c>
      <c r="Q3929" s="15" t="s">
        <v>75</v>
      </c>
      <c r="R3929" s="13" t="str">
        <f>HYPERLINK("https://my.pitchbook.com?c=223864-93T","View Company Online")</f>
        <v>View Company Online</v>
      </c>
    </row>
    <row r="3930" spans="1:18" hidden="1" x14ac:dyDescent="0.3">
      <c r="A3930" s="9" t="s">
        <v>12821</v>
      </c>
      <c r="B3930" s="9" t="s">
        <v>6288</v>
      </c>
      <c r="C3930" s="11" t="s">
        <v>28</v>
      </c>
      <c r="D3930" s="9" t="s">
        <v>6289</v>
      </c>
      <c r="E3930" s="11" t="s">
        <v>28</v>
      </c>
      <c r="F3930" s="10" t="s">
        <v>28</v>
      </c>
      <c r="G3930" s="10">
        <v>13</v>
      </c>
      <c r="H3930" s="10">
        <v>19</v>
      </c>
      <c r="I3930" s="11" t="s">
        <v>28</v>
      </c>
      <c r="J3930" s="11" t="s">
        <v>28</v>
      </c>
      <c r="K3930" s="11" t="s">
        <v>28</v>
      </c>
      <c r="L3930" s="11" t="s">
        <v>28</v>
      </c>
      <c r="M3930" s="11">
        <v>0.55000000000000004</v>
      </c>
      <c r="N3930" s="8">
        <v>44536</v>
      </c>
      <c r="O3930" s="9" t="s">
        <v>73</v>
      </c>
      <c r="P3930" s="12" t="s">
        <v>12822</v>
      </c>
      <c r="Q3930" s="9" t="s">
        <v>37</v>
      </c>
      <c r="R3930" s="14" t="str">
        <f>HYPERLINK("https://my.pitchbook.com?c=184840-12T","View Company Online")</f>
        <v>View Company Online</v>
      </c>
    </row>
    <row r="3931" spans="1:18" hidden="1" x14ac:dyDescent="0.3">
      <c r="A3931" s="15" t="s">
        <v>12823</v>
      </c>
      <c r="B3931" s="15" t="s">
        <v>12824</v>
      </c>
      <c r="C3931" s="18" t="s">
        <v>28</v>
      </c>
      <c r="D3931" s="15" t="s">
        <v>12825</v>
      </c>
      <c r="E3931" s="18" t="s">
        <v>28</v>
      </c>
      <c r="F3931" s="19" t="s">
        <v>28</v>
      </c>
      <c r="G3931" s="19" t="s">
        <v>28</v>
      </c>
      <c r="H3931" s="19" t="s">
        <v>28</v>
      </c>
      <c r="I3931" s="18" t="s">
        <v>28</v>
      </c>
      <c r="J3931" s="18" t="s">
        <v>28</v>
      </c>
      <c r="K3931" s="18" t="s">
        <v>28</v>
      </c>
      <c r="L3931" s="18" t="s">
        <v>28</v>
      </c>
      <c r="M3931" s="18" t="s">
        <v>28</v>
      </c>
      <c r="N3931" s="17">
        <v>44536</v>
      </c>
      <c r="O3931" s="15" t="s">
        <v>58</v>
      </c>
      <c r="P3931" s="16" t="s">
        <v>12826</v>
      </c>
      <c r="Q3931" s="15" t="s">
        <v>245</v>
      </c>
      <c r="R3931" s="13" t="str">
        <f>HYPERLINK("https://my.pitchbook.com?c=184658-86T","View Company Online")</f>
        <v>View Company Online</v>
      </c>
    </row>
    <row r="3932" spans="1:18" hidden="1" x14ac:dyDescent="0.3">
      <c r="A3932" s="9" t="s">
        <v>12827</v>
      </c>
      <c r="B3932" s="9" t="s">
        <v>12828</v>
      </c>
      <c r="C3932" s="11" t="s">
        <v>28</v>
      </c>
      <c r="D3932" s="9" t="s">
        <v>12829</v>
      </c>
      <c r="E3932" s="11" t="s">
        <v>28</v>
      </c>
      <c r="F3932" s="10" t="s">
        <v>28</v>
      </c>
      <c r="G3932" s="10" t="s">
        <v>28</v>
      </c>
      <c r="H3932" s="10" t="s">
        <v>28</v>
      </c>
      <c r="I3932" s="11" t="s">
        <v>28</v>
      </c>
      <c r="J3932" s="11" t="s">
        <v>28</v>
      </c>
      <c r="K3932" s="11" t="s">
        <v>28</v>
      </c>
      <c r="L3932" s="11" t="s">
        <v>28</v>
      </c>
      <c r="M3932" s="11" t="s">
        <v>28</v>
      </c>
      <c r="N3932" s="8">
        <v>44534</v>
      </c>
      <c r="O3932" s="9" t="s">
        <v>173</v>
      </c>
      <c r="P3932" s="12" t="s">
        <v>28</v>
      </c>
      <c r="Q3932" s="9" t="s">
        <v>174</v>
      </c>
      <c r="R3932" s="14" t="str">
        <f>HYPERLINK("https://my.pitchbook.com?c=251367-04T","View Company Online")</f>
        <v>View Company Online</v>
      </c>
    </row>
    <row r="3933" spans="1:18" hidden="1" x14ac:dyDescent="0.3">
      <c r="A3933" s="15" t="s">
        <v>12830</v>
      </c>
      <c r="B3933" s="15" t="s">
        <v>12831</v>
      </c>
      <c r="C3933" s="18" t="s">
        <v>28</v>
      </c>
      <c r="D3933" s="15" t="s">
        <v>12832</v>
      </c>
      <c r="E3933" s="18" t="s">
        <v>28</v>
      </c>
      <c r="F3933" s="19" t="s">
        <v>28</v>
      </c>
      <c r="G3933" s="19">
        <v>0.8</v>
      </c>
      <c r="H3933" s="19" t="s">
        <v>28</v>
      </c>
      <c r="I3933" s="18" t="s">
        <v>28</v>
      </c>
      <c r="J3933" s="18" t="s">
        <v>28</v>
      </c>
      <c r="K3933" s="18" t="s">
        <v>28</v>
      </c>
      <c r="L3933" s="18" t="s">
        <v>28</v>
      </c>
      <c r="M3933" s="18" t="s">
        <v>28</v>
      </c>
      <c r="N3933" s="17">
        <v>44534</v>
      </c>
      <c r="O3933" s="15" t="s">
        <v>99</v>
      </c>
      <c r="P3933" s="16" t="s">
        <v>12833</v>
      </c>
      <c r="Q3933" s="15" t="s">
        <v>290</v>
      </c>
      <c r="R3933" s="13" t="str">
        <f>HYPERLINK("https://my.pitchbook.com?c=189062-20T","View Company Online")</f>
        <v>View Company Online</v>
      </c>
    </row>
    <row r="3934" spans="1:18" hidden="1" x14ac:dyDescent="0.3">
      <c r="A3934" s="9" t="s">
        <v>12834</v>
      </c>
      <c r="B3934" s="9" t="s">
        <v>12835</v>
      </c>
      <c r="C3934" s="11" t="s">
        <v>28</v>
      </c>
      <c r="D3934" s="9" t="s">
        <v>12836</v>
      </c>
      <c r="E3934" s="11">
        <v>317.54000000000002</v>
      </c>
      <c r="F3934" s="10" t="s">
        <v>28</v>
      </c>
      <c r="G3934" s="10" t="s">
        <v>28</v>
      </c>
      <c r="H3934" s="10" t="s">
        <v>28</v>
      </c>
      <c r="I3934" s="11">
        <v>317.54000000000002</v>
      </c>
      <c r="J3934" s="11" t="s">
        <v>28</v>
      </c>
      <c r="K3934" s="11">
        <v>708.42</v>
      </c>
      <c r="L3934" s="11" t="s">
        <v>28</v>
      </c>
      <c r="M3934" s="11">
        <v>259.54000000000002</v>
      </c>
      <c r="N3934" s="8">
        <v>44533</v>
      </c>
      <c r="O3934" s="9" t="s">
        <v>173</v>
      </c>
      <c r="P3934" s="12" t="s">
        <v>28</v>
      </c>
      <c r="Q3934" s="9" t="s">
        <v>226</v>
      </c>
      <c r="R3934" s="14" t="str">
        <f>HYPERLINK("https://my.pitchbook.com?c=221110-84T","View Company Online")</f>
        <v>View Company Online</v>
      </c>
    </row>
    <row r="3935" spans="1:18" hidden="1" x14ac:dyDescent="0.3">
      <c r="A3935" s="15" t="s">
        <v>12837</v>
      </c>
      <c r="B3935" s="15" t="s">
        <v>12838</v>
      </c>
      <c r="C3935" s="18" t="s">
        <v>28</v>
      </c>
      <c r="D3935" s="15" t="s">
        <v>12839</v>
      </c>
      <c r="E3935" s="18" t="s">
        <v>28</v>
      </c>
      <c r="F3935" s="19" t="s">
        <v>28</v>
      </c>
      <c r="G3935" s="19" t="s">
        <v>28</v>
      </c>
      <c r="H3935" s="19" t="s">
        <v>28</v>
      </c>
      <c r="I3935" s="18" t="s">
        <v>28</v>
      </c>
      <c r="J3935" s="18" t="s">
        <v>28</v>
      </c>
      <c r="K3935" s="18" t="s">
        <v>28</v>
      </c>
      <c r="L3935" s="18" t="s">
        <v>28</v>
      </c>
      <c r="M3935" s="18" t="s">
        <v>28</v>
      </c>
      <c r="N3935" s="17">
        <v>44533</v>
      </c>
      <c r="O3935" s="15" t="s">
        <v>30</v>
      </c>
      <c r="P3935" s="16" t="s">
        <v>12840</v>
      </c>
      <c r="Q3935" s="15" t="s">
        <v>3973</v>
      </c>
      <c r="R3935" s="13" t="str">
        <f>HYPERLINK("https://my.pitchbook.com?c=199122-04T","View Company Online")</f>
        <v>View Company Online</v>
      </c>
    </row>
    <row r="3936" spans="1:18" hidden="1" x14ac:dyDescent="0.3">
      <c r="A3936" s="9" t="s">
        <v>12841</v>
      </c>
      <c r="B3936" s="9" t="s">
        <v>12842</v>
      </c>
      <c r="C3936" s="11" t="s">
        <v>28</v>
      </c>
      <c r="D3936" s="9" t="s">
        <v>12843</v>
      </c>
      <c r="E3936" s="11" t="s">
        <v>28</v>
      </c>
      <c r="F3936" s="10" t="s">
        <v>28</v>
      </c>
      <c r="G3936" s="10" t="s">
        <v>28</v>
      </c>
      <c r="H3936" s="10" t="s">
        <v>28</v>
      </c>
      <c r="I3936" s="11" t="s">
        <v>28</v>
      </c>
      <c r="J3936" s="11" t="s">
        <v>28</v>
      </c>
      <c r="K3936" s="11" t="s">
        <v>28</v>
      </c>
      <c r="L3936" s="11" t="s">
        <v>28</v>
      </c>
      <c r="M3936" s="11" t="s">
        <v>28</v>
      </c>
      <c r="N3936" s="8">
        <v>44533</v>
      </c>
      <c r="O3936" s="9" t="s">
        <v>41</v>
      </c>
      <c r="P3936" s="12" t="s">
        <v>9349</v>
      </c>
      <c r="Q3936" s="9" t="s">
        <v>75</v>
      </c>
      <c r="R3936" s="14" t="str">
        <f>HYPERLINK("https://my.pitchbook.com?c=218557-36T","View Company Online")</f>
        <v>View Company Online</v>
      </c>
    </row>
    <row r="3937" spans="1:18" hidden="1" x14ac:dyDescent="0.3">
      <c r="A3937" s="15" t="s">
        <v>12844</v>
      </c>
      <c r="B3937" s="15" t="s">
        <v>12845</v>
      </c>
      <c r="C3937" s="18" t="s">
        <v>28</v>
      </c>
      <c r="D3937" s="15" t="s">
        <v>12846</v>
      </c>
      <c r="E3937" s="18" t="s">
        <v>28</v>
      </c>
      <c r="F3937" s="19" t="s">
        <v>28</v>
      </c>
      <c r="G3937" s="19" t="s">
        <v>28</v>
      </c>
      <c r="H3937" s="19" t="s">
        <v>28</v>
      </c>
      <c r="I3937" s="18" t="s">
        <v>28</v>
      </c>
      <c r="J3937" s="18" t="s">
        <v>28</v>
      </c>
      <c r="K3937" s="18" t="s">
        <v>28</v>
      </c>
      <c r="L3937" s="18" t="s">
        <v>28</v>
      </c>
      <c r="M3937" s="18" t="s">
        <v>28</v>
      </c>
      <c r="N3937" s="17">
        <v>44533</v>
      </c>
      <c r="O3937" s="15" t="s">
        <v>99</v>
      </c>
      <c r="P3937" s="16" t="s">
        <v>28</v>
      </c>
      <c r="Q3937" s="15" t="s">
        <v>6392</v>
      </c>
      <c r="R3937" s="13" t="str">
        <f>HYPERLINK("https://my.pitchbook.com?c=211079-35T","View Company Online")</f>
        <v>View Company Online</v>
      </c>
    </row>
    <row r="3938" spans="1:18" hidden="1" x14ac:dyDescent="0.3">
      <c r="A3938" s="9" t="s">
        <v>12847</v>
      </c>
      <c r="B3938" s="9" t="s">
        <v>12848</v>
      </c>
      <c r="C3938" s="11" t="s">
        <v>28</v>
      </c>
      <c r="D3938" s="9" t="s">
        <v>12849</v>
      </c>
      <c r="E3938" s="11" t="s">
        <v>28</v>
      </c>
      <c r="F3938" s="10" t="s">
        <v>28</v>
      </c>
      <c r="G3938" s="10" t="s">
        <v>28</v>
      </c>
      <c r="H3938" s="10" t="s">
        <v>28</v>
      </c>
      <c r="I3938" s="11" t="s">
        <v>28</v>
      </c>
      <c r="J3938" s="11" t="s">
        <v>28</v>
      </c>
      <c r="K3938" s="11" t="s">
        <v>28</v>
      </c>
      <c r="L3938" s="11" t="s">
        <v>28</v>
      </c>
      <c r="M3938" s="11" t="s">
        <v>28</v>
      </c>
      <c r="N3938" s="8">
        <v>44533</v>
      </c>
      <c r="O3938" s="9" t="s">
        <v>79</v>
      </c>
      <c r="P3938" s="12" t="s">
        <v>12850</v>
      </c>
      <c r="Q3938" s="9" t="s">
        <v>75</v>
      </c>
      <c r="R3938" s="14" t="str">
        <f>HYPERLINK("https://my.pitchbook.com?c=184907-17T","View Company Online")</f>
        <v>View Company Online</v>
      </c>
    </row>
    <row r="3939" spans="1:18" hidden="1" x14ac:dyDescent="0.3">
      <c r="A3939" s="15" t="s">
        <v>12851</v>
      </c>
      <c r="B3939" s="15" t="s">
        <v>12852</v>
      </c>
      <c r="C3939" s="18" t="s">
        <v>28</v>
      </c>
      <c r="D3939" s="15" t="s">
        <v>12853</v>
      </c>
      <c r="E3939" s="18" t="s">
        <v>28</v>
      </c>
      <c r="F3939" s="19">
        <v>10.8</v>
      </c>
      <c r="G3939" s="19">
        <v>10.8</v>
      </c>
      <c r="H3939" s="19">
        <v>10.8</v>
      </c>
      <c r="I3939" s="18" t="s">
        <v>28</v>
      </c>
      <c r="J3939" s="18" t="s">
        <v>28</v>
      </c>
      <c r="K3939" s="18" t="s">
        <v>28</v>
      </c>
      <c r="L3939" s="18" t="s">
        <v>28</v>
      </c>
      <c r="M3939" s="18" t="s">
        <v>28</v>
      </c>
      <c r="N3939" s="17">
        <v>44533</v>
      </c>
      <c r="O3939" s="15" t="s">
        <v>41</v>
      </c>
      <c r="P3939" s="16" t="s">
        <v>8586</v>
      </c>
      <c r="Q3939" s="15" t="s">
        <v>290</v>
      </c>
      <c r="R3939" s="13" t="str">
        <f>HYPERLINK("https://my.pitchbook.com?c=220955-23T","View Company Online")</f>
        <v>View Company Online</v>
      </c>
    </row>
    <row r="3940" spans="1:18" hidden="1" x14ac:dyDescent="0.3">
      <c r="A3940" s="9" t="s">
        <v>12854</v>
      </c>
      <c r="B3940" s="9" t="s">
        <v>12855</v>
      </c>
      <c r="C3940" s="11" t="s">
        <v>28</v>
      </c>
      <c r="D3940" s="9" t="s">
        <v>12856</v>
      </c>
      <c r="E3940" s="11" t="s">
        <v>28</v>
      </c>
      <c r="F3940" s="10" t="s">
        <v>28</v>
      </c>
      <c r="G3940" s="10">
        <v>1.8</v>
      </c>
      <c r="H3940" s="10" t="s">
        <v>28</v>
      </c>
      <c r="I3940" s="11" t="s">
        <v>28</v>
      </c>
      <c r="J3940" s="11" t="s">
        <v>28</v>
      </c>
      <c r="K3940" s="11" t="s">
        <v>28</v>
      </c>
      <c r="L3940" s="11" t="s">
        <v>28</v>
      </c>
      <c r="M3940" s="11" t="s">
        <v>28</v>
      </c>
      <c r="N3940" s="8">
        <v>44532</v>
      </c>
      <c r="O3940" s="9" t="s">
        <v>52</v>
      </c>
      <c r="P3940" s="12" t="s">
        <v>12857</v>
      </c>
      <c r="Q3940" s="9" t="s">
        <v>1336</v>
      </c>
      <c r="R3940" s="14" t="str">
        <f>HYPERLINK("https://my.pitchbook.com?c=184562-56T","View Company Online")</f>
        <v>View Company Online</v>
      </c>
    </row>
    <row r="3941" spans="1:18" hidden="1" x14ac:dyDescent="0.3">
      <c r="A3941" s="15" t="s">
        <v>12858</v>
      </c>
      <c r="B3941" s="15" t="s">
        <v>12859</v>
      </c>
      <c r="C3941" s="18" t="s">
        <v>28</v>
      </c>
      <c r="D3941" s="15" t="s">
        <v>12860</v>
      </c>
      <c r="E3941" s="18">
        <v>0.09</v>
      </c>
      <c r="F3941" s="19">
        <v>388.01</v>
      </c>
      <c r="G3941" s="19">
        <v>197.96</v>
      </c>
      <c r="H3941" s="19">
        <v>388.01</v>
      </c>
      <c r="I3941" s="18" t="s">
        <v>28</v>
      </c>
      <c r="J3941" s="18" t="s">
        <v>28</v>
      </c>
      <c r="K3941" s="18">
        <v>0.11</v>
      </c>
      <c r="L3941" s="18">
        <v>3520.41</v>
      </c>
      <c r="M3941" s="18">
        <v>0.05</v>
      </c>
      <c r="N3941" s="17">
        <v>44532</v>
      </c>
      <c r="O3941" s="15" t="s">
        <v>41</v>
      </c>
      <c r="P3941" s="16" t="s">
        <v>4633</v>
      </c>
      <c r="Q3941" s="15" t="s">
        <v>226</v>
      </c>
      <c r="R3941" s="13" t="str">
        <f>HYPERLINK("https://my.pitchbook.com?c=174532-24T","View Company Online")</f>
        <v>View Company Online</v>
      </c>
    </row>
    <row r="3942" spans="1:18" hidden="1" x14ac:dyDescent="0.3">
      <c r="A3942" s="9" t="s">
        <v>12861</v>
      </c>
      <c r="B3942" s="9" t="s">
        <v>12862</v>
      </c>
      <c r="C3942" s="11" t="s">
        <v>28</v>
      </c>
      <c r="D3942" s="9" t="s">
        <v>12863</v>
      </c>
      <c r="E3942" s="11">
        <v>-0.08</v>
      </c>
      <c r="F3942" s="10" t="s">
        <v>28</v>
      </c>
      <c r="G3942" s="10" t="s">
        <v>28</v>
      </c>
      <c r="H3942" s="10" t="s">
        <v>28</v>
      </c>
      <c r="I3942" s="11">
        <v>-0.08</v>
      </c>
      <c r="J3942" s="11" t="s">
        <v>28</v>
      </c>
      <c r="K3942" s="11">
        <v>1.1499999999999999</v>
      </c>
      <c r="L3942" s="11" t="s">
        <v>28</v>
      </c>
      <c r="M3942" s="11">
        <v>-0.09</v>
      </c>
      <c r="N3942" s="8">
        <v>44532</v>
      </c>
      <c r="O3942" s="9" t="s">
        <v>173</v>
      </c>
      <c r="P3942" s="12" t="s">
        <v>28</v>
      </c>
      <c r="Q3942" s="9" t="s">
        <v>174</v>
      </c>
      <c r="R3942" s="14" t="str">
        <f>HYPERLINK("https://my.pitchbook.com?c=224083-18T","View Company Online")</f>
        <v>View Company Online</v>
      </c>
    </row>
    <row r="3943" spans="1:18" hidden="1" x14ac:dyDescent="0.3">
      <c r="A3943" s="15" t="s">
        <v>12864</v>
      </c>
      <c r="B3943" s="15" t="s">
        <v>6766</v>
      </c>
      <c r="C3943" s="18" t="s">
        <v>28</v>
      </c>
      <c r="D3943" s="15" t="s">
        <v>6767</v>
      </c>
      <c r="E3943" s="18" t="s">
        <v>28</v>
      </c>
      <c r="F3943" s="19" t="s">
        <v>28</v>
      </c>
      <c r="G3943" s="19" t="s">
        <v>28</v>
      </c>
      <c r="H3943" s="19" t="s">
        <v>28</v>
      </c>
      <c r="I3943" s="18" t="s">
        <v>28</v>
      </c>
      <c r="J3943" s="18" t="s">
        <v>28</v>
      </c>
      <c r="K3943" s="18" t="s">
        <v>28</v>
      </c>
      <c r="L3943" s="18" t="s">
        <v>28</v>
      </c>
      <c r="M3943" s="18" t="s">
        <v>28</v>
      </c>
      <c r="N3943" s="17">
        <v>44532</v>
      </c>
      <c r="O3943" s="15" t="s">
        <v>30</v>
      </c>
      <c r="P3943" s="16" t="s">
        <v>12865</v>
      </c>
      <c r="Q3943" s="15" t="s">
        <v>419</v>
      </c>
      <c r="R3943" s="13" t="str">
        <f>HYPERLINK("https://my.pitchbook.com?c=184615-75T","View Company Online")</f>
        <v>View Company Online</v>
      </c>
    </row>
    <row r="3944" spans="1:18" hidden="1" x14ac:dyDescent="0.3">
      <c r="A3944" s="9" t="s">
        <v>12866</v>
      </c>
      <c r="B3944" s="9" t="s">
        <v>12867</v>
      </c>
      <c r="C3944" s="11" t="s">
        <v>28</v>
      </c>
      <c r="D3944" s="9" t="s">
        <v>12868</v>
      </c>
      <c r="E3944" s="11" t="s">
        <v>28</v>
      </c>
      <c r="F3944" s="10" t="s">
        <v>28</v>
      </c>
      <c r="G3944" s="10">
        <v>18</v>
      </c>
      <c r="H3944" s="10" t="s">
        <v>28</v>
      </c>
      <c r="I3944" s="11" t="s">
        <v>28</v>
      </c>
      <c r="J3944" s="11" t="s">
        <v>28</v>
      </c>
      <c r="K3944" s="11" t="s">
        <v>28</v>
      </c>
      <c r="L3944" s="11" t="s">
        <v>28</v>
      </c>
      <c r="M3944" s="11" t="s">
        <v>28</v>
      </c>
      <c r="N3944" s="8">
        <v>44532</v>
      </c>
      <c r="O3944" s="9" t="s">
        <v>79</v>
      </c>
      <c r="P3944" s="12" t="s">
        <v>12869</v>
      </c>
      <c r="Q3944" s="9" t="s">
        <v>37</v>
      </c>
      <c r="R3944" s="14" t="str">
        <f>HYPERLINK("https://my.pitchbook.com?c=184436-74T","View Company Online")</f>
        <v>View Company Online</v>
      </c>
    </row>
    <row r="3945" spans="1:18" hidden="1" x14ac:dyDescent="0.3">
      <c r="A3945" s="15" t="s">
        <v>12870</v>
      </c>
      <c r="B3945" s="15" t="s">
        <v>12871</v>
      </c>
      <c r="C3945" s="18" t="s">
        <v>28</v>
      </c>
      <c r="D3945" s="15" t="s">
        <v>12872</v>
      </c>
      <c r="E3945" s="18">
        <v>-0.01</v>
      </c>
      <c r="F3945" s="19" t="s">
        <v>28</v>
      </c>
      <c r="G3945" s="19" t="s">
        <v>28</v>
      </c>
      <c r="H3945" s="19" t="s">
        <v>28</v>
      </c>
      <c r="I3945" s="18">
        <v>-0.01</v>
      </c>
      <c r="J3945" s="18" t="s">
        <v>28</v>
      </c>
      <c r="K3945" s="18">
        <v>1.1200000000000001</v>
      </c>
      <c r="L3945" s="18" t="s">
        <v>28</v>
      </c>
      <c r="M3945" s="18">
        <v>0</v>
      </c>
      <c r="N3945" s="17">
        <v>44532</v>
      </c>
      <c r="O3945" s="15" t="s">
        <v>30</v>
      </c>
      <c r="P3945" s="16" t="s">
        <v>12873</v>
      </c>
      <c r="Q3945" s="15" t="s">
        <v>75</v>
      </c>
      <c r="R3945" s="13" t="str">
        <f>HYPERLINK("https://my.pitchbook.com?c=184478-59T","View Company Online")</f>
        <v>View Company Online</v>
      </c>
    </row>
    <row r="3946" spans="1:18" hidden="1" x14ac:dyDescent="0.3">
      <c r="A3946" s="9" t="s">
        <v>12874</v>
      </c>
      <c r="B3946" s="9" t="s">
        <v>7231</v>
      </c>
      <c r="C3946" s="11" t="s">
        <v>28</v>
      </c>
      <c r="D3946" s="9" t="s">
        <v>7232</v>
      </c>
      <c r="E3946" s="11" t="s">
        <v>28</v>
      </c>
      <c r="F3946" s="10" t="s">
        <v>28</v>
      </c>
      <c r="G3946" s="10">
        <v>1.8</v>
      </c>
      <c r="H3946" s="10" t="s">
        <v>28</v>
      </c>
      <c r="I3946" s="11" t="s">
        <v>28</v>
      </c>
      <c r="J3946" s="11" t="s">
        <v>28</v>
      </c>
      <c r="K3946" s="11" t="s">
        <v>28</v>
      </c>
      <c r="L3946" s="11" t="s">
        <v>28</v>
      </c>
      <c r="M3946" s="11" t="s">
        <v>28</v>
      </c>
      <c r="N3946" s="8">
        <v>44532</v>
      </c>
      <c r="O3946" s="9" t="s">
        <v>79</v>
      </c>
      <c r="P3946" s="12" t="s">
        <v>12875</v>
      </c>
      <c r="Q3946" s="9" t="s">
        <v>114</v>
      </c>
      <c r="R3946" s="14" t="str">
        <f>HYPERLINK("https://my.pitchbook.com?c=184521-79T","View Company Online")</f>
        <v>View Company Online</v>
      </c>
    </row>
    <row r="3947" spans="1:18" hidden="1" x14ac:dyDescent="0.3">
      <c r="A3947" s="15" t="s">
        <v>12876</v>
      </c>
      <c r="B3947" s="15" t="s">
        <v>12877</v>
      </c>
      <c r="C3947" s="18" t="s">
        <v>28</v>
      </c>
      <c r="D3947" s="15" t="s">
        <v>12878</v>
      </c>
      <c r="E3947" s="18" t="s">
        <v>28</v>
      </c>
      <c r="F3947" s="19" t="s">
        <v>28</v>
      </c>
      <c r="G3947" s="19">
        <v>1.35</v>
      </c>
      <c r="H3947" s="19">
        <v>1.35</v>
      </c>
      <c r="I3947" s="18" t="s">
        <v>28</v>
      </c>
      <c r="J3947" s="18" t="s">
        <v>28</v>
      </c>
      <c r="K3947" s="18" t="s">
        <v>28</v>
      </c>
      <c r="L3947" s="18" t="s">
        <v>28</v>
      </c>
      <c r="M3947" s="18" t="s">
        <v>28</v>
      </c>
      <c r="N3947" s="17">
        <v>44532</v>
      </c>
      <c r="O3947" s="15" t="s">
        <v>30</v>
      </c>
      <c r="P3947" s="16" t="s">
        <v>10730</v>
      </c>
      <c r="Q3947" s="15" t="s">
        <v>774</v>
      </c>
      <c r="R3947" s="13" t="str">
        <f>HYPERLINK("https://my.pitchbook.com?c=211728-52T","View Company Online")</f>
        <v>View Company Online</v>
      </c>
    </row>
    <row r="3948" spans="1:18" hidden="1" x14ac:dyDescent="0.3">
      <c r="A3948" s="9" t="s">
        <v>12879</v>
      </c>
      <c r="B3948" s="9" t="s">
        <v>4256</v>
      </c>
      <c r="C3948" s="11" t="s">
        <v>28</v>
      </c>
      <c r="D3948" s="9" t="s">
        <v>4257</v>
      </c>
      <c r="E3948" s="11" t="s">
        <v>28</v>
      </c>
      <c r="F3948" s="10" t="s">
        <v>28</v>
      </c>
      <c r="G3948" s="10" t="s">
        <v>28</v>
      </c>
      <c r="H3948" s="10" t="s">
        <v>28</v>
      </c>
      <c r="I3948" s="11" t="s">
        <v>28</v>
      </c>
      <c r="J3948" s="11" t="s">
        <v>28</v>
      </c>
      <c r="K3948" s="11" t="s">
        <v>28</v>
      </c>
      <c r="L3948" s="11" t="s">
        <v>28</v>
      </c>
      <c r="M3948" s="11" t="s">
        <v>28</v>
      </c>
      <c r="N3948" s="8">
        <v>44531</v>
      </c>
      <c r="O3948" s="9" t="s">
        <v>73</v>
      </c>
      <c r="P3948" s="12" t="s">
        <v>611</v>
      </c>
      <c r="Q3948" s="9" t="s">
        <v>75</v>
      </c>
      <c r="R3948" s="14" t="str">
        <f>HYPERLINK("https://my.pitchbook.com?c=196166-89T","View Company Online")</f>
        <v>View Company Online</v>
      </c>
    </row>
    <row r="3949" spans="1:18" hidden="1" x14ac:dyDescent="0.3">
      <c r="A3949" s="15" t="s">
        <v>12880</v>
      </c>
      <c r="B3949" s="15" t="s">
        <v>12881</v>
      </c>
      <c r="C3949" s="18" t="s">
        <v>28</v>
      </c>
      <c r="D3949" s="15" t="s">
        <v>12882</v>
      </c>
      <c r="E3949" s="18" t="s">
        <v>28</v>
      </c>
      <c r="F3949" s="19" t="s">
        <v>28</v>
      </c>
      <c r="G3949" s="19" t="s">
        <v>28</v>
      </c>
      <c r="H3949" s="19" t="s">
        <v>28</v>
      </c>
      <c r="I3949" s="18" t="s">
        <v>28</v>
      </c>
      <c r="J3949" s="18" t="s">
        <v>28</v>
      </c>
      <c r="K3949" s="18" t="s">
        <v>28</v>
      </c>
      <c r="L3949" s="18" t="s">
        <v>28</v>
      </c>
      <c r="M3949" s="18" t="s">
        <v>28</v>
      </c>
      <c r="N3949" s="17">
        <v>44531</v>
      </c>
      <c r="O3949" s="15" t="s">
        <v>58</v>
      </c>
      <c r="P3949" s="16" t="s">
        <v>12883</v>
      </c>
      <c r="Q3949" s="15" t="s">
        <v>43</v>
      </c>
      <c r="R3949" s="13" t="str">
        <f>HYPERLINK("https://my.pitchbook.com?c=184482-01T","View Company Online")</f>
        <v>View Company Online</v>
      </c>
    </row>
    <row r="3950" spans="1:18" hidden="1" x14ac:dyDescent="0.3">
      <c r="A3950" s="9" t="s">
        <v>12884</v>
      </c>
      <c r="B3950" s="9" t="s">
        <v>12885</v>
      </c>
      <c r="C3950" s="11" t="s">
        <v>28</v>
      </c>
      <c r="D3950" s="9" t="s">
        <v>12886</v>
      </c>
      <c r="E3950" s="11" t="s">
        <v>28</v>
      </c>
      <c r="F3950" s="10">
        <v>0.03</v>
      </c>
      <c r="G3950" s="10">
        <v>0.03</v>
      </c>
      <c r="H3950" s="10">
        <v>0.03</v>
      </c>
      <c r="I3950" s="11" t="s">
        <v>28</v>
      </c>
      <c r="J3950" s="11" t="s">
        <v>28</v>
      </c>
      <c r="K3950" s="11" t="s">
        <v>28</v>
      </c>
      <c r="L3950" s="11" t="s">
        <v>28</v>
      </c>
      <c r="M3950" s="11" t="s">
        <v>28</v>
      </c>
      <c r="N3950" s="8">
        <v>44531</v>
      </c>
      <c r="O3950" s="9" t="s">
        <v>30</v>
      </c>
      <c r="P3950" s="12" t="s">
        <v>12887</v>
      </c>
      <c r="Q3950" s="9" t="s">
        <v>975</v>
      </c>
      <c r="R3950" s="14" t="str">
        <f>HYPERLINK("https://my.pitchbook.com?c=188342-65T","View Company Online")</f>
        <v>View Company Online</v>
      </c>
    </row>
    <row r="3951" spans="1:18" hidden="1" x14ac:dyDescent="0.3">
      <c r="A3951" s="15" t="s">
        <v>12888</v>
      </c>
      <c r="B3951" s="15" t="s">
        <v>12889</v>
      </c>
      <c r="C3951" s="18" t="s">
        <v>28</v>
      </c>
      <c r="D3951" s="15" t="s">
        <v>12890</v>
      </c>
      <c r="E3951" s="18" t="s">
        <v>28</v>
      </c>
      <c r="F3951" s="19" t="s">
        <v>28</v>
      </c>
      <c r="G3951" s="19" t="s">
        <v>28</v>
      </c>
      <c r="H3951" s="19">
        <v>150</v>
      </c>
      <c r="I3951" s="18" t="s">
        <v>28</v>
      </c>
      <c r="J3951" s="18" t="s">
        <v>28</v>
      </c>
      <c r="K3951" s="18" t="s">
        <v>28</v>
      </c>
      <c r="L3951" s="18" t="s">
        <v>28</v>
      </c>
      <c r="M3951" s="18" t="s">
        <v>28</v>
      </c>
      <c r="N3951" s="17">
        <v>44531</v>
      </c>
      <c r="O3951" s="15" t="s">
        <v>93</v>
      </c>
      <c r="P3951" s="16" t="s">
        <v>12891</v>
      </c>
      <c r="Q3951" s="15" t="s">
        <v>1336</v>
      </c>
      <c r="R3951" s="13" t="str">
        <f>HYPERLINK("https://my.pitchbook.com?c=222844-69T","View Company Online")</f>
        <v>View Company Online</v>
      </c>
    </row>
    <row r="3952" spans="1:18" hidden="1" x14ac:dyDescent="0.3">
      <c r="A3952" s="9" t="s">
        <v>12892</v>
      </c>
      <c r="B3952" s="9" t="s">
        <v>12893</v>
      </c>
      <c r="C3952" s="11" t="s">
        <v>28</v>
      </c>
      <c r="D3952" s="9" t="s">
        <v>12894</v>
      </c>
      <c r="E3952" s="11" t="s">
        <v>28</v>
      </c>
      <c r="F3952" s="10" t="s">
        <v>28</v>
      </c>
      <c r="G3952" s="10" t="s">
        <v>28</v>
      </c>
      <c r="H3952" s="10" t="s">
        <v>28</v>
      </c>
      <c r="I3952" s="11" t="s">
        <v>28</v>
      </c>
      <c r="J3952" s="11" t="s">
        <v>28</v>
      </c>
      <c r="K3952" s="11" t="s">
        <v>28</v>
      </c>
      <c r="L3952" s="11" t="s">
        <v>28</v>
      </c>
      <c r="M3952" s="11" t="s">
        <v>28</v>
      </c>
      <c r="N3952" s="8">
        <v>44531</v>
      </c>
      <c r="O3952" s="9" t="s">
        <v>79</v>
      </c>
      <c r="P3952" s="12" t="s">
        <v>12895</v>
      </c>
      <c r="Q3952" s="9" t="s">
        <v>616</v>
      </c>
      <c r="R3952" s="14" t="str">
        <f>HYPERLINK("https://my.pitchbook.com?c=255155-86T","View Company Online")</f>
        <v>View Company Online</v>
      </c>
    </row>
    <row r="3953" spans="1:18" hidden="1" x14ac:dyDescent="0.3">
      <c r="A3953" s="15" t="s">
        <v>12896</v>
      </c>
      <c r="B3953" s="15" t="s">
        <v>12897</v>
      </c>
      <c r="C3953" s="18" t="s">
        <v>28</v>
      </c>
      <c r="D3953" s="15" t="s">
        <v>12898</v>
      </c>
      <c r="E3953" s="18" t="s">
        <v>28</v>
      </c>
      <c r="F3953" s="19">
        <v>3.6</v>
      </c>
      <c r="G3953" s="19">
        <v>3.6</v>
      </c>
      <c r="H3953" s="19">
        <v>3.6</v>
      </c>
      <c r="I3953" s="18" t="s">
        <v>28</v>
      </c>
      <c r="J3953" s="18" t="s">
        <v>28</v>
      </c>
      <c r="K3953" s="18">
        <v>1.1200000000000001</v>
      </c>
      <c r="L3953" s="18">
        <v>3.21</v>
      </c>
      <c r="M3953" s="18" t="s">
        <v>28</v>
      </c>
      <c r="N3953" s="17">
        <v>44531</v>
      </c>
      <c r="O3953" s="15" t="s">
        <v>30</v>
      </c>
      <c r="P3953" s="16" t="s">
        <v>12899</v>
      </c>
      <c r="Q3953" s="15" t="s">
        <v>43</v>
      </c>
      <c r="R3953" s="13" t="str">
        <f>HYPERLINK("https://my.pitchbook.com?c=210846-34T","View Company Online")</f>
        <v>View Company Online</v>
      </c>
    </row>
    <row r="3954" spans="1:18" hidden="1" x14ac:dyDescent="0.3">
      <c r="A3954" s="9" t="s">
        <v>12900</v>
      </c>
      <c r="B3954" s="9" t="s">
        <v>12901</v>
      </c>
      <c r="C3954" s="11" t="s">
        <v>28</v>
      </c>
      <c r="D3954" s="9" t="s">
        <v>12902</v>
      </c>
      <c r="E3954" s="11" t="s">
        <v>28</v>
      </c>
      <c r="F3954" s="10" t="s">
        <v>28</v>
      </c>
      <c r="G3954" s="10" t="s">
        <v>28</v>
      </c>
      <c r="H3954" s="10" t="s">
        <v>28</v>
      </c>
      <c r="I3954" s="11" t="s">
        <v>28</v>
      </c>
      <c r="J3954" s="11" t="s">
        <v>28</v>
      </c>
      <c r="K3954" s="11" t="s">
        <v>28</v>
      </c>
      <c r="L3954" s="11" t="s">
        <v>28</v>
      </c>
      <c r="M3954" s="11" t="s">
        <v>28</v>
      </c>
      <c r="N3954" s="8">
        <v>44531</v>
      </c>
      <c r="O3954" s="9" t="s">
        <v>30</v>
      </c>
      <c r="P3954" s="12" t="s">
        <v>28</v>
      </c>
      <c r="Q3954" s="9" t="s">
        <v>12903</v>
      </c>
      <c r="R3954" s="14" t="str">
        <f>HYPERLINK("https://my.pitchbook.com?c=199907-29T","View Company Online")</f>
        <v>View Company Online</v>
      </c>
    </row>
    <row r="3955" spans="1:18" hidden="1" x14ac:dyDescent="0.3">
      <c r="A3955" s="15" t="s">
        <v>12904</v>
      </c>
      <c r="B3955" s="15" t="s">
        <v>12905</v>
      </c>
      <c r="C3955" s="18" t="s">
        <v>28</v>
      </c>
      <c r="D3955" s="15" t="s">
        <v>12906</v>
      </c>
      <c r="E3955" s="18" t="s">
        <v>28</v>
      </c>
      <c r="F3955" s="19" t="s">
        <v>28</v>
      </c>
      <c r="G3955" s="19" t="s">
        <v>28</v>
      </c>
      <c r="H3955" s="19" t="s">
        <v>28</v>
      </c>
      <c r="I3955" s="18" t="s">
        <v>28</v>
      </c>
      <c r="J3955" s="18" t="s">
        <v>28</v>
      </c>
      <c r="K3955" s="18" t="s">
        <v>28</v>
      </c>
      <c r="L3955" s="18" t="s">
        <v>28</v>
      </c>
      <c r="M3955" s="18" t="s">
        <v>28</v>
      </c>
      <c r="N3955" s="17">
        <v>44531</v>
      </c>
      <c r="O3955" s="15" t="s">
        <v>79</v>
      </c>
      <c r="P3955" s="16" t="s">
        <v>7108</v>
      </c>
      <c r="Q3955" s="15" t="s">
        <v>249</v>
      </c>
      <c r="R3955" s="13" t="str">
        <f>HYPERLINK("https://my.pitchbook.com?c=215726-68T","View Company Online")</f>
        <v>View Company Online</v>
      </c>
    </row>
    <row r="3956" spans="1:18" hidden="1" x14ac:dyDescent="0.3">
      <c r="A3956" s="9" t="s">
        <v>12907</v>
      </c>
      <c r="B3956" s="9" t="s">
        <v>3526</v>
      </c>
      <c r="C3956" s="11" t="s">
        <v>28</v>
      </c>
      <c r="D3956" s="9" t="s">
        <v>3527</v>
      </c>
      <c r="E3956" s="11" t="s">
        <v>28</v>
      </c>
      <c r="F3956" s="10" t="s">
        <v>28</v>
      </c>
      <c r="G3956" s="10" t="s">
        <v>28</v>
      </c>
      <c r="H3956" s="10" t="s">
        <v>28</v>
      </c>
      <c r="I3956" s="11" t="s">
        <v>28</v>
      </c>
      <c r="J3956" s="11" t="s">
        <v>28</v>
      </c>
      <c r="K3956" s="11" t="s">
        <v>28</v>
      </c>
      <c r="L3956" s="11" t="s">
        <v>28</v>
      </c>
      <c r="M3956" s="11" t="s">
        <v>28</v>
      </c>
      <c r="N3956" s="8">
        <v>44531</v>
      </c>
      <c r="O3956" s="9" t="s">
        <v>93</v>
      </c>
      <c r="P3956" s="12" t="s">
        <v>12908</v>
      </c>
      <c r="Q3956" s="9" t="s">
        <v>424</v>
      </c>
      <c r="R3956" s="14" t="str">
        <f>HYPERLINK("https://my.pitchbook.com?c=185287-78T","View Company Online")</f>
        <v>View Company Online</v>
      </c>
    </row>
    <row r="3957" spans="1:18" hidden="1" x14ac:dyDescent="0.3">
      <c r="A3957" s="15" t="s">
        <v>12909</v>
      </c>
      <c r="B3957" s="15" t="s">
        <v>3533</v>
      </c>
      <c r="C3957" s="18" t="s">
        <v>28</v>
      </c>
      <c r="D3957" s="15" t="s">
        <v>3534</v>
      </c>
      <c r="E3957" s="18" t="s">
        <v>28</v>
      </c>
      <c r="F3957" s="19" t="s">
        <v>28</v>
      </c>
      <c r="G3957" s="19" t="s">
        <v>28</v>
      </c>
      <c r="H3957" s="19" t="s">
        <v>28</v>
      </c>
      <c r="I3957" s="18" t="s">
        <v>28</v>
      </c>
      <c r="J3957" s="18" t="s">
        <v>28</v>
      </c>
      <c r="K3957" s="18" t="s">
        <v>28</v>
      </c>
      <c r="L3957" s="18" t="s">
        <v>28</v>
      </c>
      <c r="M3957" s="18" t="s">
        <v>28</v>
      </c>
      <c r="N3957" s="17">
        <v>44531</v>
      </c>
      <c r="O3957" s="15" t="s">
        <v>99</v>
      </c>
      <c r="P3957" s="16" t="s">
        <v>611</v>
      </c>
      <c r="Q3957" s="15" t="s">
        <v>75</v>
      </c>
      <c r="R3957" s="13" t="str">
        <f>HYPERLINK("https://my.pitchbook.com?c=248441-41T","View Company Online")</f>
        <v>View Company Online</v>
      </c>
    </row>
    <row r="3958" spans="1:18" hidden="1" x14ac:dyDescent="0.3">
      <c r="A3958" s="9" t="s">
        <v>12910</v>
      </c>
      <c r="B3958" s="9" t="s">
        <v>12911</v>
      </c>
      <c r="C3958" s="11" t="s">
        <v>28</v>
      </c>
      <c r="D3958" s="9" t="s">
        <v>12912</v>
      </c>
      <c r="E3958" s="11" t="s">
        <v>28</v>
      </c>
      <c r="F3958" s="10" t="s">
        <v>28</v>
      </c>
      <c r="G3958" s="10" t="s">
        <v>28</v>
      </c>
      <c r="H3958" s="10" t="s">
        <v>28</v>
      </c>
      <c r="I3958" s="11" t="s">
        <v>28</v>
      </c>
      <c r="J3958" s="11" t="s">
        <v>28</v>
      </c>
      <c r="K3958" s="11" t="s">
        <v>28</v>
      </c>
      <c r="L3958" s="11" t="s">
        <v>28</v>
      </c>
      <c r="M3958" s="11" t="s">
        <v>28</v>
      </c>
      <c r="N3958" s="8">
        <v>44531</v>
      </c>
      <c r="O3958" s="9" t="s">
        <v>73</v>
      </c>
      <c r="P3958" s="12" t="s">
        <v>12913</v>
      </c>
      <c r="Q3958" s="9" t="s">
        <v>75</v>
      </c>
      <c r="R3958" s="14" t="str">
        <f>HYPERLINK("https://my.pitchbook.com?c=185306-86T","View Company Online")</f>
        <v>View Company Online</v>
      </c>
    </row>
    <row r="3959" spans="1:18" hidden="1" x14ac:dyDescent="0.3">
      <c r="A3959" s="15" t="s">
        <v>12914</v>
      </c>
      <c r="B3959" s="15" t="s">
        <v>1984</v>
      </c>
      <c r="C3959" s="18" t="s">
        <v>28</v>
      </c>
      <c r="D3959" s="15" t="s">
        <v>1985</v>
      </c>
      <c r="E3959" s="18" t="s">
        <v>28</v>
      </c>
      <c r="F3959" s="19" t="s">
        <v>28</v>
      </c>
      <c r="G3959" s="19">
        <v>0.4</v>
      </c>
      <c r="H3959" s="19" t="s">
        <v>28</v>
      </c>
      <c r="I3959" s="18" t="s">
        <v>28</v>
      </c>
      <c r="J3959" s="18" t="s">
        <v>28</v>
      </c>
      <c r="K3959" s="18">
        <v>0.18</v>
      </c>
      <c r="L3959" s="18" t="s">
        <v>28</v>
      </c>
      <c r="M3959" s="18" t="s">
        <v>28</v>
      </c>
      <c r="N3959" s="17">
        <v>44531</v>
      </c>
      <c r="O3959" s="15" t="s">
        <v>47</v>
      </c>
      <c r="P3959" s="16" t="s">
        <v>12915</v>
      </c>
      <c r="Q3959" s="15" t="s">
        <v>75</v>
      </c>
      <c r="R3959" s="13" t="str">
        <f>HYPERLINK("https://my.pitchbook.com?c=227899-99T","View Company Online")</f>
        <v>View Company Online</v>
      </c>
    </row>
    <row r="3960" spans="1:18" hidden="1" x14ac:dyDescent="0.3">
      <c r="A3960" s="9" t="s">
        <v>12916</v>
      </c>
      <c r="B3960" s="9" t="s">
        <v>12917</v>
      </c>
      <c r="C3960" s="11" t="s">
        <v>28</v>
      </c>
      <c r="D3960" s="9" t="s">
        <v>12918</v>
      </c>
      <c r="E3960" s="11" t="s">
        <v>28</v>
      </c>
      <c r="F3960" s="10" t="s">
        <v>28</v>
      </c>
      <c r="G3960" s="10" t="s">
        <v>28</v>
      </c>
      <c r="H3960" s="10" t="s">
        <v>28</v>
      </c>
      <c r="I3960" s="11" t="s">
        <v>28</v>
      </c>
      <c r="J3960" s="11" t="s">
        <v>28</v>
      </c>
      <c r="K3960" s="11" t="s">
        <v>28</v>
      </c>
      <c r="L3960" s="11" t="s">
        <v>28</v>
      </c>
      <c r="M3960" s="11" t="s">
        <v>28</v>
      </c>
      <c r="N3960" s="8">
        <v>44531</v>
      </c>
      <c r="O3960" s="9" t="s">
        <v>41</v>
      </c>
      <c r="P3960" s="12" t="s">
        <v>8586</v>
      </c>
      <c r="Q3960" s="9" t="s">
        <v>692</v>
      </c>
      <c r="R3960" s="14" t="str">
        <f>HYPERLINK("https://my.pitchbook.com?c=242078-41T","View Company Online")</f>
        <v>View Company Online</v>
      </c>
    </row>
    <row r="3961" spans="1:18" hidden="1" x14ac:dyDescent="0.3">
      <c r="A3961" s="15" t="s">
        <v>12919</v>
      </c>
      <c r="B3961" s="15" t="s">
        <v>12920</v>
      </c>
      <c r="C3961" s="18" t="s">
        <v>28</v>
      </c>
      <c r="D3961" s="15" t="s">
        <v>12921</v>
      </c>
      <c r="E3961" s="18" t="s">
        <v>28</v>
      </c>
      <c r="F3961" s="19" t="s">
        <v>28</v>
      </c>
      <c r="G3961" s="19" t="s">
        <v>28</v>
      </c>
      <c r="H3961" s="19" t="s">
        <v>28</v>
      </c>
      <c r="I3961" s="18" t="s">
        <v>28</v>
      </c>
      <c r="J3961" s="18" t="s">
        <v>28</v>
      </c>
      <c r="K3961" s="18" t="s">
        <v>28</v>
      </c>
      <c r="L3961" s="18" t="s">
        <v>28</v>
      </c>
      <c r="M3961" s="18" t="s">
        <v>28</v>
      </c>
      <c r="N3961" s="17">
        <v>44531</v>
      </c>
      <c r="O3961" s="15" t="s">
        <v>79</v>
      </c>
      <c r="P3961" s="16" t="s">
        <v>12922</v>
      </c>
      <c r="Q3961" s="15" t="s">
        <v>616</v>
      </c>
      <c r="R3961" s="13" t="str">
        <f>HYPERLINK("https://my.pitchbook.com?c=215315-56T","View Company Online")</f>
        <v>View Company Online</v>
      </c>
    </row>
    <row r="3962" spans="1:18" hidden="1" x14ac:dyDescent="0.3">
      <c r="A3962" s="9" t="s">
        <v>12923</v>
      </c>
      <c r="B3962" s="9" t="s">
        <v>12924</v>
      </c>
      <c r="C3962" s="11" t="s">
        <v>28</v>
      </c>
      <c r="D3962" s="9" t="s">
        <v>12925</v>
      </c>
      <c r="E3962" s="11" t="s">
        <v>28</v>
      </c>
      <c r="F3962" s="10" t="s">
        <v>28</v>
      </c>
      <c r="G3962" s="10" t="s">
        <v>28</v>
      </c>
      <c r="H3962" s="10" t="s">
        <v>28</v>
      </c>
      <c r="I3962" s="11" t="s">
        <v>28</v>
      </c>
      <c r="J3962" s="11" t="s">
        <v>28</v>
      </c>
      <c r="K3962" s="11" t="s">
        <v>28</v>
      </c>
      <c r="L3962" s="11" t="s">
        <v>28</v>
      </c>
      <c r="M3962" s="11" t="s">
        <v>28</v>
      </c>
      <c r="N3962" s="8">
        <v>44531</v>
      </c>
      <c r="O3962" s="9" t="s">
        <v>908</v>
      </c>
      <c r="P3962" s="12" t="s">
        <v>28</v>
      </c>
      <c r="Q3962" s="9" t="s">
        <v>37</v>
      </c>
      <c r="R3962" s="14" t="str">
        <f>HYPERLINK("https://my.pitchbook.com?c=218646-28T","View Company Online")</f>
        <v>View Company Online</v>
      </c>
    </row>
    <row r="3963" spans="1:18" hidden="1" x14ac:dyDescent="0.3">
      <c r="A3963" s="15" t="s">
        <v>12926</v>
      </c>
      <c r="B3963" s="15" t="s">
        <v>12927</v>
      </c>
      <c r="C3963" s="18" t="s">
        <v>28</v>
      </c>
      <c r="D3963" s="15" t="s">
        <v>12928</v>
      </c>
      <c r="E3963" s="18" t="s">
        <v>28</v>
      </c>
      <c r="F3963" s="19" t="s">
        <v>28</v>
      </c>
      <c r="G3963" s="19" t="s">
        <v>28</v>
      </c>
      <c r="H3963" s="19" t="s">
        <v>28</v>
      </c>
      <c r="I3963" s="18" t="s">
        <v>28</v>
      </c>
      <c r="J3963" s="18" t="s">
        <v>28</v>
      </c>
      <c r="K3963" s="18" t="s">
        <v>28</v>
      </c>
      <c r="L3963" s="18" t="s">
        <v>28</v>
      </c>
      <c r="M3963" s="18" t="s">
        <v>28</v>
      </c>
      <c r="N3963" s="17">
        <v>44531</v>
      </c>
      <c r="O3963" s="15" t="s">
        <v>30</v>
      </c>
      <c r="P3963" s="16" t="s">
        <v>12929</v>
      </c>
      <c r="Q3963" s="15" t="s">
        <v>414</v>
      </c>
      <c r="R3963" s="13" t="str">
        <f>HYPERLINK("https://my.pitchbook.com?c=210195-55T","View Company Online")</f>
        <v>View Company Online</v>
      </c>
    </row>
    <row r="3964" spans="1:18" hidden="1" x14ac:dyDescent="0.3">
      <c r="A3964" s="9" t="s">
        <v>12930</v>
      </c>
      <c r="B3964" s="9" t="s">
        <v>12931</v>
      </c>
      <c r="C3964" s="11" t="s">
        <v>28</v>
      </c>
      <c r="D3964" s="9" t="s">
        <v>12932</v>
      </c>
      <c r="E3964" s="11" t="s">
        <v>28</v>
      </c>
      <c r="F3964" s="10">
        <v>51.7</v>
      </c>
      <c r="G3964" s="10">
        <v>51.7</v>
      </c>
      <c r="H3964" s="10">
        <v>51.7</v>
      </c>
      <c r="I3964" s="11" t="s">
        <v>28</v>
      </c>
      <c r="J3964" s="11" t="s">
        <v>28</v>
      </c>
      <c r="K3964" s="11" t="s">
        <v>28</v>
      </c>
      <c r="L3964" s="11" t="s">
        <v>28</v>
      </c>
      <c r="M3964" s="11" t="s">
        <v>28</v>
      </c>
      <c r="N3964" s="8">
        <v>44531</v>
      </c>
      <c r="O3964" s="9" t="s">
        <v>30</v>
      </c>
      <c r="P3964" s="12" t="s">
        <v>12933</v>
      </c>
      <c r="Q3964" s="9" t="s">
        <v>136</v>
      </c>
      <c r="R3964" s="14" t="str">
        <f>HYPERLINK("https://my.pitchbook.com?c=184423-24T","View Company Online")</f>
        <v>View Company Online</v>
      </c>
    </row>
    <row r="3965" spans="1:18" hidden="1" x14ac:dyDescent="0.3">
      <c r="A3965" s="15" t="s">
        <v>12934</v>
      </c>
      <c r="B3965" s="15" t="s">
        <v>12935</v>
      </c>
      <c r="C3965" s="18" t="s">
        <v>28</v>
      </c>
      <c r="D3965" s="15" t="s">
        <v>12936</v>
      </c>
      <c r="E3965" s="18" t="s">
        <v>28</v>
      </c>
      <c r="F3965" s="19" t="s">
        <v>28</v>
      </c>
      <c r="G3965" s="19" t="s">
        <v>28</v>
      </c>
      <c r="H3965" s="19" t="s">
        <v>28</v>
      </c>
      <c r="I3965" s="18" t="s">
        <v>28</v>
      </c>
      <c r="J3965" s="18" t="s">
        <v>28</v>
      </c>
      <c r="K3965" s="18" t="s">
        <v>28</v>
      </c>
      <c r="L3965" s="18" t="s">
        <v>28</v>
      </c>
      <c r="M3965" s="18" t="s">
        <v>28</v>
      </c>
      <c r="N3965" s="17">
        <v>44531</v>
      </c>
      <c r="O3965" s="15" t="s">
        <v>99</v>
      </c>
      <c r="P3965" s="16" t="s">
        <v>12937</v>
      </c>
      <c r="Q3965" s="15" t="s">
        <v>37</v>
      </c>
      <c r="R3965" s="13" t="str">
        <f>HYPERLINK("https://my.pitchbook.com?c=207382-96T","View Company Online")</f>
        <v>View Company Online</v>
      </c>
    </row>
    <row r="3966" spans="1:18" hidden="1" x14ac:dyDescent="0.3">
      <c r="A3966" s="9" t="s">
        <v>12938</v>
      </c>
      <c r="B3966" s="9" t="s">
        <v>2945</v>
      </c>
      <c r="C3966" s="11" t="s">
        <v>28</v>
      </c>
      <c r="D3966" s="9" t="s">
        <v>2946</v>
      </c>
      <c r="E3966" s="11" t="s">
        <v>28</v>
      </c>
      <c r="F3966" s="10" t="s">
        <v>28</v>
      </c>
      <c r="G3966" s="10">
        <v>0.13</v>
      </c>
      <c r="H3966" s="10" t="s">
        <v>28</v>
      </c>
      <c r="I3966" s="11" t="s">
        <v>28</v>
      </c>
      <c r="J3966" s="11" t="s">
        <v>28</v>
      </c>
      <c r="K3966" s="11" t="s">
        <v>28</v>
      </c>
      <c r="L3966" s="11" t="s">
        <v>28</v>
      </c>
      <c r="M3966" s="11" t="s">
        <v>28</v>
      </c>
      <c r="N3966" s="8">
        <v>44531</v>
      </c>
      <c r="O3966" s="9" t="s">
        <v>73</v>
      </c>
      <c r="P3966" s="12" t="s">
        <v>12939</v>
      </c>
      <c r="Q3966" s="9" t="s">
        <v>386</v>
      </c>
      <c r="R3966" s="14" t="str">
        <f>HYPERLINK("https://my.pitchbook.com?c=187408-72T","View Company Online")</f>
        <v>View Company Online</v>
      </c>
    </row>
    <row r="3967" spans="1:18" hidden="1" x14ac:dyDescent="0.3">
      <c r="A3967" s="15" t="s">
        <v>12940</v>
      </c>
      <c r="B3967" s="15" t="s">
        <v>5452</v>
      </c>
      <c r="C3967" s="18" t="s">
        <v>28</v>
      </c>
      <c r="D3967" s="15" t="s">
        <v>5453</v>
      </c>
      <c r="E3967" s="18" t="s">
        <v>28</v>
      </c>
      <c r="F3967" s="19" t="s">
        <v>28</v>
      </c>
      <c r="G3967" s="19" t="s">
        <v>28</v>
      </c>
      <c r="H3967" s="19" t="s">
        <v>28</v>
      </c>
      <c r="I3967" s="18" t="s">
        <v>28</v>
      </c>
      <c r="J3967" s="18" t="s">
        <v>28</v>
      </c>
      <c r="K3967" s="18" t="s">
        <v>28</v>
      </c>
      <c r="L3967" s="18" t="s">
        <v>28</v>
      </c>
      <c r="M3967" s="18" t="s">
        <v>28</v>
      </c>
      <c r="N3967" s="17">
        <v>44531</v>
      </c>
      <c r="O3967" s="15" t="s">
        <v>99</v>
      </c>
      <c r="P3967" s="16" t="s">
        <v>12941</v>
      </c>
      <c r="Q3967" s="15" t="s">
        <v>75</v>
      </c>
      <c r="R3967" s="13" t="str">
        <f>HYPERLINK("https://my.pitchbook.com?c=188151-58T","View Company Online")</f>
        <v>View Company Online</v>
      </c>
    </row>
    <row r="3968" spans="1:18" hidden="1" x14ac:dyDescent="0.3">
      <c r="A3968" s="9" t="s">
        <v>12942</v>
      </c>
      <c r="B3968" s="9" t="s">
        <v>12943</v>
      </c>
      <c r="C3968" s="11" t="s">
        <v>28</v>
      </c>
      <c r="D3968" s="9" t="s">
        <v>12944</v>
      </c>
      <c r="E3968" s="11" t="s">
        <v>28</v>
      </c>
      <c r="F3968" s="10" t="s">
        <v>28</v>
      </c>
      <c r="G3968" s="10" t="s">
        <v>28</v>
      </c>
      <c r="H3968" s="10" t="s">
        <v>28</v>
      </c>
      <c r="I3968" s="11" t="s">
        <v>28</v>
      </c>
      <c r="J3968" s="11" t="s">
        <v>28</v>
      </c>
      <c r="K3968" s="11" t="s">
        <v>28</v>
      </c>
      <c r="L3968" s="11" t="s">
        <v>28</v>
      </c>
      <c r="M3968" s="11" t="s">
        <v>28</v>
      </c>
      <c r="N3968" s="8">
        <v>44530</v>
      </c>
      <c r="O3968" s="9" t="s">
        <v>30</v>
      </c>
      <c r="P3968" s="12" t="s">
        <v>12945</v>
      </c>
      <c r="Q3968" s="9" t="s">
        <v>75</v>
      </c>
      <c r="R3968" s="14" t="str">
        <f>HYPERLINK("https://my.pitchbook.com?c=211602-79T","View Company Online")</f>
        <v>View Company Online</v>
      </c>
    </row>
    <row r="3969" spans="1:18" hidden="1" x14ac:dyDescent="0.3">
      <c r="A3969" s="15" t="s">
        <v>12946</v>
      </c>
      <c r="B3969" s="15" t="s">
        <v>10168</v>
      </c>
      <c r="C3969" s="18" t="s">
        <v>28</v>
      </c>
      <c r="D3969" s="15" t="s">
        <v>10169</v>
      </c>
      <c r="E3969" s="18" t="s">
        <v>28</v>
      </c>
      <c r="F3969" s="19" t="s">
        <v>28</v>
      </c>
      <c r="G3969" s="19">
        <v>10</v>
      </c>
      <c r="H3969" s="19" t="s">
        <v>28</v>
      </c>
      <c r="I3969" s="18" t="s">
        <v>28</v>
      </c>
      <c r="J3969" s="18" t="s">
        <v>28</v>
      </c>
      <c r="K3969" s="18" t="s">
        <v>28</v>
      </c>
      <c r="L3969" s="18" t="s">
        <v>28</v>
      </c>
      <c r="M3969" s="18" t="s">
        <v>28</v>
      </c>
      <c r="N3969" s="17">
        <v>44530</v>
      </c>
      <c r="O3969" s="15" t="s">
        <v>73</v>
      </c>
      <c r="P3969" s="16" t="s">
        <v>12947</v>
      </c>
      <c r="Q3969" s="15" t="s">
        <v>9051</v>
      </c>
      <c r="R3969" s="13" t="str">
        <f>HYPERLINK("https://my.pitchbook.com?c=184278-79T","View Company Online")</f>
        <v>View Company Online</v>
      </c>
    </row>
    <row r="3970" spans="1:18" hidden="1" x14ac:dyDescent="0.3">
      <c r="A3970" s="9" t="s">
        <v>12948</v>
      </c>
      <c r="B3970" s="9" t="s">
        <v>12949</v>
      </c>
      <c r="C3970" s="11" t="s">
        <v>28</v>
      </c>
      <c r="D3970" s="9" t="s">
        <v>12950</v>
      </c>
      <c r="E3970" s="11" t="s">
        <v>28</v>
      </c>
      <c r="F3970" s="10">
        <v>39.6</v>
      </c>
      <c r="G3970" s="10">
        <v>39.6</v>
      </c>
      <c r="H3970" s="10">
        <v>39.6</v>
      </c>
      <c r="I3970" s="11" t="s">
        <v>28</v>
      </c>
      <c r="J3970" s="11" t="s">
        <v>28</v>
      </c>
      <c r="K3970" s="11" t="s">
        <v>28</v>
      </c>
      <c r="L3970" s="11" t="s">
        <v>28</v>
      </c>
      <c r="M3970" s="11" t="s">
        <v>28</v>
      </c>
      <c r="N3970" s="8">
        <v>44530</v>
      </c>
      <c r="O3970" s="9" t="s">
        <v>30</v>
      </c>
      <c r="P3970" s="12" t="s">
        <v>6926</v>
      </c>
      <c r="Q3970" s="9" t="s">
        <v>607</v>
      </c>
      <c r="R3970" s="14" t="str">
        <f>HYPERLINK("https://my.pitchbook.com?c=184537-36T","View Company Online")</f>
        <v>View Company Online</v>
      </c>
    </row>
    <row r="3971" spans="1:18" hidden="1" x14ac:dyDescent="0.3">
      <c r="A3971" s="15" t="s">
        <v>12951</v>
      </c>
      <c r="B3971" s="15" t="s">
        <v>12952</v>
      </c>
      <c r="C3971" s="18" t="s">
        <v>28</v>
      </c>
      <c r="D3971" s="15" t="s">
        <v>12953</v>
      </c>
      <c r="E3971" s="18" t="s">
        <v>28</v>
      </c>
      <c r="F3971" s="19" t="s">
        <v>28</v>
      </c>
      <c r="G3971" s="19" t="s">
        <v>28</v>
      </c>
      <c r="H3971" s="19" t="s">
        <v>28</v>
      </c>
      <c r="I3971" s="18" t="s">
        <v>28</v>
      </c>
      <c r="J3971" s="18" t="s">
        <v>28</v>
      </c>
      <c r="K3971" s="18" t="s">
        <v>28</v>
      </c>
      <c r="L3971" s="18" t="s">
        <v>28</v>
      </c>
      <c r="M3971" s="18" t="s">
        <v>28</v>
      </c>
      <c r="N3971" s="17">
        <v>44530</v>
      </c>
      <c r="O3971" s="15" t="s">
        <v>30</v>
      </c>
      <c r="P3971" s="16" t="s">
        <v>12954</v>
      </c>
      <c r="Q3971" s="15" t="s">
        <v>245</v>
      </c>
      <c r="R3971" s="13" t="str">
        <f>HYPERLINK("https://my.pitchbook.com?c=186931-72T","View Company Online")</f>
        <v>View Company Online</v>
      </c>
    </row>
    <row r="3972" spans="1:18" hidden="1" x14ac:dyDescent="0.3">
      <c r="A3972" s="9" t="s">
        <v>12955</v>
      </c>
      <c r="B3972" s="9" t="s">
        <v>4981</v>
      </c>
      <c r="C3972" s="11" t="s">
        <v>28</v>
      </c>
      <c r="D3972" s="9" t="s">
        <v>4982</v>
      </c>
      <c r="E3972" s="11" t="s">
        <v>28</v>
      </c>
      <c r="F3972" s="10" t="s">
        <v>28</v>
      </c>
      <c r="G3972" s="10">
        <v>1.17</v>
      </c>
      <c r="H3972" s="10" t="s">
        <v>28</v>
      </c>
      <c r="I3972" s="11" t="s">
        <v>28</v>
      </c>
      <c r="J3972" s="11" t="s">
        <v>28</v>
      </c>
      <c r="K3972" s="11">
        <v>0.44</v>
      </c>
      <c r="L3972" s="11" t="s">
        <v>28</v>
      </c>
      <c r="M3972" s="11" t="s">
        <v>28</v>
      </c>
      <c r="N3972" s="8">
        <v>44530</v>
      </c>
      <c r="O3972" s="9" t="s">
        <v>99</v>
      </c>
      <c r="P3972" s="12" t="s">
        <v>12956</v>
      </c>
      <c r="Q3972" s="9" t="s">
        <v>1336</v>
      </c>
      <c r="R3972" s="14" t="str">
        <f>HYPERLINK("https://my.pitchbook.com?c=185266-90T","View Company Online")</f>
        <v>View Company Online</v>
      </c>
    </row>
    <row r="3973" spans="1:18" hidden="1" x14ac:dyDescent="0.3">
      <c r="A3973" s="15" t="s">
        <v>12957</v>
      </c>
      <c r="B3973" s="15" t="s">
        <v>1668</v>
      </c>
      <c r="C3973" s="18" t="s">
        <v>28</v>
      </c>
      <c r="D3973" s="15" t="s">
        <v>1669</v>
      </c>
      <c r="E3973" s="18" t="s">
        <v>28</v>
      </c>
      <c r="F3973" s="19">
        <v>1650</v>
      </c>
      <c r="G3973" s="19">
        <v>1650</v>
      </c>
      <c r="H3973" s="19">
        <v>1650</v>
      </c>
      <c r="I3973" s="18" t="s">
        <v>28</v>
      </c>
      <c r="J3973" s="18" t="s">
        <v>28</v>
      </c>
      <c r="K3973" s="18" t="s">
        <v>28</v>
      </c>
      <c r="L3973" s="18" t="s">
        <v>28</v>
      </c>
      <c r="M3973" s="18" t="s">
        <v>28</v>
      </c>
      <c r="N3973" s="17">
        <v>44530</v>
      </c>
      <c r="O3973" s="15" t="s">
        <v>41</v>
      </c>
      <c r="P3973" s="16" t="s">
        <v>12958</v>
      </c>
      <c r="Q3973" s="15" t="s">
        <v>183</v>
      </c>
      <c r="R3973" s="13" t="str">
        <f>HYPERLINK("https://my.pitchbook.com?c=156183-13T","View Company Online")</f>
        <v>View Company Online</v>
      </c>
    </row>
    <row r="3974" spans="1:18" hidden="1" x14ac:dyDescent="0.3">
      <c r="A3974" s="9" t="s">
        <v>12959</v>
      </c>
      <c r="B3974" s="9" t="s">
        <v>12960</v>
      </c>
      <c r="C3974" s="11" t="s">
        <v>28</v>
      </c>
      <c r="D3974" s="9" t="s">
        <v>12961</v>
      </c>
      <c r="E3974" s="11" t="s">
        <v>28</v>
      </c>
      <c r="F3974" s="10" t="s">
        <v>28</v>
      </c>
      <c r="G3974" s="10">
        <v>0.18</v>
      </c>
      <c r="H3974" s="10" t="s">
        <v>28</v>
      </c>
      <c r="I3974" s="11" t="s">
        <v>28</v>
      </c>
      <c r="J3974" s="11" t="s">
        <v>28</v>
      </c>
      <c r="K3974" s="11" t="s">
        <v>28</v>
      </c>
      <c r="L3974" s="11" t="s">
        <v>28</v>
      </c>
      <c r="M3974" s="11" t="s">
        <v>28</v>
      </c>
      <c r="N3974" s="8">
        <v>44530</v>
      </c>
      <c r="O3974" s="9" t="s">
        <v>73</v>
      </c>
      <c r="P3974" s="12" t="s">
        <v>12962</v>
      </c>
      <c r="Q3974" s="9" t="s">
        <v>285</v>
      </c>
      <c r="R3974" s="14" t="str">
        <f>HYPERLINK("https://my.pitchbook.com?c=184284-55T","View Company Online")</f>
        <v>View Company Online</v>
      </c>
    </row>
    <row r="3975" spans="1:18" hidden="1" x14ac:dyDescent="0.3">
      <c r="A3975" s="15" t="s">
        <v>12963</v>
      </c>
      <c r="B3975" s="15" t="s">
        <v>12964</v>
      </c>
      <c r="C3975" s="18" t="s">
        <v>28</v>
      </c>
      <c r="D3975" s="15" t="s">
        <v>12965</v>
      </c>
      <c r="E3975" s="18" t="s">
        <v>28</v>
      </c>
      <c r="F3975" s="19" t="s">
        <v>28</v>
      </c>
      <c r="G3975" s="19">
        <v>1.8</v>
      </c>
      <c r="H3975" s="19" t="s">
        <v>28</v>
      </c>
      <c r="I3975" s="18" t="s">
        <v>28</v>
      </c>
      <c r="J3975" s="18" t="s">
        <v>28</v>
      </c>
      <c r="K3975" s="18" t="s">
        <v>28</v>
      </c>
      <c r="L3975" s="18" t="s">
        <v>28</v>
      </c>
      <c r="M3975" s="18" t="s">
        <v>28</v>
      </c>
      <c r="N3975" s="17">
        <v>44530</v>
      </c>
      <c r="O3975" s="15" t="s">
        <v>79</v>
      </c>
      <c r="P3975" s="16" t="s">
        <v>12966</v>
      </c>
      <c r="Q3975" s="15" t="s">
        <v>1179</v>
      </c>
      <c r="R3975" s="13" t="str">
        <f>HYPERLINK("https://my.pitchbook.com?c=215496-91T","View Company Online")</f>
        <v>View Company Online</v>
      </c>
    </row>
    <row r="3976" spans="1:18" hidden="1" x14ac:dyDescent="0.3">
      <c r="A3976" s="9" t="s">
        <v>12967</v>
      </c>
      <c r="B3976" s="9" t="s">
        <v>12968</v>
      </c>
      <c r="C3976" s="11" t="s">
        <v>28</v>
      </c>
      <c r="D3976" s="9" t="s">
        <v>12969</v>
      </c>
      <c r="E3976" s="11" t="s">
        <v>28</v>
      </c>
      <c r="F3976" s="10" t="s">
        <v>28</v>
      </c>
      <c r="G3976" s="10" t="s">
        <v>28</v>
      </c>
      <c r="H3976" s="10" t="s">
        <v>28</v>
      </c>
      <c r="I3976" s="11" t="s">
        <v>28</v>
      </c>
      <c r="J3976" s="11" t="s">
        <v>28</v>
      </c>
      <c r="K3976" s="11">
        <v>0.19</v>
      </c>
      <c r="L3976" s="11" t="s">
        <v>28</v>
      </c>
      <c r="M3976" s="11" t="s">
        <v>28</v>
      </c>
      <c r="N3976" s="8">
        <v>44529</v>
      </c>
      <c r="O3976" s="9" t="s">
        <v>58</v>
      </c>
      <c r="P3976" s="12" t="s">
        <v>12970</v>
      </c>
      <c r="Q3976" s="9" t="s">
        <v>43</v>
      </c>
      <c r="R3976" s="14" t="str">
        <f>HYPERLINK("https://my.pitchbook.com?c=211622-32T","View Company Online")</f>
        <v>View Company Online</v>
      </c>
    </row>
    <row r="3977" spans="1:18" hidden="1" x14ac:dyDescent="0.3">
      <c r="A3977" s="15" t="s">
        <v>12971</v>
      </c>
      <c r="B3977" s="15" t="s">
        <v>4842</v>
      </c>
      <c r="C3977" s="18" t="s">
        <v>28</v>
      </c>
      <c r="D3977" s="15" t="s">
        <v>4843</v>
      </c>
      <c r="E3977" s="18" t="s">
        <v>28</v>
      </c>
      <c r="F3977" s="19" t="s">
        <v>28</v>
      </c>
      <c r="G3977" s="19" t="s">
        <v>28</v>
      </c>
      <c r="H3977" s="19" t="s">
        <v>28</v>
      </c>
      <c r="I3977" s="18" t="s">
        <v>28</v>
      </c>
      <c r="J3977" s="18" t="s">
        <v>28</v>
      </c>
      <c r="K3977" s="18" t="s">
        <v>28</v>
      </c>
      <c r="L3977" s="18" t="s">
        <v>28</v>
      </c>
      <c r="M3977" s="18" t="s">
        <v>28</v>
      </c>
      <c r="N3977" s="17">
        <v>44529</v>
      </c>
      <c r="O3977" s="15" t="s">
        <v>99</v>
      </c>
      <c r="P3977" s="16" t="s">
        <v>12745</v>
      </c>
      <c r="Q3977" s="15" t="s">
        <v>75</v>
      </c>
      <c r="R3977" s="13" t="str">
        <f>HYPERLINK("https://my.pitchbook.com?c=227572-57T","View Company Online")</f>
        <v>View Company Online</v>
      </c>
    </row>
    <row r="3978" spans="1:18" hidden="1" x14ac:dyDescent="0.3">
      <c r="A3978" s="9" t="s">
        <v>12972</v>
      </c>
      <c r="B3978" s="9" t="s">
        <v>12973</v>
      </c>
      <c r="C3978" s="11" t="s">
        <v>28</v>
      </c>
      <c r="D3978" s="9" t="s">
        <v>12974</v>
      </c>
      <c r="E3978" s="11">
        <v>8.32</v>
      </c>
      <c r="F3978" s="10" t="s">
        <v>28</v>
      </c>
      <c r="G3978" s="10" t="s">
        <v>28</v>
      </c>
      <c r="H3978" s="10" t="s">
        <v>28</v>
      </c>
      <c r="I3978" s="11">
        <v>8.32</v>
      </c>
      <c r="J3978" s="11" t="s">
        <v>28</v>
      </c>
      <c r="K3978" s="11">
        <v>2.62</v>
      </c>
      <c r="L3978" s="11" t="s">
        <v>28</v>
      </c>
      <c r="M3978" s="11">
        <v>8.32</v>
      </c>
      <c r="N3978" s="8">
        <v>44529</v>
      </c>
      <c r="O3978" s="9" t="s">
        <v>173</v>
      </c>
      <c r="P3978" s="12" t="s">
        <v>28</v>
      </c>
      <c r="Q3978" s="9" t="s">
        <v>174</v>
      </c>
      <c r="R3978" s="14" t="str">
        <f>HYPERLINK("https://my.pitchbook.com?c=251544-52T","View Company Online")</f>
        <v>View Company Online</v>
      </c>
    </row>
    <row r="3979" spans="1:18" hidden="1" x14ac:dyDescent="0.3">
      <c r="A3979" s="15" t="s">
        <v>12975</v>
      </c>
      <c r="B3979" s="15" t="s">
        <v>12976</v>
      </c>
      <c r="C3979" s="18" t="s">
        <v>28</v>
      </c>
      <c r="D3979" s="15" t="s">
        <v>12977</v>
      </c>
      <c r="E3979" s="18" t="s">
        <v>28</v>
      </c>
      <c r="F3979" s="19">
        <v>323.94</v>
      </c>
      <c r="G3979" s="19">
        <v>323.94</v>
      </c>
      <c r="H3979" s="19">
        <v>323.94</v>
      </c>
      <c r="I3979" s="18" t="s">
        <v>28</v>
      </c>
      <c r="J3979" s="18" t="s">
        <v>28</v>
      </c>
      <c r="K3979" s="18" t="s">
        <v>28</v>
      </c>
      <c r="L3979" s="18" t="s">
        <v>28</v>
      </c>
      <c r="M3979" s="18" t="s">
        <v>28</v>
      </c>
      <c r="N3979" s="17">
        <v>44529</v>
      </c>
      <c r="O3979" s="15" t="s">
        <v>30</v>
      </c>
      <c r="P3979" s="16" t="s">
        <v>28</v>
      </c>
      <c r="Q3979" s="15" t="s">
        <v>69</v>
      </c>
      <c r="R3979" s="13" t="str">
        <f>HYPERLINK("https://my.pitchbook.com?c=183132-55T","View Company Online")</f>
        <v>View Company Online</v>
      </c>
    </row>
    <row r="3980" spans="1:18" hidden="1" x14ac:dyDescent="0.3">
      <c r="A3980" s="9" t="s">
        <v>12978</v>
      </c>
      <c r="B3980" s="9" t="s">
        <v>8802</v>
      </c>
      <c r="C3980" s="11" t="s">
        <v>28</v>
      </c>
      <c r="D3980" s="9" t="s">
        <v>8803</v>
      </c>
      <c r="E3980" s="11" t="s">
        <v>28</v>
      </c>
      <c r="F3980" s="10" t="s">
        <v>28</v>
      </c>
      <c r="G3980" s="10">
        <v>1.1000000000000001</v>
      </c>
      <c r="H3980" s="10" t="s">
        <v>28</v>
      </c>
      <c r="I3980" s="11" t="s">
        <v>28</v>
      </c>
      <c r="J3980" s="11" t="s">
        <v>28</v>
      </c>
      <c r="K3980" s="11" t="s">
        <v>28</v>
      </c>
      <c r="L3980" s="11" t="s">
        <v>28</v>
      </c>
      <c r="M3980" s="11" t="s">
        <v>28</v>
      </c>
      <c r="N3980" s="8">
        <v>44529</v>
      </c>
      <c r="O3980" s="9" t="s">
        <v>99</v>
      </c>
      <c r="P3980" s="12" t="s">
        <v>28</v>
      </c>
      <c r="Q3980" s="9" t="s">
        <v>75</v>
      </c>
      <c r="R3980" s="14" t="str">
        <f>HYPERLINK("https://my.pitchbook.com?c=185774-68T","View Company Online")</f>
        <v>View Company Online</v>
      </c>
    </row>
    <row r="3981" spans="1:18" hidden="1" x14ac:dyDescent="0.3">
      <c r="A3981" s="15" t="s">
        <v>12979</v>
      </c>
      <c r="B3981" s="15" t="s">
        <v>5125</v>
      </c>
      <c r="C3981" s="18" t="s">
        <v>28</v>
      </c>
      <c r="D3981" s="15" t="s">
        <v>5126</v>
      </c>
      <c r="E3981" s="18" t="s">
        <v>28</v>
      </c>
      <c r="F3981" s="19" t="s">
        <v>28</v>
      </c>
      <c r="G3981" s="19">
        <v>3</v>
      </c>
      <c r="H3981" s="19" t="s">
        <v>28</v>
      </c>
      <c r="I3981" s="18" t="s">
        <v>28</v>
      </c>
      <c r="J3981" s="18" t="s">
        <v>28</v>
      </c>
      <c r="K3981" s="18" t="s">
        <v>28</v>
      </c>
      <c r="L3981" s="18" t="s">
        <v>28</v>
      </c>
      <c r="M3981" s="18" t="s">
        <v>28</v>
      </c>
      <c r="N3981" s="17">
        <v>44529</v>
      </c>
      <c r="O3981" s="15" t="s">
        <v>99</v>
      </c>
      <c r="P3981" s="16" t="s">
        <v>12980</v>
      </c>
      <c r="Q3981" s="15" t="s">
        <v>740</v>
      </c>
      <c r="R3981" s="13" t="str">
        <f>HYPERLINK("https://my.pitchbook.com?c=184167-01T","View Company Online")</f>
        <v>View Company Online</v>
      </c>
    </row>
    <row r="3982" spans="1:18" hidden="1" x14ac:dyDescent="0.3">
      <c r="A3982" s="9" t="s">
        <v>12981</v>
      </c>
      <c r="B3982" s="9" t="s">
        <v>12982</v>
      </c>
      <c r="C3982" s="11" t="s">
        <v>28</v>
      </c>
      <c r="D3982" s="9" t="s">
        <v>12983</v>
      </c>
      <c r="E3982" s="11" t="s">
        <v>28</v>
      </c>
      <c r="F3982" s="10">
        <v>215.96</v>
      </c>
      <c r="G3982" s="10">
        <v>215.96</v>
      </c>
      <c r="H3982" s="10">
        <v>215.96</v>
      </c>
      <c r="I3982" s="11" t="s">
        <v>28</v>
      </c>
      <c r="J3982" s="11" t="s">
        <v>28</v>
      </c>
      <c r="K3982" s="11">
        <v>50.97</v>
      </c>
      <c r="L3982" s="11">
        <v>4.24</v>
      </c>
      <c r="M3982" s="11" t="s">
        <v>28</v>
      </c>
      <c r="N3982" s="8">
        <v>44529</v>
      </c>
      <c r="O3982" s="9" t="s">
        <v>30</v>
      </c>
      <c r="P3982" s="12" t="s">
        <v>11884</v>
      </c>
      <c r="Q3982" s="9" t="s">
        <v>75</v>
      </c>
      <c r="R3982" s="14" t="str">
        <f>HYPERLINK("https://my.pitchbook.com?c=202574-53T","View Company Online")</f>
        <v>View Company Online</v>
      </c>
    </row>
    <row r="3983" spans="1:18" hidden="1" x14ac:dyDescent="0.3">
      <c r="A3983" s="15" t="s">
        <v>12984</v>
      </c>
      <c r="B3983" s="15" t="s">
        <v>1510</v>
      </c>
      <c r="C3983" s="18" t="s">
        <v>28</v>
      </c>
      <c r="D3983" s="15" t="s">
        <v>1511</v>
      </c>
      <c r="E3983" s="18" t="s">
        <v>28</v>
      </c>
      <c r="F3983" s="19" t="s">
        <v>28</v>
      </c>
      <c r="G3983" s="19" t="s">
        <v>28</v>
      </c>
      <c r="H3983" s="19" t="s">
        <v>28</v>
      </c>
      <c r="I3983" s="18" t="s">
        <v>28</v>
      </c>
      <c r="J3983" s="18" t="s">
        <v>28</v>
      </c>
      <c r="K3983" s="18" t="s">
        <v>28</v>
      </c>
      <c r="L3983" s="18" t="s">
        <v>28</v>
      </c>
      <c r="M3983" s="18" t="s">
        <v>28</v>
      </c>
      <c r="N3983" s="17">
        <v>44526</v>
      </c>
      <c r="O3983" s="15" t="s">
        <v>52</v>
      </c>
      <c r="P3983" s="16" t="s">
        <v>3375</v>
      </c>
      <c r="Q3983" s="15" t="s">
        <v>75</v>
      </c>
      <c r="R3983" s="13" t="str">
        <f>HYPERLINK("https://my.pitchbook.com?c=270262-81T","View Company Online")</f>
        <v>View Company Online</v>
      </c>
    </row>
    <row r="3984" spans="1:18" hidden="1" x14ac:dyDescent="0.3">
      <c r="A3984" s="9" t="s">
        <v>12985</v>
      </c>
      <c r="B3984" s="9" t="s">
        <v>12986</v>
      </c>
      <c r="C3984" s="11" t="s">
        <v>28</v>
      </c>
      <c r="D3984" s="9" t="s">
        <v>12987</v>
      </c>
      <c r="E3984" s="11" t="s">
        <v>28</v>
      </c>
      <c r="F3984" s="10" t="s">
        <v>28</v>
      </c>
      <c r="G3984" s="10" t="s">
        <v>28</v>
      </c>
      <c r="H3984" s="10" t="s">
        <v>28</v>
      </c>
      <c r="I3984" s="11" t="s">
        <v>28</v>
      </c>
      <c r="J3984" s="11" t="s">
        <v>28</v>
      </c>
      <c r="K3984" s="11" t="s">
        <v>28</v>
      </c>
      <c r="L3984" s="11" t="s">
        <v>28</v>
      </c>
      <c r="M3984" s="11" t="s">
        <v>28</v>
      </c>
      <c r="N3984" s="8">
        <v>44526</v>
      </c>
      <c r="O3984" s="9" t="s">
        <v>173</v>
      </c>
      <c r="P3984" s="12" t="s">
        <v>28</v>
      </c>
      <c r="Q3984" s="9" t="s">
        <v>174</v>
      </c>
      <c r="R3984" s="14" t="str">
        <f>HYPERLINK("https://my.pitchbook.com?c=251547-76T","View Company Online")</f>
        <v>View Company Online</v>
      </c>
    </row>
    <row r="3985" spans="1:18" hidden="1" x14ac:dyDescent="0.3">
      <c r="A3985" s="15" t="s">
        <v>12988</v>
      </c>
      <c r="B3985" s="15" t="s">
        <v>12989</v>
      </c>
      <c r="C3985" s="18" t="s">
        <v>28</v>
      </c>
      <c r="D3985" s="15" t="s">
        <v>12990</v>
      </c>
      <c r="E3985" s="18" t="s">
        <v>28</v>
      </c>
      <c r="F3985" s="19" t="s">
        <v>28</v>
      </c>
      <c r="G3985" s="19" t="s">
        <v>28</v>
      </c>
      <c r="H3985" s="19" t="s">
        <v>28</v>
      </c>
      <c r="I3985" s="18" t="s">
        <v>28</v>
      </c>
      <c r="J3985" s="18" t="s">
        <v>28</v>
      </c>
      <c r="K3985" s="18" t="s">
        <v>28</v>
      </c>
      <c r="L3985" s="18" t="s">
        <v>28</v>
      </c>
      <c r="M3985" s="18" t="s">
        <v>28</v>
      </c>
      <c r="N3985" s="17">
        <v>44526</v>
      </c>
      <c r="O3985" s="15" t="s">
        <v>41</v>
      </c>
      <c r="P3985" s="16" t="s">
        <v>9783</v>
      </c>
      <c r="Q3985" s="15" t="s">
        <v>75</v>
      </c>
      <c r="R3985" s="13" t="str">
        <f>HYPERLINK("https://my.pitchbook.com?c=192709-09T","View Company Online")</f>
        <v>View Company Online</v>
      </c>
    </row>
    <row r="3986" spans="1:18" hidden="1" x14ac:dyDescent="0.3">
      <c r="A3986" s="9" t="s">
        <v>12991</v>
      </c>
      <c r="B3986" s="9" t="s">
        <v>12992</v>
      </c>
      <c r="C3986" s="11" t="s">
        <v>28</v>
      </c>
      <c r="D3986" s="9" t="s">
        <v>12993</v>
      </c>
      <c r="E3986" s="11" t="s">
        <v>28</v>
      </c>
      <c r="F3986" s="10" t="s">
        <v>28</v>
      </c>
      <c r="G3986" s="10" t="s">
        <v>28</v>
      </c>
      <c r="H3986" s="10" t="s">
        <v>28</v>
      </c>
      <c r="I3986" s="11" t="s">
        <v>28</v>
      </c>
      <c r="J3986" s="11" t="s">
        <v>28</v>
      </c>
      <c r="K3986" s="11" t="s">
        <v>28</v>
      </c>
      <c r="L3986" s="11" t="s">
        <v>28</v>
      </c>
      <c r="M3986" s="11" t="s">
        <v>28</v>
      </c>
      <c r="N3986" s="8">
        <v>44526</v>
      </c>
      <c r="O3986" s="9" t="s">
        <v>173</v>
      </c>
      <c r="P3986" s="12" t="s">
        <v>28</v>
      </c>
      <c r="Q3986" s="9" t="s">
        <v>174</v>
      </c>
      <c r="R3986" s="14" t="str">
        <f>HYPERLINK("https://my.pitchbook.com?c=251778-79T","View Company Online")</f>
        <v>View Company Online</v>
      </c>
    </row>
    <row r="3987" spans="1:18" hidden="1" x14ac:dyDescent="0.3">
      <c r="A3987" s="15" t="s">
        <v>12994</v>
      </c>
      <c r="B3987" s="15" t="s">
        <v>12995</v>
      </c>
      <c r="C3987" s="18" t="s">
        <v>28</v>
      </c>
      <c r="D3987" s="15" t="s">
        <v>12996</v>
      </c>
      <c r="E3987" s="18" t="s">
        <v>28</v>
      </c>
      <c r="F3987" s="19" t="s">
        <v>28</v>
      </c>
      <c r="G3987" s="19" t="s">
        <v>28</v>
      </c>
      <c r="H3987" s="19" t="s">
        <v>28</v>
      </c>
      <c r="I3987" s="18" t="s">
        <v>28</v>
      </c>
      <c r="J3987" s="18" t="s">
        <v>28</v>
      </c>
      <c r="K3987" s="18" t="s">
        <v>28</v>
      </c>
      <c r="L3987" s="18" t="s">
        <v>28</v>
      </c>
      <c r="M3987" s="18" t="s">
        <v>28</v>
      </c>
      <c r="N3987" s="17">
        <v>44526</v>
      </c>
      <c r="O3987" s="15" t="s">
        <v>30</v>
      </c>
      <c r="P3987" s="16" t="s">
        <v>12997</v>
      </c>
      <c r="Q3987" s="15" t="s">
        <v>362</v>
      </c>
      <c r="R3987" s="13" t="str">
        <f>HYPERLINK("https://my.pitchbook.com?c=211765-24T","View Company Online")</f>
        <v>View Company Online</v>
      </c>
    </row>
    <row r="3988" spans="1:18" hidden="1" x14ac:dyDescent="0.3">
      <c r="A3988" s="9" t="s">
        <v>12998</v>
      </c>
      <c r="B3988" s="9" t="s">
        <v>12999</v>
      </c>
      <c r="C3988" s="11" t="s">
        <v>28</v>
      </c>
      <c r="D3988" s="9" t="s">
        <v>13000</v>
      </c>
      <c r="E3988" s="11" t="s">
        <v>28</v>
      </c>
      <c r="F3988" s="10" t="s">
        <v>28</v>
      </c>
      <c r="G3988" s="10" t="s">
        <v>28</v>
      </c>
      <c r="H3988" s="10" t="s">
        <v>28</v>
      </c>
      <c r="I3988" s="11" t="s">
        <v>28</v>
      </c>
      <c r="J3988" s="11" t="s">
        <v>28</v>
      </c>
      <c r="K3988" s="11" t="s">
        <v>28</v>
      </c>
      <c r="L3988" s="11" t="s">
        <v>28</v>
      </c>
      <c r="M3988" s="11" t="s">
        <v>28</v>
      </c>
      <c r="N3988" s="8">
        <v>44525</v>
      </c>
      <c r="O3988" s="9" t="s">
        <v>173</v>
      </c>
      <c r="P3988" s="12" t="s">
        <v>28</v>
      </c>
      <c r="Q3988" s="9" t="s">
        <v>174</v>
      </c>
      <c r="R3988" s="14" t="str">
        <f>HYPERLINK("https://my.pitchbook.com?c=251580-43T","View Company Online")</f>
        <v>View Company Online</v>
      </c>
    </row>
    <row r="3989" spans="1:18" hidden="1" x14ac:dyDescent="0.3">
      <c r="A3989" s="15" t="s">
        <v>13001</v>
      </c>
      <c r="B3989" s="15" t="s">
        <v>1729</v>
      </c>
      <c r="C3989" s="18" t="s">
        <v>28</v>
      </c>
      <c r="D3989" s="15" t="s">
        <v>13002</v>
      </c>
      <c r="E3989" s="18" t="s">
        <v>28</v>
      </c>
      <c r="F3989" s="19" t="s">
        <v>28</v>
      </c>
      <c r="G3989" s="19">
        <v>3.6</v>
      </c>
      <c r="H3989" s="19" t="s">
        <v>28</v>
      </c>
      <c r="I3989" s="18" t="s">
        <v>28</v>
      </c>
      <c r="J3989" s="18" t="s">
        <v>28</v>
      </c>
      <c r="K3989" s="18" t="s">
        <v>28</v>
      </c>
      <c r="L3989" s="18" t="s">
        <v>28</v>
      </c>
      <c r="M3989" s="18" t="s">
        <v>28</v>
      </c>
      <c r="N3989" s="17">
        <v>44525</v>
      </c>
      <c r="O3989" s="15" t="s">
        <v>58</v>
      </c>
      <c r="P3989" s="16" t="s">
        <v>13003</v>
      </c>
      <c r="Q3989" s="15" t="s">
        <v>616</v>
      </c>
      <c r="R3989" s="13" t="str">
        <f>HYPERLINK("https://my.pitchbook.com?c=276582-61T","View Company Online")</f>
        <v>View Company Online</v>
      </c>
    </row>
    <row r="3990" spans="1:18" hidden="1" x14ac:dyDescent="0.3">
      <c r="A3990" s="9" t="s">
        <v>13004</v>
      </c>
      <c r="B3990" s="9" t="s">
        <v>13005</v>
      </c>
      <c r="C3990" s="11" t="s">
        <v>28</v>
      </c>
      <c r="D3990" s="9" t="s">
        <v>13006</v>
      </c>
      <c r="E3990" s="11" t="s">
        <v>28</v>
      </c>
      <c r="F3990" s="10" t="s">
        <v>28</v>
      </c>
      <c r="G3990" s="10" t="s">
        <v>28</v>
      </c>
      <c r="H3990" s="10" t="s">
        <v>28</v>
      </c>
      <c r="I3990" s="11" t="s">
        <v>28</v>
      </c>
      <c r="J3990" s="11" t="s">
        <v>28</v>
      </c>
      <c r="K3990" s="11" t="s">
        <v>28</v>
      </c>
      <c r="L3990" s="11" t="s">
        <v>28</v>
      </c>
      <c r="M3990" s="11" t="s">
        <v>28</v>
      </c>
      <c r="N3990" s="8">
        <v>44524</v>
      </c>
      <c r="O3990" s="9" t="s">
        <v>41</v>
      </c>
      <c r="P3990" s="12" t="s">
        <v>8351</v>
      </c>
      <c r="Q3990" s="9" t="s">
        <v>75</v>
      </c>
      <c r="R3990" s="14" t="str">
        <f>HYPERLINK("https://my.pitchbook.com?c=211761-82T","View Company Online")</f>
        <v>View Company Online</v>
      </c>
    </row>
    <row r="3991" spans="1:18" hidden="1" x14ac:dyDescent="0.3">
      <c r="A3991" s="15" t="s">
        <v>13007</v>
      </c>
      <c r="B3991" s="15" t="s">
        <v>13008</v>
      </c>
      <c r="C3991" s="18" t="s">
        <v>28</v>
      </c>
      <c r="D3991" s="15" t="s">
        <v>13009</v>
      </c>
      <c r="E3991" s="18" t="s">
        <v>28</v>
      </c>
      <c r="F3991" s="19" t="s">
        <v>28</v>
      </c>
      <c r="G3991" s="19" t="s">
        <v>28</v>
      </c>
      <c r="H3991" s="19" t="s">
        <v>28</v>
      </c>
      <c r="I3991" s="18" t="s">
        <v>28</v>
      </c>
      <c r="J3991" s="18" t="s">
        <v>28</v>
      </c>
      <c r="K3991" s="18">
        <v>21.12</v>
      </c>
      <c r="L3991" s="18" t="s">
        <v>28</v>
      </c>
      <c r="M3991" s="18">
        <v>17.75</v>
      </c>
      <c r="N3991" s="17">
        <v>44524</v>
      </c>
      <c r="O3991" s="15" t="s">
        <v>173</v>
      </c>
      <c r="P3991" s="16" t="s">
        <v>28</v>
      </c>
      <c r="Q3991" s="15" t="s">
        <v>174</v>
      </c>
      <c r="R3991" s="13" t="str">
        <f>HYPERLINK("https://my.pitchbook.com?c=251371-36T","View Company Online")</f>
        <v>View Company Online</v>
      </c>
    </row>
    <row r="3992" spans="1:18" hidden="1" x14ac:dyDescent="0.3">
      <c r="A3992" s="9" t="s">
        <v>13010</v>
      </c>
      <c r="B3992" s="9" t="s">
        <v>13011</v>
      </c>
      <c r="C3992" s="11" t="s">
        <v>28</v>
      </c>
      <c r="D3992" s="9" t="s">
        <v>13012</v>
      </c>
      <c r="E3992" s="11">
        <v>3.71</v>
      </c>
      <c r="F3992" s="10" t="s">
        <v>28</v>
      </c>
      <c r="G3992" s="10" t="s">
        <v>28</v>
      </c>
      <c r="H3992" s="10" t="s">
        <v>28</v>
      </c>
      <c r="I3992" s="11">
        <v>4.4000000000000004</v>
      </c>
      <c r="J3992" s="11" t="s">
        <v>28</v>
      </c>
      <c r="K3992" s="11">
        <v>13.87</v>
      </c>
      <c r="L3992" s="11" t="s">
        <v>28</v>
      </c>
      <c r="M3992" s="11">
        <v>-1.08</v>
      </c>
      <c r="N3992" s="8">
        <v>44524</v>
      </c>
      <c r="O3992" s="9" t="s">
        <v>30</v>
      </c>
      <c r="P3992" s="12" t="s">
        <v>5140</v>
      </c>
      <c r="Q3992" s="9" t="s">
        <v>1862</v>
      </c>
      <c r="R3992" s="14" t="str">
        <f>HYPERLINK("https://my.pitchbook.com?c=184072-24T","View Company Online")</f>
        <v>View Company Online</v>
      </c>
    </row>
    <row r="3993" spans="1:18" hidden="1" x14ac:dyDescent="0.3">
      <c r="A3993" s="15" t="s">
        <v>13013</v>
      </c>
      <c r="B3993" s="15" t="s">
        <v>13014</v>
      </c>
      <c r="C3993" s="18" t="s">
        <v>28</v>
      </c>
      <c r="D3993" s="15" t="s">
        <v>13015</v>
      </c>
      <c r="E3993" s="18" t="s">
        <v>28</v>
      </c>
      <c r="F3993" s="19" t="s">
        <v>28</v>
      </c>
      <c r="G3993" s="19" t="s">
        <v>28</v>
      </c>
      <c r="H3993" s="19" t="s">
        <v>28</v>
      </c>
      <c r="I3993" s="18" t="s">
        <v>28</v>
      </c>
      <c r="J3993" s="18" t="s">
        <v>28</v>
      </c>
      <c r="K3993" s="18" t="s">
        <v>28</v>
      </c>
      <c r="L3993" s="18" t="s">
        <v>28</v>
      </c>
      <c r="M3993" s="18" t="s">
        <v>28</v>
      </c>
      <c r="N3993" s="17">
        <v>44524</v>
      </c>
      <c r="O3993" s="15" t="s">
        <v>41</v>
      </c>
      <c r="P3993" s="16" t="s">
        <v>13016</v>
      </c>
      <c r="Q3993" s="15" t="s">
        <v>75</v>
      </c>
      <c r="R3993" s="13" t="str">
        <f>HYPERLINK("https://my.pitchbook.com?c=184306-33T","View Company Online")</f>
        <v>View Company Online</v>
      </c>
    </row>
    <row r="3994" spans="1:18" hidden="1" x14ac:dyDescent="0.3">
      <c r="A3994" s="9" t="s">
        <v>13017</v>
      </c>
      <c r="B3994" s="9" t="s">
        <v>13018</v>
      </c>
      <c r="C3994" s="11" t="s">
        <v>28</v>
      </c>
      <c r="D3994" s="9" t="s">
        <v>13019</v>
      </c>
      <c r="E3994" s="11" t="s">
        <v>28</v>
      </c>
      <c r="F3994" s="10" t="s">
        <v>28</v>
      </c>
      <c r="G3994" s="10" t="s">
        <v>28</v>
      </c>
      <c r="H3994" s="10" t="s">
        <v>28</v>
      </c>
      <c r="I3994" s="11" t="s">
        <v>28</v>
      </c>
      <c r="J3994" s="11" t="s">
        <v>28</v>
      </c>
      <c r="K3994" s="11" t="s">
        <v>28</v>
      </c>
      <c r="L3994" s="11" t="s">
        <v>28</v>
      </c>
      <c r="M3994" s="11" t="s">
        <v>28</v>
      </c>
      <c r="N3994" s="8">
        <v>44523</v>
      </c>
      <c r="O3994" s="9" t="s">
        <v>30</v>
      </c>
      <c r="P3994" s="12" t="s">
        <v>13020</v>
      </c>
      <c r="Q3994" s="9" t="s">
        <v>245</v>
      </c>
      <c r="R3994" s="14" t="str">
        <f>HYPERLINK("https://my.pitchbook.com?c=211605-13T","View Company Online")</f>
        <v>View Company Online</v>
      </c>
    </row>
    <row r="3995" spans="1:18" hidden="1" x14ac:dyDescent="0.3">
      <c r="A3995" s="15" t="s">
        <v>13021</v>
      </c>
      <c r="B3995" s="15" t="s">
        <v>13022</v>
      </c>
      <c r="C3995" s="18" t="s">
        <v>28</v>
      </c>
      <c r="D3995" s="15" t="s">
        <v>13023</v>
      </c>
      <c r="E3995" s="18" t="s">
        <v>28</v>
      </c>
      <c r="F3995" s="19" t="s">
        <v>28</v>
      </c>
      <c r="G3995" s="19" t="s">
        <v>28</v>
      </c>
      <c r="H3995" s="19" t="s">
        <v>28</v>
      </c>
      <c r="I3995" s="18" t="s">
        <v>28</v>
      </c>
      <c r="J3995" s="18" t="s">
        <v>28</v>
      </c>
      <c r="K3995" s="18" t="s">
        <v>28</v>
      </c>
      <c r="L3995" s="18" t="s">
        <v>28</v>
      </c>
      <c r="M3995" s="18" t="s">
        <v>28</v>
      </c>
      <c r="N3995" s="17">
        <v>44523</v>
      </c>
      <c r="O3995" s="15" t="s">
        <v>30</v>
      </c>
      <c r="P3995" s="16" t="s">
        <v>13024</v>
      </c>
      <c r="Q3995" s="15" t="s">
        <v>75</v>
      </c>
      <c r="R3995" s="13" t="str">
        <f>HYPERLINK("https://my.pitchbook.com?c=211749-13T","View Company Online")</f>
        <v>View Company Online</v>
      </c>
    </row>
    <row r="3996" spans="1:18" hidden="1" x14ac:dyDescent="0.3">
      <c r="A3996" s="9" t="s">
        <v>13025</v>
      </c>
      <c r="B3996" s="9" t="s">
        <v>13026</v>
      </c>
      <c r="C3996" s="11" t="s">
        <v>28</v>
      </c>
      <c r="D3996" s="9" t="s">
        <v>13027</v>
      </c>
      <c r="E3996" s="11" t="s">
        <v>28</v>
      </c>
      <c r="F3996" s="10" t="s">
        <v>28</v>
      </c>
      <c r="G3996" s="10">
        <v>32</v>
      </c>
      <c r="H3996" s="10" t="s">
        <v>28</v>
      </c>
      <c r="I3996" s="11" t="s">
        <v>28</v>
      </c>
      <c r="J3996" s="11" t="s">
        <v>28</v>
      </c>
      <c r="K3996" s="11" t="s">
        <v>28</v>
      </c>
      <c r="L3996" s="11" t="s">
        <v>28</v>
      </c>
      <c r="M3996" s="11" t="s">
        <v>28</v>
      </c>
      <c r="N3996" s="8">
        <v>44523</v>
      </c>
      <c r="O3996" s="9" t="s">
        <v>73</v>
      </c>
      <c r="P3996" s="12" t="s">
        <v>13028</v>
      </c>
      <c r="Q3996" s="9" t="s">
        <v>37</v>
      </c>
      <c r="R3996" s="14" t="str">
        <f>HYPERLINK("https://my.pitchbook.com?c=183910-24T","View Company Online")</f>
        <v>View Company Online</v>
      </c>
    </row>
    <row r="3997" spans="1:18" hidden="1" x14ac:dyDescent="0.3">
      <c r="A3997" s="15" t="s">
        <v>13029</v>
      </c>
      <c r="B3997" s="15" t="s">
        <v>11199</v>
      </c>
      <c r="C3997" s="18" t="s">
        <v>28</v>
      </c>
      <c r="D3997" s="15" t="s">
        <v>11200</v>
      </c>
      <c r="E3997" s="18" t="s">
        <v>28</v>
      </c>
      <c r="F3997" s="19" t="s">
        <v>28</v>
      </c>
      <c r="G3997" s="19">
        <v>2.5</v>
      </c>
      <c r="H3997" s="19" t="s">
        <v>28</v>
      </c>
      <c r="I3997" s="18" t="s">
        <v>28</v>
      </c>
      <c r="J3997" s="18" t="s">
        <v>28</v>
      </c>
      <c r="K3997" s="18" t="s">
        <v>28</v>
      </c>
      <c r="L3997" s="18" t="s">
        <v>28</v>
      </c>
      <c r="M3997" s="18" t="s">
        <v>28</v>
      </c>
      <c r="N3997" s="17">
        <v>44522</v>
      </c>
      <c r="O3997" s="15" t="s">
        <v>99</v>
      </c>
      <c r="P3997" s="16" t="s">
        <v>13030</v>
      </c>
      <c r="Q3997" s="15" t="s">
        <v>75</v>
      </c>
      <c r="R3997" s="13" t="str">
        <f>HYPERLINK("https://my.pitchbook.com?c=185277-79T","View Company Online")</f>
        <v>View Company Online</v>
      </c>
    </row>
    <row r="3998" spans="1:18" hidden="1" x14ac:dyDescent="0.3">
      <c r="A3998" s="9" t="s">
        <v>13031</v>
      </c>
      <c r="B3998" s="9" t="s">
        <v>13032</v>
      </c>
      <c r="C3998" s="11" t="s">
        <v>28</v>
      </c>
      <c r="D3998" s="9" t="s">
        <v>13033</v>
      </c>
      <c r="E3998" s="11" t="s">
        <v>28</v>
      </c>
      <c r="F3998" s="10" t="s">
        <v>28</v>
      </c>
      <c r="G3998" s="10" t="s">
        <v>28</v>
      </c>
      <c r="H3998" s="10" t="s">
        <v>28</v>
      </c>
      <c r="I3998" s="11" t="s">
        <v>28</v>
      </c>
      <c r="J3998" s="11" t="s">
        <v>28</v>
      </c>
      <c r="K3998" s="11" t="s">
        <v>28</v>
      </c>
      <c r="L3998" s="11" t="s">
        <v>28</v>
      </c>
      <c r="M3998" s="11" t="s">
        <v>28</v>
      </c>
      <c r="N3998" s="8">
        <v>44522</v>
      </c>
      <c r="O3998" s="9" t="s">
        <v>30</v>
      </c>
      <c r="P3998" s="12" t="s">
        <v>13034</v>
      </c>
      <c r="Q3998" s="9" t="s">
        <v>386</v>
      </c>
      <c r="R3998" s="14" t="str">
        <f>HYPERLINK("https://my.pitchbook.com?c=203801-86T","View Company Online")</f>
        <v>View Company Online</v>
      </c>
    </row>
    <row r="3999" spans="1:18" hidden="1" x14ac:dyDescent="0.3">
      <c r="A3999" s="15" t="s">
        <v>13035</v>
      </c>
      <c r="B3999" s="15" t="s">
        <v>13036</v>
      </c>
      <c r="C3999" s="18" t="s">
        <v>28</v>
      </c>
      <c r="D3999" s="15" t="s">
        <v>13037</v>
      </c>
      <c r="E3999" s="18" t="s">
        <v>28</v>
      </c>
      <c r="F3999" s="19" t="s">
        <v>28</v>
      </c>
      <c r="G3999" s="19" t="s">
        <v>28</v>
      </c>
      <c r="H3999" s="19" t="s">
        <v>28</v>
      </c>
      <c r="I3999" s="18" t="s">
        <v>28</v>
      </c>
      <c r="J3999" s="18" t="s">
        <v>28</v>
      </c>
      <c r="K3999" s="18" t="s">
        <v>28</v>
      </c>
      <c r="L3999" s="18" t="s">
        <v>28</v>
      </c>
      <c r="M3999" s="18">
        <v>-33.68</v>
      </c>
      <c r="N3999" s="17">
        <v>44522</v>
      </c>
      <c r="O3999" s="15" t="s">
        <v>173</v>
      </c>
      <c r="P3999" s="16" t="s">
        <v>28</v>
      </c>
      <c r="Q3999" s="15" t="s">
        <v>169</v>
      </c>
      <c r="R3999" s="13" t="str">
        <f>HYPERLINK("https://my.pitchbook.com?c=178300-63T","View Company Online")</f>
        <v>View Company Online</v>
      </c>
    </row>
    <row r="4000" spans="1:18" hidden="1" x14ac:dyDescent="0.3">
      <c r="A4000" s="9" t="s">
        <v>13038</v>
      </c>
      <c r="B4000" s="9" t="s">
        <v>13039</v>
      </c>
      <c r="C4000" s="11" t="s">
        <v>28</v>
      </c>
      <c r="D4000" s="9" t="s">
        <v>13040</v>
      </c>
      <c r="E4000" s="11" t="s">
        <v>28</v>
      </c>
      <c r="F4000" s="10" t="s">
        <v>28</v>
      </c>
      <c r="G4000" s="10">
        <v>40</v>
      </c>
      <c r="H4000" s="10" t="s">
        <v>28</v>
      </c>
      <c r="I4000" s="11" t="s">
        <v>28</v>
      </c>
      <c r="J4000" s="11" t="s">
        <v>28</v>
      </c>
      <c r="K4000" s="11" t="s">
        <v>28</v>
      </c>
      <c r="L4000" s="11" t="s">
        <v>28</v>
      </c>
      <c r="M4000" s="11" t="s">
        <v>28</v>
      </c>
      <c r="N4000" s="8">
        <v>44522</v>
      </c>
      <c r="O4000" s="9" t="s">
        <v>79</v>
      </c>
      <c r="P4000" s="12" t="s">
        <v>13041</v>
      </c>
      <c r="Q4000" s="9" t="s">
        <v>1336</v>
      </c>
      <c r="R4000" s="14" t="str">
        <f>HYPERLINK("https://my.pitchbook.com?c=186429-79T","View Company Online")</f>
        <v>View Company Online</v>
      </c>
    </row>
    <row r="4001" spans="1:18" hidden="1" x14ac:dyDescent="0.3">
      <c r="A4001" s="15" t="s">
        <v>13042</v>
      </c>
      <c r="B4001" s="15" t="s">
        <v>6441</v>
      </c>
      <c r="C4001" s="18" t="s">
        <v>28</v>
      </c>
      <c r="D4001" s="15" t="s">
        <v>6442</v>
      </c>
      <c r="E4001" s="18" t="s">
        <v>28</v>
      </c>
      <c r="F4001" s="19" t="s">
        <v>28</v>
      </c>
      <c r="G4001" s="19">
        <v>10</v>
      </c>
      <c r="H4001" s="19" t="s">
        <v>28</v>
      </c>
      <c r="I4001" s="18" t="s">
        <v>28</v>
      </c>
      <c r="J4001" s="18" t="s">
        <v>28</v>
      </c>
      <c r="K4001" s="18" t="s">
        <v>28</v>
      </c>
      <c r="L4001" s="18" t="s">
        <v>28</v>
      </c>
      <c r="M4001" s="18" t="s">
        <v>28</v>
      </c>
      <c r="N4001" s="17">
        <v>44522</v>
      </c>
      <c r="O4001" s="15" t="s">
        <v>73</v>
      </c>
      <c r="P4001" s="16" t="s">
        <v>13043</v>
      </c>
      <c r="Q4001" s="15" t="s">
        <v>37</v>
      </c>
      <c r="R4001" s="13" t="str">
        <f>HYPERLINK("https://my.pitchbook.com?c=183836-71T","View Company Online")</f>
        <v>View Company Online</v>
      </c>
    </row>
    <row r="4002" spans="1:18" hidden="1" x14ac:dyDescent="0.3">
      <c r="A4002" s="9" t="s">
        <v>13044</v>
      </c>
      <c r="B4002" s="9" t="s">
        <v>13045</v>
      </c>
      <c r="C4002" s="11" t="s">
        <v>28</v>
      </c>
      <c r="D4002" s="9" t="s">
        <v>13046</v>
      </c>
      <c r="E4002" s="11" t="s">
        <v>28</v>
      </c>
      <c r="F4002" s="10" t="s">
        <v>28</v>
      </c>
      <c r="G4002" s="10">
        <v>0.9</v>
      </c>
      <c r="H4002" s="10" t="s">
        <v>28</v>
      </c>
      <c r="I4002" s="11" t="s">
        <v>28</v>
      </c>
      <c r="J4002" s="11" t="s">
        <v>28</v>
      </c>
      <c r="K4002" s="11">
        <v>0.88</v>
      </c>
      <c r="L4002" s="11" t="s">
        <v>28</v>
      </c>
      <c r="M4002" s="11" t="s">
        <v>28</v>
      </c>
      <c r="N4002" s="8">
        <v>44521</v>
      </c>
      <c r="O4002" s="9" t="s">
        <v>73</v>
      </c>
      <c r="P4002" s="12" t="s">
        <v>13047</v>
      </c>
      <c r="Q4002" s="9" t="s">
        <v>37</v>
      </c>
      <c r="R4002" s="14" t="str">
        <f>HYPERLINK("https://my.pitchbook.com?c=183807-01T","View Company Online")</f>
        <v>View Company Online</v>
      </c>
    </row>
    <row r="4003" spans="1:18" hidden="1" x14ac:dyDescent="0.3">
      <c r="A4003" s="15" t="s">
        <v>13048</v>
      </c>
      <c r="B4003" s="15" t="s">
        <v>5384</v>
      </c>
      <c r="C4003" s="18" t="s">
        <v>28</v>
      </c>
      <c r="D4003" s="15" t="s">
        <v>5385</v>
      </c>
      <c r="E4003" s="18" t="s">
        <v>28</v>
      </c>
      <c r="F4003" s="19" t="s">
        <v>28</v>
      </c>
      <c r="G4003" s="19">
        <v>150</v>
      </c>
      <c r="H4003" s="19">
        <v>2150</v>
      </c>
      <c r="I4003" s="18" t="s">
        <v>28</v>
      </c>
      <c r="J4003" s="18" t="s">
        <v>28</v>
      </c>
      <c r="K4003" s="18" t="s">
        <v>28</v>
      </c>
      <c r="L4003" s="18" t="s">
        <v>28</v>
      </c>
      <c r="M4003" s="18" t="s">
        <v>28</v>
      </c>
      <c r="N4003" s="17">
        <v>44520</v>
      </c>
      <c r="O4003" s="15" t="s">
        <v>79</v>
      </c>
      <c r="P4003" s="16" t="s">
        <v>13049</v>
      </c>
      <c r="Q4003" s="15" t="s">
        <v>37</v>
      </c>
      <c r="R4003" s="13" t="str">
        <f>HYPERLINK("https://my.pitchbook.com?c=183576-34T","View Company Online")</f>
        <v>View Company Online</v>
      </c>
    </row>
    <row r="4004" spans="1:18" hidden="1" x14ac:dyDescent="0.3">
      <c r="A4004" s="9" t="s">
        <v>13050</v>
      </c>
      <c r="B4004" s="9" t="s">
        <v>13051</v>
      </c>
      <c r="C4004" s="11" t="s">
        <v>28</v>
      </c>
      <c r="D4004" s="9" t="s">
        <v>13052</v>
      </c>
      <c r="E4004" s="11" t="s">
        <v>28</v>
      </c>
      <c r="F4004" s="10" t="s">
        <v>28</v>
      </c>
      <c r="G4004" s="10">
        <v>201.25</v>
      </c>
      <c r="H4004" s="10">
        <v>233.33</v>
      </c>
      <c r="I4004" s="11" t="s">
        <v>28</v>
      </c>
      <c r="J4004" s="11" t="s">
        <v>28</v>
      </c>
      <c r="K4004" s="11" t="s">
        <v>28</v>
      </c>
      <c r="L4004" s="11" t="s">
        <v>28</v>
      </c>
      <c r="M4004" s="11" t="s">
        <v>28</v>
      </c>
      <c r="N4004" s="8">
        <v>44519</v>
      </c>
      <c r="O4004" s="9" t="s">
        <v>173</v>
      </c>
      <c r="P4004" s="12" t="s">
        <v>28</v>
      </c>
      <c r="Q4004" s="9" t="s">
        <v>13053</v>
      </c>
      <c r="R4004" s="14" t="str">
        <f>HYPERLINK("https://my.pitchbook.com?c=170773-84T","View Company Online")</f>
        <v>View Company Online</v>
      </c>
    </row>
    <row r="4005" spans="1:18" hidden="1" x14ac:dyDescent="0.3">
      <c r="A4005" s="15" t="s">
        <v>13054</v>
      </c>
      <c r="B4005" s="15" t="s">
        <v>13055</v>
      </c>
      <c r="C4005" s="18" t="s">
        <v>28</v>
      </c>
      <c r="D4005" s="15" t="s">
        <v>13056</v>
      </c>
      <c r="E4005" s="18" t="s">
        <v>28</v>
      </c>
      <c r="F4005" s="19" t="s">
        <v>28</v>
      </c>
      <c r="G4005" s="19" t="s">
        <v>28</v>
      </c>
      <c r="H4005" s="19" t="s">
        <v>28</v>
      </c>
      <c r="I4005" s="18" t="s">
        <v>28</v>
      </c>
      <c r="J4005" s="18" t="s">
        <v>28</v>
      </c>
      <c r="K4005" s="18" t="s">
        <v>28</v>
      </c>
      <c r="L4005" s="18" t="s">
        <v>28</v>
      </c>
      <c r="M4005" s="18" t="s">
        <v>28</v>
      </c>
      <c r="N4005" s="17">
        <v>44519</v>
      </c>
      <c r="O4005" s="15" t="s">
        <v>30</v>
      </c>
      <c r="P4005" s="16" t="s">
        <v>13057</v>
      </c>
      <c r="Q4005" s="15" t="s">
        <v>43</v>
      </c>
      <c r="R4005" s="13" t="str">
        <f>HYPERLINK("https://my.pitchbook.com?c=211741-66T","View Company Online")</f>
        <v>View Company Online</v>
      </c>
    </row>
    <row r="4006" spans="1:18" hidden="1" x14ac:dyDescent="0.3">
      <c r="A4006" s="9" t="s">
        <v>13058</v>
      </c>
      <c r="B4006" s="9" t="s">
        <v>13059</v>
      </c>
      <c r="C4006" s="11" t="s">
        <v>28</v>
      </c>
      <c r="D4006" s="9" t="s">
        <v>13060</v>
      </c>
      <c r="E4006" s="11" t="s">
        <v>28</v>
      </c>
      <c r="F4006" s="10" t="s">
        <v>28</v>
      </c>
      <c r="G4006" s="10" t="s">
        <v>28</v>
      </c>
      <c r="H4006" s="10" t="s">
        <v>28</v>
      </c>
      <c r="I4006" s="11" t="s">
        <v>28</v>
      </c>
      <c r="J4006" s="11" t="s">
        <v>28</v>
      </c>
      <c r="K4006" s="11" t="s">
        <v>28</v>
      </c>
      <c r="L4006" s="11" t="s">
        <v>28</v>
      </c>
      <c r="M4006" s="11" t="s">
        <v>28</v>
      </c>
      <c r="N4006" s="8">
        <v>44518</v>
      </c>
      <c r="O4006" s="9" t="s">
        <v>30</v>
      </c>
      <c r="P4006" s="12" t="s">
        <v>13061</v>
      </c>
      <c r="Q4006" s="9" t="s">
        <v>5347</v>
      </c>
      <c r="R4006" s="14" t="str">
        <f>HYPERLINK("https://my.pitchbook.com?c=183983-59T","View Company Online")</f>
        <v>View Company Online</v>
      </c>
    </row>
    <row r="4007" spans="1:18" hidden="1" x14ac:dyDescent="0.3">
      <c r="A4007" s="15" t="s">
        <v>13062</v>
      </c>
      <c r="B4007" s="15" t="s">
        <v>13063</v>
      </c>
      <c r="C4007" s="18" t="s">
        <v>28</v>
      </c>
      <c r="D4007" s="15" t="s">
        <v>13064</v>
      </c>
      <c r="E4007" s="18" t="s">
        <v>28</v>
      </c>
      <c r="F4007" s="19" t="s">
        <v>28</v>
      </c>
      <c r="G4007" s="19" t="s">
        <v>28</v>
      </c>
      <c r="H4007" s="19" t="s">
        <v>28</v>
      </c>
      <c r="I4007" s="18" t="s">
        <v>28</v>
      </c>
      <c r="J4007" s="18" t="s">
        <v>28</v>
      </c>
      <c r="K4007" s="18" t="s">
        <v>28</v>
      </c>
      <c r="L4007" s="18" t="s">
        <v>28</v>
      </c>
      <c r="M4007" s="18" t="s">
        <v>28</v>
      </c>
      <c r="N4007" s="17">
        <v>44518</v>
      </c>
      <c r="O4007" s="15" t="s">
        <v>41</v>
      </c>
      <c r="P4007" s="16" t="s">
        <v>13065</v>
      </c>
      <c r="Q4007" s="15" t="s">
        <v>880</v>
      </c>
      <c r="R4007" s="13" t="str">
        <f>HYPERLINK("https://my.pitchbook.com?c=183721-06T","View Company Online")</f>
        <v>View Company Online</v>
      </c>
    </row>
    <row r="4008" spans="1:18" hidden="1" x14ac:dyDescent="0.3">
      <c r="A4008" s="9" t="s">
        <v>13066</v>
      </c>
      <c r="B4008" s="9" t="s">
        <v>13067</v>
      </c>
      <c r="C4008" s="11" t="s">
        <v>28</v>
      </c>
      <c r="D4008" s="9" t="s">
        <v>13068</v>
      </c>
      <c r="E4008" s="11" t="s">
        <v>28</v>
      </c>
      <c r="F4008" s="10" t="s">
        <v>28</v>
      </c>
      <c r="G4008" s="10" t="s">
        <v>28</v>
      </c>
      <c r="H4008" s="10" t="s">
        <v>28</v>
      </c>
      <c r="I4008" s="11" t="s">
        <v>28</v>
      </c>
      <c r="J4008" s="11" t="s">
        <v>28</v>
      </c>
      <c r="K4008" s="11" t="s">
        <v>28</v>
      </c>
      <c r="L4008" s="11" t="s">
        <v>28</v>
      </c>
      <c r="M4008" s="11" t="s">
        <v>28</v>
      </c>
      <c r="N4008" s="8">
        <v>44518</v>
      </c>
      <c r="O4008" s="9" t="s">
        <v>58</v>
      </c>
      <c r="P4008" s="12" t="s">
        <v>4988</v>
      </c>
      <c r="Q4008" s="9" t="s">
        <v>37</v>
      </c>
      <c r="R4008" s="14" t="str">
        <f>HYPERLINK("https://my.pitchbook.com?c=223956-64T","View Company Online")</f>
        <v>View Company Online</v>
      </c>
    </row>
    <row r="4009" spans="1:18" hidden="1" x14ac:dyDescent="0.3">
      <c r="A4009" s="15" t="s">
        <v>13069</v>
      </c>
      <c r="B4009" s="15" t="s">
        <v>9728</v>
      </c>
      <c r="C4009" s="18" t="s">
        <v>28</v>
      </c>
      <c r="D4009" s="15" t="s">
        <v>9729</v>
      </c>
      <c r="E4009" s="18" t="s">
        <v>28</v>
      </c>
      <c r="F4009" s="19" t="s">
        <v>28</v>
      </c>
      <c r="G4009" s="19" t="s">
        <v>28</v>
      </c>
      <c r="H4009" s="19" t="s">
        <v>28</v>
      </c>
      <c r="I4009" s="18" t="s">
        <v>28</v>
      </c>
      <c r="J4009" s="18" t="s">
        <v>28</v>
      </c>
      <c r="K4009" s="18" t="s">
        <v>28</v>
      </c>
      <c r="L4009" s="18" t="s">
        <v>28</v>
      </c>
      <c r="M4009" s="18" t="s">
        <v>28</v>
      </c>
      <c r="N4009" s="17">
        <v>44518</v>
      </c>
      <c r="O4009" s="15" t="s">
        <v>73</v>
      </c>
      <c r="P4009" s="16" t="s">
        <v>4988</v>
      </c>
      <c r="Q4009" s="15" t="s">
        <v>696</v>
      </c>
      <c r="R4009" s="13" t="str">
        <f>HYPERLINK("https://my.pitchbook.com?c=247246-93T","View Company Online")</f>
        <v>View Company Online</v>
      </c>
    </row>
    <row r="4010" spans="1:18" hidden="1" x14ac:dyDescent="0.3">
      <c r="A4010" s="9" t="s">
        <v>13070</v>
      </c>
      <c r="B4010" s="9" t="s">
        <v>13071</v>
      </c>
      <c r="C4010" s="11" t="s">
        <v>28</v>
      </c>
      <c r="D4010" s="9" t="s">
        <v>13072</v>
      </c>
      <c r="E4010" s="11" t="s">
        <v>28</v>
      </c>
      <c r="F4010" s="10" t="s">
        <v>28</v>
      </c>
      <c r="G4010" s="10" t="s">
        <v>28</v>
      </c>
      <c r="H4010" s="10" t="s">
        <v>28</v>
      </c>
      <c r="I4010" s="11" t="s">
        <v>28</v>
      </c>
      <c r="J4010" s="11" t="s">
        <v>28</v>
      </c>
      <c r="K4010" s="11" t="s">
        <v>28</v>
      </c>
      <c r="L4010" s="11" t="s">
        <v>28</v>
      </c>
      <c r="M4010" s="11" t="s">
        <v>28</v>
      </c>
      <c r="N4010" s="8">
        <v>44518</v>
      </c>
      <c r="O4010" s="9" t="s">
        <v>173</v>
      </c>
      <c r="P4010" s="12" t="s">
        <v>28</v>
      </c>
      <c r="Q4010" s="9" t="s">
        <v>174</v>
      </c>
      <c r="R4010" s="14" t="str">
        <f>HYPERLINK("https://my.pitchbook.com?c=251680-06T","View Company Online")</f>
        <v>View Company Online</v>
      </c>
    </row>
    <row r="4011" spans="1:18" hidden="1" x14ac:dyDescent="0.3">
      <c r="A4011" s="15" t="s">
        <v>13073</v>
      </c>
      <c r="B4011" s="15" t="s">
        <v>13074</v>
      </c>
      <c r="C4011" s="18" t="s">
        <v>28</v>
      </c>
      <c r="D4011" s="15" t="s">
        <v>13075</v>
      </c>
      <c r="E4011" s="18" t="s">
        <v>28</v>
      </c>
      <c r="F4011" s="19" t="s">
        <v>28</v>
      </c>
      <c r="G4011" s="19" t="s">
        <v>28</v>
      </c>
      <c r="H4011" s="19" t="s">
        <v>28</v>
      </c>
      <c r="I4011" s="18" t="s">
        <v>28</v>
      </c>
      <c r="J4011" s="18" t="s">
        <v>28</v>
      </c>
      <c r="K4011" s="18" t="s">
        <v>28</v>
      </c>
      <c r="L4011" s="18" t="s">
        <v>28</v>
      </c>
      <c r="M4011" s="18" t="s">
        <v>28</v>
      </c>
      <c r="N4011" s="17">
        <v>44517</v>
      </c>
      <c r="O4011" s="15" t="s">
        <v>30</v>
      </c>
      <c r="P4011" s="16" t="s">
        <v>13076</v>
      </c>
      <c r="Q4011" s="15" t="s">
        <v>280</v>
      </c>
      <c r="R4011" s="13" t="str">
        <f>HYPERLINK("https://my.pitchbook.com?c=211729-96T","View Company Online")</f>
        <v>View Company Online</v>
      </c>
    </row>
    <row r="4012" spans="1:18" hidden="1" x14ac:dyDescent="0.3">
      <c r="A4012" s="9" t="s">
        <v>13077</v>
      </c>
      <c r="B4012" s="9" t="s">
        <v>13078</v>
      </c>
      <c r="C4012" s="11" t="s">
        <v>28</v>
      </c>
      <c r="D4012" s="9" t="s">
        <v>13079</v>
      </c>
      <c r="E4012" s="11" t="s">
        <v>28</v>
      </c>
      <c r="F4012" s="10">
        <v>0.53</v>
      </c>
      <c r="G4012" s="10">
        <v>0.53</v>
      </c>
      <c r="H4012" s="10">
        <v>0.53</v>
      </c>
      <c r="I4012" s="11" t="s">
        <v>28</v>
      </c>
      <c r="J4012" s="11" t="s">
        <v>28</v>
      </c>
      <c r="K4012" s="11" t="s">
        <v>28</v>
      </c>
      <c r="L4012" s="11" t="s">
        <v>28</v>
      </c>
      <c r="M4012" s="11" t="s">
        <v>28</v>
      </c>
      <c r="N4012" s="8">
        <v>44517</v>
      </c>
      <c r="O4012" s="9" t="s">
        <v>30</v>
      </c>
      <c r="P4012" s="12" t="s">
        <v>10730</v>
      </c>
      <c r="Q4012" s="9" t="s">
        <v>832</v>
      </c>
      <c r="R4012" s="14" t="str">
        <f>HYPERLINK("https://my.pitchbook.com?c=233584-30T","View Company Online")</f>
        <v>View Company Online</v>
      </c>
    </row>
    <row r="4013" spans="1:18" hidden="1" x14ac:dyDescent="0.3">
      <c r="A4013" s="15" t="s">
        <v>13080</v>
      </c>
      <c r="B4013" s="15" t="s">
        <v>10874</v>
      </c>
      <c r="C4013" s="18" t="s">
        <v>28</v>
      </c>
      <c r="D4013" s="15" t="s">
        <v>10875</v>
      </c>
      <c r="E4013" s="18" t="s">
        <v>28</v>
      </c>
      <c r="F4013" s="19" t="s">
        <v>28</v>
      </c>
      <c r="G4013" s="19">
        <v>0.03</v>
      </c>
      <c r="H4013" s="19" t="s">
        <v>28</v>
      </c>
      <c r="I4013" s="18" t="s">
        <v>28</v>
      </c>
      <c r="J4013" s="18" t="s">
        <v>28</v>
      </c>
      <c r="K4013" s="18" t="s">
        <v>28</v>
      </c>
      <c r="L4013" s="18" t="s">
        <v>28</v>
      </c>
      <c r="M4013" s="18" t="s">
        <v>28</v>
      </c>
      <c r="N4013" s="17">
        <v>44517</v>
      </c>
      <c r="O4013" s="15" t="s">
        <v>47</v>
      </c>
      <c r="P4013" s="16" t="s">
        <v>13081</v>
      </c>
      <c r="Q4013" s="15" t="s">
        <v>37</v>
      </c>
      <c r="R4013" s="13" t="str">
        <f>HYPERLINK("https://my.pitchbook.com?c=189613-00T","View Company Online")</f>
        <v>View Company Online</v>
      </c>
    </row>
    <row r="4014" spans="1:18" hidden="1" x14ac:dyDescent="0.3">
      <c r="A4014" s="9" t="s">
        <v>13082</v>
      </c>
      <c r="B4014" s="9" t="s">
        <v>13083</v>
      </c>
      <c r="C4014" s="11" t="s">
        <v>28</v>
      </c>
      <c r="D4014" s="9" t="s">
        <v>13084</v>
      </c>
      <c r="E4014" s="11" t="s">
        <v>28</v>
      </c>
      <c r="F4014" s="10">
        <v>21.56</v>
      </c>
      <c r="G4014" s="10">
        <v>21.56</v>
      </c>
      <c r="H4014" s="10">
        <v>21.56</v>
      </c>
      <c r="I4014" s="11" t="s">
        <v>28</v>
      </c>
      <c r="J4014" s="11" t="s">
        <v>28</v>
      </c>
      <c r="K4014" s="11" t="s">
        <v>28</v>
      </c>
      <c r="L4014" s="11" t="s">
        <v>28</v>
      </c>
      <c r="M4014" s="11" t="s">
        <v>28</v>
      </c>
      <c r="N4014" s="8">
        <v>44517</v>
      </c>
      <c r="O4014" s="9" t="s">
        <v>30</v>
      </c>
      <c r="P4014" s="12" t="s">
        <v>9779</v>
      </c>
      <c r="Q4014" s="9" t="s">
        <v>37</v>
      </c>
      <c r="R4014" s="14" t="str">
        <f>HYPERLINK("https://my.pitchbook.com?c=183609-28T","View Company Online")</f>
        <v>View Company Online</v>
      </c>
    </row>
    <row r="4015" spans="1:18" hidden="1" x14ac:dyDescent="0.3">
      <c r="A4015" s="15" t="s">
        <v>13085</v>
      </c>
      <c r="B4015" s="15" t="s">
        <v>272</v>
      </c>
      <c r="C4015" s="18" t="s">
        <v>28</v>
      </c>
      <c r="D4015" s="15" t="s">
        <v>13086</v>
      </c>
      <c r="E4015" s="18" t="s">
        <v>28</v>
      </c>
      <c r="F4015" s="19" t="s">
        <v>28</v>
      </c>
      <c r="G4015" s="19">
        <v>2.7</v>
      </c>
      <c r="H4015" s="19" t="s">
        <v>28</v>
      </c>
      <c r="I4015" s="18" t="s">
        <v>28</v>
      </c>
      <c r="J4015" s="18" t="s">
        <v>28</v>
      </c>
      <c r="K4015" s="18" t="s">
        <v>28</v>
      </c>
      <c r="L4015" s="18" t="s">
        <v>28</v>
      </c>
      <c r="M4015" s="18" t="s">
        <v>28</v>
      </c>
      <c r="N4015" s="17">
        <v>44517</v>
      </c>
      <c r="O4015" s="15" t="s">
        <v>99</v>
      </c>
      <c r="P4015" s="16" t="s">
        <v>13087</v>
      </c>
      <c r="Q4015" s="15" t="s">
        <v>37</v>
      </c>
      <c r="R4015" s="13" t="str">
        <f>HYPERLINK("https://my.pitchbook.com?c=168228-91T","View Company Online")</f>
        <v>View Company Online</v>
      </c>
    </row>
    <row r="4016" spans="1:18" hidden="1" x14ac:dyDescent="0.3">
      <c r="A4016" s="9" t="s">
        <v>13088</v>
      </c>
      <c r="B4016" s="9" t="s">
        <v>13089</v>
      </c>
      <c r="C4016" s="11" t="s">
        <v>28</v>
      </c>
      <c r="D4016" s="9" t="s">
        <v>13090</v>
      </c>
      <c r="E4016" s="11" t="s">
        <v>28</v>
      </c>
      <c r="F4016" s="10" t="s">
        <v>28</v>
      </c>
      <c r="G4016" s="10">
        <v>0.18</v>
      </c>
      <c r="H4016" s="10" t="s">
        <v>28</v>
      </c>
      <c r="I4016" s="11" t="s">
        <v>28</v>
      </c>
      <c r="J4016" s="11" t="s">
        <v>28</v>
      </c>
      <c r="K4016" s="11" t="s">
        <v>28</v>
      </c>
      <c r="L4016" s="11" t="s">
        <v>28</v>
      </c>
      <c r="M4016" s="11" t="s">
        <v>28</v>
      </c>
      <c r="N4016" s="8">
        <v>44517</v>
      </c>
      <c r="O4016" s="9" t="s">
        <v>99</v>
      </c>
      <c r="P4016" s="12" t="s">
        <v>28</v>
      </c>
      <c r="Q4016" s="9" t="s">
        <v>386</v>
      </c>
      <c r="R4016" s="14" t="str">
        <f>HYPERLINK("https://my.pitchbook.com?c=205273-90T","View Company Online")</f>
        <v>View Company Online</v>
      </c>
    </row>
    <row r="4017" spans="1:18" hidden="1" x14ac:dyDescent="0.3">
      <c r="A4017" s="15" t="s">
        <v>13091</v>
      </c>
      <c r="B4017" s="15" t="s">
        <v>13092</v>
      </c>
      <c r="C4017" s="18" t="s">
        <v>28</v>
      </c>
      <c r="D4017" s="15" t="s">
        <v>13093</v>
      </c>
      <c r="E4017" s="18" t="s">
        <v>28</v>
      </c>
      <c r="F4017" s="19" t="s">
        <v>28</v>
      </c>
      <c r="G4017" s="19">
        <v>251.49</v>
      </c>
      <c r="H4017" s="19" t="s">
        <v>28</v>
      </c>
      <c r="I4017" s="18" t="s">
        <v>28</v>
      </c>
      <c r="J4017" s="18" t="s">
        <v>28</v>
      </c>
      <c r="K4017" s="18" t="s">
        <v>28</v>
      </c>
      <c r="L4017" s="18" t="s">
        <v>28</v>
      </c>
      <c r="M4017" s="18" t="s">
        <v>28</v>
      </c>
      <c r="N4017" s="17">
        <v>44517</v>
      </c>
      <c r="O4017" s="15" t="s">
        <v>93</v>
      </c>
      <c r="P4017" s="16" t="s">
        <v>13094</v>
      </c>
      <c r="Q4017" s="15" t="s">
        <v>696</v>
      </c>
      <c r="R4017" s="13" t="str">
        <f>HYPERLINK("https://my.pitchbook.com?c=183600-46T","View Company Online")</f>
        <v>View Company Online</v>
      </c>
    </row>
    <row r="4018" spans="1:18" hidden="1" x14ac:dyDescent="0.3">
      <c r="A4018" s="9" t="s">
        <v>13095</v>
      </c>
      <c r="B4018" s="9" t="s">
        <v>9785</v>
      </c>
      <c r="C4018" s="11" t="s">
        <v>28</v>
      </c>
      <c r="D4018" s="9" t="s">
        <v>9786</v>
      </c>
      <c r="E4018" s="11">
        <v>-12.36</v>
      </c>
      <c r="F4018" s="10" t="s">
        <v>28</v>
      </c>
      <c r="G4018" s="10">
        <v>94</v>
      </c>
      <c r="H4018" s="10" t="s">
        <v>28</v>
      </c>
      <c r="I4018" s="11">
        <v>-10.89</v>
      </c>
      <c r="J4018" s="11" t="s">
        <v>28</v>
      </c>
      <c r="K4018" s="11">
        <v>39.229999999999997</v>
      </c>
      <c r="L4018" s="11" t="s">
        <v>28</v>
      </c>
      <c r="M4018" s="11">
        <v>-12.64</v>
      </c>
      <c r="N4018" s="8">
        <v>44517</v>
      </c>
      <c r="O4018" s="9" t="s">
        <v>58</v>
      </c>
      <c r="P4018" s="12" t="s">
        <v>13096</v>
      </c>
      <c r="Q4018" s="9" t="s">
        <v>75</v>
      </c>
      <c r="R4018" s="14" t="str">
        <f>HYPERLINK("https://my.pitchbook.com?c=183578-86T","View Company Online")</f>
        <v>View Company Online</v>
      </c>
    </row>
    <row r="4019" spans="1:18" hidden="1" x14ac:dyDescent="0.3">
      <c r="A4019" s="15" t="s">
        <v>13097</v>
      </c>
      <c r="B4019" s="15" t="s">
        <v>8829</v>
      </c>
      <c r="C4019" s="18" t="s">
        <v>28</v>
      </c>
      <c r="D4019" s="15" t="s">
        <v>8830</v>
      </c>
      <c r="E4019" s="18" t="s">
        <v>28</v>
      </c>
      <c r="F4019" s="19" t="s">
        <v>28</v>
      </c>
      <c r="G4019" s="19">
        <v>0.18</v>
      </c>
      <c r="H4019" s="19" t="s">
        <v>28</v>
      </c>
      <c r="I4019" s="18" t="s">
        <v>28</v>
      </c>
      <c r="J4019" s="18" t="s">
        <v>28</v>
      </c>
      <c r="K4019" s="18" t="s">
        <v>28</v>
      </c>
      <c r="L4019" s="18" t="s">
        <v>28</v>
      </c>
      <c r="M4019" s="18" t="s">
        <v>28</v>
      </c>
      <c r="N4019" s="17">
        <v>44517</v>
      </c>
      <c r="O4019" s="15" t="s">
        <v>99</v>
      </c>
      <c r="P4019" s="16" t="s">
        <v>13098</v>
      </c>
      <c r="Q4019" s="15" t="s">
        <v>583</v>
      </c>
      <c r="R4019" s="13" t="str">
        <f>HYPERLINK("https://my.pitchbook.com?c=181200-79T","View Company Online")</f>
        <v>View Company Online</v>
      </c>
    </row>
    <row r="4020" spans="1:18" hidden="1" x14ac:dyDescent="0.3">
      <c r="A4020" s="9" t="s">
        <v>13099</v>
      </c>
      <c r="B4020" s="9" t="s">
        <v>13100</v>
      </c>
      <c r="C4020" s="11" t="s">
        <v>28</v>
      </c>
      <c r="D4020" s="9" t="s">
        <v>13101</v>
      </c>
      <c r="E4020" s="11" t="s">
        <v>28</v>
      </c>
      <c r="F4020" s="10" t="s">
        <v>28</v>
      </c>
      <c r="G4020" s="10">
        <v>3.59</v>
      </c>
      <c r="H4020" s="10">
        <v>17.97</v>
      </c>
      <c r="I4020" s="11" t="s">
        <v>28</v>
      </c>
      <c r="J4020" s="11" t="s">
        <v>28</v>
      </c>
      <c r="K4020" s="11" t="s">
        <v>28</v>
      </c>
      <c r="L4020" s="11" t="s">
        <v>28</v>
      </c>
      <c r="M4020" s="11" t="s">
        <v>28</v>
      </c>
      <c r="N4020" s="8">
        <v>44516</v>
      </c>
      <c r="O4020" s="9" t="s">
        <v>58</v>
      </c>
      <c r="P4020" s="12" t="s">
        <v>8911</v>
      </c>
      <c r="Q4020" s="9" t="s">
        <v>399</v>
      </c>
      <c r="R4020" s="14" t="str">
        <f>HYPERLINK("https://my.pitchbook.com?c=210685-42T","View Company Online")</f>
        <v>View Company Online</v>
      </c>
    </row>
    <row r="4021" spans="1:18" hidden="1" x14ac:dyDescent="0.3">
      <c r="A4021" s="15" t="s">
        <v>13102</v>
      </c>
      <c r="B4021" s="15" t="s">
        <v>13103</v>
      </c>
      <c r="C4021" s="18" t="s">
        <v>28</v>
      </c>
      <c r="D4021" s="15" t="s">
        <v>13104</v>
      </c>
      <c r="E4021" s="18" t="s">
        <v>28</v>
      </c>
      <c r="F4021" s="19">
        <v>386.15</v>
      </c>
      <c r="G4021" s="19">
        <v>196.94</v>
      </c>
      <c r="H4021" s="19">
        <v>386.15</v>
      </c>
      <c r="I4021" s="18" t="s">
        <v>28</v>
      </c>
      <c r="J4021" s="18" t="s">
        <v>28</v>
      </c>
      <c r="K4021" s="18" t="s">
        <v>28</v>
      </c>
      <c r="L4021" s="18" t="s">
        <v>28</v>
      </c>
      <c r="M4021" s="18" t="s">
        <v>28</v>
      </c>
      <c r="N4021" s="17">
        <v>44516</v>
      </c>
      <c r="O4021" s="15" t="s">
        <v>30</v>
      </c>
      <c r="P4021" s="16" t="s">
        <v>13105</v>
      </c>
      <c r="Q4021" s="15" t="s">
        <v>692</v>
      </c>
      <c r="R4021" s="13" t="str">
        <f>HYPERLINK("https://my.pitchbook.com?c=216169-21T","View Company Online")</f>
        <v>View Company Online</v>
      </c>
    </row>
    <row r="4022" spans="1:18" hidden="1" x14ac:dyDescent="0.3">
      <c r="A4022" s="9" t="s">
        <v>13106</v>
      </c>
      <c r="B4022" s="9" t="s">
        <v>13107</v>
      </c>
      <c r="C4022" s="11" t="s">
        <v>28</v>
      </c>
      <c r="D4022" s="9" t="s">
        <v>13108</v>
      </c>
      <c r="E4022" s="11" t="s">
        <v>28</v>
      </c>
      <c r="F4022" s="10">
        <v>30.24</v>
      </c>
      <c r="G4022" s="10">
        <v>18.14</v>
      </c>
      <c r="H4022" s="10">
        <v>30.24</v>
      </c>
      <c r="I4022" s="11" t="s">
        <v>28</v>
      </c>
      <c r="J4022" s="11" t="s">
        <v>28</v>
      </c>
      <c r="K4022" s="11">
        <v>17.61</v>
      </c>
      <c r="L4022" s="11">
        <v>1.72</v>
      </c>
      <c r="M4022" s="11" t="s">
        <v>28</v>
      </c>
      <c r="N4022" s="8">
        <v>44516</v>
      </c>
      <c r="O4022" s="9" t="s">
        <v>30</v>
      </c>
      <c r="P4022" s="12" t="s">
        <v>13109</v>
      </c>
      <c r="Q4022" s="9" t="s">
        <v>8995</v>
      </c>
      <c r="R4022" s="14" t="str">
        <f>HYPERLINK("https://my.pitchbook.com?c=210582-82T","View Company Online")</f>
        <v>View Company Online</v>
      </c>
    </row>
    <row r="4023" spans="1:18" hidden="1" x14ac:dyDescent="0.3">
      <c r="A4023" s="15" t="s">
        <v>13110</v>
      </c>
      <c r="B4023" s="15" t="s">
        <v>13111</v>
      </c>
      <c r="C4023" s="18" t="s">
        <v>28</v>
      </c>
      <c r="D4023" s="15" t="s">
        <v>13112</v>
      </c>
      <c r="E4023" s="18" t="s">
        <v>28</v>
      </c>
      <c r="F4023" s="19" t="s">
        <v>28</v>
      </c>
      <c r="G4023" s="19">
        <v>2.4</v>
      </c>
      <c r="H4023" s="19" t="s">
        <v>28</v>
      </c>
      <c r="I4023" s="18" t="s">
        <v>28</v>
      </c>
      <c r="J4023" s="18" t="s">
        <v>28</v>
      </c>
      <c r="K4023" s="18" t="s">
        <v>28</v>
      </c>
      <c r="L4023" s="18" t="s">
        <v>28</v>
      </c>
      <c r="M4023" s="18" t="s">
        <v>28</v>
      </c>
      <c r="N4023" s="17">
        <v>44516</v>
      </c>
      <c r="O4023" s="15" t="s">
        <v>99</v>
      </c>
      <c r="P4023" s="16" t="s">
        <v>13113</v>
      </c>
      <c r="Q4023" s="15" t="s">
        <v>188</v>
      </c>
      <c r="R4023" s="13" t="str">
        <f>HYPERLINK("https://my.pitchbook.com?c=188743-60T","View Company Online")</f>
        <v>View Company Online</v>
      </c>
    </row>
    <row r="4024" spans="1:18" hidden="1" x14ac:dyDescent="0.3">
      <c r="A4024" s="9" t="s">
        <v>13114</v>
      </c>
      <c r="B4024" s="9" t="s">
        <v>13115</v>
      </c>
      <c r="C4024" s="11" t="s">
        <v>28</v>
      </c>
      <c r="D4024" s="9" t="s">
        <v>13116</v>
      </c>
      <c r="E4024" s="11" t="s">
        <v>28</v>
      </c>
      <c r="F4024" s="10" t="s">
        <v>28</v>
      </c>
      <c r="G4024" s="10" t="s">
        <v>28</v>
      </c>
      <c r="H4024" s="10" t="s">
        <v>28</v>
      </c>
      <c r="I4024" s="11" t="s">
        <v>28</v>
      </c>
      <c r="J4024" s="11" t="s">
        <v>28</v>
      </c>
      <c r="K4024" s="11" t="s">
        <v>28</v>
      </c>
      <c r="L4024" s="11" t="s">
        <v>28</v>
      </c>
      <c r="M4024" s="11" t="s">
        <v>28</v>
      </c>
      <c r="N4024" s="8">
        <v>44516</v>
      </c>
      <c r="O4024" s="9" t="s">
        <v>30</v>
      </c>
      <c r="P4024" s="12" t="s">
        <v>9919</v>
      </c>
      <c r="Q4024" s="9" t="s">
        <v>290</v>
      </c>
      <c r="R4024" s="14" t="str">
        <f>HYPERLINK("https://my.pitchbook.com?c=241856-56T","View Company Online")</f>
        <v>View Company Online</v>
      </c>
    </row>
    <row r="4025" spans="1:18" hidden="1" x14ac:dyDescent="0.3">
      <c r="A4025" s="15" t="s">
        <v>13117</v>
      </c>
      <c r="B4025" s="15" t="s">
        <v>13118</v>
      </c>
      <c r="C4025" s="18" t="s">
        <v>28</v>
      </c>
      <c r="D4025" s="15" t="s">
        <v>13119</v>
      </c>
      <c r="E4025" s="18" t="s">
        <v>28</v>
      </c>
      <c r="F4025" s="19" t="s">
        <v>28</v>
      </c>
      <c r="G4025" s="19">
        <v>0.06</v>
      </c>
      <c r="H4025" s="19" t="s">
        <v>28</v>
      </c>
      <c r="I4025" s="18" t="s">
        <v>28</v>
      </c>
      <c r="J4025" s="18" t="s">
        <v>28</v>
      </c>
      <c r="K4025" s="18" t="s">
        <v>28</v>
      </c>
      <c r="L4025" s="18" t="s">
        <v>28</v>
      </c>
      <c r="M4025" s="18" t="s">
        <v>28</v>
      </c>
      <c r="N4025" s="17">
        <v>44515</v>
      </c>
      <c r="O4025" s="15" t="s">
        <v>52</v>
      </c>
      <c r="P4025" s="16" t="s">
        <v>4564</v>
      </c>
      <c r="Q4025" s="15" t="s">
        <v>75</v>
      </c>
      <c r="R4025" s="13" t="str">
        <f>HYPERLINK("https://my.pitchbook.com?c=187578-19T","View Company Online")</f>
        <v>View Company Online</v>
      </c>
    </row>
    <row r="4026" spans="1:18" hidden="1" x14ac:dyDescent="0.3">
      <c r="A4026" s="9" t="s">
        <v>13120</v>
      </c>
      <c r="B4026" s="9" t="s">
        <v>3788</v>
      </c>
      <c r="C4026" s="11" t="s">
        <v>28</v>
      </c>
      <c r="D4026" s="9" t="s">
        <v>3789</v>
      </c>
      <c r="E4026" s="11" t="s">
        <v>28</v>
      </c>
      <c r="F4026" s="10" t="s">
        <v>28</v>
      </c>
      <c r="G4026" s="10">
        <v>2.69</v>
      </c>
      <c r="H4026" s="10" t="s">
        <v>28</v>
      </c>
      <c r="I4026" s="11" t="s">
        <v>28</v>
      </c>
      <c r="J4026" s="11" t="s">
        <v>28</v>
      </c>
      <c r="K4026" s="11" t="s">
        <v>28</v>
      </c>
      <c r="L4026" s="11" t="s">
        <v>28</v>
      </c>
      <c r="M4026" s="11" t="s">
        <v>28</v>
      </c>
      <c r="N4026" s="8">
        <v>44515</v>
      </c>
      <c r="O4026" s="9" t="s">
        <v>73</v>
      </c>
      <c r="P4026" s="12" t="s">
        <v>13121</v>
      </c>
      <c r="Q4026" s="9" t="s">
        <v>692</v>
      </c>
      <c r="R4026" s="14" t="str">
        <f>HYPERLINK("https://my.pitchbook.com?c=183281-32T","View Company Online")</f>
        <v>View Company Online</v>
      </c>
    </row>
    <row r="4027" spans="1:18" hidden="1" x14ac:dyDescent="0.3">
      <c r="A4027" s="15" t="s">
        <v>13122</v>
      </c>
      <c r="B4027" s="15" t="s">
        <v>2959</v>
      </c>
      <c r="C4027" s="18" t="s">
        <v>28</v>
      </c>
      <c r="D4027" s="15" t="s">
        <v>2960</v>
      </c>
      <c r="E4027" s="18" t="s">
        <v>28</v>
      </c>
      <c r="F4027" s="19" t="s">
        <v>28</v>
      </c>
      <c r="G4027" s="19">
        <v>0.5</v>
      </c>
      <c r="H4027" s="19" t="s">
        <v>28</v>
      </c>
      <c r="I4027" s="18" t="s">
        <v>28</v>
      </c>
      <c r="J4027" s="18" t="s">
        <v>28</v>
      </c>
      <c r="K4027" s="18">
        <v>1.33</v>
      </c>
      <c r="L4027" s="18" t="s">
        <v>28</v>
      </c>
      <c r="M4027" s="18" t="s">
        <v>28</v>
      </c>
      <c r="N4027" s="17">
        <v>44512</v>
      </c>
      <c r="O4027" s="15" t="s">
        <v>99</v>
      </c>
      <c r="P4027" s="16" t="s">
        <v>13123</v>
      </c>
      <c r="Q4027" s="15" t="s">
        <v>583</v>
      </c>
      <c r="R4027" s="13" t="str">
        <f>HYPERLINK("https://my.pitchbook.com?c=187857-46T","View Company Online")</f>
        <v>View Company Online</v>
      </c>
    </row>
    <row r="4028" spans="1:18" hidden="1" x14ac:dyDescent="0.3">
      <c r="A4028" s="9" t="s">
        <v>13124</v>
      </c>
      <c r="B4028" s="9" t="s">
        <v>13125</v>
      </c>
      <c r="C4028" s="11" t="s">
        <v>28</v>
      </c>
      <c r="D4028" s="9" t="s">
        <v>13126</v>
      </c>
      <c r="E4028" s="11" t="s">
        <v>28</v>
      </c>
      <c r="F4028" s="10" t="s">
        <v>28</v>
      </c>
      <c r="G4028" s="10">
        <v>0.54</v>
      </c>
      <c r="H4028" s="10" t="s">
        <v>28</v>
      </c>
      <c r="I4028" s="11" t="s">
        <v>28</v>
      </c>
      <c r="J4028" s="11" t="s">
        <v>28</v>
      </c>
      <c r="K4028" s="11" t="s">
        <v>28</v>
      </c>
      <c r="L4028" s="11" t="s">
        <v>28</v>
      </c>
      <c r="M4028" s="11" t="s">
        <v>28</v>
      </c>
      <c r="N4028" s="8">
        <v>44512</v>
      </c>
      <c r="O4028" s="9" t="s">
        <v>73</v>
      </c>
      <c r="P4028" s="12" t="s">
        <v>13127</v>
      </c>
      <c r="Q4028" s="9" t="s">
        <v>583</v>
      </c>
      <c r="R4028" s="14" t="str">
        <f>HYPERLINK("https://my.pitchbook.com?c=183395-89T","View Company Online")</f>
        <v>View Company Online</v>
      </c>
    </row>
    <row r="4029" spans="1:18" hidden="1" x14ac:dyDescent="0.3">
      <c r="A4029" s="15" t="s">
        <v>13128</v>
      </c>
      <c r="B4029" s="15" t="s">
        <v>13129</v>
      </c>
      <c r="C4029" s="18" t="s">
        <v>28</v>
      </c>
      <c r="D4029" s="15" t="s">
        <v>13130</v>
      </c>
      <c r="E4029" s="18" t="s">
        <v>28</v>
      </c>
      <c r="F4029" s="19" t="s">
        <v>28</v>
      </c>
      <c r="G4029" s="19">
        <v>0.22</v>
      </c>
      <c r="H4029" s="19">
        <v>2.69</v>
      </c>
      <c r="I4029" s="18" t="s">
        <v>28</v>
      </c>
      <c r="J4029" s="18" t="s">
        <v>28</v>
      </c>
      <c r="K4029" s="18" t="s">
        <v>28</v>
      </c>
      <c r="L4029" s="18" t="s">
        <v>28</v>
      </c>
      <c r="M4029" s="18" t="s">
        <v>28</v>
      </c>
      <c r="N4029" s="17">
        <v>44512</v>
      </c>
      <c r="O4029" s="15" t="s">
        <v>1639</v>
      </c>
      <c r="P4029" s="16" t="s">
        <v>28</v>
      </c>
      <c r="Q4029" s="15" t="s">
        <v>37</v>
      </c>
      <c r="R4029" s="13" t="str">
        <f>HYPERLINK("https://my.pitchbook.com?c=183410-65T","View Company Online")</f>
        <v>View Company Online</v>
      </c>
    </row>
    <row r="4030" spans="1:18" hidden="1" x14ac:dyDescent="0.3">
      <c r="A4030" s="9" t="s">
        <v>13131</v>
      </c>
      <c r="B4030" s="9" t="s">
        <v>13132</v>
      </c>
      <c r="C4030" s="11" t="s">
        <v>28</v>
      </c>
      <c r="D4030" s="9" t="s">
        <v>13133</v>
      </c>
      <c r="E4030" s="11" t="s">
        <v>28</v>
      </c>
      <c r="F4030" s="10" t="s">
        <v>28</v>
      </c>
      <c r="G4030" s="10" t="s">
        <v>28</v>
      </c>
      <c r="H4030" s="10" t="s">
        <v>28</v>
      </c>
      <c r="I4030" s="11" t="s">
        <v>28</v>
      </c>
      <c r="J4030" s="11" t="s">
        <v>28</v>
      </c>
      <c r="K4030" s="11" t="s">
        <v>28</v>
      </c>
      <c r="L4030" s="11" t="s">
        <v>28</v>
      </c>
      <c r="M4030" s="11" t="s">
        <v>28</v>
      </c>
      <c r="N4030" s="8">
        <v>44512</v>
      </c>
      <c r="O4030" s="9" t="s">
        <v>30</v>
      </c>
      <c r="P4030" s="12" t="s">
        <v>13134</v>
      </c>
      <c r="Q4030" s="9" t="s">
        <v>75</v>
      </c>
      <c r="R4030" s="14" t="str">
        <f>HYPERLINK("https://my.pitchbook.com?c=187034-95T","View Company Online")</f>
        <v>View Company Online</v>
      </c>
    </row>
    <row r="4031" spans="1:18" hidden="1" x14ac:dyDescent="0.3">
      <c r="A4031" s="15" t="s">
        <v>13135</v>
      </c>
      <c r="B4031" s="15" t="s">
        <v>5013</v>
      </c>
      <c r="C4031" s="18" t="s">
        <v>28</v>
      </c>
      <c r="D4031" s="15" t="s">
        <v>13136</v>
      </c>
      <c r="E4031" s="18" t="s">
        <v>28</v>
      </c>
      <c r="F4031" s="19" t="s">
        <v>28</v>
      </c>
      <c r="G4031" s="19" t="s">
        <v>28</v>
      </c>
      <c r="H4031" s="19" t="s">
        <v>28</v>
      </c>
      <c r="I4031" s="18" t="s">
        <v>28</v>
      </c>
      <c r="J4031" s="18" t="s">
        <v>28</v>
      </c>
      <c r="K4031" s="18" t="s">
        <v>28</v>
      </c>
      <c r="L4031" s="18" t="s">
        <v>28</v>
      </c>
      <c r="M4031" s="18" t="s">
        <v>28</v>
      </c>
      <c r="N4031" s="17">
        <v>44511</v>
      </c>
      <c r="O4031" s="15" t="s">
        <v>99</v>
      </c>
      <c r="P4031" s="16" t="s">
        <v>611</v>
      </c>
      <c r="Q4031" s="15" t="s">
        <v>832</v>
      </c>
      <c r="R4031" s="13" t="str">
        <f>HYPERLINK("https://my.pitchbook.com?c=196869-52T","View Company Online")</f>
        <v>View Company Online</v>
      </c>
    </row>
    <row r="4032" spans="1:18" hidden="1" x14ac:dyDescent="0.3">
      <c r="A4032" s="9" t="s">
        <v>13137</v>
      </c>
      <c r="B4032" s="9" t="s">
        <v>13138</v>
      </c>
      <c r="C4032" s="11" t="s">
        <v>28</v>
      </c>
      <c r="D4032" s="9" t="s">
        <v>13139</v>
      </c>
      <c r="E4032" s="11" t="s">
        <v>28</v>
      </c>
      <c r="F4032" s="10" t="s">
        <v>28</v>
      </c>
      <c r="G4032" s="10" t="s">
        <v>28</v>
      </c>
      <c r="H4032" s="10" t="s">
        <v>28</v>
      </c>
      <c r="I4032" s="11" t="s">
        <v>28</v>
      </c>
      <c r="J4032" s="11" t="s">
        <v>28</v>
      </c>
      <c r="K4032" s="11" t="s">
        <v>28</v>
      </c>
      <c r="L4032" s="11" t="s">
        <v>28</v>
      </c>
      <c r="M4032" s="11" t="s">
        <v>28</v>
      </c>
      <c r="N4032" s="8">
        <v>44511</v>
      </c>
      <c r="O4032" s="9" t="s">
        <v>30</v>
      </c>
      <c r="P4032" s="12" t="s">
        <v>13140</v>
      </c>
      <c r="Q4032" s="9" t="s">
        <v>75</v>
      </c>
      <c r="R4032" s="14" t="str">
        <f>HYPERLINK("https://my.pitchbook.com?c=184111-30T","View Company Online")</f>
        <v>View Company Online</v>
      </c>
    </row>
    <row r="4033" spans="1:18" hidden="1" x14ac:dyDescent="0.3">
      <c r="A4033" s="15" t="s">
        <v>13141</v>
      </c>
      <c r="B4033" s="15" t="s">
        <v>13142</v>
      </c>
      <c r="C4033" s="18" t="s">
        <v>28</v>
      </c>
      <c r="D4033" s="15" t="s">
        <v>13143</v>
      </c>
      <c r="E4033" s="18" t="s">
        <v>28</v>
      </c>
      <c r="F4033" s="19" t="s">
        <v>28</v>
      </c>
      <c r="G4033" s="19" t="s">
        <v>28</v>
      </c>
      <c r="H4033" s="19" t="s">
        <v>28</v>
      </c>
      <c r="I4033" s="18" t="s">
        <v>28</v>
      </c>
      <c r="J4033" s="18" t="s">
        <v>28</v>
      </c>
      <c r="K4033" s="18" t="s">
        <v>28</v>
      </c>
      <c r="L4033" s="18" t="s">
        <v>28</v>
      </c>
      <c r="M4033" s="18" t="s">
        <v>28</v>
      </c>
      <c r="N4033" s="17">
        <v>44511</v>
      </c>
      <c r="O4033" s="15" t="s">
        <v>99</v>
      </c>
      <c r="P4033" s="16" t="s">
        <v>28</v>
      </c>
      <c r="Q4033" s="15" t="s">
        <v>3912</v>
      </c>
      <c r="R4033" s="13" t="str">
        <f>HYPERLINK("https://my.pitchbook.com?c=183314-80T","View Company Online")</f>
        <v>View Company Online</v>
      </c>
    </row>
    <row r="4034" spans="1:18" hidden="1" x14ac:dyDescent="0.3">
      <c r="A4034" s="9" t="s">
        <v>13144</v>
      </c>
      <c r="B4034" s="9" t="s">
        <v>13145</v>
      </c>
      <c r="C4034" s="11" t="s">
        <v>28</v>
      </c>
      <c r="D4034" s="9" t="s">
        <v>13146</v>
      </c>
      <c r="E4034" s="11" t="s">
        <v>28</v>
      </c>
      <c r="F4034" s="10" t="s">
        <v>28</v>
      </c>
      <c r="G4034" s="10">
        <v>0.93</v>
      </c>
      <c r="H4034" s="10" t="s">
        <v>28</v>
      </c>
      <c r="I4034" s="11" t="s">
        <v>28</v>
      </c>
      <c r="J4034" s="11" t="s">
        <v>28</v>
      </c>
      <c r="K4034" s="11" t="s">
        <v>28</v>
      </c>
      <c r="L4034" s="11" t="s">
        <v>28</v>
      </c>
      <c r="M4034" s="11" t="s">
        <v>28</v>
      </c>
      <c r="N4034" s="8">
        <v>44510</v>
      </c>
      <c r="O4034" s="9" t="s">
        <v>1639</v>
      </c>
      <c r="P4034" s="12" t="s">
        <v>28</v>
      </c>
      <c r="Q4034" s="9" t="s">
        <v>855</v>
      </c>
      <c r="R4034" s="14" t="str">
        <f>HYPERLINK("https://my.pitchbook.com?c=223459-93T","View Company Online")</f>
        <v>View Company Online</v>
      </c>
    </row>
    <row r="4035" spans="1:18" hidden="1" x14ac:dyDescent="0.3">
      <c r="A4035" s="15" t="s">
        <v>13147</v>
      </c>
      <c r="B4035" s="15" t="s">
        <v>13148</v>
      </c>
      <c r="C4035" s="18" t="s">
        <v>28</v>
      </c>
      <c r="D4035" s="15" t="s">
        <v>13149</v>
      </c>
      <c r="E4035" s="18" t="s">
        <v>28</v>
      </c>
      <c r="F4035" s="19" t="s">
        <v>28</v>
      </c>
      <c r="G4035" s="19">
        <v>0.1</v>
      </c>
      <c r="H4035" s="19" t="s">
        <v>28</v>
      </c>
      <c r="I4035" s="18" t="s">
        <v>28</v>
      </c>
      <c r="J4035" s="18" t="s">
        <v>28</v>
      </c>
      <c r="K4035" s="18" t="s">
        <v>28</v>
      </c>
      <c r="L4035" s="18" t="s">
        <v>28</v>
      </c>
      <c r="M4035" s="18" t="s">
        <v>28</v>
      </c>
      <c r="N4035" s="17">
        <v>44510</v>
      </c>
      <c r="O4035" s="15" t="s">
        <v>99</v>
      </c>
      <c r="P4035" s="16" t="s">
        <v>2915</v>
      </c>
      <c r="Q4035" s="15" t="s">
        <v>114</v>
      </c>
      <c r="R4035" s="13" t="str">
        <f>HYPERLINK("https://my.pitchbook.com?c=259545-97T","View Company Online")</f>
        <v>View Company Online</v>
      </c>
    </row>
    <row r="4036" spans="1:18" hidden="1" x14ac:dyDescent="0.3">
      <c r="A4036" s="9" t="s">
        <v>13150</v>
      </c>
      <c r="B4036" s="9" t="s">
        <v>13151</v>
      </c>
      <c r="C4036" s="11" t="s">
        <v>28</v>
      </c>
      <c r="D4036" s="9" t="s">
        <v>13152</v>
      </c>
      <c r="E4036" s="11" t="s">
        <v>28</v>
      </c>
      <c r="F4036" s="10">
        <v>54.46</v>
      </c>
      <c r="G4036" s="10">
        <v>54.46</v>
      </c>
      <c r="H4036" s="10">
        <v>54.46</v>
      </c>
      <c r="I4036" s="11" t="s">
        <v>28</v>
      </c>
      <c r="J4036" s="11" t="s">
        <v>28</v>
      </c>
      <c r="K4036" s="11" t="s">
        <v>28</v>
      </c>
      <c r="L4036" s="11" t="s">
        <v>28</v>
      </c>
      <c r="M4036" s="11" t="s">
        <v>28</v>
      </c>
      <c r="N4036" s="8">
        <v>44510</v>
      </c>
      <c r="O4036" s="9" t="s">
        <v>41</v>
      </c>
      <c r="P4036" s="12" t="s">
        <v>13153</v>
      </c>
      <c r="Q4036" s="9" t="s">
        <v>226</v>
      </c>
      <c r="R4036" s="14" t="str">
        <f>HYPERLINK("https://my.pitchbook.com?c=179143-39T","View Company Online")</f>
        <v>View Company Online</v>
      </c>
    </row>
    <row r="4037" spans="1:18" hidden="1" x14ac:dyDescent="0.3">
      <c r="A4037" s="15" t="s">
        <v>13154</v>
      </c>
      <c r="B4037" s="15" t="s">
        <v>13155</v>
      </c>
      <c r="C4037" s="18" t="s">
        <v>28</v>
      </c>
      <c r="D4037" s="15" t="s">
        <v>13156</v>
      </c>
      <c r="E4037" s="18">
        <v>38.24</v>
      </c>
      <c r="F4037" s="19" t="s">
        <v>28</v>
      </c>
      <c r="G4037" s="19">
        <v>195.65</v>
      </c>
      <c r="H4037" s="19">
        <v>1982.97</v>
      </c>
      <c r="I4037" s="18">
        <v>45.25</v>
      </c>
      <c r="J4037" s="18">
        <v>43.82</v>
      </c>
      <c r="K4037" s="18">
        <v>234.44</v>
      </c>
      <c r="L4037" s="18">
        <v>8.4600000000000009</v>
      </c>
      <c r="M4037" s="18">
        <v>20.79</v>
      </c>
      <c r="N4037" s="17">
        <v>44510</v>
      </c>
      <c r="O4037" s="15" t="s">
        <v>173</v>
      </c>
      <c r="P4037" s="16" t="s">
        <v>28</v>
      </c>
      <c r="Q4037" s="15" t="s">
        <v>245</v>
      </c>
      <c r="R4037" s="13" t="str">
        <f>HYPERLINK("https://my.pitchbook.com?c=181801-99T","View Company Online")</f>
        <v>View Company Online</v>
      </c>
    </row>
    <row r="4038" spans="1:18" hidden="1" x14ac:dyDescent="0.3">
      <c r="A4038" s="9" t="s">
        <v>13157</v>
      </c>
      <c r="B4038" s="9" t="s">
        <v>4505</v>
      </c>
      <c r="C4038" s="11" t="s">
        <v>28</v>
      </c>
      <c r="D4038" s="9" t="s">
        <v>4506</v>
      </c>
      <c r="E4038" s="11" t="s">
        <v>28</v>
      </c>
      <c r="F4038" s="10" t="s">
        <v>28</v>
      </c>
      <c r="G4038" s="10">
        <v>1.79</v>
      </c>
      <c r="H4038" s="10" t="s">
        <v>28</v>
      </c>
      <c r="I4038" s="11" t="s">
        <v>28</v>
      </c>
      <c r="J4038" s="11" t="s">
        <v>28</v>
      </c>
      <c r="K4038" s="11" t="s">
        <v>28</v>
      </c>
      <c r="L4038" s="11" t="s">
        <v>28</v>
      </c>
      <c r="M4038" s="11" t="s">
        <v>28</v>
      </c>
      <c r="N4038" s="8">
        <v>44510</v>
      </c>
      <c r="O4038" s="9" t="s">
        <v>73</v>
      </c>
      <c r="P4038" s="12" t="s">
        <v>13158</v>
      </c>
      <c r="Q4038" s="9" t="s">
        <v>37</v>
      </c>
      <c r="R4038" s="14" t="str">
        <f>HYPERLINK("https://my.pitchbook.com?c=183225-79T","View Company Online")</f>
        <v>View Company Online</v>
      </c>
    </row>
    <row r="4039" spans="1:18" hidden="1" x14ac:dyDescent="0.3">
      <c r="A4039" s="15" t="s">
        <v>13159</v>
      </c>
      <c r="B4039" s="15" t="s">
        <v>4532</v>
      </c>
      <c r="C4039" s="18" t="s">
        <v>28</v>
      </c>
      <c r="D4039" s="15" t="s">
        <v>4533</v>
      </c>
      <c r="E4039" s="18" t="s">
        <v>28</v>
      </c>
      <c r="F4039" s="19" t="s">
        <v>28</v>
      </c>
      <c r="G4039" s="19" t="s">
        <v>28</v>
      </c>
      <c r="H4039" s="19" t="s">
        <v>28</v>
      </c>
      <c r="I4039" s="18" t="s">
        <v>28</v>
      </c>
      <c r="J4039" s="18" t="s">
        <v>28</v>
      </c>
      <c r="K4039" s="18" t="s">
        <v>28</v>
      </c>
      <c r="L4039" s="18" t="s">
        <v>28</v>
      </c>
      <c r="M4039" s="18" t="s">
        <v>28</v>
      </c>
      <c r="N4039" s="17">
        <v>44510</v>
      </c>
      <c r="O4039" s="15" t="s">
        <v>58</v>
      </c>
      <c r="P4039" s="16" t="s">
        <v>13160</v>
      </c>
      <c r="Q4039" s="15" t="s">
        <v>37</v>
      </c>
      <c r="R4039" s="13" t="str">
        <f>HYPERLINK("https://my.pitchbook.com?c=188616-25T","View Company Online")</f>
        <v>View Company Online</v>
      </c>
    </row>
    <row r="4040" spans="1:18" hidden="1" x14ac:dyDescent="0.3">
      <c r="A4040" s="9" t="s">
        <v>13161</v>
      </c>
      <c r="B4040" s="9" t="s">
        <v>13162</v>
      </c>
      <c r="C4040" s="11" t="s">
        <v>28</v>
      </c>
      <c r="D4040" s="9" t="s">
        <v>13163</v>
      </c>
      <c r="E4040" s="11" t="s">
        <v>28</v>
      </c>
      <c r="F4040" s="10" t="s">
        <v>28</v>
      </c>
      <c r="G4040" s="10">
        <v>0.3</v>
      </c>
      <c r="H4040" s="10" t="s">
        <v>28</v>
      </c>
      <c r="I4040" s="11" t="s">
        <v>28</v>
      </c>
      <c r="J4040" s="11" t="s">
        <v>28</v>
      </c>
      <c r="K4040" s="11" t="s">
        <v>28</v>
      </c>
      <c r="L4040" s="11" t="s">
        <v>28</v>
      </c>
      <c r="M4040" s="11" t="s">
        <v>28</v>
      </c>
      <c r="N4040" s="8">
        <v>44510</v>
      </c>
      <c r="O4040" s="9" t="s">
        <v>99</v>
      </c>
      <c r="P4040" s="12" t="s">
        <v>13164</v>
      </c>
      <c r="Q4040" s="9" t="s">
        <v>37</v>
      </c>
      <c r="R4040" s="14" t="str">
        <f>HYPERLINK("https://my.pitchbook.com?c=184716-01T","View Company Online")</f>
        <v>View Company Online</v>
      </c>
    </row>
    <row r="4041" spans="1:18" hidden="1" x14ac:dyDescent="0.3">
      <c r="A4041" s="15" t="s">
        <v>13165</v>
      </c>
      <c r="B4041" s="15" t="s">
        <v>13166</v>
      </c>
      <c r="C4041" s="18" t="s">
        <v>28</v>
      </c>
      <c r="D4041" s="15" t="s">
        <v>13167</v>
      </c>
      <c r="E4041" s="18" t="s">
        <v>28</v>
      </c>
      <c r="F4041" s="19" t="s">
        <v>28</v>
      </c>
      <c r="G4041" s="19" t="s">
        <v>28</v>
      </c>
      <c r="H4041" s="19" t="s">
        <v>28</v>
      </c>
      <c r="I4041" s="18" t="s">
        <v>28</v>
      </c>
      <c r="J4041" s="18" t="s">
        <v>28</v>
      </c>
      <c r="K4041" s="18" t="s">
        <v>28</v>
      </c>
      <c r="L4041" s="18" t="s">
        <v>28</v>
      </c>
      <c r="M4041" s="18" t="s">
        <v>28</v>
      </c>
      <c r="N4041" s="17">
        <v>44510</v>
      </c>
      <c r="O4041" s="15" t="s">
        <v>30</v>
      </c>
      <c r="P4041" s="16" t="s">
        <v>13168</v>
      </c>
      <c r="Q4041" s="15" t="s">
        <v>95</v>
      </c>
      <c r="R4041" s="13" t="str">
        <f>HYPERLINK("https://my.pitchbook.com?c=185458-06T","View Company Online")</f>
        <v>View Company Online</v>
      </c>
    </row>
    <row r="4042" spans="1:18" hidden="1" x14ac:dyDescent="0.3">
      <c r="A4042" s="9" t="s">
        <v>13169</v>
      </c>
      <c r="B4042" s="9" t="s">
        <v>8211</v>
      </c>
      <c r="C4042" s="11" t="s">
        <v>28</v>
      </c>
      <c r="D4042" s="9" t="s">
        <v>8212</v>
      </c>
      <c r="E4042" s="11" t="s">
        <v>28</v>
      </c>
      <c r="F4042" s="10" t="s">
        <v>28</v>
      </c>
      <c r="G4042" s="10">
        <v>15</v>
      </c>
      <c r="H4042" s="10" t="s">
        <v>28</v>
      </c>
      <c r="I4042" s="11" t="s">
        <v>28</v>
      </c>
      <c r="J4042" s="11" t="s">
        <v>28</v>
      </c>
      <c r="K4042" s="11" t="s">
        <v>28</v>
      </c>
      <c r="L4042" s="11" t="s">
        <v>28</v>
      </c>
      <c r="M4042" s="11" t="s">
        <v>28</v>
      </c>
      <c r="N4042" s="8">
        <v>44510</v>
      </c>
      <c r="O4042" s="9" t="s">
        <v>73</v>
      </c>
      <c r="P4042" s="12" t="s">
        <v>13170</v>
      </c>
      <c r="Q4042" s="9" t="s">
        <v>75</v>
      </c>
      <c r="R4042" s="14" t="str">
        <f>HYPERLINK("https://my.pitchbook.com?c=183188-98T","View Company Online")</f>
        <v>View Company Online</v>
      </c>
    </row>
    <row r="4043" spans="1:18" hidden="1" x14ac:dyDescent="0.3">
      <c r="A4043" s="15" t="s">
        <v>13171</v>
      </c>
      <c r="B4043" s="15" t="s">
        <v>13172</v>
      </c>
      <c r="C4043" s="18" t="s">
        <v>28</v>
      </c>
      <c r="D4043" s="15" t="s">
        <v>13173</v>
      </c>
      <c r="E4043" s="18" t="s">
        <v>28</v>
      </c>
      <c r="F4043" s="19" t="s">
        <v>28</v>
      </c>
      <c r="G4043" s="19" t="s">
        <v>28</v>
      </c>
      <c r="H4043" s="19" t="s">
        <v>28</v>
      </c>
      <c r="I4043" s="18" t="s">
        <v>28</v>
      </c>
      <c r="J4043" s="18" t="s">
        <v>28</v>
      </c>
      <c r="K4043" s="18" t="s">
        <v>28</v>
      </c>
      <c r="L4043" s="18" t="s">
        <v>28</v>
      </c>
      <c r="M4043" s="18" t="s">
        <v>28</v>
      </c>
      <c r="N4043" s="17">
        <v>44509</v>
      </c>
      <c r="O4043" s="15" t="s">
        <v>41</v>
      </c>
      <c r="P4043" s="16" t="s">
        <v>13174</v>
      </c>
      <c r="Q4043" s="15" t="s">
        <v>119</v>
      </c>
      <c r="R4043" s="13" t="str">
        <f>HYPERLINK("https://my.pitchbook.com?c=183203-38T","View Company Online")</f>
        <v>View Company Online</v>
      </c>
    </row>
    <row r="4044" spans="1:18" hidden="1" x14ac:dyDescent="0.3">
      <c r="A4044" s="9" t="s">
        <v>13175</v>
      </c>
      <c r="B4044" s="9" t="s">
        <v>13176</v>
      </c>
      <c r="C4044" s="11" t="s">
        <v>28</v>
      </c>
      <c r="D4044" s="9" t="s">
        <v>13177</v>
      </c>
      <c r="E4044" s="11" t="s">
        <v>28</v>
      </c>
      <c r="F4044" s="10" t="s">
        <v>28</v>
      </c>
      <c r="G4044" s="10" t="s">
        <v>28</v>
      </c>
      <c r="H4044" s="10" t="s">
        <v>28</v>
      </c>
      <c r="I4044" s="11" t="s">
        <v>28</v>
      </c>
      <c r="J4044" s="11" t="s">
        <v>28</v>
      </c>
      <c r="K4044" s="11" t="s">
        <v>28</v>
      </c>
      <c r="L4044" s="11" t="s">
        <v>28</v>
      </c>
      <c r="M4044" s="11" t="s">
        <v>28</v>
      </c>
      <c r="N4044" s="8">
        <v>44509</v>
      </c>
      <c r="O4044" s="9" t="s">
        <v>30</v>
      </c>
      <c r="P4044" s="12" t="s">
        <v>10109</v>
      </c>
      <c r="Q4044" s="9" t="s">
        <v>95</v>
      </c>
      <c r="R4044" s="14" t="str">
        <f>HYPERLINK("https://my.pitchbook.com?c=211732-30T","View Company Online")</f>
        <v>View Company Online</v>
      </c>
    </row>
    <row r="4045" spans="1:18" hidden="1" x14ac:dyDescent="0.3">
      <c r="A4045" s="15" t="s">
        <v>13178</v>
      </c>
      <c r="B4045" s="15" t="s">
        <v>13179</v>
      </c>
      <c r="C4045" s="18" t="s">
        <v>28</v>
      </c>
      <c r="D4045" s="15" t="s">
        <v>13180</v>
      </c>
      <c r="E4045" s="18" t="s">
        <v>28</v>
      </c>
      <c r="F4045" s="19" t="s">
        <v>28</v>
      </c>
      <c r="G4045" s="19" t="s">
        <v>28</v>
      </c>
      <c r="H4045" s="19" t="s">
        <v>28</v>
      </c>
      <c r="I4045" s="18" t="s">
        <v>28</v>
      </c>
      <c r="J4045" s="18" t="s">
        <v>28</v>
      </c>
      <c r="K4045" s="18" t="s">
        <v>28</v>
      </c>
      <c r="L4045" s="18" t="s">
        <v>28</v>
      </c>
      <c r="M4045" s="18" t="s">
        <v>28</v>
      </c>
      <c r="N4045" s="17">
        <v>44509</v>
      </c>
      <c r="O4045" s="15" t="s">
        <v>41</v>
      </c>
      <c r="P4045" s="16" t="s">
        <v>13181</v>
      </c>
      <c r="Q4045" s="15" t="s">
        <v>183</v>
      </c>
      <c r="R4045" s="13" t="str">
        <f>HYPERLINK("https://my.pitchbook.com?c=183260-35T","View Company Online")</f>
        <v>View Company Online</v>
      </c>
    </row>
    <row r="4046" spans="1:18" hidden="1" x14ac:dyDescent="0.3">
      <c r="A4046" s="9" t="s">
        <v>13182</v>
      </c>
      <c r="B4046" s="9" t="s">
        <v>13183</v>
      </c>
      <c r="C4046" s="11" t="s">
        <v>28</v>
      </c>
      <c r="D4046" s="9" t="s">
        <v>13184</v>
      </c>
      <c r="E4046" s="11" t="s">
        <v>28</v>
      </c>
      <c r="F4046" s="10" t="s">
        <v>28</v>
      </c>
      <c r="G4046" s="10">
        <v>2.15</v>
      </c>
      <c r="H4046" s="10" t="s">
        <v>28</v>
      </c>
      <c r="I4046" s="11" t="s">
        <v>28</v>
      </c>
      <c r="J4046" s="11" t="s">
        <v>28</v>
      </c>
      <c r="K4046" s="11" t="s">
        <v>28</v>
      </c>
      <c r="L4046" s="11" t="s">
        <v>28</v>
      </c>
      <c r="M4046" s="11" t="s">
        <v>28</v>
      </c>
      <c r="N4046" s="8">
        <v>44509</v>
      </c>
      <c r="O4046" s="9" t="s">
        <v>379</v>
      </c>
      <c r="P4046" s="12" t="s">
        <v>28</v>
      </c>
      <c r="Q4046" s="9" t="s">
        <v>188</v>
      </c>
      <c r="R4046" s="14" t="str">
        <f>HYPERLINK("https://my.pitchbook.com?c=183235-15T","View Company Online")</f>
        <v>View Company Online</v>
      </c>
    </row>
    <row r="4047" spans="1:18" hidden="1" x14ac:dyDescent="0.3">
      <c r="A4047" s="15" t="s">
        <v>13185</v>
      </c>
      <c r="B4047" s="15" t="s">
        <v>6535</v>
      </c>
      <c r="C4047" s="18" t="s">
        <v>28</v>
      </c>
      <c r="D4047" s="15" t="s">
        <v>6536</v>
      </c>
      <c r="E4047" s="18" t="s">
        <v>28</v>
      </c>
      <c r="F4047" s="19" t="s">
        <v>28</v>
      </c>
      <c r="G4047" s="19" t="s">
        <v>28</v>
      </c>
      <c r="H4047" s="19" t="s">
        <v>28</v>
      </c>
      <c r="I4047" s="18" t="s">
        <v>28</v>
      </c>
      <c r="J4047" s="18" t="s">
        <v>28</v>
      </c>
      <c r="K4047" s="18" t="s">
        <v>28</v>
      </c>
      <c r="L4047" s="18" t="s">
        <v>28</v>
      </c>
      <c r="M4047" s="18" t="s">
        <v>28</v>
      </c>
      <c r="N4047" s="17">
        <v>44509</v>
      </c>
      <c r="O4047" s="15" t="s">
        <v>52</v>
      </c>
      <c r="P4047" s="16" t="s">
        <v>13186</v>
      </c>
      <c r="Q4047" s="15" t="s">
        <v>75</v>
      </c>
      <c r="R4047" s="13" t="str">
        <f>HYPERLINK("https://my.pitchbook.com?c=284493-70T","View Company Online")</f>
        <v>View Company Online</v>
      </c>
    </row>
    <row r="4048" spans="1:18" hidden="1" x14ac:dyDescent="0.3">
      <c r="A4048" s="9" t="s">
        <v>13187</v>
      </c>
      <c r="B4048" s="9" t="s">
        <v>13188</v>
      </c>
      <c r="C4048" s="11" t="s">
        <v>28</v>
      </c>
      <c r="D4048" s="9" t="s">
        <v>13189</v>
      </c>
      <c r="E4048" s="11" t="s">
        <v>28</v>
      </c>
      <c r="F4048" s="10" t="s">
        <v>28</v>
      </c>
      <c r="G4048" s="10">
        <v>1.97</v>
      </c>
      <c r="H4048" s="10" t="s">
        <v>28</v>
      </c>
      <c r="I4048" s="11" t="s">
        <v>28</v>
      </c>
      <c r="J4048" s="11" t="s">
        <v>28</v>
      </c>
      <c r="K4048" s="11" t="s">
        <v>28</v>
      </c>
      <c r="L4048" s="11" t="s">
        <v>28</v>
      </c>
      <c r="M4048" s="11" t="s">
        <v>28</v>
      </c>
      <c r="N4048" s="8">
        <v>44509</v>
      </c>
      <c r="O4048" s="9" t="s">
        <v>73</v>
      </c>
      <c r="P4048" s="12" t="s">
        <v>13190</v>
      </c>
      <c r="Q4048" s="9" t="s">
        <v>1263</v>
      </c>
      <c r="R4048" s="14" t="str">
        <f>HYPERLINK("https://my.pitchbook.com?c=183670-57T","View Company Online")</f>
        <v>View Company Online</v>
      </c>
    </row>
    <row r="4049" spans="1:18" hidden="1" x14ac:dyDescent="0.3">
      <c r="A4049" s="15" t="s">
        <v>13191</v>
      </c>
      <c r="B4049" s="15" t="s">
        <v>13192</v>
      </c>
      <c r="C4049" s="18" t="s">
        <v>28</v>
      </c>
      <c r="D4049" s="15" t="s">
        <v>13193</v>
      </c>
      <c r="E4049" s="18" t="s">
        <v>28</v>
      </c>
      <c r="F4049" s="19">
        <v>82.78</v>
      </c>
      <c r="G4049" s="19">
        <v>42.63</v>
      </c>
      <c r="H4049" s="19">
        <v>82.78</v>
      </c>
      <c r="I4049" s="18" t="s">
        <v>28</v>
      </c>
      <c r="J4049" s="18" t="s">
        <v>28</v>
      </c>
      <c r="K4049" s="18" t="s">
        <v>28</v>
      </c>
      <c r="L4049" s="18" t="s">
        <v>28</v>
      </c>
      <c r="M4049" s="18" t="s">
        <v>28</v>
      </c>
      <c r="N4049" s="17">
        <v>44508</v>
      </c>
      <c r="O4049" s="15" t="s">
        <v>41</v>
      </c>
      <c r="P4049" s="16" t="s">
        <v>28</v>
      </c>
      <c r="Q4049" s="15" t="s">
        <v>6878</v>
      </c>
      <c r="R4049" s="13" t="str">
        <f>HYPERLINK("https://my.pitchbook.com?c=183268-27T","View Company Online")</f>
        <v>View Company Online</v>
      </c>
    </row>
    <row r="4050" spans="1:18" hidden="1" x14ac:dyDescent="0.3">
      <c r="A4050" s="9" t="s">
        <v>13194</v>
      </c>
      <c r="B4050" s="9" t="s">
        <v>2858</v>
      </c>
      <c r="C4050" s="11" t="s">
        <v>28</v>
      </c>
      <c r="D4050" s="9" t="s">
        <v>2859</v>
      </c>
      <c r="E4050" s="11" t="s">
        <v>28</v>
      </c>
      <c r="F4050" s="10" t="s">
        <v>28</v>
      </c>
      <c r="G4050" s="10">
        <v>2.2999999999999998</v>
      </c>
      <c r="H4050" s="10" t="s">
        <v>28</v>
      </c>
      <c r="I4050" s="11" t="s">
        <v>28</v>
      </c>
      <c r="J4050" s="11" t="s">
        <v>28</v>
      </c>
      <c r="K4050" s="11" t="s">
        <v>28</v>
      </c>
      <c r="L4050" s="11" t="s">
        <v>28</v>
      </c>
      <c r="M4050" s="11" t="s">
        <v>28</v>
      </c>
      <c r="N4050" s="8">
        <v>44508</v>
      </c>
      <c r="O4050" s="9" t="s">
        <v>73</v>
      </c>
      <c r="P4050" s="12" t="s">
        <v>13195</v>
      </c>
      <c r="Q4050" s="9" t="s">
        <v>696</v>
      </c>
      <c r="R4050" s="14" t="str">
        <f>HYPERLINK("https://my.pitchbook.com?c=191274-49T","View Company Online")</f>
        <v>View Company Online</v>
      </c>
    </row>
    <row r="4051" spans="1:18" hidden="1" x14ac:dyDescent="0.3">
      <c r="A4051" s="15" t="s">
        <v>13196</v>
      </c>
      <c r="B4051" s="15" t="s">
        <v>10407</v>
      </c>
      <c r="C4051" s="18" t="s">
        <v>28</v>
      </c>
      <c r="D4051" s="15" t="s">
        <v>10408</v>
      </c>
      <c r="E4051" s="18" t="s">
        <v>28</v>
      </c>
      <c r="F4051" s="19" t="s">
        <v>28</v>
      </c>
      <c r="G4051" s="19" t="s">
        <v>28</v>
      </c>
      <c r="H4051" s="19" t="s">
        <v>28</v>
      </c>
      <c r="I4051" s="18" t="s">
        <v>28</v>
      </c>
      <c r="J4051" s="18" t="s">
        <v>28</v>
      </c>
      <c r="K4051" s="18" t="s">
        <v>28</v>
      </c>
      <c r="L4051" s="18" t="s">
        <v>28</v>
      </c>
      <c r="M4051" s="18" t="s">
        <v>28</v>
      </c>
      <c r="N4051" s="17">
        <v>44505</v>
      </c>
      <c r="O4051" s="15" t="s">
        <v>52</v>
      </c>
      <c r="P4051" s="16" t="s">
        <v>7169</v>
      </c>
      <c r="Q4051" s="15" t="s">
        <v>1643</v>
      </c>
      <c r="R4051" s="13" t="str">
        <f>HYPERLINK("https://my.pitchbook.com?c=269661-07T","View Company Online")</f>
        <v>View Company Online</v>
      </c>
    </row>
    <row r="4052" spans="1:18" hidden="1" x14ac:dyDescent="0.3">
      <c r="A4052" s="9" t="s">
        <v>13197</v>
      </c>
      <c r="B4052" s="9" t="s">
        <v>11061</v>
      </c>
      <c r="C4052" s="11" t="s">
        <v>28</v>
      </c>
      <c r="D4052" s="9" t="s">
        <v>11062</v>
      </c>
      <c r="E4052" s="11" t="s">
        <v>28</v>
      </c>
      <c r="F4052" s="10" t="s">
        <v>28</v>
      </c>
      <c r="G4052" s="10" t="s">
        <v>28</v>
      </c>
      <c r="H4052" s="10" t="s">
        <v>28</v>
      </c>
      <c r="I4052" s="11" t="s">
        <v>28</v>
      </c>
      <c r="J4052" s="11" t="s">
        <v>28</v>
      </c>
      <c r="K4052" s="11" t="s">
        <v>28</v>
      </c>
      <c r="L4052" s="11" t="s">
        <v>28</v>
      </c>
      <c r="M4052" s="11" t="s">
        <v>28</v>
      </c>
      <c r="N4052" s="8">
        <v>44505</v>
      </c>
      <c r="O4052" s="9" t="s">
        <v>52</v>
      </c>
      <c r="P4052" s="12" t="s">
        <v>7169</v>
      </c>
      <c r="Q4052" s="9" t="s">
        <v>386</v>
      </c>
      <c r="R4052" s="14" t="str">
        <f>HYPERLINK("https://my.pitchbook.com?c=270187-21T","View Company Online")</f>
        <v>View Company Online</v>
      </c>
    </row>
    <row r="4053" spans="1:18" hidden="1" x14ac:dyDescent="0.3">
      <c r="A4053" s="15" t="s">
        <v>13198</v>
      </c>
      <c r="B4053" s="15" t="s">
        <v>1207</v>
      </c>
      <c r="C4053" s="18" t="s">
        <v>28</v>
      </c>
      <c r="D4053" s="15" t="s">
        <v>1208</v>
      </c>
      <c r="E4053" s="18" t="s">
        <v>28</v>
      </c>
      <c r="F4053" s="19" t="s">
        <v>28</v>
      </c>
      <c r="G4053" s="19" t="s">
        <v>28</v>
      </c>
      <c r="H4053" s="19" t="s">
        <v>28</v>
      </c>
      <c r="I4053" s="18" t="s">
        <v>28</v>
      </c>
      <c r="J4053" s="18" t="s">
        <v>28</v>
      </c>
      <c r="K4053" s="18" t="s">
        <v>28</v>
      </c>
      <c r="L4053" s="18" t="s">
        <v>28</v>
      </c>
      <c r="M4053" s="18" t="s">
        <v>28</v>
      </c>
      <c r="N4053" s="17">
        <v>44505</v>
      </c>
      <c r="O4053" s="15" t="s">
        <v>52</v>
      </c>
      <c r="P4053" s="16" t="s">
        <v>7169</v>
      </c>
      <c r="Q4053" s="15" t="s">
        <v>95</v>
      </c>
      <c r="R4053" s="13" t="str">
        <f>HYPERLINK("https://my.pitchbook.com?c=269586-28T","View Company Online")</f>
        <v>View Company Online</v>
      </c>
    </row>
    <row r="4054" spans="1:18" hidden="1" x14ac:dyDescent="0.3">
      <c r="A4054" s="9" t="s">
        <v>13199</v>
      </c>
      <c r="B4054" s="9" t="s">
        <v>13200</v>
      </c>
      <c r="C4054" s="11" t="s">
        <v>28</v>
      </c>
      <c r="D4054" s="9" t="s">
        <v>13201</v>
      </c>
      <c r="E4054" s="11" t="s">
        <v>28</v>
      </c>
      <c r="F4054" s="10" t="s">
        <v>28</v>
      </c>
      <c r="G4054" s="10" t="s">
        <v>28</v>
      </c>
      <c r="H4054" s="10" t="s">
        <v>28</v>
      </c>
      <c r="I4054" s="11" t="s">
        <v>28</v>
      </c>
      <c r="J4054" s="11" t="s">
        <v>28</v>
      </c>
      <c r="K4054" s="11" t="s">
        <v>28</v>
      </c>
      <c r="L4054" s="11" t="s">
        <v>28</v>
      </c>
      <c r="M4054" s="11" t="s">
        <v>28</v>
      </c>
      <c r="N4054" s="8">
        <v>44505</v>
      </c>
      <c r="O4054" s="9" t="s">
        <v>30</v>
      </c>
      <c r="P4054" s="12" t="s">
        <v>10732</v>
      </c>
      <c r="Q4054" s="9" t="s">
        <v>43</v>
      </c>
      <c r="R4054" s="14" t="str">
        <f>HYPERLINK("https://my.pitchbook.com?c=209090-35T","View Company Online")</f>
        <v>View Company Online</v>
      </c>
    </row>
    <row r="4055" spans="1:18" hidden="1" x14ac:dyDescent="0.3">
      <c r="A4055" s="15" t="s">
        <v>13202</v>
      </c>
      <c r="B4055" s="15" t="s">
        <v>13203</v>
      </c>
      <c r="C4055" s="18" t="s">
        <v>28</v>
      </c>
      <c r="D4055" s="15" t="s">
        <v>13204</v>
      </c>
      <c r="E4055" s="18" t="s">
        <v>28</v>
      </c>
      <c r="F4055" s="19" t="s">
        <v>28</v>
      </c>
      <c r="G4055" s="19" t="s">
        <v>28</v>
      </c>
      <c r="H4055" s="19" t="s">
        <v>28</v>
      </c>
      <c r="I4055" s="18" t="s">
        <v>28</v>
      </c>
      <c r="J4055" s="18" t="s">
        <v>28</v>
      </c>
      <c r="K4055" s="18" t="s">
        <v>28</v>
      </c>
      <c r="L4055" s="18" t="s">
        <v>28</v>
      </c>
      <c r="M4055" s="18" t="s">
        <v>28</v>
      </c>
      <c r="N4055" s="17">
        <v>44505</v>
      </c>
      <c r="O4055" s="15" t="s">
        <v>30</v>
      </c>
      <c r="P4055" s="16" t="s">
        <v>884</v>
      </c>
      <c r="Q4055" s="15" t="s">
        <v>290</v>
      </c>
      <c r="R4055" s="13" t="str">
        <f>HYPERLINK("https://my.pitchbook.com?c=211752-91T","View Company Online")</f>
        <v>View Company Online</v>
      </c>
    </row>
    <row r="4056" spans="1:18" hidden="1" x14ac:dyDescent="0.3">
      <c r="A4056" s="9" t="s">
        <v>13205</v>
      </c>
      <c r="B4056" s="9" t="s">
        <v>2654</v>
      </c>
      <c r="C4056" s="11" t="s">
        <v>28</v>
      </c>
      <c r="D4056" s="9" t="s">
        <v>2655</v>
      </c>
      <c r="E4056" s="11" t="s">
        <v>28</v>
      </c>
      <c r="F4056" s="10" t="s">
        <v>28</v>
      </c>
      <c r="G4056" s="10">
        <v>48.43</v>
      </c>
      <c r="H4056" s="10" t="s">
        <v>28</v>
      </c>
      <c r="I4056" s="11" t="s">
        <v>28</v>
      </c>
      <c r="J4056" s="11" t="s">
        <v>28</v>
      </c>
      <c r="K4056" s="11" t="s">
        <v>28</v>
      </c>
      <c r="L4056" s="11" t="s">
        <v>28</v>
      </c>
      <c r="M4056" s="11" t="s">
        <v>28</v>
      </c>
      <c r="N4056" s="8">
        <v>44505</v>
      </c>
      <c r="O4056" s="9" t="s">
        <v>73</v>
      </c>
      <c r="P4056" s="12" t="s">
        <v>13206</v>
      </c>
      <c r="Q4056" s="9" t="s">
        <v>37</v>
      </c>
      <c r="R4056" s="14" t="str">
        <f>HYPERLINK("https://my.pitchbook.com?c=185657-23T","View Company Online")</f>
        <v>View Company Online</v>
      </c>
    </row>
    <row r="4057" spans="1:18" hidden="1" x14ac:dyDescent="0.3">
      <c r="A4057" s="15" t="s">
        <v>13207</v>
      </c>
      <c r="B4057" s="15" t="s">
        <v>8524</v>
      </c>
      <c r="C4057" s="18" t="s">
        <v>28</v>
      </c>
      <c r="D4057" s="15" t="s">
        <v>8525</v>
      </c>
      <c r="E4057" s="18" t="s">
        <v>28</v>
      </c>
      <c r="F4057" s="19" t="s">
        <v>28</v>
      </c>
      <c r="G4057" s="19">
        <v>0.99</v>
      </c>
      <c r="H4057" s="19" t="s">
        <v>28</v>
      </c>
      <c r="I4057" s="18" t="s">
        <v>28</v>
      </c>
      <c r="J4057" s="18" t="s">
        <v>28</v>
      </c>
      <c r="K4057" s="18" t="s">
        <v>28</v>
      </c>
      <c r="L4057" s="18" t="s">
        <v>28</v>
      </c>
      <c r="M4057" s="18" t="s">
        <v>28</v>
      </c>
      <c r="N4057" s="17">
        <v>44505</v>
      </c>
      <c r="O4057" s="15" t="s">
        <v>379</v>
      </c>
      <c r="P4057" s="16" t="s">
        <v>13208</v>
      </c>
      <c r="Q4057" s="15" t="s">
        <v>109</v>
      </c>
      <c r="R4057" s="13" t="str">
        <f>HYPERLINK("https://my.pitchbook.com?c=209677-42T","View Company Online")</f>
        <v>View Company Online</v>
      </c>
    </row>
    <row r="4058" spans="1:18" hidden="1" x14ac:dyDescent="0.3">
      <c r="A4058" s="9" t="s">
        <v>13209</v>
      </c>
      <c r="B4058" s="9" t="s">
        <v>13210</v>
      </c>
      <c r="C4058" s="11" t="s">
        <v>28</v>
      </c>
      <c r="D4058" s="9" t="s">
        <v>13211</v>
      </c>
      <c r="E4058" s="11" t="s">
        <v>28</v>
      </c>
      <c r="F4058" s="10" t="s">
        <v>28</v>
      </c>
      <c r="G4058" s="10" t="s">
        <v>28</v>
      </c>
      <c r="H4058" s="10" t="s">
        <v>28</v>
      </c>
      <c r="I4058" s="11" t="s">
        <v>28</v>
      </c>
      <c r="J4058" s="11" t="s">
        <v>28</v>
      </c>
      <c r="K4058" s="11" t="s">
        <v>28</v>
      </c>
      <c r="L4058" s="11" t="s">
        <v>28</v>
      </c>
      <c r="M4058" s="11" t="s">
        <v>28</v>
      </c>
      <c r="N4058" s="8">
        <v>44505</v>
      </c>
      <c r="O4058" s="9" t="s">
        <v>52</v>
      </c>
      <c r="P4058" s="12" t="s">
        <v>7169</v>
      </c>
      <c r="Q4058" s="9" t="s">
        <v>583</v>
      </c>
      <c r="R4058" s="14" t="str">
        <f>HYPERLINK("https://my.pitchbook.com?c=270188-92T","View Company Online")</f>
        <v>View Company Online</v>
      </c>
    </row>
    <row r="4059" spans="1:18" hidden="1" x14ac:dyDescent="0.3">
      <c r="A4059" s="15" t="s">
        <v>13212</v>
      </c>
      <c r="B4059" s="15" t="s">
        <v>13213</v>
      </c>
      <c r="C4059" s="18" t="s">
        <v>28</v>
      </c>
      <c r="D4059" s="15" t="s">
        <v>13214</v>
      </c>
      <c r="E4059" s="18" t="s">
        <v>28</v>
      </c>
      <c r="F4059" s="19">
        <v>2.15</v>
      </c>
      <c r="G4059" s="19">
        <v>2.15</v>
      </c>
      <c r="H4059" s="19">
        <v>2.15</v>
      </c>
      <c r="I4059" s="18" t="s">
        <v>28</v>
      </c>
      <c r="J4059" s="18" t="s">
        <v>28</v>
      </c>
      <c r="K4059" s="18" t="s">
        <v>28</v>
      </c>
      <c r="L4059" s="18" t="s">
        <v>28</v>
      </c>
      <c r="M4059" s="18" t="s">
        <v>28</v>
      </c>
      <c r="N4059" s="17">
        <v>44505</v>
      </c>
      <c r="O4059" s="15" t="s">
        <v>30</v>
      </c>
      <c r="P4059" s="16" t="s">
        <v>7362</v>
      </c>
      <c r="Q4059" s="15" t="s">
        <v>583</v>
      </c>
      <c r="R4059" s="13" t="str">
        <f>HYPERLINK("https://my.pitchbook.com?c=220532-86T","View Company Online")</f>
        <v>View Company Online</v>
      </c>
    </row>
    <row r="4060" spans="1:18" hidden="1" x14ac:dyDescent="0.3">
      <c r="A4060" s="9" t="s">
        <v>13215</v>
      </c>
      <c r="B4060" s="9" t="s">
        <v>13216</v>
      </c>
      <c r="C4060" s="11" t="s">
        <v>28</v>
      </c>
      <c r="D4060" s="9" t="s">
        <v>13217</v>
      </c>
      <c r="E4060" s="11" t="s">
        <v>28</v>
      </c>
      <c r="F4060" s="10" t="s">
        <v>28</v>
      </c>
      <c r="G4060" s="10" t="s">
        <v>28</v>
      </c>
      <c r="H4060" s="10" t="s">
        <v>28</v>
      </c>
      <c r="I4060" s="11" t="s">
        <v>28</v>
      </c>
      <c r="J4060" s="11" t="s">
        <v>28</v>
      </c>
      <c r="K4060" s="11" t="s">
        <v>28</v>
      </c>
      <c r="L4060" s="11" t="s">
        <v>28</v>
      </c>
      <c r="M4060" s="11" t="s">
        <v>28</v>
      </c>
      <c r="N4060" s="8">
        <v>44504</v>
      </c>
      <c r="O4060" s="9" t="s">
        <v>52</v>
      </c>
      <c r="P4060" s="12" t="s">
        <v>4500</v>
      </c>
      <c r="Q4060" s="9" t="s">
        <v>607</v>
      </c>
      <c r="R4060" s="14" t="str">
        <f>HYPERLINK("https://my.pitchbook.com?c=276320-44T","View Company Online")</f>
        <v>View Company Online</v>
      </c>
    </row>
    <row r="4061" spans="1:18" hidden="1" x14ac:dyDescent="0.3">
      <c r="A4061" s="15" t="s">
        <v>13218</v>
      </c>
      <c r="B4061" s="15" t="s">
        <v>13219</v>
      </c>
      <c r="C4061" s="18" t="s">
        <v>28</v>
      </c>
      <c r="D4061" s="15" t="s">
        <v>13220</v>
      </c>
      <c r="E4061" s="18" t="s">
        <v>28</v>
      </c>
      <c r="F4061" s="19" t="s">
        <v>28</v>
      </c>
      <c r="G4061" s="19" t="s">
        <v>28</v>
      </c>
      <c r="H4061" s="19" t="s">
        <v>28</v>
      </c>
      <c r="I4061" s="18" t="s">
        <v>28</v>
      </c>
      <c r="J4061" s="18" t="s">
        <v>28</v>
      </c>
      <c r="K4061" s="18" t="s">
        <v>28</v>
      </c>
      <c r="L4061" s="18" t="s">
        <v>28</v>
      </c>
      <c r="M4061" s="18" t="s">
        <v>28</v>
      </c>
      <c r="N4061" s="17">
        <v>44504</v>
      </c>
      <c r="O4061" s="15" t="s">
        <v>52</v>
      </c>
      <c r="P4061" s="16" t="s">
        <v>4500</v>
      </c>
      <c r="Q4061" s="15" t="s">
        <v>54</v>
      </c>
      <c r="R4061" s="13" t="str">
        <f>HYPERLINK("https://my.pitchbook.com?c=276645-97T","View Company Online")</f>
        <v>View Company Online</v>
      </c>
    </row>
    <row r="4062" spans="1:18" hidden="1" x14ac:dyDescent="0.3">
      <c r="A4062" s="9" t="s">
        <v>13221</v>
      </c>
      <c r="B4062" s="9" t="s">
        <v>13222</v>
      </c>
      <c r="C4062" s="11" t="s">
        <v>28</v>
      </c>
      <c r="D4062" s="9" t="s">
        <v>13223</v>
      </c>
      <c r="E4062" s="11" t="s">
        <v>28</v>
      </c>
      <c r="F4062" s="10" t="s">
        <v>28</v>
      </c>
      <c r="G4062" s="10" t="s">
        <v>28</v>
      </c>
      <c r="H4062" s="10" t="s">
        <v>28</v>
      </c>
      <c r="I4062" s="11" t="s">
        <v>28</v>
      </c>
      <c r="J4062" s="11" t="s">
        <v>28</v>
      </c>
      <c r="K4062" s="11" t="s">
        <v>28</v>
      </c>
      <c r="L4062" s="11" t="s">
        <v>28</v>
      </c>
      <c r="M4062" s="11" t="s">
        <v>28</v>
      </c>
      <c r="N4062" s="8">
        <v>44503</v>
      </c>
      <c r="O4062" s="9" t="s">
        <v>30</v>
      </c>
      <c r="P4062" s="12" t="s">
        <v>13224</v>
      </c>
      <c r="Q4062" s="9" t="s">
        <v>1035</v>
      </c>
      <c r="R4062" s="14" t="str">
        <f>HYPERLINK("https://my.pitchbook.com?c=183005-29T","View Company Online")</f>
        <v>View Company Online</v>
      </c>
    </row>
    <row r="4063" spans="1:18" hidden="1" x14ac:dyDescent="0.3">
      <c r="A4063" s="15" t="s">
        <v>13225</v>
      </c>
      <c r="B4063" s="15" t="s">
        <v>13226</v>
      </c>
      <c r="C4063" s="18" t="s">
        <v>28</v>
      </c>
      <c r="D4063" s="15" t="s">
        <v>13227</v>
      </c>
      <c r="E4063" s="18" t="s">
        <v>28</v>
      </c>
      <c r="F4063" s="19">
        <v>3.64</v>
      </c>
      <c r="G4063" s="19">
        <v>3.64</v>
      </c>
      <c r="H4063" s="19">
        <v>3.64</v>
      </c>
      <c r="I4063" s="18" t="s">
        <v>28</v>
      </c>
      <c r="J4063" s="18" t="s">
        <v>28</v>
      </c>
      <c r="K4063" s="18" t="s">
        <v>28</v>
      </c>
      <c r="L4063" s="18" t="s">
        <v>28</v>
      </c>
      <c r="M4063" s="18" t="s">
        <v>28</v>
      </c>
      <c r="N4063" s="17">
        <v>44503</v>
      </c>
      <c r="O4063" s="15" t="s">
        <v>30</v>
      </c>
      <c r="P4063" s="16" t="s">
        <v>13228</v>
      </c>
      <c r="Q4063" s="15" t="s">
        <v>285</v>
      </c>
      <c r="R4063" s="13" t="str">
        <f>HYPERLINK("https://my.pitchbook.com?c=183006-82T","View Company Online")</f>
        <v>View Company Online</v>
      </c>
    </row>
    <row r="4064" spans="1:18" hidden="1" x14ac:dyDescent="0.3">
      <c r="A4064" s="9" t="s">
        <v>13229</v>
      </c>
      <c r="B4064" s="9" t="s">
        <v>13230</v>
      </c>
      <c r="C4064" s="11" t="s">
        <v>28</v>
      </c>
      <c r="D4064" s="9" t="s">
        <v>13231</v>
      </c>
      <c r="E4064" s="11" t="s">
        <v>28</v>
      </c>
      <c r="F4064" s="10" t="s">
        <v>28</v>
      </c>
      <c r="G4064" s="10">
        <v>9.77</v>
      </c>
      <c r="H4064" s="10">
        <v>9.77</v>
      </c>
      <c r="I4064" s="11" t="s">
        <v>28</v>
      </c>
      <c r="J4064" s="11" t="s">
        <v>28</v>
      </c>
      <c r="K4064" s="11" t="s">
        <v>28</v>
      </c>
      <c r="L4064" s="11" t="s">
        <v>28</v>
      </c>
      <c r="M4064" s="11" t="s">
        <v>28</v>
      </c>
      <c r="N4064" s="8">
        <v>44503</v>
      </c>
      <c r="O4064" s="9" t="s">
        <v>30</v>
      </c>
      <c r="P4064" s="12" t="s">
        <v>4004</v>
      </c>
      <c r="Q4064" s="9" t="s">
        <v>188</v>
      </c>
      <c r="R4064" s="14" t="str">
        <f>HYPERLINK("https://my.pitchbook.com?c=185396-23T","View Company Online")</f>
        <v>View Company Online</v>
      </c>
    </row>
    <row r="4065" spans="1:18" hidden="1" x14ac:dyDescent="0.3">
      <c r="A4065" s="15" t="s">
        <v>13232</v>
      </c>
      <c r="B4065" s="15" t="s">
        <v>13233</v>
      </c>
      <c r="C4065" s="18" t="s">
        <v>28</v>
      </c>
      <c r="D4065" s="15" t="s">
        <v>13234</v>
      </c>
      <c r="E4065" s="18" t="s">
        <v>28</v>
      </c>
      <c r="F4065" s="19" t="s">
        <v>28</v>
      </c>
      <c r="G4065" s="19">
        <v>2.16</v>
      </c>
      <c r="H4065" s="19" t="s">
        <v>28</v>
      </c>
      <c r="I4065" s="18" t="s">
        <v>28</v>
      </c>
      <c r="J4065" s="18" t="s">
        <v>28</v>
      </c>
      <c r="K4065" s="18" t="s">
        <v>28</v>
      </c>
      <c r="L4065" s="18" t="s">
        <v>28</v>
      </c>
      <c r="M4065" s="18" t="s">
        <v>28</v>
      </c>
      <c r="N4065" s="17">
        <v>44503</v>
      </c>
      <c r="O4065" s="15" t="s">
        <v>73</v>
      </c>
      <c r="P4065" s="16" t="s">
        <v>13235</v>
      </c>
      <c r="Q4065" s="15" t="s">
        <v>75</v>
      </c>
      <c r="R4065" s="13" t="str">
        <f>HYPERLINK("https://my.pitchbook.com?c=183157-66T","View Company Online")</f>
        <v>View Company Online</v>
      </c>
    </row>
    <row r="4066" spans="1:18" hidden="1" x14ac:dyDescent="0.3">
      <c r="A4066" s="9" t="s">
        <v>13236</v>
      </c>
      <c r="B4066" s="9" t="s">
        <v>480</v>
      </c>
      <c r="C4066" s="11" t="s">
        <v>28</v>
      </c>
      <c r="D4066" s="9" t="s">
        <v>481</v>
      </c>
      <c r="E4066" s="11" t="s">
        <v>28</v>
      </c>
      <c r="F4066" s="10" t="s">
        <v>28</v>
      </c>
      <c r="G4066" s="10" t="s">
        <v>28</v>
      </c>
      <c r="H4066" s="10" t="s">
        <v>28</v>
      </c>
      <c r="I4066" s="11" t="s">
        <v>28</v>
      </c>
      <c r="J4066" s="11" t="s">
        <v>28</v>
      </c>
      <c r="K4066" s="11" t="s">
        <v>28</v>
      </c>
      <c r="L4066" s="11" t="s">
        <v>28</v>
      </c>
      <c r="M4066" s="11" t="s">
        <v>28</v>
      </c>
      <c r="N4066" s="8">
        <v>44501</v>
      </c>
      <c r="O4066" s="9" t="s">
        <v>99</v>
      </c>
      <c r="P4066" s="12" t="s">
        <v>13237</v>
      </c>
      <c r="Q4066" s="9" t="s">
        <v>409</v>
      </c>
      <c r="R4066" s="14" t="str">
        <f>HYPERLINK("https://my.pitchbook.com?c=200543-95T","View Company Online")</f>
        <v>View Company Online</v>
      </c>
    </row>
    <row r="4067" spans="1:18" hidden="1" x14ac:dyDescent="0.3">
      <c r="A4067" s="15" t="s">
        <v>13238</v>
      </c>
      <c r="B4067" s="15" t="s">
        <v>13239</v>
      </c>
      <c r="C4067" s="18" t="s">
        <v>28</v>
      </c>
      <c r="D4067" s="15" t="s">
        <v>13240</v>
      </c>
      <c r="E4067" s="18" t="s">
        <v>28</v>
      </c>
      <c r="F4067" s="19" t="s">
        <v>28</v>
      </c>
      <c r="G4067" s="19" t="s">
        <v>28</v>
      </c>
      <c r="H4067" s="19" t="s">
        <v>28</v>
      </c>
      <c r="I4067" s="18" t="s">
        <v>28</v>
      </c>
      <c r="J4067" s="18" t="s">
        <v>28</v>
      </c>
      <c r="K4067" s="18">
        <v>0.02</v>
      </c>
      <c r="L4067" s="18" t="s">
        <v>28</v>
      </c>
      <c r="M4067" s="18" t="s">
        <v>28</v>
      </c>
      <c r="N4067" s="17">
        <v>44501</v>
      </c>
      <c r="O4067" s="15" t="s">
        <v>30</v>
      </c>
      <c r="P4067" s="16" t="s">
        <v>28</v>
      </c>
      <c r="Q4067" s="15" t="s">
        <v>169</v>
      </c>
      <c r="R4067" s="13" t="str">
        <f>HYPERLINK("https://my.pitchbook.com?c=274004-47T","View Company Online")</f>
        <v>View Company Online</v>
      </c>
    </row>
    <row r="4068" spans="1:18" hidden="1" x14ac:dyDescent="0.3">
      <c r="A4068" s="9" t="s">
        <v>13241</v>
      </c>
      <c r="B4068" s="9" t="s">
        <v>13242</v>
      </c>
      <c r="C4068" s="11" t="s">
        <v>28</v>
      </c>
      <c r="D4068" s="9" t="s">
        <v>13243</v>
      </c>
      <c r="E4068" s="11" t="s">
        <v>28</v>
      </c>
      <c r="F4068" s="10" t="s">
        <v>28</v>
      </c>
      <c r="G4068" s="10" t="s">
        <v>28</v>
      </c>
      <c r="H4068" s="10" t="s">
        <v>28</v>
      </c>
      <c r="I4068" s="11" t="s">
        <v>28</v>
      </c>
      <c r="J4068" s="11" t="s">
        <v>28</v>
      </c>
      <c r="K4068" s="11" t="s">
        <v>28</v>
      </c>
      <c r="L4068" s="11" t="s">
        <v>28</v>
      </c>
      <c r="M4068" s="11" t="s">
        <v>28</v>
      </c>
      <c r="N4068" s="8">
        <v>44501</v>
      </c>
      <c r="O4068" s="9" t="s">
        <v>73</v>
      </c>
      <c r="P4068" s="12" t="s">
        <v>13244</v>
      </c>
      <c r="Q4068" s="9" t="s">
        <v>75</v>
      </c>
      <c r="R4068" s="14" t="str">
        <f>HYPERLINK("https://my.pitchbook.com?c=182916-91T","View Company Online")</f>
        <v>View Company Online</v>
      </c>
    </row>
    <row r="4069" spans="1:18" hidden="1" x14ac:dyDescent="0.3">
      <c r="A4069" s="15" t="s">
        <v>13245</v>
      </c>
      <c r="B4069" s="15" t="s">
        <v>8327</v>
      </c>
      <c r="C4069" s="18" t="s">
        <v>28</v>
      </c>
      <c r="D4069" s="15" t="s">
        <v>8328</v>
      </c>
      <c r="E4069" s="18" t="s">
        <v>28</v>
      </c>
      <c r="F4069" s="19" t="s">
        <v>28</v>
      </c>
      <c r="G4069" s="19">
        <v>5.35</v>
      </c>
      <c r="H4069" s="19" t="s">
        <v>28</v>
      </c>
      <c r="I4069" s="18" t="s">
        <v>28</v>
      </c>
      <c r="J4069" s="18" t="s">
        <v>28</v>
      </c>
      <c r="K4069" s="18" t="s">
        <v>28</v>
      </c>
      <c r="L4069" s="18" t="s">
        <v>28</v>
      </c>
      <c r="M4069" s="18" t="s">
        <v>28</v>
      </c>
      <c r="N4069" s="17">
        <v>44501</v>
      </c>
      <c r="O4069" s="15" t="s">
        <v>99</v>
      </c>
      <c r="P4069" s="16" t="s">
        <v>13246</v>
      </c>
      <c r="Q4069" s="15" t="s">
        <v>37</v>
      </c>
      <c r="R4069" s="13" t="str">
        <f>HYPERLINK("https://my.pitchbook.com?c=210938-86T","View Company Online")</f>
        <v>View Company Online</v>
      </c>
    </row>
    <row r="4070" spans="1:18" hidden="1" x14ac:dyDescent="0.3">
      <c r="A4070" s="9" t="s">
        <v>13247</v>
      </c>
      <c r="B4070" s="9" t="s">
        <v>7004</v>
      </c>
      <c r="C4070" s="11" t="s">
        <v>28</v>
      </c>
      <c r="D4070" s="9" t="s">
        <v>7005</v>
      </c>
      <c r="E4070" s="11" t="s">
        <v>28</v>
      </c>
      <c r="F4070" s="10" t="s">
        <v>28</v>
      </c>
      <c r="G4070" s="10" t="s">
        <v>28</v>
      </c>
      <c r="H4070" s="10" t="s">
        <v>28</v>
      </c>
      <c r="I4070" s="11" t="s">
        <v>28</v>
      </c>
      <c r="J4070" s="11" t="s">
        <v>28</v>
      </c>
      <c r="K4070" s="11" t="s">
        <v>28</v>
      </c>
      <c r="L4070" s="11" t="s">
        <v>28</v>
      </c>
      <c r="M4070" s="11" t="s">
        <v>28</v>
      </c>
      <c r="N4070" s="8">
        <v>44501</v>
      </c>
      <c r="O4070" s="9" t="s">
        <v>99</v>
      </c>
      <c r="P4070" s="12" t="s">
        <v>13248</v>
      </c>
      <c r="Q4070" s="9" t="s">
        <v>386</v>
      </c>
      <c r="R4070" s="14" t="str">
        <f>HYPERLINK("https://my.pitchbook.com?c=202781-53T","View Company Online")</f>
        <v>View Company Online</v>
      </c>
    </row>
    <row r="4071" spans="1:18" hidden="1" x14ac:dyDescent="0.3">
      <c r="A4071" s="15" t="s">
        <v>13249</v>
      </c>
      <c r="B4071" s="15" t="s">
        <v>13250</v>
      </c>
      <c r="C4071" s="18" t="s">
        <v>28</v>
      </c>
      <c r="D4071" s="15" t="s">
        <v>13251</v>
      </c>
      <c r="E4071" s="18" t="s">
        <v>28</v>
      </c>
      <c r="F4071" s="19" t="s">
        <v>28</v>
      </c>
      <c r="G4071" s="19" t="s">
        <v>28</v>
      </c>
      <c r="H4071" s="19" t="s">
        <v>28</v>
      </c>
      <c r="I4071" s="18" t="s">
        <v>28</v>
      </c>
      <c r="J4071" s="18" t="s">
        <v>28</v>
      </c>
      <c r="K4071" s="18" t="s">
        <v>28</v>
      </c>
      <c r="L4071" s="18" t="s">
        <v>28</v>
      </c>
      <c r="M4071" s="18" t="s">
        <v>28</v>
      </c>
      <c r="N4071" s="17">
        <v>44501</v>
      </c>
      <c r="O4071" s="15" t="s">
        <v>1639</v>
      </c>
      <c r="P4071" s="16" t="s">
        <v>28</v>
      </c>
      <c r="Q4071" s="15" t="s">
        <v>583</v>
      </c>
      <c r="R4071" s="13" t="str">
        <f>HYPERLINK("https://my.pitchbook.com?c=190889-20T","View Company Online")</f>
        <v>View Company Online</v>
      </c>
    </row>
    <row r="4072" spans="1:18" hidden="1" x14ac:dyDescent="0.3">
      <c r="A4072" s="9" t="s">
        <v>13252</v>
      </c>
      <c r="B4072" s="9" t="s">
        <v>13253</v>
      </c>
      <c r="C4072" s="11" t="s">
        <v>28</v>
      </c>
      <c r="D4072" s="9" t="s">
        <v>13254</v>
      </c>
      <c r="E4072" s="11" t="s">
        <v>28</v>
      </c>
      <c r="F4072" s="10" t="s">
        <v>28</v>
      </c>
      <c r="G4072" s="10" t="s">
        <v>28</v>
      </c>
      <c r="H4072" s="10" t="s">
        <v>28</v>
      </c>
      <c r="I4072" s="11" t="s">
        <v>28</v>
      </c>
      <c r="J4072" s="11" t="s">
        <v>28</v>
      </c>
      <c r="K4072" s="11" t="s">
        <v>28</v>
      </c>
      <c r="L4072" s="11" t="s">
        <v>28</v>
      </c>
      <c r="M4072" s="11" t="s">
        <v>28</v>
      </c>
      <c r="N4072" s="8">
        <v>44501</v>
      </c>
      <c r="O4072" s="9" t="s">
        <v>30</v>
      </c>
      <c r="P4072" s="12" t="s">
        <v>28</v>
      </c>
      <c r="Q4072" s="9" t="s">
        <v>136</v>
      </c>
      <c r="R4072" s="14" t="str">
        <f>HYPERLINK("https://my.pitchbook.com?c=195457-96T","View Company Online")</f>
        <v>View Company Online</v>
      </c>
    </row>
    <row r="4073" spans="1:18" hidden="1" x14ac:dyDescent="0.3">
      <c r="A4073" s="15" t="s">
        <v>13255</v>
      </c>
      <c r="B4073" s="15" t="s">
        <v>13256</v>
      </c>
      <c r="C4073" s="18" t="s">
        <v>28</v>
      </c>
      <c r="D4073" s="15" t="s">
        <v>13257</v>
      </c>
      <c r="E4073" s="18">
        <v>249.65</v>
      </c>
      <c r="F4073" s="19" t="s">
        <v>28</v>
      </c>
      <c r="G4073" s="19" t="s">
        <v>28</v>
      </c>
      <c r="H4073" s="19" t="s">
        <v>28</v>
      </c>
      <c r="I4073" s="18">
        <v>312.42</v>
      </c>
      <c r="J4073" s="18" t="s">
        <v>28</v>
      </c>
      <c r="K4073" s="18">
        <v>1381.61</v>
      </c>
      <c r="L4073" s="18" t="s">
        <v>28</v>
      </c>
      <c r="M4073" s="18">
        <v>175.63</v>
      </c>
      <c r="N4073" s="17">
        <v>44501</v>
      </c>
      <c r="O4073" s="15" t="s">
        <v>30</v>
      </c>
      <c r="P4073" s="16" t="s">
        <v>11237</v>
      </c>
      <c r="Q4073" s="15" t="s">
        <v>348</v>
      </c>
      <c r="R4073" s="13" t="str">
        <f>HYPERLINK("https://my.pitchbook.com?c=212133-79T","View Company Online")</f>
        <v>View Company Online</v>
      </c>
    </row>
    <row r="4074" spans="1:18" hidden="1" x14ac:dyDescent="0.3">
      <c r="A4074" s="9" t="s">
        <v>13258</v>
      </c>
      <c r="B4074" s="9" t="s">
        <v>6979</v>
      </c>
      <c r="C4074" s="11" t="s">
        <v>28</v>
      </c>
      <c r="D4074" s="9" t="s">
        <v>6980</v>
      </c>
      <c r="E4074" s="11" t="s">
        <v>28</v>
      </c>
      <c r="F4074" s="10" t="s">
        <v>28</v>
      </c>
      <c r="G4074" s="10">
        <v>0.45</v>
      </c>
      <c r="H4074" s="10" t="s">
        <v>28</v>
      </c>
      <c r="I4074" s="11" t="s">
        <v>28</v>
      </c>
      <c r="J4074" s="11" t="s">
        <v>28</v>
      </c>
      <c r="K4074" s="11" t="s">
        <v>28</v>
      </c>
      <c r="L4074" s="11" t="s">
        <v>28</v>
      </c>
      <c r="M4074" s="11" t="s">
        <v>28</v>
      </c>
      <c r="N4074" s="8">
        <v>44501</v>
      </c>
      <c r="O4074" s="9" t="s">
        <v>1639</v>
      </c>
      <c r="P4074" s="12" t="s">
        <v>2915</v>
      </c>
      <c r="Q4074" s="9" t="s">
        <v>37</v>
      </c>
      <c r="R4074" s="14" t="str">
        <f>HYPERLINK("https://my.pitchbook.com?c=186163-75T","View Company Online")</f>
        <v>View Company Online</v>
      </c>
    </row>
    <row r="4075" spans="1:18" hidden="1" x14ac:dyDescent="0.3">
      <c r="A4075" s="15" t="s">
        <v>13259</v>
      </c>
      <c r="B4075" s="15" t="s">
        <v>4578</v>
      </c>
      <c r="C4075" s="18" t="s">
        <v>28</v>
      </c>
      <c r="D4075" s="15" t="s">
        <v>4579</v>
      </c>
      <c r="E4075" s="18" t="s">
        <v>28</v>
      </c>
      <c r="F4075" s="19">
        <v>378.42</v>
      </c>
      <c r="G4075" s="19">
        <v>378.42</v>
      </c>
      <c r="H4075" s="19">
        <v>378.42</v>
      </c>
      <c r="I4075" s="18" t="s">
        <v>28</v>
      </c>
      <c r="J4075" s="18" t="s">
        <v>28</v>
      </c>
      <c r="K4075" s="18">
        <v>371.13</v>
      </c>
      <c r="L4075" s="18">
        <v>1.02</v>
      </c>
      <c r="M4075" s="18" t="s">
        <v>28</v>
      </c>
      <c r="N4075" s="17">
        <v>44501</v>
      </c>
      <c r="O4075" s="15" t="s">
        <v>30</v>
      </c>
      <c r="P4075" s="16" t="s">
        <v>13260</v>
      </c>
      <c r="Q4075" s="15" t="s">
        <v>409</v>
      </c>
      <c r="R4075" s="13" t="str">
        <f>HYPERLINK("https://my.pitchbook.com?c=178220-98T","View Company Online")</f>
        <v>View Company Online</v>
      </c>
    </row>
    <row r="4076" spans="1:18" hidden="1" x14ac:dyDescent="0.3">
      <c r="A4076" s="9" t="s">
        <v>13261</v>
      </c>
      <c r="B4076" s="9" t="s">
        <v>13262</v>
      </c>
      <c r="C4076" s="11" t="s">
        <v>28</v>
      </c>
      <c r="D4076" s="9" t="s">
        <v>13263</v>
      </c>
      <c r="E4076" s="11" t="s">
        <v>28</v>
      </c>
      <c r="F4076" s="10" t="s">
        <v>28</v>
      </c>
      <c r="G4076" s="10" t="s">
        <v>28</v>
      </c>
      <c r="H4076" s="10" t="s">
        <v>28</v>
      </c>
      <c r="I4076" s="11" t="s">
        <v>28</v>
      </c>
      <c r="J4076" s="11" t="s">
        <v>28</v>
      </c>
      <c r="K4076" s="11" t="s">
        <v>28</v>
      </c>
      <c r="L4076" s="11" t="s">
        <v>28</v>
      </c>
      <c r="M4076" s="11" t="s">
        <v>28</v>
      </c>
      <c r="N4076" s="8">
        <v>44501</v>
      </c>
      <c r="O4076" s="9" t="s">
        <v>99</v>
      </c>
      <c r="P4076" s="12" t="s">
        <v>13264</v>
      </c>
      <c r="Q4076" s="9" t="s">
        <v>37</v>
      </c>
      <c r="R4076" s="14" t="str">
        <f>HYPERLINK("https://my.pitchbook.com?c=233419-33T","View Company Online")</f>
        <v>View Company Online</v>
      </c>
    </row>
    <row r="4077" spans="1:18" hidden="1" x14ac:dyDescent="0.3">
      <c r="A4077" s="15" t="s">
        <v>13265</v>
      </c>
      <c r="B4077" s="15" t="s">
        <v>13266</v>
      </c>
      <c r="C4077" s="18" t="s">
        <v>28</v>
      </c>
      <c r="D4077" s="15" t="s">
        <v>13267</v>
      </c>
      <c r="E4077" s="18" t="s">
        <v>28</v>
      </c>
      <c r="F4077" s="19" t="s">
        <v>28</v>
      </c>
      <c r="G4077" s="19" t="s">
        <v>28</v>
      </c>
      <c r="H4077" s="19" t="s">
        <v>28</v>
      </c>
      <c r="I4077" s="18" t="s">
        <v>28</v>
      </c>
      <c r="J4077" s="18" t="s">
        <v>28</v>
      </c>
      <c r="K4077" s="18" t="s">
        <v>28</v>
      </c>
      <c r="L4077" s="18" t="s">
        <v>28</v>
      </c>
      <c r="M4077" s="18" t="s">
        <v>28</v>
      </c>
      <c r="N4077" s="17">
        <v>44501</v>
      </c>
      <c r="O4077" s="15" t="s">
        <v>93</v>
      </c>
      <c r="P4077" s="16" t="s">
        <v>13268</v>
      </c>
      <c r="Q4077" s="15" t="s">
        <v>692</v>
      </c>
      <c r="R4077" s="13" t="str">
        <f>HYPERLINK("https://my.pitchbook.com?c=183205-00T","View Company Online")</f>
        <v>View Company Online</v>
      </c>
    </row>
    <row r="4078" spans="1:18" hidden="1" x14ac:dyDescent="0.3">
      <c r="A4078" s="9" t="s">
        <v>13269</v>
      </c>
      <c r="B4078" s="9" t="s">
        <v>13270</v>
      </c>
      <c r="C4078" s="11" t="s">
        <v>28</v>
      </c>
      <c r="D4078" s="9" t="s">
        <v>13271</v>
      </c>
      <c r="E4078" s="11" t="s">
        <v>28</v>
      </c>
      <c r="F4078" s="10" t="s">
        <v>28</v>
      </c>
      <c r="G4078" s="10" t="s">
        <v>28</v>
      </c>
      <c r="H4078" s="10" t="s">
        <v>28</v>
      </c>
      <c r="I4078" s="11" t="s">
        <v>28</v>
      </c>
      <c r="J4078" s="11" t="s">
        <v>28</v>
      </c>
      <c r="K4078" s="11" t="s">
        <v>28</v>
      </c>
      <c r="L4078" s="11" t="s">
        <v>28</v>
      </c>
      <c r="M4078" s="11" t="s">
        <v>28</v>
      </c>
      <c r="N4078" s="8">
        <v>44501</v>
      </c>
      <c r="O4078" s="9" t="s">
        <v>30</v>
      </c>
      <c r="P4078" s="12" t="s">
        <v>28</v>
      </c>
      <c r="Q4078" s="9" t="s">
        <v>114</v>
      </c>
      <c r="R4078" s="14" t="str">
        <f>HYPERLINK("https://my.pitchbook.com?c=241279-39T","View Company Online")</f>
        <v>View Company Online</v>
      </c>
    </row>
    <row r="4079" spans="1:18" hidden="1" x14ac:dyDescent="0.3">
      <c r="A4079" s="15" t="s">
        <v>13272</v>
      </c>
      <c r="B4079" s="15" t="s">
        <v>13273</v>
      </c>
      <c r="C4079" s="18" t="s">
        <v>28</v>
      </c>
      <c r="D4079" s="15" t="s">
        <v>13274</v>
      </c>
      <c r="E4079" s="18" t="s">
        <v>28</v>
      </c>
      <c r="F4079" s="19" t="s">
        <v>28</v>
      </c>
      <c r="G4079" s="19" t="s">
        <v>28</v>
      </c>
      <c r="H4079" s="19" t="s">
        <v>28</v>
      </c>
      <c r="I4079" s="18" t="s">
        <v>28</v>
      </c>
      <c r="J4079" s="18" t="s">
        <v>28</v>
      </c>
      <c r="K4079" s="18">
        <v>2.06</v>
      </c>
      <c r="L4079" s="18" t="s">
        <v>28</v>
      </c>
      <c r="M4079" s="18" t="s">
        <v>28</v>
      </c>
      <c r="N4079" s="17">
        <v>44501</v>
      </c>
      <c r="O4079" s="15" t="s">
        <v>30</v>
      </c>
      <c r="P4079" s="16" t="s">
        <v>10720</v>
      </c>
      <c r="Q4079" s="15" t="s">
        <v>75</v>
      </c>
      <c r="R4079" s="13" t="str">
        <f>HYPERLINK("https://my.pitchbook.com?c=182837-80T","View Company Online")</f>
        <v>View Company Online</v>
      </c>
    </row>
    <row r="4080" spans="1:18" hidden="1" x14ac:dyDescent="0.3">
      <c r="A4080" s="9" t="s">
        <v>13275</v>
      </c>
      <c r="B4080" s="9" t="s">
        <v>13276</v>
      </c>
      <c r="C4080" s="11" t="s">
        <v>28</v>
      </c>
      <c r="D4080" s="9" t="s">
        <v>13277</v>
      </c>
      <c r="E4080" s="11" t="s">
        <v>28</v>
      </c>
      <c r="F4080" s="10" t="s">
        <v>28</v>
      </c>
      <c r="G4080" s="10" t="s">
        <v>28</v>
      </c>
      <c r="H4080" s="10" t="s">
        <v>28</v>
      </c>
      <c r="I4080" s="11" t="s">
        <v>28</v>
      </c>
      <c r="J4080" s="11" t="s">
        <v>28</v>
      </c>
      <c r="K4080" s="11" t="s">
        <v>28</v>
      </c>
      <c r="L4080" s="11" t="s">
        <v>28</v>
      </c>
      <c r="M4080" s="11" t="s">
        <v>28</v>
      </c>
      <c r="N4080" s="8">
        <v>44501</v>
      </c>
      <c r="O4080" s="9" t="s">
        <v>30</v>
      </c>
      <c r="P4080" s="12" t="s">
        <v>10947</v>
      </c>
      <c r="Q4080" s="9" t="s">
        <v>583</v>
      </c>
      <c r="R4080" s="14" t="str">
        <f>HYPERLINK("https://my.pitchbook.com?c=182422-27T","View Company Online")</f>
        <v>View Company Online</v>
      </c>
    </row>
    <row r="4081" spans="1:18" hidden="1" x14ac:dyDescent="0.3">
      <c r="A4081" s="15" t="s">
        <v>13278</v>
      </c>
      <c r="B4081" s="15" t="s">
        <v>8707</v>
      </c>
      <c r="C4081" s="18" t="s">
        <v>28</v>
      </c>
      <c r="D4081" s="15" t="s">
        <v>8708</v>
      </c>
      <c r="E4081" s="18" t="s">
        <v>28</v>
      </c>
      <c r="F4081" s="19" t="s">
        <v>28</v>
      </c>
      <c r="G4081" s="19">
        <v>0.9</v>
      </c>
      <c r="H4081" s="19" t="s">
        <v>28</v>
      </c>
      <c r="I4081" s="18" t="s">
        <v>28</v>
      </c>
      <c r="J4081" s="18" t="s">
        <v>28</v>
      </c>
      <c r="K4081" s="18" t="s">
        <v>28</v>
      </c>
      <c r="L4081" s="18" t="s">
        <v>28</v>
      </c>
      <c r="M4081" s="18" t="s">
        <v>28</v>
      </c>
      <c r="N4081" s="17">
        <v>44501</v>
      </c>
      <c r="O4081" s="15" t="s">
        <v>73</v>
      </c>
      <c r="P4081" s="16" t="s">
        <v>13279</v>
      </c>
      <c r="Q4081" s="15" t="s">
        <v>696</v>
      </c>
      <c r="R4081" s="13" t="str">
        <f>HYPERLINK("https://my.pitchbook.com?c=193394-53T","View Company Online")</f>
        <v>View Company Online</v>
      </c>
    </row>
    <row r="4082" spans="1:18" hidden="1" x14ac:dyDescent="0.3">
      <c r="A4082" s="9" t="s">
        <v>13280</v>
      </c>
      <c r="B4082" s="9" t="s">
        <v>13281</v>
      </c>
      <c r="C4082" s="11" t="s">
        <v>28</v>
      </c>
      <c r="D4082" s="9" t="s">
        <v>13282</v>
      </c>
      <c r="E4082" s="11" t="s">
        <v>28</v>
      </c>
      <c r="F4082" s="10" t="s">
        <v>28</v>
      </c>
      <c r="G4082" s="10">
        <v>1.63</v>
      </c>
      <c r="H4082" s="10" t="s">
        <v>28</v>
      </c>
      <c r="I4082" s="11" t="s">
        <v>28</v>
      </c>
      <c r="J4082" s="11" t="s">
        <v>28</v>
      </c>
      <c r="K4082" s="11" t="s">
        <v>28</v>
      </c>
      <c r="L4082" s="11" t="s">
        <v>28</v>
      </c>
      <c r="M4082" s="11" t="s">
        <v>28</v>
      </c>
      <c r="N4082" s="8">
        <v>44500</v>
      </c>
      <c r="O4082" s="9" t="s">
        <v>99</v>
      </c>
      <c r="P4082" s="12" t="s">
        <v>13283</v>
      </c>
      <c r="Q4082" s="9" t="s">
        <v>37</v>
      </c>
      <c r="R4082" s="14" t="str">
        <f>HYPERLINK("https://my.pitchbook.com?c=191152-90T","View Company Online")</f>
        <v>View Company Online</v>
      </c>
    </row>
    <row r="4083" spans="1:18" hidden="1" x14ac:dyDescent="0.3">
      <c r="A4083" s="15" t="s">
        <v>13284</v>
      </c>
      <c r="B4083" s="15" t="s">
        <v>11953</v>
      </c>
      <c r="C4083" s="18" t="s">
        <v>28</v>
      </c>
      <c r="D4083" s="15" t="s">
        <v>11954</v>
      </c>
      <c r="E4083" s="18" t="s">
        <v>28</v>
      </c>
      <c r="F4083" s="19" t="s">
        <v>28</v>
      </c>
      <c r="G4083" s="19" t="s">
        <v>28</v>
      </c>
      <c r="H4083" s="19" t="s">
        <v>28</v>
      </c>
      <c r="I4083" s="18" t="s">
        <v>28</v>
      </c>
      <c r="J4083" s="18" t="s">
        <v>28</v>
      </c>
      <c r="K4083" s="18" t="s">
        <v>28</v>
      </c>
      <c r="L4083" s="18" t="s">
        <v>28</v>
      </c>
      <c r="M4083" s="18" t="s">
        <v>28</v>
      </c>
      <c r="N4083" s="17">
        <v>44498</v>
      </c>
      <c r="O4083" s="15" t="s">
        <v>52</v>
      </c>
      <c r="P4083" s="16" t="s">
        <v>28</v>
      </c>
      <c r="Q4083" s="15" t="s">
        <v>37</v>
      </c>
      <c r="R4083" s="13" t="str">
        <f>HYPERLINK("https://my.pitchbook.com?c=266168-71T","View Company Online")</f>
        <v>View Company Online</v>
      </c>
    </row>
    <row r="4084" spans="1:18" hidden="1" x14ac:dyDescent="0.3">
      <c r="A4084" s="9" t="s">
        <v>13285</v>
      </c>
      <c r="B4084" s="9" t="s">
        <v>13286</v>
      </c>
      <c r="C4084" s="11" t="s">
        <v>28</v>
      </c>
      <c r="D4084" s="9" t="s">
        <v>13287</v>
      </c>
      <c r="E4084" s="11" t="s">
        <v>28</v>
      </c>
      <c r="F4084" s="10" t="s">
        <v>28</v>
      </c>
      <c r="G4084" s="10" t="s">
        <v>28</v>
      </c>
      <c r="H4084" s="10" t="s">
        <v>28</v>
      </c>
      <c r="I4084" s="11" t="s">
        <v>28</v>
      </c>
      <c r="J4084" s="11" t="s">
        <v>28</v>
      </c>
      <c r="K4084" s="11" t="s">
        <v>28</v>
      </c>
      <c r="L4084" s="11" t="s">
        <v>28</v>
      </c>
      <c r="M4084" s="11" t="s">
        <v>28</v>
      </c>
      <c r="N4084" s="8">
        <v>44498</v>
      </c>
      <c r="O4084" s="9" t="s">
        <v>30</v>
      </c>
      <c r="P4084" s="12" t="s">
        <v>4655</v>
      </c>
      <c r="Q4084" s="9" t="s">
        <v>522</v>
      </c>
      <c r="R4084" s="14" t="str">
        <f>HYPERLINK("https://my.pitchbook.com?c=183157-12T","View Company Online")</f>
        <v>View Company Online</v>
      </c>
    </row>
    <row r="4085" spans="1:18" hidden="1" x14ac:dyDescent="0.3">
      <c r="A4085" s="15" t="s">
        <v>13288</v>
      </c>
      <c r="B4085" s="15" t="s">
        <v>13289</v>
      </c>
      <c r="C4085" s="18" t="s">
        <v>28</v>
      </c>
      <c r="D4085" s="15" t="s">
        <v>13290</v>
      </c>
      <c r="E4085" s="18" t="s">
        <v>28</v>
      </c>
      <c r="F4085" s="19" t="s">
        <v>28</v>
      </c>
      <c r="G4085" s="19">
        <v>2.71</v>
      </c>
      <c r="H4085" s="19" t="s">
        <v>28</v>
      </c>
      <c r="I4085" s="18" t="s">
        <v>28</v>
      </c>
      <c r="J4085" s="18" t="s">
        <v>28</v>
      </c>
      <c r="K4085" s="18" t="s">
        <v>28</v>
      </c>
      <c r="L4085" s="18" t="s">
        <v>28</v>
      </c>
      <c r="M4085" s="18" t="s">
        <v>28</v>
      </c>
      <c r="N4085" s="17">
        <v>44498</v>
      </c>
      <c r="O4085" s="15" t="s">
        <v>79</v>
      </c>
      <c r="P4085" s="16" t="s">
        <v>13291</v>
      </c>
      <c r="Q4085" s="15" t="s">
        <v>5628</v>
      </c>
      <c r="R4085" s="13" t="str">
        <f>HYPERLINK("https://my.pitchbook.com?c=182652-31T","View Company Online")</f>
        <v>View Company Online</v>
      </c>
    </row>
    <row r="4086" spans="1:18" hidden="1" x14ac:dyDescent="0.3">
      <c r="A4086" s="9" t="s">
        <v>13292</v>
      </c>
      <c r="B4086" s="9" t="s">
        <v>13293</v>
      </c>
      <c r="C4086" s="11" t="s">
        <v>28</v>
      </c>
      <c r="D4086" s="9" t="s">
        <v>13294</v>
      </c>
      <c r="E4086" s="11" t="s">
        <v>28</v>
      </c>
      <c r="F4086" s="10" t="s">
        <v>28</v>
      </c>
      <c r="G4086" s="10" t="s">
        <v>28</v>
      </c>
      <c r="H4086" s="10" t="s">
        <v>28</v>
      </c>
      <c r="I4086" s="11" t="s">
        <v>28</v>
      </c>
      <c r="J4086" s="11" t="s">
        <v>28</v>
      </c>
      <c r="K4086" s="11" t="s">
        <v>28</v>
      </c>
      <c r="L4086" s="11" t="s">
        <v>28</v>
      </c>
      <c r="M4086" s="11" t="s">
        <v>28</v>
      </c>
      <c r="N4086" s="8">
        <v>44498</v>
      </c>
      <c r="O4086" s="9" t="s">
        <v>30</v>
      </c>
      <c r="P4086" s="12" t="s">
        <v>13295</v>
      </c>
      <c r="Q4086" s="9" t="s">
        <v>160</v>
      </c>
      <c r="R4086" s="14" t="str">
        <f>HYPERLINK("https://my.pitchbook.com?c=211751-92T","View Company Online")</f>
        <v>View Company Online</v>
      </c>
    </row>
    <row r="4087" spans="1:18" hidden="1" x14ac:dyDescent="0.3">
      <c r="A4087" s="15" t="s">
        <v>13296</v>
      </c>
      <c r="B4087" s="15" t="s">
        <v>13297</v>
      </c>
      <c r="C4087" s="18" t="s">
        <v>28</v>
      </c>
      <c r="D4087" s="15" t="s">
        <v>13298</v>
      </c>
      <c r="E4087" s="18" t="s">
        <v>28</v>
      </c>
      <c r="F4087" s="19" t="s">
        <v>28</v>
      </c>
      <c r="G4087" s="19" t="s">
        <v>28</v>
      </c>
      <c r="H4087" s="19" t="s">
        <v>28</v>
      </c>
      <c r="I4087" s="18" t="s">
        <v>28</v>
      </c>
      <c r="J4087" s="18" t="s">
        <v>28</v>
      </c>
      <c r="K4087" s="18" t="s">
        <v>28</v>
      </c>
      <c r="L4087" s="18" t="s">
        <v>28</v>
      </c>
      <c r="M4087" s="18" t="s">
        <v>28</v>
      </c>
      <c r="N4087" s="17">
        <v>44498</v>
      </c>
      <c r="O4087" s="15" t="s">
        <v>30</v>
      </c>
      <c r="P4087" s="16" t="s">
        <v>9479</v>
      </c>
      <c r="Q4087" s="15" t="s">
        <v>268</v>
      </c>
      <c r="R4087" s="13" t="str">
        <f>HYPERLINK("https://my.pitchbook.com?c=178103-89T","View Company Online")</f>
        <v>View Company Online</v>
      </c>
    </row>
    <row r="4088" spans="1:18" hidden="1" x14ac:dyDescent="0.3">
      <c r="A4088" s="9" t="s">
        <v>13299</v>
      </c>
      <c r="B4088" s="9" t="s">
        <v>13300</v>
      </c>
      <c r="C4088" s="11" t="s">
        <v>28</v>
      </c>
      <c r="D4088" s="9" t="s">
        <v>13301</v>
      </c>
      <c r="E4088" s="11" t="s">
        <v>28</v>
      </c>
      <c r="F4088" s="10">
        <v>104.91</v>
      </c>
      <c r="G4088" s="10">
        <v>104.91</v>
      </c>
      <c r="H4088" s="10">
        <v>104.91</v>
      </c>
      <c r="I4088" s="11" t="s">
        <v>28</v>
      </c>
      <c r="J4088" s="11" t="s">
        <v>28</v>
      </c>
      <c r="K4088" s="11" t="s">
        <v>28</v>
      </c>
      <c r="L4088" s="11" t="s">
        <v>28</v>
      </c>
      <c r="M4088" s="11" t="s">
        <v>28</v>
      </c>
      <c r="N4088" s="8">
        <v>44498</v>
      </c>
      <c r="O4088" s="9" t="s">
        <v>30</v>
      </c>
      <c r="P4088" s="12" t="s">
        <v>12054</v>
      </c>
      <c r="Q4088" s="9" t="s">
        <v>43</v>
      </c>
      <c r="R4088" s="14" t="str">
        <f>HYPERLINK("https://my.pitchbook.com?c=214842-43T","View Company Online")</f>
        <v>View Company Online</v>
      </c>
    </row>
    <row r="4089" spans="1:18" hidden="1" x14ac:dyDescent="0.3">
      <c r="A4089" s="15" t="s">
        <v>13302</v>
      </c>
      <c r="B4089" s="15" t="s">
        <v>13303</v>
      </c>
      <c r="C4089" s="18" t="s">
        <v>28</v>
      </c>
      <c r="D4089" s="15" t="s">
        <v>13304</v>
      </c>
      <c r="E4089" s="18" t="s">
        <v>28</v>
      </c>
      <c r="F4089" s="19">
        <v>47.03</v>
      </c>
      <c r="G4089" s="19">
        <v>47.03</v>
      </c>
      <c r="H4089" s="19">
        <v>47.03</v>
      </c>
      <c r="I4089" s="18" t="s">
        <v>28</v>
      </c>
      <c r="J4089" s="18" t="s">
        <v>28</v>
      </c>
      <c r="K4089" s="18" t="s">
        <v>28</v>
      </c>
      <c r="L4089" s="18" t="s">
        <v>28</v>
      </c>
      <c r="M4089" s="18" t="s">
        <v>28</v>
      </c>
      <c r="N4089" s="17">
        <v>44498</v>
      </c>
      <c r="O4089" s="15" t="s">
        <v>30</v>
      </c>
      <c r="P4089" s="16" t="s">
        <v>8776</v>
      </c>
      <c r="Q4089" s="15" t="s">
        <v>136</v>
      </c>
      <c r="R4089" s="13" t="str">
        <f>HYPERLINK("https://my.pitchbook.com?c=178584-49T","View Company Online")</f>
        <v>View Company Online</v>
      </c>
    </row>
    <row r="4090" spans="1:18" hidden="1" x14ac:dyDescent="0.3">
      <c r="A4090" s="9" t="s">
        <v>13305</v>
      </c>
      <c r="B4090" s="9" t="s">
        <v>5951</v>
      </c>
      <c r="C4090" s="11" t="s">
        <v>28</v>
      </c>
      <c r="D4090" s="9" t="s">
        <v>5952</v>
      </c>
      <c r="E4090" s="11" t="s">
        <v>28</v>
      </c>
      <c r="F4090" s="10" t="s">
        <v>28</v>
      </c>
      <c r="G4090" s="10">
        <v>0.9</v>
      </c>
      <c r="H4090" s="10" t="s">
        <v>28</v>
      </c>
      <c r="I4090" s="11" t="s">
        <v>28</v>
      </c>
      <c r="J4090" s="11" t="s">
        <v>28</v>
      </c>
      <c r="K4090" s="11" t="s">
        <v>28</v>
      </c>
      <c r="L4090" s="11" t="s">
        <v>28</v>
      </c>
      <c r="M4090" s="11" t="s">
        <v>28</v>
      </c>
      <c r="N4090" s="8">
        <v>44498</v>
      </c>
      <c r="O4090" s="9" t="s">
        <v>99</v>
      </c>
      <c r="P4090" s="12" t="s">
        <v>13306</v>
      </c>
      <c r="Q4090" s="9" t="s">
        <v>75</v>
      </c>
      <c r="R4090" s="14" t="str">
        <f>HYPERLINK("https://my.pitchbook.com?c=211046-68T","View Company Online")</f>
        <v>View Company Online</v>
      </c>
    </row>
    <row r="4091" spans="1:18" hidden="1" x14ac:dyDescent="0.3">
      <c r="A4091" s="15" t="s">
        <v>13307</v>
      </c>
      <c r="B4091" s="15" t="s">
        <v>13308</v>
      </c>
      <c r="C4091" s="18" t="s">
        <v>28</v>
      </c>
      <c r="D4091" s="15" t="s">
        <v>13309</v>
      </c>
      <c r="E4091" s="18" t="s">
        <v>28</v>
      </c>
      <c r="F4091" s="19" t="s">
        <v>28</v>
      </c>
      <c r="G4091" s="19" t="s">
        <v>28</v>
      </c>
      <c r="H4091" s="19" t="s">
        <v>28</v>
      </c>
      <c r="I4091" s="18" t="s">
        <v>28</v>
      </c>
      <c r="J4091" s="18" t="s">
        <v>28</v>
      </c>
      <c r="K4091" s="18" t="s">
        <v>28</v>
      </c>
      <c r="L4091" s="18" t="s">
        <v>28</v>
      </c>
      <c r="M4091" s="18" t="s">
        <v>28</v>
      </c>
      <c r="N4091" s="17">
        <v>44497</v>
      </c>
      <c r="O4091" s="15" t="s">
        <v>73</v>
      </c>
      <c r="P4091" s="16" t="s">
        <v>13310</v>
      </c>
      <c r="Q4091" s="15" t="s">
        <v>43</v>
      </c>
      <c r="R4091" s="13" t="str">
        <f>HYPERLINK("https://my.pitchbook.com?c=205497-64T","View Company Online")</f>
        <v>View Company Online</v>
      </c>
    </row>
    <row r="4092" spans="1:18" hidden="1" x14ac:dyDescent="0.3">
      <c r="A4092" s="9" t="s">
        <v>13311</v>
      </c>
      <c r="B4092" s="9" t="s">
        <v>8705</v>
      </c>
      <c r="C4092" s="11" t="s">
        <v>28</v>
      </c>
      <c r="D4092" s="9" t="s">
        <v>13312</v>
      </c>
      <c r="E4092" s="11" t="s">
        <v>28</v>
      </c>
      <c r="F4092" s="10" t="s">
        <v>28</v>
      </c>
      <c r="G4092" s="10" t="s">
        <v>28</v>
      </c>
      <c r="H4092" s="10" t="s">
        <v>28</v>
      </c>
      <c r="I4092" s="11" t="s">
        <v>28</v>
      </c>
      <c r="J4092" s="11" t="s">
        <v>28</v>
      </c>
      <c r="K4092" s="11" t="s">
        <v>28</v>
      </c>
      <c r="L4092" s="11" t="s">
        <v>28</v>
      </c>
      <c r="M4092" s="11" t="s">
        <v>28</v>
      </c>
      <c r="N4092" s="8">
        <v>44497</v>
      </c>
      <c r="O4092" s="9" t="s">
        <v>173</v>
      </c>
      <c r="P4092" s="12" t="s">
        <v>28</v>
      </c>
      <c r="Q4092" s="9" t="s">
        <v>37</v>
      </c>
      <c r="R4092" s="14" t="str">
        <f>HYPERLINK("https://my.pitchbook.com?c=172674-28T","View Company Online")</f>
        <v>View Company Online</v>
      </c>
    </row>
    <row r="4093" spans="1:18" hidden="1" x14ac:dyDescent="0.3">
      <c r="A4093" s="15" t="s">
        <v>13313</v>
      </c>
      <c r="B4093" s="15" t="s">
        <v>13314</v>
      </c>
      <c r="C4093" s="18" t="s">
        <v>28</v>
      </c>
      <c r="D4093" s="15" t="s">
        <v>13315</v>
      </c>
      <c r="E4093" s="18" t="s">
        <v>28</v>
      </c>
      <c r="F4093" s="19" t="s">
        <v>28</v>
      </c>
      <c r="G4093" s="19">
        <v>5</v>
      </c>
      <c r="H4093" s="19" t="s">
        <v>28</v>
      </c>
      <c r="I4093" s="18" t="s">
        <v>28</v>
      </c>
      <c r="J4093" s="18" t="s">
        <v>28</v>
      </c>
      <c r="K4093" s="18" t="s">
        <v>28</v>
      </c>
      <c r="L4093" s="18" t="s">
        <v>28</v>
      </c>
      <c r="M4093" s="18" t="s">
        <v>28</v>
      </c>
      <c r="N4093" s="17">
        <v>44497</v>
      </c>
      <c r="O4093" s="15" t="s">
        <v>73</v>
      </c>
      <c r="P4093" s="16" t="s">
        <v>13316</v>
      </c>
      <c r="Q4093" s="15" t="s">
        <v>1361</v>
      </c>
      <c r="R4093" s="13" t="str">
        <f>HYPERLINK("https://my.pitchbook.com?c=182657-98T","View Company Online")</f>
        <v>View Company Online</v>
      </c>
    </row>
    <row r="4094" spans="1:18" hidden="1" x14ac:dyDescent="0.3">
      <c r="A4094" s="9" t="s">
        <v>13317</v>
      </c>
      <c r="B4094" s="9" t="s">
        <v>13318</v>
      </c>
      <c r="C4094" s="11" t="s">
        <v>28</v>
      </c>
      <c r="D4094" s="9" t="s">
        <v>13319</v>
      </c>
      <c r="E4094" s="11">
        <v>1.03</v>
      </c>
      <c r="F4094" s="10" t="s">
        <v>28</v>
      </c>
      <c r="G4094" s="10" t="s">
        <v>28</v>
      </c>
      <c r="H4094" s="10" t="s">
        <v>28</v>
      </c>
      <c r="I4094" s="11">
        <v>1.03</v>
      </c>
      <c r="J4094" s="11" t="s">
        <v>28</v>
      </c>
      <c r="K4094" s="11">
        <v>1.42</v>
      </c>
      <c r="L4094" s="11" t="s">
        <v>28</v>
      </c>
      <c r="M4094" s="11">
        <v>1.1200000000000001</v>
      </c>
      <c r="N4094" s="8">
        <v>44497</v>
      </c>
      <c r="O4094" s="9" t="s">
        <v>173</v>
      </c>
      <c r="P4094" s="12" t="s">
        <v>28</v>
      </c>
      <c r="Q4094" s="9" t="s">
        <v>174</v>
      </c>
      <c r="R4094" s="14" t="str">
        <f>HYPERLINK("https://my.pitchbook.com?c=224080-12T","View Company Online")</f>
        <v>View Company Online</v>
      </c>
    </row>
    <row r="4095" spans="1:18" hidden="1" x14ac:dyDescent="0.3">
      <c r="A4095" s="15" t="s">
        <v>13320</v>
      </c>
      <c r="B4095" s="15" t="s">
        <v>3395</v>
      </c>
      <c r="C4095" s="18" t="s">
        <v>28</v>
      </c>
      <c r="D4095" s="15" t="s">
        <v>3396</v>
      </c>
      <c r="E4095" s="18" t="s">
        <v>28</v>
      </c>
      <c r="F4095" s="19" t="s">
        <v>28</v>
      </c>
      <c r="G4095" s="19">
        <v>5</v>
      </c>
      <c r="H4095" s="19" t="s">
        <v>28</v>
      </c>
      <c r="I4095" s="18" t="s">
        <v>28</v>
      </c>
      <c r="J4095" s="18" t="s">
        <v>28</v>
      </c>
      <c r="K4095" s="18" t="s">
        <v>28</v>
      </c>
      <c r="L4095" s="18" t="s">
        <v>28</v>
      </c>
      <c r="M4095" s="18" t="s">
        <v>28</v>
      </c>
      <c r="N4095" s="17">
        <v>44497</v>
      </c>
      <c r="O4095" s="15" t="s">
        <v>79</v>
      </c>
      <c r="P4095" s="16" t="s">
        <v>13321</v>
      </c>
      <c r="Q4095" s="15" t="s">
        <v>119</v>
      </c>
      <c r="R4095" s="13" t="str">
        <f>HYPERLINK("https://my.pitchbook.com?c=207585-28T","View Company Online")</f>
        <v>View Company Online</v>
      </c>
    </row>
    <row r="4096" spans="1:18" hidden="1" x14ac:dyDescent="0.3">
      <c r="A4096" s="9" t="s">
        <v>13322</v>
      </c>
      <c r="B4096" s="9" t="s">
        <v>6913</v>
      </c>
      <c r="C4096" s="11" t="s">
        <v>28</v>
      </c>
      <c r="D4096" s="9" t="s">
        <v>8441</v>
      </c>
      <c r="E4096" s="11" t="s">
        <v>28</v>
      </c>
      <c r="F4096" s="10" t="s">
        <v>28</v>
      </c>
      <c r="G4096" s="10" t="s">
        <v>28</v>
      </c>
      <c r="H4096" s="10" t="s">
        <v>28</v>
      </c>
      <c r="I4096" s="11" t="s">
        <v>28</v>
      </c>
      <c r="J4096" s="11" t="s">
        <v>28</v>
      </c>
      <c r="K4096" s="11" t="s">
        <v>28</v>
      </c>
      <c r="L4096" s="11" t="s">
        <v>28</v>
      </c>
      <c r="M4096" s="11" t="s">
        <v>28</v>
      </c>
      <c r="N4096" s="8">
        <v>44497</v>
      </c>
      <c r="O4096" s="9" t="s">
        <v>99</v>
      </c>
      <c r="P4096" s="12" t="s">
        <v>13323</v>
      </c>
      <c r="Q4096" s="9" t="s">
        <v>75</v>
      </c>
      <c r="R4096" s="14" t="str">
        <f>HYPERLINK("https://my.pitchbook.com?c=184423-69T","View Company Online")</f>
        <v>View Company Online</v>
      </c>
    </row>
    <row r="4097" spans="1:18" hidden="1" x14ac:dyDescent="0.3">
      <c r="A4097" s="15" t="s">
        <v>13324</v>
      </c>
      <c r="B4097" s="15" t="s">
        <v>13325</v>
      </c>
      <c r="C4097" s="18" t="s">
        <v>28</v>
      </c>
      <c r="D4097" s="15" t="s">
        <v>13326</v>
      </c>
      <c r="E4097" s="18" t="s">
        <v>28</v>
      </c>
      <c r="F4097" s="19" t="s">
        <v>28</v>
      </c>
      <c r="G4097" s="19" t="s">
        <v>28</v>
      </c>
      <c r="H4097" s="19" t="s">
        <v>28</v>
      </c>
      <c r="I4097" s="18" t="s">
        <v>28</v>
      </c>
      <c r="J4097" s="18" t="s">
        <v>28</v>
      </c>
      <c r="K4097" s="18" t="s">
        <v>28</v>
      </c>
      <c r="L4097" s="18" t="s">
        <v>28</v>
      </c>
      <c r="M4097" s="18" t="s">
        <v>28</v>
      </c>
      <c r="N4097" s="17">
        <v>44497</v>
      </c>
      <c r="O4097" s="15" t="s">
        <v>30</v>
      </c>
      <c r="P4097" s="16" t="s">
        <v>13327</v>
      </c>
      <c r="Q4097" s="15" t="s">
        <v>75</v>
      </c>
      <c r="R4097" s="13" t="str">
        <f>HYPERLINK("https://my.pitchbook.com?c=188296-57T","View Company Online")</f>
        <v>View Company Online</v>
      </c>
    </row>
    <row r="4098" spans="1:18" hidden="1" x14ac:dyDescent="0.3">
      <c r="A4098" s="9" t="s">
        <v>13328</v>
      </c>
      <c r="B4098" s="9" t="s">
        <v>13329</v>
      </c>
      <c r="C4098" s="11" t="s">
        <v>28</v>
      </c>
      <c r="D4098" s="9" t="s">
        <v>13330</v>
      </c>
      <c r="E4098" s="11" t="s">
        <v>28</v>
      </c>
      <c r="F4098" s="10" t="s">
        <v>28</v>
      </c>
      <c r="G4098" s="10" t="s">
        <v>28</v>
      </c>
      <c r="H4098" s="10" t="s">
        <v>28</v>
      </c>
      <c r="I4098" s="11" t="s">
        <v>28</v>
      </c>
      <c r="J4098" s="11" t="s">
        <v>28</v>
      </c>
      <c r="K4098" s="11" t="s">
        <v>28</v>
      </c>
      <c r="L4098" s="11" t="s">
        <v>28</v>
      </c>
      <c r="M4098" s="11" t="s">
        <v>28</v>
      </c>
      <c r="N4098" s="8">
        <v>44497</v>
      </c>
      <c r="O4098" s="9" t="s">
        <v>30</v>
      </c>
      <c r="P4098" s="12" t="s">
        <v>7655</v>
      </c>
      <c r="Q4098" s="9" t="s">
        <v>169</v>
      </c>
      <c r="R4098" s="14" t="str">
        <f>HYPERLINK("https://my.pitchbook.com?c=183152-98T","View Company Online")</f>
        <v>View Company Online</v>
      </c>
    </row>
    <row r="4099" spans="1:18" hidden="1" x14ac:dyDescent="0.3">
      <c r="A4099" s="15" t="s">
        <v>13331</v>
      </c>
      <c r="B4099" s="15" t="s">
        <v>13332</v>
      </c>
      <c r="C4099" s="18" t="s">
        <v>28</v>
      </c>
      <c r="D4099" s="15" t="s">
        <v>13333</v>
      </c>
      <c r="E4099" s="18" t="s">
        <v>28</v>
      </c>
      <c r="F4099" s="19" t="s">
        <v>28</v>
      </c>
      <c r="G4099" s="19" t="s">
        <v>28</v>
      </c>
      <c r="H4099" s="19" t="s">
        <v>28</v>
      </c>
      <c r="I4099" s="18" t="s">
        <v>28</v>
      </c>
      <c r="J4099" s="18" t="s">
        <v>28</v>
      </c>
      <c r="K4099" s="18" t="s">
        <v>28</v>
      </c>
      <c r="L4099" s="18" t="s">
        <v>28</v>
      </c>
      <c r="M4099" s="18" t="s">
        <v>28</v>
      </c>
      <c r="N4099" s="17">
        <v>44497</v>
      </c>
      <c r="O4099" s="15" t="s">
        <v>30</v>
      </c>
      <c r="P4099" s="16" t="s">
        <v>13334</v>
      </c>
      <c r="Q4099" s="15" t="s">
        <v>1035</v>
      </c>
      <c r="R4099" s="13" t="str">
        <f>HYPERLINK("https://my.pitchbook.com?c=257821-57T","View Company Online")</f>
        <v>View Company Online</v>
      </c>
    </row>
    <row r="4100" spans="1:18" hidden="1" x14ac:dyDescent="0.3">
      <c r="A4100" s="9" t="s">
        <v>13335</v>
      </c>
      <c r="B4100" s="9" t="s">
        <v>13336</v>
      </c>
      <c r="C4100" s="11" t="s">
        <v>28</v>
      </c>
      <c r="D4100" s="9" t="s">
        <v>13337</v>
      </c>
      <c r="E4100" s="11" t="s">
        <v>28</v>
      </c>
      <c r="F4100" s="10" t="s">
        <v>28</v>
      </c>
      <c r="G4100" s="10">
        <v>0.36</v>
      </c>
      <c r="H4100" s="10" t="s">
        <v>28</v>
      </c>
      <c r="I4100" s="11" t="s">
        <v>28</v>
      </c>
      <c r="J4100" s="11" t="s">
        <v>28</v>
      </c>
      <c r="K4100" s="11" t="s">
        <v>28</v>
      </c>
      <c r="L4100" s="11" t="s">
        <v>28</v>
      </c>
      <c r="M4100" s="11" t="s">
        <v>28</v>
      </c>
      <c r="N4100" s="8">
        <v>44497</v>
      </c>
      <c r="O4100" s="9" t="s">
        <v>99</v>
      </c>
      <c r="P4100" s="12" t="s">
        <v>13338</v>
      </c>
      <c r="Q4100" s="9" t="s">
        <v>75</v>
      </c>
      <c r="R4100" s="14" t="str">
        <f>HYPERLINK("https://my.pitchbook.com?c=182662-75T","View Company Online")</f>
        <v>View Company Online</v>
      </c>
    </row>
    <row r="4101" spans="1:18" hidden="1" x14ac:dyDescent="0.3">
      <c r="A4101" s="15" t="s">
        <v>13339</v>
      </c>
      <c r="B4101" s="15" t="s">
        <v>13340</v>
      </c>
      <c r="C4101" s="18" t="s">
        <v>28</v>
      </c>
      <c r="D4101" s="15" t="s">
        <v>13341</v>
      </c>
      <c r="E4101" s="18">
        <v>-1.29</v>
      </c>
      <c r="F4101" s="19" t="s">
        <v>28</v>
      </c>
      <c r="G4101" s="19" t="s">
        <v>28</v>
      </c>
      <c r="H4101" s="19" t="s">
        <v>28</v>
      </c>
      <c r="I4101" s="18">
        <v>-1.29</v>
      </c>
      <c r="J4101" s="18" t="s">
        <v>28</v>
      </c>
      <c r="K4101" s="18">
        <v>1.1200000000000001</v>
      </c>
      <c r="L4101" s="18" t="s">
        <v>28</v>
      </c>
      <c r="M4101" s="18">
        <v>-1.29</v>
      </c>
      <c r="N4101" s="17">
        <v>44496</v>
      </c>
      <c r="O4101" s="15" t="s">
        <v>173</v>
      </c>
      <c r="P4101" s="16" t="s">
        <v>28</v>
      </c>
      <c r="Q4101" s="15" t="s">
        <v>174</v>
      </c>
      <c r="R4101" s="13" t="str">
        <f>HYPERLINK("https://my.pitchbook.com?c=251373-70T","View Company Online")</f>
        <v>View Company Online</v>
      </c>
    </row>
    <row r="4102" spans="1:18" hidden="1" x14ac:dyDescent="0.3">
      <c r="A4102" s="9" t="s">
        <v>13342</v>
      </c>
      <c r="B4102" s="9" t="s">
        <v>13343</v>
      </c>
      <c r="C4102" s="11" t="s">
        <v>28</v>
      </c>
      <c r="D4102" s="9" t="s">
        <v>13344</v>
      </c>
      <c r="E4102" s="11" t="s">
        <v>28</v>
      </c>
      <c r="F4102" s="10">
        <v>308.18</v>
      </c>
      <c r="G4102" s="10">
        <v>308.18</v>
      </c>
      <c r="H4102" s="10">
        <v>308.18</v>
      </c>
      <c r="I4102" s="11" t="s">
        <v>28</v>
      </c>
      <c r="J4102" s="11" t="s">
        <v>28</v>
      </c>
      <c r="K4102" s="11" t="s">
        <v>28</v>
      </c>
      <c r="L4102" s="11" t="s">
        <v>28</v>
      </c>
      <c r="M4102" s="11" t="s">
        <v>28</v>
      </c>
      <c r="N4102" s="8">
        <v>44496</v>
      </c>
      <c r="O4102" s="9" t="s">
        <v>41</v>
      </c>
      <c r="P4102" s="12" t="s">
        <v>13345</v>
      </c>
      <c r="Q4102" s="9" t="s">
        <v>136</v>
      </c>
      <c r="R4102" s="14" t="str">
        <f>HYPERLINK("https://my.pitchbook.com?c=181229-23T","View Company Online")</f>
        <v>View Company Online</v>
      </c>
    </row>
    <row r="4103" spans="1:18" hidden="1" x14ac:dyDescent="0.3">
      <c r="A4103" s="15" t="s">
        <v>13346</v>
      </c>
      <c r="B4103" s="15" t="s">
        <v>82</v>
      </c>
      <c r="C4103" s="18" t="s">
        <v>28</v>
      </c>
      <c r="D4103" s="15" t="s">
        <v>83</v>
      </c>
      <c r="E4103" s="18" t="s">
        <v>28</v>
      </c>
      <c r="F4103" s="19" t="s">
        <v>28</v>
      </c>
      <c r="G4103" s="19">
        <v>8</v>
      </c>
      <c r="H4103" s="19" t="s">
        <v>28</v>
      </c>
      <c r="I4103" s="18" t="s">
        <v>28</v>
      </c>
      <c r="J4103" s="18" t="s">
        <v>28</v>
      </c>
      <c r="K4103" s="18" t="s">
        <v>28</v>
      </c>
      <c r="L4103" s="18" t="s">
        <v>28</v>
      </c>
      <c r="M4103" s="18" t="s">
        <v>28</v>
      </c>
      <c r="N4103" s="17">
        <v>44496</v>
      </c>
      <c r="O4103" s="15" t="s">
        <v>73</v>
      </c>
      <c r="P4103" s="16" t="s">
        <v>13347</v>
      </c>
      <c r="Q4103" s="15" t="s">
        <v>85</v>
      </c>
      <c r="R4103" s="13" t="str">
        <f>HYPERLINK("https://my.pitchbook.com?c=182401-57T","View Company Online")</f>
        <v>View Company Online</v>
      </c>
    </row>
    <row r="4104" spans="1:18" hidden="1" x14ac:dyDescent="0.3">
      <c r="A4104" s="9" t="s">
        <v>13348</v>
      </c>
      <c r="B4104" s="9" t="s">
        <v>13349</v>
      </c>
      <c r="C4104" s="11" t="s">
        <v>28</v>
      </c>
      <c r="D4104" s="9" t="s">
        <v>13350</v>
      </c>
      <c r="E4104" s="11" t="s">
        <v>28</v>
      </c>
      <c r="F4104" s="10" t="s">
        <v>28</v>
      </c>
      <c r="G4104" s="10" t="s">
        <v>28</v>
      </c>
      <c r="H4104" s="10" t="s">
        <v>28</v>
      </c>
      <c r="I4104" s="11" t="s">
        <v>28</v>
      </c>
      <c r="J4104" s="11" t="s">
        <v>28</v>
      </c>
      <c r="K4104" s="11" t="s">
        <v>28</v>
      </c>
      <c r="L4104" s="11" t="s">
        <v>28</v>
      </c>
      <c r="M4104" s="11" t="s">
        <v>28</v>
      </c>
      <c r="N4104" s="8">
        <v>44496</v>
      </c>
      <c r="O4104" s="9" t="s">
        <v>30</v>
      </c>
      <c r="P4104" s="12" t="s">
        <v>13351</v>
      </c>
      <c r="Q4104" s="9" t="s">
        <v>37</v>
      </c>
      <c r="R4104" s="14" t="str">
        <f>HYPERLINK("https://my.pitchbook.com?c=215818-84T","View Company Online")</f>
        <v>View Company Online</v>
      </c>
    </row>
    <row r="4105" spans="1:18" hidden="1" x14ac:dyDescent="0.3">
      <c r="A4105" s="15" t="s">
        <v>13352</v>
      </c>
      <c r="B4105" s="15" t="s">
        <v>13353</v>
      </c>
      <c r="C4105" s="18" t="s">
        <v>28</v>
      </c>
      <c r="D4105" s="15" t="s">
        <v>13354</v>
      </c>
      <c r="E4105" s="18" t="s">
        <v>28</v>
      </c>
      <c r="F4105" s="19" t="s">
        <v>28</v>
      </c>
      <c r="G4105" s="19">
        <v>38</v>
      </c>
      <c r="H4105" s="19">
        <v>92.68</v>
      </c>
      <c r="I4105" s="18" t="s">
        <v>28</v>
      </c>
      <c r="J4105" s="18" t="s">
        <v>28</v>
      </c>
      <c r="K4105" s="18">
        <v>4.3</v>
      </c>
      <c r="L4105" s="18">
        <v>21.53</v>
      </c>
      <c r="M4105" s="18" t="s">
        <v>28</v>
      </c>
      <c r="N4105" s="17">
        <v>44496</v>
      </c>
      <c r="O4105" s="15" t="s">
        <v>79</v>
      </c>
      <c r="P4105" s="16" t="s">
        <v>9217</v>
      </c>
      <c r="Q4105" s="15" t="s">
        <v>75</v>
      </c>
      <c r="R4105" s="13" t="str">
        <f>HYPERLINK("https://my.pitchbook.com?c=182388-43T","View Company Online")</f>
        <v>View Company Online</v>
      </c>
    </row>
    <row r="4106" spans="1:18" hidden="1" x14ac:dyDescent="0.3">
      <c r="A4106" s="9" t="s">
        <v>13355</v>
      </c>
      <c r="B4106" s="9" t="s">
        <v>5479</v>
      </c>
      <c r="C4106" s="11" t="s">
        <v>28</v>
      </c>
      <c r="D4106" s="9" t="s">
        <v>5480</v>
      </c>
      <c r="E4106" s="11" t="s">
        <v>28</v>
      </c>
      <c r="F4106" s="10" t="s">
        <v>28</v>
      </c>
      <c r="G4106" s="10">
        <v>8.4</v>
      </c>
      <c r="H4106" s="10" t="s">
        <v>28</v>
      </c>
      <c r="I4106" s="11" t="s">
        <v>28</v>
      </c>
      <c r="J4106" s="11" t="s">
        <v>28</v>
      </c>
      <c r="K4106" s="11" t="s">
        <v>28</v>
      </c>
      <c r="L4106" s="11" t="s">
        <v>28</v>
      </c>
      <c r="M4106" s="11" t="s">
        <v>28</v>
      </c>
      <c r="N4106" s="8">
        <v>44496</v>
      </c>
      <c r="O4106" s="9" t="s">
        <v>99</v>
      </c>
      <c r="P4106" s="12" t="s">
        <v>28</v>
      </c>
      <c r="Q4106" s="9" t="s">
        <v>1088</v>
      </c>
      <c r="R4106" s="14" t="str">
        <f>HYPERLINK("https://my.pitchbook.com?c=226223-92T","View Company Online")</f>
        <v>View Company Online</v>
      </c>
    </row>
    <row r="4107" spans="1:18" hidden="1" x14ac:dyDescent="0.3">
      <c r="A4107" s="15" t="s">
        <v>13356</v>
      </c>
      <c r="B4107" s="15" t="s">
        <v>13357</v>
      </c>
      <c r="C4107" s="18" t="s">
        <v>28</v>
      </c>
      <c r="D4107" s="15" t="s">
        <v>13358</v>
      </c>
      <c r="E4107" s="18" t="s">
        <v>28</v>
      </c>
      <c r="F4107" s="19" t="s">
        <v>28</v>
      </c>
      <c r="G4107" s="19" t="s">
        <v>28</v>
      </c>
      <c r="H4107" s="19" t="s">
        <v>28</v>
      </c>
      <c r="I4107" s="18" t="s">
        <v>28</v>
      </c>
      <c r="J4107" s="18" t="s">
        <v>28</v>
      </c>
      <c r="K4107" s="18" t="s">
        <v>28</v>
      </c>
      <c r="L4107" s="18" t="s">
        <v>28</v>
      </c>
      <c r="M4107" s="18" t="s">
        <v>28</v>
      </c>
      <c r="N4107" s="17">
        <v>44496</v>
      </c>
      <c r="O4107" s="15" t="s">
        <v>30</v>
      </c>
      <c r="P4107" s="16" t="s">
        <v>13359</v>
      </c>
      <c r="Q4107" s="15" t="s">
        <v>109</v>
      </c>
      <c r="R4107" s="13" t="str">
        <f>HYPERLINK("https://my.pitchbook.com?c=183867-67T","View Company Online")</f>
        <v>View Company Online</v>
      </c>
    </row>
    <row r="4108" spans="1:18" hidden="1" x14ac:dyDescent="0.3">
      <c r="A4108" s="9" t="s">
        <v>13360</v>
      </c>
      <c r="B4108" s="9" t="s">
        <v>13361</v>
      </c>
      <c r="C4108" s="11" t="s">
        <v>28</v>
      </c>
      <c r="D4108" s="9" t="s">
        <v>13362</v>
      </c>
      <c r="E4108" s="11" t="s">
        <v>28</v>
      </c>
      <c r="F4108" s="10" t="s">
        <v>28</v>
      </c>
      <c r="G4108" s="10" t="s">
        <v>28</v>
      </c>
      <c r="H4108" s="10" t="s">
        <v>28</v>
      </c>
      <c r="I4108" s="11" t="s">
        <v>28</v>
      </c>
      <c r="J4108" s="11" t="s">
        <v>28</v>
      </c>
      <c r="K4108" s="11" t="s">
        <v>28</v>
      </c>
      <c r="L4108" s="11" t="s">
        <v>28</v>
      </c>
      <c r="M4108" s="11" t="s">
        <v>28</v>
      </c>
      <c r="N4108" s="8">
        <v>44496</v>
      </c>
      <c r="O4108" s="9" t="s">
        <v>52</v>
      </c>
      <c r="P4108" s="12" t="s">
        <v>13363</v>
      </c>
      <c r="Q4108" s="9" t="s">
        <v>409</v>
      </c>
      <c r="R4108" s="14" t="str">
        <f>HYPERLINK("https://my.pitchbook.com?c=276365-71T","View Company Online")</f>
        <v>View Company Online</v>
      </c>
    </row>
    <row r="4109" spans="1:18" hidden="1" x14ac:dyDescent="0.3">
      <c r="A4109" s="15" t="s">
        <v>13364</v>
      </c>
      <c r="B4109" s="15" t="s">
        <v>13365</v>
      </c>
      <c r="C4109" s="18" t="s">
        <v>28</v>
      </c>
      <c r="D4109" s="15" t="s">
        <v>13366</v>
      </c>
      <c r="E4109" s="18" t="s">
        <v>28</v>
      </c>
      <c r="F4109" s="19" t="s">
        <v>28</v>
      </c>
      <c r="G4109" s="19">
        <v>0.45</v>
      </c>
      <c r="H4109" s="19" t="s">
        <v>28</v>
      </c>
      <c r="I4109" s="18" t="s">
        <v>28</v>
      </c>
      <c r="J4109" s="18" t="s">
        <v>28</v>
      </c>
      <c r="K4109" s="18" t="s">
        <v>28</v>
      </c>
      <c r="L4109" s="18" t="s">
        <v>28</v>
      </c>
      <c r="M4109" s="18" t="s">
        <v>28</v>
      </c>
      <c r="N4109" s="17">
        <v>44496</v>
      </c>
      <c r="O4109" s="15" t="s">
        <v>379</v>
      </c>
      <c r="P4109" s="16" t="s">
        <v>13367</v>
      </c>
      <c r="Q4109" s="15" t="s">
        <v>37</v>
      </c>
      <c r="R4109" s="13" t="str">
        <f>HYPERLINK("https://my.pitchbook.com?c=182428-21T","View Company Online")</f>
        <v>View Company Online</v>
      </c>
    </row>
    <row r="4110" spans="1:18" hidden="1" x14ac:dyDescent="0.3">
      <c r="A4110" s="9" t="s">
        <v>13368</v>
      </c>
      <c r="B4110" s="9" t="s">
        <v>2673</v>
      </c>
      <c r="C4110" s="11" t="s">
        <v>28</v>
      </c>
      <c r="D4110" s="9" t="s">
        <v>2674</v>
      </c>
      <c r="E4110" s="11" t="s">
        <v>28</v>
      </c>
      <c r="F4110" s="10" t="s">
        <v>28</v>
      </c>
      <c r="G4110" s="10">
        <v>6.34</v>
      </c>
      <c r="H4110" s="10" t="s">
        <v>28</v>
      </c>
      <c r="I4110" s="11" t="s">
        <v>28</v>
      </c>
      <c r="J4110" s="11" t="s">
        <v>28</v>
      </c>
      <c r="K4110" s="11" t="s">
        <v>28</v>
      </c>
      <c r="L4110" s="11" t="s">
        <v>28</v>
      </c>
      <c r="M4110" s="11" t="s">
        <v>28</v>
      </c>
      <c r="N4110" s="8">
        <v>44496</v>
      </c>
      <c r="O4110" s="9" t="s">
        <v>99</v>
      </c>
      <c r="P4110" s="12" t="s">
        <v>13369</v>
      </c>
      <c r="Q4110" s="9" t="s">
        <v>37</v>
      </c>
      <c r="R4110" s="14" t="str">
        <f>HYPERLINK("https://my.pitchbook.com?c=182375-11T","View Company Online")</f>
        <v>View Company Online</v>
      </c>
    </row>
    <row r="4111" spans="1:18" hidden="1" x14ac:dyDescent="0.3">
      <c r="A4111" s="15" t="s">
        <v>13370</v>
      </c>
      <c r="B4111" s="15" t="s">
        <v>5865</v>
      </c>
      <c r="C4111" s="18" t="s">
        <v>28</v>
      </c>
      <c r="D4111" s="15" t="s">
        <v>5866</v>
      </c>
      <c r="E4111" s="18" t="s">
        <v>28</v>
      </c>
      <c r="F4111" s="19" t="s">
        <v>28</v>
      </c>
      <c r="G4111" s="19" t="s">
        <v>28</v>
      </c>
      <c r="H4111" s="19" t="s">
        <v>28</v>
      </c>
      <c r="I4111" s="18">
        <v>127</v>
      </c>
      <c r="J4111" s="18" t="s">
        <v>28</v>
      </c>
      <c r="K4111" s="18">
        <v>289</v>
      </c>
      <c r="L4111" s="18" t="s">
        <v>28</v>
      </c>
      <c r="M4111" s="18" t="s">
        <v>28</v>
      </c>
      <c r="N4111" s="17">
        <v>44495</v>
      </c>
      <c r="O4111" s="15" t="s">
        <v>30</v>
      </c>
      <c r="P4111" s="16" t="s">
        <v>28</v>
      </c>
      <c r="Q4111" s="15" t="s">
        <v>470</v>
      </c>
      <c r="R4111" s="13" t="str">
        <f>HYPERLINK("https://my.pitchbook.com?c=182189-53T","View Company Online")</f>
        <v>View Company Online</v>
      </c>
    </row>
    <row r="4112" spans="1:18" hidden="1" x14ac:dyDescent="0.3">
      <c r="A4112" s="9" t="s">
        <v>13371</v>
      </c>
      <c r="B4112" s="9" t="s">
        <v>2068</v>
      </c>
      <c r="C4112" s="11" t="s">
        <v>28</v>
      </c>
      <c r="D4112" s="9" t="s">
        <v>2796</v>
      </c>
      <c r="E4112" s="11" t="s">
        <v>28</v>
      </c>
      <c r="F4112" s="10" t="s">
        <v>28</v>
      </c>
      <c r="G4112" s="10">
        <v>1</v>
      </c>
      <c r="H4112" s="10" t="s">
        <v>28</v>
      </c>
      <c r="I4112" s="11" t="s">
        <v>28</v>
      </c>
      <c r="J4112" s="11" t="s">
        <v>28</v>
      </c>
      <c r="K4112" s="11" t="s">
        <v>28</v>
      </c>
      <c r="L4112" s="11" t="s">
        <v>28</v>
      </c>
      <c r="M4112" s="11" t="s">
        <v>28</v>
      </c>
      <c r="N4112" s="8">
        <v>44495</v>
      </c>
      <c r="O4112" s="9" t="s">
        <v>99</v>
      </c>
      <c r="P4112" s="12" t="s">
        <v>13372</v>
      </c>
      <c r="Q4112" s="9" t="s">
        <v>399</v>
      </c>
      <c r="R4112" s="14" t="str">
        <f>HYPERLINK("https://my.pitchbook.com?c=197216-02T","View Company Online")</f>
        <v>View Company Online</v>
      </c>
    </row>
    <row r="4113" spans="1:18" hidden="1" x14ac:dyDescent="0.3">
      <c r="A4113" s="15" t="s">
        <v>13373</v>
      </c>
      <c r="B4113" s="15" t="s">
        <v>11739</v>
      </c>
      <c r="C4113" s="18" t="s">
        <v>28</v>
      </c>
      <c r="D4113" s="15" t="s">
        <v>11740</v>
      </c>
      <c r="E4113" s="18" t="s">
        <v>28</v>
      </c>
      <c r="F4113" s="19" t="s">
        <v>28</v>
      </c>
      <c r="G4113" s="19" t="s">
        <v>28</v>
      </c>
      <c r="H4113" s="19" t="s">
        <v>28</v>
      </c>
      <c r="I4113" s="18" t="s">
        <v>28</v>
      </c>
      <c r="J4113" s="18" t="s">
        <v>28</v>
      </c>
      <c r="K4113" s="18" t="s">
        <v>28</v>
      </c>
      <c r="L4113" s="18" t="s">
        <v>28</v>
      </c>
      <c r="M4113" s="18" t="s">
        <v>28</v>
      </c>
      <c r="N4113" s="17">
        <v>44495</v>
      </c>
      <c r="O4113" s="15" t="s">
        <v>79</v>
      </c>
      <c r="P4113" s="16" t="s">
        <v>28</v>
      </c>
      <c r="Q4113" s="15" t="s">
        <v>75</v>
      </c>
      <c r="R4113" s="13" t="str">
        <f>HYPERLINK("https://my.pitchbook.com?c=182360-98T","View Company Online")</f>
        <v>View Company Online</v>
      </c>
    </row>
    <row r="4114" spans="1:18" hidden="1" x14ac:dyDescent="0.3">
      <c r="A4114" s="9" t="s">
        <v>13374</v>
      </c>
      <c r="B4114" s="9" t="s">
        <v>13375</v>
      </c>
      <c r="C4114" s="11" t="s">
        <v>28</v>
      </c>
      <c r="D4114" s="9" t="s">
        <v>13376</v>
      </c>
      <c r="E4114" s="11" t="s">
        <v>28</v>
      </c>
      <c r="F4114" s="10" t="s">
        <v>28</v>
      </c>
      <c r="G4114" s="10">
        <v>33.58</v>
      </c>
      <c r="H4114" s="10" t="s">
        <v>28</v>
      </c>
      <c r="I4114" s="11" t="s">
        <v>28</v>
      </c>
      <c r="J4114" s="11" t="s">
        <v>28</v>
      </c>
      <c r="K4114" s="11" t="s">
        <v>28</v>
      </c>
      <c r="L4114" s="11" t="s">
        <v>28</v>
      </c>
      <c r="M4114" s="11" t="s">
        <v>28</v>
      </c>
      <c r="N4114" s="8">
        <v>44495</v>
      </c>
      <c r="O4114" s="9" t="s">
        <v>79</v>
      </c>
      <c r="P4114" s="12" t="s">
        <v>13377</v>
      </c>
      <c r="Q4114" s="9" t="s">
        <v>119</v>
      </c>
      <c r="R4114" s="14" t="str">
        <f>HYPERLINK("https://my.pitchbook.com?c=188493-94T","View Company Online")</f>
        <v>View Company Online</v>
      </c>
    </row>
    <row r="4115" spans="1:18" hidden="1" x14ac:dyDescent="0.3">
      <c r="A4115" s="15" t="s">
        <v>13378</v>
      </c>
      <c r="B4115" s="15" t="s">
        <v>5868</v>
      </c>
      <c r="C4115" s="18" t="s">
        <v>28</v>
      </c>
      <c r="D4115" s="15" t="s">
        <v>5869</v>
      </c>
      <c r="E4115" s="18" t="s">
        <v>28</v>
      </c>
      <c r="F4115" s="19" t="s">
        <v>28</v>
      </c>
      <c r="G4115" s="19" t="s">
        <v>28</v>
      </c>
      <c r="H4115" s="19" t="s">
        <v>28</v>
      </c>
      <c r="I4115" s="18" t="s">
        <v>28</v>
      </c>
      <c r="J4115" s="18" t="s">
        <v>28</v>
      </c>
      <c r="K4115" s="18" t="s">
        <v>28</v>
      </c>
      <c r="L4115" s="18" t="s">
        <v>28</v>
      </c>
      <c r="M4115" s="18" t="s">
        <v>28</v>
      </c>
      <c r="N4115" s="17">
        <v>44495</v>
      </c>
      <c r="O4115" s="15" t="s">
        <v>30</v>
      </c>
      <c r="P4115" s="16" t="s">
        <v>28</v>
      </c>
      <c r="Q4115" s="15" t="s">
        <v>5870</v>
      </c>
      <c r="R4115" s="13" t="str">
        <f>HYPERLINK("https://my.pitchbook.com?c=182215-36T","View Company Online")</f>
        <v>View Company Online</v>
      </c>
    </row>
    <row r="4116" spans="1:18" hidden="1" x14ac:dyDescent="0.3">
      <c r="A4116" s="9" t="s">
        <v>13379</v>
      </c>
      <c r="B4116" s="9" t="s">
        <v>13380</v>
      </c>
      <c r="C4116" s="11" t="s">
        <v>28</v>
      </c>
      <c r="D4116" s="9" t="s">
        <v>13381</v>
      </c>
      <c r="E4116" s="11" t="s">
        <v>28</v>
      </c>
      <c r="F4116" s="10" t="s">
        <v>28</v>
      </c>
      <c r="G4116" s="10">
        <v>0.01</v>
      </c>
      <c r="H4116" s="10" t="s">
        <v>28</v>
      </c>
      <c r="I4116" s="11" t="s">
        <v>28</v>
      </c>
      <c r="J4116" s="11" t="s">
        <v>28</v>
      </c>
      <c r="K4116" s="11" t="s">
        <v>28</v>
      </c>
      <c r="L4116" s="11" t="s">
        <v>28</v>
      </c>
      <c r="M4116" s="11" t="s">
        <v>28</v>
      </c>
      <c r="N4116" s="8">
        <v>44495</v>
      </c>
      <c r="O4116" s="9" t="s">
        <v>52</v>
      </c>
      <c r="P4116" s="12" t="s">
        <v>4500</v>
      </c>
      <c r="Q4116" s="9" t="s">
        <v>95</v>
      </c>
      <c r="R4116" s="14" t="str">
        <f>HYPERLINK("https://my.pitchbook.com?c=277327-90T","View Company Online")</f>
        <v>View Company Online</v>
      </c>
    </row>
    <row r="4117" spans="1:18" hidden="1" x14ac:dyDescent="0.3">
      <c r="A4117" s="15" t="s">
        <v>13382</v>
      </c>
      <c r="B4117" s="15" t="s">
        <v>13383</v>
      </c>
      <c r="C4117" s="18" t="s">
        <v>28</v>
      </c>
      <c r="D4117" s="15" t="s">
        <v>13384</v>
      </c>
      <c r="E4117" s="18" t="s">
        <v>28</v>
      </c>
      <c r="F4117" s="19">
        <v>32.18</v>
      </c>
      <c r="G4117" s="19">
        <v>32.18</v>
      </c>
      <c r="H4117" s="19">
        <v>32.18</v>
      </c>
      <c r="I4117" s="18" t="s">
        <v>28</v>
      </c>
      <c r="J4117" s="18" t="s">
        <v>28</v>
      </c>
      <c r="K4117" s="18" t="s">
        <v>28</v>
      </c>
      <c r="L4117" s="18" t="s">
        <v>28</v>
      </c>
      <c r="M4117" s="18" t="s">
        <v>28</v>
      </c>
      <c r="N4117" s="17">
        <v>44494</v>
      </c>
      <c r="O4117" s="15" t="s">
        <v>30</v>
      </c>
      <c r="P4117" s="16" t="s">
        <v>28</v>
      </c>
      <c r="Q4117" s="15" t="s">
        <v>1361</v>
      </c>
      <c r="R4117" s="13" t="str">
        <f>HYPERLINK("https://my.pitchbook.com?c=183899-71T","View Company Online")</f>
        <v>View Company Online</v>
      </c>
    </row>
    <row r="4118" spans="1:18" hidden="1" x14ac:dyDescent="0.3">
      <c r="A4118" s="9" t="s">
        <v>13385</v>
      </c>
      <c r="B4118" s="9" t="s">
        <v>13386</v>
      </c>
      <c r="C4118" s="11" t="s">
        <v>28</v>
      </c>
      <c r="D4118" s="9" t="s">
        <v>13387</v>
      </c>
      <c r="E4118" s="11" t="s">
        <v>28</v>
      </c>
      <c r="F4118" s="10">
        <v>11.43</v>
      </c>
      <c r="G4118" s="10">
        <v>8</v>
      </c>
      <c r="H4118" s="10">
        <v>11.43</v>
      </c>
      <c r="I4118" s="11" t="s">
        <v>28</v>
      </c>
      <c r="J4118" s="11" t="s">
        <v>28</v>
      </c>
      <c r="K4118" s="11" t="s">
        <v>28</v>
      </c>
      <c r="L4118" s="11" t="s">
        <v>28</v>
      </c>
      <c r="M4118" s="11" t="s">
        <v>28</v>
      </c>
      <c r="N4118" s="8">
        <v>44494</v>
      </c>
      <c r="O4118" s="9" t="s">
        <v>30</v>
      </c>
      <c r="P4118" s="12" t="s">
        <v>13388</v>
      </c>
      <c r="Q4118" s="9" t="s">
        <v>362</v>
      </c>
      <c r="R4118" s="14" t="str">
        <f>HYPERLINK("https://my.pitchbook.com?c=178744-15T","View Company Online")</f>
        <v>View Company Online</v>
      </c>
    </row>
    <row r="4119" spans="1:18" hidden="1" x14ac:dyDescent="0.3">
      <c r="A4119" s="15" t="s">
        <v>13389</v>
      </c>
      <c r="B4119" s="15" t="s">
        <v>13390</v>
      </c>
      <c r="C4119" s="18" t="s">
        <v>28</v>
      </c>
      <c r="D4119" s="15" t="s">
        <v>13391</v>
      </c>
      <c r="E4119" s="18" t="s">
        <v>28</v>
      </c>
      <c r="F4119" s="19" t="s">
        <v>28</v>
      </c>
      <c r="G4119" s="19" t="s">
        <v>28</v>
      </c>
      <c r="H4119" s="19" t="s">
        <v>28</v>
      </c>
      <c r="I4119" s="18" t="s">
        <v>28</v>
      </c>
      <c r="J4119" s="18" t="s">
        <v>28</v>
      </c>
      <c r="K4119" s="18" t="s">
        <v>28</v>
      </c>
      <c r="L4119" s="18" t="s">
        <v>28</v>
      </c>
      <c r="M4119" s="18" t="s">
        <v>28</v>
      </c>
      <c r="N4119" s="17">
        <v>44494</v>
      </c>
      <c r="O4119" s="15" t="s">
        <v>30</v>
      </c>
      <c r="P4119" s="16" t="s">
        <v>2334</v>
      </c>
      <c r="Q4119" s="15" t="s">
        <v>290</v>
      </c>
      <c r="R4119" s="13" t="str">
        <f>HYPERLINK("https://my.pitchbook.com?c=211378-96T","View Company Online")</f>
        <v>View Company Online</v>
      </c>
    </row>
    <row r="4120" spans="1:18" hidden="1" x14ac:dyDescent="0.3">
      <c r="A4120" s="9" t="s">
        <v>13392</v>
      </c>
      <c r="B4120" s="9" t="s">
        <v>6353</v>
      </c>
      <c r="C4120" s="11" t="s">
        <v>28</v>
      </c>
      <c r="D4120" s="9" t="s">
        <v>6354</v>
      </c>
      <c r="E4120" s="11" t="s">
        <v>28</v>
      </c>
      <c r="F4120" s="10" t="s">
        <v>28</v>
      </c>
      <c r="G4120" s="10">
        <v>35.799999999999997</v>
      </c>
      <c r="H4120" s="10" t="s">
        <v>28</v>
      </c>
      <c r="I4120" s="11" t="s">
        <v>28</v>
      </c>
      <c r="J4120" s="11" t="s">
        <v>28</v>
      </c>
      <c r="K4120" s="11" t="s">
        <v>28</v>
      </c>
      <c r="L4120" s="11" t="s">
        <v>28</v>
      </c>
      <c r="M4120" s="11" t="s">
        <v>28</v>
      </c>
      <c r="N4120" s="8">
        <v>44494</v>
      </c>
      <c r="O4120" s="9" t="s">
        <v>73</v>
      </c>
      <c r="P4120" s="12" t="s">
        <v>13393</v>
      </c>
      <c r="Q4120" s="9" t="s">
        <v>6356</v>
      </c>
      <c r="R4120" s="14" t="str">
        <f>HYPERLINK("https://my.pitchbook.com?c=182160-01T","View Company Online")</f>
        <v>View Company Online</v>
      </c>
    </row>
    <row r="4121" spans="1:18" hidden="1" x14ac:dyDescent="0.3">
      <c r="A4121" s="15" t="s">
        <v>13394</v>
      </c>
      <c r="B4121" s="15" t="s">
        <v>7096</v>
      </c>
      <c r="C4121" s="18" t="s">
        <v>28</v>
      </c>
      <c r="D4121" s="15" t="s">
        <v>7097</v>
      </c>
      <c r="E4121" s="18" t="s">
        <v>28</v>
      </c>
      <c r="F4121" s="19" t="s">
        <v>28</v>
      </c>
      <c r="G4121" s="19">
        <v>0.33</v>
      </c>
      <c r="H4121" s="19">
        <v>2.92</v>
      </c>
      <c r="I4121" s="18" t="s">
        <v>28</v>
      </c>
      <c r="J4121" s="18" t="s">
        <v>28</v>
      </c>
      <c r="K4121" s="18" t="s">
        <v>28</v>
      </c>
      <c r="L4121" s="18" t="s">
        <v>28</v>
      </c>
      <c r="M4121" s="18" t="s">
        <v>28</v>
      </c>
      <c r="N4121" s="17">
        <v>44493</v>
      </c>
      <c r="O4121" s="15" t="s">
        <v>1639</v>
      </c>
      <c r="P4121" s="16" t="s">
        <v>12524</v>
      </c>
      <c r="Q4121" s="15" t="s">
        <v>75</v>
      </c>
      <c r="R4121" s="13" t="str">
        <f>HYPERLINK("https://my.pitchbook.com?c=183181-78T","View Company Online")</f>
        <v>View Company Online</v>
      </c>
    </row>
    <row r="4122" spans="1:18" hidden="1" x14ac:dyDescent="0.3">
      <c r="A4122" s="9" t="s">
        <v>13395</v>
      </c>
      <c r="B4122" s="9" t="s">
        <v>5655</v>
      </c>
      <c r="C4122" s="11" t="s">
        <v>28</v>
      </c>
      <c r="D4122" s="9" t="s">
        <v>5656</v>
      </c>
      <c r="E4122" s="11" t="s">
        <v>28</v>
      </c>
      <c r="F4122" s="10">
        <v>7</v>
      </c>
      <c r="G4122" s="10">
        <v>7</v>
      </c>
      <c r="H4122" s="10">
        <v>7</v>
      </c>
      <c r="I4122" s="11" t="s">
        <v>28</v>
      </c>
      <c r="J4122" s="11" t="s">
        <v>28</v>
      </c>
      <c r="K4122" s="11" t="s">
        <v>28</v>
      </c>
      <c r="L4122" s="11" t="s">
        <v>28</v>
      </c>
      <c r="M4122" s="11" t="s">
        <v>28</v>
      </c>
      <c r="N4122" s="8">
        <v>44491</v>
      </c>
      <c r="O4122" s="9" t="s">
        <v>30</v>
      </c>
      <c r="P4122" s="12" t="s">
        <v>13396</v>
      </c>
      <c r="Q4122" s="9" t="s">
        <v>740</v>
      </c>
      <c r="R4122" s="14" t="str">
        <f>HYPERLINK("https://my.pitchbook.com?c=245754-73T","View Company Online")</f>
        <v>View Company Online</v>
      </c>
    </row>
    <row r="4123" spans="1:18" hidden="1" x14ac:dyDescent="0.3">
      <c r="A4123" s="15" t="s">
        <v>13397</v>
      </c>
      <c r="B4123" s="15" t="s">
        <v>13398</v>
      </c>
      <c r="C4123" s="18" t="s">
        <v>28</v>
      </c>
      <c r="D4123" s="15" t="s">
        <v>13399</v>
      </c>
      <c r="E4123" s="18" t="s">
        <v>28</v>
      </c>
      <c r="F4123" s="19" t="s">
        <v>28</v>
      </c>
      <c r="G4123" s="19">
        <v>0.9</v>
      </c>
      <c r="H4123" s="19" t="s">
        <v>28</v>
      </c>
      <c r="I4123" s="18" t="s">
        <v>28</v>
      </c>
      <c r="J4123" s="18" t="s">
        <v>28</v>
      </c>
      <c r="K4123" s="18" t="s">
        <v>28</v>
      </c>
      <c r="L4123" s="18" t="s">
        <v>28</v>
      </c>
      <c r="M4123" s="18" t="s">
        <v>28</v>
      </c>
      <c r="N4123" s="17">
        <v>44491</v>
      </c>
      <c r="O4123" s="15" t="s">
        <v>99</v>
      </c>
      <c r="P4123" s="16" t="s">
        <v>3451</v>
      </c>
      <c r="Q4123" s="15" t="s">
        <v>75</v>
      </c>
      <c r="R4123" s="13" t="str">
        <f>HYPERLINK("https://my.pitchbook.com?c=182142-10T","View Company Online")</f>
        <v>View Company Online</v>
      </c>
    </row>
    <row r="4124" spans="1:18" hidden="1" x14ac:dyDescent="0.3">
      <c r="A4124" s="9" t="s">
        <v>13400</v>
      </c>
      <c r="B4124" s="9" t="s">
        <v>13401</v>
      </c>
      <c r="C4124" s="11" t="s">
        <v>28</v>
      </c>
      <c r="D4124" s="9" t="s">
        <v>13402</v>
      </c>
      <c r="E4124" s="11" t="s">
        <v>28</v>
      </c>
      <c r="F4124" s="10">
        <v>13.72</v>
      </c>
      <c r="G4124" s="10">
        <v>7</v>
      </c>
      <c r="H4124" s="10">
        <v>13.72</v>
      </c>
      <c r="I4124" s="11" t="s">
        <v>28</v>
      </c>
      <c r="J4124" s="11" t="s">
        <v>28</v>
      </c>
      <c r="K4124" s="11" t="s">
        <v>28</v>
      </c>
      <c r="L4124" s="11" t="s">
        <v>28</v>
      </c>
      <c r="M4124" s="11" t="s">
        <v>28</v>
      </c>
      <c r="N4124" s="8">
        <v>44491</v>
      </c>
      <c r="O4124" s="9" t="s">
        <v>30</v>
      </c>
      <c r="P4124" s="12" t="s">
        <v>13403</v>
      </c>
      <c r="Q4124" s="9" t="s">
        <v>37</v>
      </c>
      <c r="R4124" s="14" t="str">
        <f>HYPERLINK("https://my.pitchbook.com?c=182165-41T","View Company Online")</f>
        <v>View Company Online</v>
      </c>
    </row>
    <row r="4125" spans="1:18" x14ac:dyDescent="0.3">
      <c r="A4125" s="15" t="s">
        <v>13404</v>
      </c>
      <c r="B4125" s="15" t="s">
        <v>13405</v>
      </c>
      <c r="C4125" s="18">
        <v>14.89</v>
      </c>
      <c r="D4125" s="15" t="s">
        <v>13406</v>
      </c>
      <c r="E4125" s="18" t="s">
        <v>28</v>
      </c>
      <c r="F4125" s="19">
        <v>320.73</v>
      </c>
      <c r="G4125" s="19">
        <v>163.57</v>
      </c>
      <c r="H4125" s="19">
        <v>320.73</v>
      </c>
      <c r="I4125" s="18">
        <v>21.54</v>
      </c>
      <c r="J4125" s="18">
        <v>14.89</v>
      </c>
      <c r="K4125" s="18" t="s">
        <v>28</v>
      </c>
      <c r="L4125" s="18" t="s">
        <v>28</v>
      </c>
      <c r="M4125" s="18" t="s">
        <v>28</v>
      </c>
      <c r="N4125" s="17">
        <v>44491</v>
      </c>
      <c r="O4125" s="15" t="s">
        <v>30</v>
      </c>
      <c r="P4125" s="16" t="s">
        <v>1866</v>
      </c>
      <c r="Q4125" s="15" t="s">
        <v>4901</v>
      </c>
      <c r="R4125" s="13" t="str">
        <f>HYPERLINK("https://my.pitchbook.com?c=182232-37T","View Company Online")</f>
        <v>View Company Online</v>
      </c>
    </row>
    <row r="4126" spans="1:18" hidden="1" x14ac:dyDescent="0.3">
      <c r="A4126" s="9" t="s">
        <v>13407</v>
      </c>
      <c r="B4126" s="9" t="s">
        <v>2421</v>
      </c>
      <c r="C4126" s="11" t="s">
        <v>28</v>
      </c>
      <c r="D4126" s="9" t="s">
        <v>2422</v>
      </c>
      <c r="E4126" s="11" t="s">
        <v>28</v>
      </c>
      <c r="F4126" s="10" t="s">
        <v>28</v>
      </c>
      <c r="G4126" s="10">
        <v>51.36</v>
      </c>
      <c r="H4126" s="10">
        <v>183.43</v>
      </c>
      <c r="I4126" s="11" t="s">
        <v>28</v>
      </c>
      <c r="J4126" s="11" t="s">
        <v>28</v>
      </c>
      <c r="K4126" s="11">
        <v>9.27</v>
      </c>
      <c r="L4126" s="11">
        <v>19.79</v>
      </c>
      <c r="M4126" s="11" t="s">
        <v>28</v>
      </c>
      <c r="N4126" s="8">
        <v>44490</v>
      </c>
      <c r="O4126" s="9" t="s">
        <v>73</v>
      </c>
      <c r="P4126" s="12" t="s">
        <v>13408</v>
      </c>
      <c r="Q4126" s="9" t="s">
        <v>75</v>
      </c>
      <c r="R4126" s="14" t="str">
        <f>HYPERLINK("https://my.pitchbook.com?c=181247-05T","View Company Online")</f>
        <v>View Company Online</v>
      </c>
    </row>
    <row r="4127" spans="1:18" hidden="1" x14ac:dyDescent="0.3">
      <c r="A4127" s="15" t="s">
        <v>13409</v>
      </c>
      <c r="B4127" s="15" t="s">
        <v>12616</v>
      </c>
      <c r="C4127" s="18" t="s">
        <v>28</v>
      </c>
      <c r="D4127" s="15" t="s">
        <v>12617</v>
      </c>
      <c r="E4127" s="18" t="s">
        <v>28</v>
      </c>
      <c r="F4127" s="19" t="s">
        <v>28</v>
      </c>
      <c r="G4127" s="19">
        <v>3</v>
      </c>
      <c r="H4127" s="19" t="s">
        <v>28</v>
      </c>
      <c r="I4127" s="18" t="s">
        <v>28</v>
      </c>
      <c r="J4127" s="18" t="s">
        <v>28</v>
      </c>
      <c r="K4127" s="18" t="s">
        <v>28</v>
      </c>
      <c r="L4127" s="18" t="s">
        <v>28</v>
      </c>
      <c r="M4127" s="18" t="s">
        <v>28</v>
      </c>
      <c r="N4127" s="17">
        <v>44490</v>
      </c>
      <c r="O4127" s="15" t="s">
        <v>99</v>
      </c>
      <c r="P4127" s="16" t="s">
        <v>13410</v>
      </c>
      <c r="Q4127" s="15" t="s">
        <v>75</v>
      </c>
      <c r="R4127" s="13" t="str">
        <f>HYPERLINK("https://my.pitchbook.com?c=184623-58T","View Company Online")</f>
        <v>View Company Online</v>
      </c>
    </row>
    <row r="4128" spans="1:18" hidden="1" x14ac:dyDescent="0.3">
      <c r="A4128" s="9" t="s">
        <v>13411</v>
      </c>
      <c r="B4128" s="9" t="s">
        <v>13412</v>
      </c>
      <c r="C4128" s="11" t="s">
        <v>28</v>
      </c>
      <c r="D4128" s="9" t="s">
        <v>13413</v>
      </c>
      <c r="E4128" s="11" t="s">
        <v>28</v>
      </c>
      <c r="F4128" s="10" t="s">
        <v>28</v>
      </c>
      <c r="G4128" s="10" t="s">
        <v>28</v>
      </c>
      <c r="H4128" s="10" t="s">
        <v>28</v>
      </c>
      <c r="I4128" s="11" t="s">
        <v>28</v>
      </c>
      <c r="J4128" s="11" t="s">
        <v>28</v>
      </c>
      <c r="K4128" s="11" t="s">
        <v>28</v>
      </c>
      <c r="L4128" s="11" t="s">
        <v>28</v>
      </c>
      <c r="M4128" s="11" t="s">
        <v>28</v>
      </c>
      <c r="N4128" s="8">
        <v>44490</v>
      </c>
      <c r="O4128" s="9" t="s">
        <v>30</v>
      </c>
      <c r="P4128" s="12" t="s">
        <v>13414</v>
      </c>
      <c r="Q4128" s="9" t="s">
        <v>249</v>
      </c>
      <c r="R4128" s="14" t="str">
        <f>HYPERLINK("https://my.pitchbook.com?c=211772-44T","View Company Online")</f>
        <v>View Company Online</v>
      </c>
    </row>
    <row r="4129" spans="1:18" hidden="1" x14ac:dyDescent="0.3">
      <c r="A4129" s="15" t="s">
        <v>13415</v>
      </c>
      <c r="B4129" s="15" t="s">
        <v>13416</v>
      </c>
      <c r="C4129" s="18" t="s">
        <v>28</v>
      </c>
      <c r="D4129" s="15" t="s">
        <v>13417</v>
      </c>
      <c r="E4129" s="18" t="s">
        <v>28</v>
      </c>
      <c r="F4129" s="19" t="s">
        <v>28</v>
      </c>
      <c r="G4129" s="19" t="s">
        <v>28</v>
      </c>
      <c r="H4129" s="19" t="s">
        <v>28</v>
      </c>
      <c r="I4129" s="18" t="s">
        <v>28</v>
      </c>
      <c r="J4129" s="18" t="s">
        <v>28</v>
      </c>
      <c r="K4129" s="18" t="s">
        <v>28</v>
      </c>
      <c r="L4129" s="18" t="s">
        <v>28</v>
      </c>
      <c r="M4129" s="18" t="s">
        <v>28</v>
      </c>
      <c r="N4129" s="17">
        <v>44490</v>
      </c>
      <c r="O4129" s="15" t="s">
        <v>99</v>
      </c>
      <c r="P4129" s="16" t="s">
        <v>13418</v>
      </c>
      <c r="Q4129" s="15" t="s">
        <v>37</v>
      </c>
      <c r="R4129" s="13" t="str">
        <f>HYPERLINK("https://my.pitchbook.com?c=182073-25T","View Company Online")</f>
        <v>View Company Online</v>
      </c>
    </row>
    <row r="4130" spans="1:18" hidden="1" x14ac:dyDescent="0.3">
      <c r="A4130" s="9" t="s">
        <v>13419</v>
      </c>
      <c r="B4130" s="9" t="s">
        <v>11559</v>
      </c>
      <c r="C4130" s="11" t="s">
        <v>28</v>
      </c>
      <c r="D4130" s="9" t="s">
        <v>11560</v>
      </c>
      <c r="E4130" s="11" t="s">
        <v>28</v>
      </c>
      <c r="F4130" s="10" t="s">
        <v>28</v>
      </c>
      <c r="G4130" s="10" t="s">
        <v>28</v>
      </c>
      <c r="H4130" s="10" t="s">
        <v>28</v>
      </c>
      <c r="I4130" s="11" t="s">
        <v>28</v>
      </c>
      <c r="J4130" s="11" t="s">
        <v>28</v>
      </c>
      <c r="K4130" s="11" t="s">
        <v>28</v>
      </c>
      <c r="L4130" s="11" t="s">
        <v>28</v>
      </c>
      <c r="M4130" s="11" t="s">
        <v>28</v>
      </c>
      <c r="N4130" s="8">
        <v>44490</v>
      </c>
      <c r="O4130" s="9" t="s">
        <v>73</v>
      </c>
      <c r="P4130" s="12" t="s">
        <v>9551</v>
      </c>
      <c r="Q4130" s="9" t="s">
        <v>75</v>
      </c>
      <c r="R4130" s="14" t="str">
        <f>HYPERLINK("https://my.pitchbook.com?c=182641-06T","View Company Online")</f>
        <v>View Company Online</v>
      </c>
    </row>
    <row r="4131" spans="1:18" hidden="1" x14ac:dyDescent="0.3">
      <c r="A4131" s="15" t="s">
        <v>13420</v>
      </c>
      <c r="B4131" s="15" t="s">
        <v>13421</v>
      </c>
      <c r="C4131" s="18" t="s">
        <v>28</v>
      </c>
      <c r="D4131" s="15" t="s">
        <v>13422</v>
      </c>
      <c r="E4131" s="18" t="s">
        <v>28</v>
      </c>
      <c r="F4131" s="19" t="s">
        <v>28</v>
      </c>
      <c r="G4131" s="19" t="s">
        <v>28</v>
      </c>
      <c r="H4131" s="19" t="s">
        <v>28</v>
      </c>
      <c r="I4131" s="18" t="s">
        <v>28</v>
      </c>
      <c r="J4131" s="18" t="s">
        <v>28</v>
      </c>
      <c r="K4131" s="18">
        <v>1</v>
      </c>
      <c r="L4131" s="18" t="s">
        <v>28</v>
      </c>
      <c r="M4131" s="18">
        <v>0.91</v>
      </c>
      <c r="N4131" s="17">
        <v>44489</v>
      </c>
      <c r="O4131" s="15" t="s">
        <v>173</v>
      </c>
      <c r="P4131" s="16" t="s">
        <v>28</v>
      </c>
      <c r="Q4131" s="15" t="s">
        <v>174</v>
      </c>
      <c r="R4131" s="13" t="str">
        <f>HYPERLINK("https://my.pitchbook.com?c=251685-28T","View Company Online")</f>
        <v>View Company Online</v>
      </c>
    </row>
    <row r="4132" spans="1:18" hidden="1" x14ac:dyDescent="0.3">
      <c r="A4132" s="9" t="s">
        <v>13423</v>
      </c>
      <c r="B4132" s="9" t="s">
        <v>13424</v>
      </c>
      <c r="C4132" s="11" t="s">
        <v>28</v>
      </c>
      <c r="D4132" s="9" t="s">
        <v>13425</v>
      </c>
      <c r="E4132" s="11" t="s">
        <v>28</v>
      </c>
      <c r="F4132" s="10" t="s">
        <v>28</v>
      </c>
      <c r="G4132" s="10">
        <v>40</v>
      </c>
      <c r="H4132" s="10" t="s">
        <v>28</v>
      </c>
      <c r="I4132" s="11" t="s">
        <v>28</v>
      </c>
      <c r="J4132" s="11" t="s">
        <v>28</v>
      </c>
      <c r="K4132" s="11" t="s">
        <v>28</v>
      </c>
      <c r="L4132" s="11" t="s">
        <v>28</v>
      </c>
      <c r="M4132" s="11" t="s">
        <v>28</v>
      </c>
      <c r="N4132" s="8">
        <v>44489</v>
      </c>
      <c r="O4132" s="9" t="s">
        <v>79</v>
      </c>
      <c r="P4132" s="12" t="s">
        <v>13426</v>
      </c>
      <c r="Q4132" s="9" t="s">
        <v>37</v>
      </c>
      <c r="R4132" s="14" t="str">
        <f>HYPERLINK("https://my.pitchbook.com?c=181939-33T","View Company Online")</f>
        <v>View Company Online</v>
      </c>
    </row>
    <row r="4133" spans="1:18" hidden="1" x14ac:dyDescent="0.3">
      <c r="A4133" s="15" t="s">
        <v>13427</v>
      </c>
      <c r="B4133" s="15" t="s">
        <v>13428</v>
      </c>
      <c r="C4133" s="18" t="s">
        <v>28</v>
      </c>
      <c r="D4133" s="15" t="s">
        <v>13429</v>
      </c>
      <c r="E4133" s="18" t="s">
        <v>28</v>
      </c>
      <c r="F4133" s="19" t="s">
        <v>28</v>
      </c>
      <c r="G4133" s="19" t="s">
        <v>28</v>
      </c>
      <c r="H4133" s="19" t="s">
        <v>28</v>
      </c>
      <c r="I4133" s="18" t="s">
        <v>28</v>
      </c>
      <c r="J4133" s="18" t="s">
        <v>28</v>
      </c>
      <c r="K4133" s="18" t="s">
        <v>28</v>
      </c>
      <c r="L4133" s="18" t="s">
        <v>28</v>
      </c>
      <c r="M4133" s="18" t="s">
        <v>28</v>
      </c>
      <c r="N4133" s="17">
        <v>44489</v>
      </c>
      <c r="O4133" s="15" t="s">
        <v>41</v>
      </c>
      <c r="P4133" s="16" t="s">
        <v>13430</v>
      </c>
      <c r="Q4133" s="15" t="s">
        <v>188</v>
      </c>
      <c r="R4133" s="13" t="str">
        <f>HYPERLINK("https://my.pitchbook.com?c=182006-83T","View Company Online")</f>
        <v>View Company Online</v>
      </c>
    </row>
    <row r="4134" spans="1:18" hidden="1" x14ac:dyDescent="0.3">
      <c r="A4134" s="9" t="s">
        <v>13431</v>
      </c>
      <c r="B4134" s="9" t="s">
        <v>6001</v>
      </c>
      <c r="C4134" s="11" t="s">
        <v>28</v>
      </c>
      <c r="D4134" s="9" t="s">
        <v>6002</v>
      </c>
      <c r="E4134" s="11" t="s">
        <v>28</v>
      </c>
      <c r="F4134" s="10" t="s">
        <v>28</v>
      </c>
      <c r="G4134" s="10" t="s">
        <v>28</v>
      </c>
      <c r="H4134" s="10" t="s">
        <v>28</v>
      </c>
      <c r="I4134" s="11" t="s">
        <v>28</v>
      </c>
      <c r="J4134" s="11" t="s">
        <v>28</v>
      </c>
      <c r="K4134" s="11" t="s">
        <v>28</v>
      </c>
      <c r="L4134" s="11" t="s">
        <v>28</v>
      </c>
      <c r="M4134" s="11" t="s">
        <v>28</v>
      </c>
      <c r="N4134" s="8">
        <v>44489</v>
      </c>
      <c r="O4134" s="9" t="s">
        <v>79</v>
      </c>
      <c r="P4134" s="12" t="s">
        <v>13432</v>
      </c>
      <c r="Q4134" s="9" t="s">
        <v>136</v>
      </c>
      <c r="R4134" s="14" t="str">
        <f>HYPERLINK("https://my.pitchbook.com?c=202768-48T","View Company Online")</f>
        <v>View Company Online</v>
      </c>
    </row>
    <row r="4135" spans="1:18" hidden="1" x14ac:dyDescent="0.3">
      <c r="A4135" s="15" t="s">
        <v>13433</v>
      </c>
      <c r="B4135" s="15" t="s">
        <v>13434</v>
      </c>
      <c r="C4135" s="18" t="s">
        <v>28</v>
      </c>
      <c r="D4135" s="15" t="s">
        <v>13435</v>
      </c>
      <c r="E4135" s="18" t="s">
        <v>28</v>
      </c>
      <c r="F4135" s="19">
        <v>92.03</v>
      </c>
      <c r="G4135" s="19">
        <v>92.03</v>
      </c>
      <c r="H4135" s="19">
        <v>92.03</v>
      </c>
      <c r="I4135" s="18" t="s">
        <v>28</v>
      </c>
      <c r="J4135" s="18" t="s">
        <v>28</v>
      </c>
      <c r="K4135" s="18">
        <v>561.37</v>
      </c>
      <c r="L4135" s="18">
        <v>0.16</v>
      </c>
      <c r="M4135" s="18" t="s">
        <v>28</v>
      </c>
      <c r="N4135" s="17">
        <v>44488</v>
      </c>
      <c r="O4135" s="15" t="s">
        <v>30</v>
      </c>
      <c r="P4135" s="16" t="s">
        <v>13436</v>
      </c>
      <c r="Q4135" s="15" t="s">
        <v>566</v>
      </c>
      <c r="R4135" s="13" t="str">
        <f>HYPERLINK("https://my.pitchbook.com?c=180688-33T","View Company Online")</f>
        <v>View Company Online</v>
      </c>
    </row>
    <row r="4136" spans="1:18" hidden="1" x14ac:dyDescent="0.3">
      <c r="A4136" s="9" t="s">
        <v>13437</v>
      </c>
      <c r="B4136" s="9" t="s">
        <v>13438</v>
      </c>
      <c r="C4136" s="11" t="s">
        <v>28</v>
      </c>
      <c r="D4136" s="9" t="s">
        <v>13439</v>
      </c>
      <c r="E4136" s="11" t="s">
        <v>28</v>
      </c>
      <c r="F4136" s="10" t="s">
        <v>28</v>
      </c>
      <c r="G4136" s="10">
        <v>0.06</v>
      </c>
      <c r="H4136" s="10" t="s">
        <v>28</v>
      </c>
      <c r="I4136" s="11" t="s">
        <v>28</v>
      </c>
      <c r="J4136" s="11" t="s">
        <v>28</v>
      </c>
      <c r="K4136" s="11" t="s">
        <v>28</v>
      </c>
      <c r="L4136" s="11" t="s">
        <v>28</v>
      </c>
      <c r="M4136" s="11" t="s">
        <v>28</v>
      </c>
      <c r="N4136" s="8">
        <v>44488</v>
      </c>
      <c r="O4136" s="9" t="s">
        <v>99</v>
      </c>
      <c r="P4136" s="12" t="s">
        <v>13396</v>
      </c>
      <c r="Q4136" s="9" t="s">
        <v>419</v>
      </c>
      <c r="R4136" s="14" t="str">
        <f>HYPERLINK("https://my.pitchbook.com?c=195261-31T","View Company Online")</f>
        <v>View Company Online</v>
      </c>
    </row>
    <row r="4137" spans="1:18" hidden="1" x14ac:dyDescent="0.3">
      <c r="A4137" s="15" t="s">
        <v>13440</v>
      </c>
      <c r="B4137" s="15" t="s">
        <v>13441</v>
      </c>
      <c r="C4137" s="18" t="s">
        <v>28</v>
      </c>
      <c r="D4137" s="15" t="s">
        <v>13442</v>
      </c>
      <c r="E4137" s="18" t="s">
        <v>28</v>
      </c>
      <c r="F4137" s="19" t="s">
        <v>28</v>
      </c>
      <c r="G4137" s="19">
        <v>0.18</v>
      </c>
      <c r="H4137" s="19" t="s">
        <v>28</v>
      </c>
      <c r="I4137" s="18" t="s">
        <v>28</v>
      </c>
      <c r="J4137" s="18" t="s">
        <v>28</v>
      </c>
      <c r="K4137" s="18" t="s">
        <v>28</v>
      </c>
      <c r="L4137" s="18" t="s">
        <v>28</v>
      </c>
      <c r="M4137" s="18" t="s">
        <v>28</v>
      </c>
      <c r="N4137" s="17">
        <v>44488</v>
      </c>
      <c r="O4137" s="15" t="s">
        <v>379</v>
      </c>
      <c r="P4137" s="16" t="s">
        <v>28</v>
      </c>
      <c r="Q4137" s="15" t="s">
        <v>855</v>
      </c>
      <c r="R4137" s="13" t="str">
        <f>HYPERLINK("https://my.pitchbook.com?c=181983-61T","View Company Online")</f>
        <v>View Company Online</v>
      </c>
    </row>
    <row r="4138" spans="1:18" hidden="1" x14ac:dyDescent="0.3">
      <c r="A4138" s="9" t="s">
        <v>13443</v>
      </c>
      <c r="B4138" s="9" t="s">
        <v>13444</v>
      </c>
      <c r="C4138" s="11" t="s">
        <v>28</v>
      </c>
      <c r="D4138" s="9" t="s">
        <v>13445</v>
      </c>
      <c r="E4138" s="11" t="s">
        <v>28</v>
      </c>
      <c r="F4138" s="10">
        <v>2.68</v>
      </c>
      <c r="G4138" s="10">
        <v>2.68</v>
      </c>
      <c r="H4138" s="10">
        <v>2.68</v>
      </c>
      <c r="I4138" s="11" t="s">
        <v>28</v>
      </c>
      <c r="J4138" s="11" t="s">
        <v>28</v>
      </c>
      <c r="K4138" s="11" t="s">
        <v>28</v>
      </c>
      <c r="L4138" s="11" t="s">
        <v>28</v>
      </c>
      <c r="M4138" s="11">
        <v>0.94</v>
      </c>
      <c r="N4138" s="8">
        <v>44488</v>
      </c>
      <c r="O4138" s="9" t="s">
        <v>41</v>
      </c>
      <c r="P4138" s="12" t="s">
        <v>13446</v>
      </c>
      <c r="Q4138" s="9" t="s">
        <v>583</v>
      </c>
      <c r="R4138" s="14" t="str">
        <f>HYPERLINK("https://my.pitchbook.com?c=181908-82T","View Company Online")</f>
        <v>View Company Online</v>
      </c>
    </row>
    <row r="4139" spans="1:18" hidden="1" x14ac:dyDescent="0.3">
      <c r="A4139" s="15" t="s">
        <v>13447</v>
      </c>
      <c r="B4139" s="15" t="s">
        <v>5585</v>
      </c>
      <c r="C4139" s="18" t="s">
        <v>28</v>
      </c>
      <c r="D4139" s="15" t="s">
        <v>5586</v>
      </c>
      <c r="E4139" s="18" t="s">
        <v>28</v>
      </c>
      <c r="F4139" s="19" t="s">
        <v>28</v>
      </c>
      <c r="G4139" s="19">
        <v>108</v>
      </c>
      <c r="H4139" s="19" t="s">
        <v>28</v>
      </c>
      <c r="I4139" s="18" t="s">
        <v>28</v>
      </c>
      <c r="J4139" s="18" t="s">
        <v>28</v>
      </c>
      <c r="K4139" s="18" t="s">
        <v>28</v>
      </c>
      <c r="L4139" s="18" t="s">
        <v>28</v>
      </c>
      <c r="M4139" s="18" t="s">
        <v>28</v>
      </c>
      <c r="N4139" s="17">
        <v>44488</v>
      </c>
      <c r="O4139" s="15" t="s">
        <v>79</v>
      </c>
      <c r="P4139" s="16" t="s">
        <v>13448</v>
      </c>
      <c r="Q4139" s="15" t="s">
        <v>37</v>
      </c>
      <c r="R4139" s="13" t="str">
        <f>HYPERLINK("https://my.pitchbook.com?c=181887-04T","View Company Online")</f>
        <v>View Company Online</v>
      </c>
    </row>
    <row r="4140" spans="1:18" hidden="1" x14ac:dyDescent="0.3">
      <c r="A4140" s="9" t="s">
        <v>13449</v>
      </c>
      <c r="B4140" s="9" t="s">
        <v>3566</v>
      </c>
      <c r="C4140" s="11" t="s">
        <v>28</v>
      </c>
      <c r="D4140" s="9" t="s">
        <v>3567</v>
      </c>
      <c r="E4140" s="11" t="s">
        <v>28</v>
      </c>
      <c r="F4140" s="10" t="s">
        <v>28</v>
      </c>
      <c r="G4140" s="10">
        <v>3.31</v>
      </c>
      <c r="H4140" s="10" t="s">
        <v>28</v>
      </c>
      <c r="I4140" s="11" t="s">
        <v>28</v>
      </c>
      <c r="J4140" s="11" t="s">
        <v>28</v>
      </c>
      <c r="K4140" s="11" t="s">
        <v>28</v>
      </c>
      <c r="L4140" s="11" t="s">
        <v>28</v>
      </c>
      <c r="M4140" s="11" t="s">
        <v>28</v>
      </c>
      <c r="N4140" s="8">
        <v>44488</v>
      </c>
      <c r="O4140" s="9" t="s">
        <v>99</v>
      </c>
      <c r="P4140" s="12" t="s">
        <v>13450</v>
      </c>
      <c r="Q4140" s="9" t="s">
        <v>414</v>
      </c>
      <c r="R4140" s="14" t="str">
        <f>HYPERLINK("https://my.pitchbook.com?c=181920-34T","View Company Online")</f>
        <v>View Company Online</v>
      </c>
    </row>
    <row r="4141" spans="1:18" hidden="1" x14ac:dyDescent="0.3">
      <c r="A4141" s="15" t="s">
        <v>13451</v>
      </c>
      <c r="B4141" s="15" t="s">
        <v>13452</v>
      </c>
      <c r="C4141" s="18" t="s">
        <v>28</v>
      </c>
      <c r="D4141" s="15" t="s">
        <v>13453</v>
      </c>
      <c r="E4141" s="18" t="s">
        <v>28</v>
      </c>
      <c r="F4141" s="19" t="s">
        <v>28</v>
      </c>
      <c r="G4141" s="19">
        <v>4.5999999999999996</v>
      </c>
      <c r="H4141" s="19" t="s">
        <v>28</v>
      </c>
      <c r="I4141" s="18" t="s">
        <v>28</v>
      </c>
      <c r="J4141" s="18" t="s">
        <v>28</v>
      </c>
      <c r="K4141" s="18" t="s">
        <v>28</v>
      </c>
      <c r="L4141" s="18" t="s">
        <v>28</v>
      </c>
      <c r="M4141" s="18" t="s">
        <v>28</v>
      </c>
      <c r="N4141" s="17">
        <v>44488</v>
      </c>
      <c r="O4141" s="15" t="s">
        <v>73</v>
      </c>
      <c r="P4141" s="16" t="s">
        <v>8772</v>
      </c>
      <c r="Q4141" s="15" t="s">
        <v>1213</v>
      </c>
      <c r="R4141" s="13" t="str">
        <f>HYPERLINK("https://my.pitchbook.com?c=193513-69T","View Company Online")</f>
        <v>View Company Online</v>
      </c>
    </row>
    <row r="4142" spans="1:18" hidden="1" x14ac:dyDescent="0.3">
      <c r="A4142" s="9" t="s">
        <v>13454</v>
      </c>
      <c r="B4142" s="9" t="s">
        <v>13455</v>
      </c>
      <c r="C4142" s="11" t="s">
        <v>28</v>
      </c>
      <c r="D4142" s="9" t="s">
        <v>13456</v>
      </c>
      <c r="E4142" s="11" t="s">
        <v>28</v>
      </c>
      <c r="F4142" s="10" t="s">
        <v>28</v>
      </c>
      <c r="G4142" s="10" t="s">
        <v>28</v>
      </c>
      <c r="H4142" s="10" t="s">
        <v>28</v>
      </c>
      <c r="I4142" s="11" t="s">
        <v>28</v>
      </c>
      <c r="J4142" s="11" t="s">
        <v>28</v>
      </c>
      <c r="K4142" s="11" t="s">
        <v>28</v>
      </c>
      <c r="L4142" s="11" t="s">
        <v>28</v>
      </c>
      <c r="M4142" s="11" t="s">
        <v>28</v>
      </c>
      <c r="N4142" s="8">
        <v>44487</v>
      </c>
      <c r="O4142" s="9" t="s">
        <v>30</v>
      </c>
      <c r="P4142" s="12" t="s">
        <v>7010</v>
      </c>
      <c r="Q4142" s="9" t="s">
        <v>245</v>
      </c>
      <c r="R4142" s="14" t="str">
        <f>HYPERLINK("https://my.pitchbook.com?c=180390-25T","View Company Online")</f>
        <v>View Company Online</v>
      </c>
    </row>
    <row r="4143" spans="1:18" hidden="1" x14ac:dyDescent="0.3">
      <c r="A4143" s="15" t="s">
        <v>13457</v>
      </c>
      <c r="B4143" s="15" t="s">
        <v>6770</v>
      </c>
      <c r="C4143" s="18" t="s">
        <v>28</v>
      </c>
      <c r="D4143" s="15" t="s">
        <v>6771</v>
      </c>
      <c r="E4143" s="18">
        <v>101.18</v>
      </c>
      <c r="F4143" s="19" t="s">
        <v>28</v>
      </c>
      <c r="G4143" s="19" t="s">
        <v>28</v>
      </c>
      <c r="H4143" s="19" t="s">
        <v>28</v>
      </c>
      <c r="I4143" s="18">
        <v>163.27000000000001</v>
      </c>
      <c r="J4143" s="18" t="s">
        <v>28</v>
      </c>
      <c r="K4143" s="18">
        <v>498.56</v>
      </c>
      <c r="L4143" s="18" t="s">
        <v>28</v>
      </c>
      <c r="M4143" s="18">
        <v>66.739999999999995</v>
      </c>
      <c r="N4143" s="17">
        <v>44487</v>
      </c>
      <c r="O4143" s="15" t="s">
        <v>173</v>
      </c>
      <c r="P4143" s="16" t="s">
        <v>28</v>
      </c>
      <c r="Q4143" s="15" t="s">
        <v>37</v>
      </c>
      <c r="R4143" s="13" t="str">
        <f>HYPERLINK("https://my.pitchbook.com?c=218962-45T","View Company Online")</f>
        <v>View Company Online</v>
      </c>
    </row>
    <row r="4144" spans="1:18" hidden="1" x14ac:dyDescent="0.3">
      <c r="A4144" s="9" t="s">
        <v>13458</v>
      </c>
      <c r="B4144" s="9" t="s">
        <v>13459</v>
      </c>
      <c r="C4144" s="11" t="s">
        <v>28</v>
      </c>
      <c r="D4144" s="9" t="s">
        <v>13460</v>
      </c>
      <c r="E4144" s="11" t="s">
        <v>28</v>
      </c>
      <c r="F4144" s="10" t="s">
        <v>28</v>
      </c>
      <c r="G4144" s="10">
        <v>9.2200000000000006</v>
      </c>
      <c r="H4144" s="10" t="s">
        <v>28</v>
      </c>
      <c r="I4144" s="11" t="s">
        <v>28</v>
      </c>
      <c r="J4144" s="11" t="s">
        <v>28</v>
      </c>
      <c r="K4144" s="11" t="s">
        <v>28</v>
      </c>
      <c r="L4144" s="11" t="s">
        <v>28</v>
      </c>
      <c r="M4144" s="11" t="s">
        <v>28</v>
      </c>
      <c r="N4144" s="8">
        <v>44487</v>
      </c>
      <c r="O4144" s="9" t="s">
        <v>58</v>
      </c>
      <c r="P4144" s="12" t="s">
        <v>28</v>
      </c>
      <c r="Q4144" s="9" t="s">
        <v>249</v>
      </c>
      <c r="R4144" s="14" t="str">
        <f>HYPERLINK("https://my.pitchbook.com?c=181973-17T","View Company Online")</f>
        <v>View Company Online</v>
      </c>
    </row>
    <row r="4145" spans="1:18" hidden="1" x14ac:dyDescent="0.3">
      <c r="A4145" s="15" t="s">
        <v>13461</v>
      </c>
      <c r="B4145" s="15" t="s">
        <v>13462</v>
      </c>
      <c r="C4145" s="18" t="s">
        <v>28</v>
      </c>
      <c r="D4145" s="15" t="s">
        <v>13463</v>
      </c>
      <c r="E4145" s="18" t="s">
        <v>28</v>
      </c>
      <c r="F4145" s="19">
        <v>2.77</v>
      </c>
      <c r="G4145" s="19">
        <v>2.77</v>
      </c>
      <c r="H4145" s="19">
        <v>2.77</v>
      </c>
      <c r="I4145" s="18" t="s">
        <v>28</v>
      </c>
      <c r="J4145" s="18" t="s">
        <v>28</v>
      </c>
      <c r="K4145" s="18">
        <v>11.68</v>
      </c>
      <c r="L4145" s="18">
        <v>0.24</v>
      </c>
      <c r="M4145" s="18" t="s">
        <v>28</v>
      </c>
      <c r="N4145" s="17">
        <v>44487</v>
      </c>
      <c r="O4145" s="15" t="s">
        <v>30</v>
      </c>
      <c r="P4145" s="16" t="s">
        <v>13464</v>
      </c>
      <c r="Q4145" s="15" t="s">
        <v>740</v>
      </c>
      <c r="R4145" s="13" t="str">
        <f>HYPERLINK("https://my.pitchbook.com?c=211774-69T","View Company Online")</f>
        <v>View Company Online</v>
      </c>
    </row>
    <row r="4146" spans="1:18" hidden="1" x14ac:dyDescent="0.3">
      <c r="A4146" s="9" t="s">
        <v>13465</v>
      </c>
      <c r="B4146" s="9" t="s">
        <v>13466</v>
      </c>
      <c r="C4146" s="11" t="s">
        <v>28</v>
      </c>
      <c r="D4146" s="9" t="s">
        <v>13467</v>
      </c>
      <c r="E4146" s="11" t="s">
        <v>28</v>
      </c>
      <c r="F4146" s="10" t="s">
        <v>28</v>
      </c>
      <c r="G4146" s="10">
        <v>0.08</v>
      </c>
      <c r="H4146" s="10" t="s">
        <v>28</v>
      </c>
      <c r="I4146" s="11" t="s">
        <v>28</v>
      </c>
      <c r="J4146" s="11" t="s">
        <v>28</v>
      </c>
      <c r="K4146" s="11" t="s">
        <v>28</v>
      </c>
      <c r="L4146" s="11" t="s">
        <v>28</v>
      </c>
      <c r="M4146" s="11" t="s">
        <v>28</v>
      </c>
      <c r="N4146" s="8">
        <v>44487</v>
      </c>
      <c r="O4146" s="9" t="s">
        <v>379</v>
      </c>
      <c r="P4146" s="12" t="s">
        <v>13468</v>
      </c>
      <c r="Q4146" s="9" t="s">
        <v>75</v>
      </c>
      <c r="R4146" s="14" t="str">
        <f>HYPERLINK("https://my.pitchbook.com?c=181873-81T","View Company Online")</f>
        <v>View Company Online</v>
      </c>
    </row>
    <row r="4147" spans="1:18" hidden="1" x14ac:dyDescent="0.3">
      <c r="A4147" s="15" t="s">
        <v>13469</v>
      </c>
      <c r="B4147" s="15" t="s">
        <v>13466</v>
      </c>
      <c r="C4147" s="18" t="s">
        <v>28</v>
      </c>
      <c r="D4147" s="15" t="s">
        <v>13467</v>
      </c>
      <c r="E4147" s="18" t="s">
        <v>28</v>
      </c>
      <c r="F4147" s="19" t="s">
        <v>28</v>
      </c>
      <c r="G4147" s="19" t="s">
        <v>28</v>
      </c>
      <c r="H4147" s="19" t="s">
        <v>28</v>
      </c>
      <c r="I4147" s="18" t="s">
        <v>28</v>
      </c>
      <c r="J4147" s="18" t="s">
        <v>28</v>
      </c>
      <c r="K4147" s="18" t="s">
        <v>28</v>
      </c>
      <c r="L4147" s="18" t="s">
        <v>28</v>
      </c>
      <c r="M4147" s="18" t="s">
        <v>28</v>
      </c>
      <c r="N4147" s="17">
        <v>44487</v>
      </c>
      <c r="O4147" s="15" t="s">
        <v>379</v>
      </c>
      <c r="P4147" s="16" t="s">
        <v>28</v>
      </c>
      <c r="Q4147" s="15" t="s">
        <v>75</v>
      </c>
      <c r="R4147" s="13" t="str">
        <f>HYPERLINK("https://my.pitchbook.com?c=181874-35T","View Company Online")</f>
        <v>View Company Online</v>
      </c>
    </row>
    <row r="4148" spans="1:18" hidden="1" x14ac:dyDescent="0.3">
      <c r="A4148" s="9" t="s">
        <v>13470</v>
      </c>
      <c r="B4148" s="9" t="s">
        <v>13471</v>
      </c>
      <c r="C4148" s="11" t="s">
        <v>28</v>
      </c>
      <c r="D4148" s="9" t="s">
        <v>13472</v>
      </c>
      <c r="E4148" s="11" t="s">
        <v>28</v>
      </c>
      <c r="F4148" s="10" t="s">
        <v>28</v>
      </c>
      <c r="G4148" s="10" t="s">
        <v>28</v>
      </c>
      <c r="H4148" s="10" t="s">
        <v>28</v>
      </c>
      <c r="I4148" s="11" t="s">
        <v>28</v>
      </c>
      <c r="J4148" s="11" t="s">
        <v>28</v>
      </c>
      <c r="K4148" s="11" t="s">
        <v>28</v>
      </c>
      <c r="L4148" s="11" t="s">
        <v>28</v>
      </c>
      <c r="M4148" s="11" t="s">
        <v>28</v>
      </c>
      <c r="N4148" s="8">
        <v>44484</v>
      </c>
      <c r="O4148" s="9" t="s">
        <v>30</v>
      </c>
      <c r="P4148" s="12" t="s">
        <v>13473</v>
      </c>
      <c r="Q4148" s="9" t="s">
        <v>136</v>
      </c>
      <c r="R4148" s="14" t="str">
        <f>HYPERLINK("https://my.pitchbook.com?c=178567-21T","View Company Online")</f>
        <v>View Company Online</v>
      </c>
    </row>
    <row r="4149" spans="1:18" hidden="1" x14ac:dyDescent="0.3">
      <c r="A4149" s="15" t="s">
        <v>13474</v>
      </c>
      <c r="B4149" s="15" t="s">
        <v>4699</v>
      </c>
      <c r="C4149" s="18" t="s">
        <v>28</v>
      </c>
      <c r="D4149" s="15" t="s">
        <v>4700</v>
      </c>
      <c r="E4149" s="18" t="s">
        <v>28</v>
      </c>
      <c r="F4149" s="19" t="s">
        <v>28</v>
      </c>
      <c r="G4149" s="19">
        <v>83.34</v>
      </c>
      <c r="H4149" s="19">
        <v>192.93</v>
      </c>
      <c r="I4149" s="18" t="s">
        <v>28</v>
      </c>
      <c r="J4149" s="18" t="s">
        <v>28</v>
      </c>
      <c r="K4149" s="18">
        <v>20.13</v>
      </c>
      <c r="L4149" s="18">
        <v>9.59</v>
      </c>
      <c r="M4149" s="18" t="s">
        <v>28</v>
      </c>
      <c r="N4149" s="17">
        <v>44484</v>
      </c>
      <c r="O4149" s="15" t="s">
        <v>93</v>
      </c>
      <c r="P4149" s="16" t="s">
        <v>13475</v>
      </c>
      <c r="Q4149" s="15" t="s">
        <v>75</v>
      </c>
      <c r="R4149" s="13" t="str">
        <f>HYPERLINK("https://my.pitchbook.com?c=181794-07T","View Company Online")</f>
        <v>View Company Online</v>
      </c>
    </row>
    <row r="4150" spans="1:18" hidden="1" x14ac:dyDescent="0.3">
      <c r="A4150" s="9" t="s">
        <v>13476</v>
      </c>
      <c r="B4150" s="9" t="s">
        <v>13477</v>
      </c>
      <c r="C4150" s="11" t="s">
        <v>28</v>
      </c>
      <c r="D4150" s="9" t="s">
        <v>13478</v>
      </c>
      <c r="E4150" s="11" t="s">
        <v>28</v>
      </c>
      <c r="F4150" s="10" t="s">
        <v>28</v>
      </c>
      <c r="G4150" s="10">
        <v>0.09</v>
      </c>
      <c r="H4150" s="10" t="s">
        <v>28</v>
      </c>
      <c r="I4150" s="11" t="s">
        <v>28</v>
      </c>
      <c r="J4150" s="11" t="s">
        <v>28</v>
      </c>
      <c r="K4150" s="11" t="s">
        <v>28</v>
      </c>
      <c r="L4150" s="11" t="s">
        <v>28</v>
      </c>
      <c r="M4150" s="11" t="s">
        <v>28</v>
      </c>
      <c r="N4150" s="8">
        <v>44484</v>
      </c>
      <c r="O4150" s="9" t="s">
        <v>73</v>
      </c>
      <c r="P4150" s="12" t="s">
        <v>12080</v>
      </c>
      <c r="Q4150" s="9" t="s">
        <v>75</v>
      </c>
      <c r="R4150" s="14" t="str">
        <f>HYPERLINK("https://my.pitchbook.com?c=223460-56T","View Company Online")</f>
        <v>View Company Online</v>
      </c>
    </row>
    <row r="4151" spans="1:18" hidden="1" x14ac:dyDescent="0.3">
      <c r="A4151" s="15" t="s">
        <v>13479</v>
      </c>
      <c r="B4151" s="15" t="s">
        <v>7487</v>
      </c>
      <c r="C4151" s="18" t="s">
        <v>28</v>
      </c>
      <c r="D4151" s="15" t="s">
        <v>7488</v>
      </c>
      <c r="E4151" s="18" t="s">
        <v>28</v>
      </c>
      <c r="F4151" s="19" t="s">
        <v>28</v>
      </c>
      <c r="G4151" s="19">
        <v>0.05</v>
      </c>
      <c r="H4151" s="19" t="s">
        <v>28</v>
      </c>
      <c r="I4151" s="18" t="s">
        <v>28</v>
      </c>
      <c r="J4151" s="18" t="s">
        <v>28</v>
      </c>
      <c r="K4151" s="18" t="s">
        <v>28</v>
      </c>
      <c r="L4151" s="18" t="s">
        <v>28</v>
      </c>
      <c r="M4151" s="18" t="s">
        <v>28</v>
      </c>
      <c r="N4151" s="17">
        <v>44484</v>
      </c>
      <c r="O4151" s="15" t="s">
        <v>52</v>
      </c>
      <c r="P4151" s="16" t="s">
        <v>2628</v>
      </c>
      <c r="Q4151" s="15" t="s">
        <v>832</v>
      </c>
      <c r="R4151" s="13" t="str">
        <f>HYPERLINK("https://my.pitchbook.com?c=213315-85T","View Company Online")</f>
        <v>View Company Online</v>
      </c>
    </row>
    <row r="4152" spans="1:18" hidden="1" x14ac:dyDescent="0.3">
      <c r="A4152" s="9" t="s">
        <v>13480</v>
      </c>
      <c r="B4152" s="9" t="s">
        <v>13481</v>
      </c>
      <c r="C4152" s="11" t="s">
        <v>28</v>
      </c>
      <c r="D4152" s="9" t="s">
        <v>13482</v>
      </c>
      <c r="E4152" s="11" t="s">
        <v>28</v>
      </c>
      <c r="F4152" s="10" t="s">
        <v>28</v>
      </c>
      <c r="G4152" s="10" t="s">
        <v>28</v>
      </c>
      <c r="H4152" s="10" t="s">
        <v>28</v>
      </c>
      <c r="I4152" s="11" t="s">
        <v>28</v>
      </c>
      <c r="J4152" s="11" t="s">
        <v>28</v>
      </c>
      <c r="K4152" s="11" t="s">
        <v>28</v>
      </c>
      <c r="L4152" s="11" t="s">
        <v>28</v>
      </c>
      <c r="M4152" s="11" t="s">
        <v>28</v>
      </c>
      <c r="N4152" s="8">
        <v>44484</v>
      </c>
      <c r="O4152" s="9" t="s">
        <v>30</v>
      </c>
      <c r="P4152" s="12" t="s">
        <v>151</v>
      </c>
      <c r="Q4152" s="9" t="s">
        <v>37</v>
      </c>
      <c r="R4152" s="14" t="str">
        <f>HYPERLINK("https://my.pitchbook.com?c=181882-72T","View Company Online")</f>
        <v>View Company Online</v>
      </c>
    </row>
    <row r="4153" spans="1:18" hidden="1" x14ac:dyDescent="0.3">
      <c r="A4153" s="15" t="s">
        <v>13483</v>
      </c>
      <c r="B4153" s="15" t="s">
        <v>6205</v>
      </c>
      <c r="C4153" s="18" t="s">
        <v>28</v>
      </c>
      <c r="D4153" s="15" t="s">
        <v>6206</v>
      </c>
      <c r="E4153" s="18" t="s">
        <v>28</v>
      </c>
      <c r="F4153" s="19" t="s">
        <v>28</v>
      </c>
      <c r="G4153" s="19" t="s">
        <v>28</v>
      </c>
      <c r="H4153" s="19" t="s">
        <v>28</v>
      </c>
      <c r="I4153" s="18" t="s">
        <v>28</v>
      </c>
      <c r="J4153" s="18" t="s">
        <v>28</v>
      </c>
      <c r="K4153" s="18" t="s">
        <v>28</v>
      </c>
      <c r="L4153" s="18" t="s">
        <v>28</v>
      </c>
      <c r="M4153" s="18" t="s">
        <v>28</v>
      </c>
      <c r="N4153" s="17">
        <v>44484</v>
      </c>
      <c r="O4153" s="15" t="s">
        <v>79</v>
      </c>
      <c r="P4153" s="16" t="s">
        <v>13484</v>
      </c>
      <c r="Q4153" s="15" t="s">
        <v>583</v>
      </c>
      <c r="R4153" s="13" t="str">
        <f>HYPERLINK("https://my.pitchbook.com?c=194462-20T","View Company Online")</f>
        <v>View Company Online</v>
      </c>
    </row>
    <row r="4154" spans="1:18" hidden="1" x14ac:dyDescent="0.3">
      <c r="A4154" s="9" t="s">
        <v>13485</v>
      </c>
      <c r="B4154" s="9" t="s">
        <v>13486</v>
      </c>
      <c r="C4154" s="11" t="s">
        <v>28</v>
      </c>
      <c r="D4154" s="9" t="s">
        <v>13487</v>
      </c>
      <c r="E4154" s="11" t="s">
        <v>28</v>
      </c>
      <c r="F4154" s="10" t="s">
        <v>28</v>
      </c>
      <c r="G4154" s="10" t="s">
        <v>28</v>
      </c>
      <c r="H4154" s="10" t="s">
        <v>28</v>
      </c>
      <c r="I4154" s="11" t="s">
        <v>28</v>
      </c>
      <c r="J4154" s="11" t="s">
        <v>28</v>
      </c>
      <c r="K4154" s="11" t="s">
        <v>28</v>
      </c>
      <c r="L4154" s="11" t="s">
        <v>28</v>
      </c>
      <c r="M4154" s="11" t="s">
        <v>28</v>
      </c>
      <c r="N4154" s="8">
        <v>44484</v>
      </c>
      <c r="O4154" s="9" t="s">
        <v>30</v>
      </c>
      <c r="P4154" s="12" t="s">
        <v>13488</v>
      </c>
      <c r="Q4154" s="9" t="s">
        <v>240</v>
      </c>
      <c r="R4154" s="14" t="str">
        <f>HYPERLINK("https://my.pitchbook.com?c=182376-10T","View Company Online")</f>
        <v>View Company Online</v>
      </c>
    </row>
    <row r="4155" spans="1:18" hidden="1" x14ac:dyDescent="0.3">
      <c r="A4155" s="15" t="s">
        <v>13489</v>
      </c>
      <c r="B4155" s="15" t="s">
        <v>13490</v>
      </c>
      <c r="C4155" s="18" t="s">
        <v>28</v>
      </c>
      <c r="D4155" s="15" t="s">
        <v>13491</v>
      </c>
      <c r="E4155" s="18" t="s">
        <v>28</v>
      </c>
      <c r="F4155" s="19" t="s">
        <v>28</v>
      </c>
      <c r="G4155" s="19" t="s">
        <v>28</v>
      </c>
      <c r="H4155" s="19" t="s">
        <v>28</v>
      </c>
      <c r="I4155" s="18" t="s">
        <v>28</v>
      </c>
      <c r="J4155" s="18" t="s">
        <v>28</v>
      </c>
      <c r="K4155" s="18" t="s">
        <v>28</v>
      </c>
      <c r="L4155" s="18" t="s">
        <v>28</v>
      </c>
      <c r="M4155" s="18" t="s">
        <v>28</v>
      </c>
      <c r="N4155" s="17">
        <v>44484</v>
      </c>
      <c r="O4155" s="15" t="s">
        <v>41</v>
      </c>
      <c r="P4155" s="16" t="s">
        <v>13492</v>
      </c>
      <c r="Q4155" s="15" t="s">
        <v>245</v>
      </c>
      <c r="R4155" s="13" t="str">
        <f>HYPERLINK("https://my.pitchbook.com?c=214737-94T","View Company Online")</f>
        <v>View Company Online</v>
      </c>
    </row>
    <row r="4156" spans="1:18" hidden="1" x14ac:dyDescent="0.3">
      <c r="A4156" s="9" t="s">
        <v>13493</v>
      </c>
      <c r="B4156" s="9" t="s">
        <v>13494</v>
      </c>
      <c r="C4156" s="11" t="s">
        <v>28</v>
      </c>
      <c r="D4156" s="9" t="s">
        <v>13495</v>
      </c>
      <c r="E4156" s="11" t="s">
        <v>28</v>
      </c>
      <c r="F4156" s="10" t="s">
        <v>28</v>
      </c>
      <c r="G4156" s="10">
        <v>2.23</v>
      </c>
      <c r="H4156" s="10" t="s">
        <v>28</v>
      </c>
      <c r="I4156" s="11" t="s">
        <v>28</v>
      </c>
      <c r="J4156" s="11" t="s">
        <v>28</v>
      </c>
      <c r="K4156" s="11">
        <v>3.45</v>
      </c>
      <c r="L4156" s="11" t="s">
        <v>28</v>
      </c>
      <c r="M4156" s="11" t="s">
        <v>28</v>
      </c>
      <c r="N4156" s="8">
        <v>44483</v>
      </c>
      <c r="O4156" s="9" t="s">
        <v>93</v>
      </c>
      <c r="P4156" s="12" t="s">
        <v>13100</v>
      </c>
      <c r="Q4156" s="9" t="s">
        <v>616</v>
      </c>
      <c r="R4156" s="14" t="str">
        <f>HYPERLINK("https://my.pitchbook.com?c=189857-35T","View Company Online")</f>
        <v>View Company Online</v>
      </c>
    </row>
    <row r="4157" spans="1:18" hidden="1" x14ac:dyDescent="0.3">
      <c r="A4157" s="15" t="s">
        <v>13496</v>
      </c>
      <c r="B4157" s="15" t="s">
        <v>13497</v>
      </c>
      <c r="C4157" s="18" t="s">
        <v>28</v>
      </c>
      <c r="D4157" s="15" t="s">
        <v>13498</v>
      </c>
      <c r="E4157" s="18" t="s">
        <v>28</v>
      </c>
      <c r="F4157" s="19" t="s">
        <v>28</v>
      </c>
      <c r="G4157" s="19" t="s">
        <v>28</v>
      </c>
      <c r="H4157" s="19" t="s">
        <v>28</v>
      </c>
      <c r="I4157" s="18" t="s">
        <v>28</v>
      </c>
      <c r="J4157" s="18" t="s">
        <v>28</v>
      </c>
      <c r="K4157" s="18" t="s">
        <v>28</v>
      </c>
      <c r="L4157" s="18" t="s">
        <v>28</v>
      </c>
      <c r="M4157" s="18" t="s">
        <v>28</v>
      </c>
      <c r="N4157" s="17">
        <v>44483</v>
      </c>
      <c r="O4157" s="15" t="s">
        <v>173</v>
      </c>
      <c r="P4157" s="16" t="s">
        <v>28</v>
      </c>
      <c r="Q4157" s="15" t="s">
        <v>174</v>
      </c>
      <c r="R4157" s="13" t="str">
        <f>HYPERLINK("https://my.pitchbook.com?c=224125-66T","View Company Online")</f>
        <v>View Company Online</v>
      </c>
    </row>
    <row r="4158" spans="1:18" hidden="1" x14ac:dyDescent="0.3">
      <c r="A4158" s="9" t="s">
        <v>13499</v>
      </c>
      <c r="B4158" s="9" t="s">
        <v>5459</v>
      </c>
      <c r="C4158" s="11" t="s">
        <v>28</v>
      </c>
      <c r="D4158" s="9" t="s">
        <v>5460</v>
      </c>
      <c r="E4158" s="11" t="s">
        <v>28</v>
      </c>
      <c r="F4158" s="10" t="s">
        <v>28</v>
      </c>
      <c r="G4158" s="10">
        <v>0.5</v>
      </c>
      <c r="H4158" s="10" t="s">
        <v>28</v>
      </c>
      <c r="I4158" s="11" t="s">
        <v>28</v>
      </c>
      <c r="J4158" s="11" t="s">
        <v>28</v>
      </c>
      <c r="K4158" s="11" t="s">
        <v>28</v>
      </c>
      <c r="L4158" s="11" t="s">
        <v>28</v>
      </c>
      <c r="M4158" s="11" t="s">
        <v>28</v>
      </c>
      <c r="N4158" s="8">
        <v>44483</v>
      </c>
      <c r="O4158" s="9" t="s">
        <v>99</v>
      </c>
      <c r="P4158" s="12" t="s">
        <v>13500</v>
      </c>
      <c r="Q4158" s="9" t="s">
        <v>740</v>
      </c>
      <c r="R4158" s="14" t="str">
        <f>HYPERLINK("https://my.pitchbook.com?c=185038-48T","View Company Online")</f>
        <v>View Company Online</v>
      </c>
    </row>
    <row r="4159" spans="1:18" hidden="1" x14ac:dyDescent="0.3">
      <c r="A4159" s="15" t="s">
        <v>13501</v>
      </c>
      <c r="B4159" s="15" t="s">
        <v>13502</v>
      </c>
      <c r="C4159" s="18" t="s">
        <v>28</v>
      </c>
      <c r="D4159" s="15" t="s">
        <v>13503</v>
      </c>
      <c r="E4159" s="18">
        <v>1.65</v>
      </c>
      <c r="F4159" s="19" t="s">
        <v>28</v>
      </c>
      <c r="G4159" s="19" t="s">
        <v>28</v>
      </c>
      <c r="H4159" s="19" t="s">
        <v>28</v>
      </c>
      <c r="I4159" s="18">
        <v>1.65</v>
      </c>
      <c r="J4159" s="18" t="s">
        <v>28</v>
      </c>
      <c r="K4159" s="18">
        <v>1.02</v>
      </c>
      <c r="L4159" s="18" t="s">
        <v>28</v>
      </c>
      <c r="M4159" s="18">
        <v>1.51</v>
      </c>
      <c r="N4159" s="17">
        <v>44483</v>
      </c>
      <c r="O4159" s="15" t="s">
        <v>173</v>
      </c>
      <c r="P4159" s="16" t="s">
        <v>28</v>
      </c>
      <c r="Q4159" s="15" t="s">
        <v>174</v>
      </c>
      <c r="R4159" s="13" t="str">
        <f>HYPERLINK("https://my.pitchbook.com?c=251567-20T","View Company Online")</f>
        <v>View Company Online</v>
      </c>
    </row>
    <row r="4160" spans="1:18" hidden="1" x14ac:dyDescent="0.3">
      <c r="A4160" s="9" t="s">
        <v>13504</v>
      </c>
      <c r="B4160" s="9" t="s">
        <v>13505</v>
      </c>
      <c r="C4160" s="11" t="s">
        <v>28</v>
      </c>
      <c r="D4160" s="9" t="s">
        <v>13506</v>
      </c>
      <c r="E4160" s="11" t="s">
        <v>28</v>
      </c>
      <c r="F4160" s="10">
        <v>100</v>
      </c>
      <c r="G4160" s="10">
        <v>100</v>
      </c>
      <c r="H4160" s="10">
        <v>100</v>
      </c>
      <c r="I4160" s="11" t="s">
        <v>28</v>
      </c>
      <c r="J4160" s="11" t="s">
        <v>28</v>
      </c>
      <c r="K4160" s="11" t="s">
        <v>28</v>
      </c>
      <c r="L4160" s="11" t="s">
        <v>28</v>
      </c>
      <c r="M4160" s="11" t="s">
        <v>28</v>
      </c>
      <c r="N4160" s="8">
        <v>44482</v>
      </c>
      <c r="O4160" s="9" t="s">
        <v>30</v>
      </c>
      <c r="P4160" s="12" t="s">
        <v>13507</v>
      </c>
      <c r="Q4160" s="9" t="s">
        <v>1853</v>
      </c>
      <c r="R4160" s="14" t="str">
        <f>HYPERLINK("https://my.pitchbook.com?c=181828-36T","View Company Online")</f>
        <v>View Company Online</v>
      </c>
    </row>
    <row r="4161" spans="1:18" hidden="1" x14ac:dyDescent="0.3">
      <c r="A4161" s="15" t="s">
        <v>13508</v>
      </c>
      <c r="B4161" s="15" t="s">
        <v>13509</v>
      </c>
      <c r="C4161" s="18" t="s">
        <v>28</v>
      </c>
      <c r="D4161" s="15" t="s">
        <v>13510</v>
      </c>
      <c r="E4161" s="18">
        <v>-47.95</v>
      </c>
      <c r="F4161" s="19" t="s">
        <v>28</v>
      </c>
      <c r="G4161" s="19" t="s">
        <v>28</v>
      </c>
      <c r="H4161" s="19" t="s">
        <v>28</v>
      </c>
      <c r="I4161" s="18">
        <v>-45.12</v>
      </c>
      <c r="J4161" s="18" t="s">
        <v>28</v>
      </c>
      <c r="K4161" s="18">
        <v>706.05</v>
      </c>
      <c r="L4161" s="18" t="s">
        <v>28</v>
      </c>
      <c r="M4161" s="18">
        <v>-47.47</v>
      </c>
      <c r="N4161" s="17">
        <v>44482</v>
      </c>
      <c r="O4161" s="15" t="s">
        <v>173</v>
      </c>
      <c r="P4161" s="16" t="s">
        <v>28</v>
      </c>
      <c r="Q4161" s="15" t="s">
        <v>1238</v>
      </c>
      <c r="R4161" s="13" t="str">
        <f>HYPERLINK("https://my.pitchbook.com?c=223054-39T","View Company Online")</f>
        <v>View Company Online</v>
      </c>
    </row>
    <row r="4162" spans="1:18" hidden="1" x14ac:dyDescent="0.3">
      <c r="A4162" s="9" t="s">
        <v>13511</v>
      </c>
      <c r="B4162" s="9" t="s">
        <v>13512</v>
      </c>
      <c r="C4162" s="11" t="s">
        <v>28</v>
      </c>
      <c r="D4162" s="9" t="s">
        <v>13513</v>
      </c>
      <c r="E4162" s="11" t="s">
        <v>28</v>
      </c>
      <c r="F4162" s="10" t="s">
        <v>28</v>
      </c>
      <c r="G4162" s="10" t="s">
        <v>28</v>
      </c>
      <c r="H4162" s="10" t="s">
        <v>28</v>
      </c>
      <c r="I4162" s="11" t="s">
        <v>28</v>
      </c>
      <c r="J4162" s="11" t="s">
        <v>28</v>
      </c>
      <c r="K4162" s="11" t="s">
        <v>28</v>
      </c>
      <c r="L4162" s="11" t="s">
        <v>28</v>
      </c>
      <c r="M4162" s="11" t="s">
        <v>28</v>
      </c>
      <c r="N4162" s="8">
        <v>44482</v>
      </c>
      <c r="O4162" s="9" t="s">
        <v>30</v>
      </c>
      <c r="P4162" s="12" t="s">
        <v>13514</v>
      </c>
      <c r="Q4162" s="9" t="s">
        <v>75</v>
      </c>
      <c r="R4162" s="14" t="str">
        <f>HYPERLINK("https://my.pitchbook.com?c=181662-76T","View Company Online")</f>
        <v>View Company Online</v>
      </c>
    </row>
    <row r="4163" spans="1:18" hidden="1" x14ac:dyDescent="0.3">
      <c r="A4163" s="15" t="s">
        <v>13515</v>
      </c>
      <c r="B4163" s="15" t="s">
        <v>13516</v>
      </c>
      <c r="C4163" s="18" t="s">
        <v>28</v>
      </c>
      <c r="D4163" s="15" t="s">
        <v>13517</v>
      </c>
      <c r="E4163" s="18" t="s">
        <v>28</v>
      </c>
      <c r="F4163" s="19" t="s">
        <v>28</v>
      </c>
      <c r="G4163" s="19" t="s">
        <v>28</v>
      </c>
      <c r="H4163" s="19" t="s">
        <v>28</v>
      </c>
      <c r="I4163" s="18" t="s">
        <v>28</v>
      </c>
      <c r="J4163" s="18" t="s">
        <v>28</v>
      </c>
      <c r="K4163" s="18" t="s">
        <v>28</v>
      </c>
      <c r="L4163" s="18" t="s">
        <v>28</v>
      </c>
      <c r="M4163" s="18" t="s">
        <v>28</v>
      </c>
      <c r="N4163" s="17">
        <v>44482</v>
      </c>
      <c r="O4163" s="15" t="s">
        <v>173</v>
      </c>
      <c r="P4163" s="16" t="s">
        <v>28</v>
      </c>
      <c r="Q4163" s="15" t="s">
        <v>174</v>
      </c>
      <c r="R4163" s="13" t="str">
        <f>HYPERLINK("https://my.pitchbook.com?c=224810-47T","View Company Online")</f>
        <v>View Company Online</v>
      </c>
    </row>
    <row r="4164" spans="1:18" hidden="1" x14ac:dyDescent="0.3">
      <c r="A4164" s="9" t="s">
        <v>13518</v>
      </c>
      <c r="B4164" s="9" t="s">
        <v>13519</v>
      </c>
      <c r="C4164" s="11" t="s">
        <v>28</v>
      </c>
      <c r="D4164" s="9" t="s">
        <v>13520</v>
      </c>
      <c r="E4164" s="11" t="s">
        <v>28</v>
      </c>
      <c r="F4164" s="10">
        <v>27.88</v>
      </c>
      <c r="G4164" s="10">
        <v>27.88</v>
      </c>
      <c r="H4164" s="10">
        <v>27.88</v>
      </c>
      <c r="I4164" s="11" t="s">
        <v>28</v>
      </c>
      <c r="J4164" s="11" t="s">
        <v>28</v>
      </c>
      <c r="K4164" s="11" t="s">
        <v>28</v>
      </c>
      <c r="L4164" s="11" t="s">
        <v>28</v>
      </c>
      <c r="M4164" s="11" t="s">
        <v>28</v>
      </c>
      <c r="N4164" s="8">
        <v>44482</v>
      </c>
      <c r="O4164" s="9" t="s">
        <v>30</v>
      </c>
      <c r="P4164" s="12" t="s">
        <v>13521</v>
      </c>
      <c r="Q4164" s="9" t="s">
        <v>583</v>
      </c>
      <c r="R4164" s="14" t="str">
        <f>HYPERLINK("https://my.pitchbook.com?c=182377-63T","View Company Online")</f>
        <v>View Company Online</v>
      </c>
    </row>
    <row r="4165" spans="1:18" hidden="1" x14ac:dyDescent="0.3">
      <c r="A4165" s="15" t="s">
        <v>13522</v>
      </c>
      <c r="B4165" s="15" t="s">
        <v>4644</v>
      </c>
      <c r="C4165" s="18" t="s">
        <v>28</v>
      </c>
      <c r="D4165" s="15" t="s">
        <v>4645</v>
      </c>
      <c r="E4165" s="18" t="s">
        <v>28</v>
      </c>
      <c r="F4165" s="19" t="s">
        <v>28</v>
      </c>
      <c r="G4165" s="19">
        <v>0.53</v>
      </c>
      <c r="H4165" s="19">
        <v>2.0299999999999998</v>
      </c>
      <c r="I4165" s="18" t="s">
        <v>28</v>
      </c>
      <c r="J4165" s="18" t="s">
        <v>28</v>
      </c>
      <c r="K4165" s="18" t="s">
        <v>28</v>
      </c>
      <c r="L4165" s="18" t="s">
        <v>28</v>
      </c>
      <c r="M4165" s="18" t="s">
        <v>28</v>
      </c>
      <c r="N4165" s="17">
        <v>44482</v>
      </c>
      <c r="O4165" s="15" t="s">
        <v>99</v>
      </c>
      <c r="P4165" s="16" t="s">
        <v>4646</v>
      </c>
      <c r="Q4165" s="15" t="s">
        <v>880</v>
      </c>
      <c r="R4165" s="13" t="str">
        <f>HYPERLINK("https://my.pitchbook.com?c=206673-85T","View Company Online")</f>
        <v>View Company Online</v>
      </c>
    </row>
    <row r="4166" spans="1:18" hidden="1" x14ac:dyDescent="0.3">
      <c r="A4166" s="9" t="s">
        <v>13523</v>
      </c>
      <c r="B4166" s="9" t="s">
        <v>13524</v>
      </c>
      <c r="C4166" s="11" t="s">
        <v>28</v>
      </c>
      <c r="D4166" s="9" t="s">
        <v>13525</v>
      </c>
      <c r="E4166" s="11" t="s">
        <v>28</v>
      </c>
      <c r="F4166" s="10">
        <v>2.56</v>
      </c>
      <c r="G4166" s="10">
        <v>2.56</v>
      </c>
      <c r="H4166" s="10">
        <v>2.56</v>
      </c>
      <c r="I4166" s="11" t="s">
        <v>28</v>
      </c>
      <c r="J4166" s="11" t="s">
        <v>28</v>
      </c>
      <c r="K4166" s="11" t="s">
        <v>28</v>
      </c>
      <c r="L4166" s="11" t="s">
        <v>28</v>
      </c>
      <c r="M4166" s="11" t="s">
        <v>28</v>
      </c>
      <c r="N4166" s="8">
        <v>44482</v>
      </c>
      <c r="O4166" s="9" t="s">
        <v>30</v>
      </c>
      <c r="P4166" s="12" t="s">
        <v>5785</v>
      </c>
      <c r="Q4166" s="9" t="s">
        <v>37</v>
      </c>
      <c r="R4166" s="14" t="str">
        <f>HYPERLINK("https://my.pitchbook.com?c=179179-03T","View Company Online")</f>
        <v>View Company Online</v>
      </c>
    </row>
    <row r="4167" spans="1:18" hidden="1" x14ac:dyDescent="0.3">
      <c r="A4167" s="15" t="s">
        <v>13526</v>
      </c>
      <c r="B4167" s="15" t="s">
        <v>13527</v>
      </c>
      <c r="C4167" s="18" t="s">
        <v>28</v>
      </c>
      <c r="D4167" s="15" t="s">
        <v>13528</v>
      </c>
      <c r="E4167" s="18" t="s">
        <v>28</v>
      </c>
      <c r="F4167" s="19" t="s">
        <v>28</v>
      </c>
      <c r="G4167" s="19" t="s">
        <v>28</v>
      </c>
      <c r="H4167" s="19" t="s">
        <v>28</v>
      </c>
      <c r="I4167" s="18" t="s">
        <v>28</v>
      </c>
      <c r="J4167" s="18" t="s">
        <v>28</v>
      </c>
      <c r="K4167" s="18" t="s">
        <v>28</v>
      </c>
      <c r="L4167" s="18" t="s">
        <v>28</v>
      </c>
      <c r="M4167" s="18" t="s">
        <v>28</v>
      </c>
      <c r="N4167" s="17">
        <v>44481</v>
      </c>
      <c r="O4167" s="15" t="s">
        <v>93</v>
      </c>
      <c r="P4167" s="16" t="s">
        <v>13529</v>
      </c>
      <c r="Q4167" s="15" t="s">
        <v>583</v>
      </c>
      <c r="R4167" s="13" t="str">
        <f>HYPERLINK("https://my.pitchbook.com?c=207525-16T","View Company Online")</f>
        <v>View Company Online</v>
      </c>
    </row>
    <row r="4168" spans="1:18" hidden="1" x14ac:dyDescent="0.3">
      <c r="A4168" s="9" t="s">
        <v>13530</v>
      </c>
      <c r="B4168" s="9" t="s">
        <v>10184</v>
      </c>
      <c r="C4168" s="11" t="s">
        <v>28</v>
      </c>
      <c r="D4168" s="9" t="s">
        <v>10185</v>
      </c>
      <c r="E4168" s="11" t="s">
        <v>28</v>
      </c>
      <c r="F4168" s="10" t="s">
        <v>28</v>
      </c>
      <c r="G4168" s="10" t="s">
        <v>28</v>
      </c>
      <c r="H4168" s="10" t="s">
        <v>28</v>
      </c>
      <c r="I4168" s="11" t="s">
        <v>28</v>
      </c>
      <c r="J4168" s="11" t="s">
        <v>28</v>
      </c>
      <c r="K4168" s="11" t="s">
        <v>28</v>
      </c>
      <c r="L4168" s="11" t="s">
        <v>28</v>
      </c>
      <c r="M4168" s="11" t="s">
        <v>28</v>
      </c>
      <c r="N4168" s="8">
        <v>44481</v>
      </c>
      <c r="O4168" s="9" t="s">
        <v>30</v>
      </c>
      <c r="P4168" s="12" t="s">
        <v>1483</v>
      </c>
      <c r="Q4168" s="9" t="s">
        <v>290</v>
      </c>
      <c r="R4168" s="14" t="str">
        <f>HYPERLINK("https://my.pitchbook.com?c=211778-29T","View Company Online")</f>
        <v>View Company Online</v>
      </c>
    </row>
    <row r="4169" spans="1:18" hidden="1" x14ac:dyDescent="0.3">
      <c r="A4169" s="15" t="s">
        <v>13531</v>
      </c>
      <c r="B4169" s="15" t="s">
        <v>4559</v>
      </c>
      <c r="C4169" s="18" t="s">
        <v>28</v>
      </c>
      <c r="D4169" s="15" t="s">
        <v>4560</v>
      </c>
      <c r="E4169" s="18" t="s">
        <v>28</v>
      </c>
      <c r="F4169" s="19" t="s">
        <v>28</v>
      </c>
      <c r="G4169" s="19" t="s">
        <v>28</v>
      </c>
      <c r="H4169" s="19" t="s">
        <v>28</v>
      </c>
      <c r="I4169" s="18" t="s">
        <v>28</v>
      </c>
      <c r="J4169" s="18" t="s">
        <v>28</v>
      </c>
      <c r="K4169" s="18" t="s">
        <v>28</v>
      </c>
      <c r="L4169" s="18" t="s">
        <v>28</v>
      </c>
      <c r="M4169" s="18" t="s">
        <v>28</v>
      </c>
      <c r="N4169" s="17">
        <v>44480</v>
      </c>
      <c r="O4169" s="15" t="s">
        <v>173</v>
      </c>
      <c r="P4169" s="16" t="s">
        <v>28</v>
      </c>
      <c r="Q4169" s="15" t="s">
        <v>240</v>
      </c>
      <c r="R4169" s="13" t="str">
        <f>HYPERLINK("https://my.pitchbook.com?c=211838-23T","View Company Online")</f>
        <v>View Company Online</v>
      </c>
    </row>
    <row r="4170" spans="1:18" hidden="1" x14ac:dyDescent="0.3">
      <c r="A4170" s="9" t="s">
        <v>13532</v>
      </c>
      <c r="B4170" s="9" t="s">
        <v>13533</v>
      </c>
      <c r="C4170" s="11" t="s">
        <v>28</v>
      </c>
      <c r="D4170" s="9" t="s">
        <v>13534</v>
      </c>
      <c r="E4170" s="11" t="s">
        <v>28</v>
      </c>
      <c r="F4170" s="10" t="s">
        <v>28</v>
      </c>
      <c r="G4170" s="10" t="s">
        <v>28</v>
      </c>
      <c r="H4170" s="10" t="s">
        <v>28</v>
      </c>
      <c r="I4170" s="11" t="s">
        <v>28</v>
      </c>
      <c r="J4170" s="11" t="s">
        <v>28</v>
      </c>
      <c r="K4170" s="11" t="s">
        <v>28</v>
      </c>
      <c r="L4170" s="11" t="s">
        <v>28</v>
      </c>
      <c r="M4170" s="11" t="s">
        <v>28</v>
      </c>
      <c r="N4170" s="8">
        <v>44478</v>
      </c>
      <c r="O4170" s="9" t="s">
        <v>173</v>
      </c>
      <c r="P4170" s="12" t="s">
        <v>28</v>
      </c>
      <c r="Q4170" s="9" t="s">
        <v>174</v>
      </c>
      <c r="R4170" s="14" t="str">
        <f>HYPERLINK("https://my.pitchbook.com?c=251687-62T","View Company Online")</f>
        <v>View Company Online</v>
      </c>
    </row>
    <row r="4171" spans="1:18" hidden="1" x14ac:dyDescent="0.3">
      <c r="A4171" s="15" t="s">
        <v>13535</v>
      </c>
      <c r="B4171" s="15" t="s">
        <v>13536</v>
      </c>
      <c r="C4171" s="18" t="s">
        <v>28</v>
      </c>
      <c r="D4171" s="15" t="s">
        <v>13537</v>
      </c>
      <c r="E4171" s="18" t="s">
        <v>28</v>
      </c>
      <c r="F4171" s="19">
        <v>241.98</v>
      </c>
      <c r="G4171" s="19">
        <v>120.97</v>
      </c>
      <c r="H4171" s="19">
        <v>241.98</v>
      </c>
      <c r="I4171" s="18" t="s">
        <v>28</v>
      </c>
      <c r="J4171" s="18" t="s">
        <v>28</v>
      </c>
      <c r="K4171" s="18" t="s">
        <v>28</v>
      </c>
      <c r="L4171" s="18" t="s">
        <v>28</v>
      </c>
      <c r="M4171" s="18">
        <v>23.76</v>
      </c>
      <c r="N4171" s="17">
        <v>44477</v>
      </c>
      <c r="O4171" s="15" t="s">
        <v>30</v>
      </c>
      <c r="P4171" s="16" t="s">
        <v>6286</v>
      </c>
      <c r="Q4171" s="15" t="s">
        <v>37</v>
      </c>
      <c r="R4171" s="13" t="str">
        <f>HYPERLINK("https://my.pitchbook.com?c=181527-76T","View Company Online")</f>
        <v>View Company Online</v>
      </c>
    </row>
    <row r="4172" spans="1:18" hidden="1" x14ac:dyDescent="0.3">
      <c r="A4172" s="9" t="s">
        <v>13538</v>
      </c>
      <c r="B4172" s="9" t="s">
        <v>13539</v>
      </c>
      <c r="C4172" s="11" t="s">
        <v>28</v>
      </c>
      <c r="D4172" s="9" t="s">
        <v>13540</v>
      </c>
      <c r="E4172" s="11" t="s">
        <v>28</v>
      </c>
      <c r="F4172" s="10" t="s">
        <v>28</v>
      </c>
      <c r="G4172" s="10">
        <v>19.32</v>
      </c>
      <c r="H4172" s="10" t="s">
        <v>28</v>
      </c>
      <c r="I4172" s="11" t="s">
        <v>28</v>
      </c>
      <c r="J4172" s="11" t="s">
        <v>28</v>
      </c>
      <c r="K4172" s="11" t="s">
        <v>28</v>
      </c>
      <c r="L4172" s="11" t="s">
        <v>28</v>
      </c>
      <c r="M4172" s="11" t="s">
        <v>28</v>
      </c>
      <c r="N4172" s="8">
        <v>44477</v>
      </c>
      <c r="O4172" s="9" t="s">
        <v>73</v>
      </c>
      <c r="P4172" s="12" t="s">
        <v>13541</v>
      </c>
      <c r="Q4172" s="9" t="s">
        <v>8999</v>
      </c>
      <c r="R4172" s="14" t="str">
        <f>HYPERLINK("https://my.pitchbook.com?c=191384-74T","View Company Online")</f>
        <v>View Company Online</v>
      </c>
    </row>
    <row r="4173" spans="1:18" hidden="1" x14ac:dyDescent="0.3">
      <c r="A4173" s="15" t="s">
        <v>13542</v>
      </c>
      <c r="B4173" s="15" t="s">
        <v>13543</v>
      </c>
      <c r="C4173" s="18" t="s">
        <v>28</v>
      </c>
      <c r="D4173" s="15" t="s">
        <v>13544</v>
      </c>
      <c r="E4173" s="18" t="s">
        <v>28</v>
      </c>
      <c r="F4173" s="19" t="s">
        <v>28</v>
      </c>
      <c r="G4173" s="19" t="s">
        <v>28</v>
      </c>
      <c r="H4173" s="19" t="s">
        <v>28</v>
      </c>
      <c r="I4173" s="18" t="s">
        <v>28</v>
      </c>
      <c r="J4173" s="18" t="s">
        <v>28</v>
      </c>
      <c r="K4173" s="18">
        <v>0.33</v>
      </c>
      <c r="L4173" s="18" t="s">
        <v>28</v>
      </c>
      <c r="M4173" s="18" t="s">
        <v>28</v>
      </c>
      <c r="N4173" s="17">
        <v>44476</v>
      </c>
      <c r="O4173" s="15" t="s">
        <v>30</v>
      </c>
      <c r="P4173" s="16" t="s">
        <v>13545</v>
      </c>
      <c r="Q4173" s="15" t="s">
        <v>1007</v>
      </c>
      <c r="R4173" s="13" t="str">
        <f>HYPERLINK("https://my.pitchbook.com?c=211769-20T","View Company Online")</f>
        <v>View Company Online</v>
      </c>
    </row>
    <row r="4174" spans="1:18" hidden="1" x14ac:dyDescent="0.3">
      <c r="A4174" s="9" t="s">
        <v>13546</v>
      </c>
      <c r="B4174" s="9" t="s">
        <v>13547</v>
      </c>
      <c r="C4174" s="11" t="s">
        <v>28</v>
      </c>
      <c r="D4174" s="9" t="s">
        <v>13548</v>
      </c>
      <c r="E4174" s="11" t="s">
        <v>28</v>
      </c>
      <c r="F4174" s="10" t="s">
        <v>28</v>
      </c>
      <c r="G4174" s="10" t="s">
        <v>28</v>
      </c>
      <c r="H4174" s="10" t="s">
        <v>28</v>
      </c>
      <c r="I4174" s="11" t="s">
        <v>28</v>
      </c>
      <c r="J4174" s="11" t="s">
        <v>28</v>
      </c>
      <c r="K4174" s="11" t="s">
        <v>28</v>
      </c>
      <c r="L4174" s="11" t="s">
        <v>28</v>
      </c>
      <c r="M4174" s="11" t="s">
        <v>28</v>
      </c>
      <c r="N4174" s="8">
        <v>44476</v>
      </c>
      <c r="O4174" s="9" t="s">
        <v>41</v>
      </c>
      <c r="P4174" s="12" t="s">
        <v>13549</v>
      </c>
      <c r="Q4174" s="9" t="s">
        <v>37</v>
      </c>
      <c r="R4174" s="14" t="str">
        <f>HYPERLINK("https://my.pitchbook.com?c=219583-27T","View Company Online")</f>
        <v>View Company Online</v>
      </c>
    </row>
    <row r="4175" spans="1:18" hidden="1" x14ac:dyDescent="0.3">
      <c r="A4175" s="15" t="s">
        <v>13550</v>
      </c>
      <c r="B4175" s="15" t="s">
        <v>5085</v>
      </c>
      <c r="C4175" s="18" t="s">
        <v>28</v>
      </c>
      <c r="D4175" s="15" t="s">
        <v>13551</v>
      </c>
      <c r="E4175" s="18" t="s">
        <v>28</v>
      </c>
      <c r="F4175" s="19" t="s">
        <v>28</v>
      </c>
      <c r="G4175" s="19" t="s">
        <v>28</v>
      </c>
      <c r="H4175" s="19" t="s">
        <v>28</v>
      </c>
      <c r="I4175" s="18" t="s">
        <v>28</v>
      </c>
      <c r="J4175" s="18" t="s">
        <v>28</v>
      </c>
      <c r="K4175" s="18" t="s">
        <v>28</v>
      </c>
      <c r="L4175" s="18" t="s">
        <v>28</v>
      </c>
      <c r="M4175" s="18" t="s">
        <v>28</v>
      </c>
      <c r="N4175" s="17">
        <v>44476</v>
      </c>
      <c r="O4175" s="15" t="s">
        <v>41</v>
      </c>
      <c r="P4175" s="16" t="s">
        <v>13552</v>
      </c>
      <c r="Q4175" s="15" t="s">
        <v>692</v>
      </c>
      <c r="R4175" s="13" t="str">
        <f>HYPERLINK("https://my.pitchbook.com?c=241839-10T","View Company Online")</f>
        <v>View Company Online</v>
      </c>
    </row>
    <row r="4176" spans="1:18" hidden="1" x14ac:dyDescent="0.3">
      <c r="A4176" s="9" t="s">
        <v>13553</v>
      </c>
      <c r="B4176" s="9" t="s">
        <v>13554</v>
      </c>
      <c r="C4176" s="11" t="s">
        <v>28</v>
      </c>
      <c r="D4176" s="9" t="s">
        <v>13555</v>
      </c>
      <c r="E4176" s="11" t="s">
        <v>28</v>
      </c>
      <c r="F4176" s="10" t="s">
        <v>28</v>
      </c>
      <c r="G4176" s="10">
        <v>0.06</v>
      </c>
      <c r="H4176" s="10" t="s">
        <v>28</v>
      </c>
      <c r="I4176" s="11" t="s">
        <v>28</v>
      </c>
      <c r="J4176" s="11" t="s">
        <v>28</v>
      </c>
      <c r="K4176" s="11" t="s">
        <v>28</v>
      </c>
      <c r="L4176" s="11" t="s">
        <v>28</v>
      </c>
      <c r="M4176" s="11" t="s">
        <v>28</v>
      </c>
      <c r="N4176" s="8">
        <v>44476</v>
      </c>
      <c r="O4176" s="9" t="s">
        <v>379</v>
      </c>
      <c r="P4176" s="12" t="s">
        <v>28</v>
      </c>
      <c r="Q4176" s="9" t="s">
        <v>37</v>
      </c>
      <c r="R4176" s="14" t="str">
        <f>HYPERLINK("https://my.pitchbook.com?c=188492-41T","View Company Online")</f>
        <v>View Company Online</v>
      </c>
    </row>
    <row r="4177" spans="1:18" hidden="1" x14ac:dyDescent="0.3">
      <c r="A4177" s="15" t="s">
        <v>13556</v>
      </c>
      <c r="B4177" s="15" t="s">
        <v>13557</v>
      </c>
      <c r="C4177" s="18" t="s">
        <v>28</v>
      </c>
      <c r="D4177" s="15" t="s">
        <v>13558</v>
      </c>
      <c r="E4177" s="18" t="s">
        <v>28</v>
      </c>
      <c r="F4177" s="19" t="s">
        <v>28</v>
      </c>
      <c r="G4177" s="19" t="s">
        <v>28</v>
      </c>
      <c r="H4177" s="19" t="s">
        <v>28</v>
      </c>
      <c r="I4177" s="18" t="s">
        <v>28</v>
      </c>
      <c r="J4177" s="18" t="s">
        <v>28</v>
      </c>
      <c r="K4177" s="18" t="s">
        <v>28</v>
      </c>
      <c r="L4177" s="18" t="s">
        <v>28</v>
      </c>
      <c r="M4177" s="18" t="s">
        <v>28</v>
      </c>
      <c r="N4177" s="17">
        <v>44476</v>
      </c>
      <c r="O4177" s="15" t="s">
        <v>30</v>
      </c>
      <c r="P4177" s="16" t="s">
        <v>13559</v>
      </c>
      <c r="Q4177" s="15" t="s">
        <v>290</v>
      </c>
      <c r="R4177" s="13" t="str">
        <f>HYPERLINK("https://my.pitchbook.com?c=211777-30T","View Company Online")</f>
        <v>View Company Online</v>
      </c>
    </row>
    <row r="4178" spans="1:18" hidden="1" x14ac:dyDescent="0.3">
      <c r="A4178" s="9" t="s">
        <v>13560</v>
      </c>
      <c r="B4178" s="9" t="s">
        <v>4734</v>
      </c>
      <c r="C4178" s="11" t="s">
        <v>28</v>
      </c>
      <c r="D4178" s="9" t="s">
        <v>4735</v>
      </c>
      <c r="E4178" s="11" t="s">
        <v>28</v>
      </c>
      <c r="F4178" s="10" t="s">
        <v>28</v>
      </c>
      <c r="G4178" s="10" t="s">
        <v>28</v>
      </c>
      <c r="H4178" s="10" t="s">
        <v>28</v>
      </c>
      <c r="I4178" s="11" t="s">
        <v>28</v>
      </c>
      <c r="J4178" s="11" t="s">
        <v>28</v>
      </c>
      <c r="K4178" s="11" t="s">
        <v>28</v>
      </c>
      <c r="L4178" s="11" t="s">
        <v>28</v>
      </c>
      <c r="M4178" s="11" t="s">
        <v>28</v>
      </c>
      <c r="N4178" s="8">
        <v>44476</v>
      </c>
      <c r="O4178" s="9" t="s">
        <v>52</v>
      </c>
      <c r="P4178" s="12" t="s">
        <v>13561</v>
      </c>
      <c r="Q4178" s="9" t="s">
        <v>263</v>
      </c>
      <c r="R4178" s="14" t="str">
        <f>HYPERLINK("https://my.pitchbook.com?c=276735-34T","View Company Online")</f>
        <v>View Company Online</v>
      </c>
    </row>
    <row r="4179" spans="1:18" hidden="1" x14ac:dyDescent="0.3">
      <c r="A4179" s="15" t="s">
        <v>13562</v>
      </c>
      <c r="B4179" s="15" t="s">
        <v>1288</v>
      </c>
      <c r="C4179" s="18" t="s">
        <v>28</v>
      </c>
      <c r="D4179" s="15" t="s">
        <v>1289</v>
      </c>
      <c r="E4179" s="18" t="s">
        <v>28</v>
      </c>
      <c r="F4179" s="19" t="s">
        <v>28</v>
      </c>
      <c r="G4179" s="19" t="s">
        <v>28</v>
      </c>
      <c r="H4179" s="19" t="s">
        <v>28</v>
      </c>
      <c r="I4179" s="18" t="s">
        <v>28</v>
      </c>
      <c r="J4179" s="18" t="s">
        <v>28</v>
      </c>
      <c r="K4179" s="18" t="s">
        <v>28</v>
      </c>
      <c r="L4179" s="18" t="s">
        <v>28</v>
      </c>
      <c r="M4179" s="18" t="s">
        <v>28</v>
      </c>
      <c r="N4179" s="17">
        <v>44475</v>
      </c>
      <c r="O4179" s="15" t="s">
        <v>73</v>
      </c>
      <c r="P4179" s="16" t="s">
        <v>13563</v>
      </c>
      <c r="Q4179" s="15" t="s">
        <v>75</v>
      </c>
      <c r="R4179" s="13" t="str">
        <f>HYPERLINK("https://my.pitchbook.com?c=177109-12T","View Company Online")</f>
        <v>View Company Online</v>
      </c>
    </row>
    <row r="4180" spans="1:18" hidden="1" x14ac:dyDescent="0.3">
      <c r="A4180" s="9" t="s">
        <v>13564</v>
      </c>
      <c r="B4180" s="9" t="s">
        <v>13565</v>
      </c>
      <c r="C4180" s="11" t="s">
        <v>28</v>
      </c>
      <c r="D4180" s="9" t="s">
        <v>13566</v>
      </c>
      <c r="E4180" s="11" t="s">
        <v>28</v>
      </c>
      <c r="F4180" s="10" t="s">
        <v>28</v>
      </c>
      <c r="G4180" s="10">
        <v>27.31</v>
      </c>
      <c r="H4180" s="10" t="s">
        <v>28</v>
      </c>
      <c r="I4180" s="11" t="s">
        <v>28</v>
      </c>
      <c r="J4180" s="11" t="s">
        <v>28</v>
      </c>
      <c r="K4180" s="11" t="s">
        <v>28</v>
      </c>
      <c r="L4180" s="11" t="s">
        <v>28</v>
      </c>
      <c r="M4180" s="11" t="s">
        <v>28</v>
      </c>
      <c r="N4180" s="8">
        <v>44475</v>
      </c>
      <c r="O4180" s="9" t="s">
        <v>73</v>
      </c>
      <c r="P4180" s="12" t="s">
        <v>13567</v>
      </c>
      <c r="Q4180" s="9" t="s">
        <v>43</v>
      </c>
      <c r="R4180" s="14" t="str">
        <f>HYPERLINK("https://my.pitchbook.com?c=181255-78T","View Company Online")</f>
        <v>View Company Online</v>
      </c>
    </row>
    <row r="4181" spans="1:18" hidden="1" x14ac:dyDescent="0.3">
      <c r="A4181" s="15" t="s">
        <v>13568</v>
      </c>
      <c r="B4181" s="15" t="s">
        <v>13569</v>
      </c>
      <c r="C4181" s="18" t="s">
        <v>28</v>
      </c>
      <c r="D4181" s="15" t="s">
        <v>13570</v>
      </c>
      <c r="E4181" s="18" t="s">
        <v>28</v>
      </c>
      <c r="F4181" s="19">
        <v>5.37</v>
      </c>
      <c r="G4181" s="19">
        <v>5.37</v>
      </c>
      <c r="H4181" s="19">
        <v>5.37</v>
      </c>
      <c r="I4181" s="18" t="s">
        <v>28</v>
      </c>
      <c r="J4181" s="18" t="s">
        <v>28</v>
      </c>
      <c r="K4181" s="18" t="s">
        <v>28</v>
      </c>
      <c r="L4181" s="18" t="s">
        <v>28</v>
      </c>
      <c r="M4181" s="18" t="s">
        <v>28</v>
      </c>
      <c r="N4181" s="17">
        <v>44475</v>
      </c>
      <c r="O4181" s="15" t="s">
        <v>30</v>
      </c>
      <c r="P4181" s="16" t="s">
        <v>13571</v>
      </c>
      <c r="Q4181" s="15" t="s">
        <v>75</v>
      </c>
      <c r="R4181" s="13" t="str">
        <f>HYPERLINK("https://my.pitchbook.com?c=181317-34T","View Company Online")</f>
        <v>View Company Online</v>
      </c>
    </row>
    <row r="4182" spans="1:18" hidden="1" x14ac:dyDescent="0.3">
      <c r="A4182" s="9" t="s">
        <v>13572</v>
      </c>
      <c r="B4182" s="9" t="s">
        <v>13573</v>
      </c>
      <c r="C4182" s="11" t="s">
        <v>28</v>
      </c>
      <c r="D4182" s="9" t="s">
        <v>13574</v>
      </c>
      <c r="E4182" s="11" t="s">
        <v>28</v>
      </c>
      <c r="F4182" s="10" t="s">
        <v>28</v>
      </c>
      <c r="G4182" s="10" t="s">
        <v>28</v>
      </c>
      <c r="H4182" s="10" t="s">
        <v>28</v>
      </c>
      <c r="I4182" s="11" t="s">
        <v>28</v>
      </c>
      <c r="J4182" s="11" t="s">
        <v>28</v>
      </c>
      <c r="K4182" s="11" t="s">
        <v>28</v>
      </c>
      <c r="L4182" s="11" t="s">
        <v>28</v>
      </c>
      <c r="M4182" s="11" t="s">
        <v>28</v>
      </c>
      <c r="N4182" s="8">
        <v>44475</v>
      </c>
      <c r="O4182" s="9" t="s">
        <v>52</v>
      </c>
      <c r="P4182" s="12" t="s">
        <v>1880</v>
      </c>
      <c r="Q4182" s="9" t="s">
        <v>37</v>
      </c>
      <c r="R4182" s="14" t="str">
        <f>HYPERLINK("https://my.pitchbook.com?c=213695-92T","View Company Online")</f>
        <v>View Company Online</v>
      </c>
    </row>
    <row r="4183" spans="1:18" hidden="1" x14ac:dyDescent="0.3">
      <c r="A4183" s="15" t="s">
        <v>13575</v>
      </c>
      <c r="B4183" s="15" t="s">
        <v>451</v>
      </c>
      <c r="C4183" s="18" t="s">
        <v>28</v>
      </c>
      <c r="D4183" s="15" t="s">
        <v>452</v>
      </c>
      <c r="E4183" s="18" t="s">
        <v>28</v>
      </c>
      <c r="F4183" s="19" t="s">
        <v>28</v>
      </c>
      <c r="G4183" s="19">
        <v>6.13</v>
      </c>
      <c r="H4183" s="19" t="s">
        <v>28</v>
      </c>
      <c r="I4183" s="18" t="s">
        <v>28</v>
      </c>
      <c r="J4183" s="18" t="s">
        <v>28</v>
      </c>
      <c r="K4183" s="18" t="s">
        <v>28</v>
      </c>
      <c r="L4183" s="18" t="s">
        <v>28</v>
      </c>
      <c r="M4183" s="18" t="s">
        <v>28</v>
      </c>
      <c r="N4183" s="17">
        <v>44474</v>
      </c>
      <c r="O4183" s="15" t="s">
        <v>99</v>
      </c>
      <c r="P4183" s="16" t="s">
        <v>13576</v>
      </c>
      <c r="Q4183" s="15" t="s">
        <v>114</v>
      </c>
      <c r="R4183" s="13" t="str">
        <f>HYPERLINK("https://my.pitchbook.com?c=181242-91T","View Company Online")</f>
        <v>View Company Online</v>
      </c>
    </row>
    <row r="4184" spans="1:18" hidden="1" x14ac:dyDescent="0.3">
      <c r="A4184" s="9" t="s">
        <v>13577</v>
      </c>
      <c r="B4184" s="9" t="s">
        <v>12499</v>
      </c>
      <c r="C4184" s="11" t="s">
        <v>28</v>
      </c>
      <c r="D4184" s="9" t="s">
        <v>12500</v>
      </c>
      <c r="E4184" s="11" t="s">
        <v>28</v>
      </c>
      <c r="F4184" s="10" t="s">
        <v>28</v>
      </c>
      <c r="G4184" s="10">
        <v>6.04</v>
      </c>
      <c r="H4184" s="10" t="s">
        <v>28</v>
      </c>
      <c r="I4184" s="11" t="s">
        <v>28</v>
      </c>
      <c r="J4184" s="11" t="s">
        <v>28</v>
      </c>
      <c r="K4184" s="11" t="s">
        <v>28</v>
      </c>
      <c r="L4184" s="11" t="s">
        <v>28</v>
      </c>
      <c r="M4184" s="11" t="s">
        <v>28</v>
      </c>
      <c r="N4184" s="8">
        <v>44474</v>
      </c>
      <c r="O4184" s="9" t="s">
        <v>73</v>
      </c>
      <c r="P4184" s="12" t="s">
        <v>13578</v>
      </c>
      <c r="Q4184" s="9" t="s">
        <v>740</v>
      </c>
      <c r="R4184" s="14" t="str">
        <f>HYPERLINK("https://my.pitchbook.com?c=181232-38T","View Company Online")</f>
        <v>View Company Online</v>
      </c>
    </row>
    <row r="4185" spans="1:18" hidden="1" x14ac:dyDescent="0.3">
      <c r="A4185" s="15" t="s">
        <v>13579</v>
      </c>
      <c r="B4185" s="15" t="s">
        <v>13580</v>
      </c>
      <c r="C4185" s="18" t="s">
        <v>28</v>
      </c>
      <c r="D4185" s="15" t="s">
        <v>13581</v>
      </c>
      <c r="E4185" s="18" t="s">
        <v>28</v>
      </c>
      <c r="F4185" s="19" t="s">
        <v>28</v>
      </c>
      <c r="G4185" s="19">
        <v>18.899999999999999</v>
      </c>
      <c r="H4185" s="19" t="s">
        <v>28</v>
      </c>
      <c r="I4185" s="18" t="s">
        <v>28</v>
      </c>
      <c r="J4185" s="18" t="s">
        <v>28</v>
      </c>
      <c r="K4185" s="18" t="s">
        <v>28</v>
      </c>
      <c r="L4185" s="18" t="s">
        <v>28</v>
      </c>
      <c r="M4185" s="18" t="s">
        <v>28</v>
      </c>
      <c r="N4185" s="17">
        <v>44473</v>
      </c>
      <c r="O4185" s="15" t="s">
        <v>93</v>
      </c>
      <c r="P4185" s="16" t="s">
        <v>13582</v>
      </c>
      <c r="Q4185" s="15" t="s">
        <v>169</v>
      </c>
      <c r="R4185" s="13" t="str">
        <f>HYPERLINK("https://my.pitchbook.com?c=219629-98T","View Company Online")</f>
        <v>View Company Online</v>
      </c>
    </row>
    <row r="4186" spans="1:18" hidden="1" x14ac:dyDescent="0.3">
      <c r="A4186" s="9" t="s">
        <v>13583</v>
      </c>
      <c r="B4186" s="9" t="s">
        <v>13584</v>
      </c>
      <c r="C4186" s="11" t="s">
        <v>28</v>
      </c>
      <c r="D4186" s="9" t="s">
        <v>13585</v>
      </c>
      <c r="E4186" s="11" t="s">
        <v>28</v>
      </c>
      <c r="F4186" s="10" t="s">
        <v>28</v>
      </c>
      <c r="G4186" s="10" t="s">
        <v>28</v>
      </c>
      <c r="H4186" s="10" t="s">
        <v>28</v>
      </c>
      <c r="I4186" s="11" t="s">
        <v>28</v>
      </c>
      <c r="J4186" s="11" t="s">
        <v>28</v>
      </c>
      <c r="K4186" s="11" t="s">
        <v>28</v>
      </c>
      <c r="L4186" s="11" t="s">
        <v>28</v>
      </c>
      <c r="M4186" s="11" t="s">
        <v>28</v>
      </c>
      <c r="N4186" s="8">
        <v>44473</v>
      </c>
      <c r="O4186" s="9" t="s">
        <v>52</v>
      </c>
      <c r="P4186" s="12" t="s">
        <v>1880</v>
      </c>
      <c r="Q4186" s="9" t="s">
        <v>419</v>
      </c>
      <c r="R4186" s="14" t="str">
        <f>HYPERLINK("https://my.pitchbook.com?c=199932-04T","View Company Online")</f>
        <v>View Company Online</v>
      </c>
    </row>
    <row r="4187" spans="1:18" hidden="1" x14ac:dyDescent="0.3">
      <c r="A4187" s="15" t="s">
        <v>13586</v>
      </c>
      <c r="B4187" s="15" t="s">
        <v>13587</v>
      </c>
      <c r="C4187" s="18" t="s">
        <v>28</v>
      </c>
      <c r="D4187" s="15" t="s">
        <v>13588</v>
      </c>
      <c r="E4187" s="18" t="s">
        <v>28</v>
      </c>
      <c r="F4187" s="19" t="s">
        <v>28</v>
      </c>
      <c r="G4187" s="19" t="s">
        <v>28</v>
      </c>
      <c r="H4187" s="19" t="s">
        <v>28</v>
      </c>
      <c r="I4187" s="18" t="s">
        <v>28</v>
      </c>
      <c r="J4187" s="18" t="s">
        <v>28</v>
      </c>
      <c r="K4187" s="18" t="s">
        <v>28</v>
      </c>
      <c r="L4187" s="18" t="s">
        <v>28</v>
      </c>
      <c r="M4187" s="18" t="s">
        <v>28</v>
      </c>
      <c r="N4187" s="17">
        <v>44473</v>
      </c>
      <c r="O4187" s="15" t="s">
        <v>30</v>
      </c>
      <c r="P4187" s="16" t="s">
        <v>13589</v>
      </c>
      <c r="Q4187" s="15" t="s">
        <v>226</v>
      </c>
      <c r="R4187" s="13" t="str">
        <f>HYPERLINK("https://my.pitchbook.com?c=181168-48T","View Company Online")</f>
        <v>View Company Online</v>
      </c>
    </row>
    <row r="4188" spans="1:18" hidden="1" x14ac:dyDescent="0.3">
      <c r="A4188" s="9" t="s">
        <v>13590</v>
      </c>
      <c r="B4188" s="9" t="s">
        <v>13591</v>
      </c>
      <c r="C4188" s="11" t="s">
        <v>28</v>
      </c>
      <c r="D4188" s="9" t="s">
        <v>13592</v>
      </c>
      <c r="E4188" s="11" t="s">
        <v>28</v>
      </c>
      <c r="F4188" s="10" t="s">
        <v>28</v>
      </c>
      <c r="G4188" s="10">
        <v>0.1</v>
      </c>
      <c r="H4188" s="10" t="s">
        <v>28</v>
      </c>
      <c r="I4188" s="11" t="s">
        <v>28</v>
      </c>
      <c r="J4188" s="11" t="s">
        <v>28</v>
      </c>
      <c r="K4188" s="11" t="s">
        <v>28</v>
      </c>
      <c r="L4188" s="11" t="s">
        <v>28</v>
      </c>
      <c r="M4188" s="11" t="s">
        <v>28</v>
      </c>
      <c r="N4188" s="8">
        <v>44473</v>
      </c>
      <c r="O4188" s="9" t="s">
        <v>52</v>
      </c>
      <c r="P4188" s="12" t="s">
        <v>1880</v>
      </c>
      <c r="Q4188" s="9" t="s">
        <v>95</v>
      </c>
      <c r="R4188" s="14" t="str">
        <f>HYPERLINK("https://my.pitchbook.com?c=193161-43T","View Company Online")</f>
        <v>View Company Online</v>
      </c>
    </row>
    <row r="4189" spans="1:18" hidden="1" x14ac:dyDescent="0.3">
      <c r="A4189" s="15" t="s">
        <v>13593</v>
      </c>
      <c r="B4189" s="15" t="s">
        <v>13594</v>
      </c>
      <c r="C4189" s="18" t="s">
        <v>28</v>
      </c>
      <c r="D4189" s="15" t="s">
        <v>13595</v>
      </c>
      <c r="E4189" s="18" t="s">
        <v>28</v>
      </c>
      <c r="F4189" s="19" t="s">
        <v>28</v>
      </c>
      <c r="G4189" s="19" t="s">
        <v>28</v>
      </c>
      <c r="H4189" s="19" t="s">
        <v>28</v>
      </c>
      <c r="I4189" s="18" t="s">
        <v>28</v>
      </c>
      <c r="J4189" s="18" t="s">
        <v>28</v>
      </c>
      <c r="K4189" s="18" t="s">
        <v>28</v>
      </c>
      <c r="L4189" s="18" t="s">
        <v>28</v>
      </c>
      <c r="M4189" s="18" t="s">
        <v>28</v>
      </c>
      <c r="N4189" s="17">
        <v>44473</v>
      </c>
      <c r="O4189" s="15" t="s">
        <v>52</v>
      </c>
      <c r="P4189" s="16" t="s">
        <v>1880</v>
      </c>
      <c r="Q4189" s="15" t="s">
        <v>419</v>
      </c>
      <c r="R4189" s="13" t="str">
        <f>HYPERLINK("https://my.pitchbook.com?c=199924-12T","View Company Online")</f>
        <v>View Company Online</v>
      </c>
    </row>
    <row r="4190" spans="1:18" hidden="1" x14ac:dyDescent="0.3">
      <c r="A4190" s="9" t="s">
        <v>13596</v>
      </c>
      <c r="B4190" s="9" t="s">
        <v>13597</v>
      </c>
      <c r="C4190" s="11" t="s">
        <v>28</v>
      </c>
      <c r="D4190" s="9" t="s">
        <v>13598</v>
      </c>
      <c r="E4190" s="11" t="s">
        <v>28</v>
      </c>
      <c r="F4190" s="10" t="s">
        <v>28</v>
      </c>
      <c r="G4190" s="10">
        <v>0.06</v>
      </c>
      <c r="H4190" s="10" t="s">
        <v>28</v>
      </c>
      <c r="I4190" s="11" t="s">
        <v>28</v>
      </c>
      <c r="J4190" s="11" t="s">
        <v>28</v>
      </c>
      <c r="K4190" s="11" t="s">
        <v>28</v>
      </c>
      <c r="L4190" s="11" t="s">
        <v>28</v>
      </c>
      <c r="M4190" s="11" t="s">
        <v>28</v>
      </c>
      <c r="N4190" s="8">
        <v>44473</v>
      </c>
      <c r="O4190" s="9" t="s">
        <v>52</v>
      </c>
      <c r="P4190" s="12" t="s">
        <v>6574</v>
      </c>
      <c r="Q4190" s="9" t="s">
        <v>249</v>
      </c>
      <c r="R4190" s="14" t="str">
        <f>HYPERLINK("https://my.pitchbook.com?c=188723-53T","View Company Online")</f>
        <v>View Company Online</v>
      </c>
    </row>
    <row r="4191" spans="1:18" hidden="1" x14ac:dyDescent="0.3">
      <c r="A4191" s="15" t="s">
        <v>13599</v>
      </c>
      <c r="B4191" s="15" t="s">
        <v>13600</v>
      </c>
      <c r="C4191" s="18" t="s">
        <v>28</v>
      </c>
      <c r="D4191" s="15" t="s">
        <v>13601</v>
      </c>
      <c r="E4191" s="18" t="s">
        <v>28</v>
      </c>
      <c r="F4191" s="19" t="s">
        <v>28</v>
      </c>
      <c r="G4191" s="19" t="s">
        <v>28</v>
      </c>
      <c r="H4191" s="19" t="s">
        <v>28</v>
      </c>
      <c r="I4191" s="18" t="s">
        <v>28</v>
      </c>
      <c r="J4191" s="18" t="s">
        <v>28</v>
      </c>
      <c r="K4191" s="18" t="s">
        <v>28</v>
      </c>
      <c r="L4191" s="18" t="s">
        <v>28</v>
      </c>
      <c r="M4191" s="18" t="s">
        <v>28</v>
      </c>
      <c r="N4191" s="17">
        <v>44473</v>
      </c>
      <c r="O4191" s="15" t="s">
        <v>30</v>
      </c>
      <c r="P4191" s="16" t="s">
        <v>13602</v>
      </c>
      <c r="Q4191" s="15" t="s">
        <v>362</v>
      </c>
      <c r="R4191" s="13" t="str">
        <f>HYPERLINK("https://my.pitchbook.com?c=211770-28T","View Company Online")</f>
        <v>View Company Online</v>
      </c>
    </row>
    <row r="4192" spans="1:18" hidden="1" x14ac:dyDescent="0.3">
      <c r="A4192" s="9" t="s">
        <v>13603</v>
      </c>
      <c r="B4192" s="9" t="s">
        <v>1549</v>
      </c>
      <c r="C4192" s="11" t="s">
        <v>28</v>
      </c>
      <c r="D4192" s="9" t="s">
        <v>1550</v>
      </c>
      <c r="E4192" s="11" t="s">
        <v>28</v>
      </c>
      <c r="F4192" s="10" t="s">
        <v>28</v>
      </c>
      <c r="G4192" s="10" t="s">
        <v>28</v>
      </c>
      <c r="H4192" s="10" t="s">
        <v>28</v>
      </c>
      <c r="I4192" s="11" t="s">
        <v>28</v>
      </c>
      <c r="J4192" s="11" t="s">
        <v>28</v>
      </c>
      <c r="K4192" s="11" t="s">
        <v>28</v>
      </c>
      <c r="L4192" s="11" t="s">
        <v>28</v>
      </c>
      <c r="M4192" s="11" t="s">
        <v>28</v>
      </c>
      <c r="N4192" s="8">
        <v>44473</v>
      </c>
      <c r="O4192" s="9" t="s">
        <v>41</v>
      </c>
      <c r="P4192" s="12" t="s">
        <v>13604</v>
      </c>
      <c r="Q4192" s="9" t="s">
        <v>362</v>
      </c>
      <c r="R4192" s="14" t="str">
        <f>HYPERLINK("https://my.pitchbook.com?c=180621-19T","View Company Online")</f>
        <v>View Company Online</v>
      </c>
    </row>
    <row r="4193" spans="1:18" hidden="1" x14ac:dyDescent="0.3">
      <c r="A4193" s="15" t="s">
        <v>13605</v>
      </c>
      <c r="B4193" s="15" t="s">
        <v>10874</v>
      </c>
      <c r="C4193" s="18" t="s">
        <v>28</v>
      </c>
      <c r="D4193" s="15" t="s">
        <v>10875</v>
      </c>
      <c r="E4193" s="18" t="s">
        <v>28</v>
      </c>
      <c r="F4193" s="19" t="s">
        <v>28</v>
      </c>
      <c r="G4193" s="19" t="s">
        <v>28</v>
      </c>
      <c r="H4193" s="19" t="s">
        <v>28</v>
      </c>
      <c r="I4193" s="18" t="s">
        <v>28</v>
      </c>
      <c r="J4193" s="18" t="s">
        <v>28</v>
      </c>
      <c r="K4193" s="18" t="s">
        <v>28</v>
      </c>
      <c r="L4193" s="18" t="s">
        <v>28</v>
      </c>
      <c r="M4193" s="18" t="s">
        <v>28</v>
      </c>
      <c r="N4193" s="17">
        <v>44473</v>
      </c>
      <c r="O4193" s="15" t="s">
        <v>52</v>
      </c>
      <c r="P4193" s="16" t="s">
        <v>1880</v>
      </c>
      <c r="Q4193" s="15" t="s">
        <v>37</v>
      </c>
      <c r="R4193" s="13" t="str">
        <f>HYPERLINK("https://my.pitchbook.com?c=199766-26T","View Company Online")</f>
        <v>View Company Online</v>
      </c>
    </row>
    <row r="4194" spans="1:18" hidden="1" x14ac:dyDescent="0.3">
      <c r="A4194" s="9" t="s">
        <v>13606</v>
      </c>
      <c r="B4194" s="9" t="s">
        <v>13607</v>
      </c>
      <c r="C4194" s="11" t="s">
        <v>28</v>
      </c>
      <c r="D4194" s="9" t="s">
        <v>13608</v>
      </c>
      <c r="E4194" s="11" t="s">
        <v>28</v>
      </c>
      <c r="F4194" s="10" t="s">
        <v>28</v>
      </c>
      <c r="G4194" s="10">
        <v>2.23</v>
      </c>
      <c r="H4194" s="10" t="s">
        <v>28</v>
      </c>
      <c r="I4194" s="11" t="s">
        <v>28</v>
      </c>
      <c r="J4194" s="11" t="s">
        <v>28</v>
      </c>
      <c r="K4194" s="11" t="s">
        <v>28</v>
      </c>
      <c r="L4194" s="11" t="s">
        <v>28</v>
      </c>
      <c r="M4194" s="11" t="s">
        <v>28</v>
      </c>
      <c r="N4194" s="8">
        <v>44473</v>
      </c>
      <c r="O4194" s="9" t="s">
        <v>79</v>
      </c>
      <c r="P4194" s="12" t="s">
        <v>13609</v>
      </c>
      <c r="Q4194" s="9" t="s">
        <v>37</v>
      </c>
      <c r="R4194" s="14" t="str">
        <f>HYPERLINK("https://my.pitchbook.com?c=183159-46T","View Company Online")</f>
        <v>View Company Online</v>
      </c>
    </row>
    <row r="4195" spans="1:18" hidden="1" x14ac:dyDescent="0.3">
      <c r="A4195" s="15" t="s">
        <v>13610</v>
      </c>
      <c r="B4195" s="15" t="s">
        <v>13611</v>
      </c>
      <c r="C4195" s="18" t="s">
        <v>28</v>
      </c>
      <c r="D4195" s="15" t="s">
        <v>13612</v>
      </c>
      <c r="E4195" s="18" t="s">
        <v>28</v>
      </c>
      <c r="F4195" s="19" t="s">
        <v>28</v>
      </c>
      <c r="G4195" s="19" t="s">
        <v>28</v>
      </c>
      <c r="H4195" s="19" t="s">
        <v>28</v>
      </c>
      <c r="I4195" s="18" t="s">
        <v>28</v>
      </c>
      <c r="J4195" s="18" t="s">
        <v>28</v>
      </c>
      <c r="K4195" s="18" t="s">
        <v>28</v>
      </c>
      <c r="L4195" s="18" t="s">
        <v>28</v>
      </c>
      <c r="M4195" s="18" t="s">
        <v>28</v>
      </c>
      <c r="N4195" s="17">
        <v>44473</v>
      </c>
      <c r="O4195" s="15" t="s">
        <v>41</v>
      </c>
      <c r="P4195" s="16" t="s">
        <v>13613</v>
      </c>
      <c r="Q4195" s="15" t="s">
        <v>95</v>
      </c>
      <c r="R4195" s="13" t="str">
        <f>HYPERLINK("https://my.pitchbook.com?c=213973-03T","View Company Online")</f>
        <v>View Company Online</v>
      </c>
    </row>
    <row r="4196" spans="1:18" hidden="1" x14ac:dyDescent="0.3">
      <c r="A4196" s="9" t="s">
        <v>13614</v>
      </c>
      <c r="B4196" s="9" t="s">
        <v>2484</v>
      </c>
      <c r="C4196" s="11" t="s">
        <v>28</v>
      </c>
      <c r="D4196" s="9" t="s">
        <v>2485</v>
      </c>
      <c r="E4196" s="11" t="s">
        <v>28</v>
      </c>
      <c r="F4196" s="10" t="s">
        <v>28</v>
      </c>
      <c r="G4196" s="10" t="s">
        <v>28</v>
      </c>
      <c r="H4196" s="10" t="s">
        <v>28</v>
      </c>
      <c r="I4196" s="11" t="s">
        <v>28</v>
      </c>
      <c r="J4196" s="11" t="s">
        <v>28</v>
      </c>
      <c r="K4196" s="11" t="s">
        <v>28</v>
      </c>
      <c r="L4196" s="11" t="s">
        <v>28</v>
      </c>
      <c r="M4196" s="11" t="s">
        <v>28</v>
      </c>
      <c r="N4196" s="8">
        <v>44473</v>
      </c>
      <c r="O4196" s="9" t="s">
        <v>52</v>
      </c>
      <c r="P4196" s="12" t="s">
        <v>1880</v>
      </c>
      <c r="Q4196" s="9" t="s">
        <v>75</v>
      </c>
      <c r="R4196" s="14" t="str">
        <f>HYPERLINK("https://my.pitchbook.com?c=199765-09T","View Company Online")</f>
        <v>View Company Online</v>
      </c>
    </row>
    <row r="4197" spans="1:18" hidden="1" x14ac:dyDescent="0.3">
      <c r="A4197" s="15" t="s">
        <v>13615</v>
      </c>
      <c r="B4197" s="15" t="s">
        <v>519</v>
      </c>
      <c r="C4197" s="18" t="s">
        <v>28</v>
      </c>
      <c r="D4197" s="15" t="s">
        <v>520</v>
      </c>
      <c r="E4197" s="18" t="s">
        <v>28</v>
      </c>
      <c r="F4197" s="19" t="s">
        <v>28</v>
      </c>
      <c r="G4197" s="19" t="s">
        <v>28</v>
      </c>
      <c r="H4197" s="19" t="s">
        <v>28</v>
      </c>
      <c r="I4197" s="18" t="s">
        <v>28</v>
      </c>
      <c r="J4197" s="18" t="s">
        <v>28</v>
      </c>
      <c r="K4197" s="18" t="s">
        <v>28</v>
      </c>
      <c r="L4197" s="18" t="s">
        <v>28</v>
      </c>
      <c r="M4197" s="18" t="s">
        <v>28</v>
      </c>
      <c r="N4197" s="17">
        <v>44473</v>
      </c>
      <c r="O4197" s="15" t="s">
        <v>52</v>
      </c>
      <c r="P4197" s="16" t="s">
        <v>1880</v>
      </c>
      <c r="Q4197" s="15" t="s">
        <v>522</v>
      </c>
      <c r="R4197" s="13" t="str">
        <f>HYPERLINK("https://my.pitchbook.com?c=199765-00T","View Company Online")</f>
        <v>View Company Online</v>
      </c>
    </row>
    <row r="4198" spans="1:18" hidden="1" x14ac:dyDescent="0.3">
      <c r="A4198" s="9" t="s">
        <v>13616</v>
      </c>
      <c r="B4198" s="9" t="s">
        <v>13617</v>
      </c>
      <c r="C4198" s="11" t="s">
        <v>28</v>
      </c>
      <c r="D4198" s="9" t="s">
        <v>13618</v>
      </c>
      <c r="E4198" s="11" t="s">
        <v>28</v>
      </c>
      <c r="F4198" s="10" t="s">
        <v>28</v>
      </c>
      <c r="G4198" s="10" t="s">
        <v>28</v>
      </c>
      <c r="H4198" s="10" t="s">
        <v>28</v>
      </c>
      <c r="I4198" s="11" t="s">
        <v>28</v>
      </c>
      <c r="J4198" s="11" t="s">
        <v>28</v>
      </c>
      <c r="K4198" s="11" t="s">
        <v>28</v>
      </c>
      <c r="L4198" s="11" t="s">
        <v>28</v>
      </c>
      <c r="M4198" s="11" t="s">
        <v>28</v>
      </c>
      <c r="N4198" s="8">
        <v>44473</v>
      </c>
      <c r="O4198" s="9" t="s">
        <v>30</v>
      </c>
      <c r="P4198" s="12" t="s">
        <v>13619</v>
      </c>
      <c r="Q4198" s="9" t="s">
        <v>75</v>
      </c>
      <c r="R4198" s="14" t="str">
        <f>HYPERLINK("https://my.pitchbook.com?c=211760-92T","View Company Online")</f>
        <v>View Company Online</v>
      </c>
    </row>
    <row r="4199" spans="1:18" hidden="1" x14ac:dyDescent="0.3">
      <c r="A4199" s="15" t="s">
        <v>13620</v>
      </c>
      <c r="B4199" s="15" t="s">
        <v>10515</v>
      </c>
      <c r="C4199" s="18" t="s">
        <v>28</v>
      </c>
      <c r="D4199" s="15" t="s">
        <v>10516</v>
      </c>
      <c r="E4199" s="18" t="s">
        <v>28</v>
      </c>
      <c r="F4199" s="19" t="s">
        <v>28</v>
      </c>
      <c r="G4199" s="19">
        <v>0.19</v>
      </c>
      <c r="H4199" s="19">
        <v>6.31</v>
      </c>
      <c r="I4199" s="18" t="s">
        <v>28</v>
      </c>
      <c r="J4199" s="18" t="s">
        <v>28</v>
      </c>
      <c r="K4199" s="18" t="s">
        <v>28</v>
      </c>
      <c r="L4199" s="18" t="s">
        <v>28</v>
      </c>
      <c r="M4199" s="18" t="s">
        <v>28</v>
      </c>
      <c r="N4199" s="17">
        <v>44472</v>
      </c>
      <c r="O4199" s="15" t="s">
        <v>52</v>
      </c>
      <c r="P4199" s="16" t="s">
        <v>3869</v>
      </c>
      <c r="Q4199" s="15" t="s">
        <v>832</v>
      </c>
      <c r="R4199" s="13" t="str">
        <f>HYPERLINK("https://my.pitchbook.com?c=264027-16T","View Company Online")</f>
        <v>View Company Online</v>
      </c>
    </row>
    <row r="4200" spans="1:18" hidden="1" x14ac:dyDescent="0.3">
      <c r="A4200" s="9" t="s">
        <v>13621</v>
      </c>
      <c r="B4200" s="9" t="s">
        <v>811</v>
      </c>
      <c r="C4200" s="11" t="s">
        <v>28</v>
      </c>
      <c r="D4200" s="9" t="s">
        <v>812</v>
      </c>
      <c r="E4200" s="11" t="s">
        <v>28</v>
      </c>
      <c r="F4200" s="10" t="s">
        <v>28</v>
      </c>
      <c r="G4200" s="10" t="s">
        <v>28</v>
      </c>
      <c r="H4200" s="10" t="s">
        <v>28</v>
      </c>
      <c r="I4200" s="11" t="s">
        <v>28</v>
      </c>
      <c r="J4200" s="11" t="s">
        <v>28</v>
      </c>
      <c r="K4200" s="11" t="s">
        <v>28</v>
      </c>
      <c r="L4200" s="11" t="s">
        <v>28</v>
      </c>
      <c r="M4200" s="11" t="s">
        <v>28</v>
      </c>
      <c r="N4200" s="8">
        <v>44470</v>
      </c>
      <c r="O4200" s="9" t="s">
        <v>159</v>
      </c>
      <c r="P4200" s="12" t="s">
        <v>13622</v>
      </c>
      <c r="Q4200" s="9" t="s">
        <v>226</v>
      </c>
      <c r="R4200" s="14" t="str">
        <f>HYPERLINK("https://my.pitchbook.com?c=259514-83T","View Company Online")</f>
        <v>View Company Online</v>
      </c>
    </row>
    <row r="4201" spans="1:18" hidden="1" x14ac:dyDescent="0.3">
      <c r="A4201" s="15" t="s">
        <v>13623</v>
      </c>
      <c r="B4201" s="15" t="s">
        <v>13624</v>
      </c>
      <c r="C4201" s="18" t="s">
        <v>28</v>
      </c>
      <c r="D4201" s="15" t="s">
        <v>13625</v>
      </c>
      <c r="E4201" s="18" t="s">
        <v>28</v>
      </c>
      <c r="F4201" s="19" t="s">
        <v>28</v>
      </c>
      <c r="G4201" s="19" t="s">
        <v>28</v>
      </c>
      <c r="H4201" s="19" t="s">
        <v>28</v>
      </c>
      <c r="I4201" s="18" t="s">
        <v>28</v>
      </c>
      <c r="J4201" s="18" t="s">
        <v>28</v>
      </c>
      <c r="K4201" s="18" t="s">
        <v>28</v>
      </c>
      <c r="L4201" s="18" t="s">
        <v>28</v>
      </c>
      <c r="M4201" s="18" t="s">
        <v>28</v>
      </c>
      <c r="N4201" s="17">
        <v>44470</v>
      </c>
      <c r="O4201" s="15" t="s">
        <v>52</v>
      </c>
      <c r="P4201" s="16" t="s">
        <v>8013</v>
      </c>
      <c r="Q4201" s="15" t="s">
        <v>75</v>
      </c>
      <c r="R4201" s="13" t="str">
        <f>HYPERLINK("https://my.pitchbook.com?c=284437-81T","View Company Online")</f>
        <v>View Company Online</v>
      </c>
    </row>
    <row r="4202" spans="1:18" hidden="1" x14ac:dyDescent="0.3">
      <c r="A4202" s="9" t="s">
        <v>13626</v>
      </c>
      <c r="B4202" s="9" t="s">
        <v>13627</v>
      </c>
      <c r="C4202" s="11" t="s">
        <v>28</v>
      </c>
      <c r="D4202" s="9" t="s">
        <v>13628</v>
      </c>
      <c r="E4202" s="11" t="s">
        <v>28</v>
      </c>
      <c r="F4202" s="10" t="s">
        <v>28</v>
      </c>
      <c r="G4202" s="10" t="s">
        <v>28</v>
      </c>
      <c r="H4202" s="10" t="s">
        <v>28</v>
      </c>
      <c r="I4202" s="11" t="s">
        <v>28</v>
      </c>
      <c r="J4202" s="11" t="s">
        <v>28</v>
      </c>
      <c r="K4202" s="11" t="s">
        <v>28</v>
      </c>
      <c r="L4202" s="11" t="s">
        <v>28</v>
      </c>
      <c r="M4202" s="11" t="s">
        <v>28</v>
      </c>
      <c r="N4202" s="8">
        <v>44470</v>
      </c>
      <c r="O4202" s="9" t="s">
        <v>30</v>
      </c>
      <c r="P4202" s="12" t="s">
        <v>28</v>
      </c>
      <c r="Q4202" s="9" t="s">
        <v>8735</v>
      </c>
      <c r="R4202" s="14" t="str">
        <f>HYPERLINK("https://my.pitchbook.com?c=160392-79T","View Company Online")</f>
        <v>View Company Online</v>
      </c>
    </row>
    <row r="4203" spans="1:18" hidden="1" x14ac:dyDescent="0.3">
      <c r="A4203" s="15" t="s">
        <v>13629</v>
      </c>
      <c r="B4203" s="15" t="s">
        <v>13630</v>
      </c>
      <c r="C4203" s="18" t="s">
        <v>28</v>
      </c>
      <c r="D4203" s="15" t="s">
        <v>13631</v>
      </c>
      <c r="E4203" s="18" t="s">
        <v>28</v>
      </c>
      <c r="F4203" s="19" t="s">
        <v>28</v>
      </c>
      <c r="G4203" s="19" t="s">
        <v>28</v>
      </c>
      <c r="H4203" s="19" t="s">
        <v>28</v>
      </c>
      <c r="I4203" s="18" t="s">
        <v>28</v>
      </c>
      <c r="J4203" s="18" t="s">
        <v>28</v>
      </c>
      <c r="K4203" s="18" t="s">
        <v>28</v>
      </c>
      <c r="L4203" s="18" t="s">
        <v>28</v>
      </c>
      <c r="M4203" s="18" t="s">
        <v>28</v>
      </c>
      <c r="N4203" s="17">
        <v>44470</v>
      </c>
      <c r="O4203" s="15" t="s">
        <v>52</v>
      </c>
      <c r="P4203" s="16" t="s">
        <v>8013</v>
      </c>
      <c r="Q4203" s="15" t="s">
        <v>1793</v>
      </c>
      <c r="R4203" s="13" t="str">
        <f>HYPERLINK("https://my.pitchbook.com?c=284442-04T","View Company Online")</f>
        <v>View Company Online</v>
      </c>
    </row>
    <row r="4204" spans="1:18" hidden="1" x14ac:dyDescent="0.3">
      <c r="A4204" s="9" t="s">
        <v>13632</v>
      </c>
      <c r="B4204" s="9" t="s">
        <v>9922</v>
      </c>
      <c r="C4204" s="11" t="s">
        <v>28</v>
      </c>
      <c r="D4204" s="9" t="s">
        <v>9923</v>
      </c>
      <c r="E4204" s="11" t="s">
        <v>28</v>
      </c>
      <c r="F4204" s="10" t="s">
        <v>28</v>
      </c>
      <c r="G4204" s="10">
        <v>0.76</v>
      </c>
      <c r="H4204" s="10" t="s">
        <v>28</v>
      </c>
      <c r="I4204" s="11" t="s">
        <v>28</v>
      </c>
      <c r="J4204" s="11" t="s">
        <v>28</v>
      </c>
      <c r="K4204" s="11" t="s">
        <v>28</v>
      </c>
      <c r="L4204" s="11" t="s">
        <v>28</v>
      </c>
      <c r="M4204" s="11" t="s">
        <v>28</v>
      </c>
      <c r="N4204" s="8">
        <v>44470</v>
      </c>
      <c r="O4204" s="9" t="s">
        <v>79</v>
      </c>
      <c r="P4204" s="12" t="s">
        <v>611</v>
      </c>
      <c r="Q4204" s="9" t="s">
        <v>37</v>
      </c>
      <c r="R4204" s="14" t="str">
        <f>HYPERLINK("https://my.pitchbook.com?c=185006-17T","View Company Online")</f>
        <v>View Company Online</v>
      </c>
    </row>
    <row r="4205" spans="1:18" hidden="1" x14ac:dyDescent="0.3">
      <c r="A4205" s="15" t="s">
        <v>13633</v>
      </c>
      <c r="B4205" s="15" t="s">
        <v>13634</v>
      </c>
      <c r="C4205" s="18" t="s">
        <v>28</v>
      </c>
      <c r="D4205" s="15" t="s">
        <v>13635</v>
      </c>
      <c r="E4205" s="18" t="s">
        <v>28</v>
      </c>
      <c r="F4205" s="19" t="s">
        <v>28</v>
      </c>
      <c r="G4205" s="19" t="s">
        <v>28</v>
      </c>
      <c r="H4205" s="19" t="s">
        <v>28</v>
      </c>
      <c r="I4205" s="18" t="s">
        <v>28</v>
      </c>
      <c r="J4205" s="18" t="s">
        <v>28</v>
      </c>
      <c r="K4205" s="18" t="s">
        <v>28</v>
      </c>
      <c r="L4205" s="18" t="s">
        <v>28</v>
      </c>
      <c r="M4205" s="18" t="s">
        <v>28</v>
      </c>
      <c r="N4205" s="17">
        <v>44470</v>
      </c>
      <c r="O4205" s="15" t="s">
        <v>99</v>
      </c>
      <c r="P4205" s="16" t="s">
        <v>13636</v>
      </c>
      <c r="Q4205" s="15" t="s">
        <v>75</v>
      </c>
      <c r="R4205" s="13" t="str">
        <f>HYPERLINK("https://my.pitchbook.com?c=181151-11T","View Company Online")</f>
        <v>View Company Online</v>
      </c>
    </row>
    <row r="4206" spans="1:18" hidden="1" x14ac:dyDescent="0.3">
      <c r="A4206" s="9" t="s">
        <v>13637</v>
      </c>
      <c r="B4206" s="9" t="s">
        <v>13638</v>
      </c>
      <c r="C4206" s="11" t="s">
        <v>28</v>
      </c>
      <c r="D4206" s="9" t="s">
        <v>13639</v>
      </c>
      <c r="E4206" s="11" t="s">
        <v>28</v>
      </c>
      <c r="F4206" s="10" t="s">
        <v>28</v>
      </c>
      <c r="G4206" s="10" t="s">
        <v>28</v>
      </c>
      <c r="H4206" s="10" t="s">
        <v>28</v>
      </c>
      <c r="I4206" s="11" t="s">
        <v>28</v>
      </c>
      <c r="J4206" s="11" t="s">
        <v>28</v>
      </c>
      <c r="K4206" s="11" t="s">
        <v>28</v>
      </c>
      <c r="L4206" s="11" t="s">
        <v>28</v>
      </c>
      <c r="M4206" s="11" t="s">
        <v>28</v>
      </c>
      <c r="N4206" s="8">
        <v>44470</v>
      </c>
      <c r="O4206" s="9" t="s">
        <v>52</v>
      </c>
      <c r="P4206" s="12" t="s">
        <v>8495</v>
      </c>
      <c r="Q4206" s="9" t="s">
        <v>414</v>
      </c>
      <c r="R4206" s="14" t="str">
        <f>HYPERLINK("https://my.pitchbook.com?c=284398-30T","View Company Online")</f>
        <v>View Company Online</v>
      </c>
    </row>
    <row r="4207" spans="1:18" hidden="1" x14ac:dyDescent="0.3">
      <c r="A4207" s="15" t="s">
        <v>13640</v>
      </c>
      <c r="B4207" s="15" t="s">
        <v>13641</v>
      </c>
      <c r="C4207" s="18" t="s">
        <v>28</v>
      </c>
      <c r="D4207" s="15" t="s">
        <v>13642</v>
      </c>
      <c r="E4207" s="18" t="s">
        <v>28</v>
      </c>
      <c r="F4207" s="19" t="s">
        <v>28</v>
      </c>
      <c r="G4207" s="19" t="s">
        <v>28</v>
      </c>
      <c r="H4207" s="19" t="s">
        <v>28</v>
      </c>
      <c r="I4207" s="18" t="s">
        <v>28</v>
      </c>
      <c r="J4207" s="18" t="s">
        <v>28</v>
      </c>
      <c r="K4207" s="18" t="s">
        <v>28</v>
      </c>
      <c r="L4207" s="18" t="s">
        <v>28</v>
      </c>
      <c r="M4207" s="18" t="s">
        <v>28</v>
      </c>
      <c r="N4207" s="17">
        <v>44470</v>
      </c>
      <c r="O4207" s="15" t="s">
        <v>73</v>
      </c>
      <c r="P4207" s="16" t="s">
        <v>4022</v>
      </c>
      <c r="Q4207" s="15" t="s">
        <v>37</v>
      </c>
      <c r="R4207" s="13" t="str">
        <f>HYPERLINK("https://my.pitchbook.com?c=205356-25T","View Company Online")</f>
        <v>View Company Online</v>
      </c>
    </row>
    <row r="4208" spans="1:18" hidden="1" x14ac:dyDescent="0.3">
      <c r="A4208" s="9" t="s">
        <v>13643</v>
      </c>
      <c r="B4208" s="9" t="s">
        <v>13644</v>
      </c>
      <c r="C4208" s="11" t="s">
        <v>28</v>
      </c>
      <c r="D4208" s="9" t="s">
        <v>13645</v>
      </c>
      <c r="E4208" s="11" t="s">
        <v>28</v>
      </c>
      <c r="F4208" s="10" t="s">
        <v>28</v>
      </c>
      <c r="G4208" s="10" t="s">
        <v>28</v>
      </c>
      <c r="H4208" s="10" t="s">
        <v>28</v>
      </c>
      <c r="I4208" s="11" t="s">
        <v>28</v>
      </c>
      <c r="J4208" s="11" t="s">
        <v>28</v>
      </c>
      <c r="K4208" s="11" t="s">
        <v>28</v>
      </c>
      <c r="L4208" s="11" t="s">
        <v>28</v>
      </c>
      <c r="M4208" s="11" t="s">
        <v>28</v>
      </c>
      <c r="N4208" s="8">
        <v>44470</v>
      </c>
      <c r="O4208" s="9" t="s">
        <v>30</v>
      </c>
      <c r="P4208" s="12" t="s">
        <v>13646</v>
      </c>
      <c r="Q4208" s="9" t="s">
        <v>245</v>
      </c>
      <c r="R4208" s="14" t="str">
        <f>HYPERLINK("https://my.pitchbook.com?c=181095-04T","View Company Online")</f>
        <v>View Company Online</v>
      </c>
    </row>
    <row r="4209" spans="1:18" hidden="1" x14ac:dyDescent="0.3">
      <c r="A4209" s="15" t="s">
        <v>13647</v>
      </c>
      <c r="B4209" s="15" t="s">
        <v>270</v>
      </c>
      <c r="C4209" s="18" t="s">
        <v>28</v>
      </c>
      <c r="D4209" s="15" t="s">
        <v>271</v>
      </c>
      <c r="E4209" s="18" t="s">
        <v>28</v>
      </c>
      <c r="F4209" s="19" t="s">
        <v>28</v>
      </c>
      <c r="G4209" s="19" t="s">
        <v>28</v>
      </c>
      <c r="H4209" s="19" t="s">
        <v>28</v>
      </c>
      <c r="I4209" s="18" t="s">
        <v>28</v>
      </c>
      <c r="J4209" s="18" t="s">
        <v>28</v>
      </c>
      <c r="K4209" s="18" t="s">
        <v>28</v>
      </c>
      <c r="L4209" s="18" t="s">
        <v>28</v>
      </c>
      <c r="M4209" s="18" t="s">
        <v>28</v>
      </c>
      <c r="N4209" s="17">
        <v>44470</v>
      </c>
      <c r="O4209" s="15" t="s">
        <v>73</v>
      </c>
      <c r="P4209" s="16" t="s">
        <v>13648</v>
      </c>
      <c r="Q4209" s="15" t="s">
        <v>37</v>
      </c>
      <c r="R4209" s="13" t="str">
        <f>HYPERLINK("https://my.pitchbook.com?c=183047-59T","View Company Online")</f>
        <v>View Company Online</v>
      </c>
    </row>
    <row r="4210" spans="1:18" hidden="1" x14ac:dyDescent="0.3">
      <c r="A4210" s="9" t="s">
        <v>13649</v>
      </c>
      <c r="B4210" s="9" t="s">
        <v>13650</v>
      </c>
      <c r="C4210" s="11" t="s">
        <v>28</v>
      </c>
      <c r="D4210" s="9" t="s">
        <v>13651</v>
      </c>
      <c r="E4210" s="11" t="s">
        <v>28</v>
      </c>
      <c r="F4210" s="10" t="s">
        <v>28</v>
      </c>
      <c r="G4210" s="10" t="s">
        <v>28</v>
      </c>
      <c r="H4210" s="10" t="s">
        <v>28</v>
      </c>
      <c r="I4210" s="11" t="s">
        <v>28</v>
      </c>
      <c r="J4210" s="11" t="s">
        <v>28</v>
      </c>
      <c r="K4210" s="11" t="s">
        <v>28</v>
      </c>
      <c r="L4210" s="11" t="s">
        <v>28</v>
      </c>
      <c r="M4210" s="11" t="s">
        <v>28</v>
      </c>
      <c r="N4210" s="8">
        <v>44470</v>
      </c>
      <c r="O4210" s="9" t="s">
        <v>52</v>
      </c>
      <c r="P4210" s="12" t="s">
        <v>8013</v>
      </c>
      <c r="Q4210" s="9" t="s">
        <v>75</v>
      </c>
      <c r="R4210" s="14" t="str">
        <f>HYPERLINK("https://my.pitchbook.com?c=284476-06T","View Company Online")</f>
        <v>View Company Online</v>
      </c>
    </row>
    <row r="4211" spans="1:18" hidden="1" x14ac:dyDescent="0.3">
      <c r="A4211" s="15" t="s">
        <v>13652</v>
      </c>
      <c r="B4211" s="15" t="s">
        <v>13653</v>
      </c>
      <c r="C4211" s="18" t="s">
        <v>28</v>
      </c>
      <c r="D4211" s="15" t="s">
        <v>13654</v>
      </c>
      <c r="E4211" s="18" t="s">
        <v>28</v>
      </c>
      <c r="F4211" s="19" t="s">
        <v>28</v>
      </c>
      <c r="G4211" s="19">
        <v>0.05</v>
      </c>
      <c r="H4211" s="19" t="s">
        <v>28</v>
      </c>
      <c r="I4211" s="18" t="s">
        <v>28</v>
      </c>
      <c r="J4211" s="18" t="s">
        <v>28</v>
      </c>
      <c r="K4211" s="18" t="s">
        <v>28</v>
      </c>
      <c r="L4211" s="18" t="s">
        <v>28</v>
      </c>
      <c r="M4211" s="18" t="s">
        <v>28</v>
      </c>
      <c r="N4211" s="17">
        <v>44470</v>
      </c>
      <c r="O4211" s="15" t="s">
        <v>1639</v>
      </c>
      <c r="P4211" s="16" t="s">
        <v>28</v>
      </c>
      <c r="Q4211" s="15" t="s">
        <v>740</v>
      </c>
      <c r="R4211" s="13" t="str">
        <f>HYPERLINK("https://my.pitchbook.com?c=192600-64T","View Company Online")</f>
        <v>View Company Online</v>
      </c>
    </row>
    <row r="4212" spans="1:18" hidden="1" x14ac:dyDescent="0.3">
      <c r="A4212" s="9" t="s">
        <v>13655</v>
      </c>
      <c r="B4212" s="9" t="s">
        <v>13656</v>
      </c>
      <c r="C4212" s="11" t="s">
        <v>28</v>
      </c>
      <c r="D4212" s="9" t="s">
        <v>13657</v>
      </c>
      <c r="E4212" s="11" t="s">
        <v>28</v>
      </c>
      <c r="F4212" s="10" t="s">
        <v>28</v>
      </c>
      <c r="G4212" s="10" t="s">
        <v>28</v>
      </c>
      <c r="H4212" s="10" t="s">
        <v>28</v>
      </c>
      <c r="I4212" s="11" t="s">
        <v>28</v>
      </c>
      <c r="J4212" s="11" t="s">
        <v>28</v>
      </c>
      <c r="K4212" s="11" t="s">
        <v>28</v>
      </c>
      <c r="L4212" s="11" t="s">
        <v>28</v>
      </c>
      <c r="M4212" s="11" t="s">
        <v>28</v>
      </c>
      <c r="N4212" s="8">
        <v>44470</v>
      </c>
      <c r="O4212" s="9" t="s">
        <v>30</v>
      </c>
      <c r="P4212" s="12" t="s">
        <v>9779</v>
      </c>
      <c r="Q4212" s="9" t="s">
        <v>75</v>
      </c>
      <c r="R4212" s="14" t="str">
        <f>HYPERLINK("https://my.pitchbook.com?c=209088-55T","View Company Online")</f>
        <v>View Company Online</v>
      </c>
    </row>
    <row r="4213" spans="1:18" hidden="1" x14ac:dyDescent="0.3">
      <c r="A4213" s="15" t="s">
        <v>13658</v>
      </c>
      <c r="B4213" s="15" t="s">
        <v>13659</v>
      </c>
      <c r="C4213" s="18" t="s">
        <v>28</v>
      </c>
      <c r="D4213" s="15" t="s">
        <v>13660</v>
      </c>
      <c r="E4213" s="18" t="s">
        <v>28</v>
      </c>
      <c r="F4213" s="19" t="s">
        <v>28</v>
      </c>
      <c r="G4213" s="19" t="s">
        <v>28</v>
      </c>
      <c r="H4213" s="19" t="s">
        <v>28</v>
      </c>
      <c r="I4213" s="18" t="s">
        <v>28</v>
      </c>
      <c r="J4213" s="18" t="s">
        <v>28</v>
      </c>
      <c r="K4213" s="18" t="s">
        <v>28</v>
      </c>
      <c r="L4213" s="18" t="s">
        <v>28</v>
      </c>
      <c r="M4213" s="18" t="s">
        <v>28</v>
      </c>
      <c r="N4213" s="17">
        <v>44470</v>
      </c>
      <c r="O4213" s="15" t="s">
        <v>30</v>
      </c>
      <c r="P4213" s="16" t="s">
        <v>13661</v>
      </c>
      <c r="Q4213" s="15" t="s">
        <v>855</v>
      </c>
      <c r="R4213" s="13" t="str">
        <f>HYPERLINK("https://my.pitchbook.com?c=257425-66T","View Company Online")</f>
        <v>View Company Online</v>
      </c>
    </row>
    <row r="4214" spans="1:18" hidden="1" x14ac:dyDescent="0.3">
      <c r="A4214" s="9" t="s">
        <v>13662</v>
      </c>
      <c r="B4214" s="9" t="s">
        <v>2466</v>
      </c>
      <c r="C4214" s="11" t="s">
        <v>28</v>
      </c>
      <c r="D4214" s="9" t="s">
        <v>2467</v>
      </c>
      <c r="E4214" s="11" t="s">
        <v>28</v>
      </c>
      <c r="F4214" s="10" t="s">
        <v>28</v>
      </c>
      <c r="G4214" s="10">
        <v>0.96</v>
      </c>
      <c r="H4214" s="10" t="s">
        <v>28</v>
      </c>
      <c r="I4214" s="11" t="s">
        <v>28</v>
      </c>
      <c r="J4214" s="11" t="s">
        <v>28</v>
      </c>
      <c r="K4214" s="11" t="s">
        <v>28</v>
      </c>
      <c r="L4214" s="11" t="s">
        <v>28</v>
      </c>
      <c r="M4214" s="11" t="s">
        <v>28</v>
      </c>
      <c r="N4214" s="8">
        <v>44470</v>
      </c>
      <c r="O4214" s="9" t="s">
        <v>99</v>
      </c>
      <c r="P4214" s="12" t="s">
        <v>13663</v>
      </c>
      <c r="Q4214" s="9" t="s">
        <v>75</v>
      </c>
      <c r="R4214" s="14" t="str">
        <f>HYPERLINK("https://my.pitchbook.com?c=188938-45T","View Company Online")</f>
        <v>View Company Online</v>
      </c>
    </row>
    <row r="4215" spans="1:18" hidden="1" x14ac:dyDescent="0.3">
      <c r="A4215" s="15" t="s">
        <v>13664</v>
      </c>
      <c r="B4215" s="15" t="s">
        <v>13665</v>
      </c>
      <c r="C4215" s="18" t="s">
        <v>28</v>
      </c>
      <c r="D4215" s="15" t="s">
        <v>13666</v>
      </c>
      <c r="E4215" s="18" t="s">
        <v>28</v>
      </c>
      <c r="F4215" s="19" t="s">
        <v>28</v>
      </c>
      <c r="G4215" s="19" t="s">
        <v>28</v>
      </c>
      <c r="H4215" s="19" t="s">
        <v>28</v>
      </c>
      <c r="I4215" s="18" t="s">
        <v>28</v>
      </c>
      <c r="J4215" s="18" t="s">
        <v>28</v>
      </c>
      <c r="K4215" s="18" t="s">
        <v>28</v>
      </c>
      <c r="L4215" s="18" t="s">
        <v>28</v>
      </c>
      <c r="M4215" s="18" t="s">
        <v>28</v>
      </c>
      <c r="N4215" s="17">
        <v>44470</v>
      </c>
      <c r="O4215" s="15" t="s">
        <v>73</v>
      </c>
      <c r="P4215" s="16" t="s">
        <v>4022</v>
      </c>
      <c r="Q4215" s="15" t="s">
        <v>386</v>
      </c>
      <c r="R4215" s="13" t="str">
        <f>HYPERLINK("https://my.pitchbook.com?c=205358-68T","View Company Online")</f>
        <v>View Company Online</v>
      </c>
    </row>
    <row r="4216" spans="1:18" hidden="1" x14ac:dyDescent="0.3">
      <c r="A4216" s="9" t="s">
        <v>13667</v>
      </c>
      <c r="B4216" s="9" t="s">
        <v>13668</v>
      </c>
      <c r="C4216" s="11" t="s">
        <v>28</v>
      </c>
      <c r="D4216" s="9" t="s">
        <v>13669</v>
      </c>
      <c r="E4216" s="11" t="s">
        <v>28</v>
      </c>
      <c r="F4216" s="10">
        <v>7.29</v>
      </c>
      <c r="G4216" s="10">
        <v>7.29</v>
      </c>
      <c r="H4216" s="10">
        <v>7.29</v>
      </c>
      <c r="I4216" s="11" t="s">
        <v>28</v>
      </c>
      <c r="J4216" s="11" t="s">
        <v>28</v>
      </c>
      <c r="K4216" s="11" t="s">
        <v>28</v>
      </c>
      <c r="L4216" s="11" t="s">
        <v>28</v>
      </c>
      <c r="M4216" s="11" t="s">
        <v>28</v>
      </c>
      <c r="N4216" s="8">
        <v>44470</v>
      </c>
      <c r="O4216" s="9" t="s">
        <v>30</v>
      </c>
      <c r="P4216" s="12" t="s">
        <v>13670</v>
      </c>
      <c r="Q4216" s="9" t="s">
        <v>75</v>
      </c>
      <c r="R4216" s="14" t="str">
        <f>HYPERLINK("https://my.pitchbook.com?c=181406-62T","View Company Online")</f>
        <v>View Company Online</v>
      </c>
    </row>
    <row r="4217" spans="1:18" hidden="1" x14ac:dyDescent="0.3">
      <c r="A4217" s="15" t="s">
        <v>13671</v>
      </c>
      <c r="B4217" s="15" t="s">
        <v>13672</v>
      </c>
      <c r="C4217" s="18" t="s">
        <v>28</v>
      </c>
      <c r="D4217" s="15" t="s">
        <v>13673</v>
      </c>
      <c r="E4217" s="18" t="s">
        <v>28</v>
      </c>
      <c r="F4217" s="19" t="s">
        <v>28</v>
      </c>
      <c r="G4217" s="19" t="s">
        <v>28</v>
      </c>
      <c r="H4217" s="19" t="s">
        <v>28</v>
      </c>
      <c r="I4217" s="18" t="s">
        <v>28</v>
      </c>
      <c r="J4217" s="18" t="s">
        <v>28</v>
      </c>
      <c r="K4217" s="18" t="s">
        <v>28</v>
      </c>
      <c r="L4217" s="18" t="s">
        <v>28</v>
      </c>
      <c r="M4217" s="18" t="s">
        <v>28</v>
      </c>
      <c r="N4217" s="17">
        <v>44470</v>
      </c>
      <c r="O4217" s="15" t="s">
        <v>30</v>
      </c>
      <c r="P4217" s="16" t="s">
        <v>13674</v>
      </c>
      <c r="Q4217" s="15" t="s">
        <v>75</v>
      </c>
      <c r="R4217" s="13" t="str">
        <f>HYPERLINK("https://my.pitchbook.com?c=205354-18T","View Company Online")</f>
        <v>View Company Online</v>
      </c>
    </row>
    <row r="4218" spans="1:18" hidden="1" x14ac:dyDescent="0.3">
      <c r="A4218" s="9" t="s">
        <v>13675</v>
      </c>
      <c r="B4218" s="9" t="s">
        <v>13676</v>
      </c>
      <c r="C4218" s="11" t="s">
        <v>28</v>
      </c>
      <c r="D4218" s="9" t="s">
        <v>13677</v>
      </c>
      <c r="E4218" s="11" t="s">
        <v>28</v>
      </c>
      <c r="F4218" s="10" t="s">
        <v>28</v>
      </c>
      <c r="G4218" s="10">
        <v>1.06</v>
      </c>
      <c r="H4218" s="10" t="s">
        <v>28</v>
      </c>
      <c r="I4218" s="11" t="s">
        <v>28</v>
      </c>
      <c r="J4218" s="11" t="s">
        <v>28</v>
      </c>
      <c r="K4218" s="11" t="s">
        <v>28</v>
      </c>
      <c r="L4218" s="11" t="s">
        <v>28</v>
      </c>
      <c r="M4218" s="11" t="s">
        <v>28</v>
      </c>
      <c r="N4218" s="8">
        <v>44470</v>
      </c>
      <c r="O4218" s="9" t="s">
        <v>99</v>
      </c>
      <c r="P4218" s="12" t="s">
        <v>13678</v>
      </c>
      <c r="Q4218" s="9" t="s">
        <v>583</v>
      </c>
      <c r="R4218" s="14" t="str">
        <f>HYPERLINK("https://my.pitchbook.com?c=186075-37T","View Company Online")</f>
        <v>View Company Online</v>
      </c>
    </row>
    <row r="4219" spans="1:18" hidden="1" x14ac:dyDescent="0.3">
      <c r="A4219" s="15" t="s">
        <v>13679</v>
      </c>
      <c r="B4219" s="15" t="s">
        <v>13680</v>
      </c>
      <c r="C4219" s="18" t="s">
        <v>28</v>
      </c>
      <c r="D4219" s="15" t="s">
        <v>13681</v>
      </c>
      <c r="E4219" s="18" t="s">
        <v>28</v>
      </c>
      <c r="F4219" s="19" t="s">
        <v>28</v>
      </c>
      <c r="G4219" s="19" t="s">
        <v>28</v>
      </c>
      <c r="H4219" s="19" t="s">
        <v>28</v>
      </c>
      <c r="I4219" s="18" t="s">
        <v>28</v>
      </c>
      <c r="J4219" s="18" t="s">
        <v>28</v>
      </c>
      <c r="K4219" s="18" t="s">
        <v>28</v>
      </c>
      <c r="L4219" s="18" t="s">
        <v>28</v>
      </c>
      <c r="M4219" s="18" t="s">
        <v>28</v>
      </c>
      <c r="N4219" s="17">
        <v>44470</v>
      </c>
      <c r="O4219" s="15" t="s">
        <v>30</v>
      </c>
      <c r="P4219" s="16" t="s">
        <v>13682</v>
      </c>
      <c r="Q4219" s="15" t="s">
        <v>5347</v>
      </c>
      <c r="R4219" s="13" t="str">
        <f>HYPERLINK("https://my.pitchbook.com?c=181102-42T","View Company Online")</f>
        <v>View Company Online</v>
      </c>
    </row>
    <row r="4220" spans="1:18" hidden="1" x14ac:dyDescent="0.3">
      <c r="A4220" s="9" t="s">
        <v>13683</v>
      </c>
      <c r="B4220" s="9" t="s">
        <v>10273</v>
      </c>
      <c r="C4220" s="11" t="s">
        <v>28</v>
      </c>
      <c r="D4220" s="9" t="s">
        <v>10274</v>
      </c>
      <c r="E4220" s="11" t="s">
        <v>28</v>
      </c>
      <c r="F4220" s="10" t="s">
        <v>28</v>
      </c>
      <c r="G4220" s="10" t="s">
        <v>28</v>
      </c>
      <c r="H4220" s="10">
        <v>1.9</v>
      </c>
      <c r="I4220" s="11" t="s">
        <v>28</v>
      </c>
      <c r="J4220" s="11" t="s">
        <v>28</v>
      </c>
      <c r="K4220" s="11" t="s">
        <v>28</v>
      </c>
      <c r="L4220" s="11" t="s">
        <v>28</v>
      </c>
      <c r="M4220" s="11" t="s">
        <v>28</v>
      </c>
      <c r="N4220" s="8">
        <v>44470</v>
      </c>
      <c r="O4220" s="9" t="s">
        <v>99</v>
      </c>
      <c r="P4220" s="12" t="s">
        <v>13684</v>
      </c>
      <c r="Q4220" s="9" t="s">
        <v>75</v>
      </c>
      <c r="R4220" s="14" t="str">
        <f>HYPERLINK("https://my.pitchbook.com?c=187780-51T","View Company Online")</f>
        <v>View Company Online</v>
      </c>
    </row>
    <row r="4221" spans="1:18" hidden="1" x14ac:dyDescent="0.3">
      <c r="A4221" s="15" t="s">
        <v>13685</v>
      </c>
      <c r="B4221" s="15" t="s">
        <v>7560</v>
      </c>
      <c r="C4221" s="18" t="s">
        <v>28</v>
      </c>
      <c r="D4221" s="15" t="s">
        <v>7561</v>
      </c>
      <c r="E4221" s="18" t="s">
        <v>28</v>
      </c>
      <c r="F4221" s="19" t="s">
        <v>28</v>
      </c>
      <c r="G4221" s="19" t="s">
        <v>28</v>
      </c>
      <c r="H4221" s="19" t="s">
        <v>28</v>
      </c>
      <c r="I4221" s="18" t="s">
        <v>28</v>
      </c>
      <c r="J4221" s="18" t="s">
        <v>28</v>
      </c>
      <c r="K4221" s="18" t="s">
        <v>28</v>
      </c>
      <c r="L4221" s="18" t="s">
        <v>28</v>
      </c>
      <c r="M4221" s="18" t="s">
        <v>28</v>
      </c>
      <c r="N4221" s="17">
        <v>44470</v>
      </c>
      <c r="O4221" s="15" t="s">
        <v>93</v>
      </c>
      <c r="P4221" s="16" t="s">
        <v>13686</v>
      </c>
      <c r="Q4221" s="15" t="s">
        <v>470</v>
      </c>
      <c r="R4221" s="13" t="str">
        <f>HYPERLINK("https://my.pitchbook.com?c=186232-24T","View Company Online")</f>
        <v>View Company Online</v>
      </c>
    </row>
    <row r="4222" spans="1:18" hidden="1" x14ac:dyDescent="0.3">
      <c r="A4222" s="9" t="s">
        <v>13687</v>
      </c>
      <c r="B4222" s="9" t="s">
        <v>13688</v>
      </c>
      <c r="C4222" s="11" t="s">
        <v>28</v>
      </c>
      <c r="D4222" s="9" t="s">
        <v>13689</v>
      </c>
      <c r="E4222" s="11" t="s">
        <v>28</v>
      </c>
      <c r="F4222" s="10">
        <v>149.78</v>
      </c>
      <c r="G4222" s="10">
        <v>149.78</v>
      </c>
      <c r="H4222" s="10">
        <v>149.78</v>
      </c>
      <c r="I4222" s="11" t="s">
        <v>28</v>
      </c>
      <c r="J4222" s="11" t="s">
        <v>28</v>
      </c>
      <c r="K4222" s="11" t="s">
        <v>28</v>
      </c>
      <c r="L4222" s="11" t="s">
        <v>28</v>
      </c>
      <c r="M4222" s="11" t="s">
        <v>28</v>
      </c>
      <c r="N4222" s="8">
        <v>44470</v>
      </c>
      <c r="O4222" s="9" t="s">
        <v>30</v>
      </c>
      <c r="P4222" s="12" t="s">
        <v>28</v>
      </c>
      <c r="Q4222" s="9" t="s">
        <v>43</v>
      </c>
      <c r="R4222" s="14" t="str">
        <f>HYPERLINK("https://my.pitchbook.com?c=200880-19T","View Company Online")</f>
        <v>View Company Online</v>
      </c>
    </row>
    <row r="4223" spans="1:18" hidden="1" x14ac:dyDescent="0.3">
      <c r="A4223" s="15" t="s">
        <v>13690</v>
      </c>
      <c r="B4223" s="15" t="s">
        <v>13691</v>
      </c>
      <c r="C4223" s="18" t="s">
        <v>28</v>
      </c>
      <c r="D4223" s="15" t="s">
        <v>13692</v>
      </c>
      <c r="E4223" s="18" t="s">
        <v>28</v>
      </c>
      <c r="F4223" s="19">
        <v>151.94</v>
      </c>
      <c r="G4223" s="19">
        <v>151.94</v>
      </c>
      <c r="H4223" s="19">
        <v>151.94</v>
      </c>
      <c r="I4223" s="18" t="s">
        <v>28</v>
      </c>
      <c r="J4223" s="18" t="s">
        <v>28</v>
      </c>
      <c r="K4223" s="18" t="s">
        <v>28</v>
      </c>
      <c r="L4223" s="18" t="s">
        <v>28</v>
      </c>
      <c r="M4223" s="18" t="s">
        <v>28</v>
      </c>
      <c r="N4223" s="17">
        <v>44470</v>
      </c>
      <c r="O4223" s="15" t="s">
        <v>30</v>
      </c>
      <c r="P4223" s="16" t="s">
        <v>9043</v>
      </c>
      <c r="Q4223" s="15" t="s">
        <v>43</v>
      </c>
      <c r="R4223" s="13" t="str">
        <f>HYPERLINK("https://my.pitchbook.com?c=178297-75T","View Company Online")</f>
        <v>View Company Online</v>
      </c>
    </row>
    <row r="4224" spans="1:18" hidden="1" x14ac:dyDescent="0.3">
      <c r="A4224" s="9" t="s">
        <v>13693</v>
      </c>
      <c r="B4224" s="9" t="s">
        <v>11810</v>
      </c>
      <c r="C4224" s="11" t="s">
        <v>28</v>
      </c>
      <c r="D4224" s="9" t="s">
        <v>11811</v>
      </c>
      <c r="E4224" s="11" t="s">
        <v>28</v>
      </c>
      <c r="F4224" s="10" t="s">
        <v>28</v>
      </c>
      <c r="G4224" s="10" t="s">
        <v>28</v>
      </c>
      <c r="H4224" s="10" t="s">
        <v>28</v>
      </c>
      <c r="I4224" s="11" t="s">
        <v>28</v>
      </c>
      <c r="J4224" s="11" t="s">
        <v>28</v>
      </c>
      <c r="K4224" s="11" t="s">
        <v>28</v>
      </c>
      <c r="L4224" s="11" t="s">
        <v>28</v>
      </c>
      <c r="M4224" s="11" t="s">
        <v>28</v>
      </c>
      <c r="N4224" s="8">
        <v>44470</v>
      </c>
      <c r="O4224" s="9" t="s">
        <v>99</v>
      </c>
      <c r="P4224" s="12" t="s">
        <v>13694</v>
      </c>
      <c r="Q4224" s="9" t="s">
        <v>9184</v>
      </c>
      <c r="R4224" s="14" t="str">
        <f>HYPERLINK("https://my.pitchbook.com?c=194478-13T","View Company Online")</f>
        <v>View Company Online</v>
      </c>
    </row>
    <row r="4225" spans="1:18" hidden="1" x14ac:dyDescent="0.3">
      <c r="A4225" s="15" t="s">
        <v>13695</v>
      </c>
      <c r="B4225" s="15" t="s">
        <v>13696</v>
      </c>
      <c r="C4225" s="18" t="s">
        <v>28</v>
      </c>
      <c r="D4225" s="15" t="s">
        <v>13697</v>
      </c>
      <c r="E4225" s="18" t="s">
        <v>28</v>
      </c>
      <c r="F4225" s="19" t="s">
        <v>28</v>
      </c>
      <c r="G4225" s="19">
        <v>0.09</v>
      </c>
      <c r="H4225" s="19">
        <v>2.09</v>
      </c>
      <c r="I4225" s="18" t="s">
        <v>28</v>
      </c>
      <c r="J4225" s="18" t="s">
        <v>28</v>
      </c>
      <c r="K4225" s="18" t="s">
        <v>28</v>
      </c>
      <c r="L4225" s="18" t="s">
        <v>28</v>
      </c>
      <c r="M4225" s="18" t="s">
        <v>28</v>
      </c>
      <c r="N4225" s="17">
        <v>44470</v>
      </c>
      <c r="O4225" s="15" t="s">
        <v>379</v>
      </c>
      <c r="P4225" s="16" t="s">
        <v>28</v>
      </c>
      <c r="Q4225" s="15" t="s">
        <v>75</v>
      </c>
      <c r="R4225" s="13" t="str">
        <f>HYPERLINK("https://my.pitchbook.com?c=184656-97T","View Company Online")</f>
        <v>View Company Online</v>
      </c>
    </row>
    <row r="4226" spans="1:18" hidden="1" x14ac:dyDescent="0.3">
      <c r="A4226" s="9" t="s">
        <v>13698</v>
      </c>
      <c r="B4226" s="9" t="s">
        <v>13699</v>
      </c>
      <c r="C4226" s="11" t="s">
        <v>28</v>
      </c>
      <c r="D4226" s="9" t="s">
        <v>13700</v>
      </c>
      <c r="E4226" s="11" t="s">
        <v>28</v>
      </c>
      <c r="F4226" s="10" t="s">
        <v>28</v>
      </c>
      <c r="G4226" s="10" t="s">
        <v>28</v>
      </c>
      <c r="H4226" s="10" t="s">
        <v>28</v>
      </c>
      <c r="I4226" s="11" t="s">
        <v>28</v>
      </c>
      <c r="J4226" s="11" t="s">
        <v>28</v>
      </c>
      <c r="K4226" s="11" t="s">
        <v>28</v>
      </c>
      <c r="L4226" s="11" t="s">
        <v>28</v>
      </c>
      <c r="M4226" s="11" t="s">
        <v>28</v>
      </c>
      <c r="N4226" s="8">
        <v>44470</v>
      </c>
      <c r="O4226" s="9" t="s">
        <v>73</v>
      </c>
      <c r="P4226" s="12" t="s">
        <v>13701</v>
      </c>
      <c r="Q4226" s="9" t="s">
        <v>285</v>
      </c>
      <c r="R4226" s="14" t="str">
        <f>HYPERLINK("https://my.pitchbook.com?c=181651-60T","View Company Online")</f>
        <v>View Company Online</v>
      </c>
    </row>
    <row r="4227" spans="1:18" hidden="1" x14ac:dyDescent="0.3">
      <c r="A4227" s="15" t="s">
        <v>13702</v>
      </c>
      <c r="B4227" s="15" t="s">
        <v>5573</v>
      </c>
      <c r="C4227" s="18" t="s">
        <v>28</v>
      </c>
      <c r="D4227" s="15" t="s">
        <v>5574</v>
      </c>
      <c r="E4227" s="18" t="s">
        <v>28</v>
      </c>
      <c r="F4227" s="19" t="s">
        <v>28</v>
      </c>
      <c r="G4227" s="19">
        <v>0.18</v>
      </c>
      <c r="H4227" s="19" t="s">
        <v>28</v>
      </c>
      <c r="I4227" s="18" t="s">
        <v>28</v>
      </c>
      <c r="J4227" s="18" t="s">
        <v>28</v>
      </c>
      <c r="K4227" s="18" t="s">
        <v>28</v>
      </c>
      <c r="L4227" s="18" t="s">
        <v>28</v>
      </c>
      <c r="M4227" s="18" t="s">
        <v>28</v>
      </c>
      <c r="N4227" s="17">
        <v>44470</v>
      </c>
      <c r="O4227" s="15" t="s">
        <v>47</v>
      </c>
      <c r="P4227" s="16" t="s">
        <v>13703</v>
      </c>
      <c r="Q4227" s="15" t="s">
        <v>404</v>
      </c>
      <c r="R4227" s="13" t="str">
        <f>HYPERLINK("https://my.pitchbook.com?c=211950-19T","View Company Online")</f>
        <v>View Company Online</v>
      </c>
    </row>
    <row r="4228" spans="1:18" hidden="1" x14ac:dyDescent="0.3">
      <c r="A4228" s="9" t="s">
        <v>13704</v>
      </c>
      <c r="B4228" s="9" t="s">
        <v>10355</v>
      </c>
      <c r="C4228" s="11" t="s">
        <v>28</v>
      </c>
      <c r="D4228" s="9" t="s">
        <v>10356</v>
      </c>
      <c r="E4228" s="11" t="s">
        <v>28</v>
      </c>
      <c r="F4228" s="10" t="s">
        <v>28</v>
      </c>
      <c r="G4228" s="10">
        <v>10</v>
      </c>
      <c r="H4228" s="10" t="s">
        <v>28</v>
      </c>
      <c r="I4228" s="11" t="s">
        <v>28</v>
      </c>
      <c r="J4228" s="11" t="s">
        <v>28</v>
      </c>
      <c r="K4228" s="11" t="s">
        <v>28</v>
      </c>
      <c r="L4228" s="11" t="s">
        <v>28</v>
      </c>
      <c r="M4228" s="11" t="s">
        <v>28</v>
      </c>
      <c r="N4228" s="8">
        <v>44470</v>
      </c>
      <c r="O4228" s="9" t="s">
        <v>79</v>
      </c>
      <c r="P4228" s="12" t="s">
        <v>28</v>
      </c>
      <c r="Q4228" s="9" t="s">
        <v>566</v>
      </c>
      <c r="R4228" s="14" t="str">
        <f>HYPERLINK("https://my.pitchbook.com?c=186673-87T","View Company Online")</f>
        <v>View Company Online</v>
      </c>
    </row>
    <row r="4229" spans="1:18" hidden="1" x14ac:dyDescent="0.3">
      <c r="A4229" s="15" t="s">
        <v>13705</v>
      </c>
      <c r="B4229" s="15" t="s">
        <v>13706</v>
      </c>
      <c r="C4229" s="18" t="s">
        <v>28</v>
      </c>
      <c r="D4229" s="15" t="s">
        <v>13707</v>
      </c>
      <c r="E4229" s="18" t="s">
        <v>28</v>
      </c>
      <c r="F4229" s="19" t="s">
        <v>28</v>
      </c>
      <c r="G4229" s="19">
        <v>0.19</v>
      </c>
      <c r="H4229" s="19" t="s">
        <v>28</v>
      </c>
      <c r="I4229" s="18" t="s">
        <v>28</v>
      </c>
      <c r="J4229" s="18" t="s">
        <v>28</v>
      </c>
      <c r="K4229" s="18" t="s">
        <v>28</v>
      </c>
      <c r="L4229" s="18" t="s">
        <v>28</v>
      </c>
      <c r="M4229" s="18" t="s">
        <v>28</v>
      </c>
      <c r="N4229" s="17">
        <v>44469</v>
      </c>
      <c r="O4229" s="15" t="s">
        <v>73</v>
      </c>
      <c r="P4229" s="16" t="s">
        <v>13708</v>
      </c>
      <c r="Q4229" s="15" t="s">
        <v>75</v>
      </c>
      <c r="R4229" s="13" t="str">
        <f>HYPERLINK("https://my.pitchbook.com?c=194434-30T","View Company Online")</f>
        <v>View Company Online</v>
      </c>
    </row>
    <row r="4230" spans="1:18" hidden="1" x14ac:dyDescent="0.3">
      <c r="A4230" s="9" t="s">
        <v>13709</v>
      </c>
      <c r="B4230" s="9" t="s">
        <v>13710</v>
      </c>
      <c r="C4230" s="11" t="s">
        <v>28</v>
      </c>
      <c r="D4230" s="9" t="s">
        <v>13711</v>
      </c>
      <c r="E4230" s="11" t="s">
        <v>28</v>
      </c>
      <c r="F4230" s="10" t="s">
        <v>28</v>
      </c>
      <c r="G4230" s="10" t="s">
        <v>28</v>
      </c>
      <c r="H4230" s="10" t="s">
        <v>28</v>
      </c>
      <c r="I4230" s="11" t="s">
        <v>28</v>
      </c>
      <c r="J4230" s="11" t="s">
        <v>28</v>
      </c>
      <c r="K4230" s="11" t="s">
        <v>28</v>
      </c>
      <c r="L4230" s="11" t="s">
        <v>28</v>
      </c>
      <c r="M4230" s="11" t="s">
        <v>28</v>
      </c>
      <c r="N4230" s="8">
        <v>44469</v>
      </c>
      <c r="O4230" s="9" t="s">
        <v>30</v>
      </c>
      <c r="P4230" s="12" t="s">
        <v>13712</v>
      </c>
      <c r="Q4230" s="9" t="s">
        <v>136</v>
      </c>
      <c r="R4230" s="14" t="str">
        <f>HYPERLINK("https://my.pitchbook.com?c=180998-20T","View Company Online")</f>
        <v>View Company Online</v>
      </c>
    </row>
    <row r="4231" spans="1:18" hidden="1" x14ac:dyDescent="0.3">
      <c r="A4231" s="15" t="s">
        <v>13713</v>
      </c>
      <c r="B4231" s="15" t="s">
        <v>13714</v>
      </c>
      <c r="C4231" s="18" t="s">
        <v>28</v>
      </c>
      <c r="D4231" s="15" t="s">
        <v>13715</v>
      </c>
      <c r="E4231" s="18" t="s">
        <v>28</v>
      </c>
      <c r="F4231" s="19" t="s">
        <v>28</v>
      </c>
      <c r="G4231" s="19" t="s">
        <v>28</v>
      </c>
      <c r="H4231" s="19" t="s">
        <v>28</v>
      </c>
      <c r="I4231" s="18" t="s">
        <v>28</v>
      </c>
      <c r="J4231" s="18" t="s">
        <v>28</v>
      </c>
      <c r="K4231" s="18" t="s">
        <v>28</v>
      </c>
      <c r="L4231" s="18" t="s">
        <v>28</v>
      </c>
      <c r="M4231" s="18" t="s">
        <v>28</v>
      </c>
      <c r="N4231" s="17">
        <v>44469</v>
      </c>
      <c r="O4231" s="15" t="s">
        <v>30</v>
      </c>
      <c r="P4231" s="16" t="s">
        <v>28</v>
      </c>
      <c r="Q4231" s="15" t="s">
        <v>245</v>
      </c>
      <c r="R4231" s="13" t="str">
        <f>HYPERLINK("https://my.pitchbook.com?c=192775-06T","View Company Online")</f>
        <v>View Company Online</v>
      </c>
    </row>
    <row r="4232" spans="1:18" hidden="1" x14ac:dyDescent="0.3">
      <c r="A4232" s="9" t="s">
        <v>13716</v>
      </c>
      <c r="B4232" s="9" t="s">
        <v>13717</v>
      </c>
      <c r="C4232" s="11" t="s">
        <v>28</v>
      </c>
      <c r="D4232" s="9" t="s">
        <v>13718</v>
      </c>
      <c r="E4232" s="11" t="s">
        <v>28</v>
      </c>
      <c r="F4232" s="10">
        <v>1.94</v>
      </c>
      <c r="G4232" s="10">
        <v>1.94</v>
      </c>
      <c r="H4232" s="10">
        <v>1.94</v>
      </c>
      <c r="I4232" s="11" t="s">
        <v>28</v>
      </c>
      <c r="J4232" s="11" t="s">
        <v>28</v>
      </c>
      <c r="K4232" s="11" t="s">
        <v>28</v>
      </c>
      <c r="L4232" s="11" t="s">
        <v>28</v>
      </c>
      <c r="M4232" s="11" t="s">
        <v>28</v>
      </c>
      <c r="N4232" s="8">
        <v>44469</v>
      </c>
      <c r="O4232" s="9" t="s">
        <v>30</v>
      </c>
      <c r="P4232" s="12" t="s">
        <v>3797</v>
      </c>
      <c r="Q4232" s="9" t="s">
        <v>740</v>
      </c>
      <c r="R4232" s="14" t="str">
        <f>HYPERLINK("https://my.pitchbook.com?c=211771-00T","View Company Online")</f>
        <v>View Company Online</v>
      </c>
    </row>
    <row r="4233" spans="1:18" hidden="1" x14ac:dyDescent="0.3">
      <c r="A4233" s="15" t="s">
        <v>13719</v>
      </c>
      <c r="B4233" s="15" t="s">
        <v>13720</v>
      </c>
      <c r="C4233" s="18" t="s">
        <v>28</v>
      </c>
      <c r="D4233" s="15" t="s">
        <v>13721</v>
      </c>
      <c r="E4233" s="18" t="s">
        <v>28</v>
      </c>
      <c r="F4233" s="19" t="s">
        <v>28</v>
      </c>
      <c r="G4233" s="19">
        <v>6.66</v>
      </c>
      <c r="H4233" s="19" t="s">
        <v>28</v>
      </c>
      <c r="I4233" s="18" t="s">
        <v>28</v>
      </c>
      <c r="J4233" s="18" t="s">
        <v>28</v>
      </c>
      <c r="K4233" s="18">
        <v>14.97</v>
      </c>
      <c r="L4233" s="18" t="s">
        <v>28</v>
      </c>
      <c r="M4233" s="18" t="s">
        <v>28</v>
      </c>
      <c r="N4233" s="17">
        <v>44469</v>
      </c>
      <c r="O4233" s="15" t="s">
        <v>73</v>
      </c>
      <c r="P4233" s="16" t="s">
        <v>13722</v>
      </c>
      <c r="Q4233" s="15" t="s">
        <v>75</v>
      </c>
      <c r="R4233" s="13" t="str">
        <f>HYPERLINK("https://my.pitchbook.com?c=180979-12T","View Company Online")</f>
        <v>View Company Online</v>
      </c>
    </row>
    <row r="4234" spans="1:18" hidden="1" x14ac:dyDescent="0.3">
      <c r="A4234" s="9" t="s">
        <v>13723</v>
      </c>
      <c r="B4234" s="9" t="s">
        <v>13724</v>
      </c>
      <c r="C4234" s="11" t="s">
        <v>28</v>
      </c>
      <c r="D4234" s="9" t="s">
        <v>13725</v>
      </c>
      <c r="E4234" s="11" t="s">
        <v>28</v>
      </c>
      <c r="F4234" s="10">
        <v>9.85</v>
      </c>
      <c r="G4234" s="10">
        <v>9.85</v>
      </c>
      <c r="H4234" s="10">
        <v>9.85</v>
      </c>
      <c r="I4234" s="11" t="s">
        <v>28</v>
      </c>
      <c r="J4234" s="11" t="s">
        <v>28</v>
      </c>
      <c r="K4234" s="11" t="s">
        <v>28</v>
      </c>
      <c r="L4234" s="11" t="s">
        <v>28</v>
      </c>
      <c r="M4234" s="11" t="s">
        <v>28</v>
      </c>
      <c r="N4234" s="8">
        <v>44469</v>
      </c>
      <c r="O4234" s="9" t="s">
        <v>30</v>
      </c>
      <c r="P4234" s="12" t="s">
        <v>5646</v>
      </c>
      <c r="Q4234" s="9" t="s">
        <v>290</v>
      </c>
      <c r="R4234" s="14" t="str">
        <f>HYPERLINK("https://my.pitchbook.com?c=211774-42T","View Company Online")</f>
        <v>View Company Online</v>
      </c>
    </row>
    <row r="4235" spans="1:18" hidden="1" x14ac:dyDescent="0.3">
      <c r="A4235" s="15" t="s">
        <v>13726</v>
      </c>
      <c r="B4235" s="15" t="s">
        <v>13727</v>
      </c>
      <c r="C4235" s="18" t="s">
        <v>28</v>
      </c>
      <c r="D4235" s="15" t="s">
        <v>13728</v>
      </c>
      <c r="E4235" s="18" t="s">
        <v>28</v>
      </c>
      <c r="F4235" s="19" t="s">
        <v>28</v>
      </c>
      <c r="G4235" s="19" t="s">
        <v>28</v>
      </c>
      <c r="H4235" s="19" t="s">
        <v>28</v>
      </c>
      <c r="I4235" s="18" t="s">
        <v>28</v>
      </c>
      <c r="J4235" s="18" t="s">
        <v>28</v>
      </c>
      <c r="K4235" s="18" t="s">
        <v>28</v>
      </c>
      <c r="L4235" s="18" t="s">
        <v>28</v>
      </c>
      <c r="M4235" s="18" t="s">
        <v>28</v>
      </c>
      <c r="N4235" s="17">
        <v>44469</v>
      </c>
      <c r="O4235" s="15" t="s">
        <v>30</v>
      </c>
      <c r="P4235" s="16" t="s">
        <v>983</v>
      </c>
      <c r="Q4235" s="15" t="s">
        <v>263</v>
      </c>
      <c r="R4235" s="13" t="str">
        <f>HYPERLINK("https://my.pitchbook.com?c=211775-95T","View Company Online")</f>
        <v>View Company Online</v>
      </c>
    </row>
    <row r="4236" spans="1:18" hidden="1" x14ac:dyDescent="0.3">
      <c r="A4236" s="9" t="s">
        <v>13729</v>
      </c>
      <c r="B4236" s="9" t="s">
        <v>13730</v>
      </c>
      <c r="C4236" s="11" t="s">
        <v>28</v>
      </c>
      <c r="D4236" s="9" t="s">
        <v>13731</v>
      </c>
      <c r="E4236" s="11" t="s">
        <v>28</v>
      </c>
      <c r="F4236" s="10" t="s">
        <v>28</v>
      </c>
      <c r="G4236" s="10" t="s">
        <v>28</v>
      </c>
      <c r="H4236" s="10" t="s">
        <v>28</v>
      </c>
      <c r="I4236" s="11" t="s">
        <v>28</v>
      </c>
      <c r="J4236" s="11" t="s">
        <v>28</v>
      </c>
      <c r="K4236" s="11" t="s">
        <v>28</v>
      </c>
      <c r="L4236" s="11" t="s">
        <v>28</v>
      </c>
      <c r="M4236" s="11" t="s">
        <v>28</v>
      </c>
      <c r="N4236" s="8">
        <v>44469</v>
      </c>
      <c r="O4236" s="9" t="s">
        <v>30</v>
      </c>
      <c r="P4236" s="12" t="s">
        <v>13732</v>
      </c>
      <c r="Q4236" s="9" t="s">
        <v>1051</v>
      </c>
      <c r="R4236" s="14" t="str">
        <f>HYPERLINK("https://my.pitchbook.com?c=181571-95T","View Company Online")</f>
        <v>View Company Online</v>
      </c>
    </row>
    <row r="4237" spans="1:18" hidden="1" x14ac:dyDescent="0.3">
      <c r="A4237" s="15" t="s">
        <v>13733</v>
      </c>
      <c r="B4237" s="15" t="s">
        <v>13734</v>
      </c>
      <c r="C4237" s="18" t="s">
        <v>28</v>
      </c>
      <c r="D4237" s="15" t="s">
        <v>13735</v>
      </c>
      <c r="E4237" s="18" t="s">
        <v>28</v>
      </c>
      <c r="F4237" s="19" t="s">
        <v>28</v>
      </c>
      <c r="G4237" s="19">
        <v>3.6</v>
      </c>
      <c r="H4237" s="19" t="s">
        <v>28</v>
      </c>
      <c r="I4237" s="18" t="s">
        <v>28</v>
      </c>
      <c r="J4237" s="18" t="s">
        <v>28</v>
      </c>
      <c r="K4237" s="18" t="s">
        <v>28</v>
      </c>
      <c r="L4237" s="18" t="s">
        <v>28</v>
      </c>
      <c r="M4237" s="18" t="s">
        <v>28</v>
      </c>
      <c r="N4237" s="17">
        <v>44469</v>
      </c>
      <c r="O4237" s="15" t="s">
        <v>99</v>
      </c>
      <c r="P4237" s="16" t="s">
        <v>28</v>
      </c>
      <c r="Q4237" s="15" t="s">
        <v>114</v>
      </c>
      <c r="R4237" s="13" t="str">
        <f>HYPERLINK("https://my.pitchbook.com?c=190819-27T","View Company Online")</f>
        <v>View Company Online</v>
      </c>
    </row>
    <row r="4238" spans="1:18" hidden="1" x14ac:dyDescent="0.3">
      <c r="A4238" s="9" t="s">
        <v>13736</v>
      </c>
      <c r="B4238" s="9" t="s">
        <v>13737</v>
      </c>
      <c r="C4238" s="11" t="s">
        <v>28</v>
      </c>
      <c r="D4238" s="9" t="s">
        <v>13738</v>
      </c>
      <c r="E4238" s="11" t="s">
        <v>28</v>
      </c>
      <c r="F4238" s="10">
        <v>36.72</v>
      </c>
      <c r="G4238" s="10">
        <v>22.37</v>
      </c>
      <c r="H4238" s="10">
        <v>36.729999999999997</v>
      </c>
      <c r="I4238" s="11" t="s">
        <v>28</v>
      </c>
      <c r="J4238" s="11" t="s">
        <v>28</v>
      </c>
      <c r="K4238" s="11" t="s">
        <v>28</v>
      </c>
      <c r="L4238" s="11" t="s">
        <v>28</v>
      </c>
      <c r="M4238" s="11" t="s">
        <v>28</v>
      </c>
      <c r="N4238" s="8">
        <v>44469</v>
      </c>
      <c r="O4238" s="9" t="s">
        <v>41</v>
      </c>
      <c r="P4238" s="12" t="s">
        <v>8586</v>
      </c>
      <c r="Q4238" s="9" t="s">
        <v>290</v>
      </c>
      <c r="R4238" s="14" t="str">
        <f>HYPERLINK("https://my.pitchbook.com?c=207343-36T","View Company Online")</f>
        <v>View Company Online</v>
      </c>
    </row>
    <row r="4239" spans="1:18" hidden="1" x14ac:dyDescent="0.3">
      <c r="A4239" s="15" t="s">
        <v>13739</v>
      </c>
      <c r="B4239" s="15" t="s">
        <v>13740</v>
      </c>
      <c r="C4239" s="18" t="s">
        <v>28</v>
      </c>
      <c r="D4239" s="15" t="s">
        <v>13741</v>
      </c>
      <c r="E4239" s="18" t="s">
        <v>28</v>
      </c>
      <c r="F4239" s="19" t="s">
        <v>28</v>
      </c>
      <c r="G4239" s="19" t="s">
        <v>28</v>
      </c>
      <c r="H4239" s="19" t="s">
        <v>28</v>
      </c>
      <c r="I4239" s="18" t="s">
        <v>28</v>
      </c>
      <c r="J4239" s="18" t="s">
        <v>28</v>
      </c>
      <c r="K4239" s="18" t="s">
        <v>28</v>
      </c>
      <c r="L4239" s="18" t="s">
        <v>28</v>
      </c>
      <c r="M4239" s="18" t="s">
        <v>28</v>
      </c>
      <c r="N4239" s="17">
        <v>44468</v>
      </c>
      <c r="O4239" s="15" t="s">
        <v>41</v>
      </c>
      <c r="P4239" s="16" t="s">
        <v>13742</v>
      </c>
      <c r="Q4239" s="15" t="s">
        <v>95</v>
      </c>
      <c r="R4239" s="13" t="str">
        <f>HYPERLINK("https://my.pitchbook.com?c=214643-08T","View Company Online")</f>
        <v>View Company Online</v>
      </c>
    </row>
    <row r="4240" spans="1:18" hidden="1" x14ac:dyDescent="0.3">
      <c r="A4240" s="9" t="s">
        <v>13743</v>
      </c>
      <c r="B4240" s="9" t="s">
        <v>13744</v>
      </c>
      <c r="C4240" s="11" t="s">
        <v>28</v>
      </c>
      <c r="D4240" s="9" t="s">
        <v>13745</v>
      </c>
      <c r="E4240" s="11" t="s">
        <v>28</v>
      </c>
      <c r="F4240" s="10" t="s">
        <v>28</v>
      </c>
      <c r="G4240" s="10">
        <v>0.67</v>
      </c>
      <c r="H4240" s="10" t="s">
        <v>28</v>
      </c>
      <c r="I4240" s="11" t="s">
        <v>28</v>
      </c>
      <c r="J4240" s="11" t="s">
        <v>28</v>
      </c>
      <c r="K4240" s="11" t="s">
        <v>28</v>
      </c>
      <c r="L4240" s="11" t="s">
        <v>28</v>
      </c>
      <c r="M4240" s="11" t="s">
        <v>28</v>
      </c>
      <c r="N4240" s="8">
        <v>44468</v>
      </c>
      <c r="O4240" s="9" t="s">
        <v>79</v>
      </c>
      <c r="P4240" s="12" t="s">
        <v>11495</v>
      </c>
      <c r="Q4240" s="9" t="s">
        <v>607</v>
      </c>
      <c r="R4240" s="14" t="str">
        <f>HYPERLINK("https://my.pitchbook.com?c=194485-06T","View Company Online")</f>
        <v>View Company Online</v>
      </c>
    </row>
    <row r="4241" spans="1:18" hidden="1" x14ac:dyDescent="0.3">
      <c r="A4241" s="15" t="s">
        <v>13746</v>
      </c>
      <c r="B4241" s="15" t="s">
        <v>13747</v>
      </c>
      <c r="C4241" s="18" t="s">
        <v>28</v>
      </c>
      <c r="D4241" s="15" t="s">
        <v>13748</v>
      </c>
      <c r="E4241" s="18">
        <v>-15.67</v>
      </c>
      <c r="F4241" s="19" t="s">
        <v>28</v>
      </c>
      <c r="G4241" s="19">
        <v>6.67</v>
      </c>
      <c r="H4241" s="19" t="s">
        <v>28</v>
      </c>
      <c r="I4241" s="18">
        <v>-14.25</v>
      </c>
      <c r="J4241" s="18" t="s">
        <v>28</v>
      </c>
      <c r="K4241" s="18">
        <v>18.87</v>
      </c>
      <c r="L4241" s="18" t="s">
        <v>28</v>
      </c>
      <c r="M4241" s="18">
        <v>-16.48</v>
      </c>
      <c r="N4241" s="17">
        <v>44468</v>
      </c>
      <c r="O4241" s="15" t="s">
        <v>159</v>
      </c>
      <c r="P4241" s="16" t="s">
        <v>13749</v>
      </c>
      <c r="Q4241" s="15" t="s">
        <v>740</v>
      </c>
      <c r="R4241" s="13" t="str">
        <f>HYPERLINK("https://my.pitchbook.com?c=189756-64T","View Company Online")</f>
        <v>View Company Online</v>
      </c>
    </row>
    <row r="4242" spans="1:18" hidden="1" x14ac:dyDescent="0.3">
      <c r="A4242" s="9" t="s">
        <v>13750</v>
      </c>
      <c r="B4242" s="9" t="s">
        <v>13751</v>
      </c>
      <c r="C4242" s="11" t="s">
        <v>28</v>
      </c>
      <c r="D4242" s="9" t="s">
        <v>13752</v>
      </c>
      <c r="E4242" s="11" t="s">
        <v>28</v>
      </c>
      <c r="F4242" s="10" t="s">
        <v>28</v>
      </c>
      <c r="G4242" s="10" t="s">
        <v>28</v>
      </c>
      <c r="H4242" s="10" t="s">
        <v>28</v>
      </c>
      <c r="I4242" s="11" t="s">
        <v>28</v>
      </c>
      <c r="J4242" s="11" t="s">
        <v>28</v>
      </c>
      <c r="K4242" s="11" t="s">
        <v>28</v>
      </c>
      <c r="L4242" s="11" t="s">
        <v>28</v>
      </c>
      <c r="M4242" s="11" t="s">
        <v>28</v>
      </c>
      <c r="N4242" s="8">
        <v>44468</v>
      </c>
      <c r="O4242" s="9" t="s">
        <v>30</v>
      </c>
      <c r="P4242" s="12" t="s">
        <v>2199</v>
      </c>
      <c r="Q4242" s="9" t="s">
        <v>245</v>
      </c>
      <c r="R4242" s="14" t="str">
        <f>HYPERLINK("https://my.pitchbook.com?c=180925-12T","View Company Online")</f>
        <v>View Company Online</v>
      </c>
    </row>
    <row r="4243" spans="1:18" hidden="1" x14ac:dyDescent="0.3">
      <c r="A4243" s="15" t="s">
        <v>13753</v>
      </c>
      <c r="B4243" s="15" t="s">
        <v>13754</v>
      </c>
      <c r="C4243" s="18" t="s">
        <v>28</v>
      </c>
      <c r="D4243" s="15" t="s">
        <v>13755</v>
      </c>
      <c r="E4243" s="18">
        <v>0.91</v>
      </c>
      <c r="F4243" s="19" t="s">
        <v>28</v>
      </c>
      <c r="G4243" s="19" t="s">
        <v>28</v>
      </c>
      <c r="H4243" s="19" t="s">
        <v>28</v>
      </c>
      <c r="I4243" s="18">
        <v>0.91</v>
      </c>
      <c r="J4243" s="18" t="s">
        <v>28</v>
      </c>
      <c r="K4243" s="18">
        <v>1.85</v>
      </c>
      <c r="L4243" s="18" t="s">
        <v>28</v>
      </c>
      <c r="M4243" s="18">
        <v>0.91</v>
      </c>
      <c r="N4243" s="17">
        <v>44468</v>
      </c>
      <c r="O4243" s="15" t="s">
        <v>173</v>
      </c>
      <c r="P4243" s="16" t="s">
        <v>28</v>
      </c>
      <c r="Q4243" s="15" t="s">
        <v>174</v>
      </c>
      <c r="R4243" s="13" t="str">
        <f>HYPERLINK("https://my.pitchbook.com?c=224074-09T","View Company Online")</f>
        <v>View Company Online</v>
      </c>
    </row>
    <row r="4244" spans="1:18" hidden="1" x14ac:dyDescent="0.3">
      <c r="A4244" s="9" t="s">
        <v>13756</v>
      </c>
      <c r="B4244" s="9" t="s">
        <v>13757</v>
      </c>
      <c r="C4244" s="11" t="s">
        <v>28</v>
      </c>
      <c r="D4244" s="9" t="s">
        <v>13758</v>
      </c>
      <c r="E4244" s="11" t="s">
        <v>28</v>
      </c>
      <c r="F4244" s="10">
        <v>34.28</v>
      </c>
      <c r="G4244" s="10">
        <v>34.28</v>
      </c>
      <c r="H4244" s="10">
        <v>34.28</v>
      </c>
      <c r="I4244" s="11" t="s">
        <v>28</v>
      </c>
      <c r="J4244" s="11" t="s">
        <v>28</v>
      </c>
      <c r="K4244" s="11" t="s">
        <v>28</v>
      </c>
      <c r="L4244" s="11" t="s">
        <v>28</v>
      </c>
      <c r="M4244" s="11" t="s">
        <v>28</v>
      </c>
      <c r="N4244" s="8">
        <v>44468</v>
      </c>
      <c r="O4244" s="9" t="s">
        <v>30</v>
      </c>
      <c r="P4244" s="12" t="s">
        <v>13759</v>
      </c>
      <c r="Q4244" s="9" t="s">
        <v>136</v>
      </c>
      <c r="R4244" s="14" t="str">
        <f>HYPERLINK("https://my.pitchbook.com?c=210110-32T","View Company Online")</f>
        <v>View Company Online</v>
      </c>
    </row>
    <row r="4245" spans="1:18" hidden="1" x14ac:dyDescent="0.3">
      <c r="A4245" s="15" t="s">
        <v>13760</v>
      </c>
      <c r="B4245" s="15" t="s">
        <v>13761</v>
      </c>
      <c r="C4245" s="18" t="s">
        <v>28</v>
      </c>
      <c r="D4245" s="15" t="s">
        <v>13762</v>
      </c>
      <c r="E4245" s="18" t="s">
        <v>28</v>
      </c>
      <c r="F4245" s="19" t="s">
        <v>28</v>
      </c>
      <c r="G4245" s="19" t="s">
        <v>28</v>
      </c>
      <c r="H4245" s="19" t="s">
        <v>28</v>
      </c>
      <c r="I4245" s="18" t="s">
        <v>28</v>
      </c>
      <c r="J4245" s="18" t="s">
        <v>28</v>
      </c>
      <c r="K4245" s="18" t="s">
        <v>28</v>
      </c>
      <c r="L4245" s="18" t="s">
        <v>28</v>
      </c>
      <c r="M4245" s="18" t="s">
        <v>28</v>
      </c>
      <c r="N4245" s="17">
        <v>44468</v>
      </c>
      <c r="O4245" s="15" t="s">
        <v>173</v>
      </c>
      <c r="P4245" s="16" t="s">
        <v>28</v>
      </c>
      <c r="Q4245" s="15" t="s">
        <v>174</v>
      </c>
      <c r="R4245" s="13" t="str">
        <f>HYPERLINK("https://my.pitchbook.com?c=225302-77T","View Company Online")</f>
        <v>View Company Online</v>
      </c>
    </row>
    <row r="4246" spans="1:18" hidden="1" x14ac:dyDescent="0.3">
      <c r="A4246" s="9" t="s">
        <v>13763</v>
      </c>
      <c r="B4246" s="9" t="s">
        <v>13764</v>
      </c>
      <c r="C4246" s="11" t="s">
        <v>28</v>
      </c>
      <c r="D4246" s="9" t="s">
        <v>13765</v>
      </c>
      <c r="E4246" s="11" t="s">
        <v>28</v>
      </c>
      <c r="F4246" s="10" t="s">
        <v>28</v>
      </c>
      <c r="G4246" s="10" t="s">
        <v>28</v>
      </c>
      <c r="H4246" s="10" t="s">
        <v>28</v>
      </c>
      <c r="I4246" s="11" t="s">
        <v>28</v>
      </c>
      <c r="J4246" s="11" t="s">
        <v>28</v>
      </c>
      <c r="K4246" s="11" t="s">
        <v>28</v>
      </c>
      <c r="L4246" s="11" t="s">
        <v>28</v>
      </c>
      <c r="M4246" s="11" t="s">
        <v>28</v>
      </c>
      <c r="N4246" s="8">
        <v>44468</v>
      </c>
      <c r="O4246" s="9" t="s">
        <v>30</v>
      </c>
      <c r="P4246" s="12" t="s">
        <v>7535</v>
      </c>
      <c r="Q4246" s="9" t="s">
        <v>583</v>
      </c>
      <c r="R4246" s="14" t="str">
        <f>HYPERLINK("https://my.pitchbook.com?c=211893-94T","View Company Online")</f>
        <v>View Company Online</v>
      </c>
    </row>
    <row r="4247" spans="1:18" hidden="1" x14ac:dyDescent="0.3">
      <c r="A4247" s="15" t="s">
        <v>13766</v>
      </c>
      <c r="B4247" s="15" t="s">
        <v>13767</v>
      </c>
      <c r="C4247" s="18" t="s">
        <v>28</v>
      </c>
      <c r="D4247" s="15" t="s">
        <v>13768</v>
      </c>
      <c r="E4247" s="18" t="s">
        <v>28</v>
      </c>
      <c r="F4247" s="19">
        <v>7.87</v>
      </c>
      <c r="G4247" s="19">
        <v>7.87</v>
      </c>
      <c r="H4247" s="19">
        <v>7.87</v>
      </c>
      <c r="I4247" s="18" t="s">
        <v>28</v>
      </c>
      <c r="J4247" s="18" t="s">
        <v>28</v>
      </c>
      <c r="K4247" s="18" t="s">
        <v>28</v>
      </c>
      <c r="L4247" s="18" t="s">
        <v>28</v>
      </c>
      <c r="M4247" s="18" t="s">
        <v>28</v>
      </c>
      <c r="N4247" s="17">
        <v>44467</v>
      </c>
      <c r="O4247" s="15" t="s">
        <v>30</v>
      </c>
      <c r="P4247" s="16" t="s">
        <v>13769</v>
      </c>
      <c r="Q4247" s="15" t="s">
        <v>226</v>
      </c>
      <c r="R4247" s="13" t="str">
        <f>HYPERLINK("https://my.pitchbook.com?c=211781-53T","View Company Online")</f>
        <v>View Company Online</v>
      </c>
    </row>
    <row r="4248" spans="1:18" hidden="1" x14ac:dyDescent="0.3">
      <c r="A4248" s="9" t="s">
        <v>13770</v>
      </c>
      <c r="B4248" s="9" t="s">
        <v>13771</v>
      </c>
      <c r="C4248" s="11" t="s">
        <v>28</v>
      </c>
      <c r="D4248" s="9" t="s">
        <v>13772</v>
      </c>
      <c r="E4248" s="11" t="s">
        <v>28</v>
      </c>
      <c r="F4248" s="10" t="s">
        <v>28</v>
      </c>
      <c r="G4248" s="10" t="s">
        <v>28</v>
      </c>
      <c r="H4248" s="10" t="s">
        <v>28</v>
      </c>
      <c r="I4248" s="11" t="s">
        <v>28</v>
      </c>
      <c r="J4248" s="11" t="s">
        <v>28</v>
      </c>
      <c r="K4248" s="11">
        <v>-0.87</v>
      </c>
      <c r="L4248" s="11" t="s">
        <v>28</v>
      </c>
      <c r="M4248" s="11">
        <v>-1.37</v>
      </c>
      <c r="N4248" s="8">
        <v>44467</v>
      </c>
      <c r="O4248" s="9" t="s">
        <v>173</v>
      </c>
      <c r="P4248" s="12" t="s">
        <v>28</v>
      </c>
      <c r="Q4248" s="9" t="s">
        <v>174</v>
      </c>
      <c r="R4248" s="14" t="str">
        <f>HYPERLINK("https://my.pitchbook.com?c=251098-93T","View Company Online")</f>
        <v>View Company Online</v>
      </c>
    </row>
    <row r="4249" spans="1:18" hidden="1" x14ac:dyDescent="0.3">
      <c r="A4249" s="15" t="s">
        <v>13773</v>
      </c>
      <c r="B4249" s="15" t="s">
        <v>6982</v>
      </c>
      <c r="C4249" s="18" t="s">
        <v>28</v>
      </c>
      <c r="D4249" s="15" t="s">
        <v>6983</v>
      </c>
      <c r="E4249" s="18" t="s">
        <v>28</v>
      </c>
      <c r="F4249" s="19" t="s">
        <v>28</v>
      </c>
      <c r="G4249" s="19">
        <v>0.76</v>
      </c>
      <c r="H4249" s="19" t="s">
        <v>28</v>
      </c>
      <c r="I4249" s="18" t="s">
        <v>28</v>
      </c>
      <c r="J4249" s="18" t="s">
        <v>28</v>
      </c>
      <c r="K4249" s="18" t="s">
        <v>28</v>
      </c>
      <c r="L4249" s="18" t="s">
        <v>28</v>
      </c>
      <c r="M4249" s="18" t="s">
        <v>28</v>
      </c>
      <c r="N4249" s="17">
        <v>44467</v>
      </c>
      <c r="O4249" s="15" t="s">
        <v>99</v>
      </c>
      <c r="P4249" s="16" t="s">
        <v>13774</v>
      </c>
      <c r="Q4249" s="15" t="s">
        <v>75</v>
      </c>
      <c r="R4249" s="13" t="str">
        <f>HYPERLINK("https://my.pitchbook.com?c=182647-63T","View Company Online")</f>
        <v>View Company Online</v>
      </c>
    </row>
    <row r="4250" spans="1:18" hidden="1" x14ac:dyDescent="0.3">
      <c r="A4250" s="9" t="s">
        <v>13775</v>
      </c>
      <c r="B4250" s="9" t="s">
        <v>13776</v>
      </c>
      <c r="C4250" s="11" t="s">
        <v>28</v>
      </c>
      <c r="D4250" s="9" t="s">
        <v>13777</v>
      </c>
      <c r="E4250" s="11" t="s">
        <v>28</v>
      </c>
      <c r="F4250" s="10" t="s">
        <v>28</v>
      </c>
      <c r="G4250" s="10" t="s">
        <v>28</v>
      </c>
      <c r="H4250" s="10" t="s">
        <v>28</v>
      </c>
      <c r="I4250" s="11">
        <v>11.23</v>
      </c>
      <c r="J4250" s="11" t="s">
        <v>28</v>
      </c>
      <c r="K4250" s="11" t="s">
        <v>28</v>
      </c>
      <c r="L4250" s="11" t="s">
        <v>28</v>
      </c>
      <c r="M4250" s="11" t="s">
        <v>28</v>
      </c>
      <c r="N4250" s="8">
        <v>44467</v>
      </c>
      <c r="O4250" s="9" t="s">
        <v>30</v>
      </c>
      <c r="P4250" s="12" t="s">
        <v>2344</v>
      </c>
      <c r="Q4250" s="9" t="s">
        <v>290</v>
      </c>
      <c r="R4250" s="14" t="str">
        <f>HYPERLINK("https://my.pitchbook.com?c=211693-15T","View Company Online")</f>
        <v>View Company Online</v>
      </c>
    </row>
    <row r="4251" spans="1:18" hidden="1" x14ac:dyDescent="0.3">
      <c r="A4251" s="15" t="s">
        <v>13778</v>
      </c>
      <c r="B4251" s="15" t="s">
        <v>13779</v>
      </c>
      <c r="C4251" s="18" t="s">
        <v>28</v>
      </c>
      <c r="D4251" s="15" t="s">
        <v>13780</v>
      </c>
      <c r="E4251" s="18" t="s">
        <v>28</v>
      </c>
      <c r="F4251" s="19" t="s">
        <v>28</v>
      </c>
      <c r="G4251" s="19">
        <v>5.3</v>
      </c>
      <c r="H4251" s="19" t="s">
        <v>28</v>
      </c>
      <c r="I4251" s="18" t="s">
        <v>28</v>
      </c>
      <c r="J4251" s="18" t="s">
        <v>28</v>
      </c>
      <c r="K4251" s="18">
        <v>18.53</v>
      </c>
      <c r="L4251" s="18" t="s">
        <v>28</v>
      </c>
      <c r="M4251" s="18" t="s">
        <v>28</v>
      </c>
      <c r="N4251" s="17">
        <v>44467</v>
      </c>
      <c r="O4251" s="15" t="s">
        <v>79</v>
      </c>
      <c r="P4251" s="16" t="s">
        <v>28</v>
      </c>
      <c r="Q4251" s="15" t="s">
        <v>1341</v>
      </c>
      <c r="R4251" s="13" t="str">
        <f>HYPERLINK("https://my.pitchbook.com?c=180855-73T","View Company Online")</f>
        <v>View Company Online</v>
      </c>
    </row>
    <row r="4252" spans="1:18" hidden="1" x14ac:dyDescent="0.3">
      <c r="A4252" s="9" t="s">
        <v>13781</v>
      </c>
      <c r="B4252" s="9" t="s">
        <v>3414</v>
      </c>
      <c r="C4252" s="11" t="s">
        <v>28</v>
      </c>
      <c r="D4252" s="9" t="s">
        <v>3415</v>
      </c>
      <c r="E4252" s="11" t="s">
        <v>28</v>
      </c>
      <c r="F4252" s="10" t="s">
        <v>28</v>
      </c>
      <c r="G4252" s="10" t="s">
        <v>28</v>
      </c>
      <c r="H4252" s="10" t="s">
        <v>28</v>
      </c>
      <c r="I4252" s="11" t="s">
        <v>28</v>
      </c>
      <c r="J4252" s="11" t="s">
        <v>28</v>
      </c>
      <c r="K4252" s="11" t="s">
        <v>28</v>
      </c>
      <c r="L4252" s="11" t="s">
        <v>28</v>
      </c>
      <c r="M4252" s="11" t="s">
        <v>28</v>
      </c>
      <c r="N4252" s="8">
        <v>44467</v>
      </c>
      <c r="O4252" s="9" t="s">
        <v>52</v>
      </c>
      <c r="P4252" s="12" t="s">
        <v>4736</v>
      </c>
      <c r="Q4252" s="9" t="s">
        <v>1051</v>
      </c>
      <c r="R4252" s="14" t="str">
        <f>HYPERLINK("https://my.pitchbook.com?c=291988-90T","View Company Online")</f>
        <v>View Company Online</v>
      </c>
    </row>
    <row r="4253" spans="1:18" hidden="1" x14ac:dyDescent="0.3">
      <c r="A4253" s="15" t="s">
        <v>13782</v>
      </c>
      <c r="B4253" s="15" t="s">
        <v>13783</v>
      </c>
      <c r="C4253" s="18" t="s">
        <v>28</v>
      </c>
      <c r="D4253" s="15" t="s">
        <v>13784</v>
      </c>
      <c r="E4253" s="18" t="s">
        <v>28</v>
      </c>
      <c r="F4253" s="19" t="s">
        <v>28</v>
      </c>
      <c r="G4253" s="19">
        <v>1</v>
      </c>
      <c r="H4253" s="19" t="s">
        <v>28</v>
      </c>
      <c r="I4253" s="18" t="s">
        <v>28</v>
      </c>
      <c r="J4253" s="18" t="s">
        <v>28</v>
      </c>
      <c r="K4253" s="18" t="s">
        <v>28</v>
      </c>
      <c r="L4253" s="18" t="s">
        <v>28</v>
      </c>
      <c r="M4253" s="18" t="s">
        <v>28</v>
      </c>
      <c r="N4253" s="17">
        <v>44467</v>
      </c>
      <c r="O4253" s="15" t="s">
        <v>99</v>
      </c>
      <c r="P4253" s="16" t="s">
        <v>13785</v>
      </c>
      <c r="Q4253" s="15" t="s">
        <v>3912</v>
      </c>
      <c r="R4253" s="13" t="str">
        <f>HYPERLINK("https://my.pitchbook.com?c=180856-27T","View Company Online")</f>
        <v>View Company Online</v>
      </c>
    </row>
    <row r="4254" spans="1:18" hidden="1" x14ac:dyDescent="0.3">
      <c r="A4254" s="9" t="s">
        <v>13786</v>
      </c>
      <c r="B4254" s="9" t="s">
        <v>5516</v>
      </c>
      <c r="C4254" s="11" t="s">
        <v>28</v>
      </c>
      <c r="D4254" s="9" t="s">
        <v>5517</v>
      </c>
      <c r="E4254" s="11" t="s">
        <v>28</v>
      </c>
      <c r="F4254" s="10" t="s">
        <v>28</v>
      </c>
      <c r="G4254" s="10" t="s">
        <v>28</v>
      </c>
      <c r="H4254" s="10" t="s">
        <v>28</v>
      </c>
      <c r="I4254" s="11" t="s">
        <v>28</v>
      </c>
      <c r="J4254" s="11" t="s">
        <v>28</v>
      </c>
      <c r="K4254" s="11" t="s">
        <v>28</v>
      </c>
      <c r="L4254" s="11" t="s">
        <v>28</v>
      </c>
      <c r="M4254" s="11" t="s">
        <v>28</v>
      </c>
      <c r="N4254" s="8">
        <v>44467</v>
      </c>
      <c r="O4254" s="9" t="s">
        <v>30</v>
      </c>
      <c r="P4254" s="12" t="s">
        <v>13787</v>
      </c>
      <c r="Q4254" s="9" t="s">
        <v>566</v>
      </c>
      <c r="R4254" s="14" t="str">
        <f>HYPERLINK("https://my.pitchbook.com?c=180841-60T","View Company Online")</f>
        <v>View Company Online</v>
      </c>
    </row>
    <row r="4255" spans="1:18" hidden="1" x14ac:dyDescent="0.3">
      <c r="A4255" s="15" t="s">
        <v>13788</v>
      </c>
      <c r="B4255" s="15" t="s">
        <v>459</v>
      </c>
      <c r="C4255" s="18" t="s">
        <v>28</v>
      </c>
      <c r="D4255" s="15" t="s">
        <v>460</v>
      </c>
      <c r="E4255" s="18" t="s">
        <v>28</v>
      </c>
      <c r="F4255" s="19" t="s">
        <v>28</v>
      </c>
      <c r="G4255" s="19" t="s">
        <v>28</v>
      </c>
      <c r="H4255" s="19" t="s">
        <v>28</v>
      </c>
      <c r="I4255" s="18" t="s">
        <v>28</v>
      </c>
      <c r="J4255" s="18" t="s">
        <v>28</v>
      </c>
      <c r="K4255" s="18" t="s">
        <v>28</v>
      </c>
      <c r="L4255" s="18" t="s">
        <v>28</v>
      </c>
      <c r="M4255" s="18" t="s">
        <v>28</v>
      </c>
      <c r="N4255" s="17">
        <v>44467</v>
      </c>
      <c r="O4255" s="15" t="s">
        <v>30</v>
      </c>
      <c r="P4255" s="16" t="s">
        <v>13789</v>
      </c>
      <c r="Q4255" s="15" t="s">
        <v>37</v>
      </c>
      <c r="R4255" s="13" t="str">
        <f>HYPERLINK("https://my.pitchbook.com?c=180828-55T","View Company Online")</f>
        <v>View Company Online</v>
      </c>
    </row>
    <row r="4256" spans="1:18" hidden="1" x14ac:dyDescent="0.3">
      <c r="A4256" s="9" t="s">
        <v>13790</v>
      </c>
      <c r="B4256" s="9" t="s">
        <v>13791</v>
      </c>
      <c r="C4256" s="11" t="s">
        <v>28</v>
      </c>
      <c r="D4256" s="9" t="s">
        <v>13792</v>
      </c>
      <c r="E4256" s="11" t="s">
        <v>28</v>
      </c>
      <c r="F4256" s="10">
        <v>15.24</v>
      </c>
      <c r="G4256" s="10">
        <v>7.64</v>
      </c>
      <c r="H4256" s="10">
        <v>15.24</v>
      </c>
      <c r="I4256" s="11" t="s">
        <v>28</v>
      </c>
      <c r="J4256" s="11" t="s">
        <v>28</v>
      </c>
      <c r="K4256" s="11" t="s">
        <v>28</v>
      </c>
      <c r="L4256" s="11" t="s">
        <v>28</v>
      </c>
      <c r="M4256" s="11" t="s">
        <v>28</v>
      </c>
      <c r="N4256" s="8">
        <v>44466</v>
      </c>
      <c r="O4256" s="9" t="s">
        <v>30</v>
      </c>
      <c r="P4256" s="12" t="s">
        <v>13793</v>
      </c>
      <c r="Q4256" s="9" t="s">
        <v>245</v>
      </c>
      <c r="R4256" s="14" t="str">
        <f>HYPERLINK("https://my.pitchbook.com?c=211766-14T","View Company Online")</f>
        <v>View Company Online</v>
      </c>
    </row>
    <row r="4257" spans="1:18" hidden="1" x14ac:dyDescent="0.3">
      <c r="A4257" s="15" t="s">
        <v>13794</v>
      </c>
      <c r="B4257" s="15" t="s">
        <v>13795</v>
      </c>
      <c r="C4257" s="18" t="s">
        <v>28</v>
      </c>
      <c r="D4257" s="15" t="s">
        <v>13796</v>
      </c>
      <c r="E4257" s="18" t="s">
        <v>28</v>
      </c>
      <c r="F4257" s="19" t="s">
        <v>28</v>
      </c>
      <c r="G4257" s="19" t="s">
        <v>28</v>
      </c>
      <c r="H4257" s="19" t="s">
        <v>28</v>
      </c>
      <c r="I4257" s="18" t="s">
        <v>28</v>
      </c>
      <c r="J4257" s="18" t="s">
        <v>28</v>
      </c>
      <c r="K4257" s="18" t="s">
        <v>28</v>
      </c>
      <c r="L4257" s="18" t="s">
        <v>28</v>
      </c>
      <c r="M4257" s="18" t="s">
        <v>28</v>
      </c>
      <c r="N4257" s="17">
        <v>44466</v>
      </c>
      <c r="O4257" s="15" t="s">
        <v>52</v>
      </c>
      <c r="P4257" s="16" t="s">
        <v>3818</v>
      </c>
      <c r="Q4257" s="15" t="s">
        <v>75</v>
      </c>
      <c r="R4257" s="13" t="str">
        <f>HYPERLINK("https://my.pitchbook.com?c=267975-37T","View Company Online")</f>
        <v>View Company Online</v>
      </c>
    </row>
    <row r="4258" spans="1:18" hidden="1" x14ac:dyDescent="0.3">
      <c r="A4258" s="9" t="s">
        <v>13797</v>
      </c>
      <c r="B4258" s="9" t="s">
        <v>13798</v>
      </c>
      <c r="C4258" s="11" t="s">
        <v>28</v>
      </c>
      <c r="D4258" s="9" t="s">
        <v>13799</v>
      </c>
      <c r="E4258" s="11" t="s">
        <v>28</v>
      </c>
      <c r="F4258" s="10" t="s">
        <v>28</v>
      </c>
      <c r="G4258" s="10">
        <v>3.82</v>
      </c>
      <c r="H4258" s="10" t="s">
        <v>28</v>
      </c>
      <c r="I4258" s="11" t="s">
        <v>28</v>
      </c>
      <c r="J4258" s="11" t="s">
        <v>28</v>
      </c>
      <c r="K4258" s="11" t="s">
        <v>28</v>
      </c>
      <c r="L4258" s="11" t="s">
        <v>28</v>
      </c>
      <c r="M4258" s="11" t="s">
        <v>28</v>
      </c>
      <c r="N4258" s="8">
        <v>44466</v>
      </c>
      <c r="O4258" s="9" t="s">
        <v>379</v>
      </c>
      <c r="P4258" s="12" t="s">
        <v>13800</v>
      </c>
      <c r="Q4258" s="9" t="s">
        <v>855</v>
      </c>
      <c r="R4258" s="14" t="str">
        <f>HYPERLINK("https://my.pitchbook.com?c=180758-44T","View Company Online")</f>
        <v>View Company Online</v>
      </c>
    </row>
    <row r="4259" spans="1:18" hidden="1" x14ac:dyDescent="0.3">
      <c r="A4259" s="15" t="s">
        <v>13801</v>
      </c>
      <c r="B4259" s="15" t="s">
        <v>13802</v>
      </c>
      <c r="C4259" s="18" t="s">
        <v>28</v>
      </c>
      <c r="D4259" s="15" t="s">
        <v>13803</v>
      </c>
      <c r="E4259" s="18" t="s">
        <v>28</v>
      </c>
      <c r="F4259" s="19" t="s">
        <v>28</v>
      </c>
      <c r="G4259" s="19" t="s">
        <v>28</v>
      </c>
      <c r="H4259" s="19" t="s">
        <v>28</v>
      </c>
      <c r="I4259" s="18" t="s">
        <v>28</v>
      </c>
      <c r="J4259" s="18" t="s">
        <v>28</v>
      </c>
      <c r="K4259" s="18" t="s">
        <v>28</v>
      </c>
      <c r="L4259" s="18" t="s">
        <v>28</v>
      </c>
      <c r="M4259" s="18" t="s">
        <v>28</v>
      </c>
      <c r="N4259" s="17">
        <v>44466</v>
      </c>
      <c r="O4259" s="15" t="s">
        <v>30</v>
      </c>
      <c r="P4259" s="16" t="s">
        <v>13804</v>
      </c>
      <c r="Q4259" s="15" t="s">
        <v>855</v>
      </c>
      <c r="R4259" s="13" t="str">
        <f>HYPERLINK("https://my.pitchbook.com?c=211776-94T","View Company Online")</f>
        <v>View Company Online</v>
      </c>
    </row>
    <row r="4260" spans="1:18" hidden="1" x14ac:dyDescent="0.3">
      <c r="A4260" s="9" t="s">
        <v>13805</v>
      </c>
      <c r="B4260" s="9" t="s">
        <v>4262</v>
      </c>
      <c r="C4260" s="11" t="s">
        <v>28</v>
      </c>
      <c r="D4260" s="9" t="s">
        <v>13806</v>
      </c>
      <c r="E4260" s="11">
        <v>84.96</v>
      </c>
      <c r="F4260" s="10" t="s">
        <v>28</v>
      </c>
      <c r="G4260" s="10">
        <v>275.51</v>
      </c>
      <c r="H4260" s="10" t="s">
        <v>28</v>
      </c>
      <c r="I4260" s="11">
        <v>128.05000000000001</v>
      </c>
      <c r="J4260" s="11" t="s">
        <v>28</v>
      </c>
      <c r="K4260" s="11">
        <v>529.02</v>
      </c>
      <c r="L4260" s="11" t="s">
        <v>28</v>
      </c>
      <c r="M4260" s="11">
        <v>62.12</v>
      </c>
      <c r="N4260" s="8">
        <v>44466</v>
      </c>
      <c r="O4260" s="9" t="s">
        <v>423</v>
      </c>
      <c r="P4260" s="12" t="s">
        <v>28</v>
      </c>
      <c r="Q4260" s="9" t="s">
        <v>75</v>
      </c>
      <c r="R4260" s="14" t="str">
        <f>HYPERLINK("https://my.pitchbook.com?c=181615-33T","View Company Online")</f>
        <v>View Company Online</v>
      </c>
    </row>
    <row r="4261" spans="1:18" hidden="1" x14ac:dyDescent="0.3">
      <c r="A4261" s="15" t="s">
        <v>13807</v>
      </c>
      <c r="B4261" s="15" t="s">
        <v>13808</v>
      </c>
      <c r="C4261" s="18" t="s">
        <v>28</v>
      </c>
      <c r="D4261" s="15" t="s">
        <v>13809</v>
      </c>
      <c r="E4261" s="18" t="s">
        <v>28</v>
      </c>
      <c r="F4261" s="19" t="s">
        <v>28</v>
      </c>
      <c r="G4261" s="19" t="s">
        <v>28</v>
      </c>
      <c r="H4261" s="19" t="s">
        <v>28</v>
      </c>
      <c r="I4261" s="18" t="s">
        <v>28</v>
      </c>
      <c r="J4261" s="18" t="s">
        <v>28</v>
      </c>
      <c r="K4261" s="18" t="s">
        <v>28</v>
      </c>
      <c r="L4261" s="18" t="s">
        <v>28</v>
      </c>
      <c r="M4261" s="18" t="s">
        <v>28</v>
      </c>
      <c r="N4261" s="17">
        <v>44464</v>
      </c>
      <c r="O4261" s="15" t="s">
        <v>30</v>
      </c>
      <c r="P4261" s="16" t="s">
        <v>10031</v>
      </c>
      <c r="Q4261" s="15" t="s">
        <v>1341</v>
      </c>
      <c r="R4261" s="13" t="str">
        <f>HYPERLINK("https://my.pitchbook.com?c=211766-32T","View Company Online")</f>
        <v>View Company Online</v>
      </c>
    </row>
    <row r="4262" spans="1:18" hidden="1" x14ac:dyDescent="0.3">
      <c r="A4262" s="9" t="s">
        <v>13810</v>
      </c>
      <c r="B4262" s="9" t="s">
        <v>2221</v>
      </c>
      <c r="C4262" s="11" t="s">
        <v>28</v>
      </c>
      <c r="D4262" s="9" t="s">
        <v>2222</v>
      </c>
      <c r="E4262" s="11" t="s">
        <v>28</v>
      </c>
      <c r="F4262" s="10" t="s">
        <v>28</v>
      </c>
      <c r="G4262" s="10">
        <v>0.73</v>
      </c>
      <c r="H4262" s="10">
        <v>7.07</v>
      </c>
      <c r="I4262" s="11" t="s">
        <v>28</v>
      </c>
      <c r="J4262" s="11" t="s">
        <v>28</v>
      </c>
      <c r="K4262" s="11" t="s">
        <v>28</v>
      </c>
      <c r="L4262" s="11" t="s">
        <v>28</v>
      </c>
      <c r="M4262" s="11" t="s">
        <v>28</v>
      </c>
      <c r="N4262" s="8">
        <v>44463</v>
      </c>
      <c r="O4262" s="9" t="s">
        <v>79</v>
      </c>
      <c r="P4262" s="12" t="s">
        <v>6764</v>
      </c>
      <c r="Q4262" s="9" t="s">
        <v>188</v>
      </c>
      <c r="R4262" s="14" t="str">
        <f>HYPERLINK("https://my.pitchbook.com?c=180754-30T","View Company Online")</f>
        <v>View Company Online</v>
      </c>
    </row>
    <row r="4263" spans="1:18" hidden="1" x14ac:dyDescent="0.3">
      <c r="A4263" s="15" t="s">
        <v>13811</v>
      </c>
      <c r="B4263" s="15" t="s">
        <v>13812</v>
      </c>
      <c r="C4263" s="18" t="s">
        <v>28</v>
      </c>
      <c r="D4263" s="15" t="s">
        <v>13813</v>
      </c>
      <c r="E4263" s="18" t="s">
        <v>28</v>
      </c>
      <c r="F4263" s="19" t="s">
        <v>28</v>
      </c>
      <c r="G4263" s="19" t="s">
        <v>28</v>
      </c>
      <c r="H4263" s="19" t="s">
        <v>28</v>
      </c>
      <c r="I4263" s="18" t="s">
        <v>28</v>
      </c>
      <c r="J4263" s="18" t="s">
        <v>28</v>
      </c>
      <c r="K4263" s="18" t="s">
        <v>28</v>
      </c>
      <c r="L4263" s="18" t="s">
        <v>28</v>
      </c>
      <c r="M4263" s="18" t="s">
        <v>28</v>
      </c>
      <c r="N4263" s="17">
        <v>44463</v>
      </c>
      <c r="O4263" s="15" t="s">
        <v>99</v>
      </c>
      <c r="P4263" s="16" t="s">
        <v>28</v>
      </c>
      <c r="Q4263" s="15" t="s">
        <v>607</v>
      </c>
      <c r="R4263" s="13" t="str">
        <f>HYPERLINK("https://my.pitchbook.com?c=211087-45T","View Company Online")</f>
        <v>View Company Online</v>
      </c>
    </row>
    <row r="4264" spans="1:18" hidden="1" x14ac:dyDescent="0.3">
      <c r="A4264" s="9" t="s">
        <v>13814</v>
      </c>
      <c r="B4264" s="9" t="s">
        <v>9937</v>
      </c>
      <c r="C4264" s="11" t="s">
        <v>28</v>
      </c>
      <c r="D4264" s="9" t="s">
        <v>9938</v>
      </c>
      <c r="E4264" s="11" t="s">
        <v>28</v>
      </c>
      <c r="F4264" s="10" t="s">
        <v>28</v>
      </c>
      <c r="G4264" s="10">
        <v>0.78</v>
      </c>
      <c r="H4264" s="10" t="s">
        <v>28</v>
      </c>
      <c r="I4264" s="11" t="s">
        <v>28</v>
      </c>
      <c r="J4264" s="11" t="s">
        <v>28</v>
      </c>
      <c r="K4264" s="11" t="s">
        <v>28</v>
      </c>
      <c r="L4264" s="11" t="s">
        <v>28</v>
      </c>
      <c r="M4264" s="11" t="s">
        <v>28</v>
      </c>
      <c r="N4264" s="8">
        <v>44462</v>
      </c>
      <c r="O4264" s="9" t="s">
        <v>1639</v>
      </c>
      <c r="P4264" s="12" t="s">
        <v>28</v>
      </c>
      <c r="Q4264" s="9" t="s">
        <v>855</v>
      </c>
      <c r="R4264" s="14" t="str">
        <f>HYPERLINK("https://my.pitchbook.com?c=223460-83T","View Company Online")</f>
        <v>View Company Online</v>
      </c>
    </row>
    <row r="4265" spans="1:18" hidden="1" x14ac:dyDescent="0.3">
      <c r="A4265" s="15" t="s">
        <v>13815</v>
      </c>
      <c r="B4265" s="15" t="s">
        <v>13816</v>
      </c>
      <c r="C4265" s="18" t="s">
        <v>28</v>
      </c>
      <c r="D4265" s="15" t="s">
        <v>13817</v>
      </c>
      <c r="E4265" s="18" t="s">
        <v>28</v>
      </c>
      <c r="F4265" s="19" t="s">
        <v>28</v>
      </c>
      <c r="G4265" s="19" t="s">
        <v>28</v>
      </c>
      <c r="H4265" s="19" t="s">
        <v>28</v>
      </c>
      <c r="I4265" s="18" t="s">
        <v>28</v>
      </c>
      <c r="J4265" s="18" t="s">
        <v>28</v>
      </c>
      <c r="K4265" s="18" t="s">
        <v>28</v>
      </c>
      <c r="L4265" s="18" t="s">
        <v>28</v>
      </c>
      <c r="M4265" s="18" t="s">
        <v>28</v>
      </c>
      <c r="N4265" s="17">
        <v>44462</v>
      </c>
      <c r="O4265" s="15" t="s">
        <v>30</v>
      </c>
      <c r="P4265" s="16" t="s">
        <v>7572</v>
      </c>
      <c r="Q4265" s="15" t="s">
        <v>7913</v>
      </c>
      <c r="R4265" s="13" t="str">
        <f>HYPERLINK("https://my.pitchbook.com?c=180603-10T","View Company Online")</f>
        <v>View Company Online</v>
      </c>
    </row>
    <row r="4266" spans="1:18" hidden="1" x14ac:dyDescent="0.3">
      <c r="A4266" s="9" t="s">
        <v>13818</v>
      </c>
      <c r="B4266" s="9" t="s">
        <v>13819</v>
      </c>
      <c r="C4266" s="11" t="s">
        <v>28</v>
      </c>
      <c r="D4266" s="9" t="s">
        <v>13820</v>
      </c>
      <c r="E4266" s="11" t="s">
        <v>28</v>
      </c>
      <c r="F4266" s="10">
        <v>141.6</v>
      </c>
      <c r="G4266" s="10">
        <v>141.6</v>
      </c>
      <c r="H4266" s="10">
        <v>141.6</v>
      </c>
      <c r="I4266" s="11" t="s">
        <v>28</v>
      </c>
      <c r="J4266" s="11" t="s">
        <v>28</v>
      </c>
      <c r="K4266" s="11" t="s">
        <v>28</v>
      </c>
      <c r="L4266" s="11" t="s">
        <v>28</v>
      </c>
      <c r="M4266" s="11" t="s">
        <v>28</v>
      </c>
      <c r="N4266" s="8">
        <v>44462</v>
      </c>
      <c r="O4266" s="9" t="s">
        <v>41</v>
      </c>
      <c r="P4266" s="12" t="s">
        <v>13821</v>
      </c>
      <c r="Q4266" s="9" t="s">
        <v>2043</v>
      </c>
      <c r="R4266" s="14" t="str">
        <f>HYPERLINK("https://my.pitchbook.com?c=224357-32T","View Company Online")</f>
        <v>View Company Online</v>
      </c>
    </row>
    <row r="4267" spans="1:18" hidden="1" x14ac:dyDescent="0.3">
      <c r="A4267" s="15" t="s">
        <v>13822</v>
      </c>
      <c r="B4267" s="15" t="s">
        <v>13823</v>
      </c>
      <c r="C4267" s="18" t="s">
        <v>28</v>
      </c>
      <c r="D4267" s="15" t="s">
        <v>13824</v>
      </c>
      <c r="E4267" s="18" t="s">
        <v>28</v>
      </c>
      <c r="F4267" s="19">
        <v>1.1499999999999999</v>
      </c>
      <c r="G4267" s="19">
        <v>1.1499999999999999</v>
      </c>
      <c r="H4267" s="19">
        <v>1.1499999999999999</v>
      </c>
      <c r="I4267" s="18" t="s">
        <v>28</v>
      </c>
      <c r="J4267" s="18" t="s">
        <v>28</v>
      </c>
      <c r="K4267" s="18" t="s">
        <v>28</v>
      </c>
      <c r="L4267" s="18" t="s">
        <v>28</v>
      </c>
      <c r="M4267" s="18" t="s">
        <v>28</v>
      </c>
      <c r="N4267" s="17">
        <v>44461</v>
      </c>
      <c r="O4267" s="15" t="s">
        <v>30</v>
      </c>
      <c r="P4267" s="16" t="s">
        <v>13825</v>
      </c>
      <c r="Q4267" s="15" t="s">
        <v>245</v>
      </c>
      <c r="R4267" s="13" t="str">
        <f>HYPERLINK("https://my.pitchbook.com?c=219229-30T","View Company Online")</f>
        <v>View Company Online</v>
      </c>
    </row>
    <row r="4268" spans="1:18" hidden="1" x14ac:dyDescent="0.3">
      <c r="A4268" s="9" t="s">
        <v>13826</v>
      </c>
      <c r="B4268" s="9" t="s">
        <v>5266</v>
      </c>
      <c r="C4268" s="11" t="s">
        <v>28</v>
      </c>
      <c r="D4268" s="9" t="s">
        <v>5267</v>
      </c>
      <c r="E4268" s="11" t="s">
        <v>28</v>
      </c>
      <c r="F4268" s="10" t="s">
        <v>28</v>
      </c>
      <c r="G4268" s="10" t="s">
        <v>28</v>
      </c>
      <c r="H4268" s="10" t="s">
        <v>28</v>
      </c>
      <c r="I4268" s="11" t="s">
        <v>28</v>
      </c>
      <c r="J4268" s="11" t="s">
        <v>28</v>
      </c>
      <c r="K4268" s="11" t="s">
        <v>28</v>
      </c>
      <c r="L4268" s="11" t="s">
        <v>28</v>
      </c>
      <c r="M4268" s="11" t="s">
        <v>28</v>
      </c>
      <c r="N4268" s="8">
        <v>44461</v>
      </c>
      <c r="O4268" s="9" t="s">
        <v>58</v>
      </c>
      <c r="P4268" s="12" t="s">
        <v>28</v>
      </c>
      <c r="Q4268" s="9" t="s">
        <v>245</v>
      </c>
      <c r="R4268" s="14" t="str">
        <f>HYPERLINK("https://my.pitchbook.com?c=211782-52T","View Company Online")</f>
        <v>View Company Online</v>
      </c>
    </row>
    <row r="4269" spans="1:18" hidden="1" x14ac:dyDescent="0.3">
      <c r="A4269" s="15" t="s">
        <v>13827</v>
      </c>
      <c r="B4269" s="15" t="s">
        <v>13828</v>
      </c>
      <c r="C4269" s="18" t="s">
        <v>28</v>
      </c>
      <c r="D4269" s="15" t="s">
        <v>13829</v>
      </c>
      <c r="E4269" s="18" t="s">
        <v>28</v>
      </c>
      <c r="F4269" s="19" t="s">
        <v>28</v>
      </c>
      <c r="G4269" s="19">
        <v>0.4</v>
      </c>
      <c r="H4269" s="19">
        <v>3.82</v>
      </c>
      <c r="I4269" s="18" t="s">
        <v>28</v>
      </c>
      <c r="J4269" s="18" t="s">
        <v>28</v>
      </c>
      <c r="K4269" s="18" t="s">
        <v>28</v>
      </c>
      <c r="L4269" s="18" t="s">
        <v>28</v>
      </c>
      <c r="M4269" s="18" t="s">
        <v>28</v>
      </c>
      <c r="N4269" s="17">
        <v>44461</v>
      </c>
      <c r="O4269" s="15" t="s">
        <v>99</v>
      </c>
      <c r="P4269" s="16" t="s">
        <v>13830</v>
      </c>
      <c r="Q4269" s="15" t="s">
        <v>75</v>
      </c>
      <c r="R4269" s="13" t="str">
        <f>HYPERLINK("https://my.pitchbook.com?c=180574-84T","View Company Online")</f>
        <v>View Company Online</v>
      </c>
    </row>
    <row r="4270" spans="1:18" hidden="1" x14ac:dyDescent="0.3">
      <c r="A4270" s="9" t="s">
        <v>13831</v>
      </c>
      <c r="B4270" s="9" t="s">
        <v>13832</v>
      </c>
      <c r="C4270" s="11" t="s">
        <v>28</v>
      </c>
      <c r="D4270" s="9" t="s">
        <v>13833</v>
      </c>
      <c r="E4270" s="11" t="s">
        <v>28</v>
      </c>
      <c r="F4270" s="10" t="s">
        <v>28</v>
      </c>
      <c r="G4270" s="10" t="s">
        <v>28</v>
      </c>
      <c r="H4270" s="10" t="s">
        <v>28</v>
      </c>
      <c r="I4270" s="11" t="s">
        <v>28</v>
      </c>
      <c r="J4270" s="11" t="s">
        <v>28</v>
      </c>
      <c r="K4270" s="11" t="s">
        <v>28</v>
      </c>
      <c r="L4270" s="11" t="s">
        <v>28</v>
      </c>
      <c r="M4270" s="11" t="s">
        <v>28</v>
      </c>
      <c r="N4270" s="8">
        <v>44461</v>
      </c>
      <c r="O4270" s="9" t="s">
        <v>30</v>
      </c>
      <c r="P4270" s="12" t="s">
        <v>8693</v>
      </c>
      <c r="Q4270" s="9" t="s">
        <v>37</v>
      </c>
      <c r="R4270" s="14" t="str">
        <f>HYPERLINK("https://my.pitchbook.com?c=180689-14T","View Company Online")</f>
        <v>View Company Online</v>
      </c>
    </row>
    <row r="4271" spans="1:18" hidden="1" x14ac:dyDescent="0.3">
      <c r="A4271" s="15" t="s">
        <v>13834</v>
      </c>
      <c r="B4271" s="15" t="s">
        <v>13835</v>
      </c>
      <c r="C4271" s="18" t="s">
        <v>28</v>
      </c>
      <c r="D4271" s="15" t="s">
        <v>13836</v>
      </c>
      <c r="E4271" s="18" t="s">
        <v>28</v>
      </c>
      <c r="F4271" s="19" t="s">
        <v>28</v>
      </c>
      <c r="G4271" s="19">
        <v>1.53</v>
      </c>
      <c r="H4271" s="19" t="s">
        <v>28</v>
      </c>
      <c r="I4271" s="18" t="s">
        <v>28</v>
      </c>
      <c r="J4271" s="18" t="s">
        <v>28</v>
      </c>
      <c r="K4271" s="18" t="s">
        <v>28</v>
      </c>
      <c r="L4271" s="18" t="s">
        <v>28</v>
      </c>
      <c r="M4271" s="18" t="s">
        <v>28</v>
      </c>
      <c r="N4271" s="17">
        <v>44460</v>
      </c>
      <c r="O4271" s="15" t="s">
        <v>73</v>
      </c>
      <c r="P4271" s="16" t="s">
        <v>12608</v>
      </c>
      <c r="Q4271" s="15" t="s">
        <v>37</v>
      </c>
      <c r="R4271" s="13" t="str">
        <f>HYPERLINK("https://my.pitchbook.com?c=180571-87T","View Company Online")</f>
        <v>View Company Online</v>
      </c>
    </row>
    <row r="4272" spans="1:18" hidden="1" x14ac:dyDescent="0.3">
      <c r="A4272" s="9" t="s">
        <v>13837</v>
      </c>
      <c r="B4272" s="9" t="s">
        <v>13838</v>
      </c>
      <c r="C4272" s="11" t="s">
        <v>28</v>
      </c>
      <c r="D4272" s="9" t="s">
        <v>13839</v>
      </c>
      <c r="E4272" s="11" t="s">
        <v>28</v>
      </c>
      <c r="F4272" s="10" t="s">
        <v>28</v>
      </c>
      <c r="G4272" s="10" t="s">
        <v>28</v>
      </c>
      <c r="H4272" s="10" t="s">
        <v>28</v>
      </c>
      <c r="I4272" s="11" t="s">
        <v>28</v>
      </c>
      <c r="J4272" s="11" t="s">
        <v>28</v>
      </c>
      <c r="K4272" s="11" t="s">
        <v>28</v>
      </c>
      <c r="L4272" s="11" t="s">
        <v>28</v>
      </c>
      <c r="M4272" s="11" t="s">
        <v>28</v>
      </c>
      <c r="N4272" s="8">
        <v>44460</v>
      </c>
      <c r="O4272" s="9" t="s">
        <v>99</v>
      </c>
      <c r="P4272" s="12" t="s">
        <v>611</v>
      </c>
      <c r="Q4272" s="9" t="s">
        <v>583</v>
      </c>
      <c r="R4272" s="14" t="str">
        <f>HYPERLINK("https://my.pitchbook.com?c=208534-42T","View Company Online")</f>
        <v>View Company Online</v>
      </c>
    </row>
    <row r="4273" spans="1:18" hidden="1" x14ac:dyDescent="0.3">
      <c r="A4273" s="15" t="s">
        <v>13840</v>
      </c>
      <c r="B4273" s="15" t="s">
        <v>13841</v>
      </c>
      <c r="C4273" s="18" t="s">
        <v>28</v>
      </c>
      <c r="D4273" s="15" t="s">
        <v>13842</v>
      </c>
      <c r="E4273" s="18" t="s">
        <v>28</v>
      </c>
      <c r="F4273" s="19" t="s">
        <v>28</v>
      </c>
      <c r="G4273" s="19">
        <v>5.73</v>
      </c>
      <c r="H4273" s="19" t="s">
        <v>28</v>
      </c>
      <c r="I4273" s="18" t="s">
        <v>28</v>
      </c>
      <c r="J4273" s="18" t="s">
        <v>28</v>
      </c>
      <c r="K4273" s="18" t="s">
        <v>28</v>
      </c>
      <c r="L4273" s="18" t="s">
        <v>28</v>
      </c>
      <c r="M4273" s="18" t="s">
        <v>28</v>
      </c>
      <c r="N4273" s="17">
        <v>44460</v>
      </c>
      <c r="O4273" s="15" t="s">
        <v>79</v>
      </c>
      <c r="P4273" s="16" t="s">
        <v>13843</v>
      </c>
      <c r="Q4273" s="15" t="s">
        <v>37</v>
      </c>
      <c r="R4273" s="13" t="str">
        <f>HYPERLINK("https://my.pitchbook.com?c=177796-18T","View Company Online")</f>
        <v>View Company Online</v>
      </c>
    </row>
    <row r="4274" spans="1:18" hidden="1" x14ac:dyDescent="0.3">
      <c r="A4274" s="9" t="s">
        <v>13844</v>
      </c>
      <c r="B4274" s="9" t="s">
        <v>13845</v>
      </c>
      <c r="C4274" s="11" t="s">
        <v>28</v>
      </c>
      <c r="D4274" s="9" t="s">
        <v>13846</v>
      </c>
      <c r="E4274" s="11" t="s">
        <v>28</v>
      </c>
      <c r="F4274" s="10" t="s">
        <v>28</v>
      </c>
      <c r="G4274" s="10" t="s">
        <v>28</v>
      </c>
      <c r="H4274" s="10" t="s">
        <v>28</v>
      </c>
      <c r="I4274" s="11" t="s">
        <v>28</v>
      </c>
      <c r="J4274" s="11" t="s">
        <v>28</v>
      </c>
      <c r="K4274" s="11" t="s">
        <v>28</v>
      </c>
      <c r="L4274" s="11" t="s">
        <v>28</v>
      </c>
      <c r="M4274" s="11" t="s">
        <v>28</v>
      </c>
      <c r="N4274" s="8">
        <v>44460</v>
      </c>
      <c r="O4274" s="9" t="s">
        <v>73</v>
      </c>
      <c r="P4274" s="12" t="s">
        <v>6834</v>
      </c>
      <c r="Q4274" s="9" t="s">
        <v>1336</v>
      </c>
      <c r="R4274" s="14" t="str">
        <f>HYPERLINK("https://my.pitchbook.com?c=180501-40T","View Company Online")</f>
        <v>View Company Online</v>
      </c>
    </row>
    <row r="4275" spans="1:18" hidden="1" x14ac:dyDescent="0.3">
      <c r="A4275" s="15" t="s">
        <v>13847</v>
      </c>
      <c r="B4275" s="15" t="s">
        <v>13848</v>
      </c>
      <c r="C4275" s="18" t="s">
        <v>28</v>
      </c>
      <c r="D4275" s="15" t="s">
        <v>13849</v>
      </c>
      <c r="E4275" s="18" t="s">
        <v>28</v>
      </c>
      <c r="F4275" s="19" t="s">
        <v>28</v>
      </c>
      <c r="G4275" s="19" t="s">
        <v>28</v>
      </c>
      <c r="H4275" s="19" t="s">
        <v>28</v>
      </c>
      <c r="I4275" s="18" t="s">
        <v>28</v>
      </c>
      <c r="J4275" s="18" t="s">
        <v>28</v>
      </c>
      <c r="K4275" s="18" t="s">
        <v>28</v>
      </c>
      <c r="L4275" s="18" t="s">
        <v>28</v>
      </c>
      <c r="M4275" s="18" t="s">
        <v>28</v>
      </c>
      <c r="N4275" s="17">
        <v>44460</v>
      </c>
      <c r="O4275" s="15" t="s">
        <v>30</v>
      </c>
      <c r="P4275" s="16" t="s">
        <v>13850</v>
      </c>
      <c r="Q4275" s="15" t="s">
        <v>119</v>
      </c>
      <c r="R4275" s="13" t="str">
        <f>HYPERLINK("https://my.pitchbook.com?c=210818-35T","View Company Online")</f>
        <v>View Company Online</v>
      </c>
    </row>
    <row r="4276" spans="1:18" hidden="1" x14ac:dyDescent="0.3">
      <c r="A4276" s="9" t="s">
        <v>13851</v>
      </c>
      <c r="B4276" s="9" t="s">
        <v>8883</v>
      </c>
      <c r="C4276" s="11" t="s">
        <v>28</v>
      </c>
      <c r="D4276" s="9" t="s">
        <v>8884</v>
      </c>
      <c r="E4276" s="11" t="s">
        <v>28</v>
      </c>
      <c r="F4276" s="10" t="s">
        <v>28</v>
      </c>
      <c r="G4276" s="10">
        <v>43.93</v>
      </c>
      <c r="H4276" s="10" t="s">
        <v>28</v>
      </c>
      <c r="I4276" s="11" t="s">
        <v>28</v>
      </c>
      <c r="J4276" s="11" t="s">
        <v>28</v>
      </c>
      <c r="K4276" s="11">
        <v>37.42</v>
      </c>
      <c r="L4276" s="11" t="s">
        <v>28</v>
      </c>
      <c r="M4276" s="11" t="s">
        <v>28</v>
      </c>
      <c r="N4276" s="8">
        <v>44460</v>
      </c>
      <c r="O4276" s="9" t="s">
        <v>79</v>
      </c>
      <c r="P4276" s="12" t="s">
        <v>13852</v>
      </c>
      <c r="Q4276" s="9" t="s">
        <v>136</v>
      </c>
      <c r="R4276" s="14" t="str">
        <f>HYPERLINK("https://my.pitchbook.com?c=174563-65T","View Company Online")</f>
        <v>View Company Online</v>
      </c>
    </row>
    <row r="4277" spans="1:18" hidden="1" x14ac:dyDescent="0.3">
      <c r="A4277" s="15" t="s">
        <v>13853</v>
      </c>
      <c r="B4277" s="15" t="s">
        <v>13854</v>
      </c>
      <c r="C4277" s="18" t="s">
        <v>28</v>
      </c>
      <c r="D4277" s="15" t="s">
        <v>13855</v>
      </c>
      <c r="E4277" s="18" t="s">
        <v>28</v>
      </c>
      <c r="F4277" s="19" t="s">
        <v>28</v>
      </c>
      <c r="G4277" s="19">
        <v>0.48</v>
      </c>
      <c r="H4277" s="19" t="s">
        <v>28</v>
      </c>
      <c r="I4277" s="18" t="s">
        <v>28</v>
      </c>
      <c r="J4277" s="18" t="s">
        <v>28</v>
      </c>
      <c r="K4277" s="18" t="s">
        <v>28</v>
      </c>
      <c r="L4277" s="18" t="s">
        <v>28</v>
      </c>
      <c r="M4277" s="18" t="s">
        <v>28</v>
      </c>
      <c r="N4277" s="17">
        <v>44459</v>
      </c>
      <c r="O4277" s="15" t="s">
        <v>73</v>
      </c>
      <c r="P4277" s="16" t="s">
        <v>3000</v>
      </c>
      <c r="Q4277" s="15" t="s">
        <v>832</v>
      </c>
      <c r="R4277" s="13" t="str">
        <f>HYPERLINK("https://my.pitchbook.com?c=181197-37T","View Company Online")</f>
        <v>View Company Online</v>
      </c>
    </row>
    <row r="4278" spans="1:18" hidden="1" x14ac:dyDescent="0.3">
      <c r="A4278" s="9" t="s">
        <v>13856</v>
      </c>
      <c r="B4278" s="9" t="s">
        <v>5529</v>
      </c>
      <c r="C4278" s="11" t="s">
        <v>28</v>
      </c>
      <c r="D4278" s="9" t="s">
        <v>5530</v>
      </c>
      <c r="E4278" s="11" t="s">
        <v>28</v>
      </c>
      <c r="F4278" s="10" t="s">
        <v>28</v>
      </c>
      <c r="G4278" s="10" t="s">
        <v>28</v>
      </c>
      <c r="H4278" s="10" t="s">
        <v>28</v>
      </c>
      <c r="I4278" s="11" t="s">
        <v>28</v>
      </c>
      <c r="J4278" s="11" t="s">
        <v>28</v>
      </c>
      <c r="K4278" s="11" t="s">
        <v>28</v>
      </c>
      <c r="L4278" s="11" t="s">
        <v>28</v>
      </c>
      <c r="M4278" s="11" t="s">
        <v>28</v>
      </c>
      <c r="N4278" s="8">
        <v>44459</v>
      </c>
      <c r="O4278" s="9" t="s">
        <v>99</v>
      </c>
      <c r="P4278" s="12" t="s">
        <v>13857</v>
      </c>
      <c r="Q4278" s="9" t="s">
        <v>37</v>
      </c>
      <c r="R4278" s="14" t="str">
        <f>HYPERLINK("https://my.pitchbook.com?c=180419-23T","View Company Online")</f>
        <v>View Company Online</v>
      </c>
    </row>
    <row r="4279" spans="1:18" hidden="1" x14ac:dyDescent="0.3">
      <c r="A4279" s="15" t="s">
        <v>13858</v>
      </c>
      <c r="B4279" s="15" t="s">
        <v>4247</v>
      </c>
      <c r="C4279" s="18" t="s">
        <v>28</v>
      </c>
      <c r="D4279" s="15" t="s">
        <v>4248</v>
      </c>
      <c r="E4279" s="18" t="s">
        <v>28</v>
      </c>
      <c r="F4279" s="19" t="s">
        <v>28</v>
      </c>
      <c r="G4279" s="19" t="s">
        <v>28</v>
      </c>
      <c r="H4279" s="19" t="s">
        <v>28</v>
      </c>
      <c r="I4279" s="18" t="s">
        <v>28</v>
      </c>
      <c r="J4279" s="18" t="s">
        <v>28</v>
      </c>
      <c r="K4279" s="18" t="s">
        <v>28</v>
      </c>
      <c r="L4279" s="18" t="s">
        <v>28</v>
      </c>
      <c r="M4279" s="18" t="s">
        <v>28</v>
      </c>
      <c r="N4279" s="17">
        <v>44459</v>
      </c>
      <c r="O4279" s="15" t="s">
        <v>52</v>
      </c>
      <c r="P4279" s="16" t="s">
        <v>13859</v>
      </c>
      <c r="Q4279" s="15" t="s">
        <v>37</v>
      </c>
      <c r="R4279" s="13" t="str">
        <f>HYPERLINK("https://my.pitchbook.com?c=193787-65T","View Company Online")</f>
        <v>View Company Online</v>
      </c>
    </row>
    <row r="4280" spans="1:18" hidden="1" x14ac:dyDescent="0.3">
      <c r="A4280" s="9" t="s">
        <v>13860</v>
      </c>
      <c r="B4280" s="9" t="s">
        <v>13861</v>
      </c>
      <c r="C4280" s="11" t="s">
        <v>28</v>
      </c>
      <c r="D4280" s="9" t="s">
        <v>13862</v>
      </c>
      <c r="E4280" s="11" t="s">
        <v>28</v>
      </c>
      <c r="F4280" s="10" t="s">
        <v>28</v>
      </c>
      <c r="G4280" s="10" t="s">
        <v>28</v>
      </c>
      <c r="H4280" s="10" t="s">
        <v>28</v>
      </c>
      <c r="I4280" s="11" t="s">
        <v>28</v>
      </c>
      <c r="J4280" s="11" t="s">
        <v>28</v>
      </c>
      <c r="K4280" s="11" t="s">
        <v>28</v>
      </c>
      <c r="L4280" s="11" t="s">
        <v>28</v>
      </c>
      <c r="M4280" s="11" t="s">
        <v>28</v>
      </c>
      <c r="N4280" s="8">
        <v>44456</v>
      </c>
      <c r="O4280" s="9" t="s">
        <v>52</v>
      </c>
      <c r="P4280" s="12" t="s">
        <v>13863</v>
      </c>
      <c r="Q4280" s="9" t="s">
        <v>136</v>
      </c>
      <c r="R4280" s="14" t="str">
        <f>HYPERLINK("https://my.pitchbook.com?c=299949-67T","View Company Online")</f>
        <v>View Company Online</v>
      </c>
    </row>
    <row r="4281" spans="1:18" hidden="1" x14ac:dyDescent="0.3">
      <c r="A4281" s="15" t="s">
        <v>13864</v>
      </c>
      <c r="B4281" s="15" t="s">
        <v>10552</v>
      </c>
      <c r="C4281" s="18" t="s">
        <v>28</v>
      </c>
      <c r="D4281" s="15" t="s">
        <v>10553</v>
      </c>
      <c r="E4281" s="18" t="s">
        <v>28</v>
      </c>
      <c r="F4281" s="19" t="s">
        <v>28</v>
      </c>
      <c r="G4281" s="19" t="s">
        <v>28</v>
      </c>
      <c r="H4281" s="19" t="s">
        <v>28</v>
      </c>
      <c r="I4281" s="18" t="s">
        <v>28</v>
      </c>
      <c r="J4281" s="18" t="s">
        <v>28</v>
      </c>
      <c r="K4281" s="18" t="s">
        <v>28</v>
      </c>
      <c r="L4281" s="18" t="s">
        <v>28</v>
      </c>
      <c r="M4281" s="18" t="s">
        <v>28</v>
      </c>
      <c r="N4281" s="17">
        <v>44456</v>
      </c>
      <c r="O4281" s="15" t="s">
        <v>99</v>
      </c>
      <c r="P4281" s="16" t="s">
        <v>28</v>
      </c>
      <c r="Q4281" s="15" t="s">
        <v>386</v>
      </c>
      <c r="R4281" s="13" t="str">
        <f>HYPERLINK("https://my.pitchbook.com?c=211083-58T","View Company Online")</f>
        <v>View Company Online</v>
      </c>
    </row>
    <row r="4282" spans="1:18" hidden="1" x14ac:dyDescent="0.3">
      <c r="A4282" s="9" t="s">
        <v>13865</v>
      </c>
      <c r="B4282" s="9" t="s">
        <v>6891</v>
      </c>
      <c r="C4282" s="11" t="s">
        <v>28</v>
      </c>
      <c r="D4282" s="9" t="s">
        <v>6892</v>
      </c>
      <c r="E4282" s="11" t="s">
        <v>28</v>
      </c>
      <c r="F4282" s="10" t="s">
        <v>28</v>
      </c>
      <c r="G4282" s="10">
        <v>0.56999999999999995</v>
      </c>
      <c r="H4282" s="10" t="s">
        <v>28</v>
      </c>
      <c r="I4282" s="11" t="s">
        <v>28</v>
      </c>
      <c r="J4282" s="11" t="s">
        <v>28</v>
      </c>
      <c r="K4282" s="11" t="s">
        <v>28</v>
      </c>
      <c r="L4282" s="11" t="s">
        <v>28</v>
      </c>
      <c r="M4282" s="11" t="s">
        <v>28</v>
      </c>
      <c r="N4282" s="8">
        <v>44456</v>
      </c>
      <c r="O4282" s="9" t="s">
        <v>79</v>
      </c>
      <c r="P4282" s="12" t="s">
        <v>13866</v>
      </c>
      <c r="Q4282" s="9" t="s">
        <v>75</v>
      </c>
      <c r="R4282" s="14" t="str">
        <f>HYPERLINK("https://my.pitchbook.com?c=180290-71T","View Company Online")</f>
        <v>View Company Online</v>
      </c>
    </row>
    <row r="4283" spans="1:18" hidden="1" x14ac:dyDescent="0.3">
      <c r="A4283" s="15" t="s">
        <v>13867</v>
      </c>
      <c r="B4283" s="15" t="s">
        <v>13868</v>
      </c>
      <c r="C4283" s="18" t="s">
        <v>28</v>
      </c>
      <c r="D4283" s="15" t="s">
        <v>13869</v>
      </c>
      <c r="E4283" s="18" t="s">
        <v>28</v>
      </c>
      <c r="F4283" s="19" t="s">
        <v>28</v>
      </c>
      <c r="G4283" s="19">
        <v>2.48</v>
      </c>
      <c r="H4283" s="19" t="s">
        <v>28</v>
      </c>
      <c r="I4283" s="18" t="s">
        <v>28</v>
      </c>
      <c r="J4283" s="18" t="s">
        <v>28</v>
      </c>
      <c r="K4283" s="18" t="s">
        <v>28</v>
      </c>
      <c r="L4283" s="18" t="s">
        <v>28</v>
      </c>
      <c r="M4283" s="18" t="s">
        <v>28</v>
      </c>
      <c r="N4283" s="17">
        <v>44456</v>
      </c>
      <c r="O4283" s="15" t="s">
        <v>99</v>
      </c>
      <c r="P4283" s="16" t="s">
        <v>13870</v>
      </c>
      <c r="Q4283" s="15" t="s">
        <v>75</v>
      </c>
      <c r="R4283" s="13" t="str">
        <f>HYPERLINK("https://my.pitchbook.com?c=180286-03T","View Company Online")</f>
        <v>View Company Online</v>
      </c>
    </row>
    <row r="4284" spans="1:18" hidden="1" x14ac:dyDescent="0.3">
      <c r="A4284" s="9" t="s">
        <v>13871</v>
      </c>
      <c r="B4284" s="9" t="s">
        <v>13872</v>
      </c>
      <c r="C4284" s="11" t="s">
        <v>28</v>
      </c>
      <c r="D4284" s="9" t="s">
        <v>13873</v>
      </c>
      <c r="E4284" s="11" t="s">
        <v>28</v>
      </c>
      <c r="F4284" s="10">
        <v>4.95</v>
      </c>
      <c r="G4284" s="10">
        <v>4.95</v>
      </c>
      <c r="H4284" s="10">
        <v>4.95</v>
      </c>
      <c r="I4284" s="11" t="s">
        <v>28</v>
      </c>
      <c r="J4284" s="11" t="s">
        <v>28</v>
      </c>
      <c r="K4284" s="11" t="s">
        <v>28</v>
      </c>
      <c r="L4284" s="11" t="s">
        <v>28</v>
      </c>
      <c r="M4284" s="11" t="s">
        <v>28</v>
      </c>
      <c r="N4284" s="8">
        <v>44455</v>
      </c>
      <c r="O4284" s="9" t="s">
        <v>30</v>
      </c>
      <c r="P4284" s="12" t="s">
        <v>13670</v>
      </c>
      <c r="Q4284" s="9" t="s">
        <v>75</v>
      </c>
      <c r="R4284" s="14" t="str">
        <f>HYPERLINK("https://my.pitchbook.com?c=210302-29T","View Company Online")</f>
        <v>View Company Online</v>
      </c>
    </row>
    <row r="4285" spans="1:18" hidden="1" x14ac:dyDescent="0.3">
      <c r="A4285" s="15" t="s">
        <v>13874</v>
      </c>
      <c r="B4285" s="15" t="s">
        <v>13875</v>
      </c>
      <c r="C4285" s="18" t="s">
        <v>28</v>
      </c>
      <c r="D4285" s="15" t="s">
        <v>13876</v>
      </c>
      <c r="E4285" s="18" t="s">
        <v>28</v>
      </c>
      <c r="F4285" s="19" t="s">
        <v>28</v>
      </c>
      <c r="G4285" s="19" t="s">
        <v>28</v>
      </c>
      <c r="H4285" s="19" t="s">
        <v>28</v>
      </c>
      <c r="I4285" s="18" t="s">
        <v>28</v>
      </c>
      <c r="J4285" s="18" t="s">
        <v>28</v>
      </c>
      <c r="K4285" s="18" t="s">
        <v>28</v>
      </c>
      <c r="L4285" s="18" t="s">
        <v>28</v>
      </c>
      <c r="M4285" s="18" t="s">
        <v>28</v>
      </c>
      <c r="N4285" s="17">
        <v>44455</v>
      </c>
      <c r="O4285" s="15" t="s">
        <v>173</v>
      </c>
      <c r="P4285" s="16" t="s">
        <v>28</v>
      </c>
      <c r="Q4285" s="15" t="s">
        <v>174</v>
      </c>
      <c r="R4285" s="13" t="str">
        <f>HYPERLINK("https://my.pitchbook.com?c=222831-82T","View Company Online")</f>
        <v>View Company Online</v>
      </c>
    </row>
    <row r="4286" spans="1:18" hidden="1" x14ac:dyDescent="0.3">
      <c r="A4286" s="9" t="s">
        <v>13877</v>
      </c>
      <c r="B4286" s="9" t="s">
        <v>3383</v>
      </c>
      <c r="C4286" s="11" t="s">
        <v>28</v>
      </c>
      <c r="D4286" s="9" t="s">
        <v>3384</v>
      </c>
      <c r="E4286" s="11" t="s">
        <v>28</v>
      </c>
      <c r="F4286" s="10" t="s">
        <v>28</v>
      </c>
      <c r="G4286" s="10">
        <v>4.5</v>
      </c>
      <c r="H4286" s="10" t="s">
        <v>28</v>
      </c>
      <c r="I4286" s="11" t="s">
        <v>28</v>
      </c>
      <c r="J4286" s="11" t="s">
        <v>28</v>
      </c>
      <c r="K4286" s="11" t="s">
        <v>28</v>
      </c>
      <c r="L4286" s="11" t="s">
        <v>28</v>
      </c>
      <c r="M4286" s="11" t="s">
        <v>28</v>
      </c>
      <c r="N4286" s="8">
        <v>44455</v>
      </c>
      <c r="O4286" s="9" t="s">
        <v>99</v>
      </c>
      <c r="P4286" s="12" t="s">
        <v>13878</v>
      </c>
      <c r="Q4286" s="9" t="s">
        <v>43</v>
      </c>
      <c r="R4286" s="14" t="str">
        <f>HYPERLINK("https://my.pitchbook.com?c=269255-53T","View Company Online")</f>
        <v>View Company Online</v>
      </c>
    </row>
    <row r="4287" spans="1:18" hidden="1" x14ac:dyDescent="0.3">
      <c r="A4287" s="15" t="s">
        <v>13879</v>
      </c>
      <c r="B4287" s="15" t="s">
        <v>13880</v>
      </c>
      <c r="C4287" s="18" t="s">
        <v>28</v>
      </c>
      <c r="D4287" s="15" t="s">
        <v>13881</v>
      </c>
      <c r="E4287" s="18" t="s">
        <v>28</v>
      </c>
      <c r="F4287" s="19" t="s">
        <v>28</v>
      </c>
      <c r="G4287" s="19" t="s">
        <v>28</v>
      </c>
      <c r="H4287" s="19" t="s">
        <v>28</v>
      </c>
      <c r="I4287" s="18" t="s">
        <v>28</v>
      </c>
      <c r="J4287" s="18" t="s">
        <v>28</v>
      </c>
      <c r="K4287" s="18" t="s">
        <v>28</v>
      </c>
      <c r="L4287" s="18" t="s">
        <v>28</v>
      </c>
      <c r="M4287" s="18" t="s">
        <v>28</v>
      </c>
      <c r="N4287" s="17">
        <v>44455</v>
      </c>
      <c r="O4287" s="15" t="s">
        <v>58</v>
      </c>
      <c r="P4287" s="16" t="s">
        <v>13882</v>
      </c>
      <c r="Q4287" s="15" t="s">
        <v>880</v>
      </c>
      <c r="R4287" s="13" t="str">
        <f>HYPERLINK("https://my.pitchbook.com?c=211770-82T","View Company Online")</f>
        <v>View Company Online</v>
      </c>
    </row>
    <row r="4288" spans="1:18" hidden="1" x14ac:dyDescent="0.3">
      <c r="A4288" s="9" t="s">
        <v>13883</v>
      </c>
      <c r="B4288" s="9" t="s">
        <v>13884</v>
      </c>
      <c r="C4288" s="11" t="s">
        <v>28</v>
      </c>
      <c r="D4288" s="9" t="s">
        <v>13885</v>
      </c>
      <c r="E4288" s="11" t="s">
        <v>28</v>
      </c>
      <c r="F4288" s="10" t="s">
        <v>28</v>
      </c>
      <c r="G4288" s="10">
        <v>0.56999999999999995</v>
      </c>
      <c r="H4288" s="10">
        <v>11.43</v>
      </c>
      <c r="I4288" s="11" t="s">
        <v>28</v>
      </c>
      <c r="J4288" s="11" t="s">
        <v>28</v>
      </c>
      <c r="K4288" s="11" t="s">
        <v>28</v>
      </c>
      <c r="L4288" s="11" t="s">
        <v>28</v>
      </c>
      <c r="M4288" s="11" t="s">
        <v>28</v>
      </c>
      <c r="N4288" s="8">
        <v>44455</v>
      </c>
      <c r="O4288" s="9" t="s">
        <v>79</v>
      </c>
      <c r="P4288" s="12" t="s">
        <v>13886</v>
      </c>
      <c r="Q4288" s="9" t="s">
        <v>37</v>
      </c>
      <c r="R4288" s="14" t="str">
        <f>HYPERLINK("https://my.pitchbook.com?c=180264-52T","View Company Online")</f>
        <v>View Company Online</v>
      </c>
    </row>
    <row r="4289" spans="1:18" hidden="1" x14ac:dyDescent="0.3">
      <c r="A4289" s="15" t="s">
        <v>13887</v>
      </c>
      <c r="B4289" s="15" t="s">
        <v>13888</v>
      </c>
      <c r="C4289" s="18" t="s">
        <v>28</v>
      </c>
      <c r="D4289" s="15" t="s">
        <v>13889</v>
      </c>
      <c r="E4289" s="18" t="s">
        <v>28</v>
      </c>
      <c r="F4289" s="19" t="s">
        <v>28</v>
      </c>
      <c r="G4289" s="19" t="s">
        <v>28</v>
      </c>
      <c r="H4289" s="19" t="s">
        <v>28</v>
      </c>
      <c r="I4289" s="18" t="s">
        <v>28</v>
      </c>
      <c r="J4289" s="18" t="s">
        <v>28</v>
      </c>
      <c r="K4289" s="18" t="s">
        <v>28</v>
      </c>
      <c r="L4289" s="18" t="s">
        <v>28</v>
      </c>
      <c r="M4289" s="18" t="s">
        <v>28</v>
      </c>
      <c r="N4289" s="17">
        <v>44455</v>
      </c>
      <c r="O4289" s="15" t="s">
        <v>41</v>
      </c>
      <c r="P4289" s="16" t="s">
        <v>13890</v>
      </c>
      <c r="Q4289" s="15" t="s">
        <v>692</v>
      </c>
      <c r="R4289" s="13" t="str">
        <f>HYPERLINK("https://my.pitchbook.com?c=186660-28T","View Company Online")</f>
        <v>View Company Online</v>
      </c>
    </row>
    <row r="4290" spans="1:18" hidden="1" x14ac:dyDescent="0.3">
      <c r="A4290" s="9" t="s">
        <v>13891</v>
      </c>
      <c r="B4290" s="9" t="s">
        <v>2509</v>
      </c>
      <c r="C4290" s="11" t="s">
        <v>28</v>
      </c>
      <c r="D4290" s="9" t="s">
        <v>2510</v>
      </c>
      <c r="E4290" s="11" t="s">
        <v>28</v>
      </c>
      <c r="F4290" s="10" t="s">
        <v>28</v>
      </c>
      <c r="G4290" s="10" t="s">
        <v>28</v>
      </c>
      <c r="H4290" s="10" t="s">
        <v>28</v>
      </c>
      <c r="I4290" s="11" t="s">
        <v>28</v>
      </c>
      <c r="J4290" s="11" t="s">
        <v>28</v>
      </c>
      <c r="K4290" s="11" t="s">
        <v>28</v>
      </c>
      <c r="L4290" s="11" t="s">
        <v>28</v>
      </c>
      <c r="M4290" s="11" t="s">
        <v>28</v>
      </c>
      <c r="N4290" s="8">
        <v>44455</v>
      </c>
      <c r="O4290" s="9" t="s">
        <v>30</v>
      </c>
      <c r="P4290" s="12" t="s">
        <v>13892</v>
      </c>
      <c r="Q4290" s="9" t="s">
        <v>740</v>
      </c>
      <c r="R4290" s="14" t="str">
        <f>HYPERLINK("https://my.pitchbook.com?c=180364-33T","View Company Online")</f>
        <v>View Company Online</v>
      </c>
    </row>
    <row r="4291" spans="1:18" hidden="1" x14ac:dyDescent="0.3">
      <c r="A4291" s="15" t="s">
        <v>13893</v>
      </c>
      <c r="B4291" s="15" t="s">
        <v>3343</v>
      </c>
      <c r="C4291" s="18" t="s">
        <v>28</v>
      </c>
      <c r="D4291" s="15" t="s">
        <v>3344</v>
      </c>
      <c r="E4291" s="18" t="s">
        <v>28</v>
      </c>
      <c r="F4291" s="19" t="s">
        <v>28</v>
      </c>
      <c r="G4291" s="19">
        <v>17</v>
      </c>
      <c r="H4291" s="19">
        <v>62</v>
      </c>
      <c r="I4291" s="18" t="s">
        <v>28</v>
      </c>
      <c r="J4291" s="18" t="s">
        <v>28</v>
      </c>
      <c r="K4291" s="18" t="s">
        <v>28</v>
      </c>
      <c r="L4291" s="18" t="s">
        <v>28</v>
      </c>
      <c r="M4291" s="18" t="s">
        <v>28</v>
      </c>
      <c r="N4291" s="17">
        <v>44455</v>
      </c>
      <c r="O4291" s="15" t="s">
        <v>73</v>
      </c>
      <c r="P4291" s="16" t="s">
        <v>13894</v>
      </c>
      <c r="Q4291" s="15" t="s">
        <v>37</v>
      </c>
      <c r="R4291" s="13" t="str">
        <f>HYPERLINK("https://my.pitchbook.com?c=179797-06T","View Company Online")</f>
        <v>View Company Online</v>
      </c>
    </row>
    <row r="4292" spans="1:18" hidden="1" x14ac:dyDescent="0.3">
      <c r="A4292" s="9" t="s">
        <v>13895</v>
      </c>
      <c r="B4292" s="9" t="s">
        <v>13896</v>
      </c>
      <c r="C4292" s="11" t="s">
        <v>28</v>
      </c>
      <c r="D4292" s="9" t="s">
        <v>13897</v>
      </c>
      <c r="E4292" s="11" t="s">
        <v>28</v>
      </c>
      <c r="F4292" s="10" t="s">
        <v>28</v>
      </c>
      <c r="G4292" s="10" t="s">
        <v>28</v>
      </c>
      <c r="H4292" s="10" t="s">
        <v>28</v>
      </c>
      <c r="I4292" s="11" t="s">
        <v>28</v>
      </c>
      <c r="J4292" s="11" t="s">
        <v>28</v>
      </c>
      <c r="K4292" s="11" t="s">
        <v>28</v>
      </c>
      <c r="L4292" s="11" t="s">
        <v>28</v>
      </c>
      <c r="M4292" s="11" t="s">
        <v>28</v>
      </c>
      <c r="N4292" s="8">
        <v>44454</v>
      </c>
      <c r="O4292" s="9" t="s">
        <v>30</v>
      </c>
      <c r="P4292" s="12" t="s">
        <v>13898</v>
      </c>
      <c r="Q4292" s="9" t="s">
        <v>290</v>
      </c>
      <c r="R4292" s="14" t="str">
        <f>HYPERLINK("https://my.pitchbook.com?c=211782-43T","View Company Online")</f>
        <v>View Company Online</v>
      </c>
    </row>
    <row r="4293" spans="1:18" hidden="1" x14ac:dyDescent="0.3">
      <c r="A4293" s="15" t="s">
        <v>13899</v>
      </c>
      <c r="B4293" s="15" t="s">
        <v>13900</v>
      </c>
      <c r="C4293" s="18" t="s">
        <v>28</v>
      </c>
      <c r="D4293" s="15" t="s">
        <v>13901</v>
      </c>
      <c r="E4293" s="18" t="s">
        <v>28</v>
      </c>
      <c r="F4293" s="19" t="s">
        <v>28</v>
      </c>
      <c r="G4293" s="19" t="s">
        <v>28</v>
      </c>
      <c r="H4293" s="19" t="s">
        <v>28</v>
      </c>
      <c r="I4293" s="18" t="s">
        <v>28</v>
      </c>
      <c r="J4293" s="18" t="s">
        <v>28</v>
      </c>
      <c r="K4293" s="18" t="s">
        <v>28</v>
      </c>
      <c r="L4293" s="18" t="s">
        <v>28</v>
      </c>
      <c r="M4293" s="18" t="s">
        <v>28</v>
      </c>
      <c r="N4293" s="17">
        <v>44454</v>
      </c>
      <c r="O4293" s="15" t="s">
        <v>30</v>
      </c>
      <c r="P4293" s="16" t="s">
        <v>13898</v>
      </c>
      <c r="Q4293" s="15" t="s">
        <v>290</v>
      </c>
      <c r="R4293" s="13" t="str">
        <f>HYPERLINK("https://my.pitchbook.com?c=212054-41T","View Company Online")</f>
        <v>View Company Online</v>
      </c>
    </row>
    <row r="4294" spans="1:18" hidden="1" x14ac:dyDescent="0.3">
      <c r="A4294" s="9" t="s">
        <v>13902</v>
      </c>
      <c r="B4294" s="9" t="s">
        <v>12410</v>
      </c>
      <c r="C4294" s="11" t="s">
        <v>28</v>
      </c>
      <c r="D4294" s="9" t="s">
        <v>12411</v>
      </c>
      <c r="E4294" s="11" t="s">
        <v>28</v>
      </c>
      <c r="F4294" s="10" t="s">
        <v>28</v>
      </c>
      <c r="G4294" s="10" t="s">
        <v>28</v>
      </c>
      <c r="H4294" s="10" t="s">
        <v>28</v>
      </c>
      <c r="I4294" s="11" t="s">
        <v>28</v>
      </c>
      <c r="J4294" s="11" t="s">
        <v>28</v>
      </c>
      <c r="K4294" s="11" t="s">
        <v>28</v>
      </c>
      <c r="L4294" s="11" t="s">
        <v>28</v>
      </c>
      <c r="M4294" s="11" t="s">
        <v>28</v>
      </c>
      <c r="N4294" s="8">
        <v>44454</v>
      </c>
      <c r="O4294" s="9" t="s">
        <v>52</v>
      </c>
      <c r="P4294" s="12" t="s">
        <v>4614</v>
      </c>
      <c r="Q4294" s="9" t="s">
        <v>371</v>
      </c>
      <c r="R4294" s="14" t="str">
        <f>HYPERLINK("https://my.pitchbook.com?c=292599-82T","View Company Online")</f>
        <v>View Company Online</v>
      </c>
    </row>
    <row r="4295" spans="1:18" hidden="1" x14ac:dyDescent="0.3">
      <c r="A4295" s="15" t="s">
        <v>13903</v>
      </c>
      <c r="B4295" s="15" t="s">
        <v>13904</v>
      </c>
      <c r="C4295" s="18" t="s">
        <v>28</v>
      </c>
      <c r="D4295" s="15" t="s">
        <v>13905</v>
      </c>
      <c r="E4295" s="18" t="s">
        <v>28</v>
      </c>
      <c r="F4295" s="19" t="s">
        <v>28</v>
      </c>
      <c r="G4295" s="19" t="s">
        <v>28</v>
      </c>
      <c r="H4295" s="19" t="s">
        <v>28</v>
      </c>
      <c r="I4295" s="18" t="s">
        <v>28</v>
      </c>
      <c r="J4295" s="18" t="s">
        <v>28</v>
      </c>
      <c r="K4295" s="18" t="s">
        <v>28</v>
      </c>
      <c r="L4295" s="18" t="s">
        <v>28</v>
      </c>
      <c r="M4295" s="18" t="s">
        <v>28</v>
      </c>
      <c r="N4295" s="17">
        <v>44454</v>
      </c>
      <c r="O4295" s="15" t="s">
        <v>30</v>
      </c>
      <c r="P4295" s="16" t="s">
        <v>13906</v>
      </c>
      <c r="Q4295" s="15" t="s">
        <v>583</v>
      </c>
      <c r="R4295" s="13" t="str">
        <f>HYPERLINK("https://my.pitchbook.com?c=180176-23T","View Company Online")</f>
        <v>View Company Online</v>
      </c>
    </row>
    <row r="4296" spans="1:18" hidden="1" x14ac:dyDescent="0.3">
      <c r="A4296" s="9" t="s">
        <v>13907</v>
      </c>
      <c r="B4296" s="9" t="s">
        <v>1116</v>
      </c>
      <c r="C4296" s="11" t="s">
        <v>28</v>
      </c>
      <c r="D4296" s="9" t="s">
        <v>1117</v>
      </c>
      <c r="E4296" s="11" t="s">
        <v>28</v>
      </c>
      <c r="F4296" s="10" t="s">
        <v>28</v>
      </c>
      <c r="G4296" s="10">
        <v>4.47</v>
      </c>
      <c r="H4296" s="10" t="s">
        <v>28</v>
      </c>
      <c r="I4296" s="11" t="s">
        <v>28</v>
      </c>
      <c r="J4296" s="11" t="s">
        <v>28</v>
      </c>
      <c r="K4296" s="11">
        <v>1</v>
      </c>
      <c r="L4296" s="11" t="s">
        <v>28</v>
      </c>
      <c r="M4296" s="11" t="s">
        <v>28</v>
      </c>
      <c r="N4296" s="8">
        <v>44453</v>
      </c>
      <c r="O4296" s="9" t="s">
        <v>99</v>
      </c>
      <c r="P4296" s="12" t="s">
        <v>13908</v>
      </c>
      <c r="Q4296" s="9" t="s">
        <v>75</v>
      </c>
      <c r="R4296" s="14" t="str">
        <f>HYPERLINK("https://my.pitchbook.com?c=176946-04T","View Company Online")</f>
        <v>View Company Online</v>
      </c>
    </row>
    <row r="4297" spans="1:18" hidden="1" x14ac:dyDescent="0.3">
      <c r="A4297" s="15" t="s">
        <v>13909</v>
      </c>
      <c r="B4297" s="15" t="s">
        <v>13910</v>
      </c>
      <c r="C4297" s="18" t="s">
        <v>28</v>
      </c>
      <c r="D4297" s="15" t="s">
        <v>13911</v>
      </c>
      <c r="E4297" s="18" t="s">
        <v>28</v>
      </c>
      <c r="F4297" s="19" t="s">
        <v>28</v>
      </c>
      <c r="G4297" s="19">
        <v>0.06</v>
      </c>
      <c r="H4297" s="19" t="s">
        <v>28</v>
      </c>
      <c r="I4297" s="18" t="s">
        <v>28</v>
      </c>
      <c r="J4297" s="18" t="s">
        <v>28</v>
      </c>
      <c r="K4297" s="18">
        <v>0.04</v>
      </c>
      <c r="L4297" s="18" t="s">
        <v>28</v>
      </c>
      <c r="M4297" s="18" t="s">
        <v>28</v>
      </c>
      <c r="N4297" s="17">
        <v>44453</v>
      </c>
      <c r="O4297" s="15" t="s">
        <v>73</v>
      </c>
      <c r="P4297" s="16" t="s">
        <v>2915</v>
      </c>
      <c r="Q4297" s="15" t="s">
        <v>37</v>
      </c>
      <c r="R4297" s="13" t="str">
        <f>HYPERLINK("https://my.pitchbook.com?c=215578-72T","View Company Online")</f>
        <v>View Company Online</v>
      </c>
    </row>
    <row r="4298" spans="1:18" hidden="1" x14ac:dyDescent="0.3">
      <c r="A4298" s="9" t="s">
        <v>13912</v>
      </c>
      <c r="B4298" s="9" t="s">
        <v>13913</v>
      </c>
      <c r="C4298" s="11" t="s">
        <v>28</v>
      </c>
      <c r="D4298" s="9" t="s">
        <v>13914</v>
      </c>
      <c r="E4298" s="11" t="s">
        <v>28</v>
      </c>
      <c r="F4298" s="10" t="s">
        <v>28</v>
      </c>
      <c r="G4298" s="10">
        <v>0.67</v>
      </c>
      <c r="H4298" s="10" t="s">
        <v>28</v>
      </c>
      <c r="I4298" s="11" t="s">
        <v>28</v>
      </c>
      <c r="J4298" s="11" t="s">
        <v>28</v>
      </c>
      <c r="K4298" s="11" t="s">
        <v>28</v>
      </c>
      <c r="L4298" s="11" t="s">
        <v>28</v>
      </c>
      <c r="M4298" s="11" t="s">
        <v>28</v>
      </c>
      <c r="N4298" s="8">
        <v>44453</v>
      </c>
      <c r="O4298" s="9" t="s">
        <v>99</v>
      </c>
      <c r="P4298" s="12" t="s">
        <v>13915</v>
      </c>
      <c r="Q4298" s="9" t="s">
        <v>75</v>
      </c>
      <c r="R4298" s="14" t="str">
        <f>HYPERLINK("https://my.pitchbook.com?c=181197-64T","View Company Online")</f>
        <v>View Company Online</v>
      </c>
    </row>
    <row r="4299" spans="1:18" hidden="1" x14ac:dyDescent="0.3">
      <c r="A4299" s="15" t="s">
        <v>13916</v>
      </c>
      <c r="B4299" s="15" t="s">
        <v>13917</v>
      </c>
      <c r="C4299" s="18" t="s">
        <v>28</v>
      </c>
      <c r="D4299" s="15" t="s">
        <v>13918</v>
      </c>
      <c r="E4299" s="18" t="s">
        <v>28</v>
      </c>
      <c r="F4299" s="19" t="s">
        <v>28</v>
      </c>
      <c r="G4299" s="19" t="s">
        <v>28</v>
      </c>
      <c r="H4299" s="19" t="s">
        <v>28</v>
      </c>
      <c r="I4299" s="18" t="s">
        <v>28</v>
      </c>
      <c r="J4299" s="18" t="s">
        <v>28</v>
      </c>
      <c r="K4299" s="18" t="s">
        <v>28</v>
      </c>
      <c r="L4299" s="18" t="s">
        <v>28</v>
      </c>
      <c r="M4299" s="18" t="s">
        <v>28</v>
      </c>
      <c r="N4299" s="17">
        <v>44453</v>
      </c>
      <c r="O4299" s="15" t="s">
        <v>30</v>
      </c>
      <c r="P4299" s="16" t="s">
        <v>6130</v>
      </c>
      <c r="Q4299" s="15" t="s">
        <v>114</v>
      </c>
      <c r="R4299" s="13" t="str">
        <f>HYPERLINK("https://my.pitchbook.com?c=262966-24T","View Company Online")</f>
        <v>View Company Online</v>
      </c>
    </row>
    <row r="4300" spans="1:18" hidden="1" x14ac:dyDescent="0.3">
      <c r="A4300" s="9" t="s">
        <v>13919</v>
      </c>
      <c r="B4300" s="9" t="s">
        <v>11676</v>
      </c>
      <c r="C4300" s="11" t="s">
        <v>28</v>
      </c>
      <c r="D4300" s="9" t="s">
        <v>11677</v>
      </c>
      <c r="E4300" s="11" t="s">
        <v>28</v>
      </c>
      <c r="F4300" s="10" t="s">
        <v>28</v>
      </c>
      <c r="G4300" s="10" t="s">
        <v>28</v>
      </c>
      <c r="H4300" s="10" t="s">
        <v>28</v>
      </c>
      <c r="I4300" s="11" t="s">
        <v>28</v>
      </c>
      <c r="J4300" s="11" t="s">
        <v>28</v>
      </c>
      <c r="K4300" s="11" t="s">
        <v>28</v>
      </c>
      <c r="L4300" s="11" t="s">
        <v>28</v>
      </c>
      <c r="M4300" s="11" t="s">
        <v>28</v>
      </c>
      <c r="N4300" s="8">
        <v>44453</v>
      </c>
      <c r="O4300" s="9" t="s">
        <v>379</v>
      </c>
      <c r="P4300" s="12" t="s">
        <v>13920</v>
      </c>
      <c r="Q4300" s="9" t="s">
        <v>583</v>
      </c>
      <c r="R4300" s="14" t="str">
        <f>HYPERLINK("https://my.pitchbook.com?c=180074-53T","View Company Online")</f>
        <v>View Company Online</v>
      </c>
    </row>
    <row r="4301" spans="1:18" hidden="1" x14ac:dyDescent="0.3">
      <c r="A4301" s="15" t="s">
        <v>13921</v>
      </c>
      <c r="B4301" s="15" t="s">
        <v>13922</v>
      </c>
      <c r="C4301" s="18" t="s">
        <v>28</v>
      </c>
      <c r="D4301" s="15" t="s">
        <v>13923</v>
      </c>
      <c r="E4301" s="18" t="s">
        <v>28</v>
      </c>
      <c r="F4301" s="19" t="s">
        <v>28</v>
      </c>
      <c r="G4301" s="19" t="s">
        <v>28</v>
      </c>
      <c r="H4301" s="19" t="s">
        <v>28</v>
      </c>
      <c r="I4301" s="18" t="s">
        <v>28</v>
      </c>
      <c r="J4301" s="18" t="s">
        <v>28</v>
      </c>
      <c r="K4301" s="18" t="s">
        <v>28</v>
      </c>
      <c r="L4301" s="18" t="s">
        <v>28</v>
      </c>
      <c r="M4301" s="18" t="s">
        <v>28</v>
      </c>
      <c r="N4301" s="17">
        <v>44452</v>
      </c>
      <c r="O4301" s="15" t="s">
        <v>52</v>
      </c>
      <c r="P4301" s="16" t="s">
        <v>1880</v>
      </c>
      <c r="Q4301" s="15" t="s">
        <v>75</v>
      </c>
      <c r="R4301" s="13" t="str">
        <f>HYPERLINK("https://my.pitchbook.com?c=195669-19T","View Company Online")</f>
        <v>View Company Online</v>
      </c>
    </row>
    <row r="4302" spans="1:18" hidden="1" x14ac:dyDescent="0.3">
      <c r="A4302" s="9" t="s">
        <v>13924</v>
      </c>
      <c r="B4302" s="9" t="s">
        <v>4256</v>
      </c>
      <c r="C4302" s="11" t="s">
        <v>28</v>
      </c>
      <c r="D4302" s="9" t="s">
        <v>4257</v>
      </c>
      <c r="E4302" s="11" t="s">
        <v>28</v>
      </c>
      <c r="F4302" s="10" t="s">
        <v>28</v>
      </c>
      <c r="G4302" s="10" t="s">
        <v>28</v>
      </c>
      <c r="H4302" s="10" t="s">
        <v>28</v>
      </c>
      <c r="I4302" s="11" t="s">
        <v>28</v>
      </c>
      <c r="J4302" s="11" t="s">
        <v>28</v>
      </c>
      <c r="K4302" s="11" t="s">
        <v>28</v>
      </c>
      <c r="L4302" s="11" t="s">
        <v>28</v>
      </c>
      <c r="M4302" s="11" t="s">
        <v>28</v>
      </c>
      <c r="N4302" s="8">
        <v>44452</v>
      </c>
      <c r="O4302" s="9" t="s">
        <v>52</v>
      </c>
      <c r="P4302" s="12" t="s">
        <v>1880</v>
      </c>
      <c r="Q4302" s="9" t="s">
        <v>75</v>
      </c>
      <c r="R4302" s="14" t="str">
        <f>HYPERLINK("https://my.pitchbook.com?c=195670-90T","View Company Online")</f>
        <v>View Company Online</v>
      </c>
    </row>
    <row r="4303" spans="1:18" hidden="1" x14ac:dyDescent="0.3">
      <c r="A4303" s="15" t="s">
        <v>13925</v>
      </c>
      <c r="B4303" s="15" t="s">
        <v>2205</v>
      </c>
      <c r="C4303" s="18" t="s">
        <v>28</v>
      </c>
      <c r="D4303" s="15" t="s">
        <v>2206</v>
      </c>
      <c r="E4303" s="18" t="s">
        <v>28</v>
      </c>
      <c r="F4303" s="19" t="s">
        <v>28</v>
      </c>
      <c r="G4303" s="19" t="s">
        <v>28</v>
      </c>
      <c r="H4303" s="19" t="s">
        <v>28</v>
      </c>
      <c r="I4303" s="18" t="s">
        <v>28</v>
      </c>
      <c r="J4303" s="18" t="s">
        <v>28</v>
      </c>
      <c r="K4303" s="18" t="s">
        <v>28</v>
      </c>
      <c r="L4303" s="18" t="s">
        <v>28</v>
      </c>
      <c r="M4303" s="18" t="s">
        <v>28</v>
      </c>
      <c r="N4303" s="17">
        <v>44452</v>
      </c>
      <c r="O4303" s="15" t="s">
        <v>52</v>
      </c>
      <c r="P4303" s="16" t="s">
        <v>1880</v>
      </c>
      <c r="Q4303" s="15" t="s">
        <v>75</v>
      </c>
      <c r="R4303" s="13" t="str">
        <f>HYPERLINK("https://my.pitchbook.com?c=195668-74T","View Company Online")</f>
        <v>View Company Online</v>
      </c>
    </row>
    <row r="4304" spans="1:18" hidden="1" x14ac:dyDescent="0.3">
      <c r="A4304" s="9" t="s">
        <v>13926</v>
      </c>
      <c r="B4304" s="9" t="s">
        <v>1731</v>
      </c>
      <c r="C4304" s="11" t="s">
        <v>28</v>
      </c>
      <c r="D4304" s="9" t="s">
        <v>1732</v>
      </c>
      <c r="E4304" s="11" t="s">
        <v>28</v>
      </c>
      <c r="F4304" s="10" t="s">
        <v>28</v>
      </c>
      <c r="G4304" s="10">
        <v>3.81</v>
      </c>
      <c r="H4304" s="10" t="s">
        <v>28</v>
      </c>
      <c r="I4304" s="11" t="s">
        <v>28</v>
      </c>
      <c r="J4304" s="11" t="s">
        <v>28</v>
      </c>
      <c r="K4304" s="11" t="s">
        <v>28</v>
      </c>
      <c r="L4304" s="11" t="s">
        <v>28</v>
      </c>
      <c r="M4304" s="11" t="s">
        <v>28</v>
      </c>
      <c r="N4304" s="8">
        <v>44452</v>
      </c>
      <c r="O4304" s="9" t="s">
        <v>99</v>
      </c>
      <c r="P4304" s="12" t="s">
        <v>13927</v>
      </c>
      <c r="Q4304" s="9" t="s">
        <v>1734</v>
      </c>
      <c r="R4304" s="14" t="str">
        <f>HYPERLINK("https://my.pitchbook.com?c=178810-66T","View Company Online")</f>
        <v>View Company Online</v>
      </c>
    </row>
    <row r="4305" spans="1:18" hidden="1" x14ac:dyDescent="0.3">
      <c r="A4305" s="15" t="s">
        <v>13928</v>
      </c>
      <c r="B4305" s="15" t="s">
        <v>3656</v>
      </c>
      <c r="C4305" s="18" t="s">
        <v>28</v>
      </c>
      <c r="D4305" s="15" t="s">
        <v>3657</v>
      </c>
      <c r="E4305" s="18" t="s">
        <v>28</v>
      </c>
      <c r="F4305" s="19" t="s">
        <v>28</v>
      </c>
      <c r="G4305" s="19" t="s">
        <v>28</v>
      </c>
      <c r="H4305" s="19" t="s">
        <v>28</v>
      </c>
      <c r="I4305" s="18" t="s">
        <v>28</v>
      </c>
      <c r="J4305" s="18" t="s">
        <v>28</v>
      </c>
      <c r="K4305" s="18" t="s">
        <v>28</v>
      </c>
      <c r="L4305" s="18" t="s">
        <v>28</v>
      </c>
      <c r="M4305" s="18" t="s">
        <v>28</v>
      </c>
      <c r="N4305" s="17">
        <v>44452</v>
      </c>
      <c r="O4305" s="15" t="s">
        <v>52</v>
      </c>
      <c r="P4305" s="16" t="s">
        <v>2498</v>
      </c>
      <c r="Q4305" s="15" t="s">
        <v>75</v>
      </c>
      <c r="R4305" s="13" t="str">
        <f>HYPERLINK("https://my.pitchbook.com?c=195676-03T","View Company Online")</f>
        <v>View Company Online</v>
      </c>
    </row>
    <row r="4306" spans="1:18" hidden="1" x14ac:dyDescent="0.3">
      <c r="A4306" s="9" t="s">
        <v>13929</v>
      </c>
      <c r="B4306" s="9" t="s">
        <v>4535</v>
      </c>
      <c r="C4306" s="11" t="s">
        <v>28</v>
      </c>
      <c r="D4306" s="9" t="s">
        <v>4536</v>
      </c>
      <c r="E4306" s="11" t="s">
        <v>28</v>
      </c>
      <c r="F4306" s="10" t="s">
        <v>28</v>
      </c>
      <c r="G4306" s="10" t="s">
        <v>28</v>
      </c>
      <c r="H4306" s="10" t="s">
        <v>28</v>
      </c>
      <c r="I4306" s="11" t="s">
        <v>28</v>
      </c>
      <c r="J4306" s="11" t="s">
        <v>28</v>
      </c>
      <c r="K4306" s="11" t="s">
        <v>28</v>
      </c>
      <c r="L4306" s="11" t="s">
        <v>28</v>
      </c>
      <c r="M4306" s="11" t="s">
        <v>28</v>
      </c>
      <c r="N4306" s="8">
        <v>44452</v>
      </c>
      <c r="O4306" s="9" t="s">
        <v>52</v>
      </c>
      <c r="P4306" s="12" t="s">
        <v>1880</v>
      </c>
      <c r="Q4306" s="9" t="s">
        <v>75</v>
      </c>
      <c r="R4306" s="14" t="str">
        <f>HYPERLINK("https://my.pitchbook.com?c=195669-82T","View Company Online")</f>
        <v>View Company Online</v>
      </c>
    </row>
    <row r="4307" spans="1:18" hidden="1" x14ac:dyDescent="0.3">
      <c r="A4307" s="15" t="s">
        <v>13930</v>
      </c>
      <c r="B4307" s="15" t="s">
        <v>13931</v>
      </c>
      <c r="C4307" s="18" t="s">
        <v>28</v>
      </c>
      <c r="D4307" s="15" t="s">
        <v>13932</v>
      </c>
      <c r="E4307" s="18" t="s">
        <v>28</v>
      </c>
      <c r="F4307" s="19" t="s">
        <v>28</v>
      </c>
      <c r="G4307" s="19" t="s">
        <v>28</v>
      </c>
      <c r="H4307" s="19" t="s">
        <v>28</v>
      </c>
      <c r="I4307" s="18" t="s">
        <v>28</v>
      </c>
      <c r="J4307" s="18" t="s">
        <v>28</v>
      </c>
      <c r="K4307" s="18" t="s">
        <v>28</v>
      </c>
      <c r="L4307" s="18" t="s">
        <v>28</v>
      </c>
      <c r="M4307" s="18" t="s">
        <v>28</v>
      </c>
      <c r="N4307" s="17">
        <v>44452</v>
      </c>
      <c r="O4307" s="15" t="s">
        <v>30</v>
      </c>
      <c r="P4307" s="16" t="s">
        <v>13933</v>
      </c>
      <c r="Q4307" s="15" t="s">
        <v>6356</v>
      </c>
      <c r="R4307" s="13" t="str">
        <f>HYPERLINK("https://my.pitchbook.com?c=244112-14T","View Company Online")</f>
        <v>View Company Online</v>
      </c>
    </row>
    <row r="4308" spans="1:18" hidden="1" x14ac:dyDescent="0.3">
      <c r="A4308" s="9" t="s">
        <v>13934</v>
      </c>
      <c r="B4308" s="9" t="s">
        <v>13935</v>
      </c>
      <c r="C4308" s="11" t="s">
        <v>28</v>
      </c>
      <c r="D4308" s="9" t="s">
        <v>13936</v>
      </c>
      <c r="E4308" s="11" t="s">
        <v>28</v>
      </c>
      <c r="F4308" s="10" t="s">
        <v>28</v>
      </c>
      <c r="G4308" s="10" t="s">
        <v>28</v>
      </c>
      <c r="H4308" s="10" t="s">
        <v>28</v>
      </c>
      <c r="I4308" s="11" t="s">
        <v>28</v>
      </c>
      <c r="J4308" s="11" t="s">
        <v>28</v>
      </c>
      <c r="K4308" s="11" t="s">
        <v>28</v>
      </c>
      <c r="L4308" s="11" t="s">
        <v>28</v>
      </c>
      <c r="M4308" s="11" t="s">
        <v>28</v>
      </c>
      <c r="N4308" s="8">
        <v>44452</v>
      </c>
      <c r="O4308" s="9" t="s">
        <v>41</v>
      </c>
      <c r="P4308" s="12" t="s">
        <v>13937</v>
      </c>
      <c r="Q4308" s="9" t="s">
        <v>109</v>
      </c>
      <c r="R4308" s="14" t="str">
        <f>HYPERLINK("https://my.pitchbook.com?c=183724-93T","View Company Online")</f>
        <v>View Company Online</v>
      </c>
    </row>
    <row r="4309" spans="1:18" hidden="1" x14ac:dyDescent="0.3">
      <c r="A4309" s="15" t="s">
        <v>13938</v>
      </c>
      <c r="B4309" s="15" t="s">
        <v>2649</v>
      </c>
      <c r="C4309" s="18" t="s">
        <v>28</v>
      </c>
      <c r="D4309" s="15" t="s">
        <v>2650</v>
      </c>
      <c r="E4309" s="18" t="s">
        <v>28</v>
      </c>
      <c r="F4309" s="19" t="s">
        <v>28</v>
      </c>
      <c r="G4309" s="19" t="s">
        <v>28</v>
      </c>
      <c r="H4309" s="19" t="s">
        <v>28</v>
      </c>
      <c r="I4309" s="18" t="s">
        <v>28</v>
      </c>
      <c r="J4309" s="18" t="s">
        <v>28</v>
      </c>
      <c r="K4309" s="18" t="s">
        <v>28</v>
      </c>
      <c r="L4309" s="18" t="s">
        <v>28</v>
      </c>
      <c r="M4309" s="18" t="s">
        <v>28</v>
      </c>
      <c r="N4309" s="17">
        <v>44452</v>
      </c>
      <c r="O4309" s="15" t="s">
        <v>52</v>
      </c>
      <c r="P4309" s="16" t="s">
        <v>1880</v>
      </c>
      <c r="Q4309" s="15" t="s">
        <v>75</v>
      </c>
      <c r="R4309" s="13" t="str">
        <f>HYPERLINK("https://my.pitchbook.com?c=195673-06T","View Company Online")</f>
        <v>View Company Online</v>
      </c>
    </row>
    <row r="4310" spans="1:18" hidden="1" x14ac:dyDescent="0.3">
      <c r="A4310" s="9" t="s">
        <v>13939</v>
      </c>
      <c r="B4310" s="9" t="s">
        <v>13940</v>
      </c>
      <c r="C4310" s="11" t="s">
        <v>28</v>
      </c>
      <c r="D4310" s="9" t="s">
        <v>13941</v>
      </c>
      <c r="E4310" s="11" t="s">
        <v>28</v>
      </c>
      <c r="F4310" s="10" t="s">
        <v>28</v>
      </c>
      <c r="G4310" s="10" t="s">
        <v>28</v>
      </c>
      <c r="H4310" s="10" t="s">
        <v>28</v>
      </c>
      <c r="I4310" s="11" t="s">
        <v>28</v>
      </c>
      <c r="J4310" s="11" t="s">
        <v>28</v>
      </c>
      <c r="K4310" s="11" t="s">
        <v>28</v>
      </c>
      <c r="L4310" s="11" t="s">
        <v>28</v>
      </c>
      <c r="M4310" s="11" t="s">
        <v>28</v>
      </c>
      <c r="N4310" s="8">
        <v>44452</v>
      </c>
      <c r="O4310" s="9" t="s">
        <v>30</v>
      </c>
      <c r="P4310" s="12" t="s">
        <v>8776</v>
      </c>
      <c r="Q4310" s="9" t="s">
        <v>105</v>
      </c>
      <c r="R4310" s="14" t="str">
        <f>HYPERLINK("https://my.pitchbook.com?c=211677-85T","View Company Online")</f>
        <v>View Company Online</v>
      </c>
    </row>
    <row r="4311" spans="1:18" hidden="1" x14ac:dyDescent="0.3">
      <c r="A4311" s="15" t="s">
        <v>13942</v>
      </c>
      <c r="B4311" s="15" t="s">
        <v>4295</v>
      </c>
      <c r="C4311" s="18" t="s">
        <v>28</v>
      </c>
      <c r="D4311" s="15" t="s">
        <v>4296</v>
      </c>
      <c r="E4311" s="18" t="s">
        <v>28</v>
      </c>
      <c r="F4311" s="19" t="s">
        <v>28</v>
      </c>
      <c r="G4311" s="19" t="s">
        <v>28</v>
      </c>
      <c r="H4311" s="19" t="s">
        <v>28</v>
      </c>
      <c r="I4311" s="18" t="s">
        <v>28</v>
      </c>
      <c r="J4311" s="18" t="s">
        <v>28</v>
      </c>
      <c r="K4311" s="18" t="s">
        <v>28</v>
      </c>
      <c r="L4311" s="18" t="s">
        <v>28</v>
      </c>
      <c r="M4311" s="18" t="s">
        <v>28</v>
      </c>
      <c r="N4311" s="17">
        <v>44452</v>
      </c>
      <c r="O4311" s="15" t="s">
        <v>52</v>
      </c>
      <c r="P4311" s="16" t="s">
        <v>1880</v>
      </c>
      <c r="Q4311" s="15" t="s">
        <v>1035</v>
      </c>
      <c r="R4311" s="13" t="str">
        <f>HYPERLINK("https://my.pitchbook.com?c=195674-50T","View Company Online")</f>
        <v>View Company Online</v>
      </c>
    </row>
    <row r="4312" spans="1:18" hidden="1" x14ac:dyDescent="0.3">
      <c r="A4312" s="9" t="s">
        <v>13943</v>
      </c>
      <c r="B4312" s="9" t="s">
        <v>13944</v>
      </c>
      <c r="C4312" s="11" t="s">
        <v>28</v>
      </c>
      <c r="D4312" s="9" t="s">
        <v>13945</v>
      </c>
      <c r="E4312" s="11" t="s">
        <v>28</v>
      </c>
      <c r="F4312" s="10" t="s">
        <v>28</v>
      </c>
      <c r="G4312" s="10" t="s">
        <v>28</v>
      </c>
      <c r="H4312" s="10" t="s">
        <v>28</v>
      </c>
      <c r="I4312" s="11" t="s">
        <v>28</v>
      </c>
      <c r="J4312" s="11" t="s">
        <v>28</v>
      </c>
      <c r="K4312" s="11" t="s">
        <v>28</v>
      </c>
      <c r="L4312" s="11" t="s">
        <v>28</v>
      </c>
      <c r="M4312" s="11" t="s">
        <v>28</v>
      </c>
      <c r="N4312" s="8">
        <v>44452</v>
      </c>
      <c r="O4312" s="9" t="s">
        <v>52</v>
      </c>
      <c r="P4312" s="12" t="s">
        <v>1880</v>
      </c>
      <c r="Q4312" s="9" t="s">
        <v>75</v>
      </c>
      <c r="R4312" s="14" t="str">
        <f>HYPERLINK("https://my.pitchbook.com?c=195674-23T","View Company Online")</f>
        <v>View Company Online</v>
      </c>
    </row>
    <row r="4313" spans="1:18" hidden="1" x14ac:dyDescent="0.3">
      <c r="A4313" s="15" t="s">
        <v>13946</v>
      </c>
      <c r="B4313" s="15" t="s">
        <v>8173</v>
      </c>
      <c r="C4313" s="18" t="s">
        <v>28</v>
      </c>
      <c r="D4313" s="15" t="s">
        <v>8174</v>
      </c>
      <c r="E4313" s="18" t="s">
        <v>28</v>
      </c>
      <c r="F4313" s="19" t="s">
        <v>28</v>
      </c>
      <c r="G4313" s="19" t="s">
        <v>28</v>
      </c>
      <c r="H4313" s="19" t="s">
        <v>28</v>
      </c>
      <c r="I4313" s="18" t="s">
        <v>28</v>
      </c>
      <c r="J4313" s="18" t="s">
        <v>28</v>
      </c>
      <c r="K4313" s="18" t="s">
        <v>28</v>
      </c>
      <c r="L4313" s="18" t="s">
        <v>28</v>
      </c>
      <c r="M4313" s="18" t="s">
        <v>28</v>
      </c>
      <c r="N4313" s="17">
        <v>44452</v>
      </c>
      <c r="O4313" s="15" t="s">
        <v>52</v>
      </c>
      <c r="P4313" s="16" t="s">
        <v>1880</v>
      </c>
      <c r="Q4313" s="15" t="s">
        <v>75</v>
      </c>
      <c r="R4313" s="13" t="str">
        <f>HYPERLINK("https://my.pitchbook.com?c=195693-76T","View Company Online")</f>
        <v>View Company Online</v>
      </c>
    </row>
    <row r="4314" spans="1:18" hidden="1" x14ac:dyDescent="0.3">
      <c r="A4314" s="9" t="s">
        <v>13947</v>
      </c>
      <c r="B4314" s="9" t="s">
        <v>4920</v>
      </c>
      <c r="C4314" s="11" t="s">
        <v>28</v>
      </c>
      <c r="D4314" s="9" t="s">
        <v>4921</v>
      </c>
      <c r="E4314" s="11" t="s">
        <v>28</v>
      </c>
      <c r="F4314" s="10" t="s">
        <v>28</v>
      </c>
      <c r="G4314" s="10" t="s">
        <v>28</v>
      </c>
      <c r="H4314" s="10" t="s">
        <v>28</v>
      </c>
      <c r="I4314" s="11" t="s">
        <v>28</v>
      </c>
      <c r="J4314" s="11" t="s">
        <v>28</v>
      </c>
      <c r="K4314" s="11" t="s">
        <v>28</v>
      </c>
      <c r="L4314" s="11" t="s">
        <v>28</v>
      </c>
      <c r="M4314" s="11" t="s">
        <v>28</v>
      </c>
      <c r="N4314" s="8">
        <v>44452</v>
      </c>
      <c r="O4314" s="9" t="s">
        <v>73</v>
      </c>
      <c r="P4314" s="12" t="s">
        <v>13948</v>
      </c>
      <c r="Q4314" s="9" t="s">
        <v>75</v>
      </c>
      <c r="R4314" s="14" t="str">
        <f>HYPERLINK("https://my.pitchbook.com?c=179962-30T","View Company Online")</f>
        <v>View Company Online</v>
      </c>
    </row>
    <row r="4315" spans="1:18" hidden="1" x14ac:dyDescent="0.3">
      <c r="A4315" s="15" t="s">
        <v>13949</v>
      </c>
      <c r="B4315" s="15" t="s">
        <v>13233</v>
      </c>
      <c r="C4315" s="18" t="s">
        <v>28</v>
      </c>
      <c r="D4315" s="15" t="s">
        <v>13234</v>
      </c>
      <c r="E4315" s="18" t="s">
        <v>28</v>
      </c>
      <c r="F4315" s="19" t="s">
        <v>28</v>
      </c>
      <c r="G4315" s="19">
        <v>0.19</v>
      </c>
      <c r="H4315" s="19">
        <v>6.34</v>
      </c>
      <c r="I4315" s="18" t="s">
        <v>28</v>
      </c>
      <c r="J4315" s="18" t="s">
        <v>28</v>
      </c>
      <c r="K4315" s="18" t="s">
        <v>28</v>
      </c>
      <c r="L4315" s="18" t="s">
        <v>28</v>
      </c>
      <c r="M4315" s="18" t="s">
        <v>28</v>
      </c>
      <c r="N4315" s="17">
        <v>44450</v>
      </c>
      <c r="O4315" s="15" t="s">
        <v>52</v>
      </c>
      <c r="P4315" s="16" t="s">
        <v>3869</v>
      </c>
      <c r="Q4315" s="15" t="s">
        <v>75</v>
      </c>
      <c r="R4315" s="13" t="str">
        <f>HYPERLINK("https://my.pitchbook.com?c=262337-32T","View Company Online")</f>
        <v>View Company Online</v>
      </c>
    </row>
    <row r="4316" spans="1:18" hidden="1" x14ac:dyDescent="0.3">
      <c r="A4316" s="9" t="s">
        <v>13950</v>
      </c>
      <c r="B4316" s="9" t="s">
        <v>13951</v>
      </c>
      <c r="C4316" s="11" t="s">
        <v>28</v>
      </c>
      <c r="D4316" s="9" t="s">
        <v>13952</v>
      </c>
      <c r="E4316" s="11" t="s">
        <v>28</v>
      </c>
      <c r="F4316" s="10" t="s">
        <v>28</v>
      </c>
      <c r="G4316" s="10">
        <v>0.08</v>
      </c>
      <c r="H4316" s="10" t="s">
        <v>28</v>
      </c>
      <c r="I4316" s="11" t="s">
        <v>28</v>
      </c>
      <c r="J4316" s="11" t="s">
        <v>28</v>
      </c>
      <c r="K4316" s="11" t="s">
        <v>28</v>
      </c>
      <c r="L4316" s="11" t="s">
        <v>28</v>
      </c>
      <c r="M4316" s="11" t="s">
        <v>28</v>
      </c>
      <c r="N4316" s="8">
        <v>44450</v>
      </c>
      <c r="O4316" s="9" t="s">
        <v>52</v>
      </c>
      <c r="P4316" s="12" t="s">
        <v>13953</v>
      </c>
      <c r="Q4316" s="9" t="s">
        <v>37</v>
      </c>
      <c r="R4316" s="14" t="str">
        <f>HYPERLINK("https://my.pitchbook.com?c=196712-02T","View Company Online")</f>
        <v>View Company Online</v>
      </c>
    </row>
    <row r="4317" spans="1:18" hidden="1" x14ac:dyDescent="0.3">
      <c r="A4317" s="15" t="s">
        <v>13954</v>
      </c>
      <c r="B4317" s="15" t="s">
        <v>13955</v>
      </c>
      <c r="C4317" s="18" t="s">
        <v>28</v>
      </c>
      <c r="D4317" s="15" t="s">
        <v>13956</v>
      </c>
      <c r="E4317" s="18" t="s">
        <v>28</v>
      </c>
      <c r="F4317" s="19" t="s">
        <v>28</v>
      </c>
      <c r="G4317" s="19" t="s">
        <v>28</v>
      </c>
      <c r="H4317" s="19" t="s">
        <v>28</v>
      </c>
      <c r="I4317" s="18" t="s">
        <v>28</v>
      </c>
      <c r="J4317" s="18" t="s">
        <v>28</v>
      </c>
      <c r="K4317" s="18">
        <v>1.2</v>
      </c>
      <c r="L4317" s="18" t="s">
        <v>28</v>
      </c>
      <c r="M4317" s="18" t="s">
        <v>28</v>
      </c>
      <c r="N4317" s="17">
        <v>44449</v>
      </c>
      <c r="O4317" s="15" t="s">
        <v>52</v>
      </c>
      <c r="P4317" s="16" t="s">
        <v>1880</v>
      </c>
      <c r="Q4317" s="15" t="s">
        <v>37</v>
      </c>
      <c r="R4317" s="13" t="str">
        <f>HYPERLINK("https://my.pitchbook.com?c=180741-07T","View Company Online")</f>
        <v>View Company Online</v>
      </c>
    </row>
    <row r="4318" spans="1:18" hidden="1" x14ac:dyDescent="0.3">
      <c r="A4318" s="9" t="s">
        <v>13957</v>
      </c>
      <c r="B4318" s="9" t="s">
        <v>13958</v>
      </c>
      <c r="C4318" s="11" t="s">
        <v>28</v>
      </c>
      <c r="D4318" s="9" t="s">
        <v>13959</v>
      </c>
      <c r="E4318" s="11" t="s">
        <v>28</v>
      </c>
      <c r="F4318" s="10" t="s">
        <v>28</v>
      </c>
      <c r="G4318" s="10" t="s">
        <v>28</v>
      </c>
      <c r="H4318" s="10" t="s">
        <v>28</v>
      </c>
      <c r="I4318" s="11" t="s">
        <v>28</v>
      </c>
      <c r="J4318" s="11" t="s">
        <v>28</v>
      </c>
      <c r="K4318" s="11" t="s">
        <v>28</v>
      </c>
      <c r="L4318" s="11" t="s">
        <v>28</v>
      </c>
      <c r="M4318" s="11" t="s">
        <v>28</v>
      </c>
      <c r="N4318" s="8">
        <v>44449</v>
      </c>
      <c r="O4318" s="9" t="s">
        <v>30</v>
      </c>
      <c r="P4318" s="12" t="s">
        <v>3052</v>
      </c>
      <c r="Q4318" s="9" t="s">
        <v>37</v>
      </c>
      <c r="R4318" s="14" t="str">
        <f>HYPERLINK("https://my.pitchbook.com?c=179932-06T","View Company Online")</f>
        <v>View Company Online</v>
      </c>
    </row>
    <row r="4319" spans="1:18" hidden="1" x14ac:dyDescent="0.3">
      <c r="A4319" s="15" t="s">
        <v>13960</v>
      </c>
      <c r="B4319" s="15" t="s">
        <v>13961</v>
      </c>
      <c r="C4319" s="18" t="s">
        <v>28</v>
      </c>
      <c r="D4319" s="15" t="s">
        <v>13962</v>
      </c>
      <c r="E4319" s="18" t="s">
        <v>28</v>
      </c>
      <c r="F4319" s="19">
        <v>1025</v>
      </c>
      <c r="G4319" s="19">
        <v>1025</v>
      </c>
      <c r="H4319" s="19">
        <v>1025</v>
      </c>
      <c r="I4319" s="18" t="s">
        <v>28</v>
      </c>
      <c r="J4319" s="18" t="s">
        <v>28</v>
      </c>
      <c r="K4319" s="18">
        <v>1250</v>
      </c>
      <c r="L4319" s="18">
        <v>0.82</v>
      </c>
      <c r="M4319" s="18" t="s">
        <v>28</v>
      </c>
      <c r="N4319" s="17">
        <v>44449</v>
      </c>
      <c r="O4319" s="15" t="s">
        <v>30</v>
      </c>
      <c r="P4319" s="16" t="s">
        <v>5140</v>
      </c>
      <c r="Q4319" s="15" t="s">
        <v>316</v>
      </c>
      <c r="R4319" s="13" t="str">
        <f>HYPERLINK("https://my.pitchbook.com?c=170878-96T","View Company Online")</f>
        <v>View Company Online</v>
      </c>
    </row>
    <row r="4320" spans="1:18" hidden="1" x14ac:dyDescent="0.3">
      <c r="A4320" s="9" t="s">
        <v>13963</v>
      </c>
      <c r="B4320" s="9" t="s">
        <v>13964</v>
      </c>
      <c r="C4320" s="11" t="s">
        <v>28</v>
      </c>
      <c r="D4320" s="9" t="s">
        <v>13965</v>
      </c>
      <c r="E4320" s="11" t="s">
        <v>28</v>
      </c>
      <c r="F4320" s="10" t="s">
        <v>28</v>
      </c>
      <c r="G4320" s="10">
        <v>1.71</v>
      </c>
      <c r="H4320" s="10" t="s">
        <v>28</v>
      </c>
      <c r="I4320" s="11" t="s">
        <v>28</v>
      </c>
      <c r="J4320" s="11" t="s">
        <v>28</v>
      </c>
      <c r="K4320" s="11" t="s">
        <v>28</v>
      </c>
      <c r="L4320" s="11" t="s">
        <v>28</v>
      </c>
      <c r="M4320" s="11" t="s">
        <v>28</v>
      </c>
      <c r="N4320" s="8">
        <v>44449</v>
      </c>
      <c r="O4320" s="9" t="s">
        <v>79</v>
      </c>
      <c r="P4320" s="12" t="s">
        <v>13966</v>
      </c>
      <c r="Q4320" s="9" t="s">
        <v>75</v>
      </c>
      <c r="R4320" s="14" t="str">
        <f>HYPERLINK("https://my.pitchbook.com?c=179907-94T","View Company Online")</f>
        <v>View Company Online</v>
      </c>
    </row>
    <row r="4321" spans="1:18" hidden="1" x14ac:dyDescent="0.3">
      <c r="A4321" s="15" t="s">
        <v>13967</v>
      </c>
      <c r="B4321" s="15" t="s">
        <v>13968</v>
      </c>
      <c r="C4321" s="18" t="s">
        <v>28</v>
      </c>
      <c r="D4321" s="15" t="s">
        <v>13969</v>
      </c>
      <c r="E4321" s="18" t="s">
        <v>28</v>
      </c>
      <c r="F4321" s="19" t="s">
        <v>28</v>
      </c>
      <c r="G4321" s="19" t="s">
        <v>28</v>
      </c>
      <c r="H4321" s="19" t="s">
        <v>28</v>
      </c>
      <c r="I4321" s="18" t="s">
        <v>28</v>
      </c>
      <c r="J4321" s="18" t="s">
        <v>28</v>
      </c>
      <c r="K4321" s="18" t="s">
        <v>28</v>
      </c>
      <c r="L4321" s="18" t="s">
        <v>28</v>
      </c>
      <c r="M4321" s="18" t="s">
        <v>28</v>
      </c>
      <c r="N4321" s="17">
        <v>44449</v>
      </c>
      <c r="O4321" s="15" t="s">
        <v>30</v>
      </c>
      <c r="P4321" s="16" t="s">
        <v>12873</v>
      </c>
      <c r="Q4321" s="15" t="s">
        <v>245</v>
      </c>
      <c r="R4321" s="13" t="str">
        <f>HYPERLINK("https://my.pitchbook.com?c=211838-86T","View Company Online")</f>
        <v>View Company Online</v>
      </c>
    </row>
    <row r="4322" spans="1:18" hidden="1" x14ac:dyDescent="0.3">
      <c r="A4322" s="9" t="s">
        <v>13970</v>
      </c>
      <c r="B4322" s="9" t="s">
        <v>13971</v>
      </c>
      <c r="C4322" s="11" t="s">
        <v>28</v>
      </c>
      <c r="D4322" s="9" t="s">
        <v>13972</v>
      </c>
      <c r="E4322" s="11" t="s">
        <v>28</v>
      </c>
      <c r="F4322" s="10" t="s">
        <v>28</v>
      </c>
      <c r="G4322" s="10">
        <v>0.17</v>
      </c>
      <c r="H4322" s="10" t="s">
        <v>28</v>
      </c>
      <c r="I4322" s="11" t="s">
        <v>28</v>
      </c>
      <c r="J4322" s="11" t="s">
        <v>28</v>
      </c>
      <c r="K4322" s="11" t="s">
        <v>28</v>
      </c>
      <c r="L4322" s="11" t="s">
        <v>28</v>
      </c>
      <c r="M4322" s="11" t="s">
        <v>28</v>
      </c>
      <c r="N4322" s="8">
        <v>44449</v>
      </c>
      <c r="O4322" s="9" t="s">
        <v>379</v>
      </c>
      <c r="P4322" s="12" t="s">
        <v>13973</v>
      </c>
      <c r="Q4322" s="9" t="s">
        <v>3912</v>
      </c>
      <c r="R4322" s="14" t="str">
        <f>HYPERLINK("https://my.pitchbook.com?c=180088-84T","View Company Online")</f>
        <v>View Company Online</v>
      </c>
    </row>
    <row r="4323" spans="1:18" hidden="1" x14ac:dyDescent="0.3">
      <c r="A4323" s="15" t="s">
        <v>13974</v>
      </c>
      <c r="B4323" s="15" t="s">
        <v>3633</v>
      </c>
      <c r="C4323" s="18" t="s">
        <v>28</v>
      </c>
      <c r="D4323" s="15" t="s">
        <v>3634</v>
      </c>
      <c r="E4323" s="18" t="s">
        <v>28</v>
      </c>
      <c r="F4323" s="19" t="s">
        <v>28</v>
      </c>
      <c r="G4323" s="19">
        <v>0.05</v>
      </c>
      <c r="H4323" s="19" t="s">
        <v>28</v>
      </c>
      <c r="I4323" s="18" t="s">
        <v>28</v>
      </c>
      <c r="J4323" s="18" t="s">
        <v>28</v>
      </c>
      <c r="K4323" s="18" t="s">
        <v>28</v>
      </c>
      <c r="L4323" s="18" t="s">
        <v>28</v>
      </c>
      <c r="M4323" s="18" t="s">
        <v>28</v>
      </c>
      <c r="N4323" s="17">
        <v>44448</v>
      </c>
      <c r="O4323" s="15" t="s">
        <v>8420</v>
      </c>
      <c r="P4323" s="16" t="s">
        <v>28</v>
      </c>
      <c r="Q4323" s="15" t="s">
        <v>419</v>
      </c>
      <c r="R4323" s="13" t="str">
        <f>HYPERLINK("https://my.pitchbook.com?c=265001-68T","View Company Online")</f>
        <v>View Company Online</v>
      </c>
    </row>
    <row r="4324" spans="1:18" hidden="1" x14ac:dyDescent="0.3">
      <c r="A4324" s="9" t="s">
        <v>13975</v>
      </c>
      <c r="B4324" s="9" t="s">
        <v>13976</v>
      </c>
      <c r="C4324" s="11" t="s">
        <v>28</v>
      </c>
      <c r="D4324" s="9" t="s">
        <v>13977</v>
      </c>
      <c r="E4324" s="11" t="s">
        <v>28</v>
      </c>
      <c r="F4324" s="10">
        <v>0.39</v>
      </c>
      <c r="G4324" s="10">
        <v>0.39</v>
      </c>
      <c r="H4324" s="10">
        <v>0.39</v>
      </c>
      <c r="I4324" s="11" t="s">
        <v>28</v>
      </c>
      <c r="J4324" s="11" t="s">
        <v>28</v>
      </c>
      <c r="K4324" s="11" t="s">
        <v>28</v>
      </c>
      <c r="L4324" s="11" t="s">
        <v>28</v>
      </c>
      <c r="M4324" s="11" t="s">
        <v>28</v>
      </c>
      <c r="N4324" s="8">
        <v>44448</v>
      </c>
      <c r="O4324" s="9" t="s">
        <v>30</v>
      </c>
      <c r="P4324" s="12" t="s">
        <v>8911</v>
      </c>
      <c r="Q4324" s="9" t="s">
        <v>37</v>
      </c>
      <c r="R4324" s="14" t="str">
        <f>HYPERLINK("https://my.pitchbook.com?c=211764-70T","View Company Online")</f>
        <v>View Company Online</v>
      </c>
    </row>
    <row r="4325" spans="1:18" hidden="1" x14ac:dyDescent="0.3">
      <c r="A4325" s="15" t="s">
        <v>13978</v>
      </c>
      <c r="B4325" s="15" t="s">
        <v>13979</v>
      </c>
      <c r="C4325" s="18" t="s">
        <v>28</v>
      </c>
      <c r="D4325" s="15" t="s">
        <v>13980</v>
      </c>
      <c r="E4325" s="18" t="s">
        <v>28</v>
      </c>
      <c r="F4325" s="19" t="s">
        <v>28</v>
      </c>
      <c r="G4325" s="19" t="s">
        <v>28</v>
      </c>
      <c r="H4325" s="19" t="s">
        <v>28</v>
      </c>
      <c r="I4325" s="18" t="s">
        <v>28</v>
      </c>
      <c r="J4325" s="18" t="s">
        <v>28</v>
      </c>
      <c r="K4325" s="18" t="s">
        <v>28</v>
      </c>
      <c r="L4325" s="18" t="s">
        <v>28</v>
      </c>
      <c r="M4325" s="18" t="s">
        <v>28</v>
      </c>
      <c r="N4325" s="17">
        <v>44448</v>
      </c>
      <c r="O4325" s="15" t="s">
        <v>30</v>
      </c>
      <c r="P4325" s="16" t="s">
        <v>13981</v>
      </c>
      <c r="Q4325" s="15" t="s">
        <v>105</v>
      </c>
      <c r="R4325" s="13" t="str">
        <f>HYPERLINK("https://my.pitchbook.com?c=178567-39T","View Company Online")</f>
        <v>View Company Online</v>
      </c>
    </row>
    <row r="4326" spans="1:18" hidden="1" x14ac:dyDescent="0.3">
      <c r="A4326" s="9" t="s">
        <v>13982</v>
      </c>
      <c r="B4326" s="9" t="s">
        <v>13983</v>
      </c>
      <c r="C4326" s="11" t="s">
        <v>28</v>
      </c>
      <c r="D4326" s="9" t="s">
        <v>13984</v>
      </c>
      <c r="E4326" s="11" t="s">
        <v>28</v>
      </c>
      <c r="F4326" s="10" t="s">
        <v>28</v>
      </c>
      <c r="G4326" s="10" t="s">
        <v>28</v>
      </c>
      <c r="H4326" s="10" t="s">
        <v>28</v>
      </c>
      <c r="I4326" s="11" t="s">
        <v>28</v>
      </c>
      <c r="J4326" s="11" t="s">
        <v>28</v>
      </c>
      <c r="K4326" s="11" t="s">
        <v>28</v>
      </c>
      <c r="L4326" s="11" t="s">
        <v>28</v>
      </c>
      <c r="M4326" s="11" t="s">
        <v>28</v>
      </c>
      <c r="N4326" s="8">
        <v>44448</v>
      </c>
      <c r="O4326" s="9" t="s">
        <v>30</v>
      </c>
      <c r="P4326" s="12" t="s">
        <v>13985</v>
      </c>
      <c r="Q4326" s="9" t="s">
        <v>37</v>
      </c>
      <c r="R4326" s="14" t="str">
        <f>HYPERLINK("https://my.pitchbook.com?c=211310-11T","View Company Online")</f>
        <v>View Company Online</v>
      </c>
    </row>
    <row r="4327" spans="1:18" hidden="1" x14ac:dyDescent="0.3">
      <c r="A4327" s="15" t="s">
        <v>13986</v>
      </c>
      <c r="B4327" s="15" t="s">
        <v>13987</v>
      </c>
      <c r="C4327" s="18" t="s">
        <v>28</v>
      </c>
      <c r="D4327" s="15" t="s">
        <v>13988</v>
      </c>
      <c r="E4327" s="18" t="s">
        <v>28</v>
      </c>
      <c r="F4327" s="19">
        <v>94.4</v>
      </c>
      <c r="G4327" s="19">
        <v>94.4</v>
      </c>
      <c r="H4327" s="19">
        <v>94.4</v>
      </c>
      <c r="I4327" s="18" t="s">
        <v>28</v>
      </c>
      <c r="J4327" s="18" t="s">
        <v>28</v>
      </c>
      <c r="K4327" s="18" t="s">
        <v>28</v>
      </c>
      <c r="L4327" s="18" t="s">
        <v>28</v>
      </c>
      <c r="M4327" s="18" t="s">
        <v>28</v>
      </c>
      <c r="N4327" s="17">
        <v>44448</v>
      </c>
      <c r="O4327" s="15" t="s">
        <v>41</v>
      </c>
      <c r="P4327" s="16" t="s">
        <v>13989</v>
      </c>
      <c r="Q4327" s="15" t="s">
        <v>13990</v>
      </c>
      <c r="R4327" s="13" t="str">
        <f>HYPERLINK("https://my.pitchbook.com?c=220958-38T","View Company Online")</f>
        <v>View Company Online</v>
      </c>
    </row>
    <row r="4328" spans="1:18" hidden="1" x14ac:dyDescent="0.3">
      <c r="A4328" s="9" t="s">
        <v>13991</v>
      </c>
      <c r="B4328" s="9" t="s">
        <v>13992</v>
      </c>
      <c r="C4328" s="11" t="s">
        <v>28</v>
      </c>
      <c r="D4328" s="9" t="s">
        <v>13993</v>
      </c>
      <c r="E4328" s="11" t="s">
        <v>28</v>
      </c>
      <c r="F4328" s="10" t="s">
        <v>28</v>
      </c>
      <c r="G4328" s="10" t="s">
        <v>28</v>
      </c>
      <c r="H4328" s="10" t="s">
        <v>28</v>
      </c>
      <c r="I4328" s="11" t="s">
        <v>28</v>
      </c>
      <c r="J4328" s="11" t="s">
        <v>28</v>
      </c>
      <c r="K4328" s="11" t="s">
        <v>28</v>
      </c>
      <c r="L4328" s="11" t="s">
        <v>28</v>
      </c>
      <c r="M4328" s="11" t="s">
        <v>28</v>
      </c>
      <c r="N4328" s="8">
        <v>44448</v>
      </c>
      <c r="O4328" s="9" t="s">
        <v>52</v>
      </c>
      <c r="P4328" s="12" t="s">
        <v>13994</v>
      </c>
      <c r="Q4328" s="9" t="s">
        <v>8035</v>
      </c>
      <c r="R4328" s="14" t="str">
        <f>HYPERLINK("https://my.pitchbook.com?c=185455-18T","View Company Online")</f>
        <v>View Company Online</v>
      </c>
    </row>
    <row r="4329" spans="1:18" hidden="1" x14ac:dyDescent="0.3">
      <c r="A4329" s="15" t="s">
        <v>13995</v>
      </c>
      <c r="B4329" s="15" t="s">
        <v>4616</v>
      </c>
      <c r="C4329" s="18" t="s">
        <v>28</v>
      </c>
      <c r="D4329" s="15" t="s">
        <v>4617</v>
      </c>
      <c r="E4329" s="18">
        <v>4.12</v>
      </c>
      <c r="F4329" s="19" t="s">
        <v>28</v>
      </c>
      <c r="G4329" s="19">
        <v>76.11</v>
      </c>
      <c r="H4329" s="19" t="s">
        <v>28</v>
      </c>
      <c r="I4329" s="18">
        <v>10.11</v>
      </c>
      <c r="J4329" s="18" t="s">
        <v>28</v>
      </c>
      <c r="K4329" s="18">
        <v>49.71</v>
      </c>
      <c r="L4329" s="18" t="s">
        <v>28</v>
      </c>
      <c r="M4329" s="18">
        <v>1.77</v>
      </c>
      <c r="N4329" s="17">
        <v>44448</v>
      </c>
      <c r="O4329" s="15" t="s">
        <v>423</v>
      </c>
      <c r="P4329" s="16" t="s">
        <v>28</v>
      </c>
      <c r="Q4329" s="15" t="s">
        <v>37</v>
      </c>
      <c r="R4329" s="13" t="str">
        <f>HYPERLINK("https://my.pitchbook.com?c=180738-91T","View Company Online")</f>
        <v>View Company Online</v>
      </c>
    </row>
    <row r="4330" spans="1:18" hidden="1" x14ac:dyDescent="0.3">
      <c r="A4330" s="9" t="s">
        <v>13996</v>
      </c>
      <c r="B4330" s="9" t="s">
        <v>13997</v>
      </c>
      <c r="C4330" s="11" t="s">
        <v>28</v>
      </c>
      <c r="D4330" s="9" t="s">
        <v>13998</v>
      </c>
      <c r="E4330" s="11" t="s">
        <v>28</v>
      </c>
      <c r="F4330" s="10" t="s">
        <v>28</v>
      </c>
      <c r="G4330" s="10" t="s">
        <v>28</v>
      </c>
      <c r="H4330" s="10" t="s">
        <v>28</v>
      </c>
      <c r="I4330" s="11" t="s">
        <v>28</v>
      </c>
      <c r="J4330" s="11" t="s">
        <v>28</v>
      </c>
      <c r="K4330" s="11">
        <v>2.08</v>
      </c>
      <c r="L4330" s="11" t="s">
        <v>28</v>
      </c>
      <c r="M4330" s="11">
        <v>2</v>
      </c>
      <c r="N4330" s="8">
        <v>44448</v>
      </c>
      <c r="O4330" s="9" t="s">
        <v>173</v>
      </c>
      <c r="P4330" s="12" t="s">
        <v>28</v>
      </c>
      <c r="Q4330" s="9" t="s">
        <v>174</v>
      </c>
      <c r="R4330" s="14" t="str">
        <f>HYPERLINK("https://my.pitchbook.com?c=251562-25T","View Company Online")</f>
        <v>View Company Online</v>
      </c>
    </row>
    <row r="4331" spans="1:18" hidden="1" x14ac:dyDescent="0.3">
      <c r="A4331" s="15" t="s">
        <v>13999</v>
      </c>
      <c r="B4331" s="15" t="s">
        <v>14000</v>
      </c>
      <c r="C4331" s="18" t="s">
        <v>28</v>
      </c>
      <c r="D4331" s="15" t="s">
        <v>14001</v>
      </c>
      <c r="E4331" s="18" t="s">
        <v>28</v>
      </c>
      <c r="F4331" s="19">
        <v>42.83</v>
      </c>
      <c r="G4331" s="19">
        <v>34.26</v>
      </c>
      <c r="H4331" s="19">
        <v>42.83</v>
      </c>
      <c r="I4331" s="18" t="s">
        <v>28</v>
      </c>
      <c r="J4331" s="18" t="s">
        <v>28</v>
      </c>
      <c r="K4331" s="18" t="s">
        <v>28</v>
      </c>
      <c r="L4331" s="18" t="s">
        <v>28</v>
      </c>
      <c r="M4331" s="18" t="s">
        <v>28</v>
      </c>
      <c r="N4331" s="17">
        <v>44447</v>
      </c>
      <c r="O4331" s="15" t="s">
        <v>30</v>
      </c>
      <c r="P4331" s="16" t="s">
        <v>10268</v>
      </c>
      <c r="Q4331" s="15" t="s">
        <v>69</v>
      </c>
      <c r="R4331" s="13" t="str">
        <f>HYPERLINK("https://my.pitchbook.com?c=211028-23T","View Company Online")</f>
        <v>View Company Online</v>
      </c>
    </row>
    <row r="4332" spans="1:18" hidden="1" x14ac:dyDescent="0.3">
      <c r="A4332" s="9" t="s">
        <v>14002</v>
      </c>
      <c r="B4332" s="9" t="s">
        <v>14003</v>
      </c>
      <c r="C4332" s="11" t="s">
        <v>28</v>
      </c>
      <c r="D4332" s="9" t="s">
        <v>14004</v>
      </c>
      <c r="E4332" s="11" t="s">
        <v>28</v>
      </c>
      <c r="F4332" s="10" t="s">
        <v>28</v>
      </c>
      <c r="G4332" s="10" t="s">
        <v>28</v>
      </c>
      <c r="H4332" s="10" t="s">
        <v>28</v>
      </c>
      <c r="I4332" s="11" t="s">
        <v>28</v>
      </c>
      <c r="J4332" s="11" t="s">
        <v>28</v>
      </c>
      <c r="K4332" s="11" t="s">
        <v>28</v>
      </c>
      <c r="L4332" s="11" t="s">
        <v>28</v>
      </c>
      <c r="M4332" s="11" t="s">
        <v>28</v>
      </c>
      <c r="N4332" s="8">
        <v>44447</v>
      </c>
      <c r="O4332" s="9" t="s">
        <v>30</v>
      </c>
      <c r="P4332" s="12" t="s">
        <v>14005</v>
      </c>
      <c r="Q4332" s="9" t="s">
        <v>119</v>
      </c>
      <c r="R4332" s="14" t="str">
        <f>HYPERLINK("https://my.pitchbook.com?c=211781-35T","View Company Online")</f>
        <v>View Company Online</v>
      </c>
    </row>
    <row r="4333" spans="1:18" hidden="1" x14ac:dyDescent="0.3">
      <c r="A4333" s="15" t="s">
        <v>14006</v>
      </c>
      <c r="B4333" s="15" t="s">
        <v>5384</v>
      </c>
      <c r="C4333" s="18" t="s">
        <v>28</v>
      </c>
      <c r="D4333" s="15" t="s">
        <v>5385</v>
      </c>
      <c r="E4333" s="18" t="s">
        <v>28</v>
      </c>
      <c r="F4333" s="19" t="s">
        <v>28</v>
      </c>
      <c r="G4333" s="19">
        <v>325.66000000000003</v>
      </c>
      <c r="H4333" s="19" t="s">
        <v>28</v>
      </c>
      <c r="I4333" s="18" t="s">
        <v>28</v>
      </c>
      <c r="J4333" s="18" t="s">
        <v>28</v>
      </c>
      <c r="K4333" s="18" t="s">
        <v>28</v>
      </c>
      <c r="L4333" s="18" t="s">
        <v>28</v>
      </c>
      <c r="M4333" s="18" t="s">
        <v>28</v>
      </c>
      <c r="N4333" s="17">
        <v>44447</v>
      </c>
      <c r="O4333" s="15" t="s">
        <v>79</v>
      </c>
      <c r="P4333" s="16" t="s">
        <v>14007</v>
      </c>
      <c r="Q4333" s="15" t="s">
        <v>37</v>
      </c>
      <c r="R4333" s="13" t="str">
        <f>HYPERLINK("https://my.pitchbook.com?c=171956-44T","View Company Online")</f>
        <v>View Company Online</v>
      </c>
    </row>
    <row r="4334" spans="1:18" hidden="1" x14ac:dyDescent="0.3">
      <c r="A4334" s="9" t="s">
        <v>14008</v>
      </c>
      <c r="B4334" s="9" t="s">
        <v>14009</v>
      </c>
      <c r="C4334" s="11" t="s">
        <v>28</v>
      </c>
      <c r="D4334" s="9" t="s">
        <v>14010</v>
      </c>
      <c r="E4334" s="11" t="s">
        <v>28</v>
      </c>
      <c r="F4334" s="10" t="s">
        <v>28</v>
      </c>
      <c r="G4334" s="10" t="s">
        <v>28</v>
      </c>
      <c r="H4334" s="10" t="s">
        <v>28</v>
      </c>
      <c r="I4334" s="11" t="s">
        <v>28</v>
      </c>
      <c r="J4334" s="11" t="s">
        <v>28</v>
      </c>
      <c r="K4334" s="11" t="s">
        <v>28</v>
      </c>
      <c r="L4334" s="11" t="s">
        <v>28</v>
      </c>
      <c r="M4334" s="11" t="s">
        <v>28</v>
      </c>
      <c r="N4334" s="8">
        <v>44447</v>
      </c>
      <c r="O4334" s="9" t="s">
        <v>30</v>
      </c>
      <c r="P4334" s="12" t="s">
        <v>9779</v>
      </c>
      <c r="Q4334" s="9" t="s">
        <v>37</v>
      </c>
      <c r="R4334" s="14" t="str">
        <f>HYPERLINK("https://my.pitchbook.com?c=214738-39T","View Company Online")</f>
        <v>View Company Online</v>
      </c>
    </row>
    <row r="4335" spans="1:18" hidden="1" x14ac:dyDescent="0.3">
      <c r="A4335" s="15" t="s">
        <v>14011</v>
      </c>
      <c r="B4335" s="15" t="s">
        <v>714</v>
      </c>
      <c r="C4335" s="18" t="s">
        <v>28</v>
      </c>
      <c r="D4335" s="15" t="s">
        <v>715</v>
      </c>
      <c r="E4335" s="18" t="s">
        <v>28</v>
      </c>
      <c r="F4335" s="19" t="s">
        <v>28</v>
      </c>
      <c r="G4335" s="19">
        <v>0.28999999999999998</v>
      </c>
      <c r="H4335" s="19" t="s">
        <v>28</v>
      </c>
      <c r="I4335" s="18" t="s">
        <v>28</v>
      </c>
      <c r="J4335" s="18" t="s">
        <v>28</v>
      </c>
      <c r="K4335" s="18" t="s">
        <v>28</v>
      </c>
      <c r="L4335" s="18" t="s">
        <v>28</v>
      </c>
      <c r="M4335" s="18" t="s">
        <v>28</v>
      </c>
      <c r="N4335" s="17">
        <v>44447</v>
      </c>
      <c r="O4335" s="15" t="s">
        <v>79</v>
      </c>
      <c r="P4335" s="16" t="s">
        <v>234</v>
      </c>
      <c r="Q4335" s="15" t="s">
        <v>75</v>
      </c>
      <c r="R4335" s="13" t="str">
        <f>HYPERLINK("https://my.pitchbook.com?c=194502-34T","View Company Online")</f>
        <v>View Company Online</v>
      </c>
    </row>
    <row r="4336" spans="1:18" hidden="1" x14ac:dyDescent="0.3">
      <c r="A4336" s="9" t="s">
        <v>14012</v>
      </c>
      <c r="B4336" s="9" t="s">
        <v>14013</v>
      </c>
      <c r="C4336" s="11" t="s">
        <v>28</v>
      </c>
      <c r="D4336" s="9" t="s">
        <v>14014</v>
      </c>
      <c r="E4336" s="11" t="s">
        <v>28</v>
      </c>
      <c r="F4336" s="10" t="s">
        <v>28</v>
      </c>
      <c r="G4336" s="10" t="s">
        <v>28</v>
      </c>
      <c r="H4336" s="10" t="s">
        <v>28</v>
      </c>
      <c r="I4336" s="11" t="s">
        <v>28</v>
      </c>
      <c r="J4336" s="11" t="s">
        <v>28</v>
      </c>
      <c r="K4336" s="11" t="s">
        <v>28</v>
      </c>
      <c r="L4336" s="11" t="s">
        <v>28</v>
      </c>
      <c r="M4336" s="11" t="s">
        <v>28</v>
      </c>
      <c r="N4336" s="8">
        <v>44447</v>
      </c>
      <c r="O4336" s="9" t="s">
        <v>30</v>
      </c>
      <c r="P4336" s="12" t="s">
        <v>13488</v>
      </c>
      <c r="Q4336" s="9" t="s">
        <v>424</v>
      </c>
      <c r="R4336" s="14" t="str">
        <f>HYPERLINK("https://my.pitchbook.com?c=209509-48T","View Company Online")</f>
        <v>View Company Online</v>
      </c>
    </row>
    <row r="4337" spans="1:18" hidden="1" x14ac:dyDescent="0.3">
      <c r="A4337" s="15" t="s">
        <v>14015</v>
      </c>
      <c r="B4337" s="15" t="s">
        <v>14016</v>
      </c>
      <c r="C4337" s="18" t="s">
        <v>28</v>
      </c>
      <c r="D4337" s="15" t="s">
        <v>14017</v>
      </c>
      <c r="E4337" s="18" t="s">
        <v>28</v>
      </c>
      <c r="F4337" s="19" t="s">
        <v>28</v>
      </c>
      <c r="G4337" s="19">
        <v>0.13</v>
      </c>
      <c r="H4337" s="19" t="s">
        <v>28</v>
      </c>
      <c r="I4337" s="18" t="s">
        <v>28</v>
      </c>
      <c r="J4337" s="18" t="s">
        <v>28</v>
      </c>
      <c r="K4337" s="18" t="s">
        <v>28</v>
      </c>
      <c r="L4337" s="18" t="s">
        <v>28</v>
      </c>
      <c r="M4337" s="18" t="s">
        <v>28</v>
      </c>
      <c r="N4337" s="17">
        <v>44445</v>
      </c>
      <c r="O4337" s="15" t="s">
        <v>73</v>
      </c>
      <c r="P4337" s="16" t="s">
        <v>12080</v>
      </c>
      <c r="Q4337" s="15" t="s">
        <v>3973</v>
      </c>
      <c r="R4337" s="13" t="str">
        <f>HYPERLINK("https://my.pitchbook.com?c=223461-82T","View Company Online")</f>
        <v>View Company Online</v>
      </c>
    </row>
    <row r="4338" spans="1:18" hidden="1" x14ac:dyDescent="0.3">
      <c r="A4338" s="9" t="s">
        <v>14018</v>
      </c>
      <c r="B4338" s="9" t="s">
        <v>2574</v>
      </c>
      <c r="C4338" s="11" t="s">
        <v>28</v>
      </c>
      <c r="D4338" s="9" t="s">
        <v>2575</v>
      </c>
      <c r="E4338" s="11" t="s">
        <v>28</v>
      </c>
      <c r="F4338" s="10" t="s">
        <v>28</v>
      </c>
      <c r="G4338" s="10" t="s">
        <v>28</v>
      </c>
      <c r="H4338" s="10" t="s">
        <v>28</v>
      </c>
      <c r="I4338" s="11" t="s">
        <v>28</v>
      </c>
      <c r="J4338" s="11" t="s">
        <v>28</v>
      </c>
      <c r="K4338" s="11" t="s">
        <v>28</v>
      </c>
      <c r="L4338" s="11" t="s">
        <v>28</v>
      </c>
      <c r="M4338" s="11" t="s">
        <v>28</v>
      </c>
      <c r="N4338" s="8">
        <v>44445</v>
      </c>
      <c r="O4338" s="9" t="s">
        <v>30</v>
      </c>
      <c r="P4338" s="12" t="s">
        <v>28</v>
      </c>
      <c r="Q4338" s="9" t="s">
        <v>470</v>
      </c>
      <c r="R4338" s="14" t="str">
        <f>HYPERLINK("https://my.pitchbook.com?c=180342-46T","View Company Online")</f>
        <v>View Company Online</v>
      </c>
    </row>
    <row r="4339" spans="1:18" hidden="1" x14ac:dyDescent="0.3">
      <c r="A4339" s="15" t="s">
        <v>14019</v>
      </c>
      <c r="B4339" s="15" t="s">
        <v>14020</v>
      </c>
      <c r="C4339" s="18" t="s">
        <v>28</v>
      </c>
      <c r="D4339" s="15" t="s">
        <v>14021</v>
      </c>
      <c r="E4339" s="18" t="s">
        <v>28</v>
      </c>
      <c r="F4339" s="19" t="s">
        <v>28</v>
      </c>
      <c r="G4339" s="19">
        <v>0.28999999999999998</v>
      </c>
      <c r="H4339" s="19" t="s">
        <v>28</v>
      </c>
      <c r="I4339" s="18" t="s">
        <v>28</v>
      </c>
      <c r="J4339" s="18" t="s">
        <v>28</v>
      </c>
      <c r="K4339" s="18" t="s">
        <v>28</v>
      </c>
      <c r="L4339" s="18" t="s">
        <v>28</v>
      </c>
      <c r="M4339" s="18" t="s">
        <v>28</v>
      </c>
      <c r="N4339" s="17">
        <v>44443</v>
      </c>
      <c r="O4339" s="15" t="s">
        <v>379</v>
      </c>
      <c r="P4339" s="16" t="s">
        <v>28</v>
      </c>
      <c r="Q4339" s="15" t="s">
        <v>95</v>
      </c>
      <c r="R4339" s="13" t="str">
        <f>HYPERLINK("https://my.pitchbook.com?c=179557-57T","View Company Online")</f>
        <v>View Company Online</v>
      </c>
    </row>
    <row r="4340" spans="1:18" hidden="1" x14ac:dyDescent="0.3">
      <c r="A4340" s="9" t="s">
        <v>14022</v>
      </c>
      <c r="B4340" s="9" t="s">
        <v>7637</v>
      </c>
      <c r="C4340" s="11" t="s">
        <v>28</v>
      </c>
      <c r="D4340" s="9" t="s">
        <v>7638</v>
      </c>
      <c r="E4340" s="11" t="s">
        <v>28</v>
      </c>
      <c r="F4340" s="10" t="s">
        <v>28</v>
      </c>
      <c r="G4340" s="10" t="s">
        <v>28</v>
      </c>
      <c r="H4340" s="10" t="s">
        <v>28</v>
      </c>
      <c r="I4340" s="11" t="s">
        <v>28</v>
      </c>
      <c r="J4340" s="11" t="s">
        <v>28</v>
      </c>
      <c r="K4340" s="11" t="s">
        <v>28</v>
      </c>
      <c r="L4340" s="11" t="s">
        <v>28</v>
      </c>
      <c r="M4340" s="11" t="s">
        <v>28</v>
      </c>
      <c r="N4340" s="8">
        <v>44442</v>
      </c>
      <c r="O4340" s="9" t="s">
        <v>99</v>
      </c>
      <c r="P4340" s="12" t="s">
        <v>14023</v>
      </c>
      <c r="Q4340" s="9" t="s">
        <v>75</v>
      </c>
      <c r="R4340" s="14" t="str">
        <f>HYPERLINK("https://my.pitchbook.com?c=105405-22T","View Company Online")</f>
        <v>View Company Online</v>
      </c>
    </row>
    <row r="4341" spans="1:18" hidden="1" x14ac:dyDescent="0.3">
      <c r="A4341" s="15" t="s">
        <v>14024</v>
      </c>
      <c r="B4341" s="15" t="s">
        <v>14025</v>
      </c>
      <c r="C4341" s="18" t="s">
        <v>28</v>
      </c>
      <c r="D4341" s="15" t="s">
        <v>14026</v>
      </c>
      <c r="E4341" s="18" t="s">
        <v>28</v>
      </c>
      <c r="F4341" s="19" t="s">
        <v>28</v>
      </c>
      <c r="G4341" s="19" t="s">
        <v>28</v>
      </c>
      <c r="H4341" s="19" t="s">
        <v>28</v>
      </c>
      <c r="I4341" s="18" t="s">
        <v>28</v>
      </c>
      <c r="J4341" s="18" t="s">
        <v>28</v>
      </c>
      <c r="K4341" s="18" t="s">
        <v>28</v>
      </c>
      <c r="L4341" s="18" t="s">
        <v>28</v>
      </c>
      <c r="M4341" s="18" t="s">
        <v>28</v>
      </c>
      <c r="N4341" s="17">
        <v>44442</v>
      </c>
      <c r="O4341" s="15" t="s">
        <v>30</v>
      </c>
      <c r="P4341" s="16" t="s">
        <v>14027</v>
      </c>
      <c r="Q4341" s="15" t="s">
        <v>1853</v>
      </c>
      <c r="R4341" s="13" t="str">
        <f>HYPERLINK("https://my.pitchbook.com?c=188538-76T","View Company Online")</f>
        <v>View Company Online</v>
      </c>
    </row>
    <row r="4342" spans="1:18" hidden="1" x14ac:dyDescent="0.3">
      <c r="A4342" s="9" t="s">
        <v>14028</v>
      </c>
      <c r="B4342" s="9" t="s">
        <v>14029</v>
      </c>
      <c r="C4342" s="11" t="s">
        <v>28</v>
      </c>
      <c r="D4342" s="9" t="s">
        <v>14030</v>
      </c>
      <c r="E4342" s="11" t="s">
        <v>28</v>
      </c>
      <c r="F4342" s="10" t="s">
        <v>28</v>
      </c>
      <c r="G4342" s="10">
        <v>9.5</v>
      </c>
      <c r="H4342" s="10">
        <v>95.03</v>
      </c>
      <c r="I4342" s="11" t="s">
        <v>28</v>
      </c>
      <c r="J4342" s="11" t="s">
        <v>28</v>
      </c>
      <c r="K4342" s="11" t="s">
        <v>28</v>
      </c>
      <c r="L4342" s="11" t="s">
        <v>28</v>
      </c>
      <c r="M4342" s="11" t="s">
        <v>28</v>
      </c>
      <c r="N4342" s="8">
        <v>44442</v>
      </c>
      <c r="O4342" s="9" t="s">
        <v>379</v>
      </c>
      <c r="P4342" s="12" t="s">
        <v>14031</v>
      </c>
      <c r="Q4342" s="9" t="s">
        <v>2168</v>
      </c>
      <c r="R4342" s="14" t="str">
        <f>HYPERLINK("https://my.pitchbook.com?c=180646-48T","View Company Online")</f>
        <v>View Company Online</v>
      </c>
    </row>
    <row r="4343" spans="1:18" hidden="1" x14ac:dyDescent="0.3">
      <c r="A4343" s="15" t="s">
        <v>14032</v>
      </c>
      <c r="B4343" s="15" t="s">
        <v>5161</v>
      </c>
      <c r="C4343" s="18" t="s">
        <v>28</v>
      </c>
      <c r="D4343" s="15" t="s">
        <v>5162</v>
      </c>
      <c r="E4343" s="18" t="s">
        <v>28</v>
      </c>
      <c r="F4343" s="19" t="s">
        <v>28</v>
      </c>
      <c r="G4343" s="19">
        <v>0.13</v>
      </c>
      <c r="H4343" s="19" t="s">
        <v>28</v>
      </c>
      <c r="I4343" s="18" t="s">
        <v>28</v>
      </c>
      <c r="J4343" s="18" t="s">
        <v>28</v>
      </c>
      <c r="K4343" s="18" t="s">
        <v>28</v>
      </c>
      <c r="L4343" s="18" t="s">
        <v>28</v>
      </c>
      <c r="M4343" s="18" t="s">
        <v>28</v>
      </c>
      <c r="N4343" s="17">
        <v>44441</v>
      </c>
      <c r="O4343" s="15" t="s">
        <v>52</v>
      </c>
      <c r="P4343" s="16" t="s">
        <v>3944</v>
      </c>
      <c r="Q4343" s="15" t="s">
        <v>37</v>
      </c>
      <c r="R4343" s="13" t="str">
        <f>HYPERLINK("https://my.pitchbook.com?c=185176-81T","View Company Online")</f>
        <v>View Company Online</v>
      </c>
    </row>
    <row r="4344" spans="1:18" hidden="1" x14ac:dyDescent="0.3">
      <c r="A4344" s="9" t="s">
        <v>14033</v>
      </c>
      <c r="B4344" s="9" t="s">
        <v>14034</v>
      </c>
      <c r="C4344" s="11" t="s">
        <v>28</v>
      </c>
      <c r="D4344" s="9" t="s">
        <v>14035</v>
      </c>
      <c r="E4344" s="11" t="s">
        <v>28</v>
      </c>
      <c r="F4344" s="10" t="s">
        <v>28</v>
      </c>
      <c r="G4344" s="10">
        <v>0.28999999999999998</v>
      </c>
      <c r="H4344" s="10" t="s">
        <v>28</v>
      </c>
      <c r="I4344" s="11" t="s">
        <v>28</v>
      </c>
      <c r="J4344" s="11" t="s">
        <v>28</v>
      </c>
      <c r="K4344" s="11" t="s">
        <v>28</v>
      </c>
      <c r="L4344" s="11" t="s">
        <v>28</v>
      </c>
      <c r="M4344" s="11" t="s">
        <v>28</v>
      </c>
      <c r="N4344" s="8">
        <v>44441</v>
      </c>
      <c r="O4344" s="9" t="s">
        <v>79</v>
      </c>
      <c r="P4344" s="12" t="s">
        <v>8935</v>
      </c>
      <c r="Q4344" s="9" t="s">
        <v>75</v>
      </c>
      <c r="R4344" s="14" t="str">
        <f>HYPERLINK("https://my.pitchbook.com?c=179486-74T","View Company Online")</f>
        <v>View Company Online</v>
      </c>
    </row>
    <row r="4345" spans="1:18" hidden="1" x14ac:dyDescent="0.3">
      <c r="A4345" s="15" t="s">
        <v>14036</v>
      </c>
      <c r="B4345" s="15" t="s">
        <v>14037</v>
      </c>
      <c r="C4345" s="18" t="s">
        <v>28</v>
      </c>
      <c r="D4345" s="15" t="s">
        <v>14038</v>
      </c>
      <c r="E4345" s="18" t="s">
        <v>28</v>
      </c>
      <c r="F4345" s="19">
        <v>152.03</v>
      </c>
      <c r="G4345" s="19">
        <v>152.03</v>
      </c>
      <c r="H4345" s="19">
        <v>152.03</v>
      </c>
      <c r="I4345" s="18" t="s">
        <v>28</v>
      </c>
      <c r="J4345" s="18" t="s">
        <v>28</v>
      </c>
      <c r="K4345" s="18" t="s">
        <v>28</v>
      </c>
      <c r="L4345" s="18" t="s">
        <v>28</v>
      </c>
      <c r="M4345" s="18" t="s">
        <v>28</v>
      </c>
      <c r="N4345" s="17">
        <v>44441</v>
      </c>
      <c r="O4345" s="15" t="s">
        <v>41</v>
      </c>
      <c r="P4345" s="16" t="s">
        <v>14039</v>
      </c>
      <c r="Q4345" s="15" t="s">
        <v>32</v>
      </c>
      <c r="R4345" s="13" t="str">
        <f>HYPERLINK("https://my.pitchbook.com?c=179506-27T","View Company Online")</f>
        <v>View Company Online</v>
      </c>
    </row>
    <row r="4346" spans="1:18" hidden="1" x14ac:dyDescent="0.3">
      <c r="A4346" s="9" t="s">
        <v>14040</v>
      </c>
      <c r="B4346" s="9" t="s">
        <v>14041</v>
      </c>
      <c r="C4346" s="11" t="s">
        <v>28</v>
      </c>
      <c r="D4346" s="9" t="s">
        <v>14042</v>
      </c>
      <c r="E4346" s="11" t="s">
        <v>28</v>
      </c>
      <c r="F4346" s="10" t="s">
        <v>28</v>
      </c>
      <c r="G4346" s="10" t="s">
        <v>28</v>
      </c>
      <c r="H4346" s="10" t="s">
        <v>28</v>
      </c>
      <c r="I4346" s="11" t="s">
        <v>28</v>
      </c>
      <c r="J4346" s="11" t="s">
        <v>28</v>
      </c>
      <c r="K4346" s="11" t="s">
        <v>28</v>
      </c>
      <c r="L4346" s="11" t="s">
        <v>28</v>
      </c>
      <c r="M4346" s="11" t="s">
        <v>28</v>
      </c>
      <c r="N4346" s="8">
        <v>44441</v>
      </c>
      <c r="O4346" s="9" t="s">
        <v>173</v>
      </c>
      <c r="P4346" s="12" t="s">
        <v>28</v>
      </c>
      <c r="Q4346" s="9" t="s">
        <v>174</v>
      </c>
      <c r="R4346" s="14" t="str">
        <f>HYPERLINK("https://my.pitchbook.com?c=251370-10T","View Company Online")</f>
        <v>View Company Online</v>
      </c>
    </row>
    <row r="4347" spans="1:18" hidden="1" x14ac:dyDescent="0.3">
      <c r="A4347" s="15" t="s">
        <v>14043</v>
      </c>
      <c r="B4347" s="15" t="s">
        <v>14044</v>
      </c>
      <c r="C4347" s="18" t="s">
        <v>28</v>
      </c>
      <c r="D4347" s="15" t="s">
        <v>14045</v>
      </c>
      <c r="E4347" s="18" t="s">
        <v>28</v>
      </c>
      <c r="F4347" s="19" t="s">
        <v>28</v>
      </c>
      <c r="G4347" s="19">
        <v>0.19</v>
      </c>
      <c r="H4347" s="19" t="s">
        <v>28</v>
      </c>
      <c r="I4347" s="18" t="s">
        <v>28</v>
      </c>
      <c r="J4347" s="18" t="s">
        <v>28</v>
      </c>
      <c r="K4347" s="18" t="s">
        <v>28</v>
      </c>
      <c r="L4347" s="18" t="s">
        <v>28</v>
      </c>
      <c r="M4347" s="18" t="s">
        <v>28</v>
      </c>
      <c r="N4347" s="17">
        <v>44441</v>
      </c>
      <c r="O4347" s="15" t="s">
        <v>99</v>
      </c>
      <c r="P4347" s="16" t="s">
        <v>14046</v>
      </c>
      <c r="Q4347" s="15" t="s">
        <v>75</v>
      </c>
      <c r="R4347" s="13" t="str">
        <f>HYPERLINK("https://my.pitchbook.com?c=179617-33T","View Company Online")</f>
        <v>View Company Online</v>
      </c>
    </row>
    <row r="4348" spans="1:18" hidden="1" x14ac:dyDescent="0.3">
      <c r="A4348" s="9" t="s">
        <v>14047</v>
      </c>
      <c r="B4348" s="9" t="s">
        <v>6953</v>
      </c>
      <c r="C4348" s="11" t="s">
        <v>28</v>
      </c>
      <c r="D4348" s="9" t="s">
        <v>6954</v>
      </c>
      <c r="E4348" s="11" t="s">
        <v>28</v>
      </c>
      <c r="F4348" s="10" t="s">
        <v>28</v>
      </c>
      <c r="G4348" s="10">
        <v>20</v>
      </c>
      <c r="H4348" s="10" t="s">
        <v>28</v>
      </c>
      <c r="I4348" s="11" t="s">
        <v>28</v>
      </c>
      <c r="J4348" s="11" t="s">
        <v>28</v>
      </c>
      <c r="K4348" s="11">
        <v>6.7</v>
      </c>
      <c r="L4348" s="11" t="s">
        <v>28</v>
      </c>
      <c r="M4348" s="11" t="s">
        <v>28</v>
      </c>
      <c r="N4348" s="8">
        <v>44441</v>
      </c>
      <c r="O4348" s="9" t="s">
        <v>73</v>
      </c>
      <c r="P4348" s="12" t="s">
        <v>14048</v>
      </c>
      <c r="Q4348" s="9" t="s">
        <v>774</v>
      </c>
      <c r="R4348" s="14" t="str">
        <f>HYPERLINK("https://my.pitchbook.com?c=179455-96T","View Company Online")</f>
        <v>View Company Online</v>
      </c>
    </row>
    <row r="4349" spans="1:18" hidden="1" x14ac:dyDescent="0.3">
      <c r="A4349" s="15" t="s">
        <v>14049</v>
      </c>
      <c r="B4349" s="15" t="s">
        <v>13281</v>
      </c>
      <c r="C4349" s="18" t="s">
        <v>28</v>
      </c>
      <c r="D4349" s="15" t="s">
        <v>13282</v>
      </c>
      <c r="E4349" s="18" t="s">
        <v>28</v>
      </c>
      <c r="F4349" s="19" t="s">
        <v>28</v>
      </c>
      <c r="G4349" s="19">
        <v>0.15</v>
      </c>
      <c r="H4349" s="19" t="s">
        <v>28</v>
      </c>
      <c r="I4349" s="18" t="s">
        <v>28</v>
      </c>
      <c r="J4349" s="18" t="s">
        <v>28</v>
      </c>
      <c r="K4349" s="18" t="s">
        <v>28</v>
      </c>
      <c r="L4349" s="18" t="s">
        <v>28</v>
      </c>
      <c r="M4349" s="18" t="s">
        <v>28</v>
      </c>
      <c r="N4349" s="17">
        <v>44441</v>
      </c>
      <c r="O4349" s="15" t="s">
        <v>52</v>
      </c>
      <c r="P4349" s="16" t="s">
        <v>3944</v>
      </c>
      <c r="Q4349" s="15" t="s">
        <v>37</v>
      </c>
      <c r="R4349" s="13" t="str">
        <f>HYPERLINK("https://my.pitchbook.com?c=185088-34T","View Company Online")</f>
        <v>View Company Online</v>
      </c>
    </row>
    <row r="4350" spans="1:18" hidden="1" x14ac:dyDescent="0.3">
      <c r="A4350" s="9" t="s">
        <v>14050</v>
      </c>
      <c r="B4350" s="9" t="s">
        <v>6382</v>
      </c>
      <c r="C4350" s="11" t="s">
        <v>28</v>
      </c>
      <c r="D4350" s="9" t="s">
        <v>14051</v>
      </c>
      <c r="E4350" s="11">
        <v>19.38</v>
      </c>
      <c r="F4350" s="10" t="s">
        <v>28</v>
      </c>
      <c r="G4350" s="10">
        <v>82.86</v>
      </c>
      <c r="H4350" s="10" t="s">
        <v>28</v>
      </c>
      <c r="I4350" s="11" t="s">
        <v>28</v>
      </c>
      <c r="J4350" s="11" t="s">
        <v>28</v>
      </c>
      <c r="K4350" s="11">
        <v>112.21</v>
      </c>
      <c r="L4350" s="11" t="s">
        <v>28</v>
      </c>
      <c r="M4350" s="11">
        <v>15.31</v>
      </c>
      <c r="N4350" s="8">
        <v>44441</v>
      </c>
      <c r="O4350" s="9" t="s">
        <v>173</v>
      </c>
      <c r="P4350" s="12" t="s">
        <v>28</v>
      </c>
      <c r="Q4350" s="9" t="s">
        <v>1007</v>
      </c>
      <c r="R4350" s="14" t="str">
        <f>HYPERLINK("https://my.pitchbook.com?c=225827-92T","View Company Online")</f>
        <v>View Company Online</v>
      </c>
    </row>
    <row r="4351" spans="1:18" hidden="1" x14ac:dyDescent="0.3">
      <c r="A4351" s="15" t="s">
        <v>14052</v>
      </c>
      <c r="B4351" s="15" t="s">
        <v>11337</v>
      </c>
      <c r="C4351" s="18" t="s">
        <v>28</v>
      </c>
      <c r="D4351" s="15" t="s">
        <v>11338</v>
      </c>
      <c r="E4351" s="18" t="s">
        <v>28</v>
      </c>
      <c r="F4351" s="19" t="s">
        <v>28</v>
      </c>
      <c r="G4351" s="19">
        <v>0.13</v>
      </c>
      <c r="H4351" s="19">
        <v>1.79</v>
      </c>
      <c r="I4351" s="18" t="s">
        <v>28</v>
      </c>
      <c r="J4351" s="18" t="s">
        <v>28</v>
      </c>
      <c r="K4351" s="18" t="s">
        <v>28</v>
      </c>
      <c r="L4351" s="18" t="s">
        <v>28</v>
      </c>
      <c r="M4351" s="18" t="s">
        <v>28</v>
      </c>
      <c r="N4351" s="17">
        <v>44441</v>
      </c>
      <c r="O4351" s="15" t="s">
        <v>52</v>
      </c>
      <c r="P4351" s="16" t="s">
        <v>3944</v>
      </c>
      <c r="Q4351" s="15" t="s">
        <v>75</v>
      </c>
      <c r="R4351" s="13" t="str">
        <f>HYPERLINK("https://my.pitchbook.com?c=185359-33T","View Company Online")</f>
        <v>View Company Online</v>
      </c>
    </row>
    <row r="4352" spans="1:18" hidden="1" x14ac:dyDescent="0.3">
      <c r="A4352" s="9" t="s">
        <v>14053</v>
      </c>
      <c r="B4352" s="9" t="s">
        <v>14054</v>
      </c>
      <c r="C4352" s="11" t="s">
        <v>28</v>
      </c>
      <c r="D4352" s="9" t="s">
        <v>14055</v>
      </c>
      <c r="E4352" s="11" t="s">
        <v>28</v>
      </c>
      <c r="F4352" s="10" t="s">
        <v>28</v>
      </c>
      <c r="G4352" s="10">
        <v>2.4</v>
      </c>
      <c r="H4352" s="10" t="s">
        <v>28</v>
      </c>
      <c r="I4352" s="11" t="s">
        <v>28</v>
      </c>
      <c r="J4352" s="11" t="s">
        <v>28</v>
      </c>
      <c r="K4352" s="11" t="s">
        <v>28</v>
      </c>
      <c r="L4352" s="11" t="s">
        <v>28</v>
      </c>
      <c r="M4352" s="11" t="s">
        <v>28</v>
      </c>
      <c r="N4352" s="8">
        <v>44440</v>
      </c>
      <c r="O4352" s="9" t="s">
        <v>99</v>
      </c>
      <c r="P4352" s="12" t="s">
        <v>14056</v>
      </c>
      <c r="Q4352" s="9" t="s">
        <v>235</v>
      </c>
      <c r="R4352" s="14" t="str">
        <f>HYPERLINK("https://my.pitchbook.com?c=179132-23T","View Company Online")</f>
        <v>View Company Online</v>
      </c>
    </row>
    <row r="4353" spans="1:18" hidden="1" x14ac:dyDescent="0.3">
      <c r="A4353" s="15" t="s">
        <v>14057</v>
      </c>
      <c r="B4353" s="15" t="s">
        <v>884</v>
      </c>
      <c r="C4353" s="18" t="s">
        <v>28</v>
      </c>
      <c r="D4353" s="15" t="s">
        <v>14058</v>
      </c>
      <c r="E4353" s="18" t="s">
        <v>28</v>
      </c>
      <c r="F4353" s="19" t="s">
        <v>28</v>
      </c>
      <c r="G4353" s="19" t="s">
        <v>28</v>
      </c>
      <c r="H4353" s="19" t="s">
        <v>28</v>
      </c>
      <c r="I4353" s="18" t="s">
        <v>28</v>
      </c>
      <c r="J4353" s="18" t="s">
        <v>28</v>
      </c>
      <c r="K4353" s="18">
        <v>187.12</v>
      </c>
      <c r="L4353" s="18" t="s">
        <v>28</v>
      </c>
      <c r="M4353" s="18" t="s">
        <v>28</v>
      </c>
      <c r="N4353" s="17">
        <v>44440</v>
      </c>
      <c r="O4353" s="15" t="s">
        <v>30</v>
      </c>
      <c r="P4353" s="16" t="s">
        <v>14059</v>
      </c>
      <c r="Q4353" s="15" t="s">
        <v>14060</v>
      </c>
      <c r="R4353" s="13" t="str">
        <f>HYPERLINK("https://my.pitchbook.com?c=241144-84T","View Company Online")</f>
        <v>View Company Online</v>
      </c>
    </row>
    <row r="4354" spans="1:18" hidden="1" x14ac:dyDescent="0.3">
      <c r="A4354" s="9" t="s">
        <v>14061</v>
      </c>
      <c r="B4354" s="9" t="s">
        <v>14062</v>
      </c>
      <c r="C4354" s="11" t="s">
        <v>28</v>
      </c>
      <c r="D4354" s="9" t="s">
        <v>14063</v>
      </c>
      <c r="E4354" s="11" t="s">
        <v>28</v>
      </c>
      <c r="F4354" s="10" t="s">
        <v>28</v>
      </c>
      <c r="G4354" s="10" t="s">
        <v>28</v>
      </c>
      <c r="H4354" s="10" t="s">
        <v>28</v>
      </c>
      <c r="I4354" s="11" t="s">
        <v>28</v>
      </c>
      <c r="J4354" s="11" t="s">
        <v>28</v>
      </c>
      <c r="K4354" s="11" t="s">
        <v>28</v>
      </c>
      <c r="L4354" s="11" t="s">
        <v>28</v>
      </c>
      <c r="M4354" s="11" t="s">
        <v>28</v>
      </c>
      <c r="N4354" s="8">
        <v>44440</v>
      </c>
      <c r="O4354" s="9" t="s">
        <v>79</v>
      </c>
      <c r="P4354" s="12" t="s">
        <v>14064</v>
      </c>
      <c r="Q4354" s="9" t="s">
        <v>4901</v>
      </c>
      <c r="R4354" s="14" t="str">
        <f>HYPERLINK("https://my.pitchbook.com?c=180763-12T","View Company Online")</f>
        <v>View Company Online</v>
      </c>
    </row>
    <row r="4355" spans="1:18" hidden="1" x14ac:dyDescent="0.3">
      <c r="A4355" s="15" t="s">
        <v>14065</v>
      </c>
      <c r="B4355" s="15" t="s">
        <v>14066</v>
      </c>
      <c r="C4355" s="18" t="s">
        <v>28</v>
      </c>
      <c r="D4355" s="15" t="s">
        <v>14067</v>
      </c>
      <c r="E4355" s="18" t="s">
        <v>28</v>
      </c>
      <c r="F4355" s="19" t="s">
        <v>28</v>
      </c>
      <c r="G4355" s="19" t="s">
        <v>28</v>
      </c>
      <c r="H4355" s="19" t="s">
        <v>28</v>
      </c>
      <c r="I4355" s="18" t="s">
        <v>28</v>
      </c>
      <c r="J4355" s="18" t="s">
        <v>28</v>
      </c>
      <c r="K4355" s="18" t="s">
        <v>28</v>
      </c>
      <c r="L4355" s="18" t="s">
        <v>28</v>
      </c>
      <c r="M4355" s="18" t="s">
        <v>28</v>
      </c>
      <c r="N4355" s="17">
        <v>44440</v>
      </c>
      <c r="O4355" s="15" t="s">
        <v>173</v>
      </c>
      <c r="P4355" s="16" t="s">
        <v>28</v>
      </c>
      <c r="Q4355" s="15" t="s">
        <v>174</v>
      </c>
      <c r="R4355" s="13" t="str">
        <f>HYPERLINK("https://my.pitchbook.com?c=251688-34T","View Company Online")</f>
        <v>View Company Online</v>
      </c>
    </row>
    <row r="4356" spans="1:18" hidden="1" x14ac:dyDescent="0.3">
      <c r="A4356" s="9" t="s">
        <v>14068</v>
      </c>
      <c r="B4356" s="9" t="s">
        <v>14069</v>
      </c>
      <c r="C4356" s="11" t="s">
        <v>28</v>
      </c>
      <c r="D4356" s="9" t="s">
        <v>14070</v>
      </c>
      <c r="E4356" s="11" t="s">
        <v>28</v>
      </c>
      <c r="F4356" s="10" t="s">
        <v>28</v>
      </c>
      <c r="G4356" s="10">
        <v>0.13</v>
      </c>
      <c r="H4356" s="10">
        <v>1.79</v>
      </c>
      <c r="I4356" s="11" t="s">
        <v>28</v>
      </c>
      <c r="J4356" s="11" t="s">
        <v>28</v>
      </c>
      <c r="K4356" s="11" t="s">
        <v>28</v>
      </c>
      <c r="L4356" s="11" t="s">
        <v>28</v>
      </c>
      <c r="M4356" s="11" t="s">
        <v>28</v>
      </c>
      <c r="N4356" s="8">
        <v>44440</v>
      </c>
      <c r="O4356" s="9" t="s">
        <v>52</v>
      </c>
      <c r="P4356" s="12" t="s">
        <v>3944</v>
      </c>
      <c r="Q4356" s="9" t="s">
        <v>75</v>
      </c>
      <c r="R4356" s="14" t="str">
        <f>HYPERLINK("https://my.pitchbook.com?c=180283-24T","View Company Online")</f>
        <v>View Company Online</v>
      </c>
    </row>
    <row r="4357" spans="1:18" hidden="1" x14ac:dyDescent="0.3">
      <c r="A4357" s="15" t="s">
        <v>14071</v>
      </c>
      <c r="B4357" s="15" t="s">
        <v>14072</v>
      </c>
      <c r="C4357" s="18" t="s">
        <v>28</v>
      </c>
      <c r="D4357" s="15" t="s">
        <v>14073</v>
      </c>
      <c r="E4357" s="18" t="s">
        <v>28</v>
      </c>
      <c r="F4357" s="19" t="s">
        <v>28</v>
      </c>
      <c r="G4357" s="19" t="s">
        <v>28</v>
      </c>
      <c r="H4357" s="19" t="s">
        <v>28</v>
      </c>
      <c r="I4357" s="18" t="s">
        <v>28</v>
      </c>
      <c r="J4357" s="18" t="s">
        <v>28</v>
      </c>
      <c r="K4357" s="18" t="s">
        <v>28</v>
      </c>
      <c r="L4357" s="18" t="s">
        <v>28</v>
      </c>
      <c r="M4357" s="18" t="s">
        <v>28</v>
      </c>
      <c r="N4357" s="17">
        <v>44440</v>
      </c>
      <c r="O4357" s="15" t="s">
        <v>41</v>
      </c>
      <c r="P4357" s="16" t="s">
        <v>14074</v>
      </c>
      <c r="Q4357" s="15" t="s">
        <v>95</v>
      </c>
      <c r="R4357" s="13" t="str">
        <f>HYPERLINK("https://my.pitchbook.com?c=253180-45T","View Company Online")</f>
        <v>View Company Online</v>
      </c>
    </row>
    <row r="4358" spans="1:18" hidden="1" x14ac:dyDescent="0.3">
      <c r="A4358" s="9" t="s">
        <v>14075</v>
      </c>
      <c r="B4358" s="9" t="s">
        <v>14076</v>
      </c>
      <c r="C4358" s="11" t="s">
        <v>28</v>
      </c>
      <c r="D4358" s="9" t="s">
        <v>14077</v>
      </c>
      <c r="E4358" s="11" t="s">
        <v>28</v>
      </c>
      <c r="F4358" s="10">
        <v>22.81</v>
      </c>
      <c r="G4358" s="10">
        <v>22.81</v>
      </c>
      <c r="H4358" s="10">
        <v>22.81</v>
      </c>
      <c r="I4358" s="11" t="s">
        <v>28</v>
      </c>
      <c r="J4358" s="11" t="s">
        <v>28</v>
      </c>
      <c r="K4358" s="11" t="s">
        <v>28</v>
      </c>
      <c r="L4358" s="11" t="s">
        <v>28</v>
      </c>
      <c r="M4358" s="11" t="s">
        <v>28</v>
      </c>
      <c r="N4358" s="8">
        <v>44440</v>
      </c>
      <c r="O4358" s="9" t="s">
        <v>41</v>
      </c>
      <c r="P4358" s="12" t="s">
        <v>14078</v>
      </c>
      <c r="Q4358" s="9" t="s">
        <v>75</v>
      </c>
      <c r="R4358" s="14" t="str">
        <f>HYPERLINK("https://my.pitchbook.com?c=179522-11T","View Company Online")</f>
        <v>View Company Online</v>
      </c>
    </row>
    <row r="4359" spans="1:18" hidden="1" x14ac:dyDescent="0.3">
      <c r="A4359" s="15" t="s">
        <v>14079</v>
      </c>
      <c r="B4359" s="15" t="s">
        <v>8493</v>
      </c>
      <c r="C4359" s="18" t="s">
        <v>28</v>
      </c>
      <c r="D4359" s="15" t="s">
        <v>8494</v>
      </c>
      <c r="E4359" s="18" t="s">
        <v>28</v>
      </c>
      <c r="F4359" s="19" t="s">
        <v>28</v>
      </c>
      <c r="G4359" s="19">
        <v>0.13</v>
      </c>
      <c r="H4359" s="19" t="s">
        <v>28</v>
      </c>
      <c r="I4359" s="18" t="s">
        <v>28</v>
      </c>
      <c r="J4359" s="18" t="s">
        <v>28</v>
      </c>
      <c r="K4359" s="18" t="s">
        <v>28</v>
      </c>
      <c r="L4359" s="18" t="s">
        <v>28</v>
      </c>
      <c r="M4359" s="18" t="s">
        <v>28</v>
      </c>
      <c r="N4359" s="17">
        <v>44440</v>
      </c>
      <c r="O4359" s="15" t="s">
        <v>1639</v>
      </c>
      <c r="P4359" s="16" t="s">
        <v>28</v>
      </c>
      <c r="Q4359" s="15" t="s">
        <v>75</v>
      </c>
      <c r="R4359" s="13" t="str">
        <f>HYPERLINK("https://my.pitchbook.com?c=180248-05T","View Company Online")</f>
        <v>View Company Online</v>
      </c>
    </row>
    <row r="4360" spans="1:18" hidden="1" x14ac:dyDescent="0.3">
      <c r="A4360" s="9" t="s">
        <v>14080</v>
      </c>
      <c r="B4360" s="9" t="s">
        <v>14081</v>
      </c>
      <c r="C4360" s="11" t="s">
        <v>28</v>
      </c>
      <c r="D4360" s="9" t="s">
        <v>14082</v>
      </c>
      <c r="E4360" s="11" t="s">
        <v>28</v>
      </c>
      <c r="F4360" s="10" t="s">
        <v>28</v>
      </c>
      <c r="G4360" s="10" t="s">
        <v>28</v>
      </c>
      <c r="H4360" s="10" t="s">
        <v>28</v>
      </c>
      <c r="I4360" s="11" t="s">
        <v>28</v>
      </c>
      <c r="J4360" s="11" t="s">
        <v>28</v>
      </c>
      <c r="K4360" s="11" t="s">
        <v>28</v>
      </c>
      <c r="L4360" s="11" t="s">
        <v>28</v>
      </c>
      <c r="M4360" s="11" t="s">
        <v>28</v>
      </c>
      <c r="N4360" s="8">
        <v>44440</v>
      </c>
      <c r="O4360" s="9" t="s">
        <v>93</v>
      </c>
      <c r="P4360" s="12" t="s">
        <v>14083</v>
      </c>
      <c r="Q4360" s="9" t="s">
        <v>75</v>
      </c>
      <c r="R4360" s="14" t="str">
        <f>HYPERLINK("https://my.pitchbook.com?c=180557-74T","View Company Online")</f>
        <v>View Company Online</v>
      </c>
    </row>
    <row r="4361" spans="1:18" hidden="1" x14ac:dyDescent="0.3">
      <c r="A4361" s="15" t="s">
        <v>14084</v>
      </c>
      <c r="B4361" s="15" t="s">
        <v>14085</v>
      </c>
      <c r="C4361" s="18" t="s">
        <v>28</v>
      </c>
      <c r="D4361" s="15" t="s">
        <v>14086</v>
      </c>
      <c r="E4361" s="18" t="s">
        <v>28</v>
      </c>
      <c r="F4361" s="19" t="s">
        <v>28</v>
      </c>
      <c r="G4361" s="19" t="s">
        <v>28</v>
      </c>
      <c r="H4361" s="19" t="s">
        <v>28</v>
      </c>
      <c r="I4361" s="18" t="s">
        <v>28</v>
      </c>
      <c r="J4361" s="18" t="s">
        <v>28</v>
      </c>
      <c r="K4361" s="18" t="s">
        <v>28</v>
      </c>
      <c r="L4361" s="18" t="s">
        <v>28</v>
      </c>
      <c r="M4361" s="18" t="s">
        <v>28</v>
      </c>
      <c r="N4361" s="17">
        <v>44440</v>
      </c>
      <c r="O4361" s="15" t="s">
        <v>79</v>
      </c>
      <c r="P4361" s="16" t="s">
        <v>14087</v>
      </c>
      <c r="Q4361" s="15" t="s">
        <v>832</v>
      </c>
      <c r="R4361" s="13" t="str">
        <f>HYPERLINK("https://my.pitchbook.com?c=180870-13T","View Company Online")</f>
        <v>View Company Online</v>
      </c>
    </row>
    <row r="4362" spans="1:18" hidden="1" x14ac:dyDescent="0.3">
      <c r="A4362" s="9" t="s">
        <v>14088</v>
      </c>
      <c r="B4362" s="9" t="s">
        <v>3881</v>
      </c>
      <c r="C4362" s="11" t="s">
        <v>28</v>
      </c>
      <c r="D4362" s="9" t="s">
        <v>3882</v>
      </c>
      <c r="E4362" s="11" t="s">
        <v>28</v>
      </c>
      <c r="F4362" s="10" t="s">
        <v>28</v>
      </c>
      <c r="G4362" s="10">
        <v>0.94</v>
      </c>
      <c r="H4362" s="10" t="s">
        <v>28</v>
      </c>
      <c r="I4362" s="11" t="s">
        <v>28</v>
      </c>
      <c r="J4362" s="11" t="s">
        <v>28</v>
      </c>
      <c r="K4362" s="11" t="s">
        <v>28</v>
      </c>
      <c r="L4362" s="11" t="s">
        <v>28</v>
      </c>
      <c r="M4362" s="11" t="s">
        <v>28</v>
      </c>
      <c r="N4362" s="8">
        <v>44440</v>
      </c>
      <c r="O4362" s="9" t="s">
        <v>379</v>
      </c>
      <c r="P4362" s="12" t="s">
        <v>28</v>
      </c>
      <c r="Q4362" s="9" t="s">
        <v>75</v>
      </c>
      <c r="R4362" s="14" t="str">
        <f>HYPERLINK("https://my.pitchbook.com?c=195491-71T","View Company Online")</f>
        <v>View Company Online</v>
      </c>
    </row>
    <row r="4363" spans="1:18" hidden="1" x14ac:dyDescent="0.3">
      <c r="A4363" s="15" t="s">
        <v>14089</v>
      </c>
      <c r="B4363" s="15" t="s">
        <v>14090</v>
      </c>
      <c r="C4363" s="18" t="s">
        <v>28</v>
      </c>
      <c r="D4363" s="15" t="s">
        <v>14091</v>
      </c>
      <c r="E4363" s="18" t="s">
        <v>28</v>
      </c>
      <c r="F4363" s="19" t="s">
        <v>28</v>
      </c>
      <c r="G4363" s="19" t="s">
        <v>28</v>
      </c>
      <c r="H4363" s="19" t="s">
        <v>28</v>
      </c>
      <c r="I4363" s="18" t="s">
        <v>28</v>
      </c>
      <c r="J4363" s="18" t="s">
        <v>28</v>
      </c>
      <c r="K4363" s="18" t="s">
        <v>28</v>
      </c>
      <c r="L4363" s="18" t="s">
        <v>28</v>
      </c>
      <c r="M4363" s="18" t="s">
        <v>28</v>
      </c>
      <c r="N4363" s="17">
        <v>44440</v>
      </c>
      <c r="O4363" s="15" t="s">
        <v>30</v>
      </c>
      <c r="P4363" s="16" t="s">
        <v>8637</v>
      </c>
      <c r="Q4363" s="15" t="s">
        <v>119</v>
      </c>
      <c r="R4363" s="13" t="str">
        <f>HYPERLINK("https://my.pitchbook.com?c=258514-66T","View Company Online")</f>
        <v>View Company Online</v>
      </c>
    </row>
    <row r="4364" spans="1:18" hidden="1" x14ac:dyDescent="0.3">
      <c r="A4364" s="9" t="s">
        <v>14092</v>
      </c>
      <c r="B4364" s="9" t="s">
        <v>14093</v>
      </c>
      <c r="C4364" s="11" t="s">
        <v>28</v>
      </c>
      <c r="D4364" s="9" t="s">
        <v>14094</v>
      </c>
      <c r="E4364" s="11" t="s">
        <v>28</v>
      </c>
      <c r="F4364" s="10" t="s">
        <v>28</v>
      </c>
      <c r="G4364" s="10" t="s">
        <v>28</v>
      </c>
      <c r="H4364" s="10" t="s">
        <v>28</v>
      </c>
      <c r="I4364" s="11" t="s">
        <v>28</v>
      </c>
      <c r="J4364" s="11" t="s">
        <v>28</v>
      </c>
      <c r="K4364" s="11" t="s">
        <v>28</v>
      </c>
      <c r="L4364" s="11" t="s">
        <v>28</v>
      </c>
      <c r="M4364" s="11" t="s">
        <v>28</v>
      </c>
      <c r="N4364" s="8">
        <v>44440</v>
      </c>
      <c r="O4364" s="9" t="s">
        <v>79</v>
      </c>
      <c r="P4364" s="12" t="s">
        <v>123</v>
      </c>
      <c r="Q4364" s="9" t="s">
        <v>43</v>
      </c>
      <c r="R4364" s="14" t="str">
        <f>HYPERLINK("https://my.pitchbook.com?c=205493-05T","View Company Online")</f>
        <v>View Company Online</v>
      </c>
    </row>
    <row r="4365" spans="1:18" hidden="1" x14ac:dyDescent="0.3">
      <c r="A4365" s="15" t="s">
        <v>14095</v>
      </c>
      <c r="B4365" s="15" t="s">
        <v>14096</v>
      </c>
      <c r="C4365" s="18" t="s">
        <v>28</v>
      </c>
      <c r="D4365" s="15" t="s">
        <v>14097</v>
      </c>
      <c r="E4365" s="18" t="s">
        <v>28</v>
      </c>
      <c r="F4365" s="19" t="s">
        <v>28</v>
      </c>
      <c r="G4365" s="19" t="s">
        <v>28</v>
      </c>
      <c r="H4365" s="19" t="s">
        <v>28</v>
      </c>
      <c r="I4365" s="18" t="s">
        <v>28</v>
      </c>
      <c r="J4365" s="18" t="s">
        <v>28</v>
      </c>
      <c r="K4365" s="18" t="s">
        <v>28</v>
      </c>
      <c r="L4365" s="18" t="s">
        <v>28</v>
      </c>
      <c r="M4365" s="18" t="s">
        <v>28</v>
      </c>
      <c r="N4365" s="17">
        <v>44440</v>
      </c>
      <c r="O4365" s="15" t="s">
        <v>30</v>
      </c>
      <c r="P4365" s="16" t="s">
        <v>14098</v>
      </c>
      <c r="Q4365" s="15" t="s">
        <v>855</v>
      </c>
      <c r="R4365" s="13" t="str">
        <f>HYPERLINK("https://my.pitchbook.com?c=241163-11T","View Company Online")</f>
        <v>View Company Online</v>
      </c>
    </row>
    <row r="4366" spans="1:18" hidden="1" x14ac:dyDescent="0.3">
      <c r="A4366" s="9" t="s">
        <v>14099</v>
      </c>
      <c r="B4366" s="9" t="s">
        <v>14100</v>
      </c>
      <c r="C4366" s="11" t="s">
        <v>28</v>
      </c>
      <c r="D4366" s="9" t="s">
        <v>14101</v>
      </c>
      <c r="E4366" s="11" t="s">
        <v>28</v>
      </c>
      <c r="F4366" s="10" t="s">
        <v>28</v>
      </c>
      <c r="G4366" s="10" t="s">
        <v>28</v>
      </c>
      <c r="H4366" s="10" t="s">
        <v>28</v>
      </c>
      <c r="I4366" s="11" t="s">
        <v>28</v>
      </c>
      <c r="J4366" s="11" t="s">
        <v>28</v>
      </c>
      <c r="K4366" s="11" t="s">
        <v>28</v>
      </c>
      <c r="L4366" s="11" t="s">
        <v>28</v>
      </c>
      <c r="M4366" s="11" t="s">
        <v>28</v>
      </c>
      <c r="N4366" s="8">
        <v>44440</v>
      </c>
      <c r="O4366" s="9" t="s">
        <v>30</v>
      </c>
      <c r="P4366" s="12" t="s">
        <v>14102</v>
      </c>
      <c r="Q4366" s="9" t="s">
        <v>3912</v>
      </c>
      <c r="R4366" s="14" t="str">
        <f>HYPERLINK("https://my.pitchbook.com?c=211772-89T","View Company Online")</f>
        <v>View Company Online</v>
      </c>
    </row>
    <row r="4367" spans="1:18" hidden="1" x14ac:dyDescent="0.3">
      <c r="A4367" s="15" t="s">
        <v>14103</v>
      </c>
      <c r="B4367" s="15" t="s">
        <v>14104</v>
      </c>
      <c r="C4367" s="18" t="s">
        <v>28</v>
      </c>
      <c r="D4367" s="15" t="s">
        <v>14105</v>
      </c>
      <c r="E4367" s="18" t="s">
        <v>28</v>
      </c>
      <c r="F4367" s="19" t="s">
        <v>28</v>
      </c>
      <c r="G4367" s="19" t="s">
        <v>28</v>
      </c>
      <c r="H4367" s="19" t="s">
        <v>28</v>
      </c>
      <c r="I4367" s="18" t="s">
        <v>28</v>
      </c>
      <c r="J4367" s="18" t="s">
        <v>28</v>
      </c>
      <c r="K4367" s="18" t="s">
        <v>28</v>
      </c>
      <c r="L4367" s="18" t="s">
        <v>28</v>
      </c>
      <c r="M4367" s="18" t="s">
        <v>28</v>
      </c>
      <c r="N4367" s="17">
        <v>44440</v>
      </c>
      <c r="O4367" s="15" t="s">
        <v>79</v>
      </c>
      <c r="P4367" s="16" t="s">
        <v>611</v>
      </c>
      <c r="Q4367" s="15" t="s">
        <v>419</v>
      </c>
      <c r="R4367" s="13" t="str">
        <f>HYPERLINK("https://my.pitchbook.com?c=180858-79T","View Company Online")</f>
        <v>View Company Online</v>
      </c>
    </row>
    <row r="4368" spans="1:18" hidden="1" x14ac:dyDescent="0.3">
      <c r="A4368" s="9" t="s">
        <v>14106</v>
      </c>
      <c r="B4368" s="9" t="s">
        <v>14107</v>
      </c>
      <c r="C4368" s="11" t="s">
        <v>28</v>
      </c>
      <c r="D4368" s="9" t="s">
        <v>14108</v>
      </c>
      <c r="E4368" s="11" t="s">
        <v>28</v>
      </c>
      <c r="F4368" s="10" t="s">
        <v>28</v>
      </c>
      <c r="G4368" s="10" t="s">
        <v>28</v>
      </c>
      <c r="H4368" s="10" t="s">
        <v>28</v>
      </c>
      <c r="I4368" s="11" t="s">
        <v>28</v>
      </c>
      <c r="J4368" s="11" t="s">
        <v>28</v>
      </c>
      <c r="K4368" s="11" t="s">
        <v>28</v>
      </c>
      <c r="L4368" s="11" t="s">
        <v>28</v>
      </c>
      <c r="M4368" s="11" t="s">
        <v>28</v>
      </c>
      <c r="N4368" s="8">
        <v>44440</v>
      </c>
      <c r="O4368" s="9" t="s">
        <v>73</v>
      </c>
      <c r="P4368" s="12" t="s">
        <v>14109</v>
      </c>
      <c r="Q4368" s="9" t="s">
        <v>522</v>
      </c>
      <c r="R4368" s="14" t="str">
        <f>HYPERLINK("https://my.pitchbook.com?c=216210-61T","View Company Online")</f>
        <v>View Company Online</v>
      </c>
    </row>
    <row r="4369" spans="1:18" hidden="1" x14ac:dyDescent="0.3">
      <c r="A4369" s="15" t="s">
        <v>14110</v>
      </c>
      <c r="B4369" s="15" t="s">
        <v>14111</v>
      </c>
      <c r="C4369" s="18" t="s">
        <v>28</v>
      </c>
      <c r="D4369" s="15" t="s">
        <v>14112</v>
      </c>
      <c r="E4369" s="18" t="s">
        <v>28</v>
      </c>
      <c r="F4369" s="19" t="s">
        <v>28</v>
      </c>
      <c r="G4369" s="19" t="s">
        <v>28</v>
      </c>
      <c r="H4369" s="19" t="s">
        <v>28</v>
      </c>
      <c r="I4369" s="18" t="s">
        <v>28</v>
      </c>
      <c r="J4369" s="18" t="s">
        <v>28</v>
      </c>
      <c r="K4369" s="18" t="s">
        <v>28</v>
      </c>
      <c r="L4369" s="18" t="s">
        <v>28</v>
      </c>
      <c r="M4369" s="18" t="s">
        <v>28</v>
      </c>
      <c r="N4369" s="17">
        <v>44440</v>
      </c>
      <c r="O4369" s="15" t="s">
        <v>73</v>
      </c>
      <c r="P4369" s="16" t="s">
        <v>611</v>
      </c>
      <c r="Q4369" s="15" t="s">
        <v>249</v>
      </c>
      <c r="R4369" s="13" t="str">
        <f>HYPERLINK("https://my.pitchbook.com?c=194461-93T","View Company Online")</f>
        <v>View Company Online</v>
      </c>
    </row>
    <row r="4370" spans="1:18" hidden="1" x14ac:dyDescent="0.3">
      <c r="A4370" s="9" t="s">
        <v>14113</v>
      </c>
      <c r="B4370" s="9" t="s">
        <v>13026</v>
      </c>
      <c r="C4370" s="11" t="s">
        <v>28</v>
      </c>
      <c r="D4370" s="9" t="s">
        <v>13027</v>
      </c>
      <c r="E4370" s="11" t="s">
        <v>28</v>
      </c>
      <c r="F4370" s="10" t="s">
        <v>28</v>
      </c>
      <c r="G4370" s="10">
        <v>8.5500000000000007</v>
      </c>
      <c r="H4370" s="10" t="s">
        <v>28</v>
      </c>
      <c r="I4370" s="11" t="s">
        <v>28</v>
      </c>
      <c r="J4370" s="11" t="s">
        <v>28</v>
      </c>
      <c r="K4370" s="11" t="s">
        <v>28</v>
      </c>
      <c r="L4370" s="11" t="s">
        <v>28</v>
      </c>
      <c r="M4370" s="11" t="s">
        <v>28</v>
      </c>
      <c r="N4370" s="8">
        <v>44440</v>
      </c>
      <c r="O4370" s="9" t="s">
        <v>99</v>
      </c>
      <c r="P4370" s="12" t="s">
        <v>14114</v>
      </c>
      <c r="Q4370" s="9" t="s">
        <v>37</v>
      </c>
      <c r="R4370" s="14" t="str">
        <f>HYPERLINK("https://my.pitchbook.com?c=179355-34T","View Company Online")</f>
        <v>View Company Online</v>
      </c>
    </row>
    <row r="4371" spans="1:18" hidden="1" x14ac:dyDescent="0.3">
      <c r="A4371" s="15" t="s">
        <v>14115</v>
      </c>
      <c r="B4371" s="15" t="s">
        <v>7637</v>
      </c>
      <c r="C4371" s="18" t="s">
        <v>28</v>
      </c>
      <c r="D4371" s="15" t="s">
        <v>7638</v>
      </c>
      <c r="E4371" s="18" t="s">
        <v>28</v>
      </c>
      <c r="F4371" s="19" t="s">
        <v>28</v>
      </c>
      <c r="G4371" s="19">
        <v>0.13</v>
      </c>
      <c r="H4371" s="19" t="s">
        <v>28</v>
      </c>
      <c r="I4371" s="18" t="s">
        <v>28</v>
      </c>
      <c r="J4371" s="18" t="s">
        <v>28</v>
      </c>
      <c r="K4371" s="18" t="s">
        <v>28</v>
      </c>
      <c r="L4371" s="18" t="s">
        <v>28</v>
      </c>
      <c r="M4371" s="18" t="s">
        <v>28</v>
      </c>
      <c r="N4371" s="17">
        <v>44439</v>
      </c>
      <c r="O4371" s="15" t="s">
        <v>52</v>
      </c>
      <c r="P4371" s="16" t="s">
        <v>3944</v>
      </c>
      <c r="Q4371" s="15" t="s">
        <v>75</v>
      </c>
      <c r="R4371" s="13" t="str">
        <f>HYPERLINK("https://my.pitchbook.com?c=185057-38T","View Company Online")</f>
        <v>View Company Online</v>
      </c>
    </row>
    <row r="4372" spans="1:18" hidden="1" x14ac:dyDescent="0.3">
      <c r="A4372" s="9" t="s">
        <v>14116</v>
      </c>
      <c r="B4372" s="9" t="s">
        <v>14117</v>
      </c>
      <c r="C4372" s="11" t="s">
        <v>28</v>
      </c>
      <c r="D4372" s="9" t="s">
        <v>14118</v>
      </c>
      <c r="E4372" s="11" t="s">
        <v>28</v>
      </c>
      <c r="F4372" s="10" t="s">
        <v>28</v>
      </c>
      <c r="G4372" s="10" t="s">
        <v>28</v>
      </c>
      <c r="H4372" s="10" t="s">
        <v>28</v>
      </c>
      <c r="I4372" s="11" t="s">
        <v>28</v>
      </c>
      <c r="J4372" s="11" t="s">
        <v>28</v>
      </c>
      <c r="K4372" s="11" t="s">
        <v>28</v>
      </c>
      <c r="L4372" s="11" t="s">
        <v>28</v>
      </c>
      <c r="M4372" s="11" t="s">
        <v>28</v>
      </c>
      <c r="N4372" s="8">
        <v>44439</v>
      </c>
      <c r="O4372" s="9" t="s">
        <v>58</v>
      </c>
      <c r="P4372" s="12" t="s">
        <v>28</v>
      </c>
      <c r="Q4372" s="9" t="s">
        <v>616</v>
      </c>
      <c r="R4372" s="14" t="str">
        <f>HYPERLINK("https://my.pitchbook.com?c=185424-40T","View Company Online")</f>
        <v>View Company Online</v>
      </c>
    </row>
    <row r="4373" spans="1:18" hidden="1" x14ac:dyDescent="0.3">
      <c r="A4373" s="15" t="s">
        <v>14119</v>
      </c>
      <c r="B4373" s="15" t="s">
        <v>7144</v>
      </c>
      <c r="C4373" s="18" t="s">
        <v>28</v>
      </c>
      <c r="D4373" s="15" t="s">
        <v>7145</v>
      </c>
      <c r="E4373" s="18" t="s">
        <v>28</v>
      </c>
      <c r="F4373" s="19" t="s">
        <v>28</v>
      </c>
      <c r="G4373" s="19">
        <v>5</v>
      </c>
      <c r="H4373" s="19" t="s">
        <v>28</v>
      </c>
      <c r="I4373" s="18" t="s">
        <v>28</v>
      </c>
      <c r="J4373" s="18" t="s">
        <v>28</v>
      </c>
      <c r="K4373" s="18" t="s">
        <v>28</v>
      </c>
      <c r="L4373" s="18" t="s">
        <v>28</v>
      </c>
      <c r="M4373" s="18" t="s">
        <v>28</v>
      </c>
      <c r="N4373" s="17">
        <v>44439</v>
      </c>
      <c r="O4373" s="15" t="s">
        <v>99</v>
      </c>
      <c r="P4373" s="16" t="s">
        <v>28</v>
      </c>
      <c r="Q4373" s="15" t="s">
        <v>75</v>
      </c>
      <c r="R4373" s="13" t="str">
        <f>HYPERLINK("https://my.pitchbook.com?c=179395-39T","View Company Online")</f>
        <v>View Company Online</v>
      </c>
    </row>
    <row r="4374" spans="1:18" hidden="1" x14ac:dyDescent="0.3">
      <c r="A4374" s="9" t="s">
        <v>14120</v>
      </c>
      <c r="B4374" s="9" t="s">
        <v>14121</v>
      </c>
      <c r="C4374" s="11" t="s">
        <v>28</v>
      </c>
      <c r="D4374" s="9" t="s">
        <v>14122</v>
      </c>
      <c r="E4374" s="11" t="s">
        <v>28</v>
      </c>
      <c r="F4374" s="10">
        <v>218</v>
      </c>
      <c r="G4374" s="10">
        <v>218</v>
      </c>
      <c r="H4374" s="10">
        <v>218</v>
      </c>
      <c r="I4374" s="11" t="s">
        <v>28</v>
      </c>
      <c r="J4374" s="11" t="s">
        <v>28</v>
      </c>
      <c r="K4374" s="11" t="s">
        <v>28</v>
      </c>
      <c r="L4374" s="11" t="s">
        <v>28</v>
      </c>
      <c r="M4374" s="11" t="s">
        <v>28</v>
      </c>
      <c r="N4374" s="8">
        <v>44439</v>
      </c>
      <c r="O4374" s="9" t="s">
        <v>30</v>
      </c>
      <c r="P4374" s="12" t="s">
        <v>5140</v>
      </c>
      <c r="Q4374" s="9" t="s">
        <v>316</v>
      </c>
      <c r="R4374" s="14" t="str">
        <f>HYPERLINK("https://my.pitchbook.com?c=174133-09T","View Company Online")</f>
        <v>View Company Online</v>
      </c>
    </row>
    <row r="4375" spans="1:18" hidden="1" x14ac:dyDescent="0.3">
      <c r="A4375" s="15" t="s">
        <v>14123</v>
      </c>
      <c r="B4375" s="15" t="s">
        <v>14124</v>
      </c>
      <c r="C4375" s="18" t="s">
        <v>28</v>
      </c>
      <c r="D4375" s="15" t="s">
        <v>14125</v>
      </c>
      <c r="E4375" s="18" t="s">
        <v>28</v>
      </c>
      <c r="F4375" s="19">
        <v>26.81</v>
      </c>
      <c r="G4375" s="19">
        <v>21.45</v>
      </c>
      <c r="H4375" s="19">
        <v>26.81</v>
      </c>
      <c r="I4375" s="18" t="s">
        <v>28</v>
      </c>
      <c r="J4375" s="18" t="s">
        <v>28</v>
      </c>
      <c r="K4375" s="18">
        <v>114.49</v>
      </c>
      <c r="L4375" s="18">
        <v>0.23</v>
      </c>
      <c r="M4375" s="18" t="s">
        <v>28</v>
      </c>
      <c r="N4375" s="17">
        <v>44439</v>
      </c>
      <c r="O4375" s="15" t="s">
        <v>41</v>
      </c>
      <c r="P4375" s="16" t="s">
        <v>14126</v>
      </c>
      <c r="Q4375" s="15" t="s">
        <v>69</v>
      </c>
      <c r="R4375" s="13" t="str">
        <f>HYPERLINK("https://my.pitchbook.com?c=174256-39T","View Company Online")</f>
        <v>View Company Online</v>
      </c>
    </row>
    <row r="4376" spans="1:18" hidden="1" x14ac:dyDescent="0.3">
      <c r="A4376" s="9" t="s">
        <v>14127</v>
      </c>
      <c r="B4376" s="9" t="s">
        <v>9104</v>
      </c>
      <c r="C4376" s="11" t="s">
        <v>28</v>
      </c>
      <c r="D4376" s="9" t="s">
        <v>9105</v>
      </c>
      <c r="E4376" s="11" t="s">
        <v>28</v>
      </c>
      <c r="F4376" s="10" t="s">
        <v>28</v>
      </c>
      <c r="G4376" s="10">
        <v>0.13</v>
      </c>
      <c r="H4376" s="10" t="s">
        <v>28</v>
      </c>
      <c r="I4376" s="11" t="s">
        <v>28</v>
      </c>
      <c r="J4376" s="11" t="s">
        <v>28</v>
      </c>
      <c r="K4376" s="11" t="s">
        <v>28</v>
      </c>
      <c r="L4376" s="11" t="s">
        <v>28</v>
      </c>
      <c r="M4376" s="11" t="s">
        <v>28</v>
      </c>
      <c r="N4376" s="8">
        <v>44439</v>
      </c>
      <c r="O4376" s="9" t="s">
        <v>52</v>
      </c>
      <c r="P4376" s="12" t="s">
        <v>14128</v>
      </c>
      <c r="Q4376" s="9" t="s">
        <v>692</v>
      </c>
      <c r="R4376" s="14" t="str">
        <f>HYPERLINK("https://my.pitchbook.com?c=185324-32T","View Company Online")</f>
        <v>View Company Online</v>
      </c>
    </row>
    <row r="4377" spans="1:18" hidden="1" x14ac:dyDescent="0.3">
      <c r="A4377" s="15" t="s">
        <v>14129</v>
      </c>
      <c r="B4377" s="15" t="s">
        <v>14130</v>
      </c>
      <c r="C4377" s="18" t="s">
        <v>28</v>
      </c>
      <c r="D4377" s="15" t="s">
        <v>14131</v>
      </c>
      <c r="E4377" s="18" t="s">
        <v>28</v>
      </c>
      <c r="F4377" s="19" t="s">
        <v>28</v>
      </c>
      <c r="G4377" s="19">
        <v>1.9</v>
      </c>
      <c r="H4377" s="19" t="s">
        <v>28</v>
      </c>
      <c r="I4377" s="18" t="s">
        <v>28</v>
      </c>
      <c r="J4377" s="18" t="s">
        <v>28</v>
      </c>
      <c r="K4377" s="18" t="s">
        <v>28</v>
      </c>
      <c r="L4377" s="18" t="s">
        <v>28</v>
      </c>
      <c r="M4377" s="18" t="s">
        <v>28</v>
      </c>
      <c r="N4377" s="17">
        <v>44439</v>
      </c>
      <c r="O4377" s="15" t="s">
        <v>73</v>
      </c>
      <c r="P4377" s="16" t="s">
        <v>14132</v>
      </c>
      <c r="Q4377" s="15" t="s">
        <v>75</v>
      </c>
      <c r="R4377" s="13" t="str">
        <f>HYPERLINK("https://my.pitchbook.com?c=179455-06T","View Company Online")</f>
        <v>View Company Online</v>
      </c>
    </row>
    <row r="4378" spans="1:18" hidden="1" x14ac:dyDescent="0.3">
      <c r="A4378" s="9" t="s">
        <v>14133</v>
      </c>
      <c r="B4378" s="9" t="s">
        <v>11471</v>
      </c>
      <c r="C4378" s="11" t="s">
        <v>28</v>
      </c>
      <c r="D4378" s="9" t="s">
        <v>14134</v>
      </c>
      <c r="E4378" s="11">
        <v>142.96</v>
      </c>
      <c r="F4378" s="10" t="s">
        <v>28</v>
      </c>
      <c r="G4378" s="10" t="s">
        <v>28</v>
      </c>
      <c r="H4378" s="10" t="s">
        <v>28</v>
      </c>
      <c r="I4378" s="11">
        <v>170.9</v>
      </c>
      <c r="J4378" s="11" t="s">
        <v>28</v>
      </c>
      <c r="K4378" s="11">
        <v>129.28</v>
      </c>
      <c r="L4378" s="11" t="s">
        <v>28</v>
      </c>
      <c r="M4378" s="11">
        <v>85.8</v>
      </c>
      <c r="N4378" s="8">
        <v>44439</v>
      </c>
      <c r="O4378" s="9" t="s">
        <v>159</v>
      </c>
      <c r="P4378" s="12" t="s">
        <v>14135</v>
      </c>
      <c r="Q4378" s="9" t="s">
        <v>299</v>
      </c>
      <c r="R4378" s="14" t="str">
        <f>HYPERLINK("https://my.pitchbook.com?c=185261-68T","View Company Online")</f>
        <v>View Company Online</v>
      </c>
    </row>
    <row r="4379" spans="1:18" hidden="1" x14ac:dyDescent="0.3">
      <c r="A4379" s="15" t="s">
        <v>14136</v>
      </c>
      <c r="B4379" s="15" t="s">
        <v>8414</v>
      </c>
      <c r="C4379" s="18" t="s">
        <v>28</v>
      </c>
      <c r="D4379" s="15" t="s">
        <v>8415</v>
      </c>
      <c r="E4379" s="18" t="s">
        <v>28</v>
      </c>
      <c r="F4379" s="19" t="s">
        <v>28</v>
      </c>
      <c r="G4379" s="19">
        <v>0.13</v>
      </c>
      <c r="H4379" s="19">
        <v>1.79</v>
      </c>
      <c r="I4379" s="18" t="s">
        <v>28</v>
      </c>
      <c r="J4379" s="18" t="s">
        <v>28</v>
      </c>
      <c r="K4379" s="18" t="s">
        <v>28</v>
      </c>
      <c r="L4379" s="18" t="s">
        <v>28</v>
      </c>
      <c r="M4379" s="18" t="s">
        <v>28</v>
      </c>
      <c r="N4379" s="17">
        <v>44439</v>
      </c>
      <c r="O4379" s="15" t="s">
        <v>52</v>
      </c>
      <c r="P4379" s="16" t="s">
        <v>3944</v>
      </c>
      <c r="Q4379" s="15" t="s">
        <v>37</v>
      </c>
      <c r="R4379" s="13" t="str">
        <f>HYPERLINK("https://my.pitchbook.com?c=185173-03T","View Company Online")</f>
        <v>View Company Online</v>
      </c>
    </row>
    <row r="4380" spans="1:18" hidden="1" x14ac:dyDescent="0.3">
      <c r="A4380" s="9" t="s">
        <v>14137</v>
      </c>
      <c r="B4380" s="9" t="s">
        <v>14138</v>
      </c>
      <c r="C4380" s="11" t="s">
        <v>28</v>
      </c>
      <c r="D4380" s="9" t="s">
        <v>14139</v>
      </c>
      <c r="E4380" s="11">
        <v>1.66</v>
      </c>
      <c r="F4380" s="10" t="s">
        <v>28</v>
      </c>
      <c r="G4380" s="10" t="s">
        <v>28</v>
      </c>
      <c r="H4380" s="10" t="s">
        <v>28</v>
      </c>
      <c r="I4380" s="11">
        <v>1.66</v>
      </c>
      <c r="J4380" s="11" t="s">
        <v>28</v>
      </c>
      <c r="K4380" s="11">
        <v>1.19</v>
      </c>
      <c r="L4380" s="11" t="s">
        <v>28</v>
      </c>
      <c r="M4380" s="11">
        <v>1.82</v>
      </c>
      <c r="N4380" s="8">
        <v>44439</v>
      </c>
      <c r="O4380" s="9" t="s">
        <v>173</v>
      </c>
      <c r="P4380" s="12" t="s">
        <v>28</v>
      </c>
      <c r="Q4380" s="9" t="s">
        <v>174</v>
      </c>
      <c r="R4380" s="14" t="str">
        <f>HYPERLINK("https://my.pitchbook.com?c=266769-91T","View Company Online")</f>
        <v>View Company Online</v>
      </c>
    </row>
    <row r="4381" spans="1:18" hidden="1" x14ac:dyDescent="0.3">
      <c r="A4381" s="15" t="s">
        <v>14140</v>
      </c>
      <c r="B4381" s="15" t="s">
        <v>11917</v>
      </c>
      <c r="C4381" s="18" t="s">
        <v>28</v>
      </c>
      <c r="D4381" s="15" t="s">
        <v>11918</v>
      </c>
      <c r="E4381" s="18" t="s">
        <v>28</v>
      </c>
      <c r="F4381" s="19" t="s">
        <v>28</v>
      </c>
      <c r="G4381" s="19">
        <v>0.95</v>
      </c>
      <c r="H4381" s="19" t="s">
        <v>28</v>
      </c>
      <c r="I4381" s="18" t="s">
        <v>28</v>
      </c>
      <c r="J4381" s="18" t="s">
        <v>28</v>
      </c>
      <c r="K4381" s="18" t="s">
        <v>28</v>
      </c>
      <c r="L4381" s="18" t="s">
        <v>28</v>
      </c>
      <c r="M4381" s="18" t="s">
        <v>28</v>
      </c>
      <c r="N4381" s="17">
        <v>44439</v>
      </c>
      <c r="O4381" s="15" t="s">
        <v>1639</v>
      </c>
      <c r="P4381" s="16" t="s">
        <v>28</v>
      </c>
      <c r="Q4381" s="15" t="s">
        <v>307</v>
      </c>
      <c r="R4381" s="13" t="str">
        <f>HYPERLINK("https://my.pitchbook.com?c=173507-41T","View Company Online")</f>
        <v>View Company Online</v>
      </c>
    </row>
    <row r="4382" spans="1:18" hidden="1" x14ac:dyDescent="0.3">
      <c r="A4382" s="9" t="s">
        <v>14141</v>
      </c>
      <c r="B4382" s="9" t="s">
        <v>14142</v>
      </c>
      <c r="C4382" s="11" t="s">
        <v>28</v>
      </c>
      <c r="D4382" s="9" t="s">
        <v>14143</v>
      </c>
      <c r="E4382" s="11" t="s">
        <v>28</v>
      </c>
      <c r="F4382" s="10" t="s">
        <v>28</v>
      </c>
      <c r="G4382" s="10" t="s">
        <v>28</v>
      </c>
      <c r="H4382" s="10" t="s">
        <v>28</v>
      </c>
      <c r="I4382" s="11" t="s">
        <v>28</v>
      </c>
      <c r="J4382" s="11" t="s">
        <v>28</v>
      </c>
      <c r="K4382" s="11" t="s">
        <v>28</v>
      </c>
      <c r="L4382" s="11" t="s">
        <v>28</v>
      </c>
      <c r="M4382" s="11" t="s">
        <v>28</v>
      </c>
      <c r="N4382" s="8">
        <v>44438</v>
      </c>
      <c r="O4382" s="9" t="s">
        <v>30</v>
      </c>
      <c r="P4382" s="12" t="s">
        <v>14144</v>
      </c>
      <c r="Q4382" s="9" t="s">
        <v>740</v>
      </c>
      <c r="R4382" s="14" t="str">
        <f>HYPERLINK("https://my.pitchbook.com?c=179576-74T","View Company Online")</f>
        <v>View Company Online</v>
      </c>
    </row>
    <row r="4383" spans="1:18" hidden="1" x14ac:dyDescent="0.3">
      <c r="A4383" s="15" t="s">
        <v>14145</v>
      </c>
      <c r="B4383" s="15" t="s">
        <v>7812</v>
      </c>
      <c r="C4383" s="18" t="s">
        <v>28</v>
      </c>
      <c r="D4383" s="15" t="s">
        <v>14146</v>
      </c>
      <c r="E4383" s="18" t="s">
        <v>28</v>
      </c>
      <c r="F4383" s="19">
        <v>4.96</v>
      </c>
      <c r="G4383" s="19">
        <v>4.96</v>
      </c>
      <c r="H4383" s="19">
        <v>4.96</v>
      </c>
      <c r="I4383" s="18" t="s">
        <v>28</v>
      </c>
      <c r="J4383" s="18" t="s">
        <v>28</v>
      </c>
      <c r="K4383" s="18">
        <v>5.56</v>
      </c>
      <c r="L4383" s="18">
        <v>0.89</v>
      </c>
      <c r="M4383" s="18" t="s">
        <v>28</v>
      </c>
      <c r="N4383" s="17">
        <v>44438</v>
      </c>
      <c r="O4383" s="15" t="s">
        <v>30</v>
      </c>
      <c r="P4383" s="16" t="s">
        <v>2344</v>
      </c>
      <c r="Q4383" s="15" t="s">
        <v>14060</v>
      </c>
      <c r="R4383" s="13" t="str">
        <f>HYPERLINK("https://my.pitchbook.com?c=211913-47T","View Company Online")</f>
        <v>View Company Online</v>
      </c>
    </row>
    <row r="4384" spans="1:18" hidden="1" x14ac:dyDescent="0.3">
      <c r="A4384" s="9" t="s">
        <v>14147</v>
      </c>
      <c r="B4384" s="9" t="s">
        <v>14148</v>
      </c>
      <c r="C4384" s="11" t="s">
        <v>28</v>
      </c>
      <c r="D4384" s="9" t="s">
        <v>14149</v>
      </c>
      <c r="E4384" s="11" t="s">
        <v>28</v>
      </c>
      <c r="F4384" s="10">
        <v>0.02</v>
      </c>
      <c r="G4384" s="10">
        <v>0.02</v>
      </c>
      <c r="H4384" s="10">
        <v>0.02</v>
      </c>
      <c r="I4384" s="11" t="s">
        <v>28</v>
      </c>
      <c r="J4384" s="11" t="s">
        <v>28</v>
      </c>
      <c r="K4384" s="11" t="s">
        <v>28</v>
      </c>
      <c r="L4384" s="11" t="s">
        <v>28</v>
      </c>
      <c r="M4384" s="11" t="s">
        <v>28</v>
      </c>
      <c r="N4384" s="8">
        <v>44435</v>
      </c>
      <c r="O4384" s="9" t="s">
        <v>41</v>
      </c>
      <c r="P4384" s="12" t="s">
        <v>14150</v>
      </c>
      <c r="Q4384" s="9" t="s">
        <v>692</v>
      </c>
      <c r="R4384" s="14" t="str">
        <f>HYPERLINK("https://my.pitchbook.com?c=298004-86T","View Company Online")</f>
        <v>View Company Online</v>
      </c>
    </row>
    <row r="4385" spans="1:18" hidden="1" x14ac:dyDescent="0.3">
      <c r="A4385" s="15" t="s">
        <v>14151</v>
      </c>
      <c r="B4385" s="15" t="s">
        <v>10081</v>
      </c>
      <c r="C4385" s="18" t="s">
        <v>28</v>
      </c>
      <c r="D4385" s="15" t="s">
        <v>10082</v>
      </c>
      <c r="E4385" s="18" t="s">
        <v>28</v>
      </c>
      <c r="F4385" s="19" t="s">
        <v>28</v>
      </c>
      <c r="G4385" s="19">
        <v>0.25</v>
      </c>
      <c r="H4385" s="19" t="s">
        <v>28</v>
      </c>
      <c r="I4385" s="18" t="s">
        <v>28</v>
      </c>
      <c r="J4385" s="18" t="s">
        <v>28</v>
      </c>
      <c r="K4385" s="18" t="s">
        <v>28</v>
      </c>
      <c r="L4385" s="18" t="s">
        <v>28</v>
      </c>
      <c r="M4385" s="18" t="s">
        <v>28</v>
      </c>
      <c r="N4385" s="17">
        <v>44435</v>
      </c>
      <c r="O4385" s="15" t="s">
        <v>1639</v>
      </c>
      <c r="P4385" s="16" t="s">
        <v>28</v>
      </c>
      <c r="Q4385" s="15" t="s">
        <v>249</v>
      </c>
      <c r="R4385" s="13" t="str">
        <f>HYPERLINK("https://my.pitchbook.com?c=181845-55T","View Company Online")</f>
        <v>View Company Online</v>
      </c>
    </row>
    <row r="4386" spans="1:18" hidden="1" x14ac:dyDescent="0.3">
      <c r="A4386" s="9" t="s">
        <v>14152</v>
      </c>
      <c r="B4386" s="9" t="s">
        <v>14153</v>
      </c>
      <c r="C4386" s="11" t="s">
        <v>28</v>
      </c>
      <c r="D4386" s="9" t="s">
        <v>14154</v>
      </c>
      <c r="E4386" s="11" t="s">
        <v>28</v>
      </c>
      <c r="F4386" s="10">
        <v>468.66</v>
      </c>
      <c r="G4386" s="10">
        <v>468.66</v>
      </c>
      <c r="H4386" s="10">
        <v>468.66</v>
      </c>
      <c r="I4386" s="11" t="s">
        <v>28</v>
      </c>
      <c r="J4386" s="11" t="s">
        <v>28</v>
      </c>
      <c r="K4386" s="11" t="s">
        <v>28</v>
      </c>
      <c r="L4386" s="11" t="s">
        <v>28</v>
      </c>
      <c r="M4386" s="11" t="s">
        <v>28</v>
      </c>
      <c r="N4386" s="8">
        <v>44435</v>
      </c>
      <c r="O4386" s="9" t="s">
        <v>41</v>
      </c>
      <c r="P4386" s="12" t="s">
        <v>14155</v>
      </c>
      <c r="Q4386" s="9" t="s">
        <v>692</v>
      </c>
      <c r="R4386" s="14" t="str">
        <f>HYPERLINK("https://my.pitchbook.com?c=222894-37T","View Company Online")</f>
        <v>View Company Online</v>
      </c>
    </row>
    <row r="4387" spans="1:18" hidden="1" x14ac:dyDescent="0.3">
      <c r="A4387" s="15" t="s">
        <v>14156</v>
      </c>
      <c r="B4387" s="15" t="s">
        <v>2194</v>
      </c>
      <c r="C4387" s="18" t="s">
        <v>28</v>
      </c>
      <c r="D4387" s="15" t="s">
        <v>2195</v>
      </c>
      <c r="E4387" s="18" t="s">
        <v>28</v>
      </c>
      <c r="F4387" s="19" t="s">
        <v>28</v>
      </c>
      <c r="G4387" s="19" t="s">
        <v>28</v>
      </c>
      <c r="H4387" s="19" t="s">
        <v>28</v>
      </c>
      <c r="I4387" s="18" t="s">
        <v>28</v>
      </c>
      <c r="J4387" s="18" t="s">
        <v>28</v>
      </c>
      <c r="K4387" s="18" t="s">
        <v>28</v>
      </c>
      <c r="L4387" s="18" t="s">
        <v>28</v>
      </c>
      <c r="M4387" s="18" t="s">
        <v>28</v>
      </c>
      <c r="N4387" s="17">
        <v>44435</v>
      </c>
      <c r="O4387" s="15" t="s">
        <v>99</v>
      </c>
      <c r="P4387" s="16" t="s">
        <v>611</v>
      </c>
      <c r="Q4387" s="15" t="s">
        <v>75</v>
      </c>
      <c r="R4387" s="13" t="str">
        <f>HYPERLINK("https://my.pitchbook.com?c=194460-22T","View Company Online")</f>
        <v>View Company Online</v>
      </c>
    </row>
    <row r="4388" spans="1:18" hidden="1" x14ac:dyDescent="0.3">
      <c r="A4388" s="9" t="s">
        <v>14157</v>
      </c>
      <c r="B4388" s="9" t="s">
        <v>14158</v>
      </c>
      <c r="C4388" s="11" t="s">
        <v>28</v>
      </c>
      <c r="D4388" s="9" t="s">
        <v>14159</v>
      </c>
      <c r="E4388" s="11" t="s">
        <v>28</v>
      </c>
      <c r="F4388" s="10">
        <v>7.63</v>
      </c>
      <c r="G4388" s="10">
        <v>7.63</v>
      </c>
      <c r="H4388" s="10">
        <v>7.63</v>
      </c>
      <c r="I4388" s="11" t="s">
        <v>28</v>
      </c>
      <c r="J4388" s="11" t="s">
        <v>28</v>
      </c>
      <c r="K4388" s="11" t="s">
        <v>28</v>
      </c>
      <c r="L4388" s="11" t="s">
        <v>28</v>
      </c>
      <c r="M4388" s="11" t="s">
        <v>28</v>
      </c>
      <c r="N4388" s="8">
        <v>44435</v>
      </c>
      <c r="O4388" s="9" t="s">
        <v>30</v>
      </c>
      <c r="P4388" s="12" t="s">
        <v>3797</v>
      </c>
      <c r="Q4388" s="9" t="s">
        <v>290</v>
      </c>
      <c r="R4388" s="14" t="str">
        <f>HYPERLINK("https://my.pitchbook.com?c=179206-66T","View Company Online")</f>
        <v>View Company Online</v>
      </c>
    </row>
    <row r="4389" spans="1:18" hidden="1" x14ac:dyDescent="0.3">
      <c r="A4389" s="15" t="s">
        <v>14160</v>
      </c>
      <c r="B4389" s="15" t="s">
        <v>14161</v>
      </c>
      <c r="C4389" s="18" t="s">
        <v>28</v>
      </c>
      <c r="D4389" s="15" t="s">
        <v>14162</v>
      </c>
      <c r="E4389" s="18" t="s">
        <v>28</v>
      </c>
      <c r="F4389" s="19" t="s">
        <v>28</v>
      </c>
      <c r="G4389" s="19">
        <v>3.05</v>
      </c>
      <c r="H4389" s="19" t="s">
        <v>28</v>
      </c>
      <c r="I4389" s="18" t="s">
        <v>28</v>
      </c>
      <c r="J4389" s="18" t="s">
        <v>28</v>
      </c>
      <c r="K4389" s="18" t="s">
        <v>28</v>
      </c>
      <c r="L4389" s="18" t="s">
        <v>28</v>
      </c>
      <c r="M4389" s="18" t="s">
        <v>28</v>
      </c>
      <c r="N4389" s="17">
        <v>44434</v>
      </c>
      <c r="O4389" s="15" t="s">
        <v>99</v>
      </c>
      <c r="P4389" s="16" t="s">
        <v>14163</v>
      </c>
      <c r="Q4389" s="15" t="s">
        <v>583</v>
      </c>
      <c r="R4389" s="13" t="str">
        <f>HYPERLINK("https://my.pitchbook.com?c=179076-16T","View Company Online")</f>
        <v>View Company Online</v>
      </c>
    </row>
    <row r="4390" spans="1:18" hidden="1" x14ac:dyDescent="0.3">
      <c r="A4390" s="9" t="s">
        <v>14164</v>
      </c>
      <c r="B4390" s="9" t="s">
        <v>14165</v>
      </c>
      <c r="C4390" s="11" t="s">
        <v>28</v>
      </c>
      <c r="D4390" s="9" t="s">
        <v>14166</v>
      </c>
      <c r="E4390" s="11" t="s">
        <v>28</v>
      </c>
      <c r="F4390" s="10" t="s">
        <v>28</v>
      </c>
      <c r="G4390" s="10">
        <v>3.81</v>
      </c>
      <c r="H4390" s="10" t="s">
        <v>28</v>
      </c>
      <c r="I4390" s="11" t="s">
        <v>28</v>
      </c>
      <c r="J4390" s="11" t="s">
        <v>28</v>
      </c>
      <c r="K4390" s="11" t="s">
        <v>28</v>
      </c>
      <c r="L4390" s="11" t="s">
        <v>28</v>
      </c>
      <c r="M4390" s="11" t="s">
        <v>28</v>
      </c>
      <c r="N4390" s="8">
        <v>44434</v>
      </c>
      <c r="O4390" s="9" t="s">
        <v>79</v>
      </c>
      <c r="P4390" s="12" t="s">
        <v>28</v>
      </c>
      <c r="Q4390" s="9" t="s">
        <v>75</v>
      </c>
      <c r="R4390" s="14" t="str">
        <f>HYPERLINK("https://my.pitchbook.com?c=212705-02T","View Company Online")</f>
        <v>View Company Online</v>
      </c>
    </row>
    <row r="4391" spans="1:18" hidden="1" x14ac:dyDescent="0.3">
      <c r="A4391" s="15" t="s">
        <v>14167</v>
      </c>
      <c r="B4391" s="15" t="s">
        <v>14168</v>
      </c>
      <c r="C4391" s="18" t="s">
        <v>28</v>
      </c>
      <c r="D4391" s="15" t="s">
        <v>14169</v>
      </c>
      <c r="E4391" s="18" t="s">
        <v>28</v>
      </c>
      <c r="F4391" s="19" t="s">
        <v>28</v>
      </c>
      <c r="G4391" s="19">
        <v>143.04</v>
      </c>
      <c r="H4391" s="19">
        <v>667.54</v>
      </c>
      <c r="I4391" s="18" t="s">
        <v>28</v>
      </c>
      <c r="J4391" s="18" t="s">
        <v>28</v>
      </c>
      <c r="K4391" s="18">
        <v>168.41</v>
      </c>
      <c r="L4391" s="18">
        <v>3.96</v>
      </c>
      <c r="M4391" s="18" t="s">
        <v>28</v>
      </c>
      <c r="N4391" s="17">
        <v>44434</v>
      </c>
      <c r="O4391" s="15" t="s">
        <v>93</v>
      </c>
      <c r="P4391" s="16" t="s">
        <v>14170</v>
      </c>
      <c r="Q4391" s="15" t="s">
        <v>409</v>
      </c>
      <c r="R4391" s="13" t="str">
        <f>HYPERLINK("https://my.pitchbook.com?c=179086-51T","View Company Online")</f>
        <v>View Company Online</v>
      </c>
    </row>
    <row r="4392" spans="1:18" hidden="1" x14ac:dyDescent="0.3">
      <c r="A4392" s="9" t="s">
        <v>14171</v>
      </c>
      <c r="B4392" s="9" t="s">
        <v>459</v>
      </c>
      <c r="C4392" s="11" t="s">
        <v>28</v>
      </c>
      <c r="D4392" s="9" t="s">
        <v>460</v>
      </c>
      <c r="E4392" s="11" t="s">
        <v>28</v>
      </c>
      <c r="F4392" s="10" t="s">
        <v>28</v>
      </c>
      <c r="G4392" s="10">
        <v>7.63</v>
      </c>
      <c r="H4392" s="10" t="s">
        <v>28</v>
      </c>
      <c r="I4392" s="11" t="s">
        <v>28</v>
      </c>
      <c r="J4392" s="11" t="s">
        <v>28</v>
      </c>
      <c r="K4392" s="11" t="s">
        <v>28</v>
      </c>
      <c r="L4392" s="11" t="s">
        <v>28</v>
      </c>
      <c r="M4392" s="11" t="s">
        <v>28</v>
      </c>
      <c r="N4392" s="8">
        <v>44434</v>
      </c>
      <c r="O4392" s="9" t="s">
        <v>79</v>
      </c>
      <c r="P4392" s="12" t="s">
        <v>14172</v>
      </c>
      <c r="Q4392" s="9" t="s">
        <v>37</v>
      </c>
      <c r="R4392" s="14" t="str">
        <f>HYPERLINK("https://my.pitchbook.com?c=179075-08T","View Company Online")</f>
        <v>View Company Online</v>
      </c>
    </row>
    <row r="4393" spans="1:18" hidden="1" x14ac:dyDescent="0.3">
      <c r="A4393" s="15" t="s">
        <v>14173</v>
      </c>
      <c r="B4393" s="15" t="s">
        <v>14174</v>
      </c>
      <c r="C4393" s="18" t="s">
        <v>28</v>
      </c>
      <c r="D4393" s="15" t="s">
        <v>14175</v>
      </c>
      <c r="E4393" s="18" t="s">
        <v>28</v>
      </c>
      <c r="F4393" s="19" t="s">
        <v>28</v>
      </c>
      <c r="G4393" s="19" t="s">
        <v>28</v>
      </c>
      <c r="H4393" s="19" t="s">
        <v>28</v>
      </c>
      <c r="I4393" s="18" t="s">
        <v>28</v>
      </c>
      <c r="J4393" s="18" t="s">
        <v>28</v>
      </c>
      <c r="K4393" s="18" t="s">
        <v>28</v>
      </c>
      <c r="L4393" s="18" t="s">
        <v>28</v>
      </c>
      <c r="M4393" s="18" t="s">
        <v>28</v>
      </c>
      <c r="N4393" s="17">
        <v>44433</v>
      </c>
      <c r="O4393" s="15" t="s">
        <v>41</v>
      </c>
      <c r="P4393" s="16" t="s">
        <v>28</v>
      </c>
      <c r="Q4393" s="15" t="s">
        <v>2916</v>
      </c>
      <c r="R4393" s="13" t="str">
        <f>HYPERLINK("https://my.pitchbook.com?c=179026-93T","View Company Online")</f>
        <v>View Company Online</v>
      </c>
    </row>
    <row r="4394" spans="1:18" hidden="1" x14ac:dyDescent="0.3">
      <c r="A4394" s="9" t="s">
        <v>14176</v>
      </c>
      <c r="B4394" s="9" t="s">
        <v>8422</v>
      </c>
      <c r="C4394" s="11" t="s">
        <v>28</v>
      </c>
      <c r="D4394" s="9" t="s">
        <v>8423</v>
      </c>
      <c r="E4394" s="11" t="s">
        <v>28</v>
      </c>
      <c r="F4394" s="10" t="s">
        <v>28</v>
      </c>
      <c r="G4394" s="10">
        <v>0.28999999999999998</v>
      </c>
      <c r="H4394" s="10" t="s">
        <v>28</v>
      </c>
      <c r="I4394" s="11" t="s">
        <v>28</v>
      </c>
      <c r="J4394" s="11" t="s">
        <v>28</v>
      </c>
      <c r="K4394" s="11" t="s">
        <v>28</v>
      </c>
      <c r="L4394" s="11" t="s">
        <v>28</v>
      </c>
      <c r="M4394" s="11" t="s">
        <v>28</v>
      </c>
      <c r="N4394" s="8">
        <v>44433</v>
      </c>
      <c r="O4394" s="9" t="s">
        <v>99</v>
      </c>
      <c r="P4394" s="12" t="s">
        <v>14177</v>
      </c>
      <c r="Q4394" s="9" t="s">
        <v>37</v>
      </c>
      <c r="R4394" s="14" t="str">
        <f>HYPERLINK("https://my.pitchbook.com?c=178926-40T","View Company Online")</f>
        <v>View Company Online</v>
      </c>
    </row>
    <row r="4395" spans="1:18" hidden="1" x14ac:dyDescent="0.3">
      <c r="A4395" s="15" t="s">
        <v>14178</v>
      </c>
      <c r="B4395" s="15" t="s">
        <v>14179</v>
      </c>
      <c r="C4395" s="18" t="s">
        <v>28</v>
      </c>
      <c r="D4395" s="15" t="s">
        <v>14180</v>
      </c>
      <c r="E4395" s="18" t="s">
        <v>28</v>
      </c>
      <c r="F4395" s="19" t="s">
        <v>28</v>
      </c>
      <c r="G4395" s="19" t="s">
        <v>28</v>
      </c>
      <c r="H4395" s="19" t="s">
        <v>28</v>
      </c>
      <c r="I4395" s="18" t="s">
        <v>28</v>
      </c>
      <c r="J4395" s="18" t="s">
        <v>28</v>
      </c>
      <c r="K4395" s="18" t="s">
        <v>28</v>
      </c>
      <c r="L4395" s="18" t="s">
        <v>28</v>
      </c>
      <c r="M4395" s="18" t="s">
        <v>28</v>
      </c>
      <c r="N4395" s="17">
        <v>44433</v>
      </c>
      <c r="O4395" s="15" t="s">
        <v>173</v>
      </c>
      <c r="P4395" s="16" t="s">
        <v>28</v>
      </c>
      <c r="Q4395" s="15" t="s">
        <v>174</v>
      </c>
      <c r="R4395" s="13" t="str">
        <f>HYPERLINK("https://my.pitchbook.com?c=251545-87T","View Company Online")</f>
        <v>View Company Online</v>
      </c>
    </row>
    <row r="4396" spans="1:18" hidden="1" x14ac:dyDescent="0.3">
      <c r="A4396" s="9" t="s">
        <v>14181</v>
      </c>
      <c r="B4396" s="9" t="s">
        <v>14182</v>
      </c>
      <c r="C4396" s="11" t="s">
        <v>28</v>
      </c>
      <c r="D4396" s="9" t="s">
        <v>14183</v>
      </c>
      <c r="E4396" s="11" t="s">
        <v>28</v>
      </c>
      <c r="F4396" s="10" t="s">
        <v>28</v>
      </c>
      <c r="G4396" s="10" t="s">
        <v>28</v>
      </c>
      <c r="H4396" s="10" t="s">
        <v>28</v>
      </c>
      <c r="I4396" s="11" t="s">
        <v>28</v>
      </c>
      <c r="J4396" s="11" t="s">
        <v>28</v>
      </c>
      <c r="K4396" s="11" t="s">
        <v>28</v>
      </c>
      <c r="L4396" s="11" t="s">
        <v>28</v>
      </c>
      <c r="M4396" s="11" t="s">
        <v>28</v>
      </c>
      <c r="N4396" s="8">
        <v>44433</v>
      </c>
      <c r="O4396" s="9" t="s">
        <v>30</v>
      </c>
      <c r="P4396" s="12" t="s">
        <v>14184</v>
      </c>
      <c r="Q4396" s="9" t="s">
        <v>226</v>
      </c>
      <c r="R4396" s="14" t="str">
        <f>HYPERLINK("https://my.pitchbook.com?c=200794-87T","View Company Online")</f>
        <v>View Company Online</v>
      </c>
    </row>
    <row r="4397" spans="1:18" hidden="1" x14ac:dyDescent="0.3">
      <c r="A4397" s="15" t="s">
        <v>14185</v>
      </c>
      <c r="B4397" s="15" t="s">
        <v>14186</v>
      </c>
      <c r="C4397" s="18" t="s">
        <v>28</v>
      </c>
      <c r="D4397" s="15" t="s">
        <v>14187</v>
      </c>
      <c r="E4397" s="18" t="s">
        <v>28</v>
      </c>
      <c r="F4397" s="19" t="s">
        <v>28</v>
      </c>
      <c r="G4397" s="19">
        <v>0.1</v>
      </c>
      <c r="H4397" s="19" t="s">
        <v>28</v>
      </c>
      <c r="I4397" s="18" t="s">
        <v>28</v>
      </c>
      <c r="J4397" s="18" t="s">
        <v>28</v>
      </c>
      <c r="K4397" s="18" t="s">
        <v>28</v>
      </c>
      <c r="L4397" s="18" t="s">
        <v>28</v>
      </c>
      <c r="M4397" s="18" t="s">
        <v>28</v>
      </c>
      <c r="N4397" s="17">
        <v>44432</v>
      </c>
      <c r="O4397" s="15" t="s">
        <v>73</v>
      </c>
      <c r="P4397" s="16" t="s">
        <v>28</v>
      </c>
      <c r="Q4397" s="15" t="s">
        <v>386</v>
      </c>
      <c r="R4397" s="13" t="str">
        <f>HYPERLINK("https://my.pitchbook.com?c=188549-02T","View Company Online")</f>
        <v>View Company Online</v>
      </c>
    </row>
    <row r="4398" spans="1:18" hidden="1" x14ac:dyDescent="0.3">
      <c r="A4398" s="9" t="s">
        <v>14188</v>
      </c>
      <c r="B4398" s="9" t="s">
        <v>14189</v>
      </c>
      <c r="C4398" s="11" t="s">
        <v>28</v>
      </c>
      <c r="D4398" s="9" t="s">
        <v>14190</v>
      </c>
      <c r="E4398" s="11" t="s">
        <v>28</v>
      </c>
      <c r="F4398" s="10" t="s">
        <v>28</v>
      </c>
      <c r="G4398" s="10">
        <v>114.5</v>
      </c>
      <c r="H4398" s="10" t="s">
        <v>28</v>
      </c>
      <c r="I4398" s="11" t="s">
        <v>28</v>
      </c>
      <c r="J4398" s="11" t="s">
        <v>28</v>
      </c>
      <c r="K4398" s="11" t="s">
        <v>28</v>
      </c>
      <c r="L4398" s="11" t="s">
        <v>28</v>
      </c>
      <c r="M4398" s="11" t="s">
        <v>28</v>
      </c>
      <c r="N4398" s="8">
        <v>44432</v>
      </c>
      <c r="O4398" s="9" t="s">
        <v>73</v>
      </c>
      <c r="P4398" s="12" t="s">
        <v>14191</v>
      </c>
      <c r="Q4398" s="9" t="s">
        <v>37</v>
      </c>
      <c r="R4398" s="14" t="str">
        <f>HYPERLINK("https://my.pitchbook.com?c=178844-41T","View Company Online")</f>
        <v>View Company Online</v>
      </c>
    </row>
    <row r="4399" spans="1:18" hidden="1" x14ac:dyDescent="0.3">
      <c r="A4399" s="15" t="s">
        <v>14192</v>
      </c>
      <c r="B4399" s="15" t="s">
        <v>14193</v>
      </c>
      <c r="C4399" s="18" t="s">
        <v>28</v>
      </c>
      <c r="D4399" s="15" t="s">
        <v>14194</v>
      </c>
      <c r="E4399" s="18" t="s">
        <v>28</v>
      </c>
      <c r="F4399" s="19" t="s">
        <v>28</v>
      </c>
      <c r="G4399" s="19">
        <v>0.25</v>
      </c>
      <c r="H4399" s="19" t="s">
        <v>28</v>
      </c>
      <c r="I4399" s="18" t="s">
        <v>28</v>
      </c>
      <c r="J4399" s="18" t="s">
        <v>28</v>
      </c>
      <c r="K4399" s="18" t="s">
        <v>28</v>
      </c>
      <c r="L4399" s="18" t="s">
        <v>28</v>
      </c>
      <c r="M4399" s="18" t="s">
        <v>28</v>
      </c>
      <c r="N4399" s="17">
        <v>44432</v>
      </c>
      <c r="O4399" s="15" t="s">
        <v>99</v>
      </c>
      <c r="P4399" s="16" t="s">
        <v>14195</v>
      </c>
      <c r="Q4399" s="15" t="s">
        <v>1035</v>
      </c>
      <c r="R4399" s="13" t="str">
        <f>HYPERLINK("https://my.pitchbook.com?c=215488-99T","View Company Online")</f>
        <v>View Company Online</v>
      </c>
    </row>
    <row r="4400" spans="1:18" hidden="1" x14ac:dyDescent="0.3">
      <c r="A4400" s="9" t="s">
        <v>14196</v>
      </c>
      <c r="B4400" s="9" t="s">
        <v>14197</v>
      </c>
      <c r="C4400" s="11" t="s">
        <v>28</v>
      </c>
      <c r="D4400" s="9" t="s">
        <v>14198</v>
      </c>
      <c r="E4400" s="11" t="s">
        <v>28</v>
      </c>
      <c r="F4400" s="10" t="s">
        <v>28</v>
      </c>
      <c r="G4400" s="10">
        <v>0.27</v>
      </c>
      <c r="H4400" s="10" t="s">
        <v>28</v>
      </c>
      <c r="I4400" s="11" t="s">
        <v>28</v>
      </c>
      <c r="J4400" s="11" t="s">
        <v>28</v>
      </c>
      <c r="K4400" s="11" t="s">
        <v>28</v>
      </c>
      <c r="L4400" s="11" t="s">
        <v>28</v>
      </c>
      <c r="M4400" s="11" t="s">
        <v>28</v>
      </c>
      <c r="N4400" s="8">
        <v>44432</v>
      </c>
      <c r="O4400" s="9" t="s">
        <v>8420</v>
      </c>
      <c r="P4400" s="12" t="s">
        <v>28</v>
      </c>
      <c r="Q4400" s="9" t="s">
        <v>136</v>
      </c>
      <c r="R4400" s="14" t="str">
        <f>HYPERLINK("https://my.pitchbook.com?c=189161-92T","View Company Online")</f>
        <v>View Company Online</v>
      </c>
    </row>
    <row r="4401" spans="1:18" hidden="1" x14ac:dyDescent="0.3">
      <c r="A4401" s="15" t="s">
        <v>14199</v>
      </c>
      <c r="B4401" s="15" t="s">
        <v>14200</v>
      </c>
      <c r="C4401" s="18" t="s">
        <v>28</v>
      </c>
      <c r="D4401" s="15" t="s">
        <v>14201</v>
      </c>
      <c r="E4401" s="18">
        <v>7.55</v>
      </c>
      <c r="F4401" s="19" t="s">
        <v>28</v>
      </c>
      <c r="G4401" s="19" t="s">
        <v>28</v>
      </c>
      <c r="H4401" s="19" t="s">
        <v>28</v>
      </c>
      <c r="I4401" s="18">
        <v>7.65</v>
      </c>
      <c r="J4401" s="18" t="s">
        <v>28</v>
      </c>
      <c r="K4401" s="18">
        <v>16.89</v>
      </c>
      <c r="L4401" s="18" t="s">
        <v>28</v>
      </c>
      <c r="M4401" s="18">
        <v>4.03</v>
      </c>
      <c r="N4401" s="17">
        <v>44431</v>
      </c>
      <c r="O4401" s="15" t="s">
        <v>41</v>
      </c>
      <c r="P4401" s="16" t="s">
        <v>14202</v>
      </c>
      <c r="Q4401" s="15" t="s">
        <v>240</v>
      </c>
      <c r="R4401" s="13" t="str">
        <f>HYPERLINK("https://my.pitchbook.com?c=173499-85T","View Company Online")</f>
        <v>View Company Online</v>
      </c>
    </row>
    <row r="4402" spans="1:18" hidden="1" x14ac:dyDescent="0.3">
      <c r="A4402" s="9" t="s">
        <v>14203</v>
      </c>
      <c r="B4402" s="9" t="s">
        <v>14204</v>
      </c>
      <c r="C4402" s="11" t="s">
        <v>28</v>
      </c>
      <c r="D4402" s="9" t="s">
        <v>14205</v>
      </c>
      <c r="E4402" s="11" t="s">
        <v>28</v>
      </c>
      <c r="F4402" s="10" t="s">
        <v>28</v>
      </c>
      <c r="G4402" s="10">
        <v>0.59</v>
      </c>
      <c r="H4402" s="10">
        <v>2.96</v>
      </c>
      <c r="I4402" s="11" t="s">
        <v>28</v>
      </c>
      <c r="J4402" s="11" t="s">
        <v>28</v>
      </c>
      <c r="K4402" s="11" t="s">
        <v>28</v>
      </c>
      <c r="L4402" s="11" t="s">
        <v>28</v>
      </c>
      <c r="M4402" s="11" t="s">
        <v>28</v>
      </c>
      <c r="N4402" s="8">
        <v>44431</v>
      </c>
      <c r="O4402" s="9" t="s">
        <v>58</v>
      </c>
      <c r="P4402" s="12" t="s">
        <v>8911</v>
      </c>
      <c r="Q4402" s="9" t="s">
        <v>37</v>
      </c>
      <c r="R4402" s="14" t="str">
        <f>HYPERLINK("https://my.pitchbook.com?c=211738-69T","View Company Online")</f>
        <v>View Company Online</v>
      </c>
    </row>
    <row r="4403" spans="1:18" hidden="1" x14ac:dyDescent="0.3">
      <c r="A4403" s="15" t="s">
        <v>14206</v>
      </c>
      <c r="B4403" s="15" t="s">
        <v>14207</v>
      </c>
      <c r="C4403" s="18" t="s">
        <v>28</v>
      </c>
      <c r="D4403" s="15" t="s">
        <v>14208</v>
      </c>
      <c r="E4403" s="18" t="s">
        <v>28</v>
      </c>
      <c r="F4403" s="19" t="s">
        <v>28</v>
      </c>
      <c r="G4403" s="19" t="s">
        <v>28</v>
      </c>
      <c r="H4403" s="19" t="s">
        <v>28</v>
      </c>
      <c r="I4403" s="18" t="s">
        <v>28</v>
      </c>
      <c r="J4403" s="18" t="s">
        <v>28</v>
      </c>
      <c r="K4403" s="18" t="s">
        <v>28</v>
      </c>
      <c r="L4403" s="18" t="s">
        <v>28</v>
      </c>
      <c r="M4403" s="18" t="s">
        <v>28</v>
      </c>
      <c r="N4403" s="17">
        <v>44431</v>
      </c>
      <c r="O4403" s="15" t="s">
        <v>30</v>
      </c>
      <c r="P4403" s="16" t="s">
        <v>14209</v>
      </c>
      <c r="Q4403" s="15" t="s">
        <v>136</v>
      </c>
      <c r="R4403" s="13" t="str">
        <f>HYPERLINK("https://my.pitchbook.com?c=211894-12T","View Company Online")</f>
        <v>View Company Online</v>
      </c>
    </row>
    <row r="4404" spans="1:18" hidden="1" x14ac:dyDescent="0.3">
      <c r="A4404" s="9" t="s">
        <v>14210</v>
      </c>
      <c r="B4404" s="9" t="s">
        <v>6001</v>
      </c>
      <c r="C4404" s="11" t="s">
        <v>28</v>
      </c>
      <c r="D4404" s="9" t="s">
        <v>6002</v>
      </c>
      <c r="E4404" s="11" t="s">
        <v>28</v>
      </c>
      <c r="F4404" s="10" t="s">
        <v>28</v>
      </c>
      <c r="G4404" s="10" t="s">
        <v>28</v>
      </c>
      <c r="H4404" s="10" t="s">
        <v>28</v>
      </c>
      <c r="I4404" s="11" t="s">
        <v>28</v>
      </c>
      <c r="J4404" s="11" t="s">
        <v>28</v>
      </c>
      <c r="K4404" s="11" t="s">
        <v>28</v>
      </c>
      <c r="L4404" s="11" t="s">
        <v>28</v>
      </c>
      <c r="M4404" s="11" t="s">
        <v>28</v>
      </c>
      <c r="N4404" s="8">
        <v>44431</v>
      </c>
      <c r="O4404" s="9" t="s">
        <v>99</v>
      </c>
      <c r="P4404" s="12" t="s">
        <v>14211</v>
      </c>
      <c r="Q4404" s="9" t="s">
        <v>136</v>
      </c>
      <c r="R4404" s="14" t="str">
        <f>HYPERLINK("https://my.pitchbook.com?c=202538-80T","View Company Online")</f>
        <v>View Company Online</v>
      </c>
    </row>
    <row r="4405" spans="1:18" hidden="1" x14ac:dyDescent="0.3">
      <c r="A4405" s="15" t="s">
        <v>14212</v>
      </c>
      <c r="B4405" s="15" t="s">
        <v>14213</v>
      </c>
      <c r="C4405" s="18" t="s">
        <v>28</v>
      </c>
      <c r="D4405" s="15" t="s">
        <v>14214</v>
      </c>
      <c r="E4405" s="18" t="s">
        <v>28</v>
      </c>
      <c r="F4405" s="19" t="s">
        <v>28</v>
      </c>
      <c r="G4405" s="19" t="s">
        <v>28</v>
      </c>
      <c r="H4405" s="19" t="s">
        <v>28</v>
      </c>
      <c r="I4405" s="18" t="s">
        <v>28</v>
      </c>
      <c r="J4405" s="18" t="s">
        <v>28</v>
      </c>
      <c r="K4405" s="18" t="s">
        <v>28</v>
      </c>
      <c r="L4405" s="18" t="s">
        <v>28</v>
      </c>
      <c r="M4405" s="18" t="s">
        <v>28</v>
      </c>
      <c r="N4405" s="17">
        <v>44431</v>
      </c>
      <c r="O4405" s="15" t="s">
        <v>30</v>
      </c>
      <c r="P4405" s="16" t="s">
        <v>14215</v>
      </c>
      <c r="Q4405" s="15" t="s">
        <v>75</v>
      </c>
      <c r="R4405" s="13" t="str">
        <f>HYPERLINK("https://my.pitchbook.com?c=178856-92T","View Company Online")</f>
        <v>View Company Online</v>
      </c>
    </row>
    <row r="4406" spans="1:18" hidden="1" x14ac:dyDescent="0.3">
      <c r="A4406" s="9" t="s">
        <v>14216</v>
      </c>
      <c r="B4406" s="9" t="s">
        <v>6887</v>
      </c>
      <c r="C4406" s="11" t="s">
        <v>28</v>
      </c>
      <c r="D4406" s="9" t="s">
        <v>6888</v>
      </c>
      <c r="E4406" s="11" t="s">
        <v>28</v>
      </c>
      <c r="F4406" s="10" t="s">
        <v>28</v>
      </c>
      <c r="G4406" s="10">
        <v>16.260000000000002</v>
      </c>
      <c r="H4406" s="10" t="s">
        <v>28</v>
      </c>
      <c r="I4406" s="11" t="s">
        <v>28</v>
      </c>
      <c r="J4406" s="11" t="s">
        <v>28</v>
      </c>
      <c r="K4406" s="11" t="s">
        <v>28</v>
      </c>
      <c r="L4406" s="11" t="s">
        <v>28</v>
      </c>
      <c r="M4406" s="11" t="s">
        <v>28</v>
      </c>
      <c r="N4406" s="8">
        <v>44430</v>
      </c>
      <c r="O4406" s="9" t="s">
        <v>73</v>
      </c>
      <c r="P4406" s="12" t="s">
        <v>14217</v>
      </c>
      <c r="Q4406" s="9" t="s">
        <v>75</v>
      </c>
      <c r="R4406" s="14" t="str">
        <f>HYPERLINK("https://my.pitchbook.com?c=178753-33T","View Company Online")</f>
        <v>View Company Online</v>
      </c>
    </row>
    <row r="4407" spans="1:18" hidden="1" x14ac:dyDescent="0.3">
      <c r="A4407" s="15" t="s">
        <v>14218</v>
      </c>
      <c r="B4407" s="15" t="s">
        <v>14219</v>
      </c>
      <c r="C4407" s="18" t="s">
        <v>28</v>
      </c>
      <c r="D4407" s="15" t="s">
        <v>14220</v>
      </c>
      <c r="E4407" s="18" t="s">
        <v>28</v>
      </c>
      <c r="F4407" s="19" t="s">
        <v>28</v>
      </c>
      <c r="G4407" s="19" t="s">
        <v>28</v>
      </c>
      <c r="H4407" s="19" t="s">
        <v>28</v>
      </c>
      <c r="I4407" s="18" t="s">
        <v>28</v>
      </c>
      <c r="J4407" s="18" t="s">
        <v>28</v>
      </c>
      <c r="K4407" s="18" t="s">
        <v>28</v>
      </c>
      <c r="L4407" s="18" t="s">
        <v>28</v>
      </c>
      <c r="M4407" s="18" t="s">
        <v>28</v>
      </c>
      <c r="N4407" s="17">
        <v>44428</v>
      </c>
      <c r="O4407" s="15" t="s">
        <v>30</v>
      </c>
      <c r="P4407" s="16" t="s">
        <v>14221</v>
      </c>
      <c r="Q4407" s="15" t="s">
        <v>245</v>
      </c>
      <c r="R4407" s="13" t="str">
        <f>HYPERLINK("https://my.pitchbook.com?c=211878-46T","View Company Online")</f>
        <v>View Company Online</v>
      </c>
    </row>
    <row r="4408" spans="1:18" hidden="1" x14ac:dyDescent="0.3">
      <c r="A4408" s="9" t="s">
        <v>14222</v>
      </c>
      <c r="B4408" s="9" t="s">
        <v>7476</v>
      </c>
      <c r="C4408" s="11" t="s">
        <v>28</v>
      </c>
      <c r="D4408" s="9" t="s">
        <v>7477</v>
      </c>
      <c r="E4408" s="11" t="s">
        <v>28</v>
      </c>
      <c r="F4408" s="10" t="s">
        <v>28</v>
      </c>
      <c r="G4408" s="10">
        <v>1.25</v>
      </c>
      <c r="H4408" s="10" t="s">
        <v>28</v>
      </c>
      <c r="I4408" s="11" t="s">
        <v>28</v>
      </c>
      <c r="J4408" s="11" t="s">
        <v>28</v>
      </c>
      <c r="K4408" s="11" t="s">
        <v>28</v>
      </c>
      <c r="L4408" s="11" t="s">
        <v>28</v>
      </c>
      <c r="M4408" s="11" t="s">
        <v>28</v>
      </c>
      <c r="N4408" s="8">
        <v>44428</v>
      </c>
      <c r="O4408" s="9" t="s">
        <v>73</v>
      </c>
      <c r="P4408" s="12" t="s">
        <v>14223</v>
      </c>
      <c r="Q4408" s="9" t="s">
        <v>37</v>
      </c>
      <c r="R4408" s="14" t="str">
        <f>HYPERLINK("https://my.pitchbook.com?c=190193-77T","View Company Online")</f>
        <v>View Company Online</v>
      </c>
    </row>
    <row r="4409" spans="1:18" hidden="1" x14ac:dyDescent="0.3">
      <c r="A4409" s="15" t="s">
        <v>14224</v>
      </c>
      <c r="B4409" s="15" t="s">
        <v>2157</v>
      </c>
      <c r="C4409" s="18" t="s">
        <v>28</v>
      </c>
      <c r="D4409" s="15" t="s">
        <v>2158</v>
      </c>
      <c r="E4409" s="18" t="s">
        <v>28</v>
      </c>
      <c r="F4409" s="19" t="s">
        <v>28</v>
      </c>
      <c r="G4409" s="19" t="s">
        <v>28</v>
      </c>
      <c r="H4409" s="19" t="s">
        <v>28</v>
      </c>
      <c r="I4409" s="18" t="s">
        <v>28</v>
      </c>
      <c r="J4409" s="18" t="s">
        <v>28</v>
      </c>
      <c r="K4409" s="18" t="s">
        <v>28</v>
      </c>
      <c r="L4409" s="18" t="s">
        <v>28</v>
      </c>
      <c r="M4409" s="18" t="s">
        <v>28</v>
      </c>
      <c r="N4409" s="17">
        <v>44428</v>
      </c>
      <c r="O4409" s="15" t="s">
        <v>99</v>
      </c>
      <c r="P4409" s="16" t="s">
        <v>14225</v>
      </c>
      <c r="Q4409" s="15" t="s">
        <v>386</v>
      </c>
      <c r="R4409" s="13" t="str">
        <f>HYPERLINK("https://my.pitchbook.com?c=234049-06T","View Company Online")</f>
        <v>View Company Online</v>
      </c>
    </row>
    <row r="4410" spans="1:18" hidden="1" x14ac:dyDescent="0.3">
      <c r="A4410" s="9" t="s">
        <v>14226</v>
      </c>
      <c r="B4410" s="9" t="s">
        <v>14227</v>
      </c>
      <c r="C4410" s="11" t="s">
        <v>28</v>
      </c>
      <c r="D4410" s="9" t="s">
        <v>14228</v>
      </c>
      <c r="E4410" s="11" t="s">
        <v>28</v>
      </c>
      <c r="F4410" s="10" t="s">
        <v>28</v>
      </c>
      <c r="G4410" s="10">
        <v>1.1100000000000001</v>
      </c>
      <c r="H4410" s="10" t="s">
        <v>28</v>
      </c>
      <c r="I4410" s="11" t="s">
        <v>28</v>
      </c>
      <c r="J4410" s="11" t="s">
        <v>28</v>
      </c>
      <c r="K4410" s="11" t="s">
        <v>28</v>
      </c>
      <c r="L4410" s="11" t="s">
        <v>28</v>
      </c>
      <c r="M4410" s="11" t="s">
        <v>28</v>
      </c>
      <c r="N4410" s="8">
        <v>44428</v>
      </c>
      <c r="O4410" s="9" t="s">
        <v>79</v>
      </c>
      <c r="P4410" s="12" t="s">
        <v>14229</v>
      </c>
      <c r="Q4410" s="9" t="s">
        <v>75</v>
      </c>
      <c r="R4410" s="14" t="str">
        <f>HYPERLINK("https://my.pitchbook.com?c=166104-91T","View Company Online")</f>
        <v>View Company Online</v>
      </c>
    </row>
    <row r="4411" spans="1:18" hidden="1" x14ac:dyDescent="0.3">
      <c r="A4411" s="15" t="s">
        <v>14230</v>
      </c>
      <c r="B4411" s="15" t="s">
        <v>6541</v>
      </c>
      <c r="C4411" s="18" t="s">
        <v>28</v>
      </c>
      <c r="D4411" s="15" t="s">
        <v>6542</v>
      </c>
      <c r="E4411" s="18" t="s">
        <v>28</v>
      </c>
      <c r="F4411" s="19" t="s">
        <v>28</v>
      </c>
      <c r="G4411" s="19">
        <v>0.38</v>
      </c>
      <c r="H4411" s="19" t="s">
        <v>28</v>
      </c>
      <c r="I4411" s="18" t="s">
        <v>28</v>
      </c>
      <c r="J4411" s="18" t="s">
        <v>28</v>
      </c>
      <c r="K4411" s="18" t="s">
        <v>28</v>
      </c>
      <c r="L4411" s="18" t="s">
        <v>28</v>
      </c>
      <c r="M4411" s="18" t="s">
        <v>28</v>
      </c>
      <c r="N4411" s="17">
        <v>44427</v>
      </c>
      <c r="O4411" s="15" t="s">
        <v>79</v>
      </c>
      <c r="P4411" s="16" t="s">
        <v>14231</v>
      </c>
      <c r="Q4411" s="15" t="s">
        <v>75</v>
      </c>
      <c r="R4411" s="13" t="str">
        <f>HYPERLINK("https://my.pitchbook.com?c=180284-95T","View Company Online")</f>
        <v>View Company Online</v>
      </c>
    </row>
    <row r="4412" spans="1:18" hidden="1" x14ac:dyDescent="0.3">
      <c r="A4412" s="9" t="s">
        <v>14232</v>
      </c>
      <c r="B4412" s="9" t="s">
        <v>5638</v>
      </c>
      <c r="C4412" s="11" t="s">
        <v>28</v>
      </c>
      <c r="D4412" s="9" t="s">
        <v>5639</v>
      </c>
      <c r="E4412" s="11" t="s">
        <v>28</v>
      </c>
      <c r="F4412" s="10" t="s">
        <v>28</v>
      </c>
      <c r="G4412" s="10">
        <v>7.68</v>
      </c>
      <c r="H4412" s="10" t="s">
        <v>28</v>
      </c>
      <c r="I4412" s="11" t="s">
        <v>28</v>
      </c>
      <c r="J4412" s="11" t="s">
        <v>28</v>
      </c>
      <c r="K4412" s="11" t="s">
        <v>28</v>
      </c>
      <c r="L4412" s="11" t="s">
        <v>28</v>
      </c>
      <c r="M4412" s="11" t="s">
        <v>28</v>
      </c>
      <c r="N4412" s="8">
        <v>44426</v>
      </c>
      <c r="O4412" s="9" t="s">
        <v>73</v>
      </c>
      <c r="P4412" s="12" t="s">
        <v>28</v>
      </c>
      <c r="Q4412" s="9" t="s">
        <v>114</v>
      </c>
      <c r="R4412" s="14" t="str">
        <f>HYPERLINK("https://my.pitchbook.com?c=183396-88T","View Company Online")</f>
        <v>View Company Online</v>
      </c>
    </row>
    <row r="4413" spans="1:18" hidden="1" x14ac:dyDescent="0.3">
      <c r="A4413" s="15" t="s">
        <v>14233</v>
      </c>
      <c r="B4413" s="15" t="s">
        <v>14234</v>
      </c>
      <c r="C4413" s="18" t="s">
        <v>28</v>
      </c>
      <c r="D4413" s="15" t="s">
        <v>14235</v>
      </c>
      <c r="E4413" s="18" t="s">
        <v>28</v>
      </c>
      <c r="F4413" s="19" t="s">
        <v>28</v>
      </c>
      <c r="G4413" s="19" t="s">
        <v>28</v>
      </c>
      <c r="H4413" s="19" t="s">
        <v>28</v>
      </c>
      <c r="I4413" s="18" t="s">
        <v>28</v>
      </c>
      <c r="J4413" s="18" t="s">
        <v>28</v>
      </c>
      <c r="K4413" s="18" t="s">
        <v>28</v>
      </c>
      <c r="L4413" s="18" t="s">
        <v>28</v>
      </c>
      <c r="M4413" s="18" t="s">
        <v>28</v>
      </c>
      <c r="N4413" s="17">
        <v>44426</v>
      </c>
      <c r="O4413" s="15" t="s">
        <v>30</v>
      </c>
      <c r="P4413" s="16" t="s">
        <v>14236</v>
      </c>
      <c r="Q4413" s="15" t="s">
        <v>75</v>
      </c>
      <c r="R4413" s="13" t="str">
        <f>HYPERLINK("https://my.pitchbook.com?c=211867-93T","View Company Online")</f>
        <v>View Company Online</v>
      </c>
    </row>
    <row r="4414" spans="1:18" hidden="1" x14ac:dyDescent="0.3">
      <c r="A4414" s="9" t="s">
        <v>14237</v>
      </c>
      <c r="B4414" s="9" t="s">
        <v>1944</v>
      </c>
      <c r="C4414" s="11" t="s">
        <v>28</v>
      </c>
      <c r="D4414" s="9" t="s">
        <v>1945</v>
      </c>
      <c r="E4414" s="11" t="s">
        <v>28</v>
      </c>
      <c r="F4414" s="10" t="s">
        <v>28</v>
      </c>
      <c r="G4414" s="10">
        <v>0.38</v>
      </c>
      <c r="H4414" s="10" t="s">
        <v>28</v>
      </c>
      <c r="I4414" s="11" t="s">
        <v>28</v>
      </c>
      <c r="J4414" s="11" t="s">
        <v>28</v>
      </c>
      <c r="K4414" s="11" t="s">
        <v>28</v>
      </c>
      <c r="L4414" s="11" t="s">
        <v>28</v>
      </c>
      <c r="M4414" s="11" t="s">
        <v>28</v>
      </c>
      <c r="N4414" s="8">
        <v>44426</v>
      </c>
      <c r="O4414" s="9" t="s">
        <v>52</v>
      </c>
      <c r="P4414" s="12" t="s">
        <v>14238</v>
      </c>
      <c r="Q4414" s="9" t="s">
        <v>75</v>
      </c>
      <c r="R4414" s="14" t="str">
        <f>HYPERLINK("https://my.pitchbook.com?c=178556-50T","View Company Online")</f>
        <v>View Company Online</v>
      </c>
    </row>
    <row r="4415" spans="1:18" hidden="1" x14ac:dyDescent="0.3">
      <c r="A4415" s="15" t="s">
        <v>14239</v>
      </c>
      <c r="B4415" s="15" t="s">
        <v>8637</v>
      </c>
      <c r="C4415" s="18" t="s">
        <v>28</v>
      </c>
      <c r="D4415" s="15" t="s">
        <v>8638</v>
      </c>
      <c r="E4415" s="18" t="s">
        <v>28</v>
      </c>
      <c r="F4415" s="19" t="s">
        <v>28</v>
      </c>
      <c r="G4415" s="19">
        <v>420</v>
      </c>
      <c r="H4415" s="19">
        <v>5100</v>
      </c>
      <c r="I4415" s="18" t="s">
        <v>28</v>
      </c>
      <c r="J4415" s="18" t="s">
        <v>28</v>
      </c>
      <c r="K4415" s="18" t="s">
        <v>28</v>
      </c>
      <c r="L4415" s="18" t="s">
        <v>28</v>
      </c>
      <c r="M4415" s="18" t="s">
        <v>28</v>
      </c>
      <c r="N4415" s="17">
        <v>44426</v>
      </c>
      <c r="O4415" s="15" t="s">
        <v>79</v>
      </c>
      <c r="P4415" s="16" t="s">
        <v>14240</v>
      </c>
      <c r="Q4415" s="15" t="s">
        <v>119</v>
      </c>
      <c r="R4415" s="13" t="str">
        <f>HYPERLINK("https://my.pitchbook.com?c=172999-99T","View Company Online")</f>
        <v>View Company Online</v>
      </c>
    </row>
    <row r="4416" spans="1:18" hidden="1" x14ac:dyDescent="0.3">
      <c r="A4416" s="9" t="s">
        <v>14241</v>
      </c>
      <c r="B4416" s="9" t="s">
        <v>14242</v>
      </c>
      <c r="C4416" s="11" t="s">
        <v>28</v>
      </c>
      <c r="D4416" s="9" t="s">
        <v>14243</v>
      </c>
      <c r="E4416" s="11" t="s">
        <v>28</v>
      </c>
      <c r="F4416" s="10" t="s">
        <v>28</v>
      </c>
      <c r="G4416" s="10" t="s">
        <v>28</v>
      </c>
      <c r="H4416" s="10" t="s">
        <v>28</v>
      </c>
      <c r="I4416" s="11" t="s">
        <v>28</v>
      </c>
      <c r="J4416" s="11" t="s">
        <v>28</v>
      </c>
      <c r="K4416" s="11" t="s">
        <v>28</v>
      </c>
      <c r="L4416" s="11" t="s">
        <v>28</v>
      </c>
      <c r="M4416" s="11" t="s">
        <v>28</v>
      </c>
      <c r="N4416" s="8">
        <v>44426</v>
      </c>
      <c r="O4416" s="9" t="s">
        <v>41</v>
      </c>
      <c r="P4416" s="12" t="s">
        <v>11053</v>
      </c>
      <c r="Q4416" s="9" t="s">
        <v>1035</v>
      </c>
      <c r="R4416" s="14" t="str">
        <f>HYPERLINK("https://my.pitchbook.com?c=232697-44T","View Company Online")</f>
        <v>View Company Online</v>
      </c>
    </row>
    <row r="4417" spans="1:18" hidden="1" x14ac:dyDescent="0.3">
      <c r="A4417" s="15" t="s">
        <v>14244</v>
      </c>
      <c r="B4417" s="15" t="s">
        <v>14245</v>
      </c>
      <c r="C4417" s="18" t="s">
        <v>28</v>
      </c>
      <c r="D4417" s="15" t="s">
        <v>14246</v>
      </c>
      <c r="E4417" s="18" t="s">
        <v>28</v>
      </c>
      <c r="F4417" s="19" t="s">
        <v>28</v>
      </c>
      <c r="G4417" s="19" t="s">
        <v>28</v>
      </c>
      <c r="H4417" s="19" t="s">
        <v>28</v>
      </c>
      <c r="I4417" s="18" t="s">
        <v>28</v>
      </c>
      <c r="J4417" s="18" t="s">
        <v>28</v>
      </c>
      <c r="K4417" s="18" t="s">
        <v>28</v>
      </c>
      <c r="L4417" s="18" t="s">
        <v>28</v>
      </c>
      <c r="M4417" s="18" t="s">
        <v>28</v>
      </c>
      <c r="N4417" s="17">
        <v>44426</v>
      </c>
      <c r="O4417" s="15" t="s">
        <v>30</v>
      </c>
      <c r="P4417" s="16" t="s">
        <v>14247</v>
      </c>
      <c r="Q4417" s="15" t="s">
        <v>386</v>
      </c>
      <c r="R4417" s="13" t="str">
        <f>HYPERLINK("https://my.pitchbook.com?c=289003-51T","View Company Online")</f>
        <v>View Company Online</v>
      </c>
    </row>
    <row r="4418" spans="1:18" hidden="1" x14ac:dyDescent="0.3">
      <c r="A4418" s="9" t="s">
        <v>14248</v>
      </c>
      <c r="B4418" s="9" t="s">
        <v>14249</v>
      </c>
      <c r="C4418" s="11" t="s">
        <v>28</v>
      </c>
      <c r="D4418" s="9" t="s">
        <v>14250</v>
      </c>
      <c r="E4418" s="11" t="s">
        <v>28</v>
      </c>
      <c r="F4418" s="10" t="s">
        <v>28</v>
      </c>
      <c r="G4418" s="10">
        <v>0.65</v>
      </c>
      <c r="H4418" s="10" t="s">
        <v>28</v>
      </c>
      <c r="I4418" s="11" t="s">
        <v>28</v>
      </c>
      <c r="J4418" s="11" t="s">
        <v>28</v>
      </c>
      <c r="K4418" s="11" t="s">
        <v>28</v>
      </c>
      <c r="L4418" s="11" t="s">
        <v>28</v>
      </c>
      <c r="M4418" s="11" t="s">
        <v>28</v>
      </c>
      <c r="N4418" s="8">
        <v>44426</v>
      </c>
      <c r="O4418" s="9" t="s">
        <v>93</v>
      </c>
      <c r="P4418" s="12" t="s">
        <v>14251</v>
      </c>
      <c r="Q4418" s="9" t="s">
        <v>136</v>
      </c>
      <c r="R4418" s="14" t="str">
        <f>HYPERLINK("https://my.pitchbook.com?c=179131-24T","View Company Online")</f>
        <v>View Company Online</v>
      </c>
    </row>
    <row r="4419" spans="1:18" hidden="1" x14ac:dyDescent="0.3">
      <c r="A4419" s="15" t="s">
        <v>14252</v>
      </c>
      <c r="B4419" s="15" t="s">
        <v>6457</v>
      </c>
      <c r="C4419" s="18" t="s">
        <v>28</v>
      </c>
      <c r="D4419" s="15" t="s">
        <v>6458</v>
      </c>
      <c r="E4419" s="18" t="s">
        <v>28</v>
      </c>
      <c r="F4419" s="19" t="s">
        <v>28</v>
      </c>
      <c r="G4419" s="19">
        <v>5.66</v>
      </c>
      <c r="H4419" s="19" t="s">
        <v>28</v>
      </c>
      <c r="I4419" s="18" t="s">
        <v>28</v>
      </c>
      <c r="J4419" s="18" t="s">
        <v>28</v>
      </c>
      <c r="K4419" s="18">
        <v>11.68</v>
      </c>
      <c r="L4419" s="18" t="s">
        <v>28</v>
      </c>
      <c r="M4419" s="18" t="s">
        <v>28</v>
      </c>
      <c r="N4419" s="17">
        <v>44425</v>
      </c>
      <c r="O4419" s="15" t="s">
        <v>79</v>
      </c>
      <c r="P4419" s="16" t="s">
        <v>14253</v>
      </c>
      <c r="Q4419" s="15" t="s">
        <v>566</v>
      </c>
      <c r="R4419" s="13" t="str">
        <f>HYPERLINK("https://my.pitchbook.com?c=195011-56T","View Company Online")</f>
        <v>View Company Online</v>
      </c>
    </row>
    <row r="4420" spans="1:18" hidden="1" x14ac:dyDescent="0.3">
      <c r="A4420" s="9" t="s">
        <v>14254</v>
      </c>
      <c r="B4420" s="9" t="s">
        <v>4955</v>
      </c>
      <c r="C4420" s="11" t="s">
        <v>28</v>
      </c>
      <c r="D4420" s="9" t="s">
        <v>4956</v>
      </c>
      <c r="E4420" s="11" t="s">
        <v>28</v>
      </c>
      <c r="F4420" s="10" t="s">
        <v>28</v>
      </c>
      <c r="G4420" s="10" t="s">
        <v>28</v>
      </c>
      <c r="H4420" s="10" t="s">
        <v>28</v>
      </c>
      <c r="I4420" s="11" t="s">
        <v>28</v>
      </c>
      <c r="J4420" s="11" t="s">
        <v>28</v>
      </c>
      <c r="K4420" s="11" t="s">
        <v>28</v>
      </c>
      <c r="L4420" s="11" t="s">
        <v>28</v>
      </c>
      <c r="M4420" s="11" t="s">
        <v>28</v>
      </c>
      <c r="N4420" s="8">
        <v>44425</v>
      </c>
      <c r="O4420" s="9" t="s">
        <v>52</v>
      </c>
      <c r="P4420" s="12" t="s">
        <v>14255</v>
      </c>
      <c r="Q4420" s="9" t="s">
        <v>386</v>
      </c>
      <c r="R4420" s="14" t="str">
        <f>HYPERLINK("https://my.pitchbook.com?c=262631-35T","View Company Online")</f>
        <v>View Company Online</v>
      </c>
    </row>
    <row r="4421" spans="1:18" hidden="1" x14ac:dyDescent="0.3">
      <c r="A4421" s="15" t="s">
        <v>14256</v>
      </c>
      <c r="B4421" s="15" t="s">
        <v>14257</v>
      </c>
      <c r="C4421" s="18" t="s">
        <v>28</v>
      </c>
      <c r="D4421" s="15" t="s">
        <v>14258</v>
      </c>
      <c r="E4421" s="18" t="s">
        <v>28</v>
      </c>
      <c r="F4421" s="19">
        <v>950</v>
      </c>
      <c r="G4421" s="19">
        <v>950</v>
      </c>
      <c r="H4421" s="19">
        <v>950</v>
      </c>
      <c r="I4421" s="18" t="s">
        <v>28</v>
      </c>
      <c r="J4421" s="18" t="s">
        <v>28</v>
      </c>
      <c r="K4421" s="18" t="s">
        <v>28</v>
      </c>
      <c r="L4421" s="18" t="s">
        <v>28</v>
      </c>
      <c r="M4421" s="18" t="s">
        <v>28</v>
      </c>
      <c r="N4421" s="17">
        <v>44425</v>
      </c>
      <c r="O4421" s="15" t="s">
        <v>30</v>
      </c>
      <c r="P4421" s="16" t="s">
        <v>28</v>
      </c>
      <c r="Q4421" s="15" t="s">
        <v>226</v>
      </c>
      <c r="R4421" s="13" t="str">
        <f>HYPERLINK("https://my.pitchbook.com?c=178446-79T","View Company Online")</f>
        <v>View Company Online</v>
      </c>
    </row>
    <row r="4422" spans="1:18" hidden="1" x14ac:dyDescent="0.3">
      <c r="A4422" s="9" t="s">
        <v>14259</v>
      </c>
      <c r="B4422" s="9" t="s">
        <v>6473</v>
      </c>
      <c r="C4422" s="11" t="s">
        <v>28</v>
      </c>
      <c r="D4422" s="9" t="s">
        <v>6474</v>
      </c>
      <c r="E4422" s="11" t="s">
        <v>28</v>
      </c>
      <c r="F4422" s="10" t="s">
        <v>28</v>
      </c>
      <c r="G4422" s="10">
        <v>2.5</v>
      </c>
      <c r="H4422" s="10" t="s">
        <v>28</v>
      </c>
      <c r="I4422" s="11" t="s">
        <v>28</v>
      </c>
      <c r="J4422" s="11" t="s">
        <v>28</v>
      </c>
      <c r="K4422" s="11" t="s">
        <v>28</v>
      </c>
      <c r="L4422" s="11" t="s">
        <v>28</v>
      </c>
      <c r="M4422" s="11" t="s">
        <v>28</v>
      </c>
      <c r="N4422" s="8">
        <v>44425</v>
      </c>
      <c r="O4422" s="9" t="s">
        <v>379</v>
      </c>
      <c r="P4422" s="12" t="s">
        <v>28</v>
      </c>
      <c r="Q4422" s="9" t="s">
        <v>37</v>
      </c>
      <c r="R4422" s="14" t="str">
        <f>HYPERLINK("https://my.pitchbook.com?c=179416-81T","View Company Online")</f>
        <v>View Company Online</v>
      </c>
    </row>
    <row r="4423" spans="1:18" hidden="1" x14ac:dyDescent="0.3">
      <c r="A4423" s="15" t="s">
        <v>14260</v>
      </c>
      <c r="B4423" s="15" t="s">
        <v>9913</v>
      </c>
      <c r="C4423" s="18" t="s">
        <v>28</v>
      </c>
      <c r="D4423" s="15" t="s">
        <v>9914</v>
      </c>
      <c r="E4423" s="18" t="s">
        <v>28</v>
      </c>
      <c r="F4423" s="19">
        <v>4.24</v>
      </c>
      <c r="G4423" s="19">
        <v>4.24</v>
      </c>
      <c r="H4423" s="19">
        <v>4.24</v>
      </c>
      <c r="I4423" s="18" t="s">
        <v>28</v>
      </c>
      <c r="J4423" s="18" t="s">
        <v>28</v>
      </c>
      <c r="K4423" s="18" t="s">
        <v>28</v>
      </c>
      <c r="L4423" s="18" t="s">
        <v>28</v>
      </c>
      <c r="M4423" s="18" t="s">
        <v>28</v>
      </c>
      <c r="N4423" s="17">
        <v>44424</v>
      </c>
      <c r="O4423" s="15" t="s">
        <v>30</v>
      </c>
      <c r="P4423" s="16" t="s">
        <v>28</v>
      </c>
      <c r="Q4423" s="15" t="s">
        <v>414</v>
      </c>
      <c r="R4423" s="13" t="str">
        <f>HYPERLINK("https://my.pitchbook.com?c=200141-02T","View Company Online")</f>
        <v>View Company Online</v>
      </c>
    </row>
    <row r="4424" spans="1:18" hidden="1" x14ac:dyDescent="0.3">
      <c r="A4424" s="9" t="s">
        <v>14261</v>
      </c>
      <c r="B4424" s="9" t="s">
        <v>14262</v>
      </c>
      <c r="C4424" s="11" t="s">
        <v>28</v>
      </c>
      <c r="D4424" s="9" t="s">
        <v>14263</v>
      </c>
      <c r="E4424" s="11" t="s">
        <v>28</v>
      </c>
      <c r="F4424" s="10" t="s">
        <v>28</v>
      </c>
      <c r="G4424" s="10">
        <v>0.96</v>
      </c>
      <c r="H4424" s="10" t="s">
        <v>28</v>
      </c>
      <c r="I4424" s="11" t="s">
        <v>28</v>
      </c>
      <c r="J4424" s="11" t="s">
        <v>28</v>
      </c>
      <c r="K4424" s="11" t="s">
        <v>28</v>
      </c>
      <c r="L4424" s="11" t="s">
        <v>28</v>
      </c>
      <c r="M4424" s="11" t="s">
        <v>28</v>
      </c>
      <c r="N4424" s="8">
        <v>44424</v>
      </c>
      <c r="O4424" s="9" t="s">
        <v>99</v>
      </c>
      <c r="P4424" s="12" t="s">
        <v>14264</v>
      </c>
      <c r="Q4424" s="9" t="s">
        <v>95</v>
      </c>
      <c r="R4424" s="14" t="str">
        <f>HYPERLINK("https://my.pitchbook.com?c=211103-20T","View Company Online")</f>
        <v>View Company Online</v>
      </c>
    </row>
    <row r="4425" spans="1:18" hidden="1" x14ac:dyDescent="0.3">
      <c r="A4425" s="15" t="s">
        <v>14265</v>
      </c>
      <c r="B4425" s="15" t="s">
        <v>14266</v>
      </c>
      <c r="C4425" s="18" t="s">
        <v>28</v>
      </c>
      <c r="D4425" s="15" t="s">
        <v>14267</v>
      </c>
      <c r="E4425" s="18" t="s">
        <v>28</v>
      </c>
      <c r="F4425" s="19" t="s">
        <v>28</v>
      </c>
      <c r="G4425" s="19" t="s">
        <v>28</v>
      </c>
      <c r="H4425" s="19" t="s">
        <v>28</v>
      </c>
      <c r="I4425" s="18" t="s">
        <v>28</v>
      </c>
      <c r="J4425" s="18" t="s">
        <v>28</v>
      </c>
      <c r="K4425" s="18" t="s">
        <v>28</v>
      </c>
      <c r="L4425" s="18" t="s">
        <v>28</v>
      </c>
      <c r="M4425" s="18" t="s">
        <v>28</v>
      </c>
      <c r="N4425" s="17">
        <v>44424</v>
      </c>
      <c r="O4425" s="15" t="s">
        <v>30</v>
      </c>
      <c r="P4425" s="16" t="s">
        <v>2344</v>
      </c>
      <c r="Q4425" s="15" t="s">
        <v>290</v>
      </c>
      <c r="R4425" s="13" t="str">
        <f>HYPERLINK("https://my.pitchbook.com?c=178514-65T","View Company Online")</f>
        <v>View Company Online</v>
      </c>
    </row>
    <row r="4426" spans="1:18" x14ac:dyDescent="0.3">
      <c r="A4426" s="9" t="s">
        <v>14268</v>
      </c>
      <c r="B4426" s="9" t="s">
        <v>14269</v>
      </c>
      <c r="C4426" s="11">
        <v>6.35</v>
      </c>
      <c r="D4426" s="9" t="s">
        <v>14270</v>
      </c>
      <c r="E4426" s="11" t="s">
        <v>28</v>
      </c>
      <c r="F4426" s="10">
        <v>1300</v>
      </c>
      <c r="G4426" s="10">
        <v>1300</v>
      </c>
      <c r="H4426" s="10">
        <v>1300</v>
      </c>
      <c r="I4426" s="11">
        <v>204.6</v>
      </c>
      <c r="J4426" s="11">
        <v>6.35</v>
      </c>
      <c r="K4426" s="11">
        <v>1315.84</v>
      </c>
      <c r="L4426" s="11">
        <v>0.99</v>
      </c>
      <c r="M4426" s="11" t="s">
        <v>28</v>
      </c>
      <c r="N4426" s="8">
        <v>44424</v>
      </c>
      <c r="O4426" s="9" t="s">
        <v>30</v>
      </c>
      <c r="P4426" s="12" t="s">
        <v>14271</v>
      </c>
      <c r="Q4426" s="9" t="s">
        <v>280</v>
      </c>
      <c r="R4426" s="14" t="str">
        <f>HYPERLINK("https://my.pitchbook.com?c=172837-72T","View Company Online")</f>
        <v>View Company Online</v>
      </c>
    </row>
    <row r="4427" spans="1:18" hidden="1" x14ac:dyDescent="0.3">
      <c r="A4427" s="15" t="s">
        <v>14272</v>
      </c>
      <c r="B4427" s="15" t="s">
        <v>5706</v>
      </c>
      <c r="C4427" s="18" t="s">
        <v>28</v>
      </c>
      <c r="D4427" s="15" t="s">
        <v>5707</v>
      </c>
      <c r="E4427" s="18" t="s">
        <v>28</v>
      </c>
      <c r="F4427" s="19" t="s">
        <v>28</v>
      </c>
      <c r="G4427" s="19">
        <v>0.73</v>
      </c>
      <c r="H4427" s="19" t="s">
        <v>28</v>
      </c>
      <c r="I4427" s="18" t="s">
        <v>28</v>
      </c>
      <c r="J4427" s="18" t="s">
        <v>28</v>
      </c>
      <c r="K4427" s="18" t="s">
        <v>28</v>
      </c>
      <c r="L4427" s="18" t="s">
        <v>28</v>
      </c>
      <c r="M4427" s="18" t="s">
        <v>28</v>
      </c>
      <c r="N4427" s="17">
        <v>44424</v>
      </c>
      <c r="O4427" s="15" t="s">
        <v>73</v>
      </c>
      <c r="P4427" s="16" t="s">
        <v>14273</v>
      </c>
      <c r="Q4427" s="15" t="s">
        <v>75</v>
      </c>
      <c r="R4427" s="13" t="str">
        <f>HYPERLINK("https://my.pitchbook.com?c=185222-98T","View Company Online")</f>
        <v>View Company Online</v>
      </c>
    </row>
    <row r="4428" spans="1:18" hidden="1" x14ac:dyDescent="0.3">
      <c r="A4428" s="9" t="s">
        <v>14274</v>
      </c>
      <c r="B4428" s="9" t="s">
        <v>14275</v>
      </c>
      <c r="C4428" s="11" t="s">
        <v>28</v>
      </c>
      <c r="D4428" s="9" t="s">
        <v>14276</v>
      </c>
      <c r="E4428" s="11" t="s">
        <v>28</v>
      </c>
      <c r="F4428" s="10" t="s">
        <v>28</v>
      </c>
      <c r="G4428" s="10" t="s">
        <v>28</v>
      </c>
      <c r="H4428" s="10" t="s">
        <v>28</v>
      </c>
      <c r="I4428" s="11" t="s">
        <v>28</v>
      </c>
      <c r="J4428" s="11" t="s">
        <v>28</v>
      </c>
      <c r="K4428" s="11" t="s">
        <v>28</v>
      </c>
      <c r="L4428" s="11" t="s">
        <v>28</v>
      </c>
      <c r="M4428" s="11" t="s">
        <v>28</v>
      </c>
      <c r="N4428" s="8">
        <v>44424</v>
      </c>
      <c r="O4428" s="9" t="s">
        <v>30</v>
      </c>
      <c r="P4428" s="12" t="s">
        <v>14277</v>
      </c>
      <c r="Q4428" s="9" t="s">
        <v>85</v>
      </c>
      <c r="R4428" s="14" t="str">
        <f>HYPERLINK("https://my.pitchbook.com?c=211912-30T","View Company Online")</f>
        <v>View Company Online</v>
      </c>
    </row>
    <row r="4429" spans="1:18" hidden="1" x14ac:dyDescent="0.3">
      <c r="A4429" s="15" t="s">
        <v>14278</v>
      </c>
      <c r="B4429" s="15" t="s">
        <v>14279</v>
      </c>
      <c r="C4429" s="18" t="s">
        <v>28</v>
      </c>
      <c r="D4429" s="15" t="s">
        <v>14280</v>
      </c>
      <c r="E4429" s="18" t="s">
        <v>28</v>
      </c>
      <c r="F4429" s="19">
        <v>115.5</v>
      </c>
      <c r="G4429" s="19">
        <v>115.5</v>
      </c>
      <c r="H4429" s="19">
        <v>115.5</v>
      </c>
      <c r="I4429" s="18" t="s">
        <v>28</v>
      </c>
      <c r="J4429" s="18" t="s">
        <v>28</v>
      </c>
      <c r="K4429" s="18" t="s">
        <v>28</v>
      </c>
      <c r="L4429" s="18" t="s">
        <v>28</v>
      </c>
      <c r="M4429" s="18" t="s">
        <v>28</v>
      </c>
      <c r="N4429" s="17">
        <v>44424</v>
      </c>
      <c r="O4429" s="15" t="s">
        <v>41</v>
      </c>
      <c r="P4429" s="16" t="s">
        <v>14281</v>
      </c>
      <c r="Q4429" s="15" t="s">
        <v>692</v>
      </c>
      <c r="R4429" s="13" t="str">
        <f>HYPERLINK("https://my.pitchbook.com?c=171842-77T","View Company Online")</f>
        <v>View Company Online</v>
      </c>
    </row>
    <row r="4430" spans="1:18" hidden="1" x14ac:dyDescent="0.3">
      <c r="A4430" s="9" t="s">
        <v>14282</v>
      </c>
      <c r="B4430" s="9" t="s">
        <v>5230</v>
      </c>
      <c r="C4430" s="11" t="s">
        <v>28</v>
      </c>
      <c r="D4430" s="9" t="s">
        <v>5231</v>
      </c>
      <c r="E4430" s="11" t="s">
        <v>28</v>
      </c>
      <c r="F4430" s="10" t="s">
        <v>28</v>
      </c>
      <c r="G4430" s="10" t="s">
        <v>28</v>
      </c>
      <c r="H4430" s="10" t="s">
        <v>28</v>
      </c>
      <c r="I4430" s="11" t="s">
        <v>28</v>
      </c>
      <c r="J4430" s="11" t="s">
        <v>28</v>
      </c>
      <c r="K4430" s="11">
        <v>1.6</v>
      </c>
      <c r="L4430" s="11" t="s">
        <v>28</v>
      </c>
      <c r="M4430" s="11" t="s">
        <v>28</v>
      </c>
      <c r="N4430" s="8">
        <v>44422</v>
      </c>
      <c r="O4430" s="9" t="s">
        <v>52</v>
      </c>
      <c r="P4430" s="12" t="s">
        <v>2442</v>
      </c>
      <c r="Q4430" s="9" t="s">
        <v>75</v>
      </c>
      <c r="R4430" s="14" t="str">
        <f>HYPERLINK("https://my.pitchbook.com?c=259624-90T","View Company Online")</f>
        <v>View Company Online</v>
      </c>
    </row>
    <row r="4431" spans="1:18" hidden="1" x14ac:dyDescent="0.3">
      <c r="A4431" s="15" t="s">
        <v>14283</v>
      </c>
      <c r="B4431" s="15" t="s">
        <v>14284</v>
      </c>
      <c r="C4431" s="18" t="s">
        <v>28</v>
      </c>
      <c r="D4431" s="15" t="s">
        <v>14285</v>
      </c>
      <c r="E4431" s="18" t="s">
        <v>28</v>
      </c>
      <c r="F4431" s="19" t="s">
        <v>28</v>
      </c>
      <c r="G4431" s="19" t="s">
        <v>28</v>
      </c>
      <c r="H4431" s="19" t="s">
        <v>28</v>
      </c>
      <c r="I4431" s="18" t="s">
        <v>28</v>
      </c>
      <c r="J4431" s="18" t="s">
        <v>28</v>
      </c>
      <c r="K4431" s="18" t="s">
        <v>28</v>
      </c>
      <c r="L4431" s="18" t="s">
        <v>28</v>
      </c>
      <c r="M4431" s="18" t="s">
        <v>28</v>
      </c>
      <c r="N4431" s="17">
        <v>44422</v>
      </c>
      <c r="O4431" s="15" t="s">
        <v>52</v>
      </c>
      <c r="P4431" s="16" t="s">
        <v>2442</v>
      </c>
      <c r="Q4431" s="15" t="s">
        <v>75</v>
      </c>
      <c r="R4431" s="13" t="str">
        <f>HYPERLINK("https://my.pitchbook.com?c=262707-31T","View Company Online")</f>
        <v>View Company Online</v>
      </c>
    </row>
    <row r="4432" spans="1:18" hidden="1" x14ac:dyDescent="0.3">
      <c r="A4432" s="9" t="s">
        <v>14286</v>
      </c>
      <c r="B4432" s="9" t="s">
        <v>14287</v>
      </c>
      <c r="C4432" s="11" t="s">
        <v>28</v>
      </c>
      <c r="D4432" s="9" t="s">
        <v>14288</v>
      </c>
      <c r="E4432" s="11" t="s">
        <v>28</v>
      </c>
      <c r="F4432" s="10" t="s">
        <v>28</v>
      </c>
      <c r="G4432" s="10" t="s">
        <v>28</v>
      </c>
      <c r="H4432" s="10" t="s">
        <v>28</v>
      </c>
      <c r="I4432" s="11" t="s">
        <v>28</v>
      </c>
      <c r="J4432" s="11" t="s">
        <v>28</v>
      </c>
      <c r="K4432" s="11" t="s">
        <v>28</v>
      </c>
      <c r="L4432" s="11" t="s">
        <v>28</v>
      </c>
      <c r="M4432" s="11" t="s">
        <v>28</v>
      </c>
      <c r="N4432" s="8">
        <v>44421</v>
      </c>
      <c r="O4432" s="9" t="s">
        <v>30</v>
      </c>
      <c r="P4432" s="12" t="s">
        <v>157</v>
      </c>
      <c r="Q4432" s="9" t="s">
        <v>75</v>
      </c>
      <c r="R4432" s="14" t="str">
        <f>HYPERLINK("https://my.pitchbook.com?c=178333-57T","View Company Online")</f>
        <v>View Company Online</v>
      </c>
    </row>
    <row r="4433" spans="1:18" x14ac:dyDescent="0.3">
      <c r="A4433" s="15" t="s">
        <v>14289</v>
      </c>
      <c r="B4433" s="15" t="s">
        <v>14290</v>
      </c>
      <c r="C4433" s="18">
        <v>3.18</v>
      </c>
      <c r="D4433" s="15" t="s">
        <v>14291</v>
      </c>
      <c r="E4433" s="18" t="s">
        <v>28</v>
      </c>
      <c r="F4433" s="19">
        <v>35.72</v>
      </c>
      <c r="G4433" s="19">
        <v>35.72</v>
      </c>
      <c r="H4433" s="19">
        <v>35.72</v>
      </c>
      <c r="I4433" s="18">
        <v>11.23</v>
      </c>
      <c r="J4433" s="18">
        <v>3.18</v>
      </c>
      <c r="K4433" s="18" t="s">
        <v>28</v>
      </c>
      <c r="L4433" s="18" t="s">
        <v>28</v>
      </c>
      <c r="M4433" s="18" t="s">
        <v>28</v>
      </c>
      <c r="N4433" s="17">
        <v>44421</v>
      </c>
      <c r="O4433" s="15" t="s">
        <v>30</v>
      </c>
      <c r="P4433" s="16" t="s">
        <v>14292</v>
      </c>
      <c r="Q4433" s="15" t="s">
        <v>37</v>
      </c>
      <c r="R4433" s="13" t="str">
        <f>HYPERLINK("https://my.pitchbook.com?c=178377-31T","View Company Online")</f>
        <v>View Company Online</v>
      </c>
    </row>
    <row r="4434" spans="1:18" hidden="1" x14ac:dyDescent="0.3">
      <c r="A4434" s="9" t="s">
        <v>14293</v>
      </c>
      <c r="B4434" s="9" t="s">
        <v>14294</v>
      </c>
      <c r="C4434" s="11" t="s">
        <v>28</v>
      </c>
      <c r="D4434" s="9" t="s">
        <v>14295</v>
      </c>
      <c r="E4434" s="11" t="s">
        <v>28</v>
      </c>
      <c r="F4434" s="10">
        <v>5.21</v>
      </c>
      <c r="G4434" s="10">
        <v>5.21</v>
      </c>
      <c r="H4434" s="10">
        <v>5.21</v>
      </c>
      <c r="I4434" s="11" t="s">
        <v>28</v>
      </c>
      <c r="J4434" s="11" t="s">
        <v>28</v>
      </c>
      <c r="K4434" s="11" t="s">
        <v>28</v>
      </c>
      <c r="L4434" s="11" t="s">
        <v>28</v>
      </c>
      <c r="M4434" s="11" t="s">
        <v>28</v>
      </c>
      <c r="N4434" s="8">
        <v>44421</v>
      </c>
      <c r="O4434" s="9" t="s">
        <v>41</v>
      </c>
      <c r="P4434" s="12" t="s">
        <v>14296</v>
      </c>
      <c r="Q4434" s="9" t="s">
        <v>75</v>
      </c>
      <c r="R4434" s="14" t="str">
        <f>HYPERLINK("https://my.pitchbook.com?c=187590-07T","View Company Online")</f>
        <v>View Company Online</v>
      </c>
    </row>
    <row r="4435" spans="1:18" hidden="1" x14ac:dyDescent="0.3">
      <c r="A4435" s="15" t="s">
        <v>14297</v>
      </c>
      <c r="B4435" s="15" t="s">
        <v>14298</v>
      </c>
      <c r="C4435" s="18" t="s">
        <v>28</v>
      </c>
      <c r="D4435" s="15" t="s">
        <v>14299</v>
      </c>
      <c r="E4435" s="18" t="s">
        <v>28</v>
      </c>
      <c r="F4435" s="19" t="s">
        <v>28</v>
      </c>
      <c r="G4435" s="19">
        <v>0.62</v>
      </c>
      <c r="H4435" s="19" t="s">
        <v>28</v>
      </c>
      <c r="I4435" s="18" t="s">
        <v>28</v>
      </c>
      <c r="J4435" s="18" t="s">
        <v>28</v>
      </c>
      <c r="K4435" s="18" t="s">
        <v>28</v>
      </c>
      <c r="L4435" s="18" t="s">
        <v>28</v>
      </c>
      <c r="M4435" s="18" t="s">
        <v>28</v>
      </c>
      <c r="N4435" s="17">
        <v>44421</v>
      </c>
      <c r="O4435" s="15" t="s">
        <v>73</v>
      </c>
      <c r="P4435" s="16" t="s">
        <v>14300</v>
      </c>
      <c r="Q4435" s="15" t="s">
        <v>263</v>
      </c>
      <c r="R4435" s="13" t="str">
        <f>HYPERLINK("https://my.pitchbook.com?c=138789-64T","View Company Online")</f>
        <v>View Company Online</v>
      </c>
    </row>
    <row r="4436" spans="1:18" hidden="1" x14ac:dyDescent="0.3">
      <c r="A4436" s="9" t="s">
        <v>14301</v>
      </c>
      <c r="B4436" s="9" t="s">
        <v>14302</v>
      </c>
      <c r="C4436" s="11" t="s">
        <v>28</v>
      </c>
      <c r="D4436" s="9" t="s">
        <v>14303</v>
      </c>
      <c r="E4436" s="11" t="s">
        <v>28</v>
      </c>
      <c r="F4436" s="10" t="s">
        <v>28</v>
      </c>
      <c r="G4436" s="10">
        <v>0.28999999999999998</v>
      </c>
      <c r="H4436" s="10" t="s">
        <v>28</v>
      </c>
      <c r="I4436" s="11" t="s">
        <v>28</v>
      </c>
      <c r="J4436" s="11" t="s">
        <v>28</v>
      </c>
      <c r="K4436" s="11" t="s">
        <v>28</v>
      </c>
      <c r="L4436" s="11" t="s">
        <v>28</v>
      </c>
      <c r="M4436" s="11" t="s">
        <v>28</v>
      </c>
      <c r="N4436" s="8">
        <v>44421</v>
      </c>
      <c r="O4436" s="9" t="s">
        <v>73</v>
      </c>
      <c r="P4436" s="12" t="s">
        <v>14304</v>
      </c>
      <c r="Q4436" s="9" t="s">
        <v>75</v>
      </c>
      <c r="R4436" s="14" t="str">
        <f>HYPERLINK("https://my.pitchbook.com?c=183484-81T","View Company Online")</f>
        <v>View Company Online</v>
      </c>
    </row>
    <row r="4437" spans="1:18" hidden="1" x14ac:dyDescent="0.3">
      <c r="A4437" s="15" t="s">
        <v>14305</v>
      </c>
      <c r="B4437" s="15" t="s">
        <v>14306</v>
      </c>
      <c r="C4437" s="18" t="s">
        <v>28</v>
      </c>
      <c r="D4437" s="15" t="s">
        <v>14307</v>
      </c>
      <c r="E4437" s="18" t="s">
        <v>28</v>
      </c>
      <c r="F4437" s="19" t="s">
        <v>28</v>
      </c>
      <c r="G4437" s="19" t="s">
        <v>28</v>
      </c>
      <c r="H4437" s="19" t="s">
        <v>28</v>
      </c>
      <c r="I4437" s="18" t="s">
        <v>28</v>
      </c>
      <c r="J4437" s="18" t="s">
        <v>28</v>
      </c>
      <c r="K4437" s="18" t="s">
        <v>28</v>
      </c>
      <c r="L4437" s="18" t="s">
        <v>28</v>
      </c>
      <c r="M4437" s="18" t="s">
        <v>28</v>
      </c>
      <c r="N4437" s="17">
        <v>44420</v>
      </c>
      <c r="O4437" s="15" t="s">
        <v>30</v>
      </c>
      <c r="P4437" s="16" t="s">
        <v>13140</v>
      </c>
      <c r="Q4437" s="15" t="s">
        <v>245</v>
      </c>
      <c r="R4437" s="13" t="str">
        <f>HYPERLINK("https://my.pitchbook.com?c=178282-36T","View Company Online")</f>
        <v>View Company Online</v>
      </c>
    </row>
    <row r="4438" spans="1:18" hidden="1" x14ac:dyDescent="0.3">
      <c r="A4438" s="9" t="s">
        <v>14308</v>
      </c>
      <c r="B4438" s="9" t="s">
        <v>1866</v>
      </c>
      <c r="C4438" s="11" t="s">
        <v>28</v>
      </c>
      <c r="D4438" s="9" t="s">
        <v>14309</v>
      </c>
      <c r="E4438" s="11">
        <v>321.08999999999997</v>
      </c>
      <c r="F4438" s="10" t="s">
        <v>28</v>
      </c>
      <c r="G4438" s="10" t="s">
        <v>28</v>
      </c>
      <c r="H4438" s="10" t="s">
        <v>28</v>
      </c>
      <c r="I4438" s="11">
        <v>419.95</v>
      </c>
      <c r="J4438" s="11" t="s">
        <v>28</v>
      </c>
      <c r="K4438" s="11">
        <v>1940.12</v>
      </c>
      <c r="L4438" s="11" t="s">
        <v>28</v>
      </c>
      <c r="M4438" s="11">
        <v>224.66</v>
      </c>
      <c r="N4438" s="8">
        <v>44420</v>
      </c>
      <c r="O4438" s="9" t="s">
        <v>173</v>
      </c>
      <c r="P4438" s="12" t="s">
        <v>28</v>
      </c>
      <c r="Q4438" s="9" t="s">
        <v>54</v>
      </c>
      <c r="R4438" s="14" t="str">
        <f>HYPERLINK("https://my.pitchbook.com?c=180252-10T","View Company Online")</f>
        <v>View Company Online</v>
      </c>
    </row>
    <row r="4439" spans="1:18" hidden="1" x14ac:dyDescent="0.3">
      <c r="A4439" s="15" t="s">
        <v>14310</v>
      </c>
      <c r="B4439" s="15" t="s">
        <v>14311</v>
      </c>
      <c r="C4439" s="18" t="s">
        <v>28</v>
      </c>
      <c r="D4439" s="15" t="s">
        <v>14312</v>
      </c>
      <c r="E4439" s="18" t="s">
        <v>28</v>
      </c>
      <c r="F4439" s="19" t="s">
        <v>28</v>
      </c>
      <c r="G4439" s="19" t="s">
        <v>28</v>
      </c>
      <c r="H4439" s="19" t="s">
        <v>28</v>
      </c>
      <c r="I4439" s="18" t="s">
        <v>28</v>
      </c>
      <c r="J4439" s="18" t="s">
        <v>28</v>
      </c>
      <c r="K4439" s="18" t="s">
        <v>28</v>
      </c>
      <c r="L4439" s="18" t="s">
        <v>28</v>
      </c>
      <c r="M4439" s="18" t="s">
        <v>28</v>
      </c>
      <c r="N4439" s="17">
        <v>44420</v>
      </c>
      <c r="O4439" s="15" t="s">
        <v>30</v>
      </c>
      <c r="P4439" s="16" t="s">
        <v>14313</v>
      </c>
      <c r="Q4439" s="15" t="s">
        <v>37</v>
      </c>
      <c r="R4439" s="13" t="str">
        <f>HYPERLINK("https://my.pitchbook.com?c=178444-72T","View Company Online")</f>
        <v>View Company Online</v>
      </c>
    </row>
    <row r="4440" spans="1:18" hidden="1" x14ac:dyDescent="0.3">
      <c r="A4440" s="9" t="s">
        <v>14314</v>
      </c>
      <c r="B4440" s="9" t="s">
        <v>14315</v>
      </c>
      <c r="C4440" s="11" t="s">
        <v>28</v>
      </c>
      <c r="D4440" s="9" t="s">
        <v>14316</v>
      </c>
      <c r="E4440" s="11" t="s">
        <v>28</v>
      </c>
      <c r="F4440" s="10" t="s">
        <v>28</v>
      </c>
      <c r="G4440" s="10" t="s">
        <v>28</v>
      </c>
      <c r="H4440" s="10" t="s">
        <v>28</v>
      </c>
      <c r="I4440" s="11" t="s">
        <v>28</v>
      </c>
      <c r="J4440" s="11" t="s">
        <v>28</v>
      </c>
      <c r="K4440" s="11" t="s">
        <v>28</v>
      </c>
      <c r="L4440" s="11" t="s">
        <v>28</v>
      </c>
      <c r="M4440" s="11" t="s">
        <v>28</v>
      </c>
      <c r="N4440" s="8">
        <v>44420</v>
      </c>
      <c r="O4440" s="9" t="s">
        <v>58</v>
      </c>
      <c r="P4440" s="12" t="s">
        <v>4468</v>
      </c>
      <c r="Q4440" s="9" t="s">
        <v>75</v>
      </c>
      <c r="R4440" s="14" t="str">
        <f>HYPERLINK("https://my.pitchbook.com?c=262897-21T","View Company Online")</f>
        <v>View Company Online</v>
      </c>
    </row>
    <row r="4441" spans="1:18" hidden="1" x14ac:dyDescent="0.3">
      <c r="A4441" s="15" t="s">
        <v>14317</v>
      </c>
      <c r="B4441" s="15" t="s">
        <v>14318</v>
      </c>
      <c r="C4441" s="18" t="s">
        <v>28</v>
      </c>
      <c r="D4441" s="15" t="s">
        <v>14319</v>
      </c>
      <c r="E4441" s="18" t="s">
        <v>28</v>
      </c>
      <c r="F4441" s="19" t="s">
        <v>28</v>
      </c>
      <c r="G4441" s="19">
        <v>25.02</v>
      </c>
      <c r="H4441" s="19">
        <v>25.02</v>
      </c>
      <c r="I4441" s="18" t="s">
        <v>28</v>
      </c>
      <c r="J4441" s="18" t="s">
        <v>28</v>
      </c>
      <c r="K4441" s="18" t="s">
        <v>28</v>
      </c>
      <c r="L4441" s="18" t="s">
        <v>28</v>
      </c>
      <c r="M4441" s="18" t="s">
        <v>28</v>
      </c>
      <c r="N4441" s="17">
        <v>44420</v>
      </c>
      <c r="O4441" s="15" t="s">
        <v>30</v>
      </c>
      <c r="P4441" s="16" t="s">
        <v>14320</v>
      </c>
      <c r="Q4441" s="15" t="s">
        <v>2988</v>
      </c>
      <c r="R4441" s="13" t="str">
        <f>HYPERLINK("https://my.pitchbook.com?c=178762-96T","View Company Online")</f>
        <v>View Company Online</v>
      </c>
    </row>
    <row r="4442" spans="1:18" hidden="1" x14ac:dyDescent="0.3">
      <c r="A4442" s="9" t="s">
        <v>14321</v>
      </c>
      <c r="B4442" s="9" t="s">
        <v>14322</v>
      </c>
      <c r="C4442" s="11" t="s">
        <v>28</v>
      </c>
      <c r="D4442" s="9" t="s">
        <v>14323</v>
      </c>
      <c r="E4442" s="11" t="s">
        <v>28</v>
      </c>
      <c r="F4442" s="10" t="s">
        <v>28</v>
      </c>
      <c r="G4442" s="10" t="s">
        <v>28</v>
      </c>
      <c r="H4442" s="10" t="s">
        <v>28</v>
      </c>
      <c r="I4442" s="11" t="s">
        <v>28</v>
      </c>
      <c r="J4442" s="11" t="s">
        <v>28</v>
      </c>
      <c r="K4442" s="11" t="s">
        <v>28</v>
      </c>
      <c r="L4442" s="11" t="s">
        <v>28</v>
      </c>
      <c r="M4442" s="11" t="s">
        <v>28</v>
      </c>
      <c r="N4442" s="8">
        <v>44420</v>
      </c>
      <c r="O4442" s="9" t="s">
        <v>30</v>
      </c>
      <c r="P4442" s="12" t="s">
        <v>14324</v>
      </c>
      <c r="Q4442" s="9" t="s">
        <v>75</v>
      </c>
      <c r="R4442" s="14" t="str">
        <f>HYPERLINK("https://my.pitchbook.com?c=211877-47T","View Company Online")</f>
        <v>View Company Online</v>
      </c>
    </row>
    <row r="4443" spans="1:18" hidden="1" x14ac:dyDescent="0.3">
      <c r="A4443" s="15" t="s">
        <v>14325</v>
      </c>
      <c r="B4443" s="15" t="s">
        <v>7001</v>
      </c>
      <c r="C4443" s="18" t="s">
        <v>28</v>
      </c>
      <c r="D4443" s="15" t="s">
        <v>7002</v>
      </c>
      <c r="E4443" s="18" t="s">
        <v>28</v>
      </c>
      <c r="F4443" s="19" t="s">
        <v>28</v>
      </c>
      <c r="G4443" s="19">
        <v>0.97</v>
      </c>
      <c r="H4443" s="19" t="s">
        <v>28</v>
      </c>
      <c r="I4443" s="18" t="s">
        <v>28</v>
      </c>
      <c r="J4443" s="18" t="s">
        <v>28</v>
      </c>
      <c r="K4443" s="18" t="s">
        <v>28</v>
      </c>
      <c r="L4443" s="18" t="s">
        <v>28</v>
      </c>
      <c r="M4443" s="18" t="s">
        <v>28</v>
      </c>
      <c r="N4443" s="17">
        <v>44420</v>
      </c>
      <c r="O4443" s="15" t="s">
        <v>99</v>
      </c>
      <c r="P4443" s="16" t="s">
        <v>14326</v>
      </c>
      <c r="Q4443" s="15" t="s">
        <v>43</v>
      </c>
      <c r="R4443" s="13" t="str">
        <f>HYPERLINK("https://my.pitchbook.com?c=195184-00T","View Company Online")</f>
        <v>View Company Online</v>
      </c>
    </row>
    <row r="4444" spans="1:18" hidden="1" x14ac:dyDescent="0.3">
      <c r="A4444" s="9" t="s">
        <v>14327</v>
      </c>
      <c r="B4444" s="9" t="s">
        <v>11979</v>
      </c>
      <c r="C4444" s="11" t="s">
        <v>28</v>
      </c>
      <c r="D4444" s="9" t="s">
        <v>11980</v>
      </c>
      <c r="E4444" s="11" t="s">
        <v>28</v>
      </c>
      <c r="F4444" s="10" t="s">
        <v>28</v>
      </c>
      <c r="G4444" s="10" t="s">
        <v>28</v>
      </c>
      <c r="H4444" s="10" t="s">
        <v>28</v>
      </c>
      <c r="I4444" s="11" t="s">
        <v>28</v>
      </c>
      <c r="J4444" s="11" t="s">
        <v>28</v>
      </c>
      <c r="K4444" s="11" t="s">
        <v>28</v>
      </c>
      <c r="L4444" s="11" t="s">
        <v>28</v>
      </c>
      <c r="M4444" s="11" t="s">
        <v>28</v>
      </c>
      <c r="N4444" s="8">
        <v>44420</v>
      </c>
      <c r="O4444" s="9" t="s">
        <v>52</v>
      </c>
      <c r="P4444" s="12" t="s">
        <v>14328</v>
      </c>
      <c r="Q4444" s="9" t="s">
        <v>37</v>
      </c>
      <c r="R4444" s="14" t="str">
        <f>HYPERLINK("https://my.pitchbook.com?c=287915-23T","View Company Online")</f>
        <v>View Company Online</v>
      </c>
    </row>
    <row r="4445" spans="1:18" hidden="1" x14ac:dyDescent="0.3">
      <c r="A4445" s="15" t="s">
        <v>14329</v>
      </c>
      <c r="B4445" s="15" t="s">
        <v>14330</v>
      </c>
      <c r="C4445" s="18" t="s">
        <v>28</v>
      </c>
      <c r="D4445" s="15" t="s">
        <v>14331</v>
      </c>
      <c r="E4445" s="18" t="s">
        <v>28</v>
      </c>
      <c r="F4445" s="19">
        <v>695.33</v>
      </c>
      <c r="G4445" s="19">
        <v>695.33</v>
      </c>
      <c r="H4445" s="19">
        <v>695.33</v>
      </c>
      <c r="I4445" s="18" t="s">
        <v>28</v>
      </c>
      <c r="J4445" s="18" t="s">
        <v>28</v>
      </c>
      <c r="K4445" s="18" t="s">
        <v>28</v>
      </c>
      <c r="L4445" s="18" t="s">
        <v>28</v>
      </c>
      <c r="M4445" s="18" t="s">
        <v>28</v>
      </c>
      <c r="N4445" s="17">
        <v>44418</v>
      </c>
      <c r="O4445" s="15" t="s">
        <v>30</v>
      </c>
      <c r="P4445" s="16" t="s">
        <v>14332</v>
      </c>
      <c r="Q4445" s="15" t="s">
        <v>69</v>
      </c>
      <c r="R4445" s="13" t="str">
        <f>HYPERLINK("https://my.pitchbook.com?c=167691-88T","View Company Online")</f>
        <v>View Company Online</v>
      </c>
    </row>
    <row r="4446" spans="1:18" hidden="1" x14ac:dyDescent="0.3">
      <c r="A4446" s="9" t="s">
        <v>14333</v>
      </c>
      <c r="B4446" s="9" t="s">
        <v>14334</v>
      </c>
      <c r="C4446" s="11" t="s">
        <v>28</v>
      </c>
      <c r="D4446" s="9" t="s">
        <v>14335</v>
      </c>
      <c r="E4446" s="11" t="s">
        <v>28</v>
      </c>
      <c r="F4446" s="10" t="s">
        <v>28</v>
      </c>
      <c r="G4446" s="10" t="s">
        <v>28</v>
      </c>
      <c r="H4446" s="10" t="s">
        <v>28</v>
      </c>
      <c r="I4446" s="11" t="s">
        <v>28</v>
      </c>
      <c r="J4446" s="11" t="s">
        <v>28</v>
      </c>
      <c r="K4446" s="11" t="s">
        <v>28</v>
      </c>
      <c r="L4446" s="11" t="s">
        <v>28</v>
      </c>
      <c r="M4446" s="11" t="s">
        <v>28</v>
      </c>
      <c r="N4446" s="8">
        <v>44418</v>
      </c>
      <c r="O4446" s="9" t="s">
        <v>41</v>
      </c>
      <c r="P4446" s="12" t="s">
        <v>14336</v>
      </c>
      <c r="Q4446" s="9" t="s">
        <v>75</v>
      </c>
      <c r="R4446" s="14" t="str">
        <f>HYPERLINK("https://my.pitchbook.com?c=180003-43T","View Company Online")</f>
        <v>View Company Online</v>
      </c>
    </row>
    <row r="4447" spans="1:18" hidden="1" x14ac:dyDescent="0.3">
      <c r="A4447" s="15" t="s">
        <v>14337</v>
      </c>
      <c r="B4447" s="15" t="s">
        <v>9944</v>
      </c>
      <c r="C4447" s="18" t="s">
        <v>28</v>
      </c>
      <c r="D4447" s="15" t="s">
        <v>9945</v>
      </c>
      <c r="E4447" s="18" t="s">
        <v>28</v>
      </c>
      <c r="F4447" s="19" t="s">
        <v>28</v>
      </c>
      <c r="G4447" s="19">
        <v>0.97</v>
      </c>
      <c r="H4447" s="19" t="s">
        <v>28</v>
      </c>
      <c r="I4447" s="18" t="s">
        <v>28</v>
      </c>
      <c r="J4447" s="18" t="s">
        <v>28</v>
      </c>
      <c r="K4447" s="18" t="s">
        <v>28</v>
      </c>
      <c r="L4447" s="18" t="s">
        <v>28</v>
      </c>
      <c r="M4447" s="18" t="s">
        <v>28</v>
      </c>
      <c r="N4447" s="17">
        <v>44418</v>
      </c>
      <c r="O4447" s="15" t="s">
        <v>379</v>
      </c>
      <c r="P4447" s="16" t="s">
        <v>14338</v>
      </c>
      <c r="Q4447" s="15" t="s">
        <v>43</v>
      </c>
      <c r="R4447" s="13" t="str">
        <f>HYPERLINK("https://my.pitchbook.com?c=201528-73T","View Company Online")</f>
        <v>View Company Online</v>
      </c>
    </row>
    <row r="4448" spans="1:18" hidden="1" x14ac:dyDescent="0.3">
      <c r="A4448" s="9" t="s">
        <v>14339</v>
      </c>
      <c r="B4448" s="9" t="s">
        <v>14340</v>
      </c>
      <c r="C4448" s="11" t="s">
        <v>28</v>
      </c>
      <c r="D4448" s="9" t="s">
        <v>14341</v>
      </c>
      <c r="E4448" s="11" t="s">
        <v>28</v>
      </c>
      <c r="F4448" s="10" t="s">
        <v>28</v>
      </c>
      <c r="G4448" s="10" t="s">
        <v>28</v>
      </c>
      <c r="H4448" s="10" t="s">
        <v>28</v>
      </c>
      <c r="I4448" s="11" t="s">
        <v>28</v>
      </c>
      <c r="J4448" s="11" t="s">
        <v>28</v>
      </c>
      <c r="K4448" s="11" t="s">
        <v>28</v>
      </c>
      <c r="L4448" s="11" t="s">
        <v>28</v>
      </c>
      <c r="M4448" s="11" t="s">
        <v>28</v>
      </c>
      <c r="N4448" s="8">
        <v>44418</v>
      </c>
      <c r="O4448" s="9" t="s">
        <v>30</v>
      </c>
      <c r="P4448" s="12" t="s">
        <v>14342</v>
      </c>
      <c r="Q4448" s="9" t="s">
        <v>75</v>
      </c>
      <c r="R4448" s="14" t="str">
        <f>HYPERLINK("https://my.pitchbook.com?c=211782-79T","View Company Online")</f>
        <v>View Company Online</v>
      </c>
    </row>
    <row r="4449" spans="1:18" hidden="1" x14ac:dyDescent="0.3">
      <c r="A4449" s="15" t="s">
        <v>14343</v>
      </c>
      <c r="B4449" s="15" t="s">
        <v>10581</v>
      </c>
      <c r="C4449" s="18" t="s">
        <v>28</v>
      </c>
      <c r="D4449" s="15" t="s">
        <v>10582</v>
      </c>
      <c r="E4449" s="18" t="s">
        <v>28</v>
      </c>
      <c r="F4449" s="19" t="s">
        <v>28</v>
      </c>
      <c r="G4449" s="19" t="s">
        <v>28</v>
      </c>
      <c r="H4449" s="19">
        <v>12.55</v>
      </c>
      <c r="I4449" s="18" t="s">
        <v>28</v>
      </c>
      <c r="J4449" s="18" t="s">
        <v>28</v>
      </c>
      <c r="K4449" s="18" t="s">
        <v>28</v>
      </c>
      <c r="L4449" s="18" t="s">
        <v>28</v>
      </c>
      <c r="M4449" s="18" t="s">
        <v>28</v>
      </c>
      <c r="N4449" s="17">
        <v>44418</v>
      </c>
      <c r="O4449" s="15" t="s">
        <v>73</v>
      </c>
      <c r="P4449" s="16" t="s">
        <v>14344</v>
      </c>
      <c r="Q4449" s="15" t="s">
        <v>37</v>
      </c>
      <c r="R4449" s="13" t="str">
        <f>HYPERLINK("https://my.pitchbook.com?c=178160-05T","View Company Online")</f>
        <v>View Company Online</v>
      </c>
    </row>
    <row r="4450" spans="1:18" hidden="1" x14ac:dyDescent="0.3">
      <c r="A4450" s="9" t="s">
        <v>14345</v>
      </c>
      <c r="B4450" s="9" t="s">
        <v>4247</v>
      </c>
      <c r="C4450" s="11" t="s">
        <v>28</v>
      </c>
      <c r="D4450" s="9" t="s">
        <v>4248</v>
      </c>
      <c r="E4450" s="11" t="s">
        <v>28</v>
      </c>
      <c r="F4450" s="10" t="s">
        <v>28</v>
      </c>
      <c r="G4450" s="10">
        <v>0.57999999999999996</v>
      </c>
      <c r="H4450" s="10" t="s">
        <v>28</v>
      </c>
      <c r="I4450" s="11" t="s">
        <v>28</v>
      </c>
      <c r="J4450" s="11" t="s">
        <v>28</v>
      </c>
      <c r="K4450" s="11" t="s">
        <v>28</v>
      </c>
      <c r="L4450" s="11" t="s">
        <v>28</v>
      </c>
      <c r="M4450" s="11" t="s">
        <v>28</v>
      </c>
      <c r="N4450" s="8">
        <v>44418</v>
      </c>
      <c r="O4450" s="9" t="s">
        <v>99</v>
      </c>
      <c r="P4450" s="12" t="s">
        <v>14346</v>
      </c>
      <c r="Q4450" s="9" t="s">
        <v>37</v>
      </c>
      <c r="R4450" s="14" t="str">
        <f>HYPERLINK("https://my.pitchbook.com?c=173122-48T","View Company Online")</f>
        <v>View Company Online</v>
      </c>
    </row>
    <row r="4451" spans="1:18" hidden="1" x14ac:dyDescent="0.3">
      <c r="A4451" s="15" t="s">
        <v>14347</v>
      </c>
      <c r="B4451" s="15" t="s">
        <v>3204</v>
      </c>
      <c r="C4451" s="18" t="s">
        <v>28</v>
      </c>
      <c r="D4451" s="15" t="s">
        <v>3205</v>
      </c>
      <c r="E4451" s="18" t="s">
        <v>28</v>
      </c>
      <c r="F4451" s="19" t="s">
        <v>28</v>
      </c>
      <c r="G4451" s="19">
        <v>1.45</v>
      </c>
      <c r="H4451" s="19" t="s">
        <v>28</v>
      </c>
      <c r="I4451" s="18">
        <v>0.35</v>
      </c>
      <c r="J4451" s="18" t="s">
        <v>28</v>
      </c>
      <c r="K4451" s="18">
        <v>1.65</v>
      </c>
      <c r="L4451" s="18" t="s">
        <v>28</v>
      </c>
      <c r="M4451" s="18" t="s">
        <v>28</v>
      </c>
      <c r="N4451" s="17">
        <v>44418</v>
      </c>
      <c r="O4451" s="15" t="s">
        <v>99</v>
      </c>
      <c r="P4451" s="16" t="s">
        <v>14348</v>
      </c>
      <c r="Q4451" s="15" t="s">
        <v>37</v>
      </c>
      <c r="R4451" s="13" t="str">
        <f>HYPERLINK("https://my.pitchbook.com?c=181201-24T","View Company Online")</f>
        <v>View Company Online</v>
      </c>
    </row>
    <row r="4452" spans="1:18" hidden="1" x14ac:dyDescent="0.3">
      <c r="A4452" s="9" t="s">
        <v>14349</v>
      </c>
      <c r="B4452" s="9" t="s">
        <v>6230</v>
      </c>
      <c r="C4452" s="11" t="s">
        <v>28</v>
      </c>
      <c r="D4452" s="9" t="s">
        <v>6231</v>
      </c>
      <c r="E4452" s="11">
        <v>-5.87</v>
      </c>
      <c r="F4452" s="10" t="s">
        <v>28</v>
      </c>
      <c r="G4452" s="10" t="s">
        <v>28</v>
      </c>
      <c r="H4452" s="10" t="s">
        <v>28</v>
      </c>
      <c r="I4452" s="11">
        <v>14.08</v>
      </c>
      <c r="J4452" s="11" t="s">
        <v>28</v>
      </c>
      <c r="K4452" s="11">
        <v>132.74</v>
      </c>
      <c r="L4452" s="11" t="s">
        <v>28</v>
      </c>
      <c r="M4452" s="11">
        <v>-11.06</v>
      </c>
      <c r="N4452" s="8">
        <v>44417</v>
      </c>
      <c r="O4452" s="9" t="s">
        <v>173</v>
      </c>
      <c r="P4452" s="12" t="s">
        <v>28</v>
      </c>
      <c r="Q4452" s="9" t="s">
        <v>740</v>
      </c>
      <c r="R4452" s="14" t="str">
        <f>HYPERLINK("https://my.pitchbook.com?c=294778-36T","View Company Online")</f>
        <v>View Company Online</v>
      </c>
    </row>
    <row r="4453" spans="1:18" hidden="1" x14ac:dyDescent="0.3">
      <c r="A4453" s="15" t="s">
        <v>14350</v>
      </c>
      <c r="B4453" s="15" t="s">
        <v>14351</v>
      </c>
      <c r="C4453" s="18" t="s">
        <v>28</v>
      </c>
      <c r="D4453" s="15" t="s">
        <v>14352</v>
      </c>
      <c r="E4453" s="18" t="s">
        <v>28</v>
      </c>
      <c r="F4453" s="19" t="s">
        <v>28</v>
      </c>
      <c r="G4453" s="19" t="s">
        <v>28</v>
      </c>
      <c r="H4453" s="19" t="s">
        <v>28</v>
      </c>
      <c r="I4453" s="18" t="s">
        <v>28</v>
      </c>
      <c r="J4453" s="18" t="s">
        <v>28</v>
      </c>
      <c r="K4453" s="18">
        <v>0.03</v>
      </c>
      <c r="L4453" s="18" t="s">
        <v>28</v>
      </c>
      <c r="M4453" s="18">
        <v>-7.0000000000000007E-2</v>
      </c>
      <c r="N4453" s="17">
        <v>44417</v>
      </c>
      <c r="O4453" s="15" t="s">
        <v>173</v>
      </c>
      <c r="P4453" s="16" t="s">
        <v>28</v>
      </c>
      <c r="Q4453" s="15" t="s">
        <v>174</v>
      </c>
      <c r="R4453" s="13" t="str">
        <f>HYPERLINK("https://my.pitchbook.com?c=251684-65T","View Company Online")</f>
        <v>View Company Online</v>
      </c>
    </row>
    <row r="4454" spans="1:18" hidden="1" x14ac:dyDescent="0.3">
      <c r="A4454" s="9" t="s">
        <v>14353</v>
      </c>
      <c r="B4454" s="9" t="s">
        <v>14354</v>
      </c>
      <c r="C4454" s="11" t="s">
        <v>28</v>
      </c>
      <c r="D4454" s="9" t="s">
        <v>14355</v>
      </c>
      <c r="E4454" s="11" t="s">
        <v>28</v>
      </c>
      <c r="F4454" s="10" t="s">
        <v>28</v>
      </c>
      <c r="G4454" s="10">
        <v>0.05</v>
      </c>
      <c r="H4454" s="10" t="s">
        <v>28</v>
      </c>
      <c r="I4454" s="11" t="s">
        <v>28</v>
      </c>
      <c r="J4454" s="11" t="s">
        <v>28</v>
      </c>
      <c r="K4454" s="11" t="s">
        <v>28</v>
      </c>
      <c r="L4454" s="11" t="s">
        <v>28</v>
      </c>
      <c r="M4454" s="11" t="s">
        <v>28</v>
      </c>
      <c r="N4454" s="8">
        <v>44417</v>
      </c>
      <c r="O4454" s="9" t="s">
        <v>1639</v>
      </c>
      <c r="P4454" s="12" t="s">
        <v>28</v>
      </c>
      <c r="Q4454" s="9" t="s">
        <v>37</v>
      </c>
      <c r="R4454" s="14" t="str">
        <f>HYPERLINK("https://my.pitchbook.com?c=188506-45T","View Company Online")</f>
        <v>View Company Online</v>
      </c>
    </row>
    <row r="4455" spans="1:18" hidden="1" x14ac:dyDescent="0.3">
      <c r="A4455" s="15" t="s">
        <v>14356</v>
      </c>
      <c r="B4455" s="15" t="s">
        <v>14357</v>
      </c>
      <c r="C4455" s="18" t="s">
        <v>28</v>
      </c>
      <c r="D4455" s="15" t="s">
        <v>14358</v>
      </c>
      <c r="E4455" s="18" t="s">
        <v>28</v>
      </c>
      <c r="F4455" s="19" t="s">
        <v>28</v>
      </c>
      <c r="G4455" s="19" t="s">
        <v>28</v>
      </c>
      <c r="H4455" s="19" t="s">
        <v>28</v>
      </c>
      <c r="I4455" s="18" t="s">
        <v>28</v>
      </c>
      <c r="J4455" s="18" t="s">
        <v>28</v>
      </c>
      <c r="K4455" s="18" t="s">
        <v>28</v>
      </c>
      <c r="L4455" s="18" t="s">
        <v>28</v>
      </c>
      <c r="M4455" s="18" t="s">
        <v>28</v>
      </c>
      <c r="N4455" s="17">
        <v>44417</v>
      </c>
      <c r="O4455" s="15" t="s">
        <v>30</v>
      </c>
      <c r="P4455" s="16" t="s">
        <v>691</v>
      </c>
      <c r="Q4455" s="15" t="s">
        <v>692</v>
      </c>
      <c r="R4455" s="13" t="str">
        <f>HYPERLINK("https://my.pitchbook.com?c=178349-59T","View Company Online")</f>
        <v>View Company Online</v>
      </c>
    </row>
    <row r="4456" spans="1:18" hidden="1" x14ac:dyDescent="0.3">
      <c r="A4456" s="9" t="s">
        <v>14359</v>
      </c>
      <c r="B4456" s="9" t="s">
        <v>1630</v>
      </c>
      <c r="C4456" s="11" t="s">
        <v>28</v>
      </c>
      <c r="D4456" s="9" t="s">
        <v>1631</v>
      </c>
      <c r="E4456" s="11" t="s">
        <v>28</v>
      </c>
      <c r="F4456" s="10" t="s">
        <v>28</v>
      </c>
      <c r="G4456" s="10">
        <v>0.31</v>
      </c>
      <c r="H4456" s="10" t="s">
        <v>28</v>
      </c>
      <c r="I4456" s="11" t="s">
        <v>28</v>
      </c>
      <c r="J4456" s="11" t="s">
        <v>28</v>
      </c>
      <c r="K4456" s="11" t="s">
        <v>28</v>
      </c>
      <c r="L4456" s="11" t="s">
        <v>28</v>
      </c>
      <c r="M4456" s="11" t="s">
        <v>28</v>
      </c>
      <c r="N4456" s="8">
        <v>44416</v>
      </c>
      <c r="O4456" s="9" t="s">
        <v>99</v>
      </c>
      <c r="P4456" s="12" t="s">
        <v>14360</v>
      </c>
      <c r="Q4456" s="9" t="s">
        <v>37</v>
      </c>
      <c r="R4456" s="14" t="str">
        <f>HYPERLINK("https://my.pitchbook.com?c=181191-70T","View Company Online")</f>
        <v>View Company Online</v>
      </c>
    </row>
    <row r="4457" spans="1:18" hidden="1" x14ac:dyDescent="0.3">
      <c r="A4457" s="15" t="s">
        <v>14361</v>
      </c>
      <c r="B4457" s="15" t="s">
        <v>14362</v>
      </c>
      <c r="C4457" s="18" t="s">
        <v>28</v>
      </c>
      <c r="D4457" s="15" t="s">
        <v>14363</v>
      </c>
      <c r="E4457" s="18" t="s">
        <v>28</v>
      </c>
      <c r="F4457" s="19">
        <v>391.95</v>
      </c>
      <c r="G4457" s="19">
        <v>391.95</v>
      </c>
      <c r="H4457" s="19">
        <v>391.95</v>
      </c>
      <c r="I4457" s="18" t="s">
        <v>28</v>
      </c>
      <c r="J4457" s="18" t="s">
        <v>28</v>
      </c>
      <c r="K4457" s="18" t="s">
        <v>28</v>
      </c>
      <c r="L4457" s="18" t="s">
        <v>28</v>
      </c>
      <c r="M4457" s="18" t="s">
        <v>28</v>
      </c>
      <c r="N4457" s="17">
        <v>44414</v>
      </c>
      <c r="O4457" s="15" t="s">
        <v>30</v>
      </c>
      <c r="P4457" s="16" t="s">
        <v>1866</v>
      </c>
      <c r="Q4457" s="15" t="s">
        <v>1144</v>
      </c>
      <c r="R4457" s="13" t="str">
        <f>HYPERLINK("https://my.pitchbook.com?c=156454-48T","View Company Online")</f>
        <v>View Company Online</v>
      </c>
    </row>
    <row r="4458" spans="1:18" hidden="1" x14ac:dyDescent="0.3">
      <c r="A4458" s="9" t="s">
        <v>14364</v>
      </c>
      <c r="B4458" s="9" t="s">
        <v>4156</v>
      </c>
      <c r="C4458" s="11" t="s">
        <v>28</v>
      </c>
      <c r="D4458" s="9" t="s">
        <v>4157</v>
      </c>
      <c r="E4458" s="11" t="s">
        <v>28</v>
      </c>
      <c r="F4458" s="10" t="s">
        <v>28</v>
      </c>
      <c r="G4458" s="10">
        <v>0.12</v>
      </c>
      <c r="H4458" s="10" t="s">
        <v>28</v>
      </c>
      <c r="I4458" s="11" t="s">
        <v>28</v>
      </c>
      <c r="J4458" s="11" t="s">
        <v>28</v>
      </c>
      <c r="K4458" s="11" t="s">
        <v>28</v>
      </c>
      <c r="L4458" s="11" t="s">
        <v>28</v>
      </c>
      <c r="M4458" s="11" t="s">
        <v>28</v>
      </c>
      <c r="N4458" s="8">
        <v>44414</v>
      </c>
      <c r="O4458" s="9" t="s">
        <v>99</v>
      </c>
      <c r="P4458" s="12" t="s">
        <v>14365</v>
      </c>
      <c r="Q4458" s="9" t="s">
        <v>249</v>
      </c>
      <c r="R4458" s="14" t="str">
        <f>HYPERLINK("https://my.pitchbook.com?c=178111-63T","View Company Online")</f>
        <v>View Company Online</v>
      </c>
    </row>
    <row r="4459" spans="1:18" hidden="1" x14ac:dyDescent="0.3">
      <c r="A4459" s="15" t="s">
        <v>14366</v>
      </c>
      <c r="B4459" s="15" t="s">
        <v>3141</v>
      </c>
      <c r="C4459" s="18" t="s">
        <v>28</v>
      </c>
      <c r="D4459" s="15" t="s">
        <v>3142</v>
      </c>
      <c r="E4459" s="18" t="s">
        <v>28</v>
      </c>
      <c r="F4459" s="19" t="s">
        <v>28</v>
      </c>
      <c r="G4459" s="19">
        <v>0.23</v>
      </c>
      <c r="H4459" s="19" t="s">
        <v>28</v>
      </c>
      <c r="I4459" s="18" t="s">
        <v>28</v>
      </c>
      <c r="J4459" s="18" t="s">
        <v>28</v>
      </c>
      <c r="K4459" s="18" t="s">
        <v>28</v>
      </c>
      <c r="L4459" s="18" t="s">
        <v>28</v>
      </c>
      <c r="M4459" s="18" t="s">
        <v>28</v>
      </c>
      <c r="N4459" s="17">
        <v>44414</v>
      </c>
      <c r="O4459" s="15" t="s">
        <v>73</v>
      </c>
      <c r="P4459" s="16" t="s">
        <v>14367</v>
      </c>
      <c r="Q4459" s="15" t="s">
        <v>75</v>
      </c>
      <c r="R4459" s="13" t="str">
        <f>HYPERLINK("https://my.pitchbook.com?c=180058-06T","View Company Online")</f>
        <v>View Company Online</v>
      </c>
    </row>
    <row r="4460" spans="1:18" hidden="1" x14ac:dyDescent="0.3">
      <c r="A4460" s="9" t="s">
        <v>14368</v>
      </c>
      <c r="B4460" s="9" t="s">
        <v>14369</v>
      </c>
      <c r="C4460" s="11" t="s">
        <v>28</v>
      </c>
      <c r="D4460" s="9" t="s">
        <v>14370</v>
      </c>
      <c r="E4460" s="11" t="s">
        <v>28</v>
      </c>
      <c r="F4460" s="10" t="s">
        <v>28</v>
      </c>
      <c r="G4460" s="10" t="s">
        <v>28</v>
      </c>
      <c r="H4460" s="10" t="s">
        <v>28</v>
      </c>
      <c r="I4460" s="11" t="s">
        <v>28</v>
      </c>
      <c r="J4460" s="11" t="s">
        <v>28</v>
      </c>
      <c r="K4460" s="11" t="s">
        <v>28</v>
      </c>
      <c r="L4460" s="11" t="s">
        <v>28</v>
      </c>
      <c r="M4460" s="11" t="s">
        <v>28</v>
      </c>
      <c r="N4460" s="8">
        <v>44414</v>
      </c>
      <c r="O4460" s="9" t="s">
        <v>30</v>
      </c>
      <c r="P4460" s="12" t="s">
        <v>11096</v>
      </c>
      <c r="Q4460" s="9" t="s">
        <v>119</v>
      </c>
      <c r="R4460" s="14" t="str">
        <f>HYPERLINK("https://my.pitchbook.com?c=177943-60T","View Company Online")</f>
        <v>View Company Online</v>
      </c>
    </row>
    <row r="4461" spans="1:18" hidden="1" x14ac:dyDescent="0.3">
      <c r="A4461" s="15" t="s">
        <v>14371</v>
      </c>
      <c r="B4461" s="15" t="s">
        <v>14372</v>
      </c>
      <c r="C4461" s="18" t="s">
        <v>28</v>
      </c>
      <c r="D4461" s="15" t="s">
        <v>14373</v>
      </c>
      <c r="E4461" s="18" t="s">
        <v>28</v>
      </c>
      <c r="F4461" s="19" t="s">
        <v>28</v>
      </c>
      <c r="G4461" s="19" t="s">
        <v>28</v>
      </c>
      <c r="H4461" s="19" t="s">
        <v>28</v>
      </c>
      <c r="I4461" s="18" t="s">
        <v>28</v>
      </c>
      <c r="J4461" s="18" t="s">
        <v>28</v>
      </c>
      <c r="K4461" s="18" t="s">
        <v>28</v>
      </c>
      <c r="L4461" s="18" t="s">
        <v>28</v>
      </c>
      <c r="M4461" s="18" t="s">
        <v>28</v>
      </c>
      <c r="N4461" s="17">
        <v>44414</v>
      </c>
      <c r="O4461" s="15" t="s">
        <v>30</v>
      </c>
      <c r="P4461" s="16" t="s">
        <v>14374</v>
      </c>
      <c r="Q4461" s="15" t="s">
        <v>1068</v>
      </c>
      <c r="R4461" s="13" t="str">
        <f>HYPERLINK("https://my.pitchbook.com?c=177917-68T","View Company Online")</f>
        <v>View Company Online</v>
      </c>
    </row>
    <row r="4462" spans="1:18" hidden="1" x14ac:dyDescent="0.3">
      <c r="A4462" s="9" t="s">
        <v>14375</v>
      </c>
      <c r="B4462" s="9" t="s">
        <v>14376</v>
      </c>
      <c r="C4462" s="11" t="s">
        <v>28</v>
      </c>
      <c r="D4462" s="9" t="s">
        <v>14377</v>
      </c>
      <c r="E4462" s="11" t="s">
        <v>28</v>
      </c>
      <c r="F4462" s="10">
        <v>23.94</v>
      </c>
      <c r="G4462" s="10">
        <v>23.94</v>
      </c>
      <c r="H4462" s="10">
        <v>23.94</v>
      </c>
      <c r="I4462" s="11" t="s">
        <v>28</v>
      </c>
      <c r="J4462" s="11" t="s">
        <v>28</v>
      </c>
      <c r="K4462" s="11" t="s">
        <v>28</v>
      </c>
      <c r="L4462" s="11" t="s">
        <v>28</v>
      </c>
      <c r="M4462" s="11" t="s">
        <v>28</v>
      </c>
      <c r="N4462" s="8">
        <v>44414</v>
      </c>
      <c r="O4462" s="9" t="s">
        <v>30</v>
      </c>
      <c r="P4462" s="12" t="s">
        <v>11884</v>
      </c>
      <c r="Q4462" s="9" t="s">
        <v>75</v>
      </c>
      <c r="R4462" s="14" t="str">
        <f>HYPERLINK("https://my.pitchbook.com?c=181932-49T","View Company Online")</f>
        <v>View Company Online</v>
      </c>
    </row>
    <row r="4463" spans="1:18" hidden="1" x14ac:dyDescent="0.3">
      <c r="A4463" s="15" t="s">
        <v>14378</v>
      </c>
      <c r="B4463" s="15" t="s">
        <v>14379</v>
      </c>
      <c r="C4463" s="18" t="s">
        <v>28</v>
      </c>
      <c r="D4463" s="15" t="s">
        <v>14380</v>
      </c>
      <c r="E4463" s="18" t="s">
        <v>28</v>
      </c>
      <c r="F4463" s="19" t="s">
        <v>28</v>
      </c>
      <c r="G4463" s="19" t="s">
        <v>28</v>
      </c>
      <c r="H4463" s="19" t="s">
        <v>28</v>
      </c>
      <c r="I4463" s="18" t="s">
        <v>28</v>
      </c>
      <c r="J4463" s="18" t="s">
        <v>28</v>
      </c>
      <c r="K4463" s="18" t="s">
        <v>28</v>
      </c>
      <c r="L4463" s="18" t="s">
        <v>28</v>
      </c>
      <c r="M4463" s="18" t="s">
        <v>28</v>
      </c>
      <c r="N4463" s="17">
        <v>44413</v>
      </c>
      <c r="O4463" s="15" t="s">
        <v>30</v>
      </c>
      <c r="P4463" s="16" t="s">
        <v>8637</v>
      </c>
      <c r="Q4463" s="15" t="s">
        <v>119</v>
      </c>
      <c r="R4463" s="13" t="str">
        <f>HYPERLINK("https://my.pitchbook.com?c=177794-47T","View Company Online")</f>
        <v>View Company Online</v>
      </c>
    </row>
    <row r="4464" spans="1:18" hidden="1" x14ac:dyDescent="0.3">
      <c r="A4464" s="9" t="s">
        <v>14381</v>
      </c>
      <c r="B4464" s="9" t="s">
        <v>14382</v>
      </c>
      <c r="C4464" s="11" t="s">
        <v>28</v>
      </c>
      <c r="D4464" s="9" t="s">
        <v>14383</v>
      </c>
      <c r="E4464" s="11" t="s">
        <v>28</v>
      </c>
      <c r="F4464" s="10" t="s">
        <v>28</v>
      </c>
      <c r="G4464" s="10" t="s">
        <v>28</v>
      </c>
      <c r="H4464" s="10" t="s">
        <v>28</v>
      </c>
      <c r="I4464" s="11" t="s">
        <v>28</v>
      </c>
      <c r="J4464" s="11" t="s">
        <v>28</v>
      </c>
      <c r="K4464" s="11" t="s">
        <v>28</v>
      </c>
      <c r="L4464" s="11" t="s">
        <v>28</v>
      </c>
      <c r="M4464" s="11" t="s">
        <v>28</v>
      </c>
      <c r="N4464" s="8">
        <v>44413</v>
      </c>
      <c r="O4464" s="9" t="s">
        <v>52</v>
      </c>
      <c r="P4464" s="12" t="s">
        <v>14384</v>
      </c>
      <c r="Q4464" s="9" t="s">
        <v>285</v>
      </c>
      <c r="R4464" s="14" t="str">
        <f>HYPERLINK("https://my.pitchbook.com?c=264027-88T","View Company Online")</f>
        <v>View Company Online</v>
      </c>
    </row>
    <row r="4465" spans="1:18" hidden="1" x14ac:dyDescent="0.3">
      <c r="A4465" s="15" t="s">
        <v>14385</v>
      </c>
      <c r="B4465" s="15" t="s">
        <v>14386</v>
      </c>
      <c r="C4465" s="18" t="s">
        <v>28</v>
      </c>
      <c r="D4465" s="15" t="s">
        <v>14387</v>
      </c>
      <c r="E4465" s="18" t="s">
        <v>28</v>
      </c>
      <c r="F4465" s="19">
        <v>33.22</v>
      </c>
      <c r="G4465" s="19">
        <v>33.22</v>
      </c>
      <c r="H4465" s="19">
        <v>33.22</v>
      </c>
      <c r="I4465" s="18" t="s">
        <v>28</v>
      </c>
      <c r="J4465" s="18" t="s">
        <v>28</v>
      </c>
      <c r="K4465" s="18" t="s">
        <v>28</v>
      </c>
      <c r="L4465" s="18" t="s">
        <v>28</v>
      </c>
      <c r="M4465" s="18" t="s">
        <v>28</v>
      </c>
      <c r="N4465" s="17">
        <v>44413</v>
      </c>
      <c r="O4465" s="15" t="s">
        <v>30</v>
      </c>
      <c r="P4465" s="16" t="s">
        <v>14388</v>
      </c>
      <c r="Q4465" s="15" t="s">
        <v>414</v>
      </c>
      <c r="R4465" s="13" t="str">
        <f>HYPERLINK("https://my.pitchbook.com?c=168459-49T","View Company Online")</f>
        <v>View Company Online</v>
      </c>
    </row>
    <row r="4466" spans="1:18" hidden="1" x14ac:dyDescent="0.3">
      <c r="A4466" s="9" t="s">
        <v>14389</v>
      </c>
      <c r="B4466" s="9" t="s">
        <v>14390</v>
      </c>
      <c r="C4466" s="11" t="s">
        <v>28</v>
      </c>
      <c r="D4466" s="9" t="s">
        <v>14391</v>
      </c>
      <c r="E4466" s="11" t="s">
        <v>28</v>
      </c>
      <c r="F4466" s="10">
        <v>8.5</v>
      </c>
      <c r="G4466" s="10">
        <v>8.5</v>
      </c>
      <c r="H4466" s="10">
        <v>8.5</v>
      </c>
      <c r="I4466" s="11" t="s">
        <v>28</v>
      </c>
      <c r="J4466" s="11" t="s">
        <v>28</v>
      </c>
      <c r="K4466" s="11" t="s">
        <v>28</v>
      </c>
      <c r="L4466" s="11" t="s">
        <v>28</v>
      </c>
      <c r="M4466" s="11" t="s">
        <v>28</v>
      </c>
      <c r="N4466" s="8">
        <v>44412</v>
      </c>
      <c r="O4466" s="9" t="s">
        <v>30</v>
      </c>
      <c r="P4466" s="12" t="s">
        <v>13464</v>
      </c>
      <c r="Q4466" s="9" t="s">
        <v>616</v>
      </c>
      <c r="R4466" s="14" t="str">
        <f>HYPERLINK("https://my.pitchbook.com?c=177709-87T","View Company Online")</f>
        <v>View Company Online</v>
      </c>
    </row>
    <row r="4467" spans="1:18" hidden="1" x14ac:dyDescent="0.3">
      <c r="A4467" s="15" t="s">
        <v>14392</v>
      </c>
      <c r="B4467" s="15" t="s">
        <v>14393</v>
      </c>
      <c r="C4467" s="18" t="s">
        <v>28</v>
      </c>
      <c r="D4467" s="15" t="s">
        <v>14394</v>
      </c>
      <c r="E4467" s="18" t="s">
        <v>28</v>
      </c>
      <c r="F4467" s="19" t="s">
        <v>28</v>
      </c>
      <c r="G4467" s="19">
        <v>0.19</v>
      </c>
      <c r="H4467" s="19" t="s">
        <v>28</v>
      </c>
      <c r="I4467" s="18" t="s">
        <v>28</v>
      </c>
      <c r="J4467" s="18" t="s">
        <v>28</v>
      </c>
      <c r="K4467" s="18" t="s">
        <v>28</v>
      </c>
      <c r="L4467" s="18" t="s">
        <v>28</v>
      </c>
      <c r="M4467" s="18" t="s">
        <v>28</v>
      </c>
      <c r="N4467" s="17">
        <v>44412</v>
      </c>
      <c r="O4467" s="15" t="s">
        <v>1639</v>
      </c>
      <c r="P4467" s="16" t="s">
        <v>28</v>
      </c>
      <c r="Q4467" s="15" t="s">
        <v>37</v>
      </c>
      <c r="R4467" s="13" t="str">
        <f>HYPERLINK("https://my.pitchbook.com?c=173504-08T","View Company Online")</f>
        <v>View Company Online</v>
      </c>
    </row>
    <row r="4468" spans="1:18" hidden="1" x14ac:dyDescent="0.3">
      <c r="A4468" s="9" t="s">
        <v>14395</v>
      </c>
      <c r="B4468" s="9" t="s">
        <v>4532</v>
      </c>
      <c r="C4468" s="11" t="s">
        <v>28</v>
      </c>
      <c r="D4468" s="9" t="s">
        <v>4533</v>
      </c>
      <c r="E4468" s="11" t="s">
        <v>28</v>
      </c>
      <c r="F4468" s="10" t="s">
        <v>28</v>
      </c>
      <c r="G4468" s="10" t="s">
        <v>28</v>
      </c>
      <c r="H4468" s="10" t="s">
        <v>28</v>
      </c>
      <c r="I4468" s="11" t="s">
        <v>28</v>
      </c>
      <c r="J4468" s="11" t="s">
        <v>28</v>
      </c>
      <c r="K4468" s="11" t="s">
        <v>28</v>
      </c>
      <c r="L4468" s="11" t="s">
        <v>28</v>
      </c>
      <c r="M4468" s="11" t="s">
        <v>28</v>
      </c>
      <c r="N4468" s="8">
        <v>44411</v>
      </c>
      <c r="O4468" s="9" t="s">
        <v>52</v>
      </c>
      <c r="P4468" s="12" t="s">
        <v>14396</v>
      </c>
      <c r="Q4468" s="9" t="s">
        <v>37</v>
      </c>
      <c r="R4468" s="14" t="str">
        <f>HYPERLINK("https://my.pitchbook.com?c=188547-85T","View Company Online")</f>
        <v>View Company Online</v>
      </c>
    </row>
    <row r="4469" spans="1:18" hidden="1" x14ac:dyDescent="0.3">
      <c r="A4469" s="15" t="s">
        <v>14397</v>
      </c>
      <c r="B4469" s="15" t="s">
        <v>14398</v>
      </c>
      <c r="C4469" s="18" t="s">
        <v>28</v>
      </c>
      <c r="D4469" s="15" t="s">
        <v>14399</v>
      </c>
      <c r="E4469" s="18" t="s">
        <v>28</v>
      </c>
      <c r="F4469" s="19">
        <v>8.0299999999999994</v>
      </c>
      <c r="G4469" s="19">
        <v>4.82</v>
      </c>
      <c r="H4469" s="19">
        <v>8.0299999999999994</v>
      </c>
      <c r="I4469" s="18" t="s">
        <v>28</v>
      </c>
      <c r="J4469" s="18" t="s">
        <v>28</v>
      </c>
      <c r="K4469" s="18" t="s">
        <v>28</v>
      </c>
      <c r="L4469" s="18" t="s">
        <v>28</v>
      </c>
      <c r="M4469" s="18" t="s">
        <v>28</v>
      </c>
      <c r="N4469" s="17">
        <v>44411</v>
      </c>
      <c r="O4469" s="15" t="s">
        <v>30</v>
      </c>
      <c r="P4469" s="16" t="s">
        <v>6770</v>
      </c>
      <c r="Q4469" s="15" t="s">
        <v>75</v>
      </c>
      <c r="R4469" s="13" t="str">
        <f>HYPERLINK("https://my.pitchbook.com?c=173249-83T","View Company Online")</f>
        <v>View Company Online</v>
      </c>
    </row>
    <row r="4470" spans="1:18" hidden="1" x14ac:dyDescent="0.3">
      <c r="A4470" s="9" t="s">
        <v>14400</v>
      </c>
      <c r="B4470" s="9" t="s">
        <v>8042</v>
      </c>
      <c r="C4470" s="11" t="s">
        <v>28</v>
      </c>
      <c r="D4470" s="9" t="s">
        <v>8043</v>
      </c>
      <c r="E4470" s="11" t="s">
        <v>28</v>
      </c>
      <c r="F4470" s="10" t="s">
        <v>28</v>
      </c>
      <c r="G4470" s="10">
        <v>0.77</v>
      </c>
      <c r="H4470" s="10" t="s">
        <v>28</v>
      </c>
      <c r="I4470" s="11" t="s">
        <v>28</v>
      </c>
      <c r="J4470" s="11" t="s">
        <v>28</v>
      </c>
      <c r="K4470" s="11" t="s">
        <v>28</v>
      </c>
      <c r="L4470" s="11" t="s">
        <v>28</v>
      </c>
      <c r="M4470" s="11" t="s">
        <v>28</v>
      </c>
      <c r="N4470" s="8">
        <v>44411</v>
      </c>
      <c r="O4470" s="9" t="s">
        <v>99</v>
      </c>
      <c r="P4470" s="12" t="s">
        <v>14401</v>
      </c>
      <c r="Q4470" s="9" t="s">
        <v>75</v>
      </c>
      <c r="R4470" s="14" t="str">
        <f>HYPERLINK("https://my.pitchbook.com?c=211147-48T","View Company Online")</f>
        <v>View Company Online</v>
      </c>
    </row>
    <row r="4471" spans="1:18" hidden="1" x14ac:dyDescent="0.3">
      <c r="A4471" s="15" t="s">
        <v>14402</v>
      </c>
      <c r="B4471" s="15" t="s">
        <v>14403</v>
      </c>
      <c r="C4471" s="18" t="s">
        <v>28</v>
      </c>
      <c r="D4471" s="15" t="s">
        <v>14404</v>
      </c>
      <c r="E4471" s="18" t="s">
        <v>28</v>
      </c>
      <c r="F4471" s="19" t="s">
        <v>28</v>
      </c>
      <c r="G4471" s="19" t="s">
        <v>28</v>
      </c>
      <c r="H4471" s="19" t="s">
        <v>28</v>
      </c>
      <c r="I4471" s="18" t="s">
        <v>28</v>
      </c>
      <c r="J4471" s="18" t="s">
        <v>28</v>
      </c>
      <c r="K4471" s="18" t="s">
        <v>28</v>
      </c>
      <c r="L4471" s="18" t="s">
        <v>28</v>
      </c>
      <c r="M4471" s="18" t="s">
        <v>28</v>
      </c>
      <c r="N4471" s="17">
        <v>44411</v>
      </c>
      <c r="O4471" s="15" t="s">
        <v>30</v>
      </c>
      <c r="P4471" s="16" t="s">
        <v>28</v>
      </c>
      <c r="Q4471" s="15" t="s">
        <v>193</v>
      </c>
      <c r="R4471" s="13" t="str">
        <f>HYPERLINK("https://my.pitchbook.com?c=177716-80T","View Company Online")</f>
        <v>View Company Online</v>
      </c>
    </row>
    <row r="4472" spans="1:18" hidden="1" x14ac:dyDescent="0.3">
      <c r="A4472" s="9" t="s">
        <v>14405</v>
      </c>
      <c r="B4472" s="9" t="s">
        <v>14406</v>
      </c>
      <c r="C4472" s="11" t="s">
        <v>28</v>
      </c>
      <c r="D4472" s="9" t="s">
        <v>14407</v>
      </c>
      <c r="E4472" s="11" t="s">
        <v>28</v>
      </c>
      <c r="F4472" s="10" t="s">
        <v>28</v>
      </c>
      <c r="G4472" s="10" t="s">
        <v>28</v>
      </c>
      <c r="H4472" s="10" t="s">
        <v>28</v>
      </c>
      <c r="I4472" s="11" t="s">
        <v>28</v>
      </c>
      <c r="J4472" s="11" t="s">
        <v>28</v>
      </c>
      <c r="K4472" s="11" t="s">
        <v>28</v>
      </c>
      <c r="L4472" s="11" t="s">
        <v>28</v>
      </c>
      <c r="M4472" s="11" t="s">
        <v>28</v>
      </c>
      <c r="N4472" s="8">
        <v>44411</v>
      </c>
      <c r="O4472" s="9" t="s">
        <v>30</v>
      </c>
      <c r="P4472" s="12" t="s">
        <v>5646</v>
      </c>
      <c r="Q4472" s="9" t="s">
        <v>290</v>
      </c>
      <c r="R4472" s="14" t="str">
        <f>HYPERLINK("https://my.pitchbook.com?c=211876-30T","View Company Online")</f>
        <v>View Company Online</v>
      </c>
    </row>
    <row r="4473" spans="1:18" hidden="1" x14ac:dyDescent="0.3">
      <c r="A4473" s="15" t="s">
        <v>14408</v>
      </c>
      <c r="B4473" s="15" t="s">
        <v>14409</v>
      </c>
      <c r="C4473" s="18" t="s">
        <v>28</v>
      </c>
      <c r="D4473" s="15" t="s">
        <v>14410</v>
      </c>
      <c r="E4473" s="18" t="s">
        <v>28</v>
      </c>
      <c r="F4473" s="19" t="s">
        <v>28</v>
      </c>
      <c r="G4473" s="19">
        <v>0.09</v>
      </c>
      <c r="H4473" s="19" t="s">
        <v>28</v>
      </c>
      <c r="I4473" s="18" t="s">
        <v>28</v>
      </c>
      <c r="J4473" s="18" t="s">
        <v>28</v>
      </c>
      <c r="K4473" s="18" t="s">
        <v>28</v>
      </c>
      <c r="L4473" s="18" t="s">
        <v>28</v>
      </c>
      <c r="M4473" s="18" t="s">
        <v>28</v>
      </c>
      <c r="N4473" s="17">
        <v>44411</v>
      </c>
      <c r="O4473" s="15" t="s">
        <v>379</v>
      </c>
      <c r="P4473" s="16" t="s">
        <v>14411</v>
      </c>
      <c r="Q4473" s="15" t="s">
        <v>95</v>
      </c>
      <c r="R4473" s="13" t="str">
        <f>HYPERLINK("https://my.pitchbook.com?c=178351-93T","View Company Online")</f>
        <v>View Company Online</v>
      </c>
    </row>
    <row r="4474" spans="1:18" hidden="1" x14ac:dyDescent="0.3">
      <c r="A4474" s="9" t="s">
        <v>14412</v>
      </c>
      <c r="B4474" s="9" t="s">
        <v>10969</v>
      </c>
      <c r="C4474" s="11" t="s">
        <v>28</v>
      </c>
      <c r="D4474" s="9" t="s">
        <v>10970</v>
      </c>
      <c r="E4474" s="11" t="s">
        <v>28</v>
      </c>
      <c r="F4474" s="10" t="s">
        <v>28</v>
      </c>
      <c r="G4474" s="10">
        <v>120.88</v>
      </c>
      <c r="H4474" s="10" t="s">
        <v>28</v>
      </c>
      <c r="I4474" s="11" t="s">
        <v>28</v>
      </c>
      <c r="J4474" s="11" t="s">
        <v>28</v>
      </c>
      <c r="K4474" s="11" t="s">
        <v>28</v>
      </c>
      <c r="L4474" s="11" t="s">
        <v>28</v>
      </c>
      <c r="M4474" s="11" t="s">
        <v>28</v>
      </c>
      <c r="N4474" s="8">
        <v>44411</v>
      </c>
      <c r="O4474" s="9" t="s">
        <v>79</v>
      </c>
      <c r="P4474" s="12" t="s">
        <v>14413</v>
      </c>
      <c r="Q4474" s="9" t="s">
        <v>75</v>
      </c>
      <c r="R4474" s="14" t="str">
        <f>HYPERLINK("https://my.pitchbook.com?c=177671-80T","View Company Online")</f>
        <v>View Company Online</v>
      </c>
    </row>
    <row r="4475" spans="1:18" x14ac:dyDescent="0.3">
      <c r="A4475" s="15" t="s">
        <v>14414</v>
      </c>
      <c r="B4475" s="15" t="s">
        <v>14415</v>
      </c>
      <c r="C4475" s="18">
        <v>33.590000000000003</v>
      </c>
      <c r="D4475" s="15" t="s">
        <v>14416</v>
      </c>
      <c r="E4475" s="18" t="s">
        <v>28</v>
      </c>
      <c r="F4475" s="19">
        <v>138.29</v>
      </c>
      <c r="G4475" s="19">
        <v>138.29</v>
      </c>
      <c r="H4475" s="19">
        <v>138.29</v>
      </c>
      <c r="I4475" s="18">
        <v>4.12</v>
      </c>
      <c r="J4475" s="18">
        <v>33.590000000000003</v>
      </c>
      <c r="K4475" s="18">
        <v>46.78</v>
      </c>
      <c r="L4475" s="18">
        <v>2.96</v>
      </c>
      <c r="M4475" s="18" t="s">
        <v>28</v>
      </c>
      <c r="N4475" s="17">
        <v>44411</v>
      </c>
      <c r="O4475" s="15" t="s">
        <v>30</v>
      </c>
      <c r="P4475" s="16" t="s">
        <v>10109</v>
      </c>
      <c r="Q4475" s="15" t="s">
        <v>616</v>
      </c>
      <c r="R4475" s="13" t="str">
        <f>HYPERLINK("https://my.pitchbook.com?c=177687-46T","View Company Online")</f>
        <v>View Company Online</v>
      </c>
    </row>
    <row r="4476" spans="1:18" hidden="1" x14ac:dyDescent="0.3">
      <c r="A4476" s="9" t="s">
        <v>14417</v>
      </c>
      <c r="B4476" s="9" t="s">
        <v>14418</v>
      </c>
      <c r="C4476" s="11" t="s">
        <v>28</v>
      </c>
      <c r="D4476" s="9" t="s">
        <v>14419</v>
      </c>
      <c r="E4476" s="11" t="s">
        <v>28</v>
      </c>
      <c r="F4476" s="10" t="s">
        <v>28</v>
      </c>
      <c r="G4476" s="10" t="s">
        <v>28</v>
      </c>
      <c r="H4476" s="10" t="s">
        <v>28</v>
      </c>
      <c r="I4476" s="11" t="s">
        <v>28</v>
      </c>
      <c r="J4476" s="11" t="s">
        <v>28</v>
      </c>
      <c r="K4476" s="11" t="s">
        <v>28</v>
      </c>
      <c r="L4476" s="11" t="s">
        <v>28</v>
      </c>
      <c r="M4476" s="11" t="s">
        <v>28</v>
      </c>
      <c r="N4476" s="8">
        <v>44410</v>
      </c>
      <c r="O4476" s="9" t="s">
        <v>30</v>
      </c>
      <c r="P4476" s="12" t="s">
        <v>14420</v>
      </c>
      <c r="Q4476" s="9" t="s">
        <v>1051</v>
      </c>
      <c r="R4476" s="14" t="str">
        <f>HYPERLINK("https://my.pitchbook.com?c=191742-76T","View Company Online")</f>
        <v>View Company Online</v>
      </c>
    </row>
    <row r="4477" spans="1:18" hidden="1" x14ac:dyDescent="0.3">
      <c r="A4477" s="15" t="s">
        <v>14421</v>
      </c>
      <c r="B4477" s="15" t="s">
        <v>14422</v>
      </c>
      <c r="C4477" s="18" t="s">
        <v>28</v>
      </c>
      <c r="D4477" s="15" t="s">
        <v>14423</v>
      </c>
      <c r="E4477" s="18" t="s">
        <v>28</v>
      </c>
      <c r="F4477" s="19" t="s">
        <v>28</v>
      </c>
      <c r="G4477" s="19" t="s">
        <v>28</v>
      </c>
      <c r="H4477" s="19" t="s">
        <v>28</v>
      </c>
      <c r="I4477" s="18" t="s">
        <v>28</v>
      </c>
      <c r="J4477" s="18" t="s">
        <v>28</v>
      </c>
      <c r="K4477" s="18" t="s">
        <v>28</v>
      </c>
      <c r="L4477" s="18" t="s">
        <v>28</v>
      </c>
      <c r="M4477" s="18" t="s">
        <v>28</v>
      </c>
      <c r="N4477" s="17">
        <v>44410</v>
      </c>
      <c r="O4477" s="15" t="s">
        <v>30</v>
      </c>
      <c r="P4477" s="16" t="s">
        <v>3797</v>
      </c>
      <c r="Q4477" s="15" t="s">
        <v>290</v>
      </c>
      <c r="R4477" s="13" t="str">
        <f>HYPERLINK("https://my.pitchbook.com?c=211892-59T","View Company Online")</f>
        <v>View Company Online</v>
      </c>
    </row>
    <row r="4478" spans="1:18" hidden="1" x14ac:dyDescent="0.3">
      <c r="A4478" s="9" t="s">
        <v>14424</v>
      </c>
      <c r="B4478" s="9" t="s">
        <v>14425</v>
      </c>
      <c r="C4478" s="11" t="s">
        <v>28</v>
      </c>
      <c r="D4478" s="9" t="s">
        <v>14426</v>
      </c>
      <c r="E4478" s="11" t="s">
        <v>28</v>
      </c>
      <c r="F4478" s="10">
        <v>19.739999999999998</v>
      </c>
      <c r="G4478" s="10">
        <v>19.739999999999998</v>
      </c>
      <c r="H4478" s="10">
        <v>19.739999999999998</v>
      </c>
      <c r="I4478" s="11" t="s">
        <v>28</v>
      </c>
      <c r="J4478" s="11" t="s">
        <v>28</v>
      </c>
      <c r="K4478" s="11" t="s">
        <v>28</v>
      </c>
      <c r="L4478" s="11" t="s">
        <v>28</v>
      </c>
      <c r="M4478" s="11" t="s">
        <v>28</v>
      </c>
      <c r="N4478" s="8">
        <v>44410</v>
      </c>
      <c r="O4478" s="9" t="s">
        <v>30</v>
      </c>
      <c r="P4478" s="12" t="s">
        <v>6531</v>
      </c>
      <c r="Q4478" s="9" t="s">
        <v>75</v>
      </c>
      <c r="R4478" s="14" t="str">
        <f>HYPERLINK("https://my.pitchbook.com?c=184111-75T","View Company Online")</f>
        <v>View Company Online</v>
      </c>
    </row>
    <row r="4479" spans="1:18" hidden="1" x14ac:dyDescent="0.3">
      <c r="A4479" s="15" t="s">
        <v>14427</v>
      </c>
      <c r="B4479" s="15" t="s">
        <v>10501</v>
      </c>
      <c r="C4479" s="18" t="s">
        <v>28</v>
      </c>
      <c r="D4479" s="15" t="s">
        <v>10502</v>
      </c>
      <c r="E4479" s="18" t="s">
        <v>28</v>
      </c>
      <c r="F4479" s="19" t="s">
        <v>28</v>
      </c>
      <c r="G4479" s="19">
        <v>2</v>
      </c>
      <c r="H4479" s="19" t="s">
        <v>28</v>
      </c>
      <c r="I4479" s="18" t="s">
        <v>28</v>
      </c>
      <c r="J4479" s="18" t="s">
        <v>28</v>
      </c>
      <c r="K4479" s="18" t="s">
        <v>28</v>
      </c>
      <c r="L4479" s="18" t="s">
        <v>28</v>
      </c>
      <c r="M4479" s="18" t="s">
        <v>28</v>
      </c>
      <c r="N4479" s="17">
        <v>44410</v>
      </c>
      <c r="O4479" s="15" t="s">
        <v>99</v>
      </c>
      <c r="P4479" s="16" t="s">
        <v>14428</v>
      </c>
      <c r="Q4479" s="15" t="s">
        <v>566</v>
      </c>
      <c r="R4479" s="13" t="str">
        <f>HYPERLINK("https://my.pitchbook.com?c=184039-84T","View Company Online")</f>
        <v>View Company Online</v>
      </c>
    </row>
    <row r="4480" spans="1:18" hidden="1" x14ac:dyDescent="0.3">
      <c r="A4480" s="9" t="s">
        <v>14429</v>
      </c>
      <c r="B4480" s="9" t="s">
        <v>14430</v>
      </c>
      <c r="C4480" s="11" t="s">
        <v>28</v>
      </c>
      <c r="D4480" s="9" t="s">
        <v>14431</v>
      </c>
      <c r="E4480" s="11" t="s">
        <v>28</v>
      </c>
      <c r="F4480" s="10" t="s">
        <v>28</v>
      </c>
      <c r="G4480" s="10">
        <v>112.26</v>
      </c>
      <c r="H4480" s="10" t="s">
        <v>28</v>
      </c>
      <c r="I4480" s="11" t="s">
        <v>28</v>
      </c>
      <c r="J4480" s="11" t="s">
        <v>28</v>
      </c>
      <c r="K4480" s="11" t="s">
        <v>28</v>
      </c>
      <c r="L4480" s="11" t="s">
        <v>28</v>
      </c>
      <c r="M4480" s="11" t="s">
        <v>28</v>
      </c>
      <c r="N4480" s="8">
        <v>44410</v>
      </c>
      <c r="O4480" s="9" t="s">
        <v>79</v>
      </c>
      <c r="P4480" s="12" t="s">
        <v>14432</v>
      </c>
      <c r="Q4480" s="9" t="s">
        <v>75</v>
      </c>
      <c r="R4480" s="14" t="str">
        <f>HYPERLINK("https://my.pitchbook.com?c=177659-02T","View Company Online")</f>
        <v>View Company Online</v>
      </c>
    </row>
    <row r="4481" spans="1:18" hidden="1" x14ac:dyDescent="0.3">
      <c r="A4481" s="15" t="s">
        <v>14433</v>
      </c>
      <c r="B4481" s="15" t="s">
        <v>2897</v>
      </c>
      <c r="C4481" s="18" t="s">
        <v>28</v>
      </c>
      <c r="D4481" s="15" t="s">
        <v>2898</v>
      </c>
      <c r="E4481" s="18" t="s">
        <v>28</v>
      </c>
      <c r="F4481" s="19" t="s">
        <v>28</v>
      </c>
      <c r="G4481" s="19">
        <v>0.01</v>
      </c>
      <c r="H4481" s="19" t="s">
        <v>28</v>
      </c>
      <c r="I4481" s="18" t="s">
        <v>28</v>
      </c>
      <c r="J4481" s="18" t="s">
        <v>28</v>
      </c>
      <c r="K4481" s="18" t="s">
        <v>28</v>
      </c>
      <c r="L4481" s="18" t="s">
        <v>28</v>
      </c>
      <c r="M4481" s="18" t="s">
        <v>28</v>
      </c>
      <c r="N4481" s="17">
        <v>44410</v>
      </c>
      <c r="O4481" s="15" t="s">
        <v>52</v>
      </c>
      <c r="P4481" s="16" t="s">
        <v>14434</v>
      </c>
      <c r="Q4481" s="15" t="s">
        <v>75</v>
      </c>
      <c r="R4481" s="13" t="str">
        <f>HYPERLINK("https://my.pitchbook.com?c=191917-09T","View Company Online")</f>
        <v>View Company Online</v>
      </c>
    </row>
    <row r="4482" spans="1:18" x14ac:dyDescent="0.3">
      <c r="A4482" s="9" t="s">
        <v>14435</v>
      </c>
      <c r="B4482" s="9" t="s">
        <v>14436</v>
      </c>
      <c r="C4482" s="11">
        <v>17.829999999999998</v>
      </c>
      <c r="D4482" s="9" t="s">
        <v>14437</v>
      </c>
      <c r="E4482" s="11">
        <v>7.48</v>
      </c>
      <c r="F4482" s="10">
        <v>143.86000000000001</v>
      </c>
      <c r="G4482" s="10">
        <v>148.5</v>
      </c>
      <c r="H4482" s="10">
        <v>148.5</v>
      </c>
      <c r="I4482" s="11">
        <v>8.07</v>
      </c>
      <c r="J4482" s="11">
        <v>18.41</v>
      </c>
      <c r="K4482" s="11">
        <v>9.3800000000000008</v>
      </c>
      <c r="L4482" s="11">
        <v>15.83</v>
      </c>
      <c r="M4482" s="11">
        <v>4.5199999999999996</v>
      </c>
      <c r="N4482" s="8">
        <v>44410</v>
      </c>
      <c r="O4482" s="9" t="s">
        <v>30</v>
      </c>
      <c r="P4482" s="12" t="s">
        <v>14438</v>
      </c>
      <c r="Q4482" s="9" t="s">
        <v>69</v>
      </c>
      <c r="R4482" s="14" t="str">
        <f>HYPERLINK("https://my.pitchbook.com?c=191817-55T","View Company Online")</f>
        <v>View Company Online</v>
      </c>
    </row>
    <row r="4483" spans="1:18" hidden="1" x14ac:dyDescent="0.3">
      <c r="A4483" s="15" t="s">
        <v>14439</v>
      </c>
      <c r="B4483" s="15" t="s">
        <v>14440</v>
      </c>
      <c r="C4483" s="18" t="s">
        <v>28</v>
      </c>
      <c r="D4483" s="15" t="s">
        <v>14441</v>
      </c>
      <c r="E4483" s="18" t="s">
        <v>28</v>
      </c>
      <c r="F4483" s="19" t="s">
        <v>28</v>
      </c>
      <c r="G4483" s="19" t="s">
        <v>28</v>
      </c>
      <c r="H4483" s="19" t="s">
        <v>28</v>
      </c>
      <c r="I4483" s="18" t="s">
        <v>28</v>
      </c>
      <c r="J4483" s="18" t="s">
        <v>28</v>
      </c>
      <c r="K4483" s="18" t="s">
        <v>28</v>
      </c>
      <c r="L4483" s="18" t="s">
        <v>28</v>
      </c>
      <c r="M4483" s="18" t="s">
        <v>28</v>
      </c>
      <c r="N4483" s="17">
        <v>44409</v>
      </c>
      <c r="O4483" s="15" t="s">
        <v>30</v>
      </c>
      <c r="P4483" s="16" t="s">
        <v>3631</v>
      </c>
      <c r="Q4483" s="15" t="s">
        <v>75</v>
      </c>
      <c r="R4483" s="13" t="str">
        <f>HYPERLINK("https://my.pitchbook.com?c=211780-99T","View Company Online")</f>
        <v>View Company Online</v>
      </c>
    </row>
    <row r="4484" spans="1:18" hidden="1" x14ac:dyDescent="0.3">
      <c r="A4484" s="9" t="s">
        <v>14442</v>
      </c>
      <c r="B4484" s="9" t="s">
        <v>867</v>
      </c>
      <c r="C4484" s="11" t="s">
        <v>28</v>
      </c>
      <c r="D4484" s="9" t="s">
        <v>868</v>
      </c>
      <c r="E4484" s="11" t="s">
        <v>28</v>
      </c>
      <c r="F4484" s="10" t="s">
        <v>28</v>
      </c>
      <c r="G4484" s="10" t="s">
        <v>28</v>
      </c>
      <c r="H4484" s="10" t="s">
        <v>28</v>
      </c>
      <c r="I4484" s="11" t="s">
        <v>28</v>
      </c>
      <c r="J4484" s="11" t="s">
        <v>28</v>
      </c>
      <c r="K4484" s="11" t="s">
        <v>28</v>
      </c>
      <c r="L4484" s="11" t="s">
        <v>28</v>
      </c>
      <c r="M4484" s="11" t="s">
        <v>28</v>
      </c>
      <c r="N4484" s="8">
        <v>44409</v>
      </c>
      <c r="O4484" s="9" t="s">
        <v>99</v>
      </c>
      <c r="P4484" s="12" t="s">
        <v>611</v>
      </c>
      <c r="Q4484" s="9" t="s">
        <v>75</v>
      </c>
      <c r="R4484" s="14" t="str">
        <f>HYPERLINK("https://my.pitchbook.com?c=178563-07T","View Company Online")</f>
        <v>View Company Online</v>
      </c>
    </row>
    <row r="4485" spans="1:18" hidden="1" x14ac:dyDescent="0.3">
      <c r="A4485" s="15" t="s">
        <v>14443</v>
      </c>
      <c r="B4485" s="15" t="s">
        <v>14444</v>
      </c>
      <c r="C4485" s="18" t="s">
        <v>28</v>
      </c>
      <c r="D4485" s="15" t="s">
        <v>14445</v>
      </c>
      <c r="E4485" s="18" t="s">
        <v>28</v>
      </c>
      <c r="F4485" s="19" t="s">
        <v>28</v>
      </c>
      <c r="G4485" s="19" t="s">
        <v>28</v>
      </c>
      <c r="H4485" s="19" t="s">
        <v>28</v>
      </c>
      <c r="I4485" s="18" t="s">
        <v>28</v>
      </c>
      <c r="J4485" s="18" t="s">
        <v>28</v>
      </c>
      <c r="K4485" s="18" t="s">
        <v>28</v>
      </c>
      <c r="L4485" s="18" t="s">
        <v>28</v>
      </c>
      <c r="M4485" s="18" t="s">
        <v>28</v>
      </c>
      <c r="N4485" s="17">
        <v>44409</v>
      </c>
      <c r="O4485" s="15" t="s">
        <v>99</v>
      </c>
      <c r="P4485" s="16" t="s">
        <v>8780</v>
      </c>
      <c r="Q4485" s="15" t="s">
        <v>353</v>
      </c>
      <c r="R4485" s="13" t="str">
        <f>HYPERLINK("https://my.pitchbook.com?c=118089-64T","View Company Online")</f>
        <v>View Company Online</v>
      </c>
    </row>
    <row r="4486" spans="1:18" hidden="1" x14ac:dyDescent="0.3">
      <c r="A4486" s="9" t="s">
        <v>14446</v>
      </c>
      <c r="B4486" s="9" t="s">
        <v>14447</v>
      </c>
      <c r="C4486" s="11" t="s">
        <v>28</v>
      </c>
      <c r="D4486" s="9" t="s">
        <v>14448</v>
      </c>
      <c r="E4486" s="11" t="s">
        <v>28</v>
      </c>
      <c r="F4486" s="10" t="s">
        <v>28</v>
      </c>
      <c r="G4486" s="10" t="s">
        <v>28</v>
      </c>
      <c r="H4486" s="10" t="s">
        <v>28</v>
      </c>
      <c r="I4486" s="11" t="s">
        <v>28</v>
      </c>
      <c r="J4486" s="11" t="s">
        <v>28</v>
      </c>
      <c r="K4486" s="11" t="s">
        <v>28</v>
      </c>
      <c r="L4486" s="11" t="s">
        <v>28</v>
      </c>
      <c r="M4486" s="11" t="s">
        <v>28</v>
      </c>
      <c r="N4486" s="8">
        <v>44409</v>
      </c>
      <c r="O4486" s="9" t="s">
        <v>52</v>
      </c>
      <c r="P4486" s="12" t="s">
        <v>2442</v>
      </c>
      <c r="Q4486" s="9" t="s">
        <v>75</v>
      </c>
      <c r="R4486" s="14" t="str">
        <f>HYPERLINK("https://my.pitchbook.com?c=263520-10T","View Company Online")</f>
        <v>View Company Online</v>
      </c>
    </row>
    <row r="4487" spans="1:18" hidden="1" x14ac:dyDescent="0.3">
      <c r="A4487" s="15" t="s">
        <v>14449</v>
      </c>
      <c r="B4487" s="15" t="s">
        <v>14450</v>
      </c>
      <c r="C4487" s="18" t="s">
        <v>28</v>
      </c>
      <c r="D4487" s="15" t="s">
        <v>14451</v>
      </c>
      <c r="E4487" s="18" t="s">
        <v>28</v>
      </c>
      <c r="F4487" s="19" t="s">
        <v>28</v>
      </c>
      <c r="G4487" s="19" t="s">
        <v>28</v>
      </c>
      <c r="H4487" s="19" t="s">
        <v>28</v>
      </c>
      <c r="I4487" s="18" t="s">
        <v>28</v>
      </c>
      <c r="J4487" s="18" t="s">
        <v>28</v>
      </c>
      <c r="K4487" s="18" t="s">
        <v>28</v>
      </c>
      <c r="L4487" s="18" t="s">
        <v>28</v>
      </c>
      <c r="M4487" s="18" t="s">
        <v>28</v>
      </c>
      <c r="N4487" s="17">
        <v>44409</v>
      </c>
      <c r="O4487" s="15" t="s">
        <v>30</v>
      </c>
      <c r="P4487" s="16" t="s">
        <v>14452</v>
      </c>
      <c r="Q4487" s="15" t="s">
        <v>114</v>
      </c>
      <c r="R4487" s="13" t="str">
        <f>HYPERLINK("https://my.pitchbook.com?c=209554-75T","View Company Online")</f>
        <v>View Company Online</v>
      </c>
    </row>
    <row r="4488" spans="1:18" hidden="1" x14ac:dyDescent="0.3">
      <c r="A4488" s="9" t="s">
        <v>14453</v>
      </c>
      <c r="B4488" s="9" t="s">
        <v>14454</v>
      </c>
      <c r="C4488" s="11" t="s">
        <v>28</v>
      </c>
      <c r="D4488" s="9" t="s">
        <v>14455</v>
      </c>
      <c r="E4488" s="11" t="s">
        <v>28</v>
      </c>
      <c r="F4488" s="10" t="s">
        <v>28</v>
      </c>
      <c r="G4488" s="10" t="s">
        <v>28</v>
      </c>
      <c r="H4488" s="10" t="s">
        <v>28</v>
      </c>
      <c r="I4488" s="11" t="s">
        <v>28</v>
      </c>
      <c r="J4488" s="11" t="s">
        <v>28</v>
      </c>
      <c r="K4488" s="11" t="s">
        <v>28</v>
      </c>
      <c r="L4488" s="11" t="s">
        <v>28</v>
      </c>
      <c r="M4488" s="11" t="s">
        <v>28</v>
      </c>
      <c r="N4488" s="8">
        <v>44409</v>
      </c>
      <c r="O4488" s="9" t="s">
        <v>93</v>
      </c>
      <c r="P4488" s="12" t="s">
        <v>14456</v>
      </c>
      <c r="Q4488" s="9" t="s">
        <v>69</v>
      </c>
      <c r="R4488" s="14" t="str">
        <f>HYPERLINK("https://my.pitchbook.com?c=179009-74T","View Company Online")</f>
        <v>View Company Online</v>
      </c>
    </row>
    <row r="4489" spans="1:18" hidden="1" x14ac:dyDescent="0.3">
      <c r="A4489" s="15" t="s">
        <v>14457</v>
      </c>
      <c r="B4489" s="15" t="s">
        <v>14458</v>
      </c>
      <c r="C4489" s="18" t="s">
        <v>28</v>
      </c>
      <c r="D4489" s="15" t="s">
        <v>14459</v>
      </c>
      <c r="E4489" s="18" t="s">
        <v>28</v>
      </c>
      <c r="F4489" s="19" t="s">
        <v>28</v>
      </c>
      <c r="G4489" s="19" t="s">
        <v>28</v>
      </c>
      <c r="H4489" s="19" t="s">
        <v>28</v>
      </c>
      <c r="I4489" s="18" t="s">
        <v>28</v>
      </c>
      <c r="J4489" s="18" t="s">
        <v>28</v>
      </c>
      <c r="K4489" s="18" t="s">
        <v>28</v>
      </c>
      <c r="L4489" s="18" t="s">
        <v>28</v>
      </c>
      <c r="M4489" s="18" t="s">
        <v>28</v>
      </c>
      <c r="N4489" s="17">
        <v>44409</v>
      </c>
      <c r="O4489" s="15" t="s">
        <v>73</v>
      </c>
      <c r="P4489" s="16" t="s">
        <v>14225</v>
      </c>
      <c r="Q4489" s="15" t="s">
        <v>75</v>
      </c>
      <c r="R4489" s="13" t="str">
        <f>HYPERLINK("https://my.pitchbook.com?c=207554-59T","View Company Online")</f>
        <v>View Company Online</v>
      </c>
    </row>
    <row r="4490" spans="1:18" hidden="1" x14ac:dyDescent="0.3">
      <c r="A4490" s="9" t="s">
        <v>14460</v>
      </c>
      <c r="B4490" s="9" t="s">
        <v>14461</v>
      </c>
      <c r="C4490" s="11" t="s">
        <v>28</v>
      </c>
      <c r="D4490" s="9" t="s">
        <v>14462</v>
      </c>
      <c r="E4490" s="11" t="s">
        <v>28</v>
      </c>
      <c r="F4490" s="10" t="s">
        <v>28</v>
      </c>
      <c r="G4490" s="10" t="s">
        <v>28</v>
      </c>
      <c r="H4490" s="10" t="s">
        <v>28</v>
      </c>
      <c r="I4490" s="11" t="s">
        <v>28</v>
      </c>
      <c r="J4490" s="11" t="s">
        <v>28</v>
      </c>
      <c r="K4490" s="11" t="s">
        <v>28</v>
      </c>
      <c r="L4490" s="11" t="s">
        <v>28</v>
      </c>
      <c r="M4490" s="11" t="s">
        <v>28</v>
      </c>
      <c r="N4490" s="8">
        <v>44409</v>
      </c>
      <c r="O4490" s="9" t="s">
        <v>30</v>
      </c>
      <c r="P4490" s="12" t="s">
        <v>12054</v>
      </c>
      <c r="Q4490" s="9" t="s">
        <v>583</v>
      </c>
      <c r="R4490" s="14" t="str">
        <f>HYPERLINK("https://my.pitchbook.com?c=209087-47T","View Company Online")</f>
        <v>View Company Online</v>
      </c>
    </row>
    <row r="4491" spans="1:18" hidden="1" x14ac:dyDescent="0.3">
      <c r="A4491" s="15" t="s">
        <v>14463</v>
      </c>
      <c r="B4491" s="15" t="s">
        <v>14464</v>
      </c>
      <c r="C4491" s="18" t="s">
        <v>28</v>
      </c>
      <c r="D4491" s="15" t="s">
        <v>14465</v>
      </c>
      <c r="E4491" s="18" t="s">
        <v>28</v>
      </c>
      <c r="F4491" s="19" t="s">
        <v>28</v>
      </c>
      <c r="G4491" s="19">
        <v>3.29</v>
      </c>
      <c r="H4491" s="19" t="s">
        <v>28</v>
      </c>
      <c r="I4491" s="18" t="s">
        <v>28</v>
      </c>
      <c r="J4491" s="18" t="s">
        <v>28</v>
      </c>
      <c r="K4491" s="18">
        <v>1.1000000000000001</v>
      </c>
      <c r="L4491" s="18" t="s">
        <v>28</v>
      </c>
      <c r="M4491" s="18" t="s">
        <v>28</v>
      </c>
      <c r="N4491" s="17">
        <v>44409</v>
      </c>
      <c r="O4491" s="15" t="s">
        <v>79</v>
      </c>
      <c r="P4491" s="16" t="s">
        <v>14466</v>
      </c>
      <c r="Q4491" s="15" t="s">
        <v>75</v>
      </c>
      <c r="R4491" s="13" t="str">
        <f>HYPERLINK("https://my.pitchbook.com?c=178335-64T","View Company Online")</f>
        <v>View Company Online</v>
      </c>
    </row>
    <row r="4492" spans="1:18" hidden="1" x14ac:dyDescent="0.3">
      <c r="A4492" s="9" t="s">
        <v>14467</v>
      </c>
      <c r="B4492" s="9" t="s">
        <v>14468</v>
      </c>
      <c r="C4492" s="11" t="s">
        <v>28</v>
      </c>
      <c r="D4492" s="9" t="s">
        <v>14469</v>
      </c>
      <c r="E4492" s="11" t="s">
        <v>28</v>
      </c>
      <c r="F4492" s="10" t="s">
        <v>28</v>
      </c>
      <c r="G4492" s="10" t="s">
        <v>28</v>
      </c>
      <c r="H4492" s="10" t="s">
        <v>28</v>
      </c>
      <c r="I4492" s="11" t="s">
        <v>28</v>
      </c>
      <c r="J4492" s="11" t="s">
        <v>28</v>
      </c>
      <c r="K4492" s="11" t="s">
        <v>28</v>
      </c>
      <c r="L4492" s="11" t="s">
        <v>28</v>
      </c>
      <c r="M4492" s="11" t="s">
        <v>28</v>
      </c>
      <c r="N4492" s="8">
        <v>44409</v>
      </c>
      <c r="O4492" s="9" t="s">
        <v>30</v>
      </c>
      <c r="P4492" s="12" t="s">
        <v>7549</v>
      </c>
      <c r="Q4492" s="9" t="s">
        <v>32</v>
      </c>
      <c r="R4492" s="14" t="str">
        <f>HYPERLINK("https://my.pitchbook.com?c=209498-77T","View Company Online")</f>
        <v>View Company Online</v>
      </c>
    </row>
    <row r="4493" spans="1:18" hidden="1" x14ac:dyDescent="0.3">
      <c r="A4493" s="15" t="s">
        <v>14470</v>
      </c>
      <c r="B4493" s="15" t="s">
        <v>6848</v>
      </c>
      <c r="C4493" s="18" t="s">
        <v>28</v>
      </c>
      <c r="D4493" s="15" t="s">
        <v>6849</v>
      </c>
      <c r="E4493" s="18" t="s">
        <v>28</v>
      </c>
      <c r="F4493" s="19" t="s">
        <v>28</v>
      </c>
      <c r="G4493" s="19" t="s">
        <v>28</v>
      </c>
      <c r="H4493" s="19" t="s">
        <v>28</v>
      </c>
      <c r="I4493" s="18" t="s">
        <v>28</v>
      </c>
      <c r="J4493" s="18" t="s">
        <v>28</v>
      </c>
      <c r="K4493" s="18" t="s">
        <v>28</v>
      </c>
      <c r="L4493" s="18" t="s">
        <v>28</v>
      </c>
      <c r="M4493" s="18" t="s">
        <v>28</v>
      </c>
      <c r="N4493" s="17">
        <v>44409</v>
      </c>
      <c r="O4493" s="15" t="s">
        <v>99</v>
      </c>
      <c r="P4493" s="16" t="s">
        <v>14471</v>
      </c>
      <c r="Q4493" s="15" t="s">
        <v>75</v>
      </c>
      <c r="R4493" s="13" t="str">
        <f>HYPERLINK("https://my.pitchbook.com?c=178567-66T","View Company Online")</f>
        <v>View Company Online</v>
      </c>
    </row>
    <row r="4494" spans="1:18" hidden="1" x14ac:dyDescent="0.3">
      <c r="A4494" s="9" t="s">
        <v>14472</v>
      </c>
      <c r="B4494" s="9" t="s">
        <v>9987</v>
      </c>
      <c r="C4494" s="11" t="s">
        <v>28</v>
      </c>
      <c r="D4494" s="9" t="s">
        <v>9988</v>
      </c>
      <c r="E4494" s="11" t="s">
        <v>28</v>
      </c>
      <c r="F4494" s="10" t="s">
        <v>28</v>
      </c>
      <c r="G4494" s="10" t="s">
        <v>28</v>
      </c>
      <c r="H4494" s="10" t="s">
        <v>28</v>
      </c>
      <c r="I4494" s="11" t="s">
        <v>28</v>
      </c>
      <c r="J4494" s="11" t="s">
        <v>28</v>
      </c>
      <c r="K4494" s="11" t="s">
        <v>28</v>
      </c>
      <c r="L4494" s="11" t="s">
        <v>28</v>
      </c>
      <c r="M4494" s="11" t="s">
        <v>28</v>
      </c>
      <c r="N4494" s="8">
        <v>44409</v>
      </c>
      <c r="O4494" s="9" t="s">
        <v>99</v>
      </c>
      <c r="P4494" s="12" t="s">
        <v>611</v>
      </c>
      <c r="Q4494" s="9" t="s">
        <v>75</v>
      </c>
      <c r="R4494" s="14" t="str">
        <f>HYPERLINK("https://my.pitchbook.com?c=248440-15T","View Company Online")</f>
        <v>View Company Online</v>
      </c>
    </row>
    <row r="4495" spans="1:18" hidden="1" x14ac:dyDescent="0.3">
      <c r="A4495" s="15" t="s">
        <v>14473</v>
      </c>
      <c r="B4495" s="15" t="s">
        <v>14474</v>
      </c>
      <c r="C4495" s="18" t="s">
        <v>28</v>
      </c>
      <c r="D4495" s="15" t="s">
        <v>14475</v>
      </c>
      <c r="E4495" s="18" t="s">
        <v>28</v>
      </c>
      <c r="F4495" s="19" t="s">
        <v>28</v>
      </c>
      <c r="G4495" s="19">
        <v>0.57999999999999996</v>
      </c>
      <c r="H4495" s="19" t="s">
        <v>28</v>
      </c>
      <c r="I4495" s="18" t="s">
        <v>28</v>
      </c>
      <c r="J4495" s="18" t="s">
        <v>28</v>
      </c>
      <c r="K4495" s="18" t="s">
        <v>28</v>
      </c>
      <c r="L4495" s="18" t="s">
        <v>28</v>
      </c>
      <c r="M4495" s="18" t="s">
        <v>28</v>
      </c>
      <c r="N4495" s="17">
        <v>44409</v>
      </c>
      <c r="O4495" s="15" t="s">
        <v>99</v>
      </c>
      <c r="P4495" s="16" t="s">
        <v>28</v>
      </c>
      <c r="Q4495" s="15" t="s">
        <v>616</v>
      </c>
      <c r="R4495" s="13" t="str">
        <f>HYPERLINK("https://my.pitchbook.com?c=187680-34T","View Company Online")</f>
        <v>View Company Online</v>
      </c>
    </row>
    <row r="4496" spans="1:18" hidden="1" x14ac:dyDescent="0.3">
      <c r="A4496" s="9" t="s">
        <v>14476</v>
      </c>
      <c r="B4496" s="9" t="s">
        <v>14477</v>
      </c>
      <c r="C4496" s="11" t="s">
        <v>28</v>
      </c>
      <c r="D4496" s="9" t="s">
        <v>14478</v>
      </c>
      <c r="E4496" s="11" t="s">
        <v>28</v>
      </c>
      <c r="F4496" s="10" t="s">
        <v>28</v>
      </c>
      <c r="G4496" s="10" t="s">
        <v>28</v>
      </c>
      <c r="H4496" s="10" t="s">
        <v>28</v>
      </c>
      <c r="I4496" s="11" t="s">
        <v>28</v>
      </c>
      <c r="J4496" s="11" t="s">
        <v>28</v>
      </c>
      <c r="K4496" s="11" t="s">
        <v>28</v>
      </c>
      <c r="L4496" s="11" t="s">
        <v>28</v>
      </c>
      <c r="M4496" s="11" t="s">
        <v>28</v>
      </c>
      <c r="N4496" s="8">
        <v>44409</v>
      </c>
      <c r="O4496" s="9" t="s">
        <v>79</v>
      </c>
      <c r="P4496" s="12" t="s">
        <v>8183</v>
      </c>
      <c r="Q4496" s="9" t="s">
        <v>37</v>
      </c>
      <c r="R4496" s="14" t="str">
        <f>HYPERLINK("https://my.pitchbook.com?c=182917-63T","View Company Online")</f>
        <v>View Company Online</v>
      </c>
    </row>
    <row r="4497" spans="1:18" hidden="1" x14ac:dyDescent="0.3">
      <c r="A4497" s="15" t="s">
        <v>14479</v>
      </c>
      <c r="B4497" s="15" t="s">
        <v>14480</v>
      </c>
      <c r="C4497" s="18" t="s">
        <v>28</v>
      </c>
      <c r="D4497" s="15" t="s">
        <v>14481</v>
      </c>
      <c r="E4497" s="18" t="s">
        <v>28</v>
      </c>
      <c r="F4497" s="19" t="s">
        <v>28</v>
      </c>
      <c r="G4497" s="19" t="s">
        <v>28</v>
      </c>
      <c r="H4497" s="19" t="s">
        <v>28</v>
      </c>
      <c r="I4497" s="18" t="s">
        <v>28</v>
      </c>
      <c r="J4497" s="18" t="s">
        <v>28</v>
      </c>
      <c r="K4497" s="18" t="s">
        <v>28</v>
      </c>
      <c r="L4497" s="18" t="s">
        <v>28</v>
      </c>
      <c r="M4497" s="18" t="s">
        <v>28</v>
      </c>
      <c r="N4497" s="17">
        <v>44409</v>
      </c>
      <c r="O4497" s="15" t="s">
        <v>30</v>
      </c>
      <c r="P4497" s="16" t="s">
        <v>11193</v>
      </c>
      <c r="Q4497" s="15" t="s">
        <v>75</v>
      </c>
      <c r="R4497" s="13" t="str">
        <f>HYPERLINK("https://my.pitchbook.com?c=225740-17T","View Company Online")</f>
        <v>View Company Online</v>
      </c>
    </row>
    <row r="4498" spans="1:18" hidden="1" x14ac:dyDescent="0.3">
      <c r="A4498" s="9" t="s">
        <v>14482</v>
      </c>
      <c r="B4498" s="9" t="s">
        <v>14483</v>
      </c>
      <c r="C4498" s="11" t="s">
        <v>28</v>
      </c>
      <c r="D4498" s="9" t="s">
        <v>14484</v>
      </c>
      <c r="E4498" s="11" t="s">
        <v>28</v>
      </c>
      <c r="F4498" s="10" t="s">
        <v>28</v>
      </c>
      <c r="G4498" s="10">
        <v>0.19</v>
      </c>
      <c r="H4498" s="10" t="s">
        <v>28</v>
      </c>
      <c r="I4498" s="11" t="s">
        <v>28</v>
      </c>
      <c r="J4498" s="11" t="s">
        <v>28</v>
      </c>
      <c r="K4498" s="11" t="s">
        <v>28</v>
      </c>
      <c r="L4498" s="11" t="s">
        <v>28</v>
      </c>
      <c r="M4498" s="11" t="s">
        <v>28</v>
      </c>
      <c r="N4498" s="8">
        <v>44409</v>
      </c>
      <c r="O4498" s="9" t="s">
        <v>1639</v>
      </c>
      <c r="P4498" s="12" t="s">
        <v>28</v>
      </c>
      <c r="Q4498" s="9" t="s">
        <v>75</v>
      </c>
      <c r="R4498" s="14" t="str">
        <f>HYPERLINK("https://my.pitchbook.com?c=177852-88T","View Company Online")</f>
        <v>View Company Online</v>
      </c>
    </row>
    <row r="4499" spans="1:18" hidden="1" x14ac:dyDescent="0.3">
      <c r="A4499" s="15" t="s">
        <v>14485</v>
      </c>
      <c r="B4499" s="15" t="s">
        <v>14486</v>
      </c>
      <c r="C4499" s="18" t="s">
        <v>28</v>
      </c>
      <c r="D4499" s="15" t="s">
        <v>14487</v>
      </c>
      <c r="E4499" s="18" t="s">
        <v>28</v>
      </c>
      <c r="F4499" s="19" t="s">
        <v>28</v>
      </c>
      <c r="G4499" s="19" t="s">
        <v>28</v>
      </c>
      <c r="H4499" s="19" t="s">
        <v>28</v>
      </c>
      <c r="I4499" s="18" t="s">
        <v>28</v>
      </c>
      <c r="J4499" s="18" t="s">
        <v>28</v>
      </c>
      <c r="K4499" s="18" t="s">
        <v>28</v>
      </c>
      <c r="L4499" s="18" t="s">
        <v>28</v>
      </c>
      <c r="M4499" s="18" t="s">
        <v>28</v>
      </c>
      <c r="N4499" s="17">
        <v>44409</v>
      </c>
      <c r="O4499" s="15" t="s">
        <v>30</v>
      </c>
      <c r="P4499" s="16" t="s">
        <v>11193</v>
      </c>
      <c r="Q4499" s="15" t="s">
        <v>37</v>
      </c>
      <c r="R4499" s="13" t="str">
        <f>HYPERLINK("https://my.pitchbook.com?c=233915-77T","View Company Online")</f>
        <v>View Company Online</v>
      </c>
    </row>
    <row r="4500" spans="1:18" hidden="1" x14ac:dyDescent="0.3">
      <c r="A4500" s="9" t="s">
        <v>14488</v>
      </c>
      <c r="B4500" s="9" t="s">
        <v>14489</v>
      </c>
      <c r="C4500" s="11" t="s">
        <v>28</v>
      </c>
      <c r="D4500" s="9" t="s">
        <v>14490</v>
      </c>
      <c r="E4500" s="11" t="s">
        <v>28</v>
      </c>
      <c r="F4500" s="10">
        <v>138.82</v>
      </c>
      <c r="G4500" s="10">
        <v>138.82</v>
      </c>
      <c r="H4500" s="10">
        <v>138.82</v>
      </c>
      <c r="I4500" s="11" t="s">
        <v>28</v>
      </c>
      <c r="J4500" s="11" t="s">
        <v>28</v>
      </c>
      <c r="K4500" s="11" t="s">
        <v>28</v>
      </c>
      <c r="L4500" s="11" t="s">
        <v>28</v>
      </c>
      <c r="M4500" s="11" t="s">
        <v>28</v>
      </c>
      <c r="N4500" s="8">
        <v>44408</v>
      </c>
      <c r="O4500" s="9" t="s">
        <v>41</v>
      </c>
      <c r="P4500" s="12" t="s">
        <v>14491</v>
      </c>
      <c r="Q4500" s="9" t="s">
        <v>75</v>
      </c>
      <c r="R4500" s="14" t="str">
        <f>HYPERLINK("https://my.pitchbook.com?c=169968-79T","View Company Online")</f>
        <v>View Company Online</v>
      </c>
    </row>
    <row r="4501" spans="1:18" hidden="1" x14ac:dyDescent="0.3">
      <c r="A4501" s="15" t="s">
        <v>14492</v>
      </c>
      <c r="B4501" s="15" t="s">
        <v>14493</v>
      </c>
      <c r="C4501" s="18" t="s">
        <v>28</v>
      </c>
      <c r="D4501" s="15" t="s">
        <v>14494</v>
      </c>
      <c r="E4501" s="18" t="s">
        <v>28</v>
      </c>
      <c r="F4501" s="19" t="s">
        <v>28</v>
      </c>
      <c r="G4501" s="19">
        <v>0.19</v>
      </c>
      <c r="H4501" s="19" t="s">
        <v>28</v>
      </c>
      <c r="I4501" s="18" t="s">
        <v>28</v>
      </c>
      <c r="J4501" s="18" t="s">
        <v>28</v>
      </c>
      <c r="K4501" s="18" t="s">
        <v>28</v>
      </c>
      <c r="L4501" s="18" t="s">
        <v>28</v>
      </c>
      <c r="M4501" s="18" t="s">
        <v>28</v>
      </c>
      <c r="N4501" s="17">
        <v>44408</v>
      </c>
      <c r="O4501" s="15" t="s">
        <v>379</v>
      </c>
      <c r="P4501" s="16" t="s">
        <v>28</v>
      </c>
      <c r="Q4501" s="15" t="s">
        <v>75</v>
      </c>
      <c r="R4501" s="13" t="str">
        <f>HYPERLINK("https://my.pitchbook.com?c=177535-99T","View Company Online")</f>
        <v>View Company Online</v>
      </c>
    </row>
    <row r="4502" spans="1:18" hidden="1" x14ac:dyDescent="0.3">
      <c r="A4502" s="9" t="s">
        <v>14495</v>
      </c>
      <c r="B4502" s="9" t="s">
        <v>14496</v>
      </c>
      <c r="C4502" s="11" t="s">
        <v>28</v>
      </c>
      <c r="D4502" s="9" t="s">
        <v>14497</v>
      </c>
      <c r="E4502" s="11" t="s">
        <v>28</v>
      </c>
      <c r="F4502" s="10" t="s">
        <v>28</v>
      </c>
      <c r="G4502" s="10" t="s">
        <v>28</v>
      </c>
      <c r="H4502" s="10" t="s">
        <v>28</v>
      </c>
      <c r="I4502" s="11" t="s">
        <v>28</v>
      </c>
      <c r="J4502" s="11" t="s">
        <v>28</v>
      </c>
      <c r="K4502" s="11" t="s">
        <v>28</v>
      </c>
      <c r="L4502" s="11" t="s">
        <v>28</v>
      </c>
      <c r="M4502" s="11" t="s">
        <v>28</v>
      </c>
      <c r="N4502" s="8">
        <v>44407</v>
      </c>
      <c r="O4502" s="9" t="s">
        <v>30</v>
      </c>
      <c r="P4502" s="12" t="s">
        <v>66</v>
      </c>
      <c r="Q4502" s="9" t="s">
        <v>1035</v>
      </c>
      <c r="R4502" s="14" t="str">
        <f>HYPERLINK("https://my.pitchbook.com?c=211868-56T","View Company Online")</f>
        <v>View Company Online</v>
      </c>
    </row>
    <row r="4503" spans="1:18" hidden="1" x14ac:dyDescent="0.3">
      <c r="A4503" s="15" t="s">
        <v>14498</v>
      </c>
      <c r="B4503" s="15" t="s">
        <v>14499</v>
      </c>
      <c r="C4503" s="18" t="s">
        <v>28</v>
      </c>
      <c r="D4503" s="15" t="s">
        <v>14500</v>
      </c>
      <c r="E4503" s="18" t="s">
        <v>28</v>
      </c>
      <c r="F4503" s="19" t="s">
        <v>28</v>
      </c>
      <c r="G4503" s="19">
        <v>1.1599999999999999</v>
      </c>
      <c r="H4503" s="19" t="s">
        <v>28</v>
      </c>
      <c r="I4503" s="18" t="s">
        <v>28</v>
      </c>
      <c r="J4503" s="18" t="s">
        <v>28</v>
      </c>
      <c r="K4503" s="18">
        <v>400</v>
      </c>
      <c r="L4503" s="18" t="s">
        <v>28</v>
      </c>
      <c r="M4503" s="18" t="s">
        <v>28</v>
      </c>
      <c r="N4503" s="17">
        <v>44407</v>
      </c>
      <c r="O4503" s="15" t="s">
        <v>99</v>
      </c>
      <c r="P4503" s="16" t="s">
        <v>14501</v>
      </c>
      <c r="Q4503" s="15" t="s">
        <v>75</v>
      </c>
      <c r="R4503" s="13" t="str">
        <f>HYPERLINK("https://my.pitchbook.com?c=180903-43T","View Company Online")</f>
        <v>View Company Online</v>
      </c>
    </row>
    <row r="4504" spans="1:18" hidden="1" x14ac:dyDescent="0.3">
      <c r="A4504" s="9" t="s">
        <v>14502</v>
      </c>
      <c r="B4504" s="9" t="s">
        <v>3486</v>
      </c>
      <c r="C4504" s="11" t="s">
        <v>28</v>
      </c>
      <c r="D4504" s="9" t="s">
        <v>3487</v>
      </c>
      <c r="E4504" s="11">
        <v>-11.66</v>
      </c>
      <c r="F4504" s="10" t="s">
        <v>28</v>
      </c>
      <c r="G4504" s="10">
        <v>50</v>
      </c>
      <c r="H4504" s="10" t="s">
        <v>28</v>
      </c>
      <c r="I4504" s="11">
        <v>-5.55</v>
      </c>
      <c r="J4504" s="11" t="s">
        <v>28</v>
      </c>
      <c r="K4504" s="11">
        <v>93.2</v>
      </c>
      <c r="L4504" s="11" t="s">
        <v>28</v>
      </c>
      <c r="M4504" s="11">
        <v>-9.39</v>
      </c>
      <c r="N4504" s="8">
        <v>44407</v>
      </c>
      <c r="O4504" s="9" t="s">
        <v>159</v>
      </c>
      <c r="P4504" s="12" t="s">
        <v>14503</v>
      </c>
      <c r="Q4504" s="9" t="s">
        <v>263</v>
      </c>
      <c r="R4504" s="14" t="str">
        <f>HYPERLINK("https://my.pitchbook.com?c=177071-68T","View Company Online")</f>
        <v>View Company Online</v>
      </c>
    </row>
    <row r="4505" spans="1:18" hidden="1" x14ac:dyDescent="0.3">
      <c r="A4505" s="15" t="s">
        <v>14504</v>
      </c>
      <c r="B4505" s="15" t="s">
        <v>14505</v>
      </c>
      <c r="C4505" s="18" t="s">
        <v>28</v>
      </c>
      <c r="D4505" s="15" t="s">
        <v>14506</v>
      </c>
      <c r="E4505" s="18" t="s">
        <v>28</v>
      </c>
      <c r="F4505" s="19">
        <v>5.03</v>
      </c>
      <c r="G4505" s="19">
        <v>5.03</v>
      </c>
      <c r="H4505" s="19">
        <v>5.03</v>
      </c>
      <c r="I4505" s="18" t="s">
        <v>28</v>
      </c>
      <c r="J4505" s="18" t="s">
        <v>28</v>
      </c>
      <c r="K4505" s="18" t="s">
        <v>28</v>
      </c>
      <c r="L4505" s="18" t="s">
        <v>28</v>
      </c>
      <c r="M4505" s="18" t="s">
        <v>28</v>
      </c>
      <c r="N4505" s="17">
        <v>44406</v>
      </c>
      <c r="O4505" s="15" t="s">
        <v>30</v>
      </c>
      <c r="P4505" s="16" t="s">
        <v>2679</v>
      </c>
      <c r="Q4505" s="15" t="s">
        <v>37</v>
      </c>
      <c r="R4505" s="13" t="str">
        <f>HYPERLINK("https://my.pitchbook.com?c=184095-55T","View Company Online")</f>
        <v>View Company Online</v>
      </c>
    </row>
    <row r="4506" spans="1:18" hidden="1" x14ac:dyDescent="0.3">
      <c r="A4506" s="9" t="s">
        <v>14507</v>
      </c>
      <c r="B4506" s="9" t="s">
        <v>14508</v>
      </c>
      <c r="C4506" s="11" t="s">
        <v>28</v>
      </c>
      <c r="D4506" s="9" t="s">
        <v>14509</v>
      </c>
      <c r="E4506" s="11">
        <v>23.01</v>
      </c>
      <c r="F4506" s="10" t="s">
        <v>28</v>
      </c>
      <c r="G4506" s="10">
        <v>242.59</v>
      </c>
      <c r="H4506" s="10">
        <v>1213.22</v>
      </c>
      <c r="I4506" s="11" t="s">
        <v>28</v>
      </c>
      <c r="J4506" s="11" t="s">
        <v>28</v>
      </c>
      <c r="K4506" s="11">
        <v>112.4</v>
      </c>
      <c r="L4506" s="11">
        <v>10.79</v>
      </c>
      <c r="M4506" s="11">
        <v>8.0299999999999994</v>
      </c>
      <c r="N4506" s="8">
        <v>44406</v>
      </c>
      <c r="O4506" s="9" t="s">
        <v>173</v>
      </c>
      <c r="P4506" s="12" t="s">
        <v>28</v>
      </c>
      <c r="Q4506" s="9" t="s">
        <v>290</v>
      </c>
      <c r="R4506" s="14" t="str">
        <f>HYPERLINK("https://my.pitchbook.com?c=222832-81T","View Company Online")</f>
        <v>View Company Online</v>
      </c>
    </row>
    <row r="4507" spans="1:18" hidden="1" x14ac:dyDescent="0.3">
      <c r="A4507" s="15" t="s">
        <v>14510</v>
      </c>
      <c r="B4507" s="15" t="s">
        <v>14511</v>
      </c>
      <c r="C4507" s="18" t="s">
        <v>28</v>
      </c>
      <c r="D4507" s="15" t="s">
        <v>14512</v>
      </c>
      <c r="E4507" s="18" t="s">
        <v>28</v>
      </c>
      <c r="F4507" s="19" t="s">
        <v>28</v>
      </c>
      <c r="G4507" s="19" t="s">
        <v>28</v>
      </c>
      <c r="H4507" s="19" t="s">
        <v>28</v>
      </c>
      <c r="I4507" s="18" t="s">
        <v>28</v>
      </c>
      <c r="J4507" s="18" t="s">
        <v>28</v>
      </c>
      <c r="K4507" s="18" t="s">
        <v>28</v>
      </c>
      <c r="L4507" s="18" t="s">
        <v>28</v>
      </c>
      <c r="M4507" s="18" t="s">
        <v>28</v>
      </c>
      <c r="N4507" s="17">
        <v>44406</v>
      </c>
      <c r="O4507" s="15" t="s">
        <v>41</v>
      </c>
      <c r="P4507" s="16" t="s">
        <v>14513</v>
      </c>
      <c r="Q4507" s="15" t="s">
        <v>1144</v>
      </c>
      <c r="R4507" s="13" t="str">
        <f>HYPERLINK("https://my.pitchbook.com?c=171881-11T","View Company Online")</f>
        <v>View Company Online</v>
      </c>
    </row>
    <row r="4508" spans="1:18" hidden="1" x14ac:dyDescent="0.3">
      <c r="A4508" s="9" t="s">
        <v>14514</v>
      </c>
      <c r="B4508" s="9" t="s">
        <v>6741</v>
      </c>
      <c r="C4508" s="11" t="s">
        <v>28</v>
      </c>
      <c r="D4508" s="9" t="s">
        <v>6742</v>
      </c>
      <c r="E4508" s="11" t="s">
        <v>28</v>
      </c>
      <c r="F4508" s="10" t="s">
        <v>28</v>
      </c>
      <c r="G4508" s="10">
        <v>5</v>
      </c>
      <c r="H4508" s="10" t="s">
        <v>28</v>
      </c>
      <c r="I4508" s="11" t="s">
        <v>28</v>
      </c>
      <c r="J4508" s="11" t="s">
        <v>28</v>
      </c>
      <c r="K4508" s="11" t="s">
        <v>28</v>
      </c>
      <c r="L4508" s="11" t="s">
        <v>28</v>
      </c>
      <c r="M4508" s="11" t="s">
        <v>28</v>
      </c>
      <c r="N4508" s="8">
        <v>44406</v>
      </c>
      <c r="O4508" s="9" t="s">
        <v>99</v>
      </c>
      <c r="P4508" s="12" t="s">
        <v>14515</v>
      </c>
      <c r="Q4508" s="9" t="s">
        <v>37</v>
      </c>
      <c r="R4508" s="14" t="str">
        <f>HYPERLINK("https://my.pitchbook.com?c=175429-27T","View Company Online")</f>
        <v>View Company Online</v>
      </c>
    </row>
    <row r="4509" spans="1:18" hidden="1" x14ac:dyDescent="0.3">
      <c r="A4509" s="15" t="s">
        <v>14516</v>
      </c>
      <c r="B4509" s="15" t="s">
        <v>14517</v>
      </c>
      <c r="C4509" s="18" t="s">
        <v>28</v>
      </c>
      <c r="D4509" s="15" t="s">
        <v>14518</v>
      </c>
      <c r="E4509" s="18" t="s">
        <v>28</v>
      </c>
      <c r="F4509" s="19" t="s">
        <v>28</v>
      </c>
      <c r="G4509" s="19">
        <v>0.12</v>
      </c>
      <c r="H4509" s="19" t="s">
        <v>28</v>
      </c>
      <c r="I4509" s="18" t="s">
        <v>28</v>
      </c>
      <c r="J4509" s="18" t="s">
        <v>28</v>
      </c>
      <c r="K4509" s="18" t="s">
        <v>28</v>
      </c>
      <c r="L4509" s="18" t="s">
        <v>28</v>
      </c>
      <c r="M4509" s="18" t="s">
        <v>28</v>
      </c>
      <c r="N4509" s="17">
        <v>44406</v>
      </c>
      <c r="O4509" s="15" t="s">
        <v>99</v>
      </c>
      <c r="P4509" s="16" t="s">
        <v>14519</v>
      </c>
      <c r="Q4509" s="15" t="s">
        <v>75</v>
      </c>
      <c r="R4509" s="13" t="str">
        <f>HYPERLINK("https://my.pitchbook.com?c=188301-70T","View Company Online")</f>
        <v>View Company Online</v>
      </c>
    </row>
    <row r="4510" spans="1:18" hidden="1" x14ac:dyDescent="0.3">
      <c r="A4510" s="9" t="s">
        <v>14520</v>
      </c>
      <c r="B4510" s="9" t="s">
        <v>3797</v>
      </c>
      <c r="C4510" s="11" t="s">
        <v>28</v>
      </c>
      <c r="D4510" s="9" t="s">
        <v>14521</v>
      </c>
      <c r="E4510" s="11">
        <v>19.3</v>
      </c>
      <c r="F4510" s="10" t="s">
        <v>28</v>
      </c>
      <c r="G4510" s="10">
        <v>158.72</v>
      </c>
      <c r="H4510" s="10" t="s">
        <v>28</v>
      </c>
      <c r="I4510" s="11" t="s">
        <v>28</v>
      </c>
      <c r="J4510" s="11" t="s">
        <v>28</v>
      </c>
      <c r="K4510" s="11">
        <v>64.84</v>
      </c>
      <c r="L4510" s="11" t="s">
        <v>28</v>
      </c>
      <c r="M4510" s="11">
        <v>11.41</v>
      </c>
      <c r="N4510" s="8">
        <v>44406</v>
      </c>
      <c r="O4510" s="9" t="s">
        <v>173</v>
      </c>
      <c r="P4510" s="12" t="s">
        <v>28</v>
      </c>
      <c r="Q4510" s="9" t="s">
        <v>290</v>
      </c>
      <c r="R4510" s="14" t="str">
        <f>HYPERLINK("https://my.pitchbook.com?c=227471-05T","View Company Online")</f>
        <v>View Company Online</v>
      </c>
    </row>
    <row r="4511" spans="1:18" hidden="1" x14ac:dyDescent="0.3">
      <c r="A4511" s="15" t="s">
        <v>14522</v>
      </c>
      <c r="B4511" s="15" t="s">
        <v>14523</v>
      </c>
      <c r="C4511" s="18" t="s">
        <v>28</v>
      </c>
      <c r="D4511" s="15" t="s">
        <v>14524</v>
      </c>
      <c r="E4511" s="18" t="s">
        <v>28</v>
      </c>
      <c r="F4511" s="19" t="s">
        <v>28</v>
      </c>
      <c r="G4511" s="19" t="s">
        <v>28</v>
      </c>
      <c r="H4511" s="19" t="s">
        <v>28</v>
      </c>
      <c r="I4511" s="18" t="s">
        <v>28</v>
      </c>
      <c r="J4511" s="18" t="s">
        <v>28</v>
      </c>
      <c r="K4511" s="18" t="s">
        <v>28</v>
      </c>
      <c r="L4511" s="18" t="s">
        <v>28</v>
      </c>
      <c r="M4511" s="18" t="s">
        <v>28</v>
      </c>
      <c r="N4511" s="17">
        <v>44405</v>
      </c>
      <c r="O4511" s="15" t="s">
        <v>30</v>
      </c>
      <c r="P4511" s="16" t="s">
        <v>14525</v>
      </c>
      <c r="Q4511" s="15" t="s">
        <v>414</v>
      </c>
      <c r="R4511" s="13" t="str">
        <f>HYPERLINK("https://my.pitchbook.com?c=177387-85T","View Company Online")</f>
        <v>View Company Online</v>
      </c>
    </row>
    <row r="4512" spans="1:18" hidden="1" x14ac:dyDescent="0.3">
      <c r="A4512" s="9" t="s">
        <v>14526</v>
      </c>
      <c r="B4512" s="9" t="s">
        <v>14527</v>
      </c>
      <c r="C4512" s="11" t="s">
        <v>28</v>
      </c>
      <c r="D4512" s="9" t="s">
        <v>14528</v>
      </c>
      <c r="E4512" s="11" t="s">
        <v>28</v>
      </c>
      <c r="F4512" s="10" t="s">
        <v>28</v>
      </c>
      <c r="G4512" s="10">
        <v>0.97</v>
      </c>
      <c r="H4512" s="10" t="s">
        <v>28</v>
      </c>
      <c r="I4512" s="11" t="s">
        <v>28</v>
      </c>
      <c r="J4512" s="11" t="s">
        <v>28</v>
      </c>
      <c r="K4512" s="11" t="s">
        <v>28</v>
      </c>
      <c r="L4512" s="11" t="s">
        <v>28</v>
      </c>
      <c r="M4512" s="11" t="s">
        <v>28</v>
      </c>
      <c r="N4512" s="8">
        <v>44405</v>
      </c>
      <c r="O4512" s="9" t="s">
        <v>79</v>
      </c>
      <c r="P4512" s="12" t="s">
        <v>14529</v>
      </c>
      <c r="Q4512" s="9" t="s">
        <v>75</v>
      </c>
      <c r="R4512" s="14" t="str">
        <f>HYPERLINK("https://my.pitchbook.com?c=178739-92T","View Company Online")</f>
        <v>View Company Online</v>
      </c>
    </row>
    <row r="4513" spans="1:18" hidden="1" x14ac:dyDescent="0.3">
      <c r="A4513" s="15" t="s">
        <v>14530</v>
      </c>
      <c r="B4513" s="15" t="s">
        <v>125</v>
      </c>
      <c r="C4513" s="18" t="s">
        <v>28</v>
      </c>
      <c r="D4513" s="15" t="s">
        <v>126</v>
      </c>
      <c r="E4513" s="18" t="s">
        <v>28</v>
      </c>
      <c r="F4513" s="19" t="s">
        <v>28</v>
      </c>
      <c r="G4513" s="19">
        <v>18.100000000000001</v>
      </c>
      <c r="H4513" s="19" t="s">
        <v>28</v>
      </c>
      <c r="I4513" s="18" t="s">
        <v>28</v>
      </c>
      <c r="J4513" s="18" t="s">
        <v>28</v>
      </c>
      <c r="K4513" s="18" t="s">
        <v>28</v>
      </c>
      <c r="L4513" s="18" t="s">
        <v>28</v>
      </c>
      <c r="M4513" s="18" t="s">
        <v>28</v>
      </c>
      <c r="N4513" s="17">
        <v>44405</v>
      </c>
      <c r="O4513" s="15" t="s">
        <v>73</v>
      </c>
      <c r="P4513" s="16" t="s">
        <v>14531</v>
      </c>
      <c r="Q4513" s="15" t="s">
        <v>128</v>
      </c>
      <c r="R4513" s="13" t="str">
        <f>HYPERLINK("https://my.pitchbook.com?c=177277-87T","View Company Online")</f>
        <v>View Company Online</v>
      </c>
    </row>
    <row r="4514" spans="1:18" hidden="1" x14ac:dyDescent="0.3">
      <c r="A4514" s="9" t="s">
        <v>14532</v>
      </c>
      <c r="B4514" s="9" t="s">
        <v>14533</v>
      </c>
      <c r="C4514" s="11" t="s">
        <v>28</v>
      </c>
      <c r="D4514" s="9" t="s">
        <v>14534</v>
      </c>
      <c r="E4514" s="11" t="s">
        <v>28</v>
      </c>
      <c r="F4514" s="10" t="s">
        <v>28</v>
      </c>
      <c r="G4514" s="10">
        <v>0.97</v>
      </c>
      <c r="H4514" s="10" t="s">
        <v>28</v>
      </c>
      <c r="I4514" s="11" t="s">
        <v>28</v>
      </c>
      <c r="J4514" s="11" t="s">
        <v>28</v>
      </c>
      <c r="K4514" s="11" t="s">
        <v>28</v>
      </c>
      <c r="L4514" s="11" t="s">
        <v>28</v>
      </c>
      <c r="M4514" s="11" t="s">
        <v>28</v>
      </c>
      <c r="N4514" s="8">
        <v>44405</v>
      </c>
      <c r="O4514" s="9" t="s">
        <v>79</v>
      </c>
      <c r="P4514" s="12" t="s">
        <v>14535</v>
      </c>
      <c r="Q4514" s="9" t="s">
        <v>75</v>
      </c>
      <c r="R4514" s="14" t="str">
        <f>HYPERLINK("https://my.pitchbook.com?c=179876-44T","View Company Online")</f>
        <v>View Company Online</v>
      </c>
    </row>
    <row r="4515" spans="1:18" hidden="1" x14ac:dyDescent="0.3">
      <c r="A4515" s="15" t="s">
        <v>14536</v>
      </c>
      <c r="B4515" s="15" t="s">
        <v>8911</v>
      </c>
      <c r="C4515" s="18" t="s">
        <v>28</v>
      </c>
      <c r="D4515" s="15" t="s">
        <v>14537</v>
      </c>
      <c r="E4515" s="18">
        <v>1.81</v>
      </c>
      <c r="F4515" s="19" t="s">
        <v>28</v>
      </c>
      <c r="G4515" s="19">
        <v>117.77</v>
      </c>
      <c r="H4515" s="19" t="s">
        <v>28</v>
      </c>
      <c r="I4515" s="18" t="s">
        <v>28</v>
      </c>
      <c r="J4515" s="18" t="s">
        <v>28</v>
      </c>
      <c r="K4515" s="18">
        <v>12.38</v>
      </c>
      <c r="L4515" s="18" t="s">
        <v>28</v>
      </c>
      <c r="M4515" s="18">
        <v>1.35</v>
      </c>
      <c r="N4515" s="17">
        <v>44405</v>
      </c>
      <c r="O4515" s="15" t="s">
        <v>173</v>
      </c>
      <c r="P4515" s="16" t="s">
        <v>28</v>
      </c>
      <c r="Q4515" s="15" t="s">
        <v>114</v>
      </c>
      <c r="R4515" s="13" t="str">
        <f>HYPERLINK("https://my.pitchbook.com?c=174791-08T","View Company Online")</f>
        <v>View Company Online</v>
      </c>
    </row>
    <row r="4516" spans="1:18" hidden="1" x14ac:dyDescent="0.3">
      <c r="A4516" s="9" t="s">
        <v>14538</v>
      </c>
      <c r="B4516" s="9" t="s">
        <v>14539</v>
      </c>
      <c r="C4516" s="11" t="s">
        <v>28</v>
      </c>
      <c r="D4516" s="9" t="s">
        <v>14540</v>
      </c>
      <c r="E4516" s="11" t="s">
        <v>28</v>
      </c>
      <c r="F4516" s="10">
        <v>6.81</v>
      </c>
      <c r="G4516" s="10">
        <v>6.81</v>
      </c>
      <c r="H4516" s="10">
        <v>6.81</v>
      </c>
      <c r="I4516" s="11" t="s">
        <v>28</v>
      </c>
      <c r="J4516" s="11" t="s">
        <v>28</v>
      </c>
      <c r="K4516" s="11" t="s">
        <v>28</v>
      </c>
      <c r="L4516" s="11" t="s">
        <v>28</v>
      </c>
      <c r="M4516" s="11" t="s">
        <v>28</v>
      </c>
      <c r="N4516" s="8">
        <v>44404</v>
      </c>
      <c r="O4516" s="9" t="s">
        <v>30</v>
      </c>
      <c r="P4516" s="12" t="s">
        <v>4616</v>
      </c>
      <c r="Q4516" s="9" t="s">
        <v>855</v>
      </c>
      <c r="R4516" s="14" t="str">
        <f>HYPERLINK("https://my.pitchbook.com?c=211887-37T","View Company Online")</f>
        <v>View Company Online</v>
      </c>
    </row>
    <row r="4517" spans="1:18" hidden="1" x14ac:dyDescent="0.3">
      <c r="A4517" s="15" t="s">
        <v>14541</v>
      </c>
      <c r="B4517" s="15" t="s">
        <v>10268</v>
      </c>
      <c r="C4517" s="18" t="s">
        <v>28</v>
      </c>
      <c r="D4517" s="15" t="s">
        <v>12215</v>
      </c>
      <c r="E4517" s="18">
        <v>-16.13</v>
      </c>
      <c r="F4517" s="19" t="s">
        <v>28</v>
      </c>
      <c r="G4517" s="19">
        <v>68.23</v>
      </c>
      <c r="H4517" s="19">
        <v>457.86</v>
      </c>
      <c r="I4517" s="18" t="s">
        <v>28</v>
      </c>
      <c r="J4517" s="18" t="s">
        <v>28</v>
      </c>
      <c r="K4517" s="18">
        <v>710.42</v>
      </c>
      <c r="L4517" s="18">
        <v>0.64</v>
      </c>
      <c r="M4517" s="18">
        <v>1.97</v>
      </c>
      <c r="N4517" s="17">
        <v>44403</v>
      </c>
      <c r="O4517" s="15" t="s">
        <v>173</v>
      </c>
      <c r="P4517" s="16" t="s">
        <v>28</v>
      </c>
      <c r="Q4517" s="15" t="s">
        <v>75</v>
      </c>
      <c r="R4517" s="13" t="str">
        <f>HYPERLINK("https://my.pitchbook.com?c=196229-17T","View Company Online")</f>
        <v>View Company Online</v>
      </c>
    </row>
    <row r="4518" spans="1:18" hidden="1" x14ac:dyDescent="0.3">
      <c r="A4518" s="9" t="s">
        <v>14542</v>
      </c>
      <c r="B4518" s="9" t="s">
        <v>14543</v>
      </c>
      <c r="C4518" s="11" t="s">
        <v>28</v>
      </c>
      <c r="D4518" s="9" t="s">
        <v>14544</v>
      </c>
      <c r="E4518" s="11" t="s">
        <v>28</v>
      </c>
      <c r="F4518" s="10" t="s">
        <v>28</v>
      </c>
      <c r="G4518" s="10" t="s">
        <v>28</v>
      </c>
      <c r="H4518" s="10" t="s">
        <v>28</v>
      </c>
      <c r="I4518" s="11" t="s">
        <v>28</v>
      </c>
      <c r="J4518" s="11" t="s">
        <v>28</v>
      </c>
      <c r="K4518" s="11" t="s">
        <v>28</v>
      </c>
      <c r="L4518" s="11" t="s">
        <v>28</v>
      </c>
      <c r="M4518" s="11" t="s">
        <v>28</v>
      </c>
      <c r="N4518" s="8">
        <v>44403</v>
      </c>
      <c r="O4518" s="9" t="s">
        <v>30</v>
      </c>
      <c r="P4518" s="12" t="s">
        <v>3543</v>
      </c>
      <c r="Q4518" s="9" t="s">
        <v>2097</v>
      </c>
      <c r="R4518" s="14" t="str">
        <f>HYPERLINK("https://my.pitchbook.com?c=242458-75T","View Company Online")</f>
        <v>View Company Online</v>
      </c>
    </row>
    <row r="4519" spans="1:18" hidden="1" x14ac:dyDescent="0.3">
      <c r="A4519" s="15" t="s">
        <v>14545</v>
      </c>
      <c r="B4519" s="15" t="s">
        <v>14546</v>
      </c>
      <c r="C4519" s="18" t="s">
        <v>28</v>
      </c>
      <c r="D4519" s="15" t="s">
        <v>14547</v>
      </c>
      <c r="E4519" s="18">
        <v>0.39</v>
      </c>
      <c r="F4519" s="19" t="s">
        <v>28</v>
      </c>
      <c r="G4519" s="19" t="s">
        <v>28</v>
      </c>
      <c r="H4519" s="19" t="s">
        <v>28</v>
      </c>
      <c r="I4519" s="18">
        <v>0.39</v>
      </c>
      <c r="J4519" s="18" t="s">
        <v>28</v>
      </c>
      <c r="K4519" s="18">
        <v>0.39</v>
      </c>
      <c r="L4519" s="18" t="s">
        <v>28</v>
      </c>
      <c r="M4519" s="18">
        <v>0.38</v>
      </c>
      <c r="N4519" s="17">
        <v>44403</v>
      </c>
      <c r="O4519" s="15" t="s">
        <v>173</v>
      </c>
      <c r="P4519" s="16" t="s">
        <v>28</v>
      </c>
      <c r="Q4519" s="15" t="s">
        <v>174</v>
      </c>
      <c r="R4519" s="13" t="str">
        <f>HYPERLINK("https://my.pitchbook.com?c=224105-77T","View Company Online")</f>
        <v>View Company Online</v>
      </c>
    </row>
    <row r="4520" spans="1:18" hidden="1" x14ac:dyDescent="0.3">
      <c r="A4520" s="9" t="s">
        <v>14548</v>
      </c>
      <c r="B4520" s="9" t="s">
        <v>14549</v>
      </c>
      <c r="C4520" s="11" t="s">
        <v>28</v>
      </c>
      <c r="D4520" s="9" t="s">
        <v>14550</v>
      </c>
      <c r="E4520" s="11" t="s">
        <v>28</v>
      </c>
      <c r="F4520" s="10" t="s">
        <v>28</v>
      </c>
      <c r="G4520" s="10" t="s">
        <v>28</v>
      </c>
      <c r="H4520" s="10" t="s">
        <v>28</v>
      </c>
      <c r="I4520" s="11" t="s">
        <v>28</v>
      </c>
      <c r="J4520" s="11" t="s">
        <v>28</v>
      </c>
      <c r="K4520" s="11" t="s">
        <v>28</v>
      </c>
      <c r="L4520" s="11" t="s">
        <v>28</v>
      </c>
      <c r="M4520" s="11" t="s">
        <v>28</v>
      </c>
      <c r="N4520" s="8">
        <v>44403</v>
      </c>
      <c r="O4520" s="9" t="s">
        <v>30</v>
      </c>
      <c r="P4520" s="12" t="s">
        <v>3609</v>
      </c>
      <c r="Q4520" s="9" t="s">
        <v>75</v>
      </c>
      <c r="R4520" s="14" t="str">
        <f>HYPERLINK("https://my.pitchbook.com?c=207765-01T","View Company Online")</f>
        <v>View Company Online</v>
      </c>
    </row>
    <row r="4521" spans="1:18" hidden="1" x14ac:dyDescent="0.3">
      <c r="A4521" s="15" t="s">
        <v>14551</v>
      </c>
      <c r="B4521" s="15" t="s">
        <v>6464</v>
      </c>
      <c r="C4521" s="18" t="s">
        <v>28</v>
      </c>
      <c r="D4521" s="15" t="s">
        <v>6465</v>
      </c>
      <c r="E4521" s="18" t="s">
        <v>28</v>
      </c>
      <c r="F4521" s="19" t="s">
        <v>28</v>
      </c>
      <c r="G4521" s="19">
        <v>0.19</v>
      </c>
      <c r="H4521" s="19" t="s">
        <v>28</v>
      </c>
      <c r="I4521" s="18" t="s">
        <v>28</v>
      </c>
      <c r="J4521" s="18" t="s">
        <v>28</v>
      </c>
      <c r="K4521" s="18">
        <v>0.32</v>
      </c>
      <c r="L4521" s="18" t="s">
        <v>28</v>
      </c>
      <c r="M4521" s="18" t="s">
        <v>28</v>
      </c>
      <c r="N4521" s="17">
        <v>44403</v>
      </c>
      <c r="O4521" s="15" t="s">
        <v>1639</v>
      </c>
      <c r="P4521" s="16" t="s">
        <v>28</v>
      </c>
      <c r="Q4521" s="15" t="s">
        <v>37</v>
      </c>
      <c r="R4521" s="13" t="str">
        <f>HYPERLINK("https://my.pitchbook.com?c=171792-73T","View Company Online")</f>
        <v>View Company Online</v>
      </c>
    </row>
    <row r="4522" spans="1:18" hidden="1" x14ac:dyDescent="0.3">
      <c r="A4522" s="9" t="s">
        <v>14552</v>
      </c>
      <c r="B4522" s="9" t="s">
        <v>14553</v>
      </c>
      <c r="C4522" s="11" t="s">
        <v>28</v>
      </c>
      <c r="D4522" s="9" t="s">
        <v>14554</v>
      </c>
      <c r="E4522" s="11" t="s">
        <v>28</v>
      </c>
      <c r="F4522" s="10" t="s">
        <v>28</v>
      </c>
      <c r="G4522" s="10" t="s">
        <v>28</v>
      </c>
      <c r="H4522" s="10" t="s">
        <v>28</v>
      </c>
      <c r="I4522" s="11" t="s">
        <v>28</v>
      </c>
      <c r="J4522" s="11" t="s">
        <v>28</v>
      </c>
      <c r="K4522" s="11" t="s">
        <v>28</v>
      </c>
      <c r="L4522" s="11" t="s">
        <v>28</v>
      </c>
      <c r="M4522" s="11" t="s">
        <v>28</v>
      </c>
      <c r="N4522" s="8">
        <v>44403</v>
      </c>
      <c r="O4522" s="9" t="s">
        <v>30</v>
      </c>
      <c r="P4522" s="12" t="s">
        <v>28</v>
      </c>
      <c r="Q4522" s="9" t="s">
        <v>85</v>
      </c>
      <c r="R4522" s="14" t="str">
        <f>HYPERLINK("https://my.pitchbook.com?c=177166-90T","View Company Online")</f>
        <v>View Company Online</v>
      </c>
    </row>
    <row r="4523" spans="1:18" hidden="1" x14ac:dyDescent="0.3">
      <c r="A4523" s="15" t="s">
        <v>14555</v>
      </c>
      <c r="B4523" s="15" t="s">
        <v>14556</v>
      </c>
      <c r="C4523" s="18" t="s">
        <v>28</v>
      </c>
      <c r="D4523" s="15" t="s">
        <v>14557</v>
      </c>
      <c r="E4523" s="18" t="s">
        <v>28</v>
      </c>
      <c r="F4523" s="19" t="s">
        <v>28</v>
      </c>
      <c r="G4523" s="19">
        <v>0.43</v>
      </c>
      <c r="H4523" s="19" t="s">
        <v>28</v>
      </c>
      <c r="I4523" s="18" t="s">
        <v>28</v>
      </c>
      <c r="J4523" s="18" t="s">
        <v>28</v>
      </c>
      <c r="K4523" s="18" t="s">
        <v>28</v>
      </c>
      <c r="L4523" s="18" t="s">
        <v>28</v>
      </c>
      <c r="M4523" s="18" t="s">
        <v>28</v>
      </c>
      <c r="N4523" s="17">
        <v>44400</v>
      </c>
      <c r="O4523" s="15" t="s">
        <v>99</v>
      </c>
      <c r="P4523" s="16" t="s">
        <v>14558</v>
      </c>
      <c r="Q4523" s="15" t="s">
        <v>75</v>
      </c>
      <c r="R4523" s="13" t="str">
        <f>HYPERLINK("https://my.pitchbook.com?c=177138-28T","View Company Online")</f>
        <v>View Company Online</v>
      </c>
    </row>
    <row r="4524" spans="1:18" hidden="1" x14ac:dyDescent="0.3">
      <c r="A4524" s="9" t="s">
        <v>14559</v>
      </c>
      <c r="B4524" s="9" t="s">
        <v>14560</v>
      </c>
      <c r="C4524" s="11" t="s">
        <v>28</v>
      </c>
      <c r="D4524" s="9" t="s">
        <v>14561</v>
      </c>
      <c r="E4524" s="11" t="s">
        <v>28</v>
      </c>
      <c r="F4524" s="10">
        <v>34.29</v>
      </c>
      <c r="G4524" s="10">
        <v>34.29</v>
      </c>
      <c r="H4524" s="10">
        <v>34.29</v>
      </c>
      <c r="I4524" s="11" t="s">
        <v>28</v>
      </c>
      <c r="J4524" s="11" t="s">
        <v>28</v>
      </c>
      <c r="K4524" s="11" t="s">
        <v>28</v>
      </c>
      <c r="L4524" s="11" t="s">
        <v>28</v>
      </c>
      <c r="M4524" s="11" t="s">
        <v>28</v>
      </c>
      <c r="N4524" s="8">
        <v>44400</v>
      </c>
      <c r="O4524" s="9" t="s">
        <v>30</v>
      </c>
      <c r="P4524" s="12" t="s">
        <v>14562</v>
      </c>
      <c r="Q4524" s="9" t="s">
        <v>37</v>
      </c>
      <c r="R4524" s="14" t="str">
        <f>HYPERLINK("https://my.pitchbook.com?c=177110-38T","View Company Online")</f>
        <v>View Company Online</v>
      </c>
    </row>
    <row r="4525" spans="1:18" hidden="1" x14ac:dyDescent="0.3">
      <c r="A4525" s="15" t="s">
        <v>14563</v>
      </c>
      <c r="B4525" s="15" t="s">
        <v>14564</v>
      </c>
      <c r="C4525" s="18" t="s">
        <v>28</v>
      </c>
      <c r="D4525" s="15" t="s">
        <v>14565</v>
      </c>
      <c r="E4525" s="18">
        <v>25.36</v>
      </c>
      <c r="F4525" s="19" t="s">
        <v>28</v>
      </c>
      <c r="G4525" s="19">
        <v>88.2</v>
      </c>
      <c r="H4525" s="19" t="s">
        <v>28</v>
      </c>
      <c r="I4525" s="18" t="s">
        <v>28</v>
      </c>
      <c r="J4525" s="18" t="s">
        <v>28</v>
      </c>
      <c r="K4525" s="18">
        <v>169.22</v>
      </c>
      <c r="L4525" s="18" t="s">
        <v>28</v>
      </c>
      <c r="M4525" s="18">
        <v>16.37</v>
      </c>
      <c r="N4525" s="17">
        <v>44400</v>
      </c>
      <c r="O4525" s="15" t="s">
        <v>173</v>
      </c>
      <c r="P4525" s="16" t="s">
        <v>28</v>
      </c>
      <c r="Q4525" s="15" t="s">
        <v>6142</v>
      </c>
      <c r="R4525" s="13" t="str">
        <f>HYPERLINK("https://my.pitchbook.com?c=177693-22T","View Company Online")</f>
        <v>View Company Online</v>
      </c>
    </row>
    <row r="4526" spans="1:18" hidden="1" x14ac:dyDescent="0.3">
      <c r="A4526" s="9" t="s">
        <v>14566</v>
      </c>
      <c r="B4526" s="9" t="s">
        <v>3609</v>
      </c>
      <c r="C4526" s="11" t="s">
        <v>28</v>
      </c>
      <c r="D4526" s="9" t="s">
        <v>3610</v>
      </c>
      <c r="E4526" s="11">
        <v>195.04</v>
      </c>
      <c r="F4526" s="10" t="s">
        <v>28</v>
      </c>
      <c r="G4526" s="10">
        <v>779.95</v>
      </c>
      <c r="H4526" s="10" t="s">
        <v>28</v>
      </c>
      <c r="I4526" s="11">
        <v>332.07</v>
      </c>
      <c r="J4526" s="11" t="s">
        <v>28</v>
      </c>
      <c r="K4526" s="11">
        <v>6613.53</v>
      </c>
      <c r="L4526" s="11" t="s">
        <v>28</v>
      </c>
      <c r="M4526" s="11">
        <v>144.66999999999999</v>
      </c>
      <c r="N4526" s="8">
        <v>44400</v>
      </c>
      <c r="O4526" s="9" t="s">
        <v>159</v>
      </c>
      <c r="P4526" s="12" t="s">
        <v>28</v>
      </c>
      <c r="Q4526" s="9" t="s">
        <v>109</v>
      </c>
      <c r="R4526" s="14" t="str">
        <f>HYPERLINK("https://my.pitchbook.com?c=181887-58T","View Company Online")</f>
        <v>View Company Online</v>
      </c>
    </row>
    <row r="4527" spans="1:18" hidden="1" x14ac:dyDescent="0.3">
      <c r="A4527" s="15" t="s">
        <v>14567</v>
      </c>
      <c r="B4527" s="15" t="s">
        <v>10811</v>
      </c>
      <c r="C4527" s="18" t="s">
        <v>28</v>
      </c>
      <c r="D4527" s="15" t="s">
        <v>10812</v>
      </c>
      <c r="E4527" s="18" t="s">
        <v>28</v>
      </c>
      <c r="F4527" s="19" t="s">
        <v>28</v>
      </c>
      <c r="G4527" s="19">
        <v>1.08</v>
      </c>
      <c r="H4527" s="19" t="s">
        <v>28</v>
      </c>
      <c r="I4527" s="18" t="s">
        <v>28</v>
      </c>
      <c r="J4527" s="18" t="s">
        <v>28</v>
      </c>
      <c r="K4527" s="18" t="s">
        <v>28</v>
      </c>
      <c r="L4527" s="18" t="s">
        <v>28</v>
      </c>
      <c r="M4527" s="18" t="s">
        <v>28</v>
      </c>
      <c r="N4527" s="17">
        <v>44400</v>
      </c>
      <c r="O4527" s="15" t="s">
        <v>99</v>
      </c>
      <c r="P4527" s="16" t="s">
        <v>14568</v>
      </c>
      <c r="Q4527" s="15" t="s">
        <v>75</v>
      </c>
      <c r="R4527" s="13" t="str">
        <f>HYPERLINK("https://my.pitchbook.com?c=177091-39T","View Company Online")</f>
        <v>View Company Online</v>
      </c>
    </row>
    <row r="4528" spans="1:18" hidden="1" x14ac:dyDescent="0.3">
      <c r="A4528" s="9" t="s">
        <v>14569</v>
      </c>
      <c r="B4528" s="9" t="s">
        <v>9491</v>
      </c>
      <c r="C4528" s="11" t="s">
        <v>28</v>
      </c>
      <c r="D4528" s="9" t="s">
        <v>9492</v>
      </c>
      <c r="E4528" s="11" t="s">
        <v>28</v>
      </c>
      <c r="F4528" s="10" t="s">
        <v>28</v>
      </c>
      <c r="G4528" s="10">
        <v>0.5</v>
      </c>
      <c r="H4528" s="10" t="s">
        <v>28</v>
      </c>
      <c r="I4528" s="11" t="s">
        <v>28</v>
      </c>
      <c r="J4528" s="11" t="s">
        <v>28</v>
      </c>
      <c r="K4528" s="11" t="s">
        <v>28</v>
      </c>
      <c r="L4528" s="11" t="s">
        <v>28</v>
      </c>
      <c r="M4528" s="11" t="s">
        <v>28</v>
      </c>
      <c r="N4528" s="8">
        <v>44399</v>
      </c>
      <c r="O4528" s="9" t="s">
        <v>379</v>
      </c>
      <c r="P4528" s="12" t="s">
        <v>28</v>
      </c>
      <c r="Q4528" s="9" t="s">
        <v>696</v>
      </c>
      <c r="R4528" s="14" t="str">
        <f>HYPERLINK("https://my.pitchbook.com?c=177128-20T","View Company Online")</f>
        <v>View Company Online</v>
      </c>
    </row>
    <row r="4529" spans="1:18" hidden="1" x14ac:dyDescent="0.3">
      <c r="A4529" s="15" t="s">
        <v>14570</v>
      </c>
      <c r="B4529" s="15" t="s">
        <v>2344</v>
      </c>
      <c r="C4529" s="18" t="s">
        <v>28</v>
      </c>
      <c r="D4529" s="15" t="s">
        <v>2345</v>
      </c>
      <c r="E4529" s="18">
        <v>10.06</v>
      </c>
      <c r="F4529" s="19" t="s">
        <v>28</v>
      </c>
      <c r="G4529" s="19">
        <v>140.38</v>
      </c>
      <c r="H4529" s="19">
        <v>401.15</v>
      </c>
      <c r="I4529" s="18" t="s">
        <v>28</v>
      </c>
      <c r="J4529" s="18" t="s">
        <v>28</v>
      </c>
      <c r="K4529" s="18">
        <v>41.69</v>
      </c>
      <c r="L4529" s="18">
        <v>9.6199999999999992</v>
      </c>
      <c r="M4529" s="18">
        <v>4.1500000000000004</v>
      </c>
      <c r="N4529" s="17">
        <v>44399</v>
      </c>
      <c r="O4529" s="15" t="s">
        <v>173</v>
      </c>
      <c r="P4529" s="16" t="s">
        <v>28</v>
      </c>
      <c r="Q4529" s="15" t="s">
        <v>692</v>
      </c>
      <c r="R4529" s="13" t="str">
        <f>HYPERLINK("https://my.pitchbook.com?c=177175-72T","View Company Online")</f>
        <v>View Company Online</v>
      </c>
    </row>
    <row r="4530" spans="1:18" hidden="1" x14ac:dyDescent="0.3">
      <c r="A4530" s="9" t="s">
        <v>14571</v>
      </c>
      <c r="B4530" s="9" t="s">
        <v>14572</v>
      </c>
      <c r="C4530" s="11" t="s">
        <v>28</v>
      </c>
      <c r="D4530" s="9" t="s">
        <v>14573</v>
      </c>
      <c r="E4530" s="11" t="s">
        <v>28</v>
      </c>
      <c r="F4530" s="10" t="s">
        <v>28</v>
      </c>
      <c r="G4530" s="10" t="s">
        <v>28</v>
      </c>
      <c r="H4530" s="10" t="s">
        <v>28</v>
      </c>
      <c r="I4530" s="11" t="s">
        <v>28</v>
      </c>
      <c r="J4530" s="11" t="s">
        <v>28</v>
      </c>
      <c r="K4530" s="11">
        <v>7.0000000000000007E-2</v>
      </c>
      <c r="L4530" s="11" t="s">
        <v>28</v>
      </c>
      <c r="M4530" s="11">
        <v>-0.41</v>
      </c>
      <c r="N4530" s="8">
        <v>44399</v>
      </c>
      <c r="O4530" s="9" t="s">
        <v>173</v>
      </c>
      <c r="P4530" s="12" t="s">
        <v>28</v>
      </c>
      <c r="Q4530" s="9" t="s">
        <v>174</v>
      </c>
      <c r="R4530" s="14" t="str">
        <f>HYPERLINK("https://my.pitchbook.com?c=251354-62T","View Company Online")</f>
        <v>View Company Online</v>
      </c>
    </row>
    <row r="4531" spans="1:18" hidden="1" x14ac:dyDescent="0.3">
      <c r="A4531" s="15" t="s">
        <v>14574</v>
      </c>
      <c r="B4531" s="15" t="s">
        <v>13464</v>
      </c>
      <c r="C4531" s="18" t="s">
        <v>28</v>
      </c>
      <c r="D4531" s="15" t="s">
        <v>14575</v>
      </c>
      <c r="E4531" s="18">
        <v>148.83000000000001</v>
      </c>
      <c r="F4531" s="19" t="s">
        <v>28</v>
      </c>
      <c r="G4531" s="19">
        <v>375.42</v>
      </c>
      <c r="H4531" s="19">
        <v>1787.71</v>
      </c>
      <c r="I4531" s="18">
        <v>151.53</v>
      </c>
      <c r="J4531" s="18">
        <v>11.8</v>
      </c>
      <c r="K4531" s="18">
        <v>769.01</v>
      </c>
      <c r="L4531" s="18">
        <v>2.3199999999999998</v>
      </c>
      <c r="M4531" s="18">
        <v>134.66</v>
      </c>
      <c r="N4531" s="17">
        <v>44399</v>
      </c>
      <c r="O4531" s="15" t="s">
        <v>173</v>
      </c>
      <c r="P4531" s="16" t="s">
        <v>28</v>
      </c>
      <c r="Q4531" s="15" t="s">
        <v>1191</v>
      </c>
      <c r="R4531" s="13" t="str">
        <f>HYPERLINK("https://my.pitchbook.com?c=180316-09T","View Company Online")</f>
        <v>View Company Online</v>
      </c>
    </row>
    <row r="4532" spans="1:18" hidden="1" x14ac:dyDescent="0.3">
      <c r="A4532" s="9" t="s">
        <v>14576</v>
      </c>
      <c r="B4532" s="9" t="s">
        <v>14577</v>
      </c>
      <c r="C4532" s="11" t="s">
        <v>28</v>
      </c>
      <c r="D4532" s="9" t="s">
        <v>14578</v>
      </c>
      <c r="E4532" s="11" t="s">
        <v>28</v>
      </c>
      <c r="F4532" s="10" t="s">
        <v>28</v>
      </c>
      <c r="G4532" s="10">
        <v>0.2</v>
      </c>
      <c r="H4532" s="10" t="s">
        <v>28</v>
      </c>
      <c r="I4532" s="11" t="s">
        <v>28</v>
      </c>
      <c r="J4532" s="11" t="s">
        <v>28</v>
      </c>
      <c r="K4532" s="11">
        <v>1.85</v>
      </c>
      <c r="L4532" s="11" t="s">
        <v>28</v>
      </c>
      <c r="M4532" s="11" t="s">
        <v>28</v>
      </c>
      <c r="N4532" s="8">
        <v>44399</v>
      </c>
      <c r="O4532" s="9" t="s">
        <v>93</v>
      </c>
      <c r="P4532" s="12" t="s">
        <v>14579</v>
      </c>
      <c r="Q4532" s="9" t="s">
        <v>95</v>
      </c>
      <c r="R4532" s="14" t="str">
        <f>HYPERLINK("https://my.pitchbook.com?c=219134-80T","View Company Online")</f>
        <v>View Company Online</v>
      </c>
    </row>
    <row r="4533" spans="1:18" hidden="1" x14ac:dyDescent="0.3">
      <c r="A4533" s="15" t="s">
        <v>14580</v>
      </c>
      <c r="B4533" s="15" t="s">
        <v>14581</v>
      </c>
      <c r="C4533" s="18" t="s">
        <v>28</v>
      </c>
      <c r="D4533" s="15" t="s">
        <v>14582</v>
      </c>
      <c r="E4533" s="18" t="s">
        <v>28</v>
      </c>
      <c r="F4533" s="19" t="s">
        <v>28</v>
      </c>
      <c r="G4533" s="19" t="s">
        <v>28</v>
      </c>
      <c r="H4533" s="19" t="s">
        <v>28</v>
      </c>
      <c r="I4533" s="18" t="s">
        <v>28</v>
      </c>
      <c r="J4533" s="18" t="s">
        <v>28</v>
      </c>
      <c r="K4533" s="18" t="s">
        <v>28</v>
      </c>
      <c r="L4533" s="18" t="s">
        <v>28</v>
      </c>
      <c r="M4533" s="18" t="s">
        <v>28</v>
      </c>
      <c r="N4533" s="17">
        <v>44399</v>
      </c>
      <c r="O4533" s="15" t="s">
        <v>30</v>
      </c>
      <c r="P4533" s="16" t="s">
        <v>14583</v>
      </c>
      <c r="Q4533" s="15" t="s">
        <v>753</v>
      </c>
      <c r="R4533" s="13" t="str">
        <f>HYPERLINK("https://my.pitchbook.com?c=211778-11T","View Company Online")</f>
        <v>View Company Online</v>
      </c>
    </row>
    <row r="4534" spans="1:18" hidden="1" x14ac:dyDescent="0.3">
      <c r="A4534" s="9" t="s">
        <v>14584</v>
      </c>
      <c r="B4534" s="9" t="s">
        <v>3486</v>
      </c>
      <c r="C4534" s="11" t="s">
        <v>28</v>
      </c>
      <c r="D4534" s="9" t="s">
        <v>3487</v>
      </c>
      <c r="E4534" s="11">
        <v>-11.66</v>
      </c>
      <c r="F4534" s="10" t="s">
        <v>28</v>
      </c>
      <c r="G4534" s="10">
        <v>150</v>
      </c>
      <c r="H4534" s="10">
        <v>507.23</v>
      </c>
      <c r="I4534" s="11">
        <v>-5.55</v>
      </c>
      <c r="J4534" s="11">
        <v>-91.32</v>
      </c>
      <c r="K4534" s="11">
        <v>93.2</v>
      </c>
      <c r="L4534" s="11">
        <v>5.44</v>
      </c>
      <c r="M4534" s="11">
        <v>-9.39</v>
      </c>
      <c r="N4534" s="8">
        <v>44399</v>
      </c>
      <c r="O4534" s="9" t="s">
        <v>173</v>
      </c>
      <c r="P4534" s="12" t="s">
        <v>28</v>
      </c>
      <c r="Q4534" s="9" t="s">
        <v>263</v>
      </c>
      <c r="R4534" s="14" t="str">
        <f>HYPERLINK("https://my.pitchbook.com?c=170500-87T","View Company Online")</f>
        <v>View Company Online</v>
      </c>
    </row>
    <row r="4535" spans="1:18" hidden="1" x14ac:dyDescent="0.3">
      <c r="A4535" s="15" t="s">
        <v>14585</v>
      </c>
      <c r="B4535" s="15" t="s">
        <v>3009</v>
      </c>
      <c r="C4535" s="18" t="s">
        <v>28</v>
      </c>
      <c r="D4535" s="15" t="s">
        <v>3010</v>
      </c>
      <c r="E4535" s="18" t="s">
        <v>28</v>
      </c>
      <c r="F4535" s="19" t="s">
        <v>28</v>
      </c>
      <c r="G4535" s="19">
        <v>40</v>
      </c>
      <c r="H4535" s="19" t="s">
        <v>28</v>
      </c>
      <c r="I4535" s="18" t="s">
        <v>28</v>
      </c>
      <c r="J4535" s="18" t="s">
        <v>28</v>
      </c>
      <c r="K4535" s="18" t="s">
        <v>28</v>
      </c>
      <c r="L4535" s="18" t="s">
        <v>28</v>
      </c>
      <c r="M4535" s="18" t="s">
        <v>28</v>
      </c>
      <c r="N4535" s="17">
        <v>44398</v>
      </c>
      <c r="O4535" s="15" t="s">
        <v>73</v>
      </c>
      <c r="P4535" s="16" t="s">
        <v>14586</v>
      </c>
      <c r="Q4535" s="15" t="s">
        <v>37</v>
      </c>
      <c r="R4535" s="13" t="str">
        <f>HYPERLINK("https://my.pitchbook.com?c=172845-01T","View Company Online")</f>
        <v>View Company Online</v>
      </c>
    </row>
    <row r="4536" spans="1:18" hidden="1" x14ac:dyDescent="0.3">
      <c r="A4536" s="9" t="s">
        <v>14587</v>
      </c>
      <c r="B4536" s="9" t="s">
        <v>5549</v>
      </c>
      <c r="C4536" s="11" t="s">
        <v>28</v>
      </c>
      <c r="D4536" s="9" t="s">
        <v>5550</v>
      </c>
      <c r="E4536" s="11" t="s">
        <v>28</v>
      </c>
      <c r="F4536" s="10" t="s">
        <v>28</v>
      </c>
      <c r="G4536" s="10">
        <v>35</v>
      </c>
      <c r="H4536" s="10" t="s">
        <v>28</v>
      </c>
      <c r="I4536" s="11" t="s">
        <v>28</v>
      </c>
      <c r="J4536" s="11" t="s">
        <v>28</v>
      </c>
      <c r="K4536" s="11" t="s">
        <v>28</v>
      </c>
      <c r="L4536" s="11" t="s">
        <v>28</v>
      </c>
      <c r="M4536" s="11" t="s">
        <v>28</v>
      </c>
      <c r="N4536" s="8">
        <v>44398</v>
      </c>
      <c r="O4536" s="9" t="s">
        <v>79</v>
      </c>
      <c r="P4536" s="12" t="s">
        <v>14588</v>
      </c>
      <c r="Q4536" s="9" t="s">
        <v>404</v>
      </c>
      <c r="R4536" s="14" t="str">
        <f>HYPERLINK("https://my.pitchbook.com?c=176892-31T","View Company Online")</f>
        <v>View Company Online</v>
      </c>
    </row>
    <row r="4537" spans="1:18" hidden="1" x14ac:dyDescent="0.3">
      <c r="A4537" s="15" t="s">
        <v>14589</v>
      </c>
      <c r="B4537" s="15" t="s">
        <v>10756</v>
      </c>
      <c r="C4537" s="18" t="s">
        <v>28</v>
      </c>
      <c r="D4537" s="15" t="s">
        <v>10757</v>
      </c>
      <c r="E4537" s="18" t="s">
        <v>28</v>
      </c>
      <c r="F4537" s="19" t="s">
        <v>28</v>
      </c>
      <c r="G4537" s="19">
        <v>0.28999999999999998</v>
      </c>
      <c r="H4537" s="19" t="s">
        <v>28</v>
      </c>
      <c r="I4537" s="18" t="s">
        <v>28</v>
      </c>
      <c r="J4537" s="18" t="s">
        <v>28</v>
      </c>
      <c r="K4537" s="18" t="s">
        <v>28</v>
      </c>
      <c r="L4537" s="18" t="s">
        <v>28</v>
      </c>
      <c r="M4537" s="18" t="s">
        <v>28</v>
      </c>
      <c r="N4537" s="17">
        <v>44398</v>
      </c>
      <c r="O4537" s="15" t="s">
        <v>99</v>
      </c>
      <c r="P4537" s="16" t="s">
        <v>7196</v>
      </c>
      <c r="Q4537" s="15" t="s">
        <v>54</v>
      </c>
      <c r="R4537" s="13" t="str">
        <f>HYPERLINK("https://my.pitchbook.com?c=177039-28T","View Company Online")</f>
        <v>View Company Online</v>
      </c>
    </row>
    <row r="4538" spans="1:18" hidden="1" x14ac:dyDescent="0.3">
      <c r="A4538" s="9" t="s">
        <v>14590</v>
      </c>
      <c r="B4538" s="9" t="s">
        <v>9927</v>
      </c>
      <c r="C4538" s="11" t="s">
        <v>28</v>
      </c>
      <c r="D4538" s="9" t="s">
        <v>9928</v>
      </c>
      <c r="E4538" s="11" t="s">
        <v>28</v>
      </c>
      <c r="F4538" s="10" t="s">
        <v>28</v>
      </c>
      <c r="G4538" s="10">
        <v>2.16</v>
      </c>
      <c r="H4538" s="10" t="s">
        <v>28</v>
      </c>
      <c r="I4538" s="11" t="s">
        <v>28</v>
      </c>
      <c r="J4538" s="11" t="s">
        <v>28</v>
      </c>
      <c r="K4538" s="11" t="s">
        <v>28</v>
      </c>
      <c r="L4538" s="11" t="s">
        <v>28</v>
      </c>
      <c r="M4538" s="11" t="s">
        <v>28</v>
      </c>
      <c r="N4538" s="8">
        <v>44398</v>
      </c>
      <c r="O4538" s="9" t="s">
        <v>99</v>
      </c>
      <c r="P4538" s="12" t="s">
        <v>14591</v>
      </c>
      <c r="Q4538" s="9" t="s">
        <v>6356</v>
      </c>
      <c r="R4538" s="14" t="str">
        <f>HYPERLINK("https://my.pitchbook.com?c=176946-85T","View Company Online")</f>
        <v>View Company Online</v>
      </c>
    </row>
    <row r="4539" spans="1:18" hidden="1" x14ac:dyDescent="0.3">
      <c r="A4539" s="15" t="s">
        <v>14592</v>
      </c>
      <c r="B4539" s="15" t="s">
        <v>9691</v>
      </c>
      <c r="C4539" s="18" t="s">
        <v>28</v>
      </c>
      <c r="D4539" s="15" t="s">
        <v>9692</v>
      </c>
      <c r="E4539" s="18" t="s">
        <v>28</v>
      </c>
      <c r="F4539" s="19" t="s">
        <v>28</v>
      </c>
      <c r="G4539" s="19">
        <v>21.62</v>
      </c>
      <c r="H4539" s="19" t="s">
        <v>28</v>
      </c>
      <c r="I4539" s="18" t="s">
        <v>28</v>
      </c>
      <c r="J4539" s="18" t="s">
        <v>28</v>
      </c>
      <c r="K4539" s="18">
        <v>9.36</v>
      </c>
      <c r="L4539" s="18" t="s">
        <v>28</v>
      </c>
      <c r="M4539" s="18" t="s">
        <v>28</v>
      </c>
      <c r="N4539" s="17">
        <v>44398</v>
      </c>
      <c r="O4539" s="15" t="s">
        <v>73</v>
      </c>
      <c r="P4539" s="16" t="s">
        <v>14593</v>
      </c>
      <c r="Q4539" s="15" t="s">
        <v>119</v>
      </c>
      <c r="R4539" s="13" t="str">
        <f>HYPERLINK("https://my.pitchbook.com?c=176892-49T","View Company Online")</f>
        <v>View Company Online</v>
      </c>
    </row>
    <row r="4540" spans="1:18" x14ac:dyDescent="0.3">
      <c r="A4540" s="9" t="s">
        <v>14594</v>
      </c>
      <c r="B4540" s="9" t="s">
        <v>14595</v>
      </c>
      <c r="C4540" s="11">
        <v>3.96</v>
      </c>
      <c r="D4540" s="9" t="s">
        <v>14596</v>
      </c>
      <c r="E4540" s="11">
        <v>158.91</v>
      </c>
      <c r="F4540" s="10">
        <v>678.45</v>
      </c>
      <c r="G4540" s="10">
        <v>524.66</v>
      </c>
      <c r="H4540" s="10">
        <v>794.22</v>
      </c>
      <c r="I4540" s="11">
        <v>171.42</v>
      </c>
      <c r="J4540" s="11">
        <v>4.63</v>
      </c>
      <c r="K4540" s="11">
        <v>308.64</v>
      </c>
      <c r="L4540" s="11">
        <v>2.57</v>
      </c>
      <c r="M4540" s="11">
        <v>131.07</v>
      </c>
      <c r="N4540" s="8">
        <v>44398</v>
      </c>
      <c r="O4540" s="9" t="s">
        <v>30</v>
      </c>
      <c r="P4540" s="12" t="s">
        <v>14597</v>
      </c>
      <c r="Q4540" s="9" t="s">
        <v>226</v>
      </c>
      <c r="R4540" s="14" t="str">
        <f>HYPERLINK("https://my.pitchbook.com?c=243706-60T","View Company Online")</f>
        <v>View Company Online</v>
      </c>
    </row>
    <row r="4541" spans="1:18" hidden="1" x14ac:dyDescent="0.3">
      <c r="A4541" s="15" t="s">
        <v>14598</v>
      </c>
      <c r="B4541" s="15" t="s">
        <v>14599</v>
      </c>
      <c r="C4541" s="18" t="s">
        <v>28</v>
      </c>
      <c r="D4541" s="15" t="s">
        <v>14600</v>
      </c>
      <c r="E4541" s="18" t="s">
        <v>28</v>
      </c>
      <c r="F4541" s="19" t="s">
        <v>28</v>
      </c>
      <c r="G4541" s="19" t="s">
        <v>28</v>
      </c>
      <c r="H4541" s="19" t="s">
        <v>28</v>
      </c>
      <c r="I4541" s="18" t="s">
        <v>28</v>
      </c>
      <c r="J4541" s="18" t="s">
        <v>28</v>
      </c>
      <c r="K4541" s="18" t="s">
        <v>28</v>
      </c>
      <c r="L4541" s="18" t="s">
        <v>28</v>
      </c>
      <c r="M4541" s="18" t="s">
        <v>28</v>
      </c>
      <c r="N4541" s="17">
        <v>44398</v>
      </c>
      <c r="O4541" s="15" t="s">
        <v>30</v>
      </c>
      <c r="P4541" s="16" t="s">
        <v>28</v>
      </c>
      <c r="Q4541" s="15" t="s">
        <v>290</v>
      </c>
      <c r="R4541" s="13" t="str">
        <f>HYPERLINK("https://my.pitchbook.com?c=242022-07T","View Company Online")</f>
        <v>View Company Online</v>
      </c>
    </row>
    <row r="4542" spans="1:18" hidden="1" x14ac:dyDescent="0.3">
      <c r="A4542" s="9" t="s">
        <v>14601</v>
      </c>
      <c r="B4542" s="9" t="s">
        <v>14602</v>
      </c>
      <c r="C4542" s="11" t="s">
        <v>28</v>
      </c>
      <c r="D4542" s="9" t="s">
        <v>14603</v>
      </c>
      <c r="E4542" s="11" t="s">
        <v>28</v>
      </c>
      <c r="F4542" s="10" t="s">
        <v>28</v>
      </c>
      <c r="G4542" s="10" t="s">
        <v>28</v>
      </c>
      <c r="H4542" s="10" t="s">
        <v>28</v>
      </c>
      <c r="I4542" s="11" t="s">
        <v>28</v>
      </c>
      <c r="J4542" s="11" t="s">
        <v>28</v>
      </c>
      <c r="K4542" s="11" t="s">
        <v>28</v>
      </c>
      <c r="L4542" s="11" t="s">
        <v>28</v>
      </c>
      <c r="M4542" s="11" t="s">
        <v>28</v>
      </c>
      <c r="N4542" s="8">
        <v>44398</v>
      </c>
      <c r="O4542" s="9" t="s">
        <v>30</v>
      </c>
      <c r="P4542" s="12" t="s">
        <v>10011</v>
      </c>
      <c r="Q4542" s="9" t="s">
        <v>188</v>
      </c>
      <c r="R4542" s="14" t="str">
        <f>HYPERLINK("https://my.pitchbook.com?c=177027-94T","View Company Online")</f>
        <v>View Company Online</v>
      </c>
    </row>
    <row r="4543" spans="1:18" hidden="1" x14ac:dyDescent="0.3">
      <c r="A4543" s="15" t="s">
        <v>14604</v>
      </c>
      <c r="B4543" s="15" t="s">
        <v>3639</v>
      </c>
      <c r="C4543" s="18" t="s">
        <v>28</v>
      </c>
      <c r="D4543" s="15" t="s">
        <v>3640</v>
      </c>
      <c r="E4543" s="18" t="s">
        <v>28</v>
      </c>
      <c r="F4543" s="19">
        <v>430</v>
      </c>
      <c r="G4543" s="19">
        <v>430</v>
      </c>
      <c r="H4543" s="19">
        <v>430</v>
      </c>
      <c r="I4543" s="18" t="s">
        <v>28</v>
      </c>
      <c r="J4543" s="18" t="s">
        <v>28</v>
      </c>
      <c r="K4543" s="18" t="s">
        <v>28</v>
      </c>
      <c r="L4543" s="18" t="s">
        <v>28</v>
      </c>
      <c r="M4543" s="18" t="s">
        <v>28</v>
      </c>
      <c r="N4543" s="17">
        <v>44397</v>
      </c>
      <c r="O4543" s="15" t="s">
        <v>30</v>
      </c>
      <c r="P4543" s="16" t="s">
        <v>14605</v>
      </c>
      <c r="Q4543" s="15" t="s">
        <v>95</v>
      </c>
      <c r="R4543" s="13" t="str">
        <f>HYPERLINK("https://my.pitchbook.com?c=177884-92T","View Company Online")</f>
        <v>View Company Online</v>
      </c>
    </row>
    <row r="4544" spans="1:18" hidden="1" x14ac:dyDescent="0.3">
      <c r="A4544" s="9" t="s">
        <v>14606</v>
      </c>
      <c r="B4544" s="9" t="s">
        <v>14607</v>
      </c>
      <c r="C4544" s="11" t="s">
        <v>28</v>
      </c>
      <c r="D4544" s="9" t="s">
        <v>14608</v>
      </c>
      <c r="E4544" s="11" t="s">
        <v>28</v>
      </c>
      <c r="F4544" s="10" t="s">
        <v>28</v>
      </c>
      <c r="G4544" s="10" t="s">
        <v>28</v>
      </c>
      <c r="H4544" s="10" t="s">
        <v>28</v>
      </c>
      <c r="I4544" s="11" t="s">
        <v>28</v>
      </c>
      <c r="J4544" s="11" t="s">
        <v>28</v>
      </c>
      <c r="K4544" s="11" t="s">
        <v>28</v>
      </c>
      <c r="L4544" s="11" t="s">
        <v>28</v>
      </c>
      <c r="M4544" s="11" t="s">
        <v>28</v>
      </c>
      <c r="N4544" s="8">
        <v>44397</v>
      </c>
      <c r="O4544" s="9" t="s">
        <v>30</v>
      </c>
      <c r="P4544" s="12" t="s">
        <v>14609</v>
      </c>
      <c r="Q4544" s="9" t="s">
        <v>75</v>
      </c>
      <c r="R4544" s="14" t="str">
        <f>HYPERLINK("https://my.pitchbook.com?c=209554-12T","View Company Online")</f>
        <v>View Company Online</v>
      </c>
    </row>
    <row r="4545" spans="1:18" hidden="1" x14ac:dyDescent="0.3">
      <c r="A4545" s="15" t="s">
        <v>14610</v>
      </c>
      <c r="B4545" s="15" t="s">
        <v>14611</v>
      </c>
      <c r="C4545" s="18" t="s">
        <v>28</v>
      </c>
      <c r="D4545" s="15" t="s">
        <v>14612</v>
      </c>
      <c r="E4545" s="18" t="s">
        <v>28</v>
      </c>
      <c r="F4545" s="19" t="s">
        <v>28</v>
      </c>
      <c r="G4545" s="19" t="s">
        <v>28</v>
      </c>
      <c r="H4545" s="19" t="s">
        <v>28</v>
      </c>
      <c r="I4545" s="18" t="s">
        <v>28</v>
      </c>
      <c r="J4545" s="18" t="s">
        <v>28</v>
      </c>
      <c r="K4545" s="18" t="s">
        <v>28</v>
      </c>
      <c r="L4545" s="18" t="s">
        <v>28</v>
      </c>
      <c r="M4545" s="18" t="s">
        <v>28</v>
      </c>
      <c r="N4545" s="17">
        <v>44397</v>
      </c>
      <c r="O4545" s="15" t="s">
        <v>93</v>
      </c>
      <c r="P4545" s="16" t="s">
        <v>1490</v>
      </c>
      <c r="Q4545" s="15" t="s">
        <v>75</v>
      </c>
      <c r="R4545" s="13" t="str">
        <f>HYPERLINK("https://my.pitchbook.com?c=223826-86T","View Company Online")</f>
        <v>View Company Online</v>
      </c>
    </row>
    <row r="4546" spans="1:18" hidden="1" x14ac:dyDescent="0.3">
      <c r="A4546" s="9" t="s">
        <v>14613</v>
      </c>
      <c r="B4546" s="9" t="s">
        <v>3490</v>
      </c>
      <c r="C4546" s="11" t="s">
        <v>28</v>
      </c>
      <c r="D4546" s="9" t="s">
        <v>3491</v>
      </c>
      <c r="E4546" s="11">
        <v>16.77</v>
      </c>
      <c r="F4546" s="10" t="s">
        <v>28</v>
      </c>
      <c r="G4546" s="10">
        <v>173.73</v>
      </c>
      <c r="H4546" s="10" t="s">
        <v>28</v>
      </c>
      <c r="I4546" s="11">
        <v>36.96</v>
      </c>
      <c r="J4546" s="11" t="s">
        <v>28</v>
      </c>
      <c r="K4546" s="11">
        <v>300.81</v>
      </c>
      <c r="L4546" s="11" t="s">
        <v>28</v>
      </c>
      <c r="M4546" s="11">
        <v>16.239999999999998</v>
      </c>
      <c r="N4546" s="8">
        <v>44397</v>
      </c>
      <c r="O4546" s="9" t="s">
        <v>159</v>
      </c>
      <c r="P4546" s="12" t="s">
        <v>28</v>
      </c>
      <c r="Q4546" s="9" t="s">
        <v>607</v>
      </c>
      <c r="R4546" s="14" t="str">
        <f>HYPERLINK("https://my.pitchbook.com?c=268723-54T","View Company Online")</f>
        <v>View Company Online</v>
      </c>
    </row>
    <row r="4547" spans="1:18" hidden="1" x14ac:dyDescent="0.3">
      <c r="A4547" s="15" t="s">
        <v>14614</v>
      </c>
      <c r="B4547" s="15" t="s">
        <v>14615</v>
      </c>
      <c r="C4547" s="18" t="s">
        <v>28</v>
      </c>
      <c r="D4547" s="15" t="s">
        <v>14616</v>
      </c>
      <c r="E4547" s="18" t="s">
        <v>28</v>
      </c>
      <c r="F4547" s="19" t="s">
        <v>28</v>
      </c>
      <c r="G4547" s="19">
        <v>59.09</v>
      </c>
      <c r="H4547" s="19" t="s">
        <v>28</v>
      </c>
      <c r="I4547" s="18" t="s">
        <v>28</v>
      </c>
      <c r="J4547" s="18" t="s">
        <v>28</v>
      </c>
      <c r="K4547" s="18" t="s">
        <v>28</v>
      </c>
      <c r="L4547" s="18" t="s">
        <v>28</v>
      </c>
      <c r="M4547" s="18" t="s">
        <v>28</v>
      </c>
      <c r="N4547" s="17">
        <v>44396</v>
      </c>
      <c r="O4547" s="15" t="s">
        <v>79</v>
      </c>
      <c r="P4547" s="16" t="s">
        <v>14617</v>
      </c>
      <c r="Q4547" s="15" t="s">
        <v>37</v>
      </c>
      <c r="R4547" s="13" t="str">
        <f>HYPERLINK("https://my.pitchbook.com?c=176822-11T","View Company Online")</f>
        <v>View Company Online</v>
      </c>
    </row>
    <row r="4548" spans="1:18" hidden="1" x14ac:dyDescent="0.3">
      <c r="A4548" s="9" t="s">
        <v>14618</v>
      </c>
      <c r="B4548" s="9" t="s">
        <v>145</v>
      </c>
      <c r="C4548" s="11" t="s">
        <v>28</v>
      </c>
      <c r="D4548" s="9" t="s">
        <v>146</v>
      </c>
      <c r="E4548" s="11" t="s">
        <v>28</v>
      </c>
      <c r="F4548" s="10" t="s">
        <v>28</v>
      </c>
      <c r="G4548" s="10">
        <v>8.6</v>
      </c>
      <c r="H4548" s="10" t="s">
        <v>28</v>
      </c>
      <c r="I4548" s="11" t="s">
        <v>28</v>
      </c>
      <c r="J4548" s="11" t="s">
        <v>28</v>
      </c>
      <c r="K4548" s="11" t="s">
        <v>28</v>
      </c>
      <c r="L4548" s="11" t="s">
        <v>28</v>
      </c>
      <c r="M4548" s="11" t="s">
        <v>28</v>
      </c>
      <c r="N4548" s="8">
        <v>44396</v>
      </c>
      <c r="O4548" s="9" t="s">
        <v>73</v>
      </c>
      <c r="P4548" s="12" t="s">
        <v>14619</v>
      </c>
      <c r="Q4548" s="9" t="s">
        <v>75</v>
      </c>
      <c r="R4548" s="14" t="str">
        <f>HYPERLINK("https://my.pitchbook.com?c=166231-81T","View Company Online")</f>
        <v>View Company Online</v>
      </c>
    </row>
    <row r="4549" spans="1:18" hidden="1" x14ac:dyDescent="0.3">
      <c r="A4549" s="15" t="s">
        <v>14620</v>
      </c>
      <c r="B4549" s="15" t="s">
        <v>14621</v>
      </c>
      <c r="C4549" s="18" t="s">
        <v>28</v>
      </c>
      <c r="D4549" s="15" t="s">
        <v>14622</v>
      </c>
      <c r="E4549" s="18" t="s">
        <v>28</v>
      </c>
      <c r="F4549" s="19" t="s">
        <v>28</v>
      </c>
      <c r="G4549" s="19">
        <v>11.82</v>
      </c>
      <c r="H4549" s="19" t="s">
        <v>28</v>
      </c>
      <c r="I4549" s="18" t="s">
        <v>28</v>
      </c>
      <c r="J4549" s="18" t="s">
        <v>28</v>
      </c>
      <c r="K4549" s="18" t="s">
        <v>28</v>
      </c>
      <c r="L4549" s="18" t="s">
        <v>28</v>
      </c>
      <c r="M4549" s="18" t="s">
        <v>28</v>
      </c>
      <c r="N4549" s="17">
        <v>44396</v>
      </c>
      <c r="O4549" s="15" t="s">
        <v>73</v>
      </c>
      <c r="P4549" s="16" t="s">
        <v>14623</v>
      </c>
      <c r="Q4549" s="15" t="s">
        <v>3912</v>
      </c>
      <c r="R4549" s="13" t="str">
        <f>HYPERLINK("https://my.pitchbook.com?c=184068-37T","View Company Online")</f>
        <v>View Company Online</v>
      </c>
    </row>
    <row r="4550" spans="1:18" hidden="1" x14ac:dyDescent="0.3">
      <c r="A4550" s="9" t="s">
        <v>14624</v>
      </c>
      <c r="B4550" s="9" t="s">
        <v>14625</v>
      </c>
      <c r="C4550" s="11" t="s">
        <v>28</v>
      </c>
      <c r="D4550" s="9" t="s">
        <v>14626</v>
      </c>
      <c r="E4550" s="11" t="s">
        <v>28</v>
      </c>
      <c r="F4550" s="10" t="s">
        <v>28</v>
      </c>
      <c r="G4550" s="10" t="s">
        <v>28</v>
      </c>
      <c r="H4550" s="10" t="s">
        <v>28</v>
      </c>
      <c r="I4550" s="11" t="s">
        <v>28</v>
      </c>
      <c r="J4550" s="11" t="s">
        <v>28</v>
      </c>
      <c r="K4550" s="11" t="s">
        <v>28</v>
      </c>
      <c r="L4550" s="11" t="s">
        <v>28</v>
      </c>
      <c r="M4550" s="11" t="s">
        <v>28</v>
      </c>
      <c r="N4550" s="8">
        <v>44396</v>
      </c>
      <c r="O4550" s="9" t="s">
        <v>99</v>
      </c>
      <c r="P4550" s="12" t="s">
        <v>28</v>
      </c>
      <c r="Q4550" s="9" t="s">
        <v>136</v>
      </c>
      <c r="R4550" s="14" t="str">
        <f>HYPERLINK("https://my.pitchbook.com?c=181569-16T","View Company Online")</f>
        <v>View Company Online</v>
      </c>
    </row>
    <row r="4551" spans="1:18" hidden="1" x14ac:dyDescent="0.3">
      <c r="A4551" s="15" t="s">
        <v>14627</v>
      </c>
      <c r="B4551" s="15" t="s">
        <v>14628</v>
      </c>
      <c r="C4551" s="18" t="s">
        <v>28</v>
      </c>
      <c r="D4551" s="15" t="s">
        <v>14629</v>
      </c>
      <c r="E4551" s="18" t="s">
        <v>28</v>
      </c>
      <c r="F4551" s="19" t="s">
        <v>28</v>
      </c>
      <c r="G4551" s="19">
        <v>0.2</v>
      </c>
      <c r="H4551" s="19" t="s">
        <v>28</v>
      </c>
      <c r="I4551" s="18" t="s">
        <v>28</v>
      </c>
      <c r="J4551" s="18" t="s">
        <v>28</v>
      </c>
      <c r="K4551" s="18" t="s">
        <v>28</v>
      </c>
      <c r="L4551" s="18" t="s">
        <v>28</v>
      </c>
      <c r="M4551" s="18" t="s">
        <v>28</v>
      </c>
      <c r="N4551" s="17">
        <v>44396</v>
      </c>
      <c r="O4551" s="15" t="s">
        <v>99</v>
      </c>
      <c r="P4551" s="16" t="s">
        <v>14630</v>
      </c>
      <c r="Q4551" s="15" t="s">
        <v>263</v>
      </c>
      <c r="R4551" s="13" t="str">
        <f>HYPERLINK("https://my.pitchbook.com?c=173591-56T","View Company Online")</f>
        <v>View Company Online</v>
      </c>
    </row>
    <row r="4552" spans="1:18" hidden="1" x14ac:dyDescent="0.3">
      <c r="A4552" s="9" t="s">
        <v>14631</v>
      </c>
      <c r="B4552" s="9" t="s">
        <v>10501</v>
      </c>
      <c r="C4552" s="11" t="s">
        <v>28</v>
      </c>
      <c r="D4552" s="9" t="s">
        <v>10502</v>
      </c>
      <c r="E4552" s="11" t="s">
        <v>28</v>
      </c>
      <c r="F4552" s="10" t="s">
        <v>28</v>
      </c>
      <c r="G4552" s="10" t="s">
        <v>28</v>
      </c>
      <c r="H4552" s="10" t="s">
        <v>28</v>
      </c>
      <c r="I4552" s="11" t="s">
        <v>28</v>
      </c>
      <c r="J4552" s="11" t="s">
        <v>28</v>
      </c>
      <c r="K4552" s="11" t="s">
        <v>28</v>
      </c>
      <c r="L4552" s="11" t="s">
        <v>28</v>
      </c>
      <c r="M4552" s="11" t="s">
        <v>28</v>
      </c>
      <c r="N4552" s="8">
        <v>44396</v>
      </c>
      <c r="O4552" s="9" t="s">
        <v>52</v>
      </c>
      <c r="P4552" s="12" t="s">
        <v>1880</v>
      </c>
      <c r="Q4552" s="9" t="s">
        <v>566</v>
      </c>
      <c r="R4552" s="14" t="str">
        <f>HYPERLINK("https://my.pitchbook.com?c=191457-82T","View Company Online")</f>
        <v>View Company Online</v>
      </c>
    </row>
    <row r="4553" spans="1:18" hidden="1" x14ac:dyDescent="0.3">
      <c r="A4553" s="15" t="s">
        <v>14632</v>
      </c>
      <c r="B4553" s="15" t="s">
        <v>13067</v>
      </c>
      <c r="C4553" s="18" t="s">
        <v>28</v>
      </c>
      <c r="D4553" s="15" t="s">
        <v>13068</v>
      </c>
      <c r="E4553" s="18" t="s">
        <v>28</v>
      </c>
      <c r="F4553" s="19" t="s">
        <v>28</v>
      </c>
      <c r="G4553" s="19">
        <v>0.02</v>
      </c>
      <c r="H4553" s="19">
        <v>0.33</v>
      </c>
      <c r="I4553" s="18" t="s">
        <v>28</v>
      </c>
      <c r="J4553" s="18" t="s">
        <v>28</v>
      </c>
      <c r="K4553" s="18" t="s">
        <v>28</v>
      </c>
      <c r="L4553" s="18" t="s">
        <v>28</v>
      </c>
      <c r="M4553" s="18" t="s">
        <v>28</v>
      </c>
      <c r="N4553" s="17">
        <v>44396</v>
      </c>
      <c r="O4553" s="15" t="s">
        <v>52</v>
      </c>
      <c r="P4553" s="16" t="s">
        <v>14633</v>
      </c>
      <c r="Q4553" s="15" t="s">
        <v>37</v>
      </c>
      <c r="R4553" s="13" t="str">
        <f>HYPERLINK("https://my.pitchbook.com?c=181835-29T","View Company Online")</f>
        <v>View Company Online</v>
      </c>
    </row>
    <row r="4554" spans="1:18" hidden="1" x14ac:dyDescent="0.3">
      <c r="A4554" s="9" t="s">
        <v>14634</v>
      </c>
      <c r="B4554" s="9" t="s">
        <v>14635</v>
      </c>
      <c r="C4554" s="11" t="s">
        <v>28</v>
      </c>
      <c r="D4554" s="9" t="s">
        <v>14636</v>
      </c>
      <c r="E4554" s="11" t="s">
        <v>28</v>
      </c>
      <c r="F4554" s="10" t="s">
        <v>28</v>
      </c>
      <c r="G4554" s="10" t="s">
        <v>28</v>
      </c>
      <c r="H4554" s="10" t="s">
        <v>28</v>
      </c>
      <c r="I4554" s="11" t="s">
        <v>28</v>
      </c>
      <c r="J4554" s="11" t="s">
        <v>28</v>
      </c>
      <c r="K4554" s="11" t="s">
        <v>28</v>
      </c>
      <c r="L4554" s="11" t="s">
        <v>28</v>
      </c>
      <c r="M4554" s="11" t="s">
        <v>28</v>
      </c>
      <c r="N4554" s="8">
        <v>44396</v>
      </c>
      <c r="O4554" s="9" t="s">
        <v>30</v>
      </c>
      <c r="P4554" s="12" t="s">
        <v>14637</v>
      </c>
      <c r="Q4554" s="9" t="s">
        <v>14060</v>
      </c>
      <c r="R4554" s="14" t="str">
        <f>HYPERLINK("https://my.pitchbook.com?c=212068-81T","View Company Online")</f>
        <v>View Company Online</v>
      </c>
    </row>
    <row r="4555" spans="1:18" hidden="1" x14ac:dyDescent="0.3">
      <c r="A4555" s="15" t="s">
        <v>14638</v>
      </c>
      <c r="B4555" s="15" t="s">
        <v>2099</v>
      </c>
      <c r="C4555" s="18" t="s">
        <v>28</v>
      </c>
      <c r="D4555" s="15" t="s">
        <v>2100</v>
      </c>
      <c r="E4555" s="18" t="s">
        <v>28</v>
      </c>
      <c r="F4555" s="19" t="s">
        <v>28</v>
      </c>
      <c r="G4555" s="19">
        <v>10.85</v>
      </c>
      <c r="H4555" s="19" t="s">
        <v>28</v>
      </c>
      <c r="I4555" s="18" t="s">
        <v>28</v>
      </c>
      <c r="J4555" s="18" t="s">
        <v>28</v>
      </c>
      <c r="K4555" s="18">
        <v>20.76</v>
      </c>
      <c r="L4555" s="18" t="s">
        <v>28</v>
      </c>
      <c r="M4555" s="18" t="s">
        <v>28</v>
      </c>
      <c r="N4555" s="17">
        <v>44393</v>
      </c>
      <c r="O4555" s="15" t="s">
        <v>79</v>
      </c>
      <c r="P4555" s="16" t="s">
        <v>14639</v>
      </c>
      <c r="Q4555" s="15" t="s">
        <v>37</v>
      </c>
      <c r="R4555" s="13" t="str">
        <f>HYPERLINK("https://my.pitchbook.com?c=176645-17T","View Company Online")</f>
        <v>View Company Online</v>
      </c>
    </row>
    <row r="4556" spans="1:18" hidden="1" x14ac:dyDescent="0.3">
      <c r="A4556" s="9" t="s">
        <v>14640</v>
      </c>
      <c r="B4556" s="9" t="s">
        <v>14641</v>
      </c>
      <c r="C4556" s="11" t="s">
        <v>28</v>
      </c>
      <c r="D4556" s="9" t="s">
        <v>14642</v>
      </c>
      <c r="E4556" s="11" t="s">
        <v>28</v>
      </c>
      <c r="F4556" s="10">
        <v>10.66</v>
      </c>
      <c r="G4556" s="10">
        <v>10.66</v>
      </c>
      <c r="H4556" s="10">
        <v>10.66</v>
      </c>
      <c r="I4556" s="11" t="s">
        <v>28</v>
      </c>
      <c r="J4556" s="11" t="s">
        <v>28</v>
      </c>
      <c r="K4556" s="11" t="s">
        <v>28</v>
      </c>
      <c r="L4556" s="11" t="s">
        <v>28</v>
      </c>
      <c r="M4556" s="11" t="s">
        <v>28</v>
      </c>
      <c r="N4556" s="8">
        <v>44393</v>
      </c>
      <c r="O4556" s="9" t="s">
        <v>30</v>
      </c>
      <c r="P4556" s="12" t="s">
        <v>14643</v>
      </c>
      <c r="Q4556" s="9" t="s">
        <v>43</v>
      </c>
      <c r="R4556" s="14" t="str">
        <f>HYPERLINK("https://my.pitchbook.com?c=258029-92T","View Company Online")</f>
        <v>View Company Online</v>
      </c>
    </row>
    <row r="4557" spans="1:18" hidden="1" x14ac:dyDescent="0.3">
      <c r="A4557" s="15" t="s">
        <v>14644</v>
      </c>
      <c r="B4557" s="15" t="s">
        <v>14645</v>
      </c>
      <c r="C4557" s="18" t="s">
        <v>28</v>
      </c>
      <c r="D4557" s="15" t="s">
        <v>14646</v>
      </c>
      <c r="E4557" s="18">
        <v>112.93</v>
      </c>
      <c r="F4557" s="19" t="s">
        <v>28</v>
      </c>
      <c r="G4557" s="19">
        <v>317.72000000000003</v>
      </c>
      <c r="H4557" s="19">
        <v>1316.93</v>
      </c>
      <c r="I4557" s="18" t="s">
        <v>28</v>
      </c>
      <c r="J4557" s="18" t="s">
        <v>28</v>
      </c>
      <c r="K4557" s="18">
        <v>1254.9000000000001</v>
      </c>
      <c r="L4557" s="18">
        <v>1.05</v>
      </c>
      <c r="M4557" s="18">
        <v>-138.93</v>
      </c>
      <c r="N4557" s="17">
        <v>44393</v>
      </c>
      <c r="O4557" s="15" t="s">
        <v>173</v>
      </c>
      <c r="P4557" s="16" t="s">
        <v>28</v>
      </c>
      <c r="Q4557" s="15" t="s">
        <v>14647</v>
      </c>
      <c r="R4557" s="13" t="str">
        <f>HYPERLINK("https://my.pitchbook.com?c=178739-83T","View Company Online")</f>
        <v>View Company Online</v>
      </c>
    </row>
    <row r="4558" spans="1:18" hidden="1" x14ac:dyDescent="0.3">
      <c r="A4558" s="9" t="s">
        <v>14648</v>
      </c>
      <c r="B4558" s="9" t="s">
        <v>14649</v>
      </c>
      <c r="C4558" s="11" t="s">
        <v>28</v>
      </c>
      <c r="D4558" s="9" t="s">
        <v>14650</v>
      </c>
      <c r="E4558" s="11" t="s">
        <v>28</v>
      </c>
      <c r="F4558" s="10" t="s">
        <v>28</v>
      </c>
      <c r="G4558" s="10">
        <v>0.28999999999999998</v>
      </c>
      <c r="H4558" s="10" t="s">
        <v>28</v>
      </c>
      <c r="I4558" s="11" t="s">
        <v>28</v>
      </c>
      <c r="J4558" s="11" t="s">
        <v>28</v>
      </c>
      <c r="K4558" s="11" t="s">
        <v>28</v>
      </c>
      <c r="L4558" s="11" t="s">
        <v>28</v>
      </c>
      <c r="M4558" s="11" t="s">
        <v>28</v>
      </c>
      <c r="N4558" s="8">
        <v>44393</v>
      </c>
      <c r="O4558" s="9" t="s">
        <v>99</v>
      </c>
      <c r="P4558" s="12" t="s">
        <v>140</v>
      </c>
      <c r="Q4558" s="9" t="s">
        <v>235</v>
      </c>
      <c r="R4558" s="14" t="str">
        <f>HYPERLINK("https://my.pitchbook.com?c=226928-44T","View Company Online")</f>
        <v>View Company Online</v>
      </c>
    </row>
    <row r="4559" spans="1:18" hidden="1" x14ac:dyDescent="0.3">
      <c r="A4559" s="15" t="s">
        <v>14651</v>
      </c>
      <c r="B4559" s="15" t="s">
        <v>11087</v>
      </c>
      <c r="C4559" s="18" t="s">
        <v>28</v>
      </c>
      <c r="D4559" s="15" t="s">
        <v>11088</v>
      </c>
      <c r="E4559" s="18" t="s">
        <v>28</v>
      </c>
      <c r="F4559" s="19" t="s">
        <v>28</v>
      </c>
      <c r="G4559" s="19">
        <v>1.7</v>
      </c>
      <c r="H4559" s="19">
        <v>2.85</v>
      </c>
      <c r="I4559" s="18" t="s">
        <v>28</v>
      </c>
      <c r="J4559" s="18" t="s">
        <v>28</v>
      </c>
      <c r="K4559" s="18" t="s">
        <v>28</v>
      </c>
      <c r="L4559" s="18" t="s">
        <v>28</v>
      </c>
      <c r="M4559" s="18" t="s">
        <v>28</v>
      </c>
      <c r="N4559" s="17">
        <v>44393</v>
      </c>
      <c r="O4559" s="15" t="s">
        <v>99</v>
      </c>
      <c r="P4559" s="16" t="s">
        <v>14652</v>
      </c>
      <c r="Q4559" s="15" t="s">
        <v>3912</v>
      </c>
      <c r="R4559" s="13" t="str">
        <f>HYPERLINK("https://my.pitchbook.com?c=183309-49T","View Company Online")</f>
        <v>View Company Online</v>
      </c>
    </row>
    <row r="4560" spans="1:18" hidden="1" x14ac:dyDescent="0.3">
      <c r="A4560" s="9" t="s">
        <v>14653</v>
      </c>
      <c r="B4560" s="9" t="s">
        <v>14654</v>
      </c>
      <c r="C4560" s="11" t="s">
        <v>28</v>
      </c>
      <c r="D4560" s="9" t="s">
        <v>14655</v>
      </c>
      <c r="E4560" s="11" t="s">
        <v>28</v>
      </c>
      <c r="F4560" s="10" t="s">
        <v>28</v>
      </c>
      <c r="G4560" s="10" t="s">
        <v>28</v>
      </c>
      <c r="H4560" s="10" t="s">
        <v>28</v>
      </c>
      <c r="I4560" s="11" t="s">
        <v>28</v>
      </c>
      <c r="J4560" s="11" t="s">
        <v>28</v>
      </c>
      <c r="K4560" s="11" t="s">
        <v>28</v>
      </c>
      <c r="L4560" s="11" t="s">
        <v>28</v>
      </c>
      <c r="M4560" s="11" t="s">
        <v>28</v>
      </c>
      <c r="N4560" s="8">
        <v>44393</v>
      </c>
      <c r="O4560" s="9" t="s">
        <v>30</v>
      </c>
      <c r="P4560" s="12" t="s">
        <v>6926</v>
      </c>
      <c r="Q4560" s="9" t="s">
        <v>740</v>
      </c>
      <c r="R4560" s="14" t="str">
        <f>HYPERLINK("https://my.pitchbook.com?c=211700-89T","View Company Online")</f>
        <v>View Company Online</v>
      </c>
    </row>
    <row r="4561" spans="1:18" hidden="1" x14ac:dyDescent="0.3">
      <c r="A4561" s="15" t="s">
        <v>14656</v>
      </c>
      <c r="B4561" s="15" t="s">
        <v>14657</v>
      </c>
      <c r="C4561" s="18" t="s">
        <v>28</v>
      </c>
      <c r="D4561" s="15" t="s">
        <v>14658</v>
      </c>
      <c r="E4561" s="18" t="s">
        <v>28</v>
      </c>
      <c r="F4561" s="19" t="s">
        <v>28</v>
      </c>
      <c r="G4561" s="19" t="s">
        <v>28</v>
      </c>
      <c r="H4561" s="19" t="s">
        <v>28</v>
      </c>
      <c r="I4561" s="18" t="s">
        <v>28</v>
      </c>
      <c r="J4561" s="18" t="s">
        <v>28</v>
      </c>
      <c r="K4561" s="18" t="s">
        <v>28</v>
      </c>
      <c r="L4561" s="18" t="s">
        <v>28</v>
      </c>
      <c r="M4561" s="18" t="s">
        <v>28</v>
      </c>
      <c r="N4561" s="17">
        <v>44393</v>
      </c>
      <c r="O4561" s="15" t="s">
        <v>58</v>
      </c>
      <c r="P4561" s="16" t="s">
        <v>421</v>
      </c>
      <c r="Q4561" s="15" t="s">
        <v>37</v>
      </c>
      <c r="R4561" s="13" t="str">
        <f>HYPERLINK("https://my.pitchbook.com?c=177584-68T","View Company Online")</f>
        <v>View Company Online</v>
      </c>
    </row>
    <row r="4562" spans="1:18" hidden="1" x14ac:dyDescent="0.3">
      <c r="A4562" s="9" t="s">
        <v>14659</v>
      </c>
      <c r="B4562" s="9" t="s">
        <v>5977</v>
      </c>
      <c r="C4562" s="11" t="s">
        <v>28</v>
      </c>
      <c r="D4562" s="9" t="s">
        <v>5978</v>
      </c>
      <c r="E4562" s="11" t="s">
        <v>28</v>
      </c>
      <c r="F4562" s="10" t="s">
        <v>28</v>
      </c>
      <c r="G4562" s="10">
        <v>0.1</v>
      </c>
      <c r="H4562" s="10" t="s">
        <v>28</v>
      </c>
      <c r="I4562" s="11" t="s">
        <v>28</v>
      </c>
      <c r="J4562" s="11" t="s">
        <v>28</v>
      </c>
      <c r="K4562" s="11" t="s">
        <v>28</v>
      </c>
      <c r="L4562" s="11" t="s">
        <v>28</v>
      </c>
      <c r="M4562" s="11" t="s">
        <v>28</v>
      </c>
      <c r="N4562" s="8">
        <v>44393</v>
      </c>
      <c r="O4562" s="9" t="s">
        <v>73</v>
      </c>
      <c r="P4562" s="12" t="s">
        <v>10569</v>
      </c>
      <c r="Q4562" s="9" t="s">
        <v>75</v>
      </c>
      <c r="R4562" s="14" t="str">
        <f>HYPERLINK("https://my.pitchbook.com?c=227551-87T","View Company Online")</f>
        <v>View Company Online</v>
      </c>
    </row>
    <row r="4563" spans="1:18" hidden="1" x14ac:dyDescent="0.3">
      <c r="A4563" s="15" t="s">
        <v>14660</v>
      </c>
      <c r="B4563" s="15" t="s">
        <v>14661</v>
      </c>
      <c r="C4563" s="18" t="s">
        <v>28</v>
      </c>
      <c r="D4563" s="15" t="s">
        <v>14662</v>
      </c>
      <c r="E4563" s="18" t="s">
        <v>28</v>
      </c>
      <c r="F4563" s="19" t="s">
        <v>28</v>
      </c>
      <c r="G4563" s="19">
        <v>4.93</v>
      </c>
      <c r="H4563" s="19" t="s">
        <v>28</v>
      </c>
      <c r="I4563" s="18" t="s">
        <v>28</v>
      </c>
      <c r="J4563" s="18" t="s">
        <v>28</v>
      </c>
      <c r="K4563" s="18" t="s">
        <v>28</v>
      </c>
      <c r="L4563" s="18" t="s">
        <v>28</v>
      </c>
      <c r="M4563" s="18" t="s">
        <v>28</v>
      </c>
      <c r="N4563" s="17">
        <v>44393</v>
      </c>
      <c r="O4563" s="15" t="s">
        <v>73</v>
      </c>
      <c r="P4563" s="16" t="s">
        <v>14663</v>
      </c>
      <c r="Q4563" s="15" t="s">
        <v>43</v>
      </c>
      <c r="R4563" s="13" t="str">
        <f>HYPERLINK("https://my.pitchbook.com?c=176627-71T","View Company Online")</f>
        <v>View Company Online</v>
      </c>
    </row>
    <row r="4564" spans="1:18" hidden="1" x14ac:dyDescent="0.3">
      <c r="A4564" s="9" t="s">
        <v>14664</v>
      </c>
      <c r="B4564" s="9" t="s">
        <v>5659</v>
      </c>
      <c r="C4564" s="11" t="s">
        <v>28</v>
      </c>
      <c r="D4564" s="9" t="s">
        <v>5660</v>
      </c>
      <c r="E4564" s="11" t="s">
        <v>28</v>
      </c>
      <c r="F4564" s="10" t="s">
        <v>28</v>
      </c>
      <c r="G4564" s="10" t="s">
        <v>28</v>
      </c>
      <c r="H4564" s="10" t="s">
        <v>28</v>
      </c>
      <c r="I4564" s="11" t="s">
        <v>28</v>
      </c>
      <c r="J4564" s="11" t="s">
        <v>28</v>
      </c>
      <c r="K4564" s="11" t="s">
        <v>28</v>
      </c>
      <c r="L4564" s="11" t="s">
        <v>28</v>
      </c>
      <c r="M4564" s="11" t="s">
        <v>28</v>
      </c>
      <c r="N4564" s="8">
        <v>44392</v>
      </c>
      <c r="O4564" s="9" t="s">
        <v>52</v>
      </c>
      <c r="P4564" s="12" t="s">
        <v>12319</v>
      </c>
      <c r="Q4564" s="9" t="s">
        <v>75</v>
      </c>
      <c r="R4564" s="14" t="str">
        <f>HYPERLINK("https://my.pitchbook.com?c=270008-02T","View Company Online")</f>
        <v>View Company Online</v>
      </c>
    </row>
    <row r="4565" spans="1:18" hidden="1" x14ac:dyDescent="0.3">
      <c r="A4565" s="15" t="s">
        <v>14665</v>
      </c>
      <c r="B4565" s="15" t="s">
        <v>14666</v>
      </c>
      <c r="C4565" s="18" t="s">
        <v>28</v>
      </c>
      <c r="D4565" s="15" t="s">
        <v>14667</v>
      </c>
      <c r="E4565" s="18" t="s">
        <v>28</v>
      </c>
      <c r="F4565" s="19" t="s">
        <v>28</v>
      </c>
      <c r="G4565" s="19">
        <v>13.82</v>
      </c>
      <c r="H4565" s="19" t="s">
        <v>28</v>
      </c>
      <c r="I4565" s="18" t="s">
        <v>28</v>
      </c>
      <c r="J4565" s="18" t="s">
        <v>28</v>
      </c>
      <c r="K4565" s="18" t="s">
        <v>28</v>
      </c>
      <c r="L4565" s="18" t="s">
        <v>28</v>
      </c>
      <c r="M4565" s="18" t="s">
        <v>28</v>
      </c>
      <c r="N4565" s="17">
        <v>44392</v>
      </c>
      <c r="O4565" s="15" t="s">
        <v>93</v>
      </c>
      <c r="P4565" s="16" t="s">
        <v>14668</v>
      </c>
      <c r="Q4565" s="15" t="s">
        <v>43</v>
      </c>
      <c r="R4565" s="13" t="str">
        <f>HYPERLINK("https://my.pitchbook.com?c=185863-60T","View Company Online")</f>
        <v>View Company Online</v>
      </c>
    </row>
    <row r="4566" spans="1:18" hidden="1" x14ac:dyDescent="0.3">
      <c r="A4566" s="9" t="s">
        <v>14669</v>
      </c>
      <c r="B4566" s="9" t="s">
        <v>14670</v>
      </c>
      <c r="C4566" s="11" t="s">
        <v>28</v>
      </c>
      <c r="D4566" s="9" t="s">
        <v>14671</v>
      </c>
      <c r="E4566" s="11" t="s">
        <v>28</v>
      </c>
      <c r="F4566" s="10" t="s">
        <v>28</v>
      </c>
      <c r="G4566" s="10">
        <v>0.1</v>
      </c>
      <c r="H4566" s="10" t="s">
        <v>28</v>
      </c>
      <c r="I4566" s="11" t="s">
        <v>28</v>
      </c>
      <c r="J4566" s="11" t="s">
        <v>28</v>
      </c>
      <c r="K4566" s="11" t="s">
        <v>28</v>
      </c>
      <c r="L4566" s="11" t="s">
        <v>28</v>
      </c>
      <c r="M4566" s="11" t="s">
        <v>28</v>
      </c>
      <c r="N4566" s="8">
        <v>44392</v>
      </c>
      <c r="O4566" s="9" t="s">
        <v>379</v>
      </c>
      <c r="P4566" s="12" t="s">
        <v>11265</v>
      </c>
      <c r="Q4566" s="9" t="s">
        <v>419</v>
      </c>
      <c r="R4566" s="14" t="str">
        <f>HYPERLINK("https://my.pitchbook.com?c=176607-10T","View Company Online")</f>
        <v>View Company Online</v>
      </c>
    </row>
    <row r="4567" spans="1:18" hidden="1" x14ac:dyDescent="0.3">
      <c r="A4567" s="15" t="s">
        <v>14672</v>
      </c>
      <c r="B4567" s="15" t="s">
        <v>12708</v>
      </c>
      <c r="C4567" s="18" t="s">
        <v>28</v>
      </c>
      <c r="D4567" s="15" t="s">
        <v>12709</v>
      </c>
      <c r="E4567" s="18" t="s">
        <v>28</v>
      </c>
      <c r="F4567" s="19" t="s">
        <v>28</v>
      </c>
      <c r="G4567" s="19">
        <v>28.58</v>
      </c>
      <c r="H4567" s="19" t="s">
        <v>28</v>
      </c>
      <c r="I4567" s="18" t="s">
        <v>28</v>
      </c>
      <c r="J4567" s="18" t="s">
        <v>28</v>
      </c>
      <c r="K4567" s="18" t="s">
        <v>28</v>
      </c>
      <c r="L4567" s="18" t="s">
        <v>28</v>
      </c>
      <c r="M4567" s="18" t="s">
        <v>28</v>
      </c>
      <c r="N4567" s="17">
        <v>44392</v>
      </c>
      <c r="O4567" s="15" t="s">
        <v>73</v>
      </c>
      <c r="P4567" s="16" t="s">
        <v>14673</v>
      </c>
      <c r="Q4567" s="15" t="s">
        <v>37</v>
      </c>
      <c r="R4567" s="13" t="str">
        <f>HYPERLINK("https://my.pitchbook.com?c=174872-26T","View Company Online")</f>
        <v>View Company Online</v>
      </c>
    </row>
    <row r="4568" spans="1:18" hidden="1" x14ac:dyDescent="0.3">
      <c r="A4568" s="9" t="s">
        <v>14674</v>
      </c>
      <c r="B4568" s="9" t="s">
        <v>14675</v>
      </c>
      <c r="C4568" s="11" t="s">
        <v>28</v>
      </c>
      <c r="D4568" s="9" t="s">
        <v>14676</v>
      </c>
      <c r="E4568" s="11">
        <v>96.43</v>
      </c>
      <c r="F4568" s="10" t="s">
        <v>28</v>
      </c>
      <c r="G4568" s="10" t="s">
        <v>28</v>
      </c>
      <c r="H4568" s="10" t="s">
        <v>28</v>
      </c>
      <c r="I4568" s="11">
        <v>117.11</v>
      </c>
      <c r="J4568" s="11" t="s">
        <v>28</v>
      </c>
      <c r="K4568" s="11">
        <v>771.92</v>
      </c>
      <c r="L4568" s="11" t="s">
        <v>28</v>
      </c>
      <c r="M4568" s="11">
        <v>72.849999999999994</v>
      </c>
      <c r="N4568" s="8">
        <v>44392</v>
      </c>
      <c r="O4568" s="9" t="s">
        <v>173</v>
      </c>
      <c r="P4568" s="12" t="s">
        <v>28</v>
      </c>
      <c r="Q4568" s="9" t="s">
        <v>1341</v>
      </c>
      <c r="R4568" s="14" t="str">
        <f>HYPERLINK("https://my.pitchbook.com?c=226508-68T","View Company Online")</f>
        <v>View Company Online</v>
      </c>
    </row>
    <row r="4569" spans="1:18" hidden="1" x14ac:dyDescent="0.3">
      <c r="A4569" s="15" t="s">
        <v>14677</v>
      </c>
      <c r="B4569" s="15" t="s">
        <v>796</v>
      </c>
      <c r="C4569" s="18" t="s">
        <v>28</v>
      </c>
      <c r="D4569" s="15" t="s">
        <v>797</v>
      </c>
      <c r="E4569" s="18" t="s">
        <v>28</v>
      </c>
      <c r="F4569" s="19" t="s">
        <v>28</v>
      </c>
      <c r="G4569" s="19">
        <v>0.1</v>
      </c>
      <c r="H4569" s="19" t="s">
        <v>28</v>
      </c>
      <c r="I4569" s="18" t="s">
        <v>28</v>
      </c>
      <c r="J4569" s="18" t="s">
        <v>28</v>
      </c>
      <c r="K4569" s="18" t="s">
        <v>28</v>
      </c>
      <c r="L4569" s="18" t="s">
        <v>28</v>
      </c>
      <c r="M4569" s="18" t="s">
        <v>28</v>
      </c>
      <c r="N4569" s="17">
        <v>44392</v>
      </c>
      <c r="O4569" s="15" t="s">
        <v>379</v>
      </c>
      <c r="P4569" s="16" t="s">
        <v>28</v>
      </c>
      <c r="Q4569" s="15" t="s">
        <v>75</v>
      </c>
      <c r="R4569" s="13" t="str">
        <f>HYPERLINK("https://my.pitchbook.com?c=300602-26T","View Company Online")</f>
        <v>View Company Online</v>
      </c>
    </row>
    <row r="4570" spans="1:18" hidden="1" x14ac:dyDescent="0.3">
      <c r="A4570" s="9" t="s">
        <v>14678</v>
      </c>
      <c r="B4570" s="9" t="s">
        <v>13003</v>
      </c>
      <c r="C4570" s="11" t="s">
        <v>28</v>
      </c>
      <c r="D4570" s="9" t="s">
        <v>14679</v>
      </c>
      <c r="E4570" s="11" t="s">
        <v>28</v>
      </c>
      <c r="F4570" s="10" t="s">
        <v>28</v>
      </c>
      <c r="G4570" s="10">
        <v>71.87</v>
      </c>
      <c r="H4570" s="10" t="s">
        <v>28</v>
      </c>
      <c r="I4570" s="11" t="s">
        <v>28</v>
      </c>
      <c r="J4570" s="11" t="s">
        <v>28</v>
      </c>
      <c r="K4570" s="11" t="s">
        <v>28</v>
      </c>
      <c r="L4570" s="11" t="s">
        <v>28</v>
      </c>
      <c r="M4570" s="11" t="s">
        <v>28</v>
      </c>
      <c r="N4570" s="8">
        <v>44391</v>
      </c>
      <c r="O4570" s="9" t="s">
        <v>173</v>
      </c>
      <c r="P4570" s="12" t="s">
        <v>28</v>
      </c>
      <c r="Q4570" s="9" t="s">
        <v>7449</v>
      </c>
      <c r="R4570" s="14" t="str">
        <f>HYPERLINK("https://my.pitchbook.com?c=176774-05T","View Company Online")</f>
        <v>View Company Online</v>
      </c>
    </row>
    <row r="4571" spans="1:18" hidden="1" x14ac:dyDescent="0.3">
      <c r="A4571" s="15" t="s">
        <v>14680</v>
      </c>
      <c r="B4571" s="15" t="s">
        <v>14681</v>
      </c>
      <c r="C4571" s="18" t="s">
        <v>28</v>
      </c>
      <c r="D4571" s="15" t="s">
        <v>14682</v>
      </c>
      <c r="E4571" s="18" t="s">
        <v>28</v>
      </c>
      <c r="F4571" s="19" t="s">
        <v>28</v>
      </c>
      <c r="G4571" s="19" t="s">
        <v>28</v>
      </c>
      <c r="H4571" s="19" t="s">
        <v>28</v>
      </c>
      <c r="I4571" s="18" t="s">
        <v>28</v>
      </c>
      <c r="J4571" s="18" t="s">
        <v>28</v>
      </c>
      <c r="K4571" s="18" t="s">
        <v>28</v>
      </c>
      <c r="L4571" s="18" t="s">
        <v>28</v>
      </c>
      <c r="M4571" s="18" t="s">
        <v>28</v>
      </c>
      <c r="N4571" s="17">
        <v>44391</v>
      </c>
      <c r="O4571" s="15" t="s">
        <v>30</v>
      </c>
      <c r="P4571" s="16" t="s">
        <v>14683</v>
      </c>
      <c r="Q4571" s="15" t="s">
        <v>85</v>
      </c>
      <c r="R4571" s="13" t="str">
        <f>HYPERLINK("https://my.pitchbook.com?c=176532-76T","View Company Online")</f>
        <v>View Company Online</v>
      </c>
    </row>
    <row r="4572" spans="1:18" hidden="1" x14ac:dyDescent="0.3">
      <c r="A4572" s="9" t="s">
        <v>14684</v>
      </c>
      <c r="B4572" s="9" t="s">
        <v>5986</v>
      </c>
      <c r="C4572" s="11" t="s">
        <v>28</v>
      </c>
      <c r="D4572" s="9" t="s">
        <v>5987</v>
      </c>
      <c r="E4572" s="11" t="s">
        <v>28</v>
      </c>
      <c r="F4572" s="10" t="s">
        <v>28</v>
      </c>
      <c r="G4572" s="10">
        <v>23.8</v>
      </c>
      <c r="H4572" s="10" t="s">
        <v>28</v>
      </c>
      <c r="I4572" s="11" t="s">
        <v>28</v>
      </c>
      <c r="J4572" s="11" t="s">
        <v>28</v>
      </c>
      <c r="K4572" s="11" t="s">
        <v>28</v>
      </c>
      <c r="L4572" s="11" t="s">
        <v>28</v>
      </c>
      <c r="M4572" s="11" t="s">
        <v>28</v>
      </c>
      <c r="N4572" s="8">
        <v>44391</v>
      </c>
      <c r="O4572" s="9" t="s">
        <v>99</v>
      </c>
      <c r="P4572" s="12" t="s">
        <v>14685</v>
      </c>
      <c r="Q4572" s="9" t="s">
        <v>1336</v>
      </c>
      <c r="R4572" s="14" t="str">
        <f>HYPERLINK("https://my.pitchbook.com?c=176453-11T","View Company Online")</f>
        <v>View Company Online</v>
      </c>
    </row>
    <row r="4573" spans="1:18" hidden="1" x14ac:dyDescent="0.3">
      <c r="A4573" s="15" t="s">
        <v>14686</v>
      </c>
      <c r="B4573" s="15" t="s">
        <v>14687</v>
      </c>
      <c r="C4573" s="18" t="s">
        <v>28</v>
      </c>
      <c r="D4573" s="15" t="s">
        <v>14688</v>
      </c>
      <c r="E4573" s="18" t="s">
        <v>28</v>
      </c>
      <c r="F4573" s="19" t="s">
        <v>28</v>
      </c>
      <c r="G4573" s="19" t="s">
        <v>28</v>
      </c>
      <c r="H4573" s="19" t="s">
        <v>28</v>
      </c>
      <c r="I4573" s="18" t="s">
        <v>28</v>
      </c>
      <c r="J4573" s="18" t="s">
        <v>28</v>
      </c>
      <c r="K4573" s="18" t="s">
        <v>28</v>
      </c>
      <c r="L4573" s="18" t="s">
        <v>28</v>
      </c>
      <c r="M4573" s="18" t="s">
        <v>28</v>
      </c>
      <c r="N4573" s="17">
        <v>44391</v>
      </c>
      <c r="O4573" s="15" t="s">
        <v>30</v>
      </c>
      <c r="P4573" s="16" t="s">
        <v>14689</v>
      </c>
      <c r="Q4573" s="15" t="s">
        <v>880</v>
      </c>
      <c r="R4573" s="13" t="str">
        <f>HYPERLINK("https://my.pitchbook.com?c=176644-63T","View Company Online")</f>
        <v>View Company Online</v>
      </c>
    </row>
    <row r="4574" spans="1:18" hidden="1" x14ac:dyDescent="0.3">
      <c r="A4574" s="9" t="s">
        <v>14690</v>
      </c>
      <c r="B4574" s="9" t="s">
        <v>6174</v>
      </c>
      <c r="C4574" s="11" t="s">
        <v>28</v>
      </c>
      <c r="D4574" s="9" t="s">
        <v>6175</v>
      </c>
      <c r="E4574" s="11" t="s">
        <v>28</v>
      </c>
      <c r="F4574" s="10" t="s">
        <v>28</v>
      </c>
      <c r="G4574" s="10" t="s">
        <v>28</v>
      </c>
      <c r="H4574" s="10" t="s">
        <v>28</v>
      </c>
      <c r="I4574" s="11" t="s">
        <v>28</v>
      </c>
      <c r="J4574" s="11" t="s">
        <v>28</v>
      </c>
      <c r="K4574" s="11" t="s">
        <v>28</v>
      </c>
      <c r="L4574" s="11" t="s">
        <v>28</v>
      </c>
      <c r="M4574" s="11" t="s">
        <v>28</v>
      </c>
      <c r="N4574" s="8">
        <v>44391</v>
      </c>
      <c r="O4574" s="9" t="s">
        <v>52</v>
      </c>
      <c r="P4574" s="12" t="s">
        <v>9723</v>
      </c>
      <c r="Q4574" s="9" t="s">
        <v>404</v>
      </c>
      <c r="R4574" s="14" t="str">
        <f>HYPERLINK("https://my.pitchbook.com?c=253819-27T","View Company Online")</f>
        <v>View Company Online</v>
      </c>
    </row>
    <row r="4575" spans="1:18" hidden="1" x14ac:dyDescent="0.3">
      <c r="A4575" s="15" t="s">
        <v>14691</v>
      </c>
      <c r="B4575" s="15" t="s">
        <v>1222</v>
      </c>
      <c r="C4575" s="18" t="s">
        <v>28</v>
      </c>
      <c r="D4575" s="15" t="s">
        <v>1223</v>
      </c>
      <c r="E4575" s="18" t="s">
        <v>28</v>
      </c>
      <c r="F4575" s="19" t="s">
        <v>28</v>
      </c>
      <c r="G4575" s="19" t="s">
        <v>28</v>
      </c>
      <c r="H4575" s="19" t="s">
        <v>28</v>
      </c>
      <c r="I4575" s="18" t="s">
        <v>28</v>
      </c>
      <c r="J4575" s="18" t="s">
        <v>28</v>
      </c>
      <c r="K4575" s="18" t="s">
        <v>28</v>
      </c>
      <c r="L4575" s="18" t="s">
        <v>28</v>
      </c>
      <c r="M4575" s="18" t="s">
        <v>28</v>
      </c>
      <c r="N4575" s="17">
        <v>44391</v>
      </c>
      <c r="O4575" s="15" t="s">
        <v>52</v>
      </c>
      <c r="P4575" s="16" t="s">
        <v>9723</v>
      </c>
      <c r="Q4575" s="15" t="s">
        <v>75</v>
      </c>
      <c r="R4575" s="13" t="str">
        <f>HYPERLINK("https://my.pitchbook.com?c=253786-42T","View Company Online")</f>
        <v>View Company Online</v>
      </c>
    </row>
    <row r="4576" spans="1:18" hidden="1" x14ac:dyDescent="0.3">
      <c r="A4576" s="9" t="s">
        <v>14692</v>
      </c>
      <c r="B4576" s="9" t="s">
        <v>14374</v>
      </c>
      <c r="C4576" s="11" t="s">
        <v>28</v>
      </c>
      <c r="D4576" s="9" t="s">
        <v>14693</v>
      </c>
      <c r="E4576" s="11">
        <v>-73.75</v>
      </c>
      <c r="F4576" s="10" t="s">
        <v>28</v>
      </c>
      <c r="G4576" s="10">
        <v>454.12</v>
      </c>
      <c r="H4576" s="10">
        <v>2593.4699999999998</v>
      </c>
      <c r="I4576" s="11">
        <v>70.23</v>
      </c>
      <c r="J4576" s="11">
        <v>36.93</v>
      </c>
      <c r="K4576" s="11">
        <v>241.45</v>
      </c>
      <c r="L4576" s="11">
        <v>10.74</v>
      </c>
      <c r="M4576" s="11">
        <v>-123.34</v>
      </c>
      <c r="N4576" s="8">
        <v>44391</v>
      </c>
      <c r="O4576" s="9" t="s">
        <v>173</v>
      </c>
      <c r="P4576" s="12" t="s">
        <v>28</v>
      </c>
      <c r="Q4576" s="9" t="s">
        <v>1068</v>
      </c>
      <c r="R4576" s="14" t="str">
        <f>HYPERLINK("https://my.pitchbook.com?c=177609-97T","View Company Online")</f>
        <v>View Company Online</v>
      </c>
    </row>
    <row r="4577" spans="1:18" hidden="1" x14ac:dyDescent="0.3">
      <c r="A4577" s="15" t="s">
        <v>14694</v>
      </c>
      <c r="B4577" s="15" t="s">
        <v>14695</v>
      </c>
      <c r="C4577" s="18" t="s">
        <v>28</v>
      </c>
      <c r="D4577" s="15" t="s">
        <v>14696</v>
      </c>
      <c r="E4577" s="18" t="s">
        <v>28</v>
      </c>
      <c r="F4577" s="19" t="s">
        <v>28</v>
      </c>
      <c r="G4577" s="19" t="s">
        <v>28</v>
      </c>
      <c r="H4577" s="19" t="s">
        <v>28</v>
      </c>
      <c r="I4577" s="18" t="s">
        <v>28</v>
      </c>
      <c r="J4577" s="18" t="s">
        <v>28</v>
      </c>
      <c r="K4577" s="18">
        <v>3.03</v>
      </c>
      <c r="L4577" s="18" t="s">
        <v>28</v>
      </c>
      <c r="M4577" s="18">
        <v>2.71</v>
      </c>
      <c r="N4577" s="17">
        <v>44390</v>
      </c>
      <c r="O4577" s="15" t="s">
        <v>173</v>
      </c>
      <c r="P4577" s="16" t="s">
        <v>28</v>
      </c>
      <c r="Q4577" s="15" t="s">
        <v>174</v>
      </c>
      <c r="R4577" s="13" t="str">
        <f>HYPERLINK("https://my.pitchbook.com?c=251352-64T","View Company Online")</f>
        <v>View Company Online</v>
      </c>
    </row>
    <row r="4578" spans="1:18" hidden="1" x14ac:dyDescent="0.3">
      <c r="A4578" s="9" t="s">
        <v>14697</v>
      </c>
      <c r="B4578" s="9" t="s">
        <v>3123</v>
      </c>
      <c r="C4578" s="11" t="s">
        <v>28</v>
      </c>
      <c r="D4578" s="9" t="s">
        <v>3124</v>
      </c>
      <c r="E4578" s="11" t="s">
        <v>28</v>
      </c>
      <c r="F4578" s="10" t="s">
        <v>28</v>
      </c>
      <c r="G4578" s="10">
        <v>1.3</v>
      </c>
      <c r="H4578" s="10" t="s">
        <v>28</v>
      </c>
      <c r="I4578" s="11" t="s">
        <v>28</v>
      </c>
      <c r="J4578" s="11" t="s">
        <v>28</v>
      </c>
      <c r="K4578" s="11" t="s">
        <v>28</v>
      </c>
      <c r="L4578" s="11" t="s">
        <v>28</v>
      </c>
      <c r="M4578" s="11" t="s">
        <v>28</v>
      </c>
      <c r="N4578" s="8">
        <v>44389</v>
      </c>
      <c r="O4578" s="9" t="s">
        <v>99</v>
      </c>
      <c r="P4578" s="12" t="s">
        <v>14698</v>
      </c>
      <c r="Q4578" s="9" t="s">
        <v>75</v>
      </c>
      <c r="R4578" s="14" t="str">
        <f>HYPERLINK("https://my.pitchbook.com?c=176311-99T","View Company Online")</f>
        <v>View Company Online</v>
      </c>
    </row>
    <row r="4579" spans="1:18" hidden="1" x14ac:dyDescent="0.3">
      <c r="A4579" s="15" t="s">
        <v>14699</v>
      </c>
      <c r="B4579" s="15" t="s">
        <v>14700</v>
      </c>
      <c r="C4579" s="18" t="s">
        <v>28</v>
      </c>
      <c r="D4579" s="15" t="s">
        <v>14701</v>
      </c>
      <c r="E4579" s="18" t="s">
        <v>28</v>
      </c>
      <c r="F4579" s="19" t="s">
        <v>28</v>
      </c>
      <c r="G4579" s="19">
        <v>19.77</v>
      </c>
      <c r="H4579" s="19" t="s">
        <v>28</v>
      </c>
      <c r="I4579" s="18" t="s">
        <v>28</v>
      </c>
      <c r="J4579" s="18" t="s">
        <v>28</v>
      </c>
      <c r="K4579" s="18" t="s">
        <v>28</v>
      </c>
      <c r="L4579" s="18" t="s">
        <v>28</v>
      </c>
      <c r="M4579" s="18" t="s">
        <v>28</v>
      </c>
      <c r="N4579" s="17">
        <v>44389</v>
      </c>
      <c r="O4579" s="15" t="s">
        <v>79</v>
      </c>
      <c r="P4579" s="16" t="s">
        <v>14702</v>
      </c>
      <c r="Q4579" s="15" t="s">
        <v>75</v>
      </c>
      <c r="R4579" s="13" t="str">
        <f>HYPERLINK("https://my.pitchbook.com?c=188824-51T","View Company Online")</f>
        <v>View Company Online</v>
      </c>
    </row>
    <row r="4580" spans="1:18" hidden="1" x14ac:dyDescent="0.3">
      <c r="A4580" s="9" t="s">
        <v>14703</v>
      </c>
      <c r="B4580" s="9" t="s">
        <v>14704</v>
      </c>
      <c r="C4580" s="11" t="s">
        <v>28</v>
      </c>
      <c r="D4580" s="9" t="s">
        <v>14705</v>
      </c>
      <c r="E4580" s="11" t="s">
        <v>28</v>
      </c>
      <c r="F4580" s="10" t="s">
        <v>28</v>
      </c>
      <c r="G4580" s="10" t="s">
        <v>28</v>
      </c>
      <c r="H4580" s="10" t="s">
        <v>28</v>
      </c>
      <c r="I4580" s="11" t="s">
        <v>28</v>
      </c>
      <c r="J4580" s="11" t="s">
        <v>28</v>
      </c>
      <c r="K4580" s="11" t="s">
        <v>28</v>
      </c>
      <c r="L4580" s="11" t="s">
        <v>28</v>
      </c>
      <c r="M4580" s="11" t="s">
        <v>28</v>
      </c>
      <c r="N4580" s="8">
        <v>44389</v>
      </c>
      <c r="O4580" s="9" t="s">
        <v>30</v>
      </c>
      <c r="P4580" s="12" t="s">
        <v>14706</v>
      </c>
      <c r="Q4580" s="9" t="s">
        <v>69</v>
      </c>
      <c r="R4580" s="14" t="str">
        <f>HYPERLINK("https://my.pitchbook.com?c=220126-96T","View Company Online")</f>
        <v>View Company Online</v>
      </c>
    </row>
    <row r="4581" spans="1:18" hidden="1" x14ac:dyDescent="0.3">
      <c r="A4581" s="15" t="s">
        <v>14707</v>
      </c>
      <c r="B4581" s="15" t="s">
        <v>14708</v>
      </c>
      <c r="C4581" s="18" t="s">
        <v>28</v>
      </c>
      <c r="D4581" s="15" t="s">
        <v>14709</v>
      </c>
      <c r="E4581" s="18">
        <v>79.41</v>
      </c>
      <c r="F4581" s="19" t="s">
        <v>28</v>
      </c>
      <c r="G4581" s="19" t="s">
        <v>28</v>
      </c>
      <c r="H4581" s="19" t="s">
        <v>28</v>
      </c>
      <c r="I4581" s="18">
        <v>83.53</v>
      </c>
      <c r="J4581" s="18" t="s">
        <v>28</v>
      </c>
      <c r="K4581" s="18">
        <v>710.59</v>
      </c>
      <c r="L4581" s="18" t="s">
        <v>28</v>
      </c>
      <c r="M4581" s="18">
        <v>69.290000000000006</v>
      </c>
      <c r="N4581" s="17">
        <v>44389</v>
      </c>
      <c r="O4581" s="15" t="s">
        <v>173</v>
      </c>
      <c r="P4581" s="16" t="s">
        <v>28</v>
      </c>
      <c r="Q4581" s="15" t="s">
        <v>69</v>
      </c>
      <c r="R4581" s="13" t="str">
        <f>HYPERLINK("https://my.pitchbook.com?c=227420-02T","View Company Online")</f>
        <v>View Company Online</v>
      </c>
    </row>
    <row r="4582" spans="1:18" hidden="1" x14ac:dyDescent="0.3">
      <c r="A4582" s="9" t="s">
        <v>14710</v>
      </c>
      <c r="B4582" s="9" t="s">
        <v>6062</v>
      </c>
      <c r="C4582" s="11" t="s">
        <v>28</v>
      </c>
      <c r="D4582" s="9" t="s">
        <v>6063</v>
      </c>
      <c r="E4582" s="11" t="s">
        <v>28</v>
      </c>
      <c r="F4582" s="10" t="s">
        <v>28</v>
      </c>
      <c r="G4582" s="10" t="s">
        <v>28</v>
      </c>
      <c r="H4582" s="10" t="s">
        <v>28</v>
      </c>
      <c r="I4582" s="11" t="s">
        <v>28</v>
      </c>
      <c r="J4582" s="11" t="s">
        <v>28</v>
      </c>
      <c r="K4582" s="11" t="s">
        <v>28</v>
      </c>
      <c r="L4582" s="11" t="s">
        <v>28</v>
      </c>
      <c r="M4582" s="11" t="s">
        <v>28</v>
      </c>
      <c r="N4582" s="8">
        <v>44388</v>
      </c>
      <c r="O4582" s="9" t="s">
        <v>52</v>
      </c>
      <c r="P4582" s="12" t="s">
        <v>14711</v>
      </c>
      <c r="Q4582" s="9" t="s">
        <v>75</v>
      </c>
      <c r="R4582" s="14" t="str">
        <f>HYPERLINK("https://my.pitchbook.com?c=177954-76T","View Company Online")</f>
        <v>View Company Online</v>
      </c>
    </row>
    <row r="4583" spans="1:18" hidden="1" x14ac:dyDescent="0.3">
      <c r="A4583" s="15" t="s">
        <v>14712</v>
      </c>
      <c r="B4583" s="15" t="s">
        <v>3304</v>
      </c>
      <c r="C4583" s="18" t="s">
        <v>28</v>
      </c>
      <c r="D4583" s="15" t="s">
        <v>3305</v>
      </c>
      <c r="E4583" s="18" t="s">
        <v>28</v>
      </c>
      <c r="F4583" s="19" t="s">
        <v>28</v>
      </c>
      <c r="G4583" s="19">
        <v>49.48</v>
      </c>
      <c r="H4583" s="19" t="s">
        <v>28</v>
      </c>
      <c r="I4583" s="18" t="s">
        <v>28</v>
      </c>
      <c r="J4583" s="18" t="s">
        <v>28</v>
      </c>
      <c r="K4583" s="18">
        <v>149.69999999999999</v>
      </c>
      <c r="L4583" s="18" t="s">
        <v>28</v>
      </c>
      <c r="M4583" s="18" t="s">
        <v>28</v>
      </c>
      <c r="N4583" s="17">
        <v>44388</v>
      </c>
      <c r="O4583" s="15" t="s">
        <v>93</v>
      </c>
      <c r="P4583" s="16" t="s">
        <v>14713</v>
      </c>
      <c r="Q4583" s="15" t="s">
        <v>114</v>
      </c>
      <c r="R4583" s="13" t="str">
        <f>HYPERLINK("https://my.pitchbook.com?c=176294-44T","View Company Online")</f>
        <v>View Company Online</v>
      </c>
    </row>
    <row r="4584" spans="1:18" hidden="1" x14ac:dyDescent="0.3">
      <c r="A4584" s="9" t="s">
        <v>14714</v>
      </c>
      <c r="B4584" s="9" t="s">
        <v>14715</v>
      </c>
      <c r="C4584" s="11" t="s">
        <v>28</v>
      </c>
      <c r="D4584" s="9" t="s">
        <v>14716</v>
      </c>
      <c r="E4584" s="11" t="s">
        <v>28</v>
      </c>
      <c r="F4584" s="10" t="s">
        <v>28</v>
      </c>
      <c r="G4584" s="10" t="s">
        <v>28</v>
      </c>
      <c r="H4584" s="10" t="s">
        <v>28</v>
      </c>
      <c r="I4584" s="11" t="s">
        <v>28</v>
      </c>
      <c r="J4584" s="11" t="s">
        <v>28</v>
      </c>
      <c r="K4584" s="11" t="s">
        <v>28</v>
      </c>
      <c r="L4584" s="11" t="s">
        <v>28</v>
      </c>
      <c r="M4584" s="11" t="s">
        <v>28</v>
      </c>
      <c r="N4584" s="8">
        <v>44386</v>
      </c>
      <c r="O4584" s="9" t="s">
        <v>30</v>
      </c>
      <c r="P4584" s="12" t="s">
        <v>14717</v>
      </c>
      <c r="Q4584" s="9" t="s">
        <v>362</v>
      </c>
      <c r="R4584" s="14" t="str">
        <f>HYPERLINK("https://my.pitchbook.com?c=223846-93T","View Company Online")</f>
        <v>View Company Online</v>
      </c>
    </row>
    <row r="4585" spans="1:18" hidden="1" x14ac:dyDescent="0.3">
      <c r="A4585" s="15" t="s">
        <v>14718</v>
      </c>
      <c r="B4585" s="15" t="s">
        <v>14719</v>
      </c>
      <c r="C4585" s="18" t="s">
        <v>28</v>
      </c>
      <c r="D4585" s="15" t="s">
        <v>14720</v>
      </c>
      <c r="E4585" s="18" t="s">
        <v>28</v>
      </c>
      <c r="F4585" s="19" t="s">
        <v>28</v>
      </c>
      <c r="G4585" s="19">
        <v>40.880000000000003</v>
      </c>
      <c r="H4585" s="19" t="s">
        <v>28</v>
      </c>
      <c r="I4585" s="18" t="s">
        <v>28</v>
      </c>
      <c r="J4585" s="18" t="s">
        <v>28</v>
      </c>
      <c r="K4585" s="18" t="s">
        <v>28</v>
      </c>
      <c r="L4585" s="18" t="s">
        <v>28</v>
      </c>
      <c r="M4585" s="18" t="s">
        <v>28</v>
      </c>
      <c r="N4585" s="17">
        <v>44386</v>
      </c>
      <c r="O4585" s="15" t="s">
        <v>58</v>
      </c>
      <c r="P4585" s="16" t="s">
        <v>28</v>
      </c>
      <c r="Q4585" s="15" t="s">
        <v>169</v>
      </c>
      <c r="R4585" s="13" t="str">
        <f>HYPERLINK("https://my.pitchbook.com?c=176266-09T","View Company Online")</f>
        <v>View Company Online</v>
      </c>
    </row>
    <row r="4586" spans="1:18" hidden="1" x14ac:dyDescent="0.3">
      <c r="A4586" s="9" t="s">
        <v>14721</v>
      </c>
      <c r="B4586" s="9" t="s">
        <v>14719</v>
      </c>
      <c r="C4586" s="11" t="s">
        <v>28</v>
      </c>
      <c r="D4586" s="9" t="s">
        <v>14720</v>
      </c>
      <c r="E4586" s="11" t="s">
        <v>28</v>
      </c>
      <c r="F4586" s="10" t="s">
        <v>28</v>
      </c>
      <c r="G4586" s="10" t="s">
        <v>28</v>
      </c>
      <c r="H4586" s="10" t="s">
        <v>28</v>
      </c>
      <c r="I4586" s="11" t="s">
        <v>28</v>
      </c>
      <c r="J4586" s="11" t="s">
        <v>28</v>
      </c>
      <c r="K4586" s="11" t="s">
        <v>28</v>
      </c>
      <c r="L4586" s="11" t="s">
        <v>28</v>
      </c>
      <c r="M4586" s="11" t="s">
        <v>28</v>
      </c>
      <c r="N4586" s="8">
        <v>44386</v>
      </c>
      <c r="O4586" s="9" t="s">
        <v>30</v>
      </c>
      <c r="P4586" s="12" t="s">
        <v>28</v>
      </c>
      <c r="Q4586" s="9" t="s">
        <v>169</v>
      </c>
      <c r="R4586" s="14" t="str">
        <f>HYPERLINK("https://my.pitchbook.com?c=176266-27T","View Company Online")</f>
        <v>View Company Online</v>
      </c>
    </row>
    <row r="4587" spans="1:18" hidden="1" x14ac:dyDescent="0.3">
      <c r="A4587" s="15" t="s">
        <v>14722</v>
      </c>
      <c r="B4587" s="15" t="s">
        <v>14723</v>
      </c>
      <c r="C4587" s="18" t="s">
        <v>28</v>
      </c>
      <c r="D4587" s="15" t="s">
        <v>14724</v>
      </c>
      <c r="E4587" s="18" t="s">
        <v>28</v>
      </c>
      <c r="F4587" s="19" t="s">
        <v>28</v>
      </c>
      <c r="G4587" s="19" t="s">
        <v>28</v>
      </c>
      <c r="H4587" s="19" t="s">
        <v>28</v>
      </c>
      <c r="I4587" s="18" t="s">
        <v>28</v>
      </c>
      <c r="J4587" s="18" t="s">
        <v>28</v>
      </c>
      <c r="K4587" s="18" t="s">
        <v>28</v>
      </c>
      <c r="L4587" s="18" t="s">
        <v>28</v>
      </c>
      <c r="M4587" s="18" t="s">
        <v>28</v>
      </c>
      <c r="N4587" s="17">
        <v>44385</v>
      </c>
      <c r="O4587" s="15" t="s">
        <v>30</v>
      </c>
      <c r="P4587" s="16" t="s">
        <v>5144</v>
      </c>
      <c r="Q4587" s="15" t="s">
        <v>37</v>
      </c>
      <c r="R4587" s="13" t="str">
        <f>HYPERLINK("https://my.pitchbook.com?c=210845-89T","View Company Online")</f>
        <v>View Company Online</v>
      </c>
    </row>
    <row r="4588" spans="1:18" hidden="1" x14ac:dyDescent="0.3">
      <c r="A4588" s="9" t="s">
        <v>14725</v>
      </c>
      <c r="B4588" s="9" t="s">
        <v>6212</v>
      </c>
      <c r="C4588" s="11" t="s">
        <v>28</v>
      </c>
      <c r="D4588" s="9" t="s">
        <v>6213</v>
      </c>
      <c r="E4588" s="11" t="s">
        <v>28</v>
      </c>
      <c r="F4588" s="10" t="s">
        <v>28</v>
      </c>
      <c r="G4588" s="10">
        <v>0.64</v>
      </c>
      <c r="H4588" s="10" t="s">
        <v>28</v>
      </c>
      <c r="I4588" s="11" t="s">
        <v>28</v>
      </c>
      <c r="J4588" s="11" t="s">
        <v>28</v>
      </c>
      <c r="K4588" s="11" t="s">
        <v>28</v>
      </c>
      <c r="L4588" s="11" t="s">
        <v>28</v>
      </c>
      <c r="M4588" s="11" t="s">
        <v>28</v>
      </c>
      <c r="N4588" s="8">
        <v>44385</v>
      </c>
      <c r="O4588" s="9" t="s">
        <v>99</v>
      </c>
      <c r="P4588" s="12" t="s">
        <v>14726</v>
      </c>
      <c r="Q4588" s="9" t="s">
        <v>414</v>
      </c>
      <c r="R4588" s="14" t="str">
        <f>HYPERLINK("https://my.pitchbook.com?c=177963-94T","View Company Online")</f>
        <v>View Company Online</v>
      </c>
    </row>
    <row r="4589" spans="1:18" hidden="1" x14ac:dyDescent="0.3">
      <c r="A4589" s="15" t="s">
        <v>14727</v>
      </c>
      <c r="B4589" s="15" t="s">
        <v>11135</v>
      </c>
      <c r="C4589" s="18" t="s">
        <v>28</v>
      </c>
      <c r="D4589" s="15" t="s">
        <v>11136</v>
      </c>
      <c r="E4589" s="18" t="s">
        <v>28</v>
      </c>
      <c r="F4589" s="19" t="s">
        <v>28</v>
      </c>
      <c r="G4589" s="19">
        <v>0.06</v>
      </c>
      <c r="H4589" s="19" t="s">
        <v>28</v>
      </c>
      <c r="I4589" s="18" t="s">
        <v>28</v>
      </c>
      <c r="J4589" s="18" t="s">
        <v>28</v>
      </c>
      <c r="K4589" s="18">
        <v>0.01</v>
      </c>
      <c r="L4589" s="18" t="s">
        <v>28</v>
      </c>
      <c r="M4589" s="18">
        <v>-0.05</v>
      </c>
      <c r="N4589" s="17">
        <v>44385</v>
      </c>
      <c r="O4589" s="15" t="s">
        <v>73</v>
      </c>
      <c r="P4589" s="16" t="s">
        <v>14728</v>
      </c>
      <c r="Q4589" s="15" t="s">
        <v>37</v>
      </c>
      <c r="R4589" s="13" t="str">
        <f>HYPERLINK("https://my.pitchbook.com?c=176098-87T","View Company Online")</f>
        <v>View Company Online</v>
      </c>
    </row>
    <row r="4590" spans="1:18" hidden="1" x14ac:dyDescent="0.3">
      <c r="A4590" s="9" t="s">
        <v>14729</v>
      </c>
      <c r="B4590" s="9" t="s">
        <v>14730</v>
      </c>
      <c r="C4590" s="11" t="s">
        <v>28</v>
      </c>
      <c r="D4590" s="9" t="s">
        <v>14731</v>
      </c>
      <c r="E4590" s="11" t="s">
        <v>28</v>
      </c>
      <c r="F4590" s="10" t="s">
        <v>28</v>
      </c>
      <c r="G4590" s="10" t="s">
        <v>28</v>
      </c>
      <c r="H4590" s="10" t="s">
        <v>28</v>
      </c>
      <c r="I4590" s="11" t="s">
        <v>28</v>
      </c>
      <c r="J4590" s="11" t="s">
        <v>28</v>
      </c>
      <c r="K4590" s="11" t="s">
        <v>28</v>
      </c>
      <c r="L4590" s="11" t="s">
        <v>28</v>
      </c>
      <c r="M4590" s="11" t="s">
        <v>28</v>
      </c>
      <c r="N4590" s="8">
        <v>44385</v>
      </c>
      <c r="O4590" s="9" t="s">
        <v>30</v>
      </c>
      <c r="P4590" s="12" t="s">
        <v>14732</v>
      </c>
      <c r="Q4590" s="9" t="s">
        <v>290</v>
      </c>
      <c r="R4590" s="14" t="str">
        <f>HYPERLINK("https://my.pitchbook.com?c=212005-81T","View Company Online")</f>
        <v>View Company Online</v>
      </c>
    </row>
    <row r="4591" spans="1:18" hidden="1" x14ac:dyDescent="0.3">
      <c r="A4591" s="15" t="s">
        <v>14733</v>
      </c>
      <c r="B4591" s="15" t="s">
        <v>14734</v>
      </c>
      <c r="C4591" s="18" t="s">
        <v>28</v>
      </c>
      <c r="D4591" s="15" t="s">
        <v>14735</v>
      </c>
      <c r="E4591" s="18" t="s">
        <v>28</v>
      </c>
      <c r="F4591" s="19" t="s">
        <v>28</v>
      </c>
      <c r="G4591" s="19" t="s">
        <v>28</v>
      </c>
      <c r="H4591" s="19" t="s">
        <v>28</v>
      </c>
      <c r="I4591" s="18" t="s">
        <v>28</v>
      </c>
      <c r="J4591" s="18" t="s">
        <v>28</v>
      </c>
      <c r="K4591" s="18" t="s">
        <v>28</v>
      </c>
      <c r="L4591" s="18" t="s">
        <v>28</v>
      </c>
      <c r="M4591" s="18" t="s">
        <v>28</v>
      </c>
      <c r="N4591" s="17">
        <v>44385</v>
      </c>
      <c r="O4591" s="15" t="s">
        <v>30</v>
      </c>
      <c r="P4591" s="16" t="s">
        <v>14736</v>
      </c>
      <c r="Q4591" s="15" t="s">
        <v>616</v>
      </c>
      <c r="R4591" s="13" t="str">
        <f>HYPERLINK("https://my.pitchbook.com?c=174960-10T","View Company Online")</f>
        <v>View Company Online</v>
      </c>
    </row>
    <row r="4592" spans="1:18" hidden="1" x14ac:dyDescent="0.3">
      <c r="A4592" s="9" t="s">
        <v>14737</v>
      </c>
      <c r="B4592" s="9" t="s">
        <v>14738</v>
      </c>
      <c r="C4592" s="11" t="s">
        <v>28</v>
      </c>
      <c r="D4592" s="9" t="s">
        <v>14739</v>
      </c>
      <c r="E4592" s="11" t="s">
        <v>28</v>
      </c>
      <c r="F4592" s="10" t="s">
        <v>28</v>
      </c>
      <c r="G4592" s="10" t="s">
        <v>28</v>
      </c>
      <c r="H4592" s="10" t="s">
        <v>28</v>
      </c>
      <c r="I4592" s="11" t="s">
        <v>28</v>
      </c>
      <c r="J4592" s="11" t="s">
        <v>28</v>
      </c>
      <c r="K4592" s="11" t="s">
        <v>28</v>
      </c>
      <c r="L4592" s="11" t="s">
        <v>28</v>
      </c>
      <c r="M4592" s="11" t="s">
        <v>28</v>
      </c>
      <c r="N4592" s="8">
        <v>44385</v>
      </c>
      <c r="O4592" s="9" t="s">
        <v>30</v>
      </c>
      <c r="P4592" s="12" t="s">
        <v>14740</v>
      </c>
      <c r="Q4592" s="9" t="s">
        <v>855</v>
      </c>
      <c r="R4592" s="14" t="str">
        <f>HYPERLINK("https://my.pitchbook.com?c=210274-57T","View Company Online")</f>
        <v>View Company Online</v>
      </c>
    </row>
    <row r="4593" spans="1:18" hidden="1" x14ac:dyDescent="0.3">
      <c r="A4593" s="15" t="s">
        <v>14741</v>
      </c>
      <c r="B4593" s="15" t="s">
        <v>4470</v>
      </c>
      <c r="C4593" s="18" t="s">
        <v>28</v>
      </c>
      <c r="D4593" s="15" t="s">
        <v>4471</v>
      </c>
      <c r="E4593" s="18" t="s">
        <v>28</v>
      </c>
      <c r="F4593" s="19" t="s">
        <v>28</v>
      </c>
      <c r="G4593" s="19">
        <v>10.3</v>
      </c>
      <c r="H4593" s="19" t="s">
        <v>28</v>
      </c>
      <c r="I4593" s="18" t="s">
        <v>28</v>
      </c>
      <c r="J4593" s="18" t="s">
        <v>28</v>
      </c>
      <c r="K4593" s="18" t="s">
        <v>28</v>
      </c>
      <c r="L4593" s="18" t="s">
        <v>28</v>
      </c>
      <c r="M4593" s="18" t="s">
        <v>28</v>
      </c>
      <c r="N4593" s="17">
        <v>44385</v>
      </c>
      <c r="O4593" s="15" t="s">
        <v>79</v>
      </c>
      <c r="P4593" s="16" t="s">
        <v>14742</v>
      </c>
      <c r="Q4593" s="15" t="s">
        <v>75</v>
      </c>
      <c r="R4593" s="13" t="str">
        <f>HYPERLINK("https://my.pitchbook.com?c=177926-41T","View Company Online")</f>
        <v>View Company Online</v>
      </c>
    </row>
    <row r="4594" spans="1:18" hidden="1" x14ac:dyDescent="0.3">
      <c r="A4594" s="9" t="s">
        <v>14743</v>
      </c>
      <c r="B4594" s="9" t="s">
        <v>14744</v>
      </c>
      <c r="C4594" s="11" t="s">
        <v>28</v>
      </c>
      <c r="D4594" s="9" t="s">
        <v>14745</v>
      </c>
      <c r="E4594" s="11" t="s">
        <v>28</v>
      </c>
      <c r="F4594" s="10" t="s">
        <v>28</v>
      </c>
      <c r="G4594" s="10" t="s">
        <v>28</v>
      </c>
      <c r="H4594" s="10" t="s">
        <v>28</v>
      </c>
      <c r="I4594" s="11" t="s">
        <v>28</v>
      </c>
      <c r="J4594" s="11" t="s">
        <v>28</v>
      </c>
      <c r="K4594" s="11" t="s">
        <v>28</v>
      </c>
      <c r="L4594" s="11" t="s">
        <v>28</v>
      </c>
      <c r="M4594" s="11" t="s">
        <v>28</v>
      </c>
      <c r="N4594" s="8">
        <v>44385</v>
      </c>
      <c r="O4594" s="9" t="s">
        <v>58</v>
      </c>
      <c r="P4594" s="12" t="s">
        <v>28</v>
      </c>
      <c r="Q4594" s="9" t="s">
        <v>136</v>
      </c>
      <c r="R4594" s="14" t="str">
        <f>HYPERLINK("https://my.pitchbook.com?c=211924-63T","View Company Online")</f>
        <v>View Company Online</v>
      </c>
    </row>
    <row r="4595" spans="1:18" hidden="1" x14ac:dyDescent="0.3">
      <c r="A4595" s="15" t="s">
        <v>14746</v>
      </c>
      <c r="B4595" s="15" t="s">
        <v>2630</v>
      </c>
      <c r="C4595" s="18" t="s">
        <v>28</v>
      </c>
      <c r="D4595" s="15" t="s">
        <v>2631</v>
      </c>
      <c r="E4595" s="18" t="s">
        <v>28</v>
      </c>
      <c r="F4595" s="19" t="s">
        <v>28</v>
      </c>
      <c r="G4595" s="19">
        <v>1.59</v>
      </c>
      <c r="H4595" s="19" t="s">
        <v>28</v>
      </c>
      <c r="I4595" s="18" t="s">
        <v>28</v>
      </c>
      <c r="J4595" s="18" t="s">
        <v>28</v>
      </c>
      <c r="K4595" s="18" t="s">
        <v>28</v>
      </c>
      <c r="L4595" s="18" t="s">
        <v>28</v>
      </c>
      <c r="M4595" s="18" t="s">
        <v>28</v>
      </c>
      <c r="N4595" s="17">
        <v>44385</v>
      </c>
      <c r="O4595" s="15" t="s">
        <v>73</v>
      </c>
      <c r="P4595" s="16" t="s">
        <v>14747</v>
      </c>
      <c r="Q4595" s="15" t="s">
        <v>75</v>
      </c>
      <c r="R4595" s="13" t="str">
        <f>HYPERLINK("https://my.pitchbook.com?c=176097-88T","View Company Online")</f>
        <v>View Company Online</v>
      </c>
    </row>
    <row r="4596" spans="1:18" hidden="1" x14ac:dyDescent="0.3">
      <c r="A4596" s="9" t="s">
        <v>14748</v>
      </c>
      <c r="B4596" s="9" t="s">
        <v>14749</v>
      </c>
      <c r="C4596" s="11" t="s">
        <v>28</v>
      </c>
      <c r="D4596" s="9" t="s">
        <v>14750</v>
      </c>
      <c r="E4596" s="11" t="s">
        <v>28</v>
      </c>
      <c r="F4596" s="10" t="s">
        <v>28</v>
      </c>
      <c r="G4596" s="10" t="s">
        <v>28</v>
      </c>
      <c r="H4596" s="10" t="s">
        <v>28</v>
      </c>
      <c r="I4596" s="11" t="s">
        <v>28</v>
      </c>
      <c r="J4596" s="11" t="s">
        <v>28</v>
      </c>
      <c r="K4596" s="11" t="s">
        <v>28</v>
      </c>
      <c r="L4596" s="11" t="s">
        <v>28</v>
      </c>
      <c r="M4596" s="11" t="s">
        <v>28</v>
      </c>
      <c r="N4596" s="8">
        <v>44385</v>
      </c>
      <c r="O4596" s="9" t="s">
        <v>30</v>
      </c>
      <c r="P4596" s="12" t="s">
        <v>14751</v>
      </c>
      <c r="Q4596" s="9" t="s">
        <v>583</v>
      </c>
      <c r="R4596" s="14" t="str">
        <f>HYPERLINK("https://my.pitchbook.com?c=212117-68T","View Company Online")</f>
        <v>View Company Online</v>
      </c>
    </row>
    <row r="4597" spans="1:18" hidden="1" x14ac:dyDescent="0.3">
      <c r="A4597" s="15" t="s">
        <v>14752</v>
      </c>
      <c r="B4597" s="15" t="s">
        <v>14753</v>
      </c>
      <c r="C4597" s="18" t="s">
        <v>28</v>
      </c>
      <c r="D4597" s="15" t="s">
        <v>14754</v>
      </c>
      <c r="E4597" s="18" t="s">
        <v>28</v>
      </c>
      <c r="F4597" s="19" t="s">
        <v>28</v>
      </c>
      <c r="G4597" s="19" t="s">
        <v>28</v>
      </c>
      <c r="H4597" s="19" t="s">
        <v>28</v>
      </c>
      <c r="I4597" s="18" t="s">
        <v>28</v>
      </c>
      <c r="J4597" s="18" t="s">
        <v>28</v>
      </c>
      <c r="K4597" s="18" t="s">
        <v>28</v>
      </c>
      <c r="L4597" s="18" t="s">
        <v>28</v>
      </c>
      <c r="M4597" s="18" t="s">
        <v>28</v>
      </c>
      <c r="N4597" s="17">
        <v>44385</v>
      </c>
      <c r="O4597" s="15" t="s">
        <v>30</v>
      </c>
      <c r="P4597" s="16" t="s">
        <v>14755</v>
      </c>
      <c r="Q4597" s="15" t="s">
        <v>245</v>
      </c>
      <c r="R4597" s="13" t="str">
        <f>HYPERLINK("https://my.pitchbook.com?c=212118-31T","View Company Online")</f>
        <v>View Company Online</v>
      </c>
    </row>
    <row r="4598" spans="1:18" hidden="1" x14ac:dyDescent="0.3">
      <c r="A4598" s="9" t="s">
        <v>14756</v>
      </c>
      <c r="B4598" s="9" t="s">
        <v>14757</v>
      </c>
      <c r="C4598" s="11" t="s">
        <v>28</v>
      </c>
      <c r="D4598" s="9" t="s">
        <v>14758</v>
      </c>
      <c r="E4598" s="11" t="s">
        <v>28</v>
      </c>
      <c r="F4598" s="10" t="s">
        <v>28</v>
      </c>
      <c r="G4598" s="10" t="s">
        <v>28</v>
      </c>
      <c r="H4598" s="10" t="s">
        <v>28</v>
      </c>
      <c r="I4598" s="11" t="s">
        <v>28</v>
      </c>
      <c r="J4598" s="11" t="s">
        <v>28</v>
      </c>
      <c r="K4598" s="11">
        <v>0.55000000000000004</v>
      </c>
      <c r="L4598" s="11" t="s">
        <v>28</v>
      </c>
      <c r="M4598" s="11">
        <v>0.4</v>
      </c>
      <c r="N4598" s="8">
        <v>44385</v>
      </c>
      <c r="O4598" s="9" t="s">
        <v>173</v>
      </c>
      <c r="P4598" s="12" t="s">
        <v>28</v>
      </c>
      <c r="Q4598" s="9" t="s">
        <v>174</v>
      </c>
      <c r="R4598" s="14" t="str">
        <f>HYPERLINK("https://my.pitchbook.com?c=251094-88T","View Company Online")</f>
        <v>View Company Online</v>
      </c>
    </row>
    <row r="4599" spans="1:18" hidden="1" x14ac:dyDescent="0.3">
      <c r="A4599" s="15" t="s">
        <v>14759</v>
      </c>
      <c r="B4599" s="15" t="s">
        <v>14760</v>
      </c>
      <c r="C4599" s="18" t="s">
        <v>28</v>
      </c>
      <c r="D4599" s="15" t="s">
        <v>14761</v>
      </c>
      <c r="E4599" s="18" t="s">
        <v>28</v>
      </c>
      <c r="F4599" s="19" t="s">
        <v>28</v>
      </c>
      <c r="G4599" s="19" t="s">
        <v>28</v>
      </c>
      <c r="H4599" s="19" t="s">
        <v>28</v>
      </c>
      <c r="I4599" s="18" t="s">
        <v>28</v>
      </c>
      <c r="J4599" s="18" t="s">
        <v>28</v>
      </c>
      <c r="K4599" s="18" t="s">
        <v>28</v>
      </c>
      <c r="L4599" s="18" t="s">
        <v>28</v>
      </c>
      <c r="M4599" s="18" t="s">
        <v>28</v>
      </c>
      <c r="N4599" s="17">
        <v>44384</v>
      </c>
      <c r="O4599" s="15" t="s">
        <v>41</v>
      </c>
      <c r="P4599" s="16" t="s">
        <v>14762</v>
      </c>
      <c r="Q4599" s="15" t="s">
        <v>75</v>
      </c>
      <c r="R4599" s="13" t="str">
        <f>HYPERLINK("https://my.pitchbook.com?c=223465-87T","View Company Online")</f>
        <v>View Company Online</v>
      </c>
    </row>
    <row r="4600" spans="1:18" hidden="1" x14ac:dyDescent="0.3">
      <c r="A4600" s="9" t="s">
        <v>14763</v>
      </c>
      <c r="B4600" s="9" t="s">
        <v>14764</v>
      </c>
      <c r="C4600" s="11" t="s">
        <v>28</v>
      </c>
      <c r="D4600" s="9" t="s">
        <v>14765</v>
      </c>
      <c r="E4600" s="11" t="s">
        <v>28</v>
      </c>
      <c r="F4600" s="10" t="s">
        <v>28</v>
      </c>
      <c r="G4600" s="10" t="s">
        <v>28</v>
      </c>
      <c r="H4600" s="10" t="s">
        <v>28</v>
      </c>
      <c r="I4600" s="11" t="s">
        <v>28</v>
      </c>
      <c r="J4600" s="11" t="s">
        <v>28</v>
      </c>
      <c r="K4600" s="11" t="s">
        <v>28</v>
      </c>
      <c r="L4600" s="11" t="s">
        <v>28</v>
      </c>
      <c r="M4600" s="11" t="s">
        <v>28</v>
      </c>
      <c r="N4600" s="8">
        <v>44384</v>
      </c>
      <c r="O4600" s="9" t="s">
        <v>41</v>
      </c>
      <c r="P4600" s="12" t="s">
        <v>14766</v>
      </c>
      <c r="Q4600" s="9" t="s">
        <v>290</v>
      </c>
      <c r="R4600" s="14" t="str">
        <f>HYPERLINK("https://my.pitchbook.com?c=175986-82T","View Company Online")</f>
        <v>View Company Online</v>
      </c>
    </row>
    <row r="4601" spans="1:18" hidden="1" x14ac:dyDescent="0.3">
      <c r="A4601" s="15" t="s">
        <v>14767</v>
      </c>
      <c r="B4601" s="15" t="s">
        <v>14768</v>
      </c>
      <c r="C4601" s="18" t="s">
        <v>28</v>
      </c>
      <c r="D4601" s="15" t="s">
        <v>14769</v>
      </c>
      <c r="E4601" s="18" t="s">
        <v>28</v>
      </c>
      <c r="F4601" s="19" t="s">
        <v>28</v>
      </c>
      <c r="G4601" s="19" t="s">
        <v>28</v>
      </c>
      <c r="H4601" s="19" t="s">
        <v>28</v>
      </c>
      <c r="I4601" s="18" t="s">
        <v>28</v>
      </c>
      <c r="J4601" s="18" t="s">
        <v>28</v>
      </c>
      <c r="K4601" s="18" t="s">
        <v>28</v>
      </c>
      <c r="L4601" s="18" t="s">
        <v>28</v>
      </c>
      <c r="M4601" s="18" t="s">
        <v>28</v>
      </c>
      <c r="N4601" s="17">
        <v>44384</v>
      </c>
      <c r="O4601" s="15" t="s">
        <v>30</v>
      </c>
      <c r="P4601" s="16" t="s">
        <v>14770</v>
      </c>
      <c r="Q4601" s="15" t="s">
        <v>43</v>
      </c>
      <c r="R4601" s="13" t="str">
        <f>HYPERLINK("https://my.pitchbook.com?c=211998-43T","View Company Online")</f>
        <v>View Company Online</v>
      </c>
    </row>
    <row r="4602" spans="1:18" hidden="1" x14ac:dyDescent="0.3">
      <c r="A4602" s="9" t="s">
        <v>14771</v>
      </c>
      <c r="B4602" s="9" t="s">
        <v>14772</v>
      </c>
      <c r="C4602" s="11" t="s">
        <v>28</v>
      </c>
      <c r="D4602" s="9" t="s">
        <v>14773</v>
      </c>
      <c r="E4602" s="11" t="s">
        <v>28</v>
      </c>
      <c r="F4602" s="10" t="s">
        <v>28</v>
      </c>
      <c r="G4602" s="10" t="s">
        <v>28</v>
      </c>
      <c r="H4602" s="10" t="s">
        <v>28</v>
      </c>
      <c r="I4602" s="11" t="s">
        <v>28</v>
      </c>
      <c r="J4602" s="11" t="s">
        <v>28</v>
      </c>
      <c r="K4602" s="11" t="s">
        <v>28</v>
      </c>
      <c r="L4602" s="11" t="s">
        <v>28</v>
      </c>
      <c r="M4602" s="11" t="s">
        <v>28</v>
      </c>
      <c r="N4602" s="8">
        <v>44384</v>
      </c>
      <c r="O4602" s="9" t="s">
        <v>30</v>
      </c>
      <c r="P4602" s="12" t="s">
        <v>14774</v>
      </c>
      <c r="Q4602" s="9" t="s">
        <v>245</v>
      </c>
      <c r="R4602" s="14" t="str">
        <f>HYPERLINK("https://my.pitchbook.com?c=178164-82T","View Company Online")</f>
        <v>View Company Online</v>
      </c>
    </row>
    <row r="4603" spans="1:18" hidden="1" x14ac:dyDescent="0.3">
      <c r="A4603" s="15" t="s">
        <v>14775</v>
      </c>
      <c r="B4603" s="15" t="s">
        <v>14776</v>
      </c>
      <c r="C4603" s="18" t="s">
        <v>28</v>
      </c>
      <c r="D4603" s="15" t="s">
        <v>14777</v>
      </c>
      <c r="E4603" s="18" t="s">
        <v>28</v>
      </c>
      <c r="F4603" s="19" t="s">
        <v>28</v>
      </c>
      <c r="G4603" s="19" t="s">
        <v>28</v>
      </c>
      <c r="H4603" s="19" t="s">
        <v>28</v>
      </c>
      <c r="I4603" s="18" t="s">
        <v>28</v>
      </c>
      <c r="J4603" s="18" t="s">
        <v>28</v>
      </c>
      <c r="K4603" s="18" t="s">
        <v>28</v>
      </c>
      <c r="L4603" s="18" t="s">
        <v>28</v>
      </c>
      <c r="M4603" s="18" t="s">
        <v>28</v>
      </c>
      <c r="N4603" s="17">
        <v>44384</v>
      </c>
      <c r="O4603" s="15" t="s">
        <v>41</v>
      </c>
      <c r="P4603" s="16" t="s">
        <v>14778</v>
      </c>
      <c r="Q4603" s="15" t="s">
        <v>245</v>
      </c>
      <c r="R4603" s="13" t="str">
        <f>HYPERLINK("https://my.pitchbook.com?c=212183-74T","View Company Online")</f>
        <v>View Company Online</v>
      </c>
    </row>
    <row r="4604" spans="1:18" hidden="1" x14ac:dyDescent="0.3">
      <c r="A4604" s="9" t="s">
        <v>14779</v>
      </c>
      <c r="B4604" s="9" t="s">
        <v>14780</v>
      </c>
      <c r="C4604" s="11" t="s">
        <v>28</v>
      </c>
      <c r="D4604" s="9" t="s">
        <v>14781</v>
      </c>
      <c r="E4604" s="11" t="s">
        <v>28</v>
      </c>
      <c r="F4604" s="10" t="s">
        <v>28</v>
      </c>
      <c r="G4604" s="10" t="s">
        <v>28</v>
      </c>
      <c r="H4604" s="10" t="s">
        <v>28</v>
      </c>
      <c r="I4604" s="11" t="s">
        <v>28</v>
      </c>
      <c r="J4604" s="11" t="s">
        <v>28</v>
      </c>
      <c r="K4604" s="11" t="s">
        <v>28</v>
      </c>
      <c r="L4604" s="11" t="s">
        <v>28</v>
      </c>
      <c r="M4604" s="11" t="s">
        <v>28</v>
      </c>
      <c r="N4604" s="8">
        <v>44384</v>
      </c>
      <c r="O4604" s="9" t="s">
        <v>173</v>
      </c>
      <c r="P4604" s="12" t="s">
        <v>28</v>
      </c>
      <c r="Q4604" s="9" t="s">
        <v>174</v>
      </c>
      <c r="R4604" s="14" t="str">
        <f>HYPERLINK("https://my.pitchbook.com?c=251566-75T","View Company Online")</f>
        <v>View Company Online</v>
      </c>
    </row>
    <row r="4605" spans="1:18" hidden="1" x14ac:dyDescent="0.3">
      <c r="A4605" s="15" t="s">
        <v>14782</v>
      </c>
      <c r="B4605" s="15" t="s">
        <v>4247</v>
      </c>
      <c r="C4605" s="18" t="s">
        <v>28</v>
      </c>
      <c r="D4605" s="15" t="s">
        <v>4248</v>
      </c>
      <c r="E4605" s="18" t="s">
        <v>28</v>
      </c>
      <c r="F4605" s="19" t="s">
        <v>28</v>
      </c>
      <c r="G4605" s="19">
        <v>0.13</v>
      </c>
      <c r="H4605" s="19" t="s">
        <v>28</v>
      </c>
      <c r="I4605" s="18" t="s">
        <v>28</v>
      </c>
      <c r="J4605" s="18" t="s">
        <v>28</v>
      </c>
      <c r="K4605" s="18" t="s">
        <v>28</v>
      </c>
      <c r="L4605" s="18" t="s">
        <v>28</v>
      </c>
      <c r="M4605" s="18" t="s">
        <v>28</v>
      </c>
      <c r="N4605" s="17">
        <v>44384</v>
      </c>
      <c r="O4605" s="15" t="s">
        <v>52</v>
      </c>
      <c r="P4605" s="16" t="s">
        <v>3944</v>
      </c>
      <c r="Q4605" s="15" t="s">
        <v>37</v>
      </c>
      <c r="R4605" s="13" t="str">
        <f>HYPERLINK("https://my.pitchbook.com?c=185072-32T","View Company Online")</f>
        <v>View Company Online</v>
      </c>
    </row>
    <row r="4606" spans="1:18" hidden="1" x14ac:dyDescent="0.3">
      <c r="A4606" s="9" t="s">
        <v>14783</v>
      </c>
      <c r="B4606" s="9" t="s">
        <v>4997</v>
      </c>
      <c r="C4606" s="11" t="s">
        <v>28</v>
      </c>
      <c r="D4606" s="9" t="s">
        <v>4998</v>
      </c>
      <c r="E4606" s="11" t="s">
        <v>28</v>
      </c>
      <c r="F4606" s="10" t="s">
        <v>28</v>
      </c>
      <c r="G4606" s="10">
        <v>1.5</v>
      </c>
      <c r="H4606" s="10" t="s">
        <v>28</v>
      </c>
      <c r="I4606" s="11" t="s">
        <v>28</v>
      </c>
      <c r="J4606" s="11" t="s">
        <v>28</v>
      </c>
      <c r="K4606" s="11" t="s">
        <v>28</v>
      </c>
      <c r="L4606" s="11" t="s">
        <v>28</v>
      </c>
      <c r="M4606" s="11" t="s">
        <v>28</v>
      </c>
      <c r="N4606" s="8">
        <v>44384</v>
      </c>
      <c r="O4606" s="9" t="s">
        <v>99</v>
      </c>
      <c r="P4606" s="12" t="s">
        <v>14784</v>
      </c>
      <c r="Q4606" s="9" t="s">
        <v>75</v>
      </c>
      <c r="R4606" s="14" t="str">
        <f>HYPERLINK("https://my.pitchbook.com?c=189131-68T","View Company Online")</f>
        <v>View Company Online</v>
      </c>
    </row>
    <row r="4607" spans="1:18" hidden="1" x14ac:dyDescent="0.3">
      <c r="A4607" s="15" t="s">
        <v>14785</v>
      </c>
      <c r="B4607" s="15" t="s">
        <v>4597</v>
      </c>
      <c r="C4607" s="18" t="s">
        <v>28</v>
      </c>
      <c r="D4607" s="15" t="s">
        <v>4598</v>
      </c>
      <c r="E4607" s="18" t="s">
        <v>28</v>
      </c>
      <c r="F4607" s="19" t="s">
        <v>28</v>
      </c>
      <c r="G4607" s="19">
        <v>0.1</v>
      </c>
      <c r="H4607" s="19" t="s">
        <v>28</v>
      </c>
      <c r="I4607" s="18" t="s">
        <v>28</v>
      </c>
      <c r="J4607" s="18" t="s">
        <v>28</v>
      </c>
      <c r="K4607" s="18" t="s">
        <v>28</v>
      </c>
      <c r="L4607" s="18" t="s">
        <v>28</v>
      </c>
      <c r="M4607" s="18" t="s">
        <v>28</v>
      </c>
      <c r="N4607" s="17">
        <v>44383</v>
      </c>
      <c r="O4607" s="15" t="s">
        <v>379</v>
      </c>
      <c r="P4607" s="16" t="s">
        <v>14786</v>
      </c>
      <c r="Q4607" s="15" t="s">
        <v>119</v>
      </c>
      <c r="R4607" s="13" t="str">
        <f>HYPERLINK("https://my.pitchbook.com?c=188559-55T","View Company Online")</f>
        <v>View Company Online</v>
      </c>
    </row>
    <row r="4608" spans="1:18" hidden="1" x14ac:dyDescent="0.3">
      <c r="A4608" s="9" t="s">
        <v>14787</v>
      </c>
      <c r="B4608" s="9" t="s">
        <v>5263</v>
      </c>
      <c r="C4608" s="11" t="s">
        <v>28</v>
      </c>
      <c r="D4608" s="9" t="s">
        <v>5264</v>
      </c>
      <c r="E4608" s="11" t="s">
        <v>28</v>
      </c>
      <c r="F4608" s="10">
        <v>217</v>
      </c>
      <c r="G4608" s="10">
        <v>217</v>
      </c>
      <c r="H4608" s="10">
        <v>217</v>
      </c>
      <c r="I4608" s="11" t="s">
        <v>28</v>
      </c>
      <c r="J4608" s="11" t="s">
        <v>28</v>
      </c>
      <c r="K4608" s="11" t="s">
        <v>28</v>
      </c>
      <c r="L4608" s="11" t="s">
        <v>28</v>
      </c>
      <c r="M4608" s="11" t="s">
        <v>28</v>
      </c>
      <c r="N4608" s="8">
        <v>44383</v>
      </c>
      <c r="O4608" s="9" t="s">
        <v>30</v>
      </c>
      <c r="P4608" s="12" t="s">
        <v>14788</v>
      </c>
      <c r="Q4608" s="9" t="s">
        <v>740</v>
      </c>
      <c r="R4608" s="14" t="str">
        <f>HYPERLINK("https://my.pitchbook.com?c=175341-07T","View Company Online")</f>
        <v>View Company Online</v>
      </c>
    </row>
    <row r="4609" spans="1:18" hidden="1" x14ac:dyDescent="0.3">
      <c r="A4609" s="15" t="s">
        <v>14789</v>
      </c>
      <c r="B4609" s="15" t="s">
        <v>14790</v>
      </c>
      <c r="C4609" s="18" t="s">
        <v>28</v>
      </c>
      <c r="D4609" s="15" t="s">
        <v>14791</v>
      </c>
      <c r="E4609" s="18" t="s">
        <v>28</v>
      </c>
      <c r="F4609" s="19" t="s">
        <v>28</v>
      </c>
      <c r="G4609" s="19" t="s">
        <v>28</v>
      </c>
      <c r="H4609" s="19" t="s">
        <v>28</v>
      </c>
      <c r="I4609" s="18" t="s">
        <v>28</v>
      </c>
      <c r="J4609" s="18" t="s">
        <v>28</v>
      </c>
      <c r="K4609" s="18" t="s">
        <v>28</v>
      </c>
      <c r="L4609" s="18" t="s">
        <v>28</v>
      </c>
      <c r="M4609" s="18" t="s">
        <v>28</v>
      </c>
      <c r="N4609" s="17">
        <v>44383</v>
      </c>
      <c r="O4609" s="15" t="s">
        <v>173</v>
      </c>
      <c r="P4609" s="16" t="s">
        <v>28</v>
      </c>
      <c r="Q4609" s="15" t="s">
        <v>174</v>
      </c>
      <c r="R4609" s="13" t="str">
        <f>HYPERLINK("https://my.pitchbook.com?c=251086-06T","View Company Online")</f>
        <v>View Company Online</v>
      </c>
    </row>
    <row r="4610" spans="1:18" hidden="1" x14ac:dyDescent="0.3">
      <c r="A4610" s="9" t="s">
        <v>14792</v>
      </c>
      <c r="B4610" s="9" t="s">
        <v>14793</v>
      </c>
      <c r="C4610" s="11" t="s">
        <v>28</v>
      </c>
      <c r="D4610" s="9" t="s">
        <v>14794</v>
      </c>
      <c r="E4610" s="11" t="s">
        <v>28</v>
      </c>
      <c r="F4610" s="10" t="s">
        <v>28</v>
      </c>
      <c r="G4610" s="10" t="s">
        <v>28</v>
      </c>
      <c r="H4610" s="10" t="s">
        <v>28</v>
      </c>
      <c r="I4610" s="11" t="s">
        <v>28</v>
      </c>
      <c r="J4610" s="11" t="s">
        <v>28</v>
      </c>
      <c r="K4610" s="11" t="s">
        <v>28</v>
      </c>
      <c r="L4610" s="11" t="s">
        <v>28</v>
      </c>
      <c r="M4610" s="11" t="s">
        <v>28</v>
      </c>
      <c r="N4610" s="8">
        <v>44383</v>
      </c>
      <c r="O4610" s="9" t="s">
        <v>30</v>
      </c>
      <c r="P4610" s="12" t="s">
        <v>691</v>
      </c>
      <c r="Q4610" s="9" t="s">
        <v>290</v>
      </c>
      <c r="R4610" s="14" t="str">
        <f>HYPERLINK("https://my.pitchbook.com?c=212006-98T","View Company Online")</f>
        <v>View Company Online</v>
      </c>
    </row>
    <row r="4611" spans="1:18" hidden="1" x14ac:dyDescent="0.3">
      <c r="A4611" s="15" t="s">
        <v>14795</v>
      </c>
      <c r="B4611" s="15" t="s">
        <v>14796</v>
      </c>
      <c r="C4611" s="18" t="s">
        <v>28</v>
      </c>
      <c r="D4611" s="15" t="s">
        <v>14797</v>
      </c>
      <c r="E4611" s="18" t="s">
        <v>28</v>
      </c>
      <c r="F4611" s="19" t="s">
        <v>28</v>
      </c>
      <c r="G4611" s="19" t="s">
        <v>28</v>
      </c>
      <c r="H4611" s="19" t="s">
        <v>28</v>
      </c>
      <c r="I4611" s="18" t="s">
        <v>28</v>
      </c>
      <c r="J4611" s="18" t="s">
        <v>28</v>
      </c>
      <c r="K4611" s="18" t="s">
        <v>28</v>
      </c>
      <c r="L4611" s="18" t="s">
        <v>28</v>
      </c>
      <c r="M4611" s="18" t="s">
        <v>28</v>
      </c>
      <c r="N4611" s="17">
        <v>44383</v>
      </c>
      <c r="O4611" s="15" t="s">
        <v>30</v>
      </c>
      <c r="P4611" s="16" t="s">
        <v>14798</v>
      </c>
      <c r="Q4611" s="15" t="s">
        <v>7261</v>
      </c>
      <c r="R4611" s="13" t="str">
        <f>HYPERLINK("https://my.pitchbook.com?c=175885-21T","View Company Online")</f>
        <v>View Company Online</v>
      </c>
    </row>
    <row r="4612" spans="1:18" hidden="1" x14ac:dyDescent="0.3">
      <c r="A4612" s="9" t="s">
        <v>14799</v>
      </c>
      <c r="B4612" s="9" t="s">
        <v>800</v>
      </c>
      <c r="C4612" s="11" t="s">
        <v>28</v>
      </c>
      <c r="D4612" s="9" t="s">
        <v>801</v>
      </c>
      <c r="E4612" s="11" t="s">
        <v>28</v>
      </c>
      <c r="F4612" s="10" t="s">
        <v>28</v>
      </c>
      <c r="G4612" s="10">
        <v>0.6</v>
      </c>
      <c r="H4612" s="10" t="s">
        <v>28</v>
      </c>
      <c r="I4612" s="11" t="s">
        <v>28</v>
      </c>
      <c r="J4612" s="11" t="s">
        <v>28</v>
      </c>
      <c r="K4612" s="11" t="s">
        <v>28</v>
      </c>
      <c r="L4612" s="11" t="s">
        <v>28</v>
      </c>
      <c r="M4612" s="11" t="s">
        <v>28</v>
      </c>
      <c r="N4612" s="8">
        <v>44383</v>
      </c>
      <c r="O4612" s="9" t="s">
        <v>73</v>
      </c>
      <c r="P4612" s="12" t="s">
        <v>12857</v>
      </c>
      <c r="Q4612" s="9" t="s">
        <v>105</v>
      </c>
      <c r="R4612" s="14" t="str">
        <f>HYPERLINK("https://my.pitchbook.com?c=175927-87T","View Company Online")</f>
        <v>View Company Online</v>
      </c>
    </row>
    <row r="4613" spans="1:18" hidden="1" x14ac:dyDescent="0.3">
      <c r="A4613" s="15" t="s">
        <v>14800</v>
      </c>
      <c r="B4613" s="15" t="s">
        <v>14801</v>
      </c>
      <c r="C4613" s="18" t="s">
        <v>28</v>
      </c>
      <c r="D4613" s="15" t="s">
        <v>14802</v>
      </c>
      <c r="E4613" s="18" t="s">
        <v>28</v>
      </c>
      <c r="F4613" s="19" t="s">
        <v>28</v>
      </c>
      <c r="G4613" s="19" t="s">
        <v>28</v>
      </c>
      <c r="H4613" s="19" t="s">
        <v>28</v>
      </c>
      <c r="I4613" s="18" t="s">
        <v>28</v>
      </c>
      <c r="J4613" s="18" t="s">
        <v>28</v>
      </c>
      <c r="K4613" s="18" t="s">
        <v>28</v>
      </c>
      <c r="L4613" s="18" t="s">
        <v>28</v>
      </c>
      <c r="M4613" s="18" t="s">
        <v>28</v>
      </c>
      <c r="N4613" s="17">
        <v>44382</v>
      </c>
      <c r="O4613" s="15" t="s">
        <v>30</v>
      </c>
      <c r="P4613" s="16" t="s">
        <v>28</v>
      </c>
      <c r="Q4613" s="15" t="s">
        <v>43</v>
      </c>
      <c r="R4613" s="13" t="str">
        <f>HYPERLINK("https://my.pitchbook.com?c=156271-69T","View Company Online")</f>
        <v>View Company Online</v>
      </c>
    </row>
    <row r="4614" spans="1:18" hidden="1" x14ac:dyDescent="0.3">
      <c r="A4614" s="9" t="s">
        <v>14803</v>
      </c>
      <c r="B4614" s="9" t="s">
        <v>14804</v>
      </c>
      <c r="C4614" s="11" t="s">
        <v>28</v>
      </c>
      <c r="D4614" s="9" t="s">
        <v>14805</v>
      </c>
      <c r="E4614" s="11" t="s">
        <v>28</v>
      </c>
      <c r="F4614" s="10" t="s">
        <v>28</v>
      </c>
      <c r="G4614" s="10" t="s">
        <v>28</v>
      </c>
      <c r="H4614" s="10" t="s">
        <v>28</v>
      </c>
      <c r="I4614" s="11" t="s">
        <v>28</v>
      </c>
      <c r="J4614" s="11" t="s">
        <v>28</v>
      </c>
      <c r="K4614" s="11" t="s">
        <v>28</v>
      </c>
      <c r="L4614" s="11" t="s">
        <v>28</v>
      </c>
      <c r="M4614" s="11" t="s">
        <v>28</v>
      </c>
      <c r="N4614" s="8">
        <v>44382</v>
      </c>
      <c r="O4614" s="9" t="s">
        <v>30</v>
      </c>
      <c r="P4614" s="12" t="s">
        <v>14806</v>
      </c>
      <c r="Q4614" s="9" t="s">
        <v>245</v>
      </c>
      <c r="R4614" s="14" t="str">
        <f>HYPERLINK("https://my.pitchbook.com?c=212006-26T","View Company Online")</f>
        <v>View Company Online</v>
      </c>
    </row>
    <row r="4615" spans="1:18" hidden="1" x14ac:dyDescent="0.3">
      <c r="A4615" s="15" t="s">
        <v>14807</v>
      </c>
      <c r="B4615" s="15" t="s">
        <v>2994</v>
      </c>
      <c r="C4615" s="18" t="s">
        <v>28</v>
      </c>
      <c r="D4615" s="15" t="s">
        <v>2995</v>
      </c>
      <c r="E4615" s="18" t="s">
        <v>28</v>
      </c>
      <c r="F4615" s="19" t="s">
        <v>28</v>
      </c>
      <c r="G4615" s="19">
        <v>2.99</v>
      </c>
      <c r="H4615" s="19" t="s">
        <v>28</v>
      </c>
      <c r="I4615" s="18" t="s">
        <v>28</v>
      </c>
      <c r="J4615" s="18" t="s">
        <v>28</v>
      </c>
      <c r="K4615" s="18" t="s">
        <v>28</v>
      </c>
      <c r="L4615" s="18" t="s">
        <v>28</v>
      </c>
      <c r="M4615" s="18" t="s">
        <v>28</v>
      </c>
      <c r="N4615" s="17">
        <v>44382</v>
      </c>
      <c r="O4615" s="15" t="s">
        <v>99</v>
      </c>
      <c r="P4615" s="16" t="s">
        <v>14808</v>
      </c>
      <c r="Q4615" s="15" t="s">
        <v>37</v>
      </c>
      <c r="R4615" s="13" t="str">
        <f>HYPERLINK("https://my.pitchbook.com?c=175789-90T","View Company Online")</f>
        <v>View Company Online</v>
      </c>
    </row>
    <row r="4616" spans="1:18" hidden="1" x14ac:dyDescent="0.3">
      <c r="A4616" s="9" t="s">
        <v>14809</v>
      </c>
      <c r="B4616" s="9" t="s">
        <v>14810</v>
      </c>
      <c r="C4616" s="11" t="s">
        <v>28</v>
      </c>
      <c r="D4616" s="9" t="s">
        <v>14811</v>
      </c>
      <c r="E4616" s="11" t="s">
        <v>28</v>
      </c>
      <c r="F4616" s="10" t="s">
        <v>28</v>
      </c>
      <c r="G4616" s="10" t="s">
        <v>28</v>
      </c>
      <c r="H4616" s="10" t="s">
        <v>28</v>
      </c>
      <c r="I4616" s="11" t="s">
        <v>28</v>
      </c>
      <c r="J4616" s="11" t="s">
        <v>28</v>
      </c>
      <c r="K4616" s="11" t="s">
        <v>28</v>
      </c>
      <c r="L4616" s="11" t="s">
        <v>28</v>
      </c>
      <c r="M4616" s="11" t="s">
        <v>28</v>
      </c>
      <c r="N4616" s="8">
        <v>44381</v>
      </c>
      <c r="O4616" s="9" t="s">
        <v>30</v>
      </c>
      <c r="P4616" s="12" t="s">
        <v>13527</v>
      </c>
      <c r="Q4616" s="9" t="s">
        <v>245</v>
      </c>
      <c r="R4616" s="14" t="str">
        <f>HYPERLINK("https://my.pitchbook.com?c=295708-15T","View Company Online")</f>
        <v>View Company Online</v>
      </c>
    </row>
    <row r="4617" spans="1:18" hidden="1" x14ac:dyDescent="0.3">
      <c r="A4617" s="15" t="s">
        <v>14812</v>
      </c>
      <c r="B4617" s="15" t="s">
        <v>11440</v>
      </c>
      <c r="C4617" s="18" t="s">
        <v>28</v>
      </c>
      <c r="D4617" s="15" t="s">
        <v>11441</v>
      </c>
      <c r="E4617" s="18" t="s">
        <v>28</v>
      </c>
      <c r="F4617" s="19" t="s">
        <v>28</v>
      </c>
      <c r="G4617" s="19">
        <v>0.4</v>
      </c>
      <c r="H4617" s="19" t="s">
        <v>28</v>
      </c>
      <c r="I4617" s="18" t="s">
        <v>28</v>
      </c>
      <c r="J4617" s="18" t="s">
        <v>28</v>
      </c>
      <c r="K4617" s="18" t="s">
        <v>28</v>
      </c>
      <c r="L4617" s="18" t="s">
        <v>28</v>
      </c>
      <c r="M4617" s="18" t="s">
        <v>28</v>
      </c>
      <c r="N4617" s="17">
        <v>44380</v>
      </c>
      <c r="O4617" s="15" t="s">
        <v>99</v>
      </c>
      <c r="P4617" s="16" t="s">
        <v>14813</v>
      </c>
      <c r="Q4617" s="15" t="s">
        <v>37</v>
      </c>
      <c r="R4617" s="13" t="str">
        <f>HYPERLINK("https://my.pitchbook.com?c=176291-74T","View Company Online")</f>
        <v>View Company Online</v>
      </c>
    </row>
    <row r="4618" spans="1:18" hidden="1" x14ac:dyDescent="0.3">
      <c r="A4618" s="9" t="s">
        <v>14814</v>
      </c>
      <c r="B4618" s="9" t="s">
        <v>14815</v>
      </c>
      <c r="C4618" s="11" t="s">
        <v>28</v>
      </c>
      <c r="D4618" s="9" t="s">
        <v>14816</v>
      </c>
      <c r="E4618" s="11" t="s">
        <v>28</v>
      </c>
      <c r="F4618" s="10" t="s">
        <v>28</v>
      </c>
      <c r="G4618" s="10">
        <v>1.39</v>
      </c>
      <c r="H4618" s="10" t="s">
        <v>28</v>
      </c>
      <c r="I4618" s="11" t="s">
        <v>28</v>
      </c>
      <c r="J4618" s="11" t="s">
        <v>28</v>
      </c>
      <c r="K4618" s="11" t="s">
        <v>28</v>
      </c>
      <c r="L4618" s="11" t="s">
        <v>28</v>
      </c>
      <c r="M4618" s="11" t="s">
        <v>28</v>
      </c>
      <c r="N4618" s="8">
        <v>44380</v>
      </c>
      <c r="O4618" s="9" t="s">
        <v>73</v>
      </c>
      <c r="P4618" s="12" t="s">
        <v>14817</v>
      </c>
      <c r="Q4618" s="9" t="s">
        <v>75</v>
      </c>
      <c r="R4618" s="14" t="str">
        <f>HYPERLINK("https://my.pitchbook.com?c=175733-56T","View Company Online")</f>
        <v>View Company Online</v>
      </c>
    </row>
    <row r="4619" spans="1:18" hidden="1" x14ac:dyDescent="0.3">
      <c r="A4619" s="15" t="s">
        <v>14818</v>
      </c>
      <c r="B4619" s="15" t="s">
        <v>14819</v>
      </c>
      <c r="C4619" s="18" t="s">
        <v>28</v>
      </c>
      <c r="D4619" s="15" t="s">
        <v>14820</v>
      </c>
      <c r="E4619" s="18" t="s">
        <v>28</v>
      </c>
      <c r="F4619" s="19">
        <v>59.74</v>
      </c>
      <c r="G4619" s="19">
        <v>29.87</v>
      </c>
      <c r="H4619" s="19">
        <v>59.74</v>
      </c>
      <c r="I4619" s="18" t="s">
        <v>28</v>
      </c>
      <c r="J4619" s="18" t="s">
        <v>28</v>
      </c>
      <c r="K4619" s="18" t="s">
        <v>28</v>
      </c>
      <c r="L4619" s="18" t="s">
        <v>28</v>
      </c>
      <c r="M4619" s="18" t="s">
        <v>28</v>
      </c>
      <c r="N4619" s="17">
        <v>44379</v>
      </c>
      <c r="O4619" s="15" t="s">
        <v>30</v>
      </c>
      <c r="P4619" s="16" t="s">
        <v>14821</v>
      </c>
      <c r="Q4619" s="15" t="s">
        <v>240</v>
      </c>
      <c r="R4619" s="13" t="str">
        <f>HYPERLINK("https://my.pitchbook.com?c=211923-19T","View Company Online")</f>
        <v>View Company Online</v>
      </c>
    </row>
    <row r="4620" spans="1:18" hidden="1" x14ac:dyDescent="0.3">
      <c r="A4620" s="9" t="s">
        <v>14822</v>
      </c>
      <c r="B4620" s="9" t="s">
        <v>14823</v>
      </c>
      <c r="C4620" s="11" t="s">
        <v>28</v>
      </c>
      <c r="D4620" s="9" t="s">
        <v>14824</v>
      </c>
      <c r="E4620" s="11">
        <v>5.21</v>
      </c>
      <c r="F4620" s="10" t="s">
        <v>28</v>
      </c>
      <c r="G4620" s="10" t="s">
        <v>28</v>
      </c>
      <c r="H4620" s="10" t="s">
        <v>28</v>
      </c>
      <c r="I4620" s="11">
        <v>5.21</v>
      </c>
      <c r="J4620" s="11" t="s">
        <v>28</v>
      </c>
      <c r="K4620" s="11">
        <v>0.24</v>
      </c>
      <c r="L4620" s="11" t="s">
        <v>28</v>
      </c>
      <c r="M4620" s="11">
        <v>5.21</v>
      </c>
      <c r="N4620" s="8">
        <v>44379</v>
      </c>
      <c r="O4620" s="9" t="s">
        <v>173</v>
      </c>
      <c r="P4620" s="12" t="s">
        <v>28</v>
      </c>
      <c r="Q4620" s="9" t="s">
        <v>174</v>
      </c>
      <c r="R4620" s="14" t="str">
        <f>HYPERLINK("https://my.pitchbook.com?c=251566-21T","View Company Online")</f>
        <v>View Company Online</v>
      </c>
    </row>
    <row r="4621" spans="1:18" hidden="1" x14ac:dyDescent="0.3">
      <c r="A4621" s="15" t="s">
        <v>14825</v>
      </c>
      <c r="B4621" s="15" t="s">
        <v>14826</v>
      </c>
      <c r="C4621" s="18" t="s">
        <v>28</v>
      </c>
      <c r="D4621" s="15" t="s">
        <v>14827</v>
      </c>
      <c r="E4621" s="18" t="s">
        <v>28</v>
      </c>
      <c r="F4621" s="19">
        <v>568.98</v>
      </c>
      <c r="G4621" s="19">
        <v>568.98</v>
      </c>
      <c r="H4621" s="19">
        <v>568.98</v>
      </c>
      <c r="I4621" s="18" t="s">
        <v>28</v>
      </c>
      <c r="J4621" s="18" t="s">
        <v>28</v>
      </c>
      <c r="K4621" s="18">
        <v>19.41</v>
      </c>
      <c r="L4621" s="18">
        <v>29.31</v>
      </c>
      <c r="M4621" s="18" t="s">
        <v>28</v>
      </c>
      <c r="N4621" s="17">
        <v>44379</v>
      </c>
      <c r="O4621" s="15" t="s">
        <v>30</v>
      </c>
      <c r="P4621" s="16" t="s">
        <v>14452</v>
      </c>
      <c r="Q4621" s="15" t="s">
        <v>75</v>
      </c>
      <c r="R4621" s="13" t="str">
        <f>HYPERLINK("https://my.pitchbook.com?c=175739-50T","View Company Online")</f>
        <v>View Company Online</v>
      </c>
    </row>
    <row r="4622" spans="1:18" hidden="1" x14ac:dyDescent="0.3">
      <c r="A4622" s="9" t="s">
        <v>14828</v>
      </c>
      <c r="B4622" s="9" t="s">
        <v>3170</v>
      </c>
      <c r="C4622" s="11" t="s">
        <v>28</v>
      </c>
      <c r="D4622" s="9" t="s">
        <v>3171</v>
      </c>
      <c r="E4622" s="11" t="s">
        <v>28</v>
      </c>
      <c r="F4622" s="10" t="s">
        <v>28</v>
      </c>
      <c r="G4622" s="10" t="s">
        <v>28</v>
      </c>
      <c r="H4622" s="10" t="s">
        <v>28</v>
      </c>
      <c r="I4622" s="11" t="s">
        <v>28</v>
      </c>
      <c r="J4622" s="11" t="s">
        <v>28</v>
      </c>
      <c r="K4622" s="11" t="s">
        <v>28</v>
      </c>
      <c r="L4622" s="11" t="s">
        <v>28</v>
      </c>
      <c r="M4622" s="11" t="s">
        <v>28</v>
      </c>
      <c r="N4622" s="8">
        <v>44379</v>
      </c>
      <c r="O4622" s="9" t="s">
        <v>30</v>
      </c>
      <c r="P4622" s="12" t="s">
        <v>28</v>
      </c>
      <c r="Q4622" s="9" t="s">
        <v>1007</v>
      </c>
      <c r="R4622" s="14" t="str">
        <f>HYPERLINK("https://my.pitchbook.com?c=254349-91T","View Company Online")</f>
        <v>View Company Online</v>
      </c>
    </row>
    <row r="4623" spans="1:18" hidden="1" x14ac:dyDescent="0.3">
      <c r="A4623" s="15" t="s">
        <v>14829</v>
      </c>
      <c r="B4623" s="15" t="s">
        <v>14830</v>
      </c>
      <c r="C4623" s="18" t="s">
        <v>28</v>
      </c>
      <c r="D4623" s="15" t="s">
        <v>14831</v>
      </c>
      <c r="E4623" s="18" t="s">
        <v>28</v>
      </c>
      <c r="F4623" s="19" t="s">
        <v>28</v>
      </c>
      <c r="G4623" s="19" t="s">
        <v>28</v>
      </c>
      <c r="H4623" s="19" t="s">
        <v>28</v>
      </c>
      <c r="I4623" s="18" t="s">
        <v>28</v>
      </c>
      <c r="J4623" s="18" t="s">
        <v>28</v>
      </c>
      <c r="K4623" s="18">
        <v>7.5</v>
      </c>
      <c r="L4623" s="18" t="s">
        <v>28</v>
      </c>
      <c r="M4623" s="18">
        <v>7.21</v>
      </c>
      <c r="N4623" s="17">
        <v>44379</v>
      </c>
      <c r="O4623" s="15" t="s">
        <v>173</v>
      </c>
      <c r="P4623" s="16" t="s">
        <v>28</v>
      </c>
      <c r="Q4623" s="15" t="s">
        <v>174</v>
      </c>
      <c r="R4623" s="13" t="str">
        <f>HYPERLINK("https://my.pitchbook.com?c=252224-65T","View Company Online")</f>
        <v>View Company Online</v>
      </c>
    </row>
    <row r="4624" spans="1:18" hidden="1" x14ac:dyDescent="0.3">
      <c r="A4624" s="9" t="s">
        <v>14832</v>
      </c>
      <c r="B4624" s="9" t="s">
        <v>14833</v>
      </c>
      <c r="C4624" s="11" t="s">
        <v>28</v>
      </c>
      <c r="D4624" s="9" t="s">
        <v>14834</v>
      </c>
      <c r="E4624" s="11" t="s">
        <v>28</v>
      </c>
      <c r="F4624" s="10" t="s">
        <v>28</v>
      </c>
      <c r="G4624" s="10">
        <v>39.83</v>
      </c>
      <c r="H4624" s="10" t="s">
        <v>28</v>
      </c>
      <c r="I4624" s="11">
        <v>9.08</v>
      </c>
      <c r="J4624" s="11" t="s">
        <v>28</v>
      </c>
      <c r="K4624" s="11">
        <v>57.64</v>
      </c>
      <c r="L4624" s="11" t="s">
        <v>28</v>
      </c>
      <c r="M4624" s="11" t="s">
        <v>28</v>
      </c>
      <c r="N4624" s="8">
        <v>44379</v>
      </c>
      <c r="O4624" s="9" t="s">
        <v>93</v>
      </c>
      <c r="P4624" s="12" t="s">
        <v>14835</v>
      </c>
      <c r="Q4624" s="9" t="s">
        <v>95</v>
      </c>
      <c r="R4624" s="14" t="str">
        <f>HYPERLINK("https://my.pitchbook.com?c=176331-25T","View Company Online")</f>
        <v>View Company Online</v>
      </c>
    </row>
    <row r="4625" spans="1:18" hidden="1" x14ac:dyDescent="0.3">
      <c r="A4625" s="15" t="s">
        <v>14836</v>
      </c>
      <c r="B4625" s="15" t="s">
        <v>14837</v>
      </c>
      <c r="C4625" s="18" t="s">
        <v>28</v>
      </c>
      <c r="D4625" s="15" t="s">
        <v>14838</v>
      </c>
      <c r="E4625" s="18" t="s">
        <v>28</v>
      </c>
      <c r="F4625" s="19" t="s">
        <v>28</v>
      </c>
      <c r="G4625" s="19">
        <v>159.32</v>
      </c>
      <c r="H4625" s="19" t="s">
        <v>28</v>
      </c>
      <c r="I4625" s="18" t="s">
        <v>28</v>
      </c>
      <c r="J4625" s="18" t="s">
        <v>28</v>
      </c>
      <c r="K4625" s="18" t="s">
        <v>28</v>
      </c>
      <c r="L4625" s="18" t="s">
        <v>28</v>
      </c>
      <c r="M4625" s="18" t="s">
        <v>28</v>
      </c>
      <c r="N4625" s="17">
        <v>44379</v>
      </c>
      <c r="O4625" s="15" t="s">
        <v>173</v>
      </c>
      <c r="P4625" s="16" t="s">
        <v>28</v>
      </c>
      <c r="Q4625" s="15" t="s">
        <v>109</v>
      </c>
      <c r="R4625" s="13" t="str">
        <f>HYPERLINK("https://my.pitchbook.com?c=175874-14T","View Company Online")</f>
        <v>View Company Online</v>
      </c>
    </row>
    <row r="4626" spans="1:18" hidden="1" x14ac:dyDescent="0.3">
      <c r="A4626" s="9" t="s">
        <v>14839</v>
      </c>
      <c r="B4626" s="9" t="s">
        <v>4371</v>
      </c>
      <c r="C4626" s="11" t="s">
        <v>28</v>
      </c>
      <c r="D4626" s="9" t="s">
        <v>4372</v>
      </c>
      <c r="E4626" s="11" t="s">
        <v>28</v>
      </c>
      <c r="F4626" s="10" t="s">
        <v>28</v>
      </c>
      <c r="G4626" s="10">
        <v>5.97</v>
      </c>
      <c r="H4626" s="10" t="s">
        <v>28</v>
      </c>
      <c r="I4626" s="11">
        <v>-0.47</v>
      </c>
      <c r="J4626" s="11" t="s">
        <v>28</v>
      </c>
      <c r="K4626" s="11">
        <v>0.51</v>
      </c>
      <c r="L4626" s="11" t="s">
        <v>28</v>
      </c>
      <c r="M4626" s="11" t="s">
        <v>28</v>
      </c>
      <c r="N4626" s="8">
        <v>44379</v>
      </c>
      <c r="O4626" s="9" t="s">
        <v>73</v>
      </c>
      <c r="P4626" s="12" t="s">
        <v>14840</v>
      </c>
      <c r="Q4626" s="9" t="s">
        <v>4374</v>
      </c>
      <c r="R4626" s="14" t="str">
        <f>HYPERLINK("https://my.pitchbook.com?c=140504-68T","View Company Online")</f>
        <v>View Company Online</v>
      </c>
    </row>
    <row r="4627" spans="1:18" hidden="1" x14ac:dyDescent="0.3">
      <c r="A4627" s="15" t="s">
        <v>14841</v>
      </c>
      <c r="B4627" s="15" t="s">
        <v>14842</v>
      </c>
      <c r="C4627" s="18" t="s">
        <v>28</v>
      </c>
      <c r="D4627" s="15" t="s">
        <v>14843</v>
      </c>
      <c r="E4627" s="18" t="s">
        <v>28</v>
      </c>
      <c r="F4627" s="19" t="s">
        <v>28</v>
      </c>
      <c r="G4627" s="19" t="s">
        <v>28</v>
      </c>
      <c r="H4627" s="19" t="s">
        <v>28</v>
      </c>
      <c r="I4627" s="18" t="s">
        <v>28</v>
      </c>
      <c r="J4627" s="18" t="s">
        <v>28</v>
      </c>
      <c r="K4627" s="18" t="s">
        <v>28</v>
      </c>
      <c r="L4627" s="18" t="s">
        <v>28</v>
      </c>
      <c r="M4627" s="18" t="s">
        <v>28</v>
      </c>
      <c r="N4627" s="17">
        <v>44379</v>
      </c>
      <c r="O4627" s="15" t="s">
        <v>30</v>
      </c>
      <c r="P4627" s="16" t="s">
        <v>14844</v>
      </c>
      <c r="Q4627" s="15" t="s">
        <v>37</v>
      </c>
      <c r="R4627" s="13" t="str">
        <f>HYPERLINK("https://my.pitchbook.com?c=209458-18T","View Company Online")</f>
        <v>View Company Online</v>
      </c>
    </row>
    <row r="4628" spans="1:18" hidden="1" x14ac:dyDescent="0.3">
      <c r="A4628" s="9" t="s">
        <v>14845</v>
      </c>
      <c r="B4628" s="9" t="s">
        <v>14846</v>
      </c>
      <c r="C4628" s="11" t="s">
        <v>28</v>
      </c>
      <c r="D4628" s="9" t="s">
        <v>14847</v>
      </c>
      <c r="E4628" s="11" t="s">
        <v>28</v>
      </c>
      <c r="F4628" s="10" t="s">
        <v>28</v>
      </c>
      <c r="G4628" s="10" t="s">
        <v>28</v>
      </c>
      <c r="H4628" s="10" t="s">
        <v>28</v>
      </c>
      <c r="I4628" s="11" t="s">
        <v>28</v>
      </c>
      <c r="J4628" s="11" t="s">
        <v>28</v>
      </c>
      <c r="K4628" s="11" t="s">
        <v>28</v>
      </c>
      <c r="L4628" s="11" t="s">
        <v>28</v>
      </c>
      <c r="M4628" s="11" t="s">
        <v>28</v>
      </c>
      <c r="N4628" s="8">
        <v>44379</v>
      </c>
      <c r="O4628" s="9" t="s">
        <v>41</v>
      </c>
      <c r="P4628" s="12" t="s">
        <v>4766</v>
      </c>
      <c r="Q4628" s="9" t="s">
        <v>692</v>
      </c>
      <c r="R4628" s="14" t="str">
        <f>HYPERLINK("https://my.pitchbook.com?c=223895-98T","View Company Online")</f>
        <v>View Company Online</v>
      </c>
    </row>
    <row r="4629" spans="1:18" hidden="1" x14ac:dyDescent="0.3">
      <c r="A4629" s="15" t="s">
        <v>14848</v>
      </c>
      <c r="B4629" s="15" t="s">
        <v>14849</v>
      </c>
      <c r="C4629" s="18" t="s">
        <v>28</v>
      </c>
      <c r="D4629" s="15" t="s">
        <v>14850</v>
      </c>
      <c r="E4629" s="18" t="s">
        <v>28</v>
      </c>
      <c r="F4629" s="19" t="s">
        <v>28</v>
      </c>
      <c r="G4629" s="19" t="s">
        <v>28</v>
      </c>
      <c r="H4629" s="19" t="s">
        <v>28</v>
      </c>
      <c r="I4629" s="18" t="s">
        <v>28</v>
      </c>
      <c r="J4629" s="18" t="s">
        <v>28</v>
      </c>
      <c r="K4629" s="18" t="s">
        <v>28</v>
      </c>
      <c r="L4629" s="18" t="s">
        <v>28</v>
      </c>
      <c r="M4629" s="18" t="s">
        <v>28</v>
      </c>
      <c r="N4629" s="17">
        <v>44378</v>
      </c>
      <c r="O4629" s="15" t="s">
        <v>73</v>
      </c>
      <c r="P4629" s="16" t="s">
        <v>14851</v>
      </c>
      <c r="Q4629" s="15" t="s">
        <v>75</v>
      </c>
      <c r="R4629" s="13" t="str">
        <f>HYPERLINK("https://my.pitchbook.com?c=176166-01T","View Company Online")</f>
        <v>View Company Online</v>
      </c>
    </row>
    <row r="4630" spans="1:18" hidden="1" x14ac:dyDescent="0.3">
      <c r="A4630" s="9" t="s">
        <v>14852</v>
      </c>
      <c r="B4630" s="9" t="s">
        <v>14853</v>
      </c>
      <c r="C4630" s="11" t="s">
        <v>28</v>
      </c>
      <c r="D4630" s="9" t="s">
        <v>14854</v>
      </c>
      <c r="E4630" s="11" t="s">
        <v>28</v>
      </c>
      <c r="F4630" s="10" t="s">
        <v>28</v>
      </c>
      <c r="G4630" s="10" t="s">
        <v>28</v>
      </c>
      <c r="H4630" s="10" t="s">
        <v>28</v>
      </c>
      <c r="I4630" s="11" t="s">
        <v>28</v>
      </c>
      <c r="J4630" s="11" t="s">
        <v>28</v>
      </c>
      <c r="K4630" s="11" t="s">
        <v>28</v>
      </c>
      <c r="L4630" s="11" t="s">
        <v>28</v>
      </c>
      <c r="M4630" s="11" t="s">
        <v>28</v>
      </c>
      <c r="N4630" s="8">
        <v>44378</v>
      </c>
      <c r="O4630" s="9" t="s">
        <v>30</v>
      </c>
      <c r="P4630" s="12" t="s">
        <v>14855</v>
      </c>
      <c r="Q4630" s="9" t="s">
        <v>616</v>
      </c>
      <c r="R4630" s="14" t="str">
        <f>HYPERLINK("https://my.pitchbook.com?c=172630-54T","View Company Online")</f>
        <v>View Company Online</v>
      </c>
    </row>
    <row r="4631" spans="1:18" hidden="1" x14ac:dyDescent="0.3">
      <c r="A4631" s="15" t="s">
        <v>14856</v>
      </c>
      <c r="B4631" s="15" t="s">
        <v>13958</v>
      </c>
      <c r="C4631" s="18" t="s">
        <v>28</v>
      </c>
      <c r="D4631" s="15" t="s">
        <v>13959</v>
      </c>
      <c r="E4631" s="18" t="s">
        <v>28</v>
      </c>
      <c r="F4631" s="19" t="s">
        <v>28</v>
      </c>
      <c r="G4631" s="19" t="s">
        <v>28</v>
      </c>
      <c r="H4631" s="19" t="s">
        <v>28</v>
      </c>
      <c r="I4631" s="18" t="s">
        <v>28</v>
      </c>
      <c r="J4631" s="18" t="s">
        <v>28</v>
      </c>
      <c r="K4631" s="18" t="s">
        <v>28</v>
      </c>
      <c r="L4631" s="18" t="s">
        <v>28</v>
      </c>
      <c r="M4631" s="18" t="s">
        <v>28</v>
      </c>
      <c r="N4631" s="17">
        <v>44378</v>
      </c>
      <c r="O4631" s="15" t="s">
        <v>73</v>
      </c>
      <c r="P4631" s="16" t="s">
        <v>14857</v>
      </c>
      <c r="Q4631" s="15" t="s">
        <v>37</v>
      </c>
      <c r="R4631" s="13" t="str">
        <f>HYPERLINK("https://my.pitchbook.com?c=176344-75T","View Company Online")</f>
        <v>View Company Online</v>
      </c>
    </row>
    <row r="4632" spans="1:18" hidden="1" x14ac:dyDescent="0.3">
      <c r="A4632" s="9" t="s">
        <v>14858</v>
      </c>
      <c r="B4632" s="9" t="s">
        <v>14859</v>
      </c>
      <c r="C4632" s="11" t="s">
        <v>28</v>
      </c>
      <c r="D4632" s="9" t="s">
        <v>14860</v>
      </c>
      <c r="E4632" s="11" t="s">
        <v>28</v>
      </c>
      <c r="F4632" s="10" t="s">
        <v>28</v>
      </c>
      <c r="G4632" s="10" t="s">
        <v>28</v>
      </c>
      <c r="H4632" s="10" t="s">
        <v>28</v>
      </c>
      <c r="I4632" s="11" t="s">
        <v>28</v>
      </c>
      <c r="J4632" s="11" t="s">
        <v>28</v>
      </c>
      <c r="K4632" s="11" t="s">
        <v>28</v>
      </c>
      <c r="L4632" s="11" t="s">
        <v>28</v>
      </c>
      <c r="M4632" s="11" t="s">
        <v>28</v>
      </c>
      <c r="N4632" s="8">
        <v>44378</v>
      </c>
      <c r="O4632" s="9" t="s">
        <v>52</v>
      </c>
      <c r="P4632" s="12" t="s">
        <v>8261</v>
      </c>
      <c r="Q4632" s="9" t="s">
        <v>1263</v>
      </c>
      <c r="R4632" s="14" t="str">
        <f>HYPERLINK("https://my.pitchbook.com?c=289686-43T","View Company Online")</f>
        <v>View Company Online</v>
      </c>
    </row>
    <row r="4633" spans="1:18" hidden="1" x14ac:dyDescent="0.3">
      <c r="A4633" s="15" t="s">
        <v>14861</v>
      </c>
      <c r="B4633" s="15" t="s">
        <v>14862</v>
      </c>
      <c r="C4633" s="18" t="s">
        <v>28</v>
      </c>
      <c r="D4633" s="15" t="s">
        <v>14863</v>
      </c>
      <c r="E4633" s="18" t="s">
        <v>28</v>
      </c>
      <c r="F4633" s="19">
        <v>83.58</v>
      </c>
      <c r="G4633" s="19">
        <v>83.58</v>
      </c>
      <c r="H4633" s="19">
        <v>83.58</v>
      </c>
      <c r="I4633" s="18" t="s">
        <v>28</v>
      </c>
      <c r="J4633" s="18" t="s">
        <v>28</v>
      </c>
      <c r="K4633" s="18" t="s">
        <v>28</v>
      </c>
      <c r="L4633" s="18" t="s">
        <v>28</v>
      </c>
      <c r="M4633" s="18" t="s">
        <v>28</v>
      </c>
      <c r="N4633" s="17">
        <v>44378</v>
      </c>
      <c r="O4633" s="15" t="s">
        <v>30</v>
      </c>
      <c r="P4633" s="16" t="s">
        <v>14864</v>
      </c>
      <c r="Q4633" s="15" t="s">
        <v>1007</v>
      </c>
      <c r="R4633" s="13" t="str">
        <f>HYPERLINK("https://my.pitchbook.com?c=169909-39T","View Company Online")</f>
        <v>View Company Online</v>
      </c>
    </row>
    <row r="4634" spans="1:18" hidden="1" x14ac:dyDescent="0.3">
      <c r="A4634" s="9" t="s">
        <v>14865</v>
      </c>
      <c r="B4634" s="9" t="s">
        <v>9232</v>
      </c>
      <c r="C4634" s="11" t="s">
        <v>28</v>
      </c>
      <c r="D4634" s="9" t="s">
        <v>9233</v>
      </c>
      <c r="E4634" s="11" t="s">
        <v>28</v>
      </c>
      <c r="F4634" s="10" t="s">
        <v>28</v>
      </c>
      <c r="G4634" s="10" t="s">
        <v>28</v>
      </c>
      <c r="H4634" s="10" t="s">
        <v>28</v>
      </c>
      <c r="I4634" s="11" t="s">
        <v>28</v>
      </c>
      <c r="J4634" s="11" t="s">
        <v>28</v>
      </c>
      <c r="K4634" s="11" t="s">
        <v>28</v>
      </c>
      <c r="L4634" s="11" t="s">
        <v>28</v>
      </c>
      <c r="M4634" s="11" t="s">
        <v>28</v>
      </c>
      <c r="N4634" s="8">
        <v>44378</v>
      </c>
      <c r="O4634" s="9" t="s">
        <v>79</v>
      </c>
      <c r="P4634" s="12" t="s">
        <v>12524</v>
      </c>
      <c r="Q4634" s="9" t="s">
        <v>75</v>
      </c>
      <c r="R4634" s="14" t="str">
        <f>HYPERLINK("https://my.pitchbook.com?c=184098-34T","View Company Online")</f>
        <v>View Company Online</v>
      </c>
    </row>
    <row r="4635" spans="1:18" hidden="1" x14ac:dyDescent="0.3">
      <c r="A4635" s="15" t="s">
        <v>14866</v>
      </c>
      <c r="B4635" s="15" t="s">
        <v>14867</v>
      </c>
      <c r="C4635" s="18" t="s">
        <v>28</v>
      </c>
      <c r="D4635" s="15" t="s">
        <v>14868</v>
      </c>
      <c r="E4635" s="18" t="s">
        <v>28</v>
      </c>
      <c r="F4635" s="19">
        <v>6.37</v>
      </c>
      <c r="G4635" s="19">
        <v>6.37</v>
      </c>
      <c r="H4635" s="19">
        <v>6.37</v>
      </c>
      <c r="I4635" s="18" t="s">
        <v>28</v>
      </c>
      <c r="J4635" s="18" t="s">
        <v>28</v>
      </c>
      <c r="K4635" s="18" t="s">
        <v>28</v>
      </c>
      <c r="L4635" s="18" t="s">
        <v>28</v>
      </c>
      <c r="M4635" s="18" t="s">
        <v>28</v>
      </c>
      <c r="N4635" s="17">
        <v>44378</v>
      </c>
      <c r="O4635" s="15" t="s">
        <v>30</v>
      </c>
      <c r="P4635" s="16" t="s">
        <v>14869</v>
      </c>
      <c r="Q4635" s="15" t="s">
        <v>583</v>
      </c>
      <c r="R4635" s="13" t="str">
        <f>HYPERLINK("https://my.pitchbook.com?c=178668-91T","View Company Online")</f>
        <v>View Company Online</v>
      </c>
    </row>
    <row r="4636" spans="1:18" hidden="1" x14ac:dyDescent="0.3">
      <c r="A4636" s="9" t="s">
        <v>14870</v>
      </c>
      <c r="B4636" s="9" t="s">
        <v>857</v>
      </c>
      <c r="C4636" s="11" t="s">
        <v>28</v>
      </c>
      <c r="D4636" s="9" t="s">
        <v>858</v>
      </c>
      <c r="E4636" s="11" t="s">
        <v>28</v>
      </c>
      <c r="F4636" s="10" t="s">
        <v>28</v>
      </c>
      <c r="G4636" s="10" t="s">
        <v>28</v>
      </c>
      <c r="H4636" s="10" t="s">
        <v>28</v>
      </c>
      <c r="I4636" s="11" t="s">
        <v>28</v>
      </c>
      <c r="J4636" s="11" t="s">
        <v>28</v>
      </c>
      <c r="K4636" s="11" t="s">
        <v>28</v>
      </c>
      <c r="L4636" s="11" t="s">
        <v>28</v>
      </c>
      <c r="M4636" s="11" t="s">
        <v>28</v>
      </c>
      <c r="N4636" s="8">
        <v>44378</v>
      </c>
      <c r="O4636" s="9" t="s">
        <v>52</v>
      </c>
      <c r="P4636" s="12" t="s">
        <v>14871</v>
      </c>
      <c r="Q4636" s="9" t="s">
        <v>583</v>
      </c>
      <c r="R4636" s="14" t="str">
        <f>HYPERLINK("https://my.pitchbook.com?c=297643-87T","View Company Online")</f>
        <v>View Company Online</v>
      </c>
    </row>
    <row r="4637" spans="1:18" hidden="1" x14ac:dyDescent="0.3">
      <c r="A4637" s="15" t="s">
        <v>14872</v>
      </c>
      <c r="B4637" s="15" t="s">
        <v>4955</v>
      </c>
      <c r="C4637" s="18" t="s">
        <v>28</v>
      </c>
      <c r="D4637" s="15" t="s">
        <v>4956</v>
      </c>
      <c r="E4637" s="18" t="s">
        <v>28</v>
      </c>
      <c r="F4637" s="19" t="s">
        <v>28</v>
      </c>
      <c r="G4637" s="19" t="s">
        <v>28</v>
      </c>
      <c r="H4637" s="19" t="s">
        <v>28</v>
      </c>
      <c r="I4637" s="18" t="s">
        <v>28</v>
      </c>
      <c r="J4637" s="18" t="s">
        <v>28</v>
      </c>
      <c r="K4637" s="18" t="s">
        <v>28</v>
      </c>
      <c r="L4637" s="18" t="s">
        <v>28</v>
      </c>
      <c r="M4637" s="18" t="s">
        <v>28</v>
      </c>
      <c r="N4637" s="17">
        <v>44378</v>
      </c>
      <c r="O4637" s="15" t="s">
        <v>73</v>
      </c>
      <c r="P4637" s="16" t="s">
        <v>14873</v>
      </c>
      <c r="Q4637" s="15" t="s">
        <v>386</v>
      </c>
      <c r="R4637" s="13" t="str">
        <f>HYPERLINK("https://my.pitchbook.com?c=195259-69T","View Company Online")</f>
        <v>View Company Online</v>
      </c>
    </row>
    <row r="4638" spans="1:18" hidden="1" x14ac:dyDescent="0.3">
      <c r="A4638" s="9" t="s">
        <v>14874</v>
      </c>
      <c r="B4638" s="9" t="s">
        <v>14875</v>
      </c>
      <c r="C4638" s="11" t="s">
        <v>28</v>
      </c>
      <c r="D4638" s="9" t="s">
        <v>14876</v>
      </c>
      <c r="E4638" s="11" t="s">
        <v>28</v>
      </c>
      <c r="F4638" s="10" t="s">
        <v>28</v>
      </c>
      <c r="G4638" s="10" t="s">
        <v>28</v>
      </c>
      <c r="H4638" s="10" t="s">
        <v>28</v>
      </c>
      <c r="I4638" s="11" t="s">
        <v>28</v>
      </c>
      <c r="J4638" s="11" t="s">
        <v>28</v>
      </c>
      <c r="K4638" s="11" t="s">
        <v>28</v>
      </c>
      <c r="L4638" s="11" t="s">
        <v>28</v>
      </c>
      <c r="M4638" s="11" t="s">
        <v>28</v>
      </c>
      <c r="N4638" s="8">
        <v>44378</v>
      </c>
      <c r="O4638" s="9" t="s">
        <v>79</v>
      </c>
      <c r="P4638" s="12" t="s">
        <v>14877</v>
      </c>
      <c r="Q4638" s="9" t="s">
        <v>409</v>
      </c>
      <c r="R4638" s="14" t="str">
        <f>HYPERLINK("https://my.pitchbook.com?c=177026-50T","View Company Online")</f>
        <v>View Company Online</v>
      </c>
    </row>
    <row r="4639" spans="1:18" hidden="1" x14ac:dyDescent="0.3">
      <c r="A4639" s="15" t="s">
        <v>14878</v>
      </c>
      <c r="B4639" s="15" t="s">
        <v>3523</v>
      </c>
      <c r="C4639" s="18" t="s">
        <v>28</v>
      </c>
      <c r="D4639" s="15" t="s">
        <v>3524</v>
      </c>
      <c r="E4639" s="18" t="s">
        <v>28</v>
      </c>
      <c r="F4639" s="19" t="s">
        <v>28</v>
      </c>
      <c r="G4639" s="19">
        <v>0.9</v>
      </c>
      <c r="H4639" s="19">
        <v>12</v>
      </c>
      <c r="I4639" s="18" t="s">
        <v>28</v>
      </c>
      <c r="J4639" s="18" t="s">
        <v>28</v>
      </c>
      <c r="K4639" s="18" t="s">
        <v>28</v>
      </c>
      <c r="L4639" s="18" t="s">
        <v>28</v>
      </c>
      <c r="M4639" s="18" t="s">
        <v>28</v>
      </c>
      <c r="N4639" s="17">
        <v>44378</v>
      </c>
      <c r="O4639" s="15" t="s">
        <v>73</v>
      </c>
      <c r="P4639" s="16" t="s">
        <v>14879</v>
      </c>
      <c r="Q4639" s="15" t="s">
        <v>95</v>
      </c>
      <c r="R4639" s="13" t="str">
        <f>HYPERLINK("https://my.pitchbook.com?c=177887-98T","View Company Online")</f>
        <v>View Company Online</v>
      </c>
    </row>
    <row r="4640" spans="1:18" hidden="1" x14ac:dyDescent="0.3">
      <c r="A4640" s="9" t="s">
        <v>14880</v>
      </c>
      <c r="B4640" s="9" t="s">
        <v>1315</v>
      </c>
      <c r="C4640" s="11" t="s">
        <v>28</v>
      </c>
      <c r="D4640" s="9" t="s">
        <v>1316</v>
      </c>
      <c r="E4640" s="11">
        <v>31.03</v>
      </c>
      <c r="F4640" s="10" t="s">
        <v>28</v>
      </c>
      <c r="G4640" s="10" t="s">
        <v>28</v>
      </c>
      <c r="H4640" s="10" t="s">
        <v>28</v>
      </c>
      <c r="I4640" s="11">
        <v>45.33</v>
      </c>
      <c r="J4640" s="11" t="s">
        <v>28</v>
      </c>
      <c r="K4640" s="11">
        <v>154</v>
      </c>
      <c r="L4640" s="11" t="s">
        <v>28</v>
      </c>
      <c r="M4640" s="11">
        <v>1.78</v>
      </c>
      <c r="N4640" s="8">
        <v>44378</v>
      </c>
      <c r="O4640" s="9" t="s">
        <v>173</v>
      </c>
      <c r="P4640" s="12" t="s">
        <v>28</v>
      </c>
      <c r="Q4640" s="9" t="s">
        <v>1088</v>
      </c>
      <c r="R4640" s="14" t="str">
        <f>HYPERLINK("https://my.pitchbook.com?c=165188-17T","View Company Online")</f>
        <v>View Company Online</v>
      </c>
    </row>
    <row r="4641" spans="1:18" hidden="1" x14ac:dyDescent="0.3">
      <c r="A4641" s="15" t="s">
        <v>14881</v>
      </c>
      <c r="B4641" s="15" t="s">
        <v>14882</v>
      </c>
      <c r="C4641" s="18" t="s">
        <v>28</v>
      </c>
      <c r="D4641" s="15" t="s">
        <v>14883</v>
      </c>
      <c r="E4641" s="18" t="s">
        <v>28</v>
      </c>
      <c r="F4641" s="19">
        <v>0.01</v>
      </c>
      <c r="G4641" s="19">
        <v>0.01</v>
      </c>
      <c r="H4641" s="19">
        <v>0.01</v>
      </c>
      <c r="I4641" s="18" t="s">
        <v>28</v>
      </c>
      <c r="J4641" s="18" t="s">
        <v>28</v>
      </c>
      <c r="K4641" s="18" t="s">
        <v>28</v>
      </c>
      <c r="L4641" s="18" t="s">
        <v>28</v>
      </c>
      <c r="M4641" s="18" t="s">
        <v>28</v>
      </c>
      <c r="N4641" s="17">
        <v>44378</v>
      </c>
      <c r="O4641" s="15" t="s">
        <v>30</v>
      </c>
      <c r="P4641" s="16" t="s">
        <v>14884</v>
      </c>
      <c r="Q4641" s="15" t="s">
        <v>1793</v>
      </c>
      <c r="R4641" s="13" t="str">
        <f>HYPERLINK("https://my.pitchbook.com?c=201779-65T","View Company Online")</f>
        <v>View Company Online</v>
      </c>
    </row>
    <row r="4642" spans="1:18" hidden="1" x14ac:dyDescent="0.3">
      <c r="A4642" s="9" t="s">
        <v>14885</v>
      </c>
      <c r="B4642" s="9" t="s">
        <v>14886</v>
      </c>
      <c r="C4642" s="11" t="s">
        <v>28</v>
      </c>
      <c r="D4642" s="9" t="s">
        <v>14887</v>
      </c>
      <c r="E4642" s="11" t="s">
        <v>28</v>
      </c>
      <c r="F4642" s="10" t="s">
        <v>28</v>
      </c>
      <c r="G4642" s="10" t="s">
        <v>28</v>
      </c>
      <c r="H4642" s="10" t="s">
        <v>28</v>
      </c>
      <c r="I4642" s="11" t="s">
        <v>28</v>
      </c>
      <c r="J4642" s="11" t="s">
        <v>28</v>
      </c>
      <c r="K4642" s="11" t="s">
        <v>28</v>
      </c>
      <c r="L4642" s="11" t="s">
        <v>28</v>
      </c>
      <c r="M4642" s="11" t="s">
        <v>28</v>
      </c>
      <c r="N4642" s="8">
        <v>44378</v>
      </c>
      <c r="O4642" s="9" t="s">
        <v>73</v>
      </c>
      <c r="P4642" s="12" t="s">
        <v>80</v>
      </c>
      <c r="Q4642" s="9" t="s">
        <v>75</v>
      </c>
      <c r="R4642" s="14" t="str">
        <f>HYPERLINK("https://my.pitchbook.com?c=177016-69T","View Company Online")</f>
        <v>View Company Online</v>
      </c>
    </row>
    <row r="4643" spans="1:18" hidden="1" x14ac:dyDescent="0.3">
      <c r="A4643" s="15" t="s">
        <v>14888</v>
      </c>
      <c r="B4643" s="15" t="s">
        <v>206</v>
      </c>
      <c r="C4643" s="18" t="s">
        <v>28</v>
      </c>
      <c r="D4643" s="15" t="s">
        <v>207</v>
      </c>
      <c r="E4643" s="18" t="s">
        <v>28</v>
      </c>
      <c r="F4643" s="19" t="s">
        <v>28</v>
      </c>
      <c r="G4643" s="19">
        <v>104</v>
      </c>
      <c r="H4643" s="19" t="s">
        <v>28</v>
      </c>
      <c r="I4643" s="18" t="s">
        <v>28</v>
      </c>
      <c r="J4643" s="18" t="s">
        <v>28</v>
      </c>
      <c r="K4643" s="18">
        <v>127</v>
      </c>
      <c r="L4643" s="18" t="s">
        <v>28</v>
      </c>
      <c r="M4643" s="18" t="s">
        <v>28</v>
      </c>
      <c r="N4643" s="17">
        <v>44378</v>
      </c>
      <c r="O4643" s="15" t="s">
        <v>73</v>
      </c>
      <c r="P4643" s="16" t="s">
        <v>14889</v>
      </c>
      <c r="Q4643" s="15" t="s">
        <v>85</v>
      </c>
      <c r="R4643" s="13" t="str">
        <f>HYPERLINK("https://my.pitchbook.com?c=178484-23T","View Company Online")</f>
        <v>View Company Online</v>
      </c>
    </row>
    <row r="4644" spans="1:18" hidden="1" x14ac:dyDescent="0.3">
      <c r="A4644" s="9" t="s">
        <v>14890</v>
      </c>
      <c r="B4644" s="9" t="s">
        <v>14891</v>
      </c>
      <c r="C4644" s="11" t="s">
        <v>28</v>
      </c>
      <c r="D4644" s="9" t="s">
        <v>14892</v>
      </c>
      <c r="E4644" s="11" t="s">
        <v>28</v>
      </c>
      <c r="F4644" s="10" t="s">
        <v>28</v>
      </c>
      <c r="G4644" s="10" t="s">
        <v>28</v>
      </c>
      <c r="H4644" s="10" t="s">
        <v>28</v>
      </c>
      <c r="I4644" s="11" t="s">
        <v>28</v>
      </c>
      <c r="J4644" s="11" t="s">
        <v>28</v>
      </c>
      <c r="K4644" s="11" t="s">
        <v>28</v>
      </c>
      <c r="L4644" s="11" t="s">
        <v>28</v>
      </c>
      <c r="M4644" s="11" t="s">
        <v>28</v>
      </c>
      <c r="N4644" s="8">
        <v>44378</v>
      </c>
      <c r="O4644" s="9" t="s">
        <v>52</v>
      </c>
      <c r="P4644" s="12" t="s">
        <v>14893</v>
      </c>
      <c r="Q4644" s="9" t="s">
        <v>583</v>
      </c>
      <c r="R4644" s="14" t="str">
        <f>HYPERLINK("https://my.pitchbook.com?c=189818-20T","View Company Online")</f>
        <v>View Company Online</v>
      </c>
    </row>
    <row r="4645" spans="1:18" hidden="1" x14ac:dyDescent="0.3">
      <c r="A4645" s="15" t="s">
        <v>14894</v>
      </c>
      <c r="B4645" s="15" t="s">
        <v>5868</v>
      </c>
      <c r="C4645" s="18" t="s">
        <v>28</v>
      </c>
      <c r="D4645" s="15" t="s">
        <v>5869</v>
      </c>
      <c r="E4645" s="18" t="s">
        <v>28</v>
      </c>
      <c r="F4645" s="19" t="s">
        <v>28</v>
      </c>
      <c r="G4645" s="19">
        <v>20.05</v>
      </c>
      <c r="H4645" s="19" t="s">
        <v>28</v>
      </c>
      <c r="I4645" s="18" t="s">
        <v>28</v>
      </c>
      <c r="J4645" s="18" t="s">
        <v>28</v>
      </c>
      <c r="K4645" s="18" t="s">
        <v>28</v>
      </c>
      <c r="L4645" s="18" t="s">
        <v>28</v>
      </c>
      <c r="M4645" s="18" t="s">
        <v>28</v>
      </c>
      <c r="N4645" s="17">
        <v>44378</v>
      </c>
      <c r="O4645" s="15" t="s">
        <v>93</v>
      </c>
      <c r="P4645" s="16" t="s">
        <v>8652</v>
      </c>
      <c r="Q4645" s="15" t="s">
        <v>5870</v>
      </c>
      <c r="R4645" s="13" t="str">
        <f>HYPERLINK("https://my.pitchbook.com?c=242401-78T","View Company Online")</f>
        <v>View Company Online</v>
      </c>
    </row>
    <row r="4646" spans="1:18" hidden="1" x14ac:dyDescent="0.3">
      <c r="A4646" s="9" t="s">
        <v>14895</v>
      </c>
      <c r="B4646" s="9" t="s">
        <v>5737</v>
      </c>
      <c r="C4646" s="11" t="s">
        <v>28</v>
      </c>
      <c r="D4646" s="9" t="s">
        <v>5738</v>
      </c>
      <c r="E4646" s="11" t="s">
        <v>28</v>
      </c>
      <c r="F4646" s="10" t="s">
        <v>28</v>
      </c>
      <c r="G4646" s="10">
        <v>3</v>
      </c>
      <c r="H4646" s="10">
        <v>4.4800000000000004</v>
      </c>
      <c r="I4646" s="11" t="s">
        <v>28</v>
      </c>
      <c r="J4646" s="11" t="s">
        <v>28</v>
      </c>
      <c r="K4646" s="11" t="s">
        <v>28</v>
      </c>
      <c r="L4646" s="11" t="s">
        <v>28</v>
      </c>
      <c r="M4646" s="11" t="s">
        <v>28</v>
      </c>
      <c r="N4646" s="8">
        <v>44378</v>
      </c>
      <c r="O4646" s="9" t="s">
        <v>73</v>
      </c>
      <c r="P4646" s="12" t="s">
        <v>6712</v>
      </c>
      <c r="Q4646" s="9" t="s">
        <v>583</v>
      </c>
      <c r="R4646" s="14" t="str">
        <f>HYPERLINK("https://my.pitchbook.com?c=226861-66T","View Company Online")</f>
        <v>View Company Online</v>
      </c>
    </row>
    <row r="4647" spans="1:18" hidden="1" x14ac:dyDescent="0.3">
      <c r="A4647" s="15" t="s">
        <v>14896</v>
      </c>
      <c r="B4647" s="15" t="s">
        <v>5512</v>
      </c>
      <c r="C4647" s="18" t="s">
        <v>28</v>
      </c>
      <c r="D4647" s="15" t="s">
        <v>5513</v>
      </c>
      <c r="E4647" s="18" t="s">
        <v>28</v>
      </c>
      <c r="F4647" s="19" t="s">
        <v>28</v>
      </c>
      <c r="G4647" s="19" t="s">
        <v>28</v>
      </c>
      <c r="H4647" s="19" t="s">
        <v>28</v>
      </c>
      <c r="I4647" s="18" t="s">
        <v>28</v>
      </c>
      <c r="J4647" s="18" t="s">
        <v>28</v>
      </c>
      <c r="K4647" s="18">
        <v>0.56000000000000005</v>
      </c>
      <c r="L4647" s="18" t="s">
        <v>28</v>
      </c>
      <c r="M4647" s="18" t="s">
        <v>28</v>
      </c>
      <c r="N4647" s="17">
        <v>44378</v>
      </c>
      <c r="O4647" s="15" t="s">
        <v>99</v>
      </c>
      <c r="P4647" s="16" t="s">
        <v>14897</v>
      </c>
      <c r="Q4647" s="15" t="s">
        <v>75</v>
      </c>
      <c r="R4647" s="13" t="str">
        <f>HYPERLINK("https://my.pitchbook.com?c=178561-81T","View Company Online")</f>
        <v>View Company Online</v>
      </c>
    </row>
    <row r="4648" spans="1:18" hidden="1" x14ac:dyDescent="0.3">
      <c r="A4648" s="9" t="s">
        <v>14898</v>
      </c>
      <c r="B4648" s="9" t="s">
        <v>14899</v>
      </c>
      <c r="C4648" s="11" t="s">
        <v>28</v>
      </c>
      <c r="D4648" s="9" t="s">
        <v>14900</v>
      </c>
      <c r="E4648" s="11" t="s">
        <v>28</v>
      </c>
      <c r="F4648" s="10" t="s">
        <v>28</v>
      </c>
      <c r="G4648" s="10" t="s">
        <v>28</v>
      </c>
      <c r="H4648" s="10" t="s">
        <v>28</v>
      </c>
      <c r="I4648" s="11" t="s">
        <v>28</v>
      </c>
      <c r="J4648" s="11" t="s">
        <v>28</v>
      </c>
      <c r="K4648" s="11" t="s">
        <v>28</v>
      </c>
      <c r="L4648" s="11" t="s">
        <v>28</v>
      </c>
      <c r="M4648" s="11" t="s">
        <v>28</v>
      </c>
      <c r="N4648" s="8">
        <v>44378</v>
      </c>
      <c r="O4648" s="9" t="s">
        <v>79</v>
      </c>
      <c r="P4648" s="12" t="s">
        <v>14901</v>
      </c>
      <c r="Q4648" s="9" t="s">
        <v>245</v>
      </c>
      <c r="R4648" s="14" t="str">
        <f>HYPERLINK("https://my.pitchbook.com?c=176566-51T","View Company Online")</f>
        <v>View Company Online</v>
      </c>
    </row>
    <row r="4649" spans="1:18" hidden="1" x14ac:dyDescent="0.3">
      <c r="A4649" s="15" t="s">
        <v>14902</v>
      </c>
      <c r="B4649" s="15" t="s">
        <v>8810</v>
      </c>
      <c r="C4649" s="18" t="s">
        <v>28</v>
      </c>
      <c r="D4649" s="15" t="s">
        <v>8811</v>
      </c>
      <c r="E4649" s="18" t="s">
        <v>28</v>
      </c>
      <c r="F4649" s="19" t="s">
        <v>28</v>
      </c>
      <c r="G4649" s="19">
        <v>1.69</v>
      </c>
      <c r="H4649" s="19" t="s">
        <v>28</v>
      </c>
      <c r="I4649" s="18" t="s">
        <v>28</v>
      </c>
      <c r="J4649" s="18" t="s">
        <v>28</v>
      </c>
      <c r="K4649" s="18" t="s">
        <v>28</v>
      </c>
      <c r="L4649" s="18" t="s">
        <v>28</v>
      </c>
      <c r="M4649" s="18" t="s">
        <v>28</v>
      </c>
      <c r="N4649" s="17">
        <v>44378</v>
      </c>
      <c r="O4649" s="15" t="s">
        <v>79</v>
      </c>
      <c r="P4649" s="16" t="s">
        <v>14903</v>
      </c>
      <c r="Q4649" s="15" t="s">
        <v>75</v>
      </c>
      <c r="R4649" s="13" t="str">
        <f>HYPERLINK("https://my.pitchbook.com?c=175718-71T","View Company Online")</f>
        <v>View Company Online</v>
      </c>
    </row>
    <row r="4650" spans="1:18" hidden="1" x14ac:dyDescent="0.3">
      <c r="A4650" s="9" t="s">
        <v>14904</v>
      </c>
      <c r="B4650" s="9" t="s">
        <v>14905</v>
      </c>
      <c r="C4650" s="11" t="s">
        <v>28</v>
      </c>
      <c r="D4650" s="9" t="s">
        <v>14906</v>
      </c>
      <c r="E4650" s="11" t="s">
        <v>28</v>
      </c>
      <c r="F4650" s="10" t="s">
        <v>28</v>
      </c>
      <c r="G4650" s="10" t="s">
        <v>28</v>
      </c>
      <c r="H4650" s="10" t="s">
        <v>28</v>
      </c>
      <c r="I4650" s="11" t="s">
        <v>28</v>
      </c>
      <c r="J4650" s="11" t="s">
        <v>28</v>
      </c>
      <c r="K4650" s="11">
        <v>12.97</v>
      </c>
      <c r="L4650" s="11" t="s">
        <v>28</v>
      </c>
      <c r="M4650" s="11" t="s">
        <v>28</v>
      </c>
      <c r="N4650" s="8">
        <v>44378</v>
      </c>
      <c r="O4650" s="9" t="s">
        <v>30</v>
      </c>
      <c r="P4650" s="12" t="s">
        <v>394</v>
      </c>
      <c r="Q4650" s="9" t="s">
        <v>43</v>
      </c>
      <c r="R4650" s="14" t="str">
        <f>HYPERLINK("https://my.pitchbook.com?c=202047-67T","View Company Online")</f>
        <v>View Company Online</v>
      </c>
    </row>
    <row r="4651" spans="1:18" hidden="1" x14ac:dyDescent="0.3">
      <c r="A4651" s="15" t="s">
        <v>14907</v>
      </c>
      <c r="B4651" s="15" t="s">
        <v>14908</v>
      </c>
      <c r="C4651" s="18" t="s">
        <v>28</v>
      </c>
      <c r="D4651" s="15" t="s">
        <v>14909</v>
      </c>
      <c r="E4651" s="18" t="s">
        <v>28</v>
      </c>
      <c r="F4651" s="19" t="s">
        <v>28</v>
      </c>
      <c r="G4651" s="19" t="s">
        <v>28</v>
      </c>
      <c r="H4651" s="19" t="s">
        <v>28</v>
      </c>
      <c r="I4651" s="18" t="s">
        <v>28</v>
      </c>
      <c r="J4651" s="18" t="s">
        <v>28</v>
      </c>
      <c r="K4651" s="18" t="s">
        <v>28</v>
      </c>
      <c r="L4651" s="18" t="s">
        <v>28</v>
      </c>
      <c r="M4651" s="18" t="s">
        <v>28</v>
      </c>
      <c r="N4651" s="17">
        <v>44378</v>
      </c>
      <c r="O4651" s="15" t="s">
        <v>79</v>
      </c>
      <c r="P4651" s="16" t="s">
        <v>14910</v>
      </c>
      <c r="Q4651" s="15" t="s">
        <v>43</v>
      </c>
      <c r="R4651" s="13" t="str">
        <f>HYPERLINK("https://my.pitchbook.com?c=176982-49T","View Company Online")</f>
        <v>View Company Online</v>
      </c>
    </row>
    <row r="4652" spans="1:18" hidden="1" x14ac:dyDescent="0.3">
      <c r="A4652" s="9" t="s">
        <v>14911</v>
      </c>
      <c r="B4652" s="9" t="s">
        <v>14912</v>
      </c>
      <c r="C4652" s="11" t="s">
        <v>28</v>
      </c>
      <c r="D4652" s="9" t="s">
        <v>14913</v>
      </c>
      <c r="E4652" s="11" t="s">
        <v>28</v>
      </c>
      <c r="F4652" s="10" t="s">
        <v>28</v>
      </c>
      <c r="G4652" s="10">
        <v>0.09</v>
      </c>
      <c r="H4652" s="10" t="s">
        <v>28</v>
      </c>
      <c r="I4652" s="11" t="s">
        <v>28</v>
      </c>
      <c r="J4652" s="11" t="s">
        <v>28</v>
      </c>
      <c r="K4652" s="11" t="s">
        <v>28</v>
      </c>
      <c r="L4652" s="11" t="s">
        <v>28</v>
      </c>
      <c r="M4652" s="11" t="s">
        <v>28</v>
      </c>
      <c r="N4652" s="8">
        <v>44378</v>
      </c>
      <c r="O4652" s="9" t="s">
        <v>99</v>
      </c>
      <c r="P4652" s="12" t="s">
        <v>28</v>
      </c>
      <c r="Q4652" s="9" t="s">
        <v>583</v>
      </c>
      <c r="R4652" s="14" t="str">
        <f>HYPERLINK("https://my.pitchbook.com?c=209176-48T","View Company Online")</f>
        <v>View Company Online</v>
      </c>
    </row>
    <row r="4653" spans="1:18" hidden="1" x14ac:dyDescent="0.3">
      <c r="A4653" s="15" t="s">
        <v>14914</v>
      </c>
      <c r="B4653" s="15" t="s">
        <v>4303</v>
      </c>
      <c r="C4653" s="18" t="s">
        <v>28</v>
      </c>
      <c r="D4653" s="15" t="s">
        <v>4304</v>
      </c>
      <c r="E4653" s="18" t="s">
        <v>28</v>
      </c>
      <c r="F4653" s="19" t="s">
        <v>28</v>
      </c>
      <c r="G4653" s="19" t="s">
        <v>28</v>
      </c>
      <c r="H4653" s="19" t="s">
        <v>28</v>
      </c>
      <c r="I4653" s="18" t="s">
        <v>28</v>
      </c>
      <c r="J4653" s="18" t="s">
        <v>28</v>
      </c>
      <c r="K4653" s="18" t="s">
        <v>28</v>
      </c>
      <c r="L4653" s="18" t="s">
        <v>28</v>
      </c>
      <c r="M4653" s="18" t="s">
        <v>28</v>
      </c>
      <c r="N4653" s="17">
        <v>44378</v>
      </c>
      <c r="O4653" s="15" t="s">
        <v>99</v>
      </c>
      <c r="P4653" s="16" t="s">
        <v>611</v>
      </c>
      <c r="Q4653" s="15" t="s">
        <v>95</v>
      </c>
      <c r="R4653" s="13" t="str">
        <f>HYPERLINK("https://my.pitchbook.com?c=178557-76T","View Company Online")</f>
        <v>View Company Online</v>
      </c>
    </row>
    <row r="4654" spans="1:18" hidden="1" x14ac:dyDescent="0.3">
      <c r="A4654" s="9" t="s">
        <v>14915</v>
      </c>
      <c r="B4654" s="9" t="s">
        <v>14480</v>
      </c>
      <c r="C4654" s="11" t="s">
        <v>28</v>
      </c>
      <c r="D4654" s="9" t="s">
        <v>14481</v>
      </c>
      <c r="E4654" s="11" t="s">
        <v>28</v>
      </c>
      <c r="F4654" s="10" t="s">
        <v>28</v>
      </c>
      <c r="G4654" s="10" t="s">
        <v>28</v>
      </c>
      <c r="H4654" s="10" t="s">
        <v>28</v>
      </c>
      <c r="I4654" s="11" t="s">
        <v>28</v>
      </c>
      <c r="J4654" s="11" t="s">
        <v>28</v>
      </c>
      <c r="K4654" s="11" t="s">
        <v>28</v>
      </c>
      <c r="L4654" s="11" t="s">
        <v>28</v>
      </c>
      <c r="M4654" s="11" t="s">
        <v>28</v>
      </c>
      <c r="N4654" s="8">
        <v>44378</v>
      </c>
      <c r="O4654" s="9" t="s">
        <v>79</v>
      </c>
      <c r="P4654" s="12" t="s">
        <v>4268</v>
      </c>
      <c r="Q4654" s="9" t="s">
        <v>75</v>
      </c>
      <c r="R4654" s="14" t="str">
        <f>HYPERLINK("https://my.pitchbook.com?c=177030-46T","View Company Online")</f>
        <v>View Company Online</v>
      </c>
    </row>
    <row r="4655" spans="1:18" hidden="1" x14ac:dyDescent="0.3">
      <c r="A4655" s="15" t="s">
        <v>14916</v>
      </c>
      <c r="B4655" s="15" t="s">
        <v>1637</v>
      </c>
      <c r="C4655" s="18" t="s">
        <v>28</v>
      </c>
      <c r="D4655" s="15" t="s">
        <v>1638</v>
      </c>
      <c r="E4655" s="18" t="s">
        <v>28</v>
      </c>
      <c r="F4655" s="19" t="s">
        <v>28</v>
      </c>
      <c r="G4655" s="19" t="s">
        <v>28</v>
      </c>
      <c r="H4655" s="19" t="s">
        <v>28</v>
      </c>
      <c r="I4655" s="18" t="s">
        <v>28</v>
      </c>
      <c r="J4655" s="18" t="s">
        <v>28</v>
      </c>
      <c r="K4655" s="18" t="s">
        <v>28</v>
      </c>
      <c r="L4655" s="18" t="s">
        <v>28</v>
      </c>
      <c r="M4655" s="18" t="s">
        <v>28</v>
      </c>
      <c r="N4655" s="17">
        <v>44378</v>
      </c>
      <c r="O4655" s="15" t="s">
        <v>52</v>
      </c>
      <c r="P4655" s="16" t="s">
        <v>1970</v>
      </c>
      <c r="Q4655" s="15" t="s">
        <v>855</v>
      </c>
      <c r="R4655" s="13" t="str">
        <f>HYPERLINK("https://my.pitchbook.com?c=296865-10T","View Company Online")</f>
        <v>View Company Online</v>
      </c>
    </row>
    <row r="4656" spans="1:18" hidden="1" x14ac:dyDescent="0.3">
      <c r="A4656" s="9" t="s">
        <v>14917</v>
      </c>
      <c r="B4656" s="9" t="s">
        <v>14918</v>
      </c>
      <c r="C4656" s="11" t="s">
        <v>28</v>
      </c>
      <c r="D4656" s="9" t="s">
        <v>14919</v>
      </c>
      <c r="E4656" s="11" t="s">
        <v>28</v>
      </c>
      <c r="F4656" s="10" t="s">
        <v>28</v>
      </c>
      <c r="G4656" s="10">
        <v>0.14000000000000001</v>
      </c>
      <c r="H4656" s="10">
        <v>1.99</v>
      </c>
      <c r="I4656" s="11" t="s">
        <v>28</v>
      </c>
      <c r="J4656" s="11" t="s">
        <v>28</v>
      </c>
      <c r="K4656" s="11">
        <v>0.08</v>
      </c>
      <c r="L4656" s="11">
        <v>26.46</v>
      </c>
      <c r="M4656" s="11" t="s">
        <v>28</v>
      </c>
      <c r="N4656" s="8">
        <v>44377</v>
      </c>
      <c r="O4656" s="9" t="s">
        <v>1639</v>
      </c>
      <c r="P4656" s="12" t="s">
        <v>28</v>
      </c>
      <c r="Q4656" s="9" t="s">
        <v>37</v>
      </c>
      <c r="R4656" s="14" t="str">
        <f>HYPERLINK("https://my.pitchbook.com?c=175100-05T","View Company Online")</f>
        <v>View Company Online</v>
      </c>
    </row>
    <row r="4657" spans="1:18" hidden="1" x14ac:dyDescent="0.3">
      <c r="A4657" s="15" t="s">
        <v>14920</v>
      </c>
      <c r="B4657" s="15" t="s">
        <v>14801</v>
      </c>
      <c r="C4657" s="18" t="s">
        <v>28</v>
      </c>
      <c r="D4657" s="15" t="s">
        <v>14802</v>
      </c>
      <c r="E4657" s="18" t="s">
        <v>28</v>
      </c>
      <c r="F4657" s="19" t="s">
        <v>28</v>
      </c>
      <c r="G4657" s="19" t="s">
        <v>28</v>
      </c>
      <c r="H4657" s="19" t="s">
        <v>28</v>
      </c>
      <c r="I4657" s="18" t="s">
        <v>28</v>
      </c>
      <c r="J4657" s="18" t="s">
        <v>28</v>
      </c>
      <c r="K4657" s="18" t="s">
        <v>28</v>
      </c>
      <c r="L4657" s="18" t="s">
        <v>28</v>
      </c>
      <c r="M4657" s="18" t="s">
        <v>28</v>
      </c>
      <c r="N4657" s="17">
        <v>44377</v>
      </c>
      <c r="O4657" s="15" t="s">
        <v>30</v>
      </c>
      <c r="P4657" s="16" t="s">
        <v>14921</v>
      </c>
      <c r="Q4657" s="15" t="s">
        <v>43</v>
      </c>
      <c r="R4657" s="13" t="str">
        <f>HYPERLINK("https://my.pitchbook.com?c=253481-59T","View Company Online")</f>
        <v>View Company Online</v>
      </c>
    </row>
    <row r="4658" spans="1:18" hidden="1" x14ac:dyDescent="0.3">
      <c r="A4658" s="9" t="s">
        <v>14922</v>
      </c>
      <c r="B4658" s="9" t="s">
        <v>12503</v>
      </c>
      <c r="C4658" s="11" t="s">
        <v>28</v>
      </c>
      <c r="D4658" s="9" t="s">
        <v>12504</v>
      </c>
      <c r="E4658" s="11" t="s">
        <v>28</v>
      </c>
      <c r="F4658" s="10" t="s">
        <v>28</v>
      </c>
      <c r="G4658" s="10">
        <v>33.78</v>
      </c>
      <c r="H4658" s="10" t="s">
        <v>28</v>
      </c>
      <c r="I4658" s="11" t="s">
        <v>28</v>
      </c>
      <c r="J4658" s="11" t="s">
        <v>28</v>
      </c>
      <c r="K4658" s="11">
        <v>10.01</v>
      </c>
      <c r="L4658" s="11" t="s">
        <v>28</v>
      </c>
      <c r="M4658" s="11" t="s">
        <v>28</v>
      </c>
      <c r="N4658" s="8">
        <v>44377</v>
      </c>
      <c r="O4658" s="9" t="s">
        <v>79</v>
      </c>
      <c r="P4658" s="12" t="s">
        <v>14923</v>
      </c>
      <c r="Q4658" s="9" t="s">
        <v>114</v>
      </c>
      <c r="R4658" s="14" t="str">
        <f>HYPERLINK("https://my.pitchbook.com?c=175544-74T","View Company Online")</f>
        <v>View Company Online</v>
      </c>
    </row>
    <row r="4659" spans="1:18" hidden="1" x14ac:dyDescent="0.3">
      <c r="A4659" s="15" t="s">
        <v>14924</v>
      </c>
      <c r="B4659" s="15" t="s">
        <v>14925</v>
      </c>
      <c r="C4659" s="18" t="s">
        <v>28</v>
      </c>
      <c r="D4659" s="15" t="s">
        <v>14926</v>
      </c>
      <c r="E4659" s="18" t="s">
        <v>28</v>
      </c>
      <c r="F4659" s="19" t="s">
        <v>28</v>
      </c>
      <c r="G4659" s="19" t="s">
        <v>28</v>
      </c>
      <c r="H4659" s="19" t="s">
        <v>28</v>
      </c>
      <c r="I4659" s="18" t="s">
        <v>28</v>
      </c>
      <c r="J4659" s="18" t="s">
        <v>28</v>
      </c>
      <c r="K4659" s="18">
        <v>1.3</v>
      </c>
      <c r="L4659" s="18" t="s">
        <v>28</v>
      </c>
      <c r="M4659" s="18">
        <v>1.1100000000000001</v>
      </c>
      <c r="N4659" s="17">
        <v>44376</v>
      </c>
      <c r="O4659" s="15" t="s">
        <v>173</v>
      </c>
      <c r="P4659" s="16" t="s">
        <v>28</v>
      </c>
      <c r="Q4659" s="15" t="s">
        <v>174</v>
      </c>
      <c r="R4659" s="13" t="str">
        <f>HYPERLINK("https://my.pitchbook.com?c=251688-43T","View Company Online")</f>
        <v>View Company Online</v>
      </c>
    </row>
    <row r="4660" spans="1:18" hidden="1" x14ac:dyDescent="0.3">
      <c r="A4660" s="9" t="s">
        <v>14927</v>
      </c>
      <c r="B4660" s="9" t="s">
        <v>14928</v>
      </c>
      <c r="C4660" s="11" t="s">
        <v>28</v>
      </c>
      <c r="D4660" s="9" t="s">
        <v>14929</v>
      </c>
      <c r="E4660" s="11" t="s">
        <v>28</v>
      </c>
      <c r="F4660" s="10" t="s">
        <v>28</v>
      </c>
      <c r="G4660" s="10">
        <v>0.34</v>
      </c>
      <c r="H4660" s="10" t="s">
        <v>28</v>
      </c>
      <c r="I4660" s="11" t="s">
        <v>28</v>
      </c>
      <c r="J4660" s="11" t="s">
        <v>28</v>
      </c>
      <c r="K4660" s="11" t="s">
        <v>28</v>
      </c>
      <c r="L4660" s="11" t="s">
        <v>28</v>
      </c>
      <c r="M4660" s="11" t="s">
        <v>28</v>
      </c>
      <c r="N4660" s="8">
        <v>44376</v>
      </c>
      <c r="O4660" s="9" t="s">
        <v>379</v>
      </c>
      <c r="P4660" s="12" t="s">
        <v>14930</v>
      </c>
      <c r="Q4660" s="9" t="s">
        <v>75</v>
      </c>
      <c r="R4660" s="14" t="str">
        <f>HYPERLINK("https://my.pitchbook.com?c=175472-20T","View Company Online")</f>
        <v>View Company Online</v>
      </c>
    </row>
    <row r="4661" spans="1:18" hidden="1" x14ac:dyDescent="0.3">
      <c r="A4661" s="15" t="s">
        <v>14931</v>
      </c>
      <c r="B4661" s="15" t="s">
        <v>14932</v>
      </c>
      <c r="C4661" s="18" t="s">
        <v>28</v>
      </c>
      <c r="D4661" s="15" t="s">
        <v>14933</v>
      </c>
      <c r="E4661" s="18" t="s">
        <v>28</v>
      </c>
      <c r="F4661" s="19" t="s">
        <v>28</v>
      </c>
      <c r="G4661" s="19">
        <v>0.59</v>
      </c>
      <c r="H4661" s="19" t="s">
        <v>28</v>
      </c>
      <c r="I4661" s="18" t="s">
        <v>28</v>
      </c>
      <c r="J4661" s="18" t="s">
        <v>28</v>
      </c>
      <c r="K4661" s="18" t="s">
        <v>28</v>
      </c>
      <c r="L4661" s="18" t="s">
        <v>28</v>
      </c>
      <c r="M4661" s="18" t="s">
        <v>28</v>
      </c>
      <c r="N4661" s="17">
        <v>44376</v>
      </c>
      <c r="O4661" s="15" t="s">
        <v>73</v>
      </c>
      <c r="P4661" s="16" t="s">
        <v>3000</v>
      </c>
      <c r="Q4661" s="15" t="s">
        <v>75</v>
      </c>
      <c r="R4661" s="13" t="str">
        <f>HYPERLINK("https://my.pitchbook.com?c=172470-79T","View Company Online")</f>
        <v>View Company Online</v>
      </c>
    </row>
    <row r="4662" spans="1:18" hidden="1" x14ac:dyDescent="0.3">
      <c r="A4662" s="9" t="s">
        <v>14934</v>
      </c>
      <c r="B4662" s="9" t="s">
        <v>4624</v>
      </c>
      <c r="C4662" s="11" t="s">
        <v>28</v>
      </c>
      <c r="D4662" s="9" t="s">
        <v>4625</v>
      </c>
      <c r="E4662" s="11" t="s">
        <v>28</v>
      </c>
      <c r="F4662" s="10" t="s">
        <v>28</v>
      </c>
      <c r="G4662" s="10">
        <v>5</v>
      </c>
      <c r="H4662" s="10">
        <v>46.5</v>
      </c>
      <c r="I4662" s="11" t="s">
        <v>28</v>
      </c>
      <c r="J4662" s="11" t="s">
        <v>28</v>
      </c>
      <c r="K4662" s="11">
        <v>0.39</v>
      </c>
      <c r="L4662" s="11">
        <v>119.79</v>
      </c>
      <c r="M4662" s="11" t="s">
        <v>28</v>
      </c>
      <c r="N4662" s="8">
        <v>44375</v>
      </c>
      <c r="O4662" s="9" t="s">
        <v>73</v>
      </c>
      <c r="P4662" s="12" t="s">
        <v>14935</v>
      </c>
      <c r="Q4662" s="9" t="s">
        <v>43</v>
      </c>
      <c r="R4662" s="14" t="str">
        <f>HYPERLINK("https://my.pitchbook.com?c=175321-72T","View Company Online")</f>
        <v>View Company Online</v>
      </c>
    </row>
    <row r="4663" spans="1:18" hidden="1" x14ac:dyDescent="0.3">
      <c r="A4663" s="15" t="s">
        <v>14936</v>
      </c>
      <c r="B4663" s="15" t="s">
        <v>5134</v>
      </c>
      <c r="C4663" s="18" t="s">
        <v>28</v>
      </c>
      <c r="D4663" s="15" t="s">
        <v>5135</v>
      </c>
      <c r="E4663" s="18" t="s">
        <v>28</v>
      </c>
      <c r="F4663" s="19" t="s">
        <v>28</v>
      </c>
      <c r="G4663" s="19" t="s">
        <v>28</v>
      </c>
      <c r="H4663" s="19" t="s">
        <v>28</v>
      </c>
      <c r="I4663" s="18" t="s">
        <v>28</v>
      </c>
      <c r="J4663" s="18" t="s">
        <v>28</v>
      </c>
      <c r="K4663" s="18" t="s">
        <v>28</v>
      </c>
      <c r="L4663" s="18" t="s">
        <v>28</v>
      </c>
      <c r="M4663" s="18">
        <v>-117.82</v>
      </c>
      <c r="N4663" s="17">
        <v>44375</v>
      </c>
      <c r="O4663" s="15" t="s">
        <v>93</v>
      </c>
      <c r="P4663" s="16" t="s">
        <v>5136</v>
      </c>
      <c r="Q4663" s="15" t="s">
        <v>1213</v>
      </c>
      <c r="R4663" s="13" t="str">
        <f>HYPERLINK("https://my.pitchbook.com?c=175337-11T","View Company Online")</f>
        <v>View Company Online</v>
      </c>
    </row>
    <row r="4664" spans="1:18" hidden="1" x14ac:dyDescent="0.3">
      <c r="A4664" s="9" t="s">
        <v>14937</v>
      </c>
      <c r="B4664" s="9" t="s">
        <v>9940</v>
      </c>
      <c r="C4664" s="11" t="s">
        <v>28</v>
      </c>
      <c r="D4664" s="9" t="s">
        <v>9941</v>
      </c>
      <c r="E4664" s="11" t="s">
        <v>28</v>
      </c>
      <c r="F4664" s="10" t="s">
        <v>28</v>
      </c>
      <c r="G4664" s="10" t="s">
        <v>28</v>
      </c>
      <c r="H4664" s="10" t="s">
        <v>28</v>
      </c>
      <c r="I4664" s="11" t="s">
        <v>28</v>
      </c>
      <c r="J4664" s="11" t="s">
        <v>28</v>
      </c>
      <c r="K4664" s="11" t="s">
        <v>28</v>
      </c>
      <c r="L4664" s="11" t="s">
        <v>28</v>
      </c>
      <c r="M4664" s="11" t="s">
        <v>28</v>
      </c>
      <c r="N4664" s="8">
        <v>44375</v>
      </c>
      <c r="O4664" s="9" t="s">
        <v>99</v>
      </c>
      <c r="P4664" s="12" t="s">
        <v>14938</v>
      </c>
      <c r="Q4664" s="9" t="s">
        <v>1336</v>
      </c>
      <c r="R4664" s="14" t="str">
        <f>HYPERLINK("https://my.pitchbook.com?c=208312-93T","View Company Online")</f>
        <v>View Company Online</v>
      </c>
    </row>
    <row r="4665" spans="1:18" hidden="1" x14ac:dyDescent="0.3">
      <c r="A4665" s="15" t="s">
        <v>14939</v>
      </c>
      <c r="B4665" s="15" t="s">
        <v>14940</v>
      </c>
      <c r="C4665" s="18" t="s">
        <v>28</v>
      </c>
      <c r="D4665" s="15" t="s">
        <v>14941</v>
      </c>
      <c r="E4665" s="18" t="s">
        <v>28</v>
      </c>
      <c r="F4665" s="19" t="s">
        <v>28</v>
      </c>
      <c r="G4665" s="19">
        <v>0.99</v>
      </c>
      <c r="H4665" s="19">
        <v>6.33</v>
      </c>
      <c r="I4665" s="18" t="s">
        <v>28</v>
      </c>
      <c r="J4665" s="18" t="s">
        <v>28</v>
      </c>
      <c r="K4665" s="18" t="s">
        <v>28</v>
      </c>
      <c r="L4665" s="18" t="s">
        <v>28</v>
      </c>
      <c r="M4665" s="18" t="s">
        <v>28</v>
      </c>
      <c r="N4665" s="17">
        <v>44375</v>
      </c>
      <c r="O4665" s="15" t="s">
        <v>1639</v>
      </c>
      <c r="P4665" s="16" t="s">
        <v>28</v>
      </c>
      <c r="Q4665" s="15" t="s">
        <v>37</v>
      </c>
      <c r="R4665" s="13" t="str">
        <f>HYPERLINK("https://my.pitchbook.com?c=215315-92T","View Company Online")</f>
        <v>View Company Online</v>
      </c>
    </row>
    <row r="4666" spans="1:18" hidden="1" x14ac:dyDescent="0.3">
      <c r="A4666" s="9" t="s">
        <v>14942</v>
      </c>
      <c r="B4666" s="9" t="s">
        <v>14943</v>
      </c>
      <c r="C4666" s="11" t="s">
        <v>28</v>
      </c>
      <c r="D4666" s="9" t="s">
        <v>14944</v>
      </c>
      <c r="E4666" s="11" t="s">
        <v>28</v>
      </c>
      <c r="F4666" s="10" t="s">
        <v>28</v>
      </c>
      <c r="G4666" s="10" t="s">
        <v>28</v>
      </c>
      <c r="H4666" s="10" t="s">
        <v>28</v>
      </c>
      <c r="I4666" s="11" t="s">
        <v>28</v>
      </c>
      <c r="J4666" s="11" t="s">
        <v>28</v>
      </c>
      <c r="K4666" s="11">
        <v>9.6999999999999993</v>
      </c>
      <c r="L4666" s="11" t="s">
        <v>28</v>
      </c>
      <c r="M4666" s="11" t="s">
        <v>28</v>
      </c>
      <c r="N4666" s="8">
        <v>44374</v>
      </c>
      <c r="O4666" s="9" t="s">
        <v>58</v>
      </c>
      <c r="P4666" s="12" t="s">
        <v>14945</v>
      </c>
      <c r="Q4666" s="9" t="s">
        <v>114</v>
      </c>
      <c r="R4666" s="14" t="str">
        <f>HYPERLINK("https://my.pitchbook.com?c=181839-70T","View Company Online")</f>
        <v>View Company Online</v>
      </c>
    </row>
    <row r="4667" spans="1:18" hidden="1" x14ac:dyDescent="0.3">
      <c r="A4667" s="15" t="s">
        <v>14946</v>
      </c>
      <c r="B4667" s="15" t="s">
        <v>5312</v>
      </c>
      <c r="C4667" s="18" t="s">
        <v>28</v>
      </c>
      <c r="D4667" s="15" t="s">
        <v>5313</v>
      </c>
      <c r="E4667" s="18" t="s">
        <v>28</v>
      </c>
      <c r="F4667" s="19" t="s">
        <v>28</v>
      </c>
      <c r="G4667" s="19">
        <v>525</v>
      </c>
      <c r="H4667" s="19">
        <v>2900</v>
      </c>
      <c r="I4667" s="18" t="s">
        <v>28</v>
      </c>
      <c r="J4667" s="18" t="s">
        <v>28</v>
      </c>
      <c r="K4667" s="18">
        <v>150</v>
      </c>
      <c r="L4667" s="18">
        <v>19.329999999999998</v>
      </c>
      <c r="M4667" s="18" t="s">
        <v>28</v>
      </c>
      <c r="N4667" s="17">
        <v>44374</v>
      </c>
      <c r="O4667" s="15" t="s">
        <v>79</v>
      </c>
      <c r="P4667" s="16" t="s">
        <v>14947</v>
      </c>
      <c r="Q4667" s="15" t="s">
        <v>119</v>
      </c>
      <c r="R4667" s="13" t="str">
        <f>HYPERLINK("https://my.pitchbook.com?c=169026-04T","View Company Online")</f>
        <v>View Company Online</v>
      </c>
    </row>
    <row r="4668" spans="1:18" hidden="1" x14ac:dyDescent="0.3">
      <c r="A4668" s="9" t="s">
        <v>14948</v>
      </c>
      <c r="B4668" s="9" t="s">
        <v>14949</v>
      </c>
      <c r="C4668" s="11" t="s">
        <v>28</v>
      </c>
      <c r="D4668" s="9" t="s">
        <v>14950</v>
      </c>
      <c r="E4668" s="11" t="s">
        <v>28</v>
      </c>
      <c r="F4668" s="10" t="s">
        <v>28</v>
      </c>
      <c r="G4668" s="10">
        <v>0.89</v>
      </c>
      <c r="H4668" s="10" t="s">
        <v>28</v>
      </c>
      <c r="I4668" s="11" t="s">
        <v>28</v>
      </c>
      <c r="J4668" s="11" t="s">
        <v>28</v>
      </c>
      <c r="K4668" s="11" t="s">
        <v>28</v>
      </c>
      <c r="L4668" s="11" t="s">
        <v>28</v>
      </c>
      <c r="M4668" s="11" t="s">
        <v>28</v>
      </c>
      <c r="N4668" s="8">
        <v>44374</v>
      </c>
      <c r="O4668" s="9" t="s">
        <v>73</v>
      </c>
      <c r="P4668" s="12" t="s">
        <v>14951</v>
      </c>
      <c r="Q4668" s="9" t="s">
        <v>136</v>
      </c>
      <c r="R4668" s="14" t="str">
        <f>HYPERLINK("https://my.pitchbook.com?c=175323-52T","View Company Online")</f>
        <v>View Company Online</v>
      </c>
    </row>
    <row r="4669" spans="1:18" hidden="1" x14ac:dyDescent="0.3">
      <c r="A4669" s="15" t="s">
        <v>14952</v>
      </c>
      <c r="B4669" s="15" t="s">
        <v>14953</v>
      </c>
      <c r="C4669" s="18" t="s">
        <v>28</v>
      </c>
      <c r="D4669" s="15" t="s">
        <v>14954</v>
      </c>
      <c r="E4669" s="18" t="s">
        <v>28</v>
      </c>
      <c r="F4669" s="19" t="s">
        <v>28</v>
      </c>
      <c r="G4669" s="19">
        <v>10</v>
      </c>
      <c r="H4669" s="19" t="s">
        <v>28</v>
      </c>
      <c r="I4669" s="18" t="s">
        <v>28</v>
      </c>
      <c r="J4669" s="18" t="s">
        <v>28</v>
      </c>
      <c r="K4669" s="18" t="s">
        <v>28</v>
      </c>
      <c r="L4669" s="18" t="s">
        <v>28</v>
      </c>
      <c r="M4669" s="18" t="s">
        <v>28</v>
      </c>
      <c r="N4669" s="17">
        <v>44374</v>
      </c>
      <c r="O4669" s="15" t="s">
        <v>73</v>
      </c>
      <c r="P4669" s="16" t="s">
        <v>14955</v>
      </c>
      <c r="Q4669" s="15" t="s">
        <v>119</v>
      </c>
      <c r="R4669" s="13" t="str">
        <f>HYPERLINK("https://my.pitchbook.com?c=174835-54T","View Company Online")</f>
        <v>View Company Online</v>
      </c>
    </row>
    <row r="4670" spans="1:18" hidden="1" x14ac:dyDescent="0.3">
      <c r="A4670" s="9" t="s">
        <v>14956</v>
      </c>
      <c r="B4670" s="9" t="s">
        <v>1751</v>
      </c>
      <c r="C4670" s="11" t="s">
        <v>28</v>
      </c>
      <c r="D4670" s="9" t="s">
        <v>1752</v>
      </c>
      <c r="E4670" s="11" t="s">
        <v>28</v>
      </c>
      <c r="F4670" s="10" t="s">
        <v>28</v>
      </c>
      <c r="G4670" s="10">
        <v>0.79</v>
      </c>
      <c r="H4670" s="10" t="s">
        <v>28</v>
      </c>
      <c r="I4670" s="11" t="s">
        <v>28</v>
      </c>
      <c r="J4670" s="11" t="s">
        <v>28</v>
      </c>
      <c r="K4670" s="11" t="s">
        <v>28</v>
      </c>
      <c r="L4670" s="11" t="s">
        <v>28</v>
      </c>
      <c r="M4670" s="11" t="s">
        <v>28</v>
      </c>
      <c r="N4670" s="8">
        <v>44373</v>
      </c>
      <c r="O4670" s="9" t="s">
        <v>79</v>
      </c>
      <c r="P4670" s="12" t="s">
        <v>14957</v>
      </c>
      <c r="Q4670" s="9" t="s">
        <v>75</v>
      </c>
      <c r="R4670" s="14" t="str">
        <f>HYPERLINK("https://my.pitchbook.com?c=175282-48T","View Company Online")</f>
        <v>View Company Online</v>
      </c>
    </row>
    <row r="4671" spans="1:18" hidden="1" x14ac:dyDescent="0.3">
      <c r="A4671" s="15" t="s">
        <v>14958</v>
      </c>
      <c r="B4671" s="15" t="s">
        <v>1775</v>
      </c>
      <c r="C4671" s="18" t="s">
        <v>28</v>
      </c>
      <c r="D4671" s="15" t="s">
        <v>1776</v>
      </c>
      <c r="E4671" s="18" t="s">
        <v>28</v>
      </c>
      <c r="F4671" s="19" t="s">
        <v>28</v>
      </c>
      <c r="G4671" s="19">
        <v>0.56999999999999995</v>
      </c>
      <c r="H4671" s="19" t="s">
        <v>28</v>
      </c>
      <c r="I4671" s="18" t="s">
        <v>28</v>
      </c>
      <c r="J4671" s="18" t="s">
        <v>28</v>
      </c>
      <c r="K4671" s="18" t="s">
        <v>28</v>
      </c>
      <c r="L4671" s="18" t="s">
        <v>28</v>
      </c>
      <c r="M4671" s="18" t="s">
        <v>28</v>
      </c>
      <c r="N4671" s="17">
        <v>44373</v>
      </c>
      <c r="O4671" s="15" t="s">
        <v>99</v>
      </c>
      <c r="P4671" s="16" t="s">
        <v>14959</v>
      </c>
      <c r="Q4671" s="15" t="s">
        <v>37</v>
      </c>
      <c r="R4671" s="13" t="str">
        <f>HYPERLINK("https://my.pitchbook.com?c=180037-54T","View Company Online")</f>
        <v>View Company Online</v>
      </c>
    </row>
    <row r="4672" spans="1:18" hidden="1" x14ac:dyDescent="0.3">
      <c r="A4672" s="9" t="s">
        <v>14960</v>
      </c>
      <c r="B4672" s="9" t="s">
        <v>14961</v>
      </c>
      <c r="C4672" s="11" t="s">
        <v>28</v>
      </c>
      <c r="D4672" s="9" t="s">
        <v>14962</v>
      </c>
      <c r="E4672" s="11" t="s">
        <v>28</v>
      </c>
      <c r="F4672" s="10">
        <v>0.01</v>
      </c>
      <c r="G4672" s="10">
        <v>0.01</v>
      </c>
      <c r="H4672" s="10">
        <v>0.01</v>
      </c>
      <c r="I4672" s="11" t="s">
        <v>28</v>
      </c>
      <c r="J4672" s="11" t="s">
        <v>28</v>
      </c>
      <c r="K4672" s="11" t="s">
        <v>28</v>
      </c>
      <c r="L4672" s="11" t="s">
        <v>28</v>
      </c>
      <c r="M4672" s="11" t="s">
        <v>28</v>
      </c>
      <c r="N4672" s="8">
        <v>44372</v>
      </c>
      <c r="O4672" s="9" t="s">
        <v>30</v>
      </c>
      <c r="P4672" s="12" t="s">
        <v>11237</v>
      </c>
      <c r="Q4672" s="9" t="s">
        <v>348</v>
      </c>
      <c r="R4672" s="14" t="str">
        <f>HYPERLINK("https://my.pitchbook.com?c=212176-72T","View Company Online")</f>
        <v>View Company Online</v>
      </c>
    </row>
    <row r="4673" spans="1:18" hidden="1" x14ac:dyDescent="0.3">
      <c r="A4673" s="15" t="s">
        <v>14963</v>
      </c>
      <c r="B4673" s="15" t="s">
        <v>14964</v>
      </c>
      <c r="C4673" s="18" t="s">
        <v>28</v>
      </c>
      <c r="D4673" s="15" t="s">
        <v>14965</v>
      </c>
      <c r="E4673" s="18" t="s">
        <v>28</v>
      </c>
      <c r="F4673" s="19">
        <v>64.87</v>
      </c>
      <c r="G4673" s="19">
        <v>32.44</v>
      </c>
      <c r="H4673" s="19">
        <v>64.87</v>
      </c>
      <c r="I4673" s="18" t="s">
        <v>28</v>
      </c>
      <c r="J4673" s="18" t="s">
        <v>28</v>
      </c>
      <c r="K4673" s="18" t="s">
        <v>28</v>
      </c>
      <c r="L4673" s="18" t="s">
        <v>28</v>
      </c>
      <c r="M4673" s="18" t="s">
        <v>28</v>
      </c>
      <c r="N4673" s="17">
        <v>44372</v>
      </c>
      <c r="O4673" s="15" t="s">
        <v>30</v>
      </c>
      <c r="P4673" s="16" t="s">
        <v>14966</v>
      </c>
      <c r="Q4673" s="15" t="s">
        <v>37</v>
      </c>
      <c r="R4673" s="13" t="str">
        <f>HYPERLINK("https://my.pitchbook.com?c=175249-99T","View Company Online")</f>
        <v>View Company Online</v>
      </c>
    </row>
    <row r="4674" spans="1:18" hidden="1" x14ac:dyDescent="0.3">
      <c r="A4674" s="9" t="s">
        <v>14967</v>
      </c>
      <c r="B4674" s="9" t="s">
        <v>14034</v>
      </c>
      <c r="C4674" s="11" t="s">
        <v>28</v>
      </c>
      <c r="D4674" s="9" t="s">
        <v>14035</v>
      </c>
      <c r="E4674" s="11" t="s">
        <v>28</v>
      </c>
      <c r="F4674" s="10" t="s">
        <v>28</v>
      </c>
      <c r="G4674" s="10" t="s">
        <v>28</v>
      </c>
      <c r="H4674" s="10">
        <v>1.35</v>
      </c>
      <c r="I4674" s="11" t="s">
        <v>28</v>
      </c>
      <c r="J4674" s="11" t="s">
        <v>28</v>
      </c>
      <c r="K4674" s="11">
        <v>0.23</v>
      </c>
      <c r="L4674" s="11">
        <v>5.8</v>
      </c>
      <c r="M4674" s="11" t="s">
        <v>28</v>
      </c>
      <c r="N4674" s="8">
        <v>44372</v>
      </c>
      <c r="O4674" s="9" t="s">
        <v>52</v>
      </c>
      <c r="P4674" s="12" t="s">
        <v>14968</v>
      </c>
      <c r="Q4674" s="9" t="s">
        <v>75</v>
      </c>
      <c r="R4674" s="14" t="str">
        <f>HYPERLINK("https://my.pitchbook.com?c=294594-04T","View Company Online")</f>
        <v>View Company Online</v>
      </c>
    </row>
    <row r="4675" spans="1:18" hidden="1" x14ac:dyDescent="0.3">
      <c r="A4675" s="15" t="s">
        <v>14969</v>
      </c>
      <c r="B4675" s="15" t="s">
        <v>14940</v>
      </c>
      <c r="C4675" s="18" t="s">
        <v>28</v>
      </c>
      <c r="D4675" s="15" t="s">
        <v>14941</v>
      </c>
      <c r="E4675" s="18" t="s">
        <v>28</v>
      </c>
      <c r="F4675" s="19" t="s">
        <v>28</v>
      </c>
      <c r="G4675" s="19">
        <v>5</v>
      </c>
      <c r="H4675" s="19" t="s">
        <v>28</v>
      </c>
      <c r="I4675" s="18" t="s">
        <v>28</v>
      </c>
      <c r="J4675" s="18" t="s">
        <v>28</v>
      </c>
      <c r="K4675" s="18" t="s">
        <v>28</v>
      </c>
      <c r="L4675" s="18" t="s">
        <v>28</v>
      </c>
      <c r="M4675" s="18" t="s">
        <v>28</v>
      </c>
      <c r="N4675" s="17">
        <v>44372</v>
      </c>
      <c r="O4675" s="15" t="s">
        <v>73</v>
      </c>
      <c r="P4675" s="16" t="s">
        <v>14970</v>
      </c>
      <c r="Q4675" s="15" t="s">
        <v>37</v>
      </c>
      <c r="R4675" s="13" t="str">
        <f>HYPERLINK("https://my.pitchbook.com?c=215317-72T","View Company Online")</f>
        <v>View Company Online</v>
      </c>
    </row>
    <row r="4676" spans="1:18" hidden="1" x14ac:dyDescent="0.3">
      <c r="A4676" s="9" t="s">
        <v>14971</v>
      </c>
      <c r="B4676" s="9" t="s">
        <v>14702</v>
      </c>
      <c r="C4676" s="11" t="s">
        <v>28</v>
      </c>
      <c r="D4676" s="9" t="s">
        <v>14972</v>
      </c>
      <c r="E4676" s="11" t="s">
        <v>28</v>
      </c>
      <c r="F4676" s="10" t="s">
        <v>28</v>
      </c>
      <c r="G4676" s="10" t="s">
        <v>28</v>
      </c>
      <c r="H4676" s="10" t="s">
        <v>28</v>
      </c>
      <c r="I4676" s="11" t="s">
        <v>28</v>
      </c>
      <c r="J4676" s="11" t="s">
        <v>28</v>
      </c>
      <c r="K4676" s="11" t="s">
        <v>28</v>
      </c>
      <c r="L4676" s="11" t="s">
        <v>28</v>
      </c>
      <c r="M4676" s="11" t="s">
        <v>28</v>
      </c>
      <c r="N4676" s="8">
        <v>44372</v>
      </c>
      <c r="O4676" s="9" t="s">
        <v>58</v>
      </c>
      <c r="P4676" s="12" t="s">
        <v>421</v>
      </c>
      <c r="Q4676" s="9" t="s">
        <v>240</v>
      </c>
      <c r="R4676" s="14" t="str">
        <f>HYPERLINK("https://my.pitchbook.com?c=199435-60T","View Company Online")</f>
        <v>View Company Online</v>
      </c>
    </row>
    <row r="4677" spans="1:18" hidden="1" x14ac:dyDescent="0.3">
      <c r="A4677" s="15" t="s">
        <v>14973</v>
      </c>
      <c r="B4677" s="15" t="s">
        <v>14974</v>
      </c>
      <c r="C4677" s="18" t="s">
        <v>28</v>
      </c>
      <c r="D4677" s="15" t="s">
        <v>14975</v>
      </c>
      <c r="E4677" s="18" t="s">
        <v>28</v>
      </c>
      <c r="F4677" s="19">
        <v>255.55</v>
      </c>
      <c r="G4677" s="19">
        <v>255.55</v>
      </c>
      <c r="H4677" s="19">
        <v>255.55</v>
      </c>
      <c r="I4677" s="18" t="s">
        <v>28</v>
      </c>
      <c r="J4677" s="18" t="s">
        <v>28</v>
      </c>
      <c r="K4677" s="18" t="s">
        <v>28</v>
      </c>
      <c r="L4677" s="18" t="s">
        <v>28</v>
      </c>
      <c r="M4677" s="18" t="s">
        <v>28</v>
      </c>
      <c r="N4677" s="17">
        <v>44372</v>
      </c>
      <c r="O4677" s="15" t="s">
        <v>30</v>
      </c>
      <c r="P4677" s="16" t="s">
        <v>279</v>
      </c>
      <c r="Q4677" s="15" t="s">
        <v>136</v>
      </c>
      <c r="R4677" s="13" t="str">
        <f>HYPERLINK("https://my.pitchbook.com?c=175250-17T","View Company Online")</f>
        <v>View Company Online</v>
      </c>
    </row>
    <row r="4678" spans="1:18" hidden="1" x14ac:dyDescent="0.3">
      <c r="A4678" s="9" t="s">
        <v>14976</v>
      </c>
      <c r="B4678" s="9" t="s">
        <v>14977</v>
      </c>
      <c r="C4678" s="11" t="s">
        <v>28</v>
      </c>
      <c r="D4678" s="9" t="s">
        <v>14978</v>
      </c>
      <c r="E4678" s="11" t="s">
        <v>28</v>
      </c>
      <c r="F4678" s="10" t="s">
        <v>28</v>
      </c>
      <c r="G4678" s="10" t="s">
        <v>28</v>
      </c>
      <c r="H4678" s="10" t="s">
        <v>28</v>
      </c>
      <c r="I4678" s="11" t="s">
        <v>28</v>
      </c>
      <c r="J4678" s="11" t="s">
        <v>28</v>
      </c>
      <c r="K4678" s="11" t="s">
        <v>28</v>
      </c>
      <c r="L4678" s="11" t="s">
        <v>28</v>
      </c>
      <c r="M4678" s="11" t="s">
        <v>28</v>
      </c>
      <c r="N4678" s="8">
        <v>44372</v>
      </c>
      <c r="O4678" s="9" t="s">
        <v>30</v>
      </c>
      <c r="P4678" s="12" t="s">
        <v>10730</v>
      </c>
      <c r="Q4678" s="9" t="s">
        <v>114</v>
      </c>
      <c r="R4678" s="14" t="str">
        <f>HYPERLINK("https://my.pitchbook.com?c=212370-58T","View Company Online")</f>
        <v>View Company Online</v>
      </c>
    </row>
    <row r="4679" spans="1:18" hidden="1" x14ac:dyDescent="0.3">
      <c r="A4679" s="15" t="s">
        <v>14979</v>
      </c>
      <c r="B4679" s="15" t="s">
        <v>10621</v>
      </c>
      <c r="C4679" s="18" t="s">
        <v>28</v>
      </c>
      <c r="D4679" s="15" t="s">
        <v>10622</v>
      </c>
      <c r="E4679" s="18" t="s">
        <v>28</v>
      </c>
      <c r="F4679" s="19">
        <v>68.61</v>
      </c>
      <c r="G4679" s="19">
        <v>68.61</v>
      </c>
      <c r="H4679" s="19">
        <v>68.61</v>
      </c>
      <c r="I4679" s="18" t="s">
        <v>28</v>
      </c>
      <c r="J4679" s="18" t="s">
        <v>28</v>
      </c>
      <c r="K4679" s="18">
        <v>33.380000000000003</v>
      </c>
      <c r="L4679" s="18">
        <v>2.06</v>
      </c>
      <c r="M4679" s="18" t="s">
        <v>28</v>
      </c>
      <c r="N4679" s="17">
        <v>44371</v>
      </c>
      <c r="O4679" s="15" t="s">
        <v>41</v>
      </c>
      <c r="P4679" s="16" t="s">
        <v>343</v>
      </c>
      <c r="Q4679" s="15" t="s">
        <v>245</v>
      </c>
      <c r="R4679" s="13" t="str">
        <f>HYPERLINK("https://my.pitchbook.com?c=232359-76T","View Company Online")</f>
        <v>View Company Online</v>
      </c>
    </row>
    <row r="4680" spans="1:18" hidden="1" x14ac:dyDescent="0.3">
      <c r="A4680" s="9" t="s">
        <v>14980</v>
      </c>
      <c r="B4680" s="9" t="s">
        <v>14981</v>
      </c>
      <c r="C4680" s="11" t="s">
        <v>28</v>
      </c>
      <c r="D4680" s="9" t="s">
        <v>14982</v>
      </c>
      <c r="E4680" s="11" t="s">
        <v>28</v>
      </c>
      <c r="F4680" s="10" t="s">
        <v>28</v>
      </c>
      <c r="G4680" s="10" t="s">
        <v>28</v>
      </c>
      <c r="H4680" s="10" t="s">
        <v>28</v>
      </c>
      <c r="I4680" s="11" t="s">
        <v>28</v>
      </c>
      <c r="J4680" s="11" t="s">
        <v>28</v>
      </c>
      <c r="K4680" s="11" t="s">
        <v>28</v>
      </c>
      <c r="L4680" s="11" t="s">
        <v>28</v>
      </c>
      <c r="M4680" s="11" t="s">
        <v>28</v>
      </c>
      <c r="N4680" s="8">
        <v>44371</v>
      </c>
      <c r="O4680" s="9" t="s">
        <v>173</v>
      </c>
      <c r="P4680" s="12" t="s">
        <v>28</v>
      </c>
      <c r="Q4680" s="9" t="s">
        <v>174</v>
      </c>
      <c r="R4680" s="14" t="str">
        <f>HYPERLINK("https://my.pitchbook.com?c=224281-90T","View Company Online")</f>
        <v>View Company Online</v>
      </c>
    </row>
    <row r="4681" spans="1:18" hidden="1" x14ac:dyDescent="0.3">
      <c r="A4681" s="15" t="s">
        <v>14983</v>
      </c>
      <c r="B4681" s="15" t="s">
        <v>14984</v>
      </c>
      <c r="C4681" s="18" t="s">
        <v>28</v>
      </c>
      <c r="D4681" s="15" t="s">
        <v>14985</v>
      </c>
      <c r="E4681" s="18" t="s">
        <v>28</v>
      </c>
      <c r="F4681" s="19" t="s">
        <v>28</v>
      </c>
      <c r="G4681" s="19">
        <v>0.05</v>
      </c>
      <c r="H4681" s="19" t="s">
        <v>28</v>
      </c>
      <c r="I4681" s="18" t="s">
        <v>28</v>
      </c>
      <c r="J4681" s="18" t="s">
        <v>28</v>
      </c>
      <c r="K4681" s="18" t="s">
        <v>28</v>
      </c>
      <c r="L4681" s="18" t="s">
        <v>28</v>
      </c>
      <c r="M4681" s="18" t="s">
        <v>28</v>
      </c>
      <c r="N4681" s="17">
        <v>44371</v>
      </c>
      <c r="O4681" s="15" t="s">
        <v>52</v>
      </c>
      <c r="P4681" s="16" t="s">
        <v>14986</v>
      </c>
      <c r="Q4681" s="15" t="s">
        <v>14987</v>
      </c>
      <c r="R4681" s="13" t="str">
        <f>HYPERLINK("https://my.pitchbook.com?c=268625-71T","View Company Online")</f>
        <v>View Company Online</v>
      </c>
    </row>
    <row r="4682" spans="1:18" hidden="1" x14ac:dyDescent="0.3">
      <c r="A4682" s="9" t="s">
        <v>14988</v>
      </c>
      <c r="B4682" s="9" t="s">
        <v>14989</v>
      </c>
      <c r="C4682" s="11" t="s">
        <v>28</v>
      </c>
      <c r="D4682" s="9" t="s">
        <v>14990</v>
      </c>
      <c r="E4682" s="11" t="s">
        <v>28</v>
      </c>
      <c r="F4682" s="10" t="s">
        <v>28</v>
      </c>
      <c r="G4682" s="10">
        <v>15</v>
      </c>
      <c r="H4682" s="10" t="s">
        <v>28</v>
      </c>
      <c r="I4682" s="11" t="s">
        <v>28</v>
      </c>
      <c r="J4682" s="11" t="s">
        <v>28</v>
      </c>
      <c r="K4682" s="11" t="s">
        <v>28</v>
      </c>
      <c r="L4682" s="11" t="s">
        <v>28</v>
      </c>
      <c r="M4682" s="11" t="s">
        <v>28</v>
      </c>
      <c r="N4682" s="8">
        <v>44370</v>
      </c>
      <c r="O4682" s="9" t="s">
        <v>79</v>
      </c>
      <c r="P4682" s="12" t="s">
        <v>14991</v>
      </c>
      <c r="Q4682" s="9" t="s">
        <v>75</v>
      </c>
      <c r="R4682" s="14" t="str">
        <f>HYPERLINK("https://my.pitchbook.com?c=135159-49T","View Company Online")</f>
        <v>View Company Online</v>
      </c>
    </row>
    <row r="4683" spans="1:18" hidden="1" x14ac:dyDescent="0.3">
      <c r="A4683" s="15" t="s">
        <v>14992</v>
      </c>
      <c r="B4683" s="15" t="s">
        <v>3533</v>
      </c>
      <c r="C4683" s="18" t="s">
        <v>28</v>
      </c>
      <c r="D4683" s="15" t="s">
        <v>3534</v>
      </c>
      <c r="E4683" s="18" t="s">
        <v>28</v>
      </c>
      <c r="F4683" s="19" t="s">
        <v>28</v>
      </c>
      <c r="G4683" s="19">
        <v>0.2</v>
      </c>
      <c r="H4683" s="19" t="s">
        <v>28</v>
      </c>
      <c r="I4683" s="18" t="s">
        <v>28</v>
      </c>
      <c r="J4683" s="18" t="s">
        <v>28</v>
      </c>
      <c r="K4683" s="18" t="s">
        <v>28</v>
      </c>
      <c r="L4683" s="18" t="s">
        <v>28</v>
      </c>
      <c r="M4683" s="18" t="s">
        <v>28</v>
      </c>
      <c r="N4683" s="17">
        <v>44370</v>
      </c>
      <c r="O4683" s="15" t="s">
        <v>99</v>
      </c>
      <c r="P4683" s="16" t="s">
        <v>14993</v>
      </c>
      <c r="Q4683" s="15" t="s">
        <v>75</v>
      </c>
      <c r="R4683" s="13" t="str">
        <f>HYPERLINK("https://my.pitchbook.com?c=177082-84T","View Company Online")</f>
        <v>View Company Online</v>
      </c>
    </row>
    <row r="4684" spans="1:18" hidden="1" x14ac:dyDescent="0.3">
      <c r="A4684" s="9" t="s">
        <v>14994</v>
      </c>
      <c r="B4684" s="9" t="s">
        <v>902</v>
      </c>
      <c r="C4684" s="11" t="s">
        <v>28</v>
      </c>
      <c r="D4684" s="9" t="s">
        <v>903</v>
      </c>
      <c r="E4684" s="11" t="s">
        <v>28</v>
      </c>
      <c r="F4684" s="10" t="s">
        <v>28</v>
      </c>
      <c r="G4684" s="10">
        <v>30</v>
      </c>
      <c r="H4684" s="10" t="s">
        <v>28</v>
      </c>
      <c r="I4684" s="11" t="s">
        <v>28</v>
      </c>
      <c r="J4684" s="11" t="s">
        <v>28</v>
      </c>
      <c r="K4684" s="11" t="s">
        <v>28</v>
      </c>
      <c r="L4684" s="11" t="s">
        <v>28</v>
      </c>
      <c r="M4684" s="11" t="s">
        <v>28</v>
      </c>
      <c r="N4684" s="8">
        <v>44370</v>
      </c>
      <c r="O4684" s="9" t="s">
        <v>73</v>
      </c>
      <c r="P4684" s="12" t="s">
        <v>14995</v>
      </c>
      <c r="Q4684" s="9" t="s">
        <v>114</v>
      </c>
      <c r="R4684" s="14" t="str">
        <f>HYPERLINK("https://my.pitchbook.com?c=174927-07T","View Company Online")</f>
        <v>View Company Online</v>
      </c>
    </row>
    <row r="4685" spans="1:18" hidden="1" x14ac:dyDescent="0.3">
      <c r="A4685" s="15" t="s">
        <v>14996</v>
      </c>
      <c r="B4685" s="15" t="s">
        <v>14997</v>
      </c>
      <c r="C4685" s="18" t="s">
        <v>28</v>
      </c>
      <c r="D4685" s="15" t="s">
        <v>14998</v>
      </c>
      <c r="E4685" s="18" t="s">
        <v>28</v>
      </c>
      <c r="F4685" s="19" t="s">
        <v>28</v>
      </c>
      <c r="G4685" s="19">
        <v>75</v>
      </c>
      <c r="H4685" s="19" t="s">
        <v>28</v>
      </c>
      <c r="I4685" s="18" t="s">
        <v>28</v>
      </c>
      <c r="J4685" s="18" t="s">
        <v>28</v>
      </c>
      <c r="K4685" s="18" t="s">
        <v>28</v>
      </c>
      <c r="L4685" s="18" t="s">
        <v>28</v>
      </c>
      <c r="M4685" s="18" t="s">
        <v>28</v>
      </c>
      <c r="N4685" s="17">
        <v>44370</v>
      </c>
      <c r="O4685" s="15" t="s">
        <v>173</v>
      </c>
      <c r="P4685" s="16" t="s">
        <v>28</v>
      </c>
      <c r="Q4685" s="15" t="s">
        <v>6356</v>
      </c>
      <c r="R4685" s="13" t="str">
        <f>HYPERLINK("https://my.pitchbook.com?c=177594-49T","View Company Online")</f>
        <v>View Company Online</v>
      </c>
    </row>
    <row r="4686" spans="1:18" hidden="1" x14ac:dyDescent="0.3">
      <c r="A4686" s="9" t="s">
        <v>14999</v>
      </c>
      <c r="B4686" s="9" t="s">
        <v>15000</v>
      </c>
      <c r="C4686" s="11" t="s">
        <v>28</v>
      </c>
      <c r="D4686" s="9" t="s">
        <v>15001</v>
      </c>
      <c r="E4686" s="11" t="s">
        <v>28</v>
      </c>
      <c r="F4686" s="10" t="s">
        <v>28</v>
      </c>
      <c r="G4686" s="10" t="s">
        <v>28</v>
      </c>
      <c r="H4686" s="10" t="s">
        <v>28</v>
      </c>
      <c r="I4686" s="11" t="s">
        <v>28</v>
      </c>
      <c r="J4686" s="11" t="s">
        <v>28</v>
      </c>
      <c r="K4686" s="11">
        <v>58.23</v>
      </c>
      <c r="L4686" s="11" t="s">
        <v>28</v>
      </c>
      <c r="M4686" s="11" t="s">
        <v>28</v>
      </c>
      <c r="N4686" s="8">
        <v>44369</v>
      </c>
      <c r="O4686" s="9" t="s">
        <v>41</v>
      </c>
      <c r="P4686" s="12" t="s">
        <v>15002</v>
      </c>
      <c r="Q4686" s="9" t="s">
        <v>136</v>
      </c>
      <c r="R4686" s="14" t="str">
        <f>HYPERLINK("https://my.pitchbook.com?c=214720-48T","View Company Online")</f>
        <v>View Company Online</v>
      </c>
    </row>
    <row r="4687" spans="1:18" hidden="1" x14ac:dyDescent="0.3">
      <c r="A4687" s="15" t="s">
        <v>15003</v>
      </c>
      <c r="B4687" s="15" t="s">
        <v>15004</v>
      </c>
      <c r="C4687" s="18" t="s">
        <v>28</v>
      </c>
      <c r="D4687" s="15" t="s">
        <v>15005</v>
      </c>
      <c r="E4687" s="18" t="s">
        <v>28</v>
      </c>
      <c r="F4687" s="19" t="s">
        <v>28</v>
      </c>
      <c r="G4687" s="19">
        <v>0.45</v>
      </c>
      <c r="H4687" s="19" t="s">
        <v>28</v>
      </c>
      <c r="I4687" s="18" t="s">
        <v>28</v>
      </c>
      <c r="J4687" s="18" t="s">
        <v>28</v>
      </c>
      <c r="K4687" s="18" t="s">
        <v>28</v>
      </c>
      <c r="L4687" s="18" t="s">
        <v>28</v>
      </c>
      <c r="M4687" s="18" t="s">
        <v>28</v>
      </c>
      <c r="N4687" s="17">
        <v>44369</v>
      </c>
      <c r="O4687" s="15" t="s">
        <v>379</v>
      </c>
      <c r="P4687" s="16" t="s">
        <v>15006</v>
      </c>
      <c r="Q4687" s="15" t="s">
        <v>85</v>
      </c>
      <c r="R4687" s="13" t="str">
        <f>HYPERLINK("https://my.pitchbook.com?c=175102-21T","View Company Online")</f>
        <v>View Company Online</v>
      </c>
    </row>
    <row r="4688" spans="1:18" hidden="1" x14ac:dyDescent="0.3">
      <c r="A4688" s="9" t="s">
        <v>15007</v>
      </c>
      <c r="B4688" s="9" t="s">
        <v>3119</v>
      </c>
      <c r="C4688" s="11" t="s">
        <v>28</v>
      </c>
      <c r="D4688" s="9" t="s">
        <v>3120</v>
      </c>
      <c r="E4688" s="11" t="s">
        <v>28</v>
      </c>
      <c r="F4688" s="10" t="s">
        <v>28</v>
      </c>
      <c r="G4688" s="10">
        <v>2.73</v>
      </c>
      <c r="H4688" s="10" t="s">
        <v>28</v>
      </c>
      <c r="I4688" s="11" t="s">
        <v>28</v>
      </c>
      <c r="J4688" s="11" t="s">
        <v>28</v>
      </c>
      <c r="K4688" s="11" t="s">
        <v>28</v>
      </c>
      <c r="L4688" s="11" t="s">
        <v>28</v>
      </c>
      <c r="M4688" s="11" t="s">
        <v>28</v>
      </c>
      <c r="N4688" s="8">
        <v>44369</v>
      </c>
      <c r="O4688" s="9" t="s">
        <v>99</v>
      </c>
      <c r="P4688" s="12" t="s">
        <v>15008</v>
      </c>
      <c r="Q4688" s="9" t="s">
        <v>37</v>
      </c>
      <c r="R4688" s="14" t="str">
        <f>HYPERLINK("https://my.pitchbook.com?c=140536-99T","View Company Online")</f>
        <v>View Company Online</v>
      </c>
    </row>
    <row r="4689" spans="1:18" hidden="1" x14ac:dyDescent="0.3">
      <c r="A4689" s="15" t="s">
        <v>15009</v>
      </c>
      <c r="B4689" s="15" t="s">
        <v>15010</v>
      </c>
      <c r="C4689" s="18" t="s">
        <v>28</v>
      </c>
      <c r="D4689" s="15" t="s">
        <v>15011</v>
      </c>
      <c r="E4689" s="18" t="s">
        <v>28</v>
      </c>
      <c r="F4689" s="19">
        <v>71</v>
      </c>
      <c r="G4689" s="19">
        <v>71</v>
      </c>
      <c r="H4689" s="19">
        <v>71</v>
      </c>
      <c r="I4689" s="18" t="s">
        <v>28</v>
      </c>
      <c r="J4689" s="18" t="s">
        <v>28</v>
      </c>
      <c r="K4689" s="18" t="s">
        <v>28</v>
      </c>
      <c r="L4689" s="18" t="s">
        <v>28</v>
      </c>
      <c r="M4689" s="18" t="s">
        <v>28</v>
      </c>
      <c r="N4689" s="17">
        <v>44369</v>
      </c>
      <c r="O4689" s="15" t="s">
        <v>30</v>
      </c>
      <c r="P4689" s="16" t="s">
        <v>223</v>
      </c>
      <c r="Q4689" s="15" t="s">
        <v>54</v>
      </c>
      <c r="R4689" s="13" t="str">
        <f>HYPERLINK("https://my.pitchbook.com?c=187971-76T","View Company Online")</f>
        <v>View Company Online</v>
      </c>
    </row>
    <row r="4690" spans="1:18" hidden="1" x14ac:dyDescent="0.3">
      <c r="A4690" s="9" t="s">
        <v>15012</v>
      </c>
      <c r="B4690" s="9" t="s">
        <v>1279</v>
      </c>
      <c r="C4690" s="11" t="s">
        <v>28</v>
      </c>
      <c r="D4690" s="9" t="s">
        <v>1280</v>
      </c>
      <c r="E4690" s="11" t="s">
        <v>28</v>
      </c>
      <c r="F4690" s="10" t="s">
        <v>28</v>
      </c>
      <c r="G4690" s="10">
        <v>0.39</v>
      </c>
      <c r="H4690" s="10" t="s">
        <v>28</v>
      </c>
      <c r="I4690" s="11" t="s">
        <v>28</v>
      </c>
      <c r="J4690" s="11" t="s">
        <v>28</v>
      </c>
      <c r="K4690" s="11" t="s">
        <v>28</v>
      </c>
      <c r="L4690" s="11" t="s">
        <v>28</v>
      </c>
      <c r="M4690" s="11" t="s">
        <v>28</v>
      </c>
      <c r="N4690" s="8">
        <v>44369</v>
      </c>
      <c r="O4690" s="9" t="s">
        <v>79</v>
      </c>
      <c r="P4690" s="12" t="s">
        <v>28</v>
      </c>
      <c r="Q4690" s="9" t="s">
        <v>1035</v>
      </c>
      <c r="R4690" s="14" t="str">
        <f>HYPERLINK("https://my.pitchbook.com?c=174874-69T","View Company Online")</f>
        <v>View Company Online</v>
      </c>
    </row>
    <row r="4691" spans="1:18" hidden="1" x14ac:dyDescent="0.3">
      <c r="A4691" s="15" t="s">
        <v>15013</v>
      </c>
      <c r="B4691" s="15" t="s">
        <v>15014</v>
      </c>
      <c r="C4691" s="18" t="s">
        <v>28</v>
      </c>
      <c r="D4691" s="15" t="s">
        <v>15015</v>
      </c>
      <c r="E4691" s="18" t="s">
        <v>28</v>
      </c>
      <c r="F4691" s="19" t="s">
        <v>28</v>
      </c>
      <c r="G4691" s="19" t="s">
        <v>28</v>
      </c>
      <c r="H4691" s="19" t="s">
        <v>28</v>
      </c>
      <c r="I4691" s="18" t="s">
        <v>28</v>
      </c>
      <c r="J4691" s="18" t="s">
        <v>28</v>
      </c>
      <c r="K4691" s="18" t="s">
        <v>28</v>
      </c>
      <c r="L4691" s="18" t="s">
        <v>28</v>
      </c>
      <c r="M4691" s="18" t="s">
        <v>28</v>
      </c>
      <c r="N4691" s="17">
        <v>44369</v>
      </c>
      <c r="O4691" s="15" t="s">
        <v>30</v>
      </c>
      <c r="P4691" s="16" t="s">
        <v>15016</v>
      </c>
      <c r="Q4691" s="15" t="s">
        <v>43</v>
      </c>
      <c r="R4691" s="13" t="str">
        <f>HYPERLINK("https://my.pitchbook.com?c=196527-43T","View Company Online")</f>
        <v>View Company Online</v>
      </c>
    </row>
    <row r="4692" spans="1:18" hidden="1" x14ac:dyDescent="0.3">
      <c r="A4692" s="9" t="s">
        <v>15017</v>
      </c>
      <c r="B4692" s="9" t="s">
        <v>15018</v>
      </c>
      <c r="C4692" s="11" t="s">
        <v>28</v>
      </c>
      <c r="D4692" s="9" t="s">
        <v>15019</v>
      </c>
      <c r="E4692" s="11">
        <v>0.02</v>
      </c>
      <c r="F4692" s="10" t="s">
        <v>28</v>
      </c>
      <c r="G4692" s="10" t="s">
        <v>28</v>
      </c>
      <c r="H4692" s="10" t="s">
        <v>28</v>
      </c>
      <c r="I4692" s="11">
        <v>0.02</v>
      </c>
      <c r="J4692" s="11" t="s">
        <v>28</v>
      </c>
      <c r="K4692" s="11">
        <v>0.02</v>
      </c>
      <c r="L4692" s="11" t="s">
        <v>28</v>
      </c>
      <c r="M4692" s="11">
        <v>0.02</v>
      </c>
      <c r="N4692" s="8">
        <v>44369</v>
      </c>
      <c r="O4692" s="9" t="s">
        <v>173</v>
      </c>
      <c r="P4692" s="12" t="s">
        <v>28</v>
      </c>
      <c r="Q4692" s="9" t="s">
        <v>174</v>
      </c>
      <c r="R4692" s="14" t="str">
        <f>HYPERLINK("https://my.pitchbook.com?c=251094-07T","View Company Online")</f>
        <v>View Company Online</v>
      </c>
    </row>
    <row r="4693" spans="1:18" hidden="1" x14ac:dyDescent="0.3">
      <c r="A4693" s="15" t="s">
        <v>15020</v>
      </c>
      <c r="B4693" s="15" t="s">
        <v>5218</v>
      </c>
      <c r="C4693" s="18" t="s">
        <v>28</v>
      </c>
      <c r="D4693" s="15" t="s">
        <v>5219</v>
      </c>
      <c r="E4693" s="18" t="s">
        <v>28</v>
      </c>
      <c r="F4693" s="19" t="s">
        <v>28</v>
      </c>
      <c r="G4693" s="19">
        <v>1.95</v>
      </c>
      <c r="H4693" s="19" t="s">
        <v>28</v>
      </c>
      <c r="I4693" s="18" t="s">
        <v>28</v>
      </c>
      <c r="J4693" s="18" t="s">
        <v>28</v>
      </c>
      <c r="K4693" s="18" t="s">
        <v>28</v>
      </c>
      <c r="L4693" s="18" t="s">
        <v>28</v>
      </c>
      <c r="M4693" s="18" t="s">
        <v>28</v>
      </c>
      <c r="N4693" s="17">
        <v>44368</v>
      </c>
      <c r="O4693" s="15" t="s">
        <v>79</v>
      </c>
      <c r="P4693" s="16" t="s">
        <v>15021</v>
      </c>
      <c r="Q4693" s="15" t="s">
        <v>75</v>
      </c>
      <c r="R4693" s="13" t="str">
        <f>HYPERLINK("https://my.pitchbook.com?c=174972-97T","View Company Online")</f>
        <v>View Company Online</v>
      </c>
    </row>
    <row r="4694" spans="1:18" hidden="1" x14ac:dyDescent="0.3">
      <c r="A4694" s="9" t="s">
        <v>15022</v>
      </c>
      <c r="B4694" s="9" t="s">
        <v>15023</v>
      </c>
      <c r="C4694" s="11" t="s">
        <v>28</v>
      </c>
      <c r="D4694" s="9" t="s">
        <v>15024</v>
      </c>
      <c r="E4694" s="11" t="s">
        <v>28</v>
      </c>
      <c r="F4694" s="10" t="s">
        <v>28</v>
      </c>
      <c r="G4694" s="10" t="s">
        <v>28</v>
      </c>
      <c r="H4694" s="10" t="s">
        <v>28</v>
      </c>
      <c r="I4694" s="11" t="s">
        <v>28</v>
      </c>
      <c r="J4694" s="11" t="s">
        <v>28</v>
      </c>
      <c r="K4694" s="11" t="s">
        <v>28</v>
      </c>
      <c r="L4694" s="11" t="s">
        <v>28</v>
      </c>
      <c r="M4694" s="11" t="s">
        <v>28</v>
      </c>
      <c r="N4694" s="8">
        <v>44368</v>
      </c>
      <c r="O4694" s="9" t="s">
        <v>30</v>
      </c>
      <c r="P4694" s="12" t="s">
        <v>1562</v>
      </c>
      <c r="Q4694" s="9" t="s">
        <v>409</v>
      </c>
      <c r="R4694" s="14" t="str">
        <f>HYPERLINK("https://my.pitchbook.com?c=210250-36T","View Company Online")</f>
        <v>View Company Online</v>
      </c>
    </row>
    <row r="4695" spans="1:18" hidden="1" x14ac:dyDescent="0.3">
      <c r="A4695" s="15" t="s">
        <v>15025</v>
      </c>
      <c r="B4695" s="15" t="s">
        <v>15026</v>
      </c>
      <c r="C4695" s="18" t="s">
        <v>28</v>
      </c>
      <c r="D4695" s="15" t="s">
        <v>15027</v>
      </c>
      <c r="E4695" s="18" t="s">
        <v>28</v>
      </c>
      <c r="F4695" s="19" t="s">
        <v>28</v>
      </c>
      <c r="G4695" s="19">
        <v>1.5</v>
      </c>
      <c r="H4695" s="19" t="s">
        <v>28</v>
      </c>
      <c r="I4695" s="18" t="s">
        <v>28</v>
      </c>
      <c r="J4695" s="18" t="s">
        <v>28</v>
      </c>
      <c r="K4695" s="18" t="s">
        <v>28</v>
      </c>
      <c r="L4695" s="18" t="s">
        <v>28</v>
      </c>
      <c r="M4695" s="18" t="s">
        <v>28</v>
      </c>
      <c r="N4695" s="17">
        <v>44368</v>
      </c>
      <c r="O4695" s="15" t="s">
        <v>99</v>
      </c>
      <c r="P4695" s="16" t="s">
        <v>140</v>
      </c>
      <c r="Q4695" s="15" t="s">
        <v>75</v>
      </c>
      <c r="R4695" s="13" t="str">
        <f>HYPERLINK("https://my.pitchbook.com?c=226909-54T","View Company Online")</f>
        <v>View Company Online</v>
      </c>
    </row>
    <row r="4696" spans="1:18" hidden="1" x14ac:dyDescent="0.3">
      <c r="A4696" s="9" t="s">
        <v>15028</v>
      </c>
      <c r="B4696" s="9" t="s">
        <v>2854</v>
      </c>
      <c r="C4696" s="11" t="s">
        <v>28</v>
      </c>
      <c r="D4696" s="9" t="s">
        <v>2855</v>
      </c>
      <c r="E4696" s="11" t="s">
        <v>28</v>
      </c>
      <c r="F4696" s="10" t="s">
        <v>28</v>
      </c>
      <c r="G4696" s="10">
        <v>23</v>
      </c>
      <c r="H4696" s="10" t="s">
        <v>28</v>
      </c>
      <c r="I4696" s="11" t="s">
        <v>28</v>
      </c>
      <c r="J4696" s="11" t="s">
        <v>28</v>
      </c>
      <c r="K4696" s="11" t="s">
        <v>28</v>
      </c>
      <c r="L4696" s="11" t="s">
        <v>28</v>
      </c>
      <c r="M4696" s="11" t="s">
        <v>28</v>
      </c>
      <c r="N4696" s="8">
        <v>44368</v>
      </c>
      <c r="O4696" s="9" t="s">
        <v>79</v>
      </c>
      <c r="P4696" s="12" t="s">
        <v>15029</v>
      </c>
      <c r="Q4696" s="9" t="s">
        <v>85</v>
      </c>
      <c r="R4696" s="14" t="str">
        <f>HYPERLINK("https://my.pitchbook.com?c=175716-91T","View Company Online")</f>
        <v>View Company Online</v>
      </c>
    </row>
    <row r="4697" spans="1:18" hidden="1" x14ac:dyDescent="0.3">
      <c r="A4697" s="15" t="s">
        <v>15030</v>
      </c>
      <c r="B4697" s="15" t="s">
        <v>15031</v>
      </c>
      <c r="C4697" s="18" t="s">
        <v>28</v>
      </c>
      <c r="D4697" s="15" t="s">
        <v>15032</v>
      </c>
      <c r="E4697" s="18" t="s">
        <v>28</v>
      </c>
      <c r="F4697" s="19" t="s">
        <v>28</v>
      </c>
      <c r="G4697" s="19" t="s">
        <v>28</v>
      </c>
      <c r="H4697" s="19" t="s">
        <v>28</v>
      </c>
      <c r="I4697" s="18" t="s">
        <v>28</v>
      </c>
      <c r="J4697" s="18" t="s">
        <v>28</v>
      </c>
      <c r="K4697" s="18" t="s">
        <v>28</v>
      </c>
      <c r="L4697" s="18" t="s">
        <v>28</v>
      </c>
      <c r="M4697" s="18" t="s">
        <v>28</v>
      </c>
      <c r="N4697" s="17">
        <v>44368</v>
      </c>
      <c r="O4697" s="15" t="s">
        <v>41</v>
      </c>
      <c r="P4697" s="16" t="s">
        <v>15033</v>
      </c>
      <c r="Q4697" s="15" t="s">
        <v>37</v>
      </c>
      <c r="R4697" s="13" t="str">
        <f>HYPERLINK("https://my.pitchbook.com?c=212007-25T","View Company Online")</f>
        <v>View Company Online</v>
      </c>
    </row>
    <row r="4698" spans="1:18" hidden="1" x14ac:dyDescent="0.3">
      <c r="A4698" s="9" t="s">
        <v>15034</v>
      </c>
      <c r="B4698" s="9" t="s">
        <v>15035</v>
      </c>
      <c r="C4698" s="11" t="s">
        <v>28</v>
      </c>
      <c r="D4698" s="9" t="s">
        <v>15036</v>
      </c>
      <c r="E4698" s="11" t="s">
        <v>28</v>
      </c>
      <c r="F4698" s="10">
        <v>1.07</v>
      </c>
      <c r="G4698" s="10">
        <v>0.85</v>
      </c>
      <c r="H4698" s="10">
        <v>1.06</v>
      </c>
      <c r="I4698" s="11" t="s">
        <v>28</v>
      </c>
      <c r="J4698" s="11" t="s">
        <v>28</v>
      </c>
      <c r="K4698" s="11" t="s">
        <v>28</v>
      </c>
      <c r="L4698" s="11" t="s">
        <v>28</v>
      </c>
      <c r="M4698" s="11" t="s">
        <v>28</v>
      </c>
      <c r="N4698" s="8">
        <v>44368</v>
      </c>
      <c r="O4698" s="9" t="s">
        <v>30</v>
      </c>
      <c r="P4698" s="12" t="s">
        <v>15037</v>
      </c>
      <c r="Q4698" s="9" t="s">
        <v>1527</v>
      </c>
      <c r="R4698" s="14" t="str">
        <f>HYPERLINK("https://my.pitchbook.com?c=210276-46T","View Company Online")</f>
        <v>View Company Online</v>
      </c>
    </row>
    <row r="4699" spans="1:18" hidden="1" x14ac:dyDescent="0.3">
      <c r="A4699" s="15" t="s">
        <v>15038</v>
      </c>
      <c r="B4699" s="15" t="s">
        <v>15039</v>
      </c>
      <c r="C4699" s="18" t="s">
        <v>28</v>
      </c>
      <c r="D4699" s="15" t="s">
        <v>15040</v>
      </c>
      <c r="E4699" s="18" t="s">
        <v>28</v>
      </c>
      <c r="F4699" s="19" t="s">
        <v>28</v>
      </c>
      <c r="G4699" s="19">
        <v>0.28999999999999998</v>
      </c>
      <c r="H4699" s="19">
        <v>1.95</v>
      </c>
      <c r="I4699" s="18" t="s">
        <v>28</v>
      </c>
      <c r="J4699" s="18" t="s">
        <v>28</v>
      </c>
      <c r="K4699" s="18" t="s">
        <v>28</v>
      </c>
      <c r="L4699" s="18" t="s">
        <v>28</v>
      </c>
      <c r="M4699" s="18" t="s">
        <v>28</v>
      </c>
      <c r="N4699" s="17">
        <v>44368</v>
      </c>
      <c r="O4699" s="15" t="s">
        <v>1639</v>
      </c>
      <c r="P4699" s="16" t="s">
        <v>28</v>
      </c>
      <c r="Q4699" s="15" t="s">
        <v>37</v>
      </c>
      <c r="R4699" s="13" t="str">
        <f>HYPERLINK("https://my.pitchbook.com?c=174630-70T","View Company Online")</f>
        <v>View Company Online</v>
      </c>
    </row>
    <row r="4700" spans="1:18" hidden="1" x14ac:dyDescent="0.3">
      <c r="A4700" s="9" t="s">
        <v>15041</v>
      </c>
      <c r="B4700" s="9" t="s">
        <v>15042</v>
      </c>
      <c r="C4700" s="11" t="s">
        <v>28</v>
      </c>
      <c r="D4700" s="9" t="s">
        <v>15043</v>
      </c>
      <c r="E4700" s="11" t="s">
        <v>28</v>
      </c>
      <c r="F4700" s="10" t="s">
        <v>28</v>
      </c>
      <c r="G4700" s="10" t="s">
        <v>28</v>
      </c>
      <c r="H4700" s="10" t="s">
        <v>28</v>
      </c>
      <c r="I4700" s="11" t="s">
        <v>28</v>
      </c>
      <c r="J4700" s="11" t="s">
        <v>28</v>
      </c>
      <c r="K4700" s="11" t="s">
        <v>28</v>
      </c>
      <c r="L4700" s="11" t="s">
        <v>28</v>
      </c>
      <c r="M4700" s="11" t="s">
        <v>28</v>
      </c>
      <c r="N4700" s="8">
        <v>44366</v>
      </c>
      <c r="O4700" s="9" t="s">
        <v>30</v>
      </c>
      <c r="P4700" s="12" t="s">
        <v>15044</v>
      </c>
      <c r="Q4700" s="9" t="s">
        <v>37</v>
      </c>
      <c r="R4700" s="14" t="str">
        <f>HYPERLINK("https://my.pitchbook.com?c=174799-00T","View Company Online")</f>
        <v>View Company Online</v>
      </c>
    </row>
    <row r="4701" spans="1:18" hidden="1" x14ac:dyDescent="0.3">
      <c r="A4701" s="15" t="s">
        <v>15045</v>
      </c>
      <c r="B4701" s="15" t="s">
        <v>2311</v>
      </c>
      <c r="C4701" s="18" t="s">
        <v>28</v>
      </c>
      <c r="D4701" s="15" t="s">
        <v>2312</v>
      </c>
      <c r="E4701" s="18" t="s">
        <v>28</v>
      </c>
      <c r="F4701" s="19" t="s">
        <v>28</v>
      </c>
      <c r="G4701" s="19">
        <v>4.5</v>
      </c>
      <c r="H4701" s="19" t="s">
        <v>28</v>
      </c>
      <c r="I4701" s="18" t="s">
        <v>28</v>
      </c>
      <c r="J4701" s="18" t="s">
        <v>28</v>
      </c>
      <c r="K4701" s="18" t="s">
        <v>28</v>
      </c>
      <c r="L4701" s="18" t="s">
        <v>28</v>
      </c>
      <c r="M4701" s="18" t="s">
        <v>28</v>
      </c>
      <c r="N4701" s="17">
        <v>44365</v>
      </c>
      <c r="O4701" s="15" t="s">
        <v>73</v>
      </c>
      <c r="P4701" s="16" t="s">
        <v>15046</v>
      </c>
      <c r="Q4701" s="15" t="s">
        <v>37</v>
      </c>
      <c r="R4701" s="13" t="str">
        <f>HYPERLINK("https://my.pitchbook.com?c=198873-10T","View Company Online")</f>
        <v>View Company Online</v>
      </c>
    </row>
    <row r="4702" spans="1:18" hidden="1" x14ac:dyDescent="0.3">
      <c r="A4702" s="9" t="s">
        <v>15047</v>
      </c>
      <c r="B4702" s="9" t="s">
        <v>15048</v>
      </c>
      <c r="C4702" s="11" t="s">
        <v>28</v>
      </c>
      <c r="D4702" s="9" t="s">
        <v>15049</v>
      </c>
      <c r="E4702" s="11" t="s">
        <v>28</v>
      </c>
      <c r="F4702" s="10" t="s">
        <v>28</v>
      </c>
      <c r="G4702" s="10">
        <v>7.75</v>
      </c>
      <c r="H4702" s="10" t="s">
        <v>28</v>
      </c>
      <c r="I4702" s="11" t="s">
        <v>28</v>
      </c>
      <c r="J4702" s="11" t="s">
        <v>28</v>
      </c>
      <c r="K4702" s="11" t="s">
        <v>28</v>
      </c>
      <c r="L4702" s="11" t="s">
        <v>28</v>
      </c>
      <c r="M4702" s="11" t="s">
        <v>28</v>
      </c>
      <c r="N4702" s="8">
        <v>44365</v>
      </c>
      <c r="O4702" s="9" t="s">
        <v>79</v>
      </c>
      <c r="P4702" s="12" t="s">
        <v>15050</v>
      </c>
      <c r="Q4702" s="9" t="s">
        <v>75</v>
      </c>
      <c r="R4702" s="14" t="str">
        <f>HYPERLINK("https://my.pitchbook.com?c=174646-72T","View Company Online")</f>
        <v>View Company Online</v>
      </c>
    </row>
    <row r="4703" spans="1:18" hidden="1" x14ac:dyDescent="0.3">
      <c r="A4703" s="15" t="s">
        <v>15051</v>
      </c>
      <c r="B4703" s="15" t="s">
        <v>15052</v>
      </c>
      <c r="C4703" s="18" t="s">
        <v>28</v>
      </c>
      <c r="D4703" s="15" t="s">
        <v>15053</v>
      </c>
      <c r="E4703" s="18" t="s">
        <v>28</v>
      </c>
      <c r="F4703" s="19" t="s">
        <v>28</v>
      </c>
      <c r="G4703" s="19" t="s">
        <v>28</v>
      </c>
      <c r="H4703" s="19" t="s">
        <v>28</v>
      </c>
      <c r="I4703" s="18" t="s">
        <v>28</v>
      </c>
      <c r="J4703" s="18" t="s">
        <v>28</v>
      </c>
      <c r="K4703" s="18" t="s">
        <v>28</v>
      </c>
      <c r="L4703" s="18" t="s">
        <v>28</v>
      </c>
      <c r="M4703" s="18" t="s">
        <v>28</v>
      </c>
      <c r="N4703" s="17">
        <v>44365</v>
      </c>
      <c r="O4703" s="15" t="s">
        <v>30</v>
      </c>
      <c r="P4703" s="16" t="s">
        <v>15054</v>
      </c>
      <c r="Q4703" s="15" t="s">
        <v>566</v>
      </c>
      <c r="R4703" s="13" t="str">
        <f>HYPERLINK("https://my.pitchbook.com?c=212061-52T","View Company Online")</f>
        <v>View Company Online</v>
      </c>
    </row>
    <row r="4704" spans="1:18" hidden="1" x14ac:dyDescent="0.3">
      <c r="A4704" s="9" t="s">
        <v>15055</v>
      </c>
      <c r="B4704" s="9" t="s">
        <v>6345</v>
      </c>
      <c r="C4704" s="11" t="s">
        <v>28</v>
      </c>
      <c r="D4704" s="9" t="s">
        <v>6346</v>
      </c>
      <c r="E4704" s="11" t="s">
        <v>28</v>
      </c>
      <c r="F4704" s="10" t="s">
        <v>28</v>
      </c>
      <c r="G4704" s="10">
        <v>0.19</v>
      </c>
      <c r="H4704" s="10" t="s">
        <v>28</v>
      </c>
      <c r="I4704" s="11" t="s">
        <v>28</v>
      </c>
      <c r="J4704" s="11" t="s">
        <v>28</v>
      </c>
      <c r="K4704" s="11" t="s">
        <v>28</v>
      </c>
      <c r="L4704" s="11" t="s">
        <v>28</v>
      </c>
      <c r="M4704" s="11" t="s">
        <v>28</v>
      </c>
      <c r="N4704" s="8">
        <v>44365</v>
      </c>
      <c r="O4704" s="9" t="s">
        <v>99</v>
      </c>
      <c r="P4704" s="12" t="s">
        <v>15056</v>
      </c>
      <c r="Q4704" s="9" t="s">
        <v>6348</v>
      </c>
      <c r="R4704" s="14" t="str">
        <f>HYPERLINK("https://my.pitchbook.com?c=289454-68T","View Company Online")</f>
        <v>View Company Online</v>
      </c>
    </row>
    <row r="4705" spans="1:18" hidden="1" x14ac:dyDescent="0.3">
      <c r="A4705" s="15" t="s">
        <v>15057</v>
      </c>
      <c r="B4705" s="15" t="s">
        <v>15058</v>
      </c>
      <c r="C4705" s="18" t="s">
        <v>28</v>
      </c>
      <c r="D4705" s="15" t="s">
        <v>15059</v>
      </c>
      <c r="E4705" s="18" t="s">
        <v>28</v>
      </c>
      <c r="F4705" s="19">
        <v>40.21</v>
      </c>
      <c r="G4705" s="19">
        <v>40.21</v>
      </c>
      <c r="H4705" s="19">
        <v>40.21</v>
      </c>
      <c r="I4705" s="18" t="s">
        <v>28</v>
      </c>
      <c r="J4705" s="18" t="s">
        <v>28</v>
      </c>
      <c r="K4705" s="18" t="s">
        <v>28</v>
      </c>
      <c r="L4705" s="18" t="s">
        <v>28</v>
      </c>
      <c r="M4705" s="18" t="s">
        <v>28</v>
      </c>
      <c r="N4705" s="17">
        <v>44365</v>
      </c>
      <c r="O4705" s="15" t="s">
        <v>30</v>
      </c>
      <c r="P4705" s="16" t="s">
        <v>347</v>
      </c>
      <c r="Q4705" s="15" t="s">
        <v>226</v>
      </c>
      <c r="R4705" s="13" t="str">
        <f>HYPERLINK("https://my.pitchbook.com?c=212370-76T","View Company Online")</f>
        <v>View Company Online</v>
      </c>
    </row>
    <row r="4706" spans="1:18" hidden="1" x14ac:dyDescent="0.3">
      <c r="A4706" s="9" t="s">
        <v>15060</v>
      </c>
      <c r="B4706" s="9" t="s">
        <v>918</v>
      </c>
      <c r="C4706" s="11" t="s">
        <v>28</v>
      </c>
      <c r="D4706" s="9" t="s">
        <v>919</v>
      </c>
      <c r="E4706" s="11" t="s">
        <v>28</v>
      </c>
      <c r="F4706" s="10" t="s">
        <v>28</v>
      </c>
      <c r="G4706" s="10" t="s">
        <v>28</v>
      </c>
      <c r="H4706" s="10" t="s">
        <v>28</v>
      </c>
      <c r="I4706" s="11" t="s">
        <v>28</v>
      </c>
      <c r="J4706" s="11" t="s">
        <v>28</v>
      </c>
      <c r="K4706" s="11" t="s">
        <v>28</v>
      </c>
      <c r="L4706" s="11" t="s">
        <v>28</v>
      </c>
      <c r="M4706" s="11" t="s">
        <v>28</v>
      </c>
      <c r="N4706" s="8">
        <v>44364</v>
      </c>
      <c r="O4706" s="9" t="s">
        <v>41</v>
      </c>
      <c r="P4706" s="12" t="s">
        <v>15061</v>
      </c>
      <c r="Q4706" s="9" t="s">
        <v>95</v>
      </c>
      <c r="R4706" s="14" t="str">
        <f>HYPERLINK("https://my.pitchbook.com?c=279880-75T","View Company Online")</f>
        <v>View Company Online</v>
      </c>
    </row>
    <row r="4707" spans="1:18" hidden="1" x14ac:dyDescent="0.3">
      <c r="A4707" s="15" t="s">
        <v>15062</v>
      </c>
      <c r="B4707" s="15" t="s">
        <v>15063</v>
      </c>
      <c r="C4707" s="18" t="s">
        <v>28</v>
      </c>
      <c r="D4707" s="15" t="s">
        <v>15064</v>
      </c>
      <c r="E4707" s="18" t="s">
        <v>28</v>
      </c>
      <c r="F4707" s="19" t="s">
        <v>28</v>
      </c>
      <c r="G4707" s="19" t="s">
        <v>28</v>
      </c>
      <c r="H4707" s="19" t="s">
        <v>28</v>
      </c>
      <c r="I4707" s="18" t="s">
        <v>28</v>
      </c>
      <c r="J4707" s="18" t="s">
        <v>28</v>
      </c>
      <c r="K4707" s="18" t="s">
        <v>28</v>
      </c>
      <c r="L4707" s="18" t="s">
        <v>28</v>
      </c>
      <c r="M4707" s="18" t="s">
        <v>28</v>
      </c>
      <c r="N4707" s="17">
        <v>44364</v>
      </c>
      <c r="O4707" s="15" t="s">
        <v>30</v>
      </c>
      <c r="P4707" s="16" t="s">
        <v>15065</v>
      </c>
      <c r="Q4707" s="15" t="s">
        <v>404</v>
      </c>
      <c r="R4707" s="13" t="str">
        <f>HYPERLINK("https://my.pitchbook.com?c=174739-60T","View Company Online")</f>
        <v>View Company Online</v>
      </c>
    </row>
    <row r="4708" spans="1:18" hidden="1" x14ac:dyDescent="0.3">
      <c r="A4708" s="9" t="s">
        <v>15066</v>
      </c>
      <c r="B4708" s="9" t="s">
        <v>15067</v>
      </c>
      <c r="C4708" s="11" t="s">
        <v>28</v>
      </c>
      <c r="D4708" s="9" t="s">
        <v>15068</v>
      </c>
      <c r="E4708" s="11" t="s">
        <v>28</v>
      </c>
      <c r="F4708" s="10" t="s">
        <v>28</v>
      </c>
      <c r="G4708" s="10" t="s">
        <v>28</v>
      </c>
      <c r="H4708" s="10" t="s">
        <v>28</v>
      </c>
      <c r="I4708" s="11" t="s">
        <v>28</v>
      </c>
      <c r="J4708" s="11" t="s">
        <v>28</v>
      </c>
      <c r="K4708" s="11" t="s">
        <v>28</v>
      </c>
      <c r="L4708" s="11" t="s">
        <v>28</v>
      </c>
      <c r="M4708" s="11" t="s">
        <v>28</v>
      </c>
      <c r="N4708" s="8">
        <v>44364</v>
      </c>
      <c r="O4708" s="9" t="s">
        <v>41</v>
      </c>
      <c r="P4708" s="12" t="s">
        <v>15069</v>
      </c>
      <c r="Q4708" s="9" t="s">
        <v>15070</v>
      </c>
      <c r="R4708" s="14" t="str">
        <f>HYPERLINK("https://my.pitchbook.com?c=174907-99T","View Company Online")</f>
        <v>View Company Online</v>
      </c>
    </row>
    <row r="4709" spans="1:18" hidden="1" x14ac:dyDescent="0.3">
      <c r="A4709" s="15" t="s">
        <v>15071</v>
      </c>
      <c r="B4709" s="15" t="s">
        <v>10718</v>
      </c>
      <c r="C4709" s="18" t="s">
        <v>28</v>
      </c>
      <c r="D4709" s="15" t="s">
        <v>10719</v>
      </c>
      <c r="E4709" s="18" t="s">
        <v>28</v>
      </c>
      <c r="F4709" s="19" t="s">
        <v>28</v>
      </c>
      <c r="G4709" s="19">
        <v>0.52</v>
      </c>
      <c r="H4709" s="19" t="s">
        <v>28</v>
      </c>
      <c r="I4709" s="18" t="s">
        <v>28</v>
      </c>
      <c r="J4709" s="18" t="s">
        <v>28</v>
      </c>
      <c r="K4709" s="18" t="s">
        <v>28</v>
      </c>
      <c r="L4709" s="18" t="s">
        <v>28</v>
      </c>
      <c r="M4709" s="18" t="s">
        <v>28</v>
      </c>
      <c r="N4709" s="17">
        <v>44364</v>
      </c>
      <c r="O4709" s="15" t="s">
        <v>79</v>
      </c>
      <c r="P4709" s="16" t="s">
        <v>2032</v>
      </c>
      <c r="Q4709" s="15" t="s">
        <v>75</v>
      </c>
      <c r="R4709" s="13" t="str">
        <f>HYPERLINK("https://my.pitchbook.com?c=241910-11T","View Company Online")</f>
        <v>View Company Online</v>
      </c>
    </row>
    <row r="4710" spans="1:18" hidden="1" x14ac:dyDescent="0.3">
      <c r="A4710" s="9" t="s">
        <v>15072</v>
      </c>
      <c r="B4710" s="9" t="s">
        <v>1232</v>
      </c>
      <c r="C4710" s="11" t="s">
        <v>28</v>
      </c>
      <c r="D4710" s="9" t="s">
        <v>1233</v>
      </c>
      <c r="E4710" s="11" t="s">
        <v>28</v>
      </c>
      <c r="F4710" s="10" t="s">
        <v>28</v>
      </c>
      <c r="G4710" s="10">
        <v>11.59</v>
      </c>
      <c r="H4710" s="10" t="s">
        <v>28</v>
      </c>
      <c r="I4710" s="11" t="s">
        <v>28</v>
      </c>
      <c r="J4710" s="11" t="s">
        <v>28</v>
      </c>
      <c r="K4710" s="11" t="s">
        <v>28</v>
      </c>
      <c r="L4710" s="11" t="s">
        <v>28</v>
      </c>
      <c r="M4710" s="11" t="s">
        <v>28</v>
      </c>
      <c r="N4710" s="8">
        <v>44363</v>
      </c>
      <c r="O4710" s="9" t="s">
        <v>58</v>
      </c>
      <c r="P4710" s="12" t="s">
        <v>9738</v>
      </c>
      <c r="Q4710" s="9" t="s">
        <v>240</v>
      </c>
      <c r="R4710" s="14" t="str">
        <f>HYPERLINK("https://my.pitchbook.com?c=272352-34T","View Company Online")</f>
        <v>View Company Online</v>
      </c>
    </row>
    <row r="4711" spans="1:18" hidden="1" x14ac:dyDescent="0.3">
      <c r="A4711" s="15" t="s">
        <v>15073</v>
      </c>
      <c r="B4711" s="15" t="s">
        <v>15074</v>
      </c>
      <c r="C4711" s="18" t="s">
        <v>28</v>
      </c>
      <c r="D4711" s="15" t="s">
        <v>15075</v>
      </c>
      <c r="E4711" s="18" t="s">
        <v>28</v>
      </c>
      <c r="F4711" s="19" t="s">
        <v>28</v>
      </c>
      <c r="G4711" s="19" t="s">
        <v>28</v>
      </c>
      <c r="H4711" s="19" t="s">
        <v>28</v>
      </c>
      <c r="I4711" s="18" t="s">
        <v>28</v>
      </c>
      <c r="J4711" s="18" t="s">
        <v>28</v>
      </c>
      <c r="K4711" s="18" t="s">
        <v>28</v>
      </c>
      <c r="L4711" s="18" t="s">
        <v>28</v>
      </c>
      <c r="M4711" s="18" t="s">
        <v>28</v>
      </c>
      <c r="N4711" s="17">
        <v>44363</v>
      </c>
      <c r="O4711" s="15" t="s">
        <v>30</v>
      </c>
      <c r="P4711" s="16" t="s">
        <v>15076</v>
      </c>
      <c r="Q4711" s="15" t="s">
        <v>136</v>
      </c>
      <c r="R4711" s="13" t="str">
        <f>HYPERLINK("https://my.pitchbook.com?c=209455-57T","View Company Online")</f>
        <v>View Company Online</v>
      </c>
    </row>
    <row r="4712" spans="1:18" hidden="1" x14ac:dyDescent="0.3">
      <c r="A4712" s="9" t="s">
        <v>15077</v>
      </c>
      <c r="B4712" s="9" t="s">
        <v>15078</v>
      </c>
      <c r="C4712" s="11" t="s">
        <v>28</v>
      </c>
      <c r="D4712" s="9" t="s">
        <v>15079</v>
      </c>
      <c r="E4712" s="11" t="s">
        <v>28</v>
      </c>
      <c r="F4712" s="10" t="s">
        <v>28</v>
      </c>
      <c r="G4712" s="10">
        <v>5.8</v>
      </c>
      <c r="H4712" s="10" t="s">
        <v>28</v>
      </c>
      <c r="I4712" s="11" t="s">
        <v>28</v>
      </c>
      <c r="J4712" s="11" t="s">
        <v>28</v>
      </c>
      <c r="K4712" s="11" t="s">
        <v>28</v>
      </c>
      <c r="L4712" s="11" t="s">
        <v>28</v>
      </c>
      <c r="M4712" s="11" t="s">
        <v>28</v>
      </c>
      <c r="N4712" s="8">
        <v>44363</v>
      </c>
      <c r="O4712" s="9" t="s">
        <v>79</v>
      </c>
      <c r="P4712" s="12" t="s">
        <v>15080</v>
      </c>
      <c r="Q4712" s="9" t="s">
        <v>37</v>
      </c>
      <c r="R4712" s="14" t="str">
        <f>HYPERLINK("https://my.pitchbook.com?c=175298-50T","View Company Online")</f>
        <v>View Company Online</v>
      </c>
    </row>
    <row r="4713" spans="1:18" hidden="1" x14ac:dyDescent="0.3">
      <c r="A4713" s="15" t="s">
        <v>15081</v>
      </c>
      <c r="B4713" s="15" t="s">
        <v>15082</v>
      </c>
      <c r="C4713" s="18" t="s">
        <v>28</v>
      </c>
      <c r="D4713" s="15" t="s">
        <v>15083</v>
      </c>
      <c r="E4713" s="18" t="s">
        <v>28</v>
      </c>
      <c r="F4713" s="19" t="s">
        <v>28</v>
      </c>
      <c r="G4713" s="19" t="s">
        <v>28</v>
      </c>
      <c r="H4713" s="19" t="s">
        <v>28</v>
      </c>
      <c r="I4713" s="18" t="s">
        <v>28</v>
      </c>
      <c r="J4713" s="18" t="s">
        <v>28</v>
      </c>
      <c r="K4713" s="18" t="s">
        <v>28</v>
      </c>
      <c r="L4713" s="18" t="s">
        <v>28</v>
      </c>
      <c r="M4713" s="18" t="s">
        <v>28</v>
      </c>
      <c r="N4713" s="17">
        <v>44363</v>
      </c>
      <c r="O4713" s="15" t="s">
        <v>173</v>
      </c>
      <c r="P4713" s="16" t="s">
        <v>28</v>
      </c>
      <c r="Q4713" s="15" t="s">
        <v>174</v>
      </c>
      <c r="R4713" s="13" t="str">
        <f>HYPERLINK("https://my.pitchbook.com?c=251374-69T","View Company Online")</f>
        <v>View Company Online</v>
      </c>
    </row>
    <row r="4714" spans="1:18" hidden="1" x14ac:dyDescent="0.3">
      <c r="A4714" s="9" t="s">
        <v>15084</v>
      </c>
      <c r="B4714" s="9" t="s">
        <v>15085</v>
      </c>
      <c r="C4714" s="11" t="s">
        <v>28</v>
      </c>
      <c r="D4714" s="9" t="s">
        <v>15086</v>
      </c>
      <c r="E4714" s="11" t="s">
        <v>28</v>
      </c>
      <c r="F4714" s="10" t="s">
        <v>28</v>
      </c>
      <c r="G4714" s="10" t="s">
        <v>28</v>
      </c>
      <c r="H4714" s="10" t="s">
        <v>28</v>
      </c>
      <c r="I4714" s="11" t="s">
        <v>28</v>
      </c>
      <c r="J4714" s="11" t="s">
        <v>28</v>
      </c>
      <c r="K4714" s="11" t="s">
        <v>28</v>
      </c>
      <c r="L4714" s="11" t="s">
        <v>28</v>
      </c>
      <c r="M4714" s="11" t="s">
        <v>28</v>
      </c>
      <c r="N4714" s="8">
        <v>44363</v>
      </c>
      <c r="O4714" s="9" t="s">
        <v>30</v>
      </c>
      <c r="P4714" s="12" t="s">
        <v>14374</v>
      </c>
      <c r="Q4714" s="9" t="s">
        <v>1068</v>
      </c>
      <c r="R4714" s="14" t="str">
        <f>HYPERLINK("https://my.pitchbook.com?c=168943-06T","View Company Online")</f>
        <v>View Company Online</v>
      </c>
    </row>
    <row r="4715" spans="1:18" hidden="1" x14ac:dyDescent="0.3">
      <c r="A4715" s="15" t="s">
        <v>15087</v>
      </c>
      <c r="B4715" s="15" t="s">
        <v>15088</v>
      </c>
      <c r="C4715" s="18" t="s">
        <v>28</v>
      </c>
      <c r="D4715" s="15" t="s">
        <v>15089</v>
      </c>
      <c r="E4715" s="18" t="s">
        <v>28</v>
      </c>
      <c r="F4715" s="19" t="s">
        <v>28</v>
      </c>
      <c r="G4715" s="19" t="s">
        <v>28</v>
      </c>
      <c r="H4715" s="19" t="s">
        <v>28</v>
      </c>
      <c r="I4715" s="18" t="s">
        <v>28</v>
      </c>
      <c r="J4715" s="18" t="s">
        <v>28</v>
      </c>
      <c r="K4715" s="18" t="s">
        <v>28</v>
      </c>
      <c r="L4715" s="18" t="s">
        <v>28</v>
      </c>
      <c r="M4715" s="18" t="s">
        <v>28</v>
      </c>
      <c r="N4715" s="17">
        <v>44362</v>
      </c>
      <c r="O4715" s="15" t="s">
        <v>30</v>
      </c>
      <c r="P4715" s="16" t="s">
        <v>15090</v>
      </c>
      <c r="Q4715" s="15" t="s">
        <v>136</v>
      </c>
      <c r="R4715" s="13" t="str">
        <f>HYPERLINK("https://my.pitchbook.com?c=212149-72T","View Company Online")</f>
        <v>View Company Online</v>
      </c>
    </row>
    <row r="4716" spans="1:18" hidden="1" x14ac:dyDescent="0.3">
      <c r="A4716" s="9" t="s">
        <v>15091</v>
      </c>
      <c r="B4716" s="9" t="s">
        <v>8705</v>
      </c>
      <c r="C4716" s="11" t="s">
        <v>28</v>
      </c>
      <c r="D4716" s="9" t="s">
        <v>13312</v>
      </c>
      <c r="E4716" s="11" t="s">
        <v>28</v>
      </c>
      <c r="F4716" s="10" t="s">
        <v>28</v>
      </c>
      <c r="G4716" s="10">
        <v>430</v>
      </c>
      <c r="H4716" s="10" t="s">
        <v>28</v>
      </c>
      <c r="I4716" s="11" t="s">
        <v>28</v>
      </c>
      <c r="J4716" s="11" t="s">
        <v>28</v>
      </c>
      <c r="K4716" s="11" t="s">
        <v>28</v>
      </c>
      <c r="L4716" s="11" t="s">
        <v>28</v>
      </c>
      <c r="M4716" s="11" t="s">
        <v>28</v>
      </c>
      <c r="N4716" s="8">
        <v>44362</v>
      </c>
      <c r="O4716" s="9" t="s">
        <v>93</v>
      </c>
      <c r="P4716" s="12" t="s">
        <v>15092</v>
      </c>
      <c r="Q4716" s="9" t="s">
        <v>37</v>
      </c>
      <c r="R4716" s="14" t="str">
        <f>HYPERLINK("https://my.pitchbook.com?c=174383-29T","View Company Online")</f>
        <v>View Company Online</v>
      </c>
    </row>
    <row r="4717" spans="1:18" hidden="1" x14ac:dyDescent="0.3">
      <c r="A4717" s="15" t="s">
        <v>15093</v>
      </c>
      <c r="B4717" s="15" t="s">
        <v>4439</v>
      </c>
      <c r="C4717" s="18" t="s">
        <v>28</v>
      </c>
      <c r="D4717" s="15" t="s">
        <v>4440</v>
      </c>
      <c r="E4717" s="18" t="s">
        <v>28</v>
      </c>
      <c r="F4717" s="19" t="s">
        <v>28</v>
      </c>
      <c r="G4717" s="19">
        <v>0.68</v>
      </c>
      <c r="H4717" s="19" t="s">
        <v>28</v>
      </c>
      <c r="I4717" s="18" t="s">
        <v>28</v>
      </c>
      <c r="J4717" s="18" t="s">
        <v>28</v>
      </c>
      <c r="K4717" s="18" t="s">
        <v>28</v>
      </c>
      <c r="L4717" s="18" t="s">
        <v>28</v>
      </c>
      <c r="M4717" s="18" t="s">
        <v>28</v>
      </c>
      <c r="N4717" s="17">
        <v>44362</v>
      </c>
      <c r="O4717" s="15" t="s">
        <v>99</v>
      </c>
      <c r="P4717" s="16" t="s">
        <v>15094</v>
      </c>
      <c r="Q4717" s="15" t="s">
        <v>419</v>
      </c>
      <c r="R4717" s="13" t="str">
        <f>HYPERLINK("https://my.pitchbook.com?c=140538-43T","View Company Online")</f>
        <v>View Company Online</v>
      </c>
    </row>
    <row r="4718" spans="1:18" hidden="1" x14ac:dyDescent="0.3">
      <c r="A4718" s="9" t="s">
        <v>15095</v>
      </c>
      <c r="B4718" s="9" t="s">
        <v>15096</v>
      </c>
      <c r="C4718" s="11" t="s">
        <v>28</v>
      </c>
      <c r="D4718" s="9" t="s">
        <v>15097</v>
      </c>
      <c r="E4718" s="11" t="s">
        <v>28</v>
      </c>
      <c r="F4718" s="10" t="s">
        <v>28</v>
      </c>
      <c r="G4718" s="10" t="s">
        <v>28</v>
      </c>
      <c r="H4718" s="10" t="s">
        <v>28</v>
      </c>
      <c r="I4718" s="11" t="s">
        <v>28</v>
      </c>
      <c r="J4718" s="11" t="s">
        <v>28</v>
      </c>
      <c r="K4718" s="11" t="s">
        <v>28</v>
      </c>
      <c r="L4718" s="11" t="s">
        <v>28</v>
      </c>
      <c r="M4718" s="11" t="s">
        <v>28</v>
      </c>
      <c r="N4718" s="8">
        <v>44362</v>
      </c>
      <c r="O4718" s="9" t="s">
        <v>41</v>
      </c>
      <c r="P4718" s="12" t="s">
        <v>15098</v>
      </c>
      <c r="Q4718" s="9" t="s">
        <v>245</v>
      </c>
      <c r="R4718" s="14" t="str">
        <f>HYPERLINK("https://my.pitchbook.com?c=174501-28T","View Company Online")</f>
        <v>View Company Online</v>
      </c>
    </row>
    <row r="4719" spans="1:18" hidden="1" x14ac:dyDescent="0.3">
      <c r="A4719" s="15" t="s">
        <v>15099</v>
      </c>
      <c r="B4719" s="15" t="s">
        <v>12506</v>
      </c>
      <c r="C4719" s="18" t="s">
        <v>28</v>
      </c>
      <c r="D4719" s="15" t="s">
        <v>12507</v>
      </c>
      <c r="E4719" s="18" t="s">
        <v>28</v>
      </c>
      <c r="F4719" s="19" t="s">
        <v>28</v>
      </c>
      <c r="G4719" s="19">
        <v>5.15</v>
      </c>
      <c r="H4719" s="19">
        <v>22.38</v>
      </c>
      <c r="I4719" s="18" t="s">
        <v>28</v>
      </c>
      <c r="J4719" s="18" t="s">
        <v>28</v>
      </c>
      <c r="K4719" s="18" t="s">
        <v>28</v>
      </c>
      <c r="L4719" s="18" t="s">
        <v>28</v>
      </c>
      <c r="M4719" s="18" t="s">
        <v>28</v>
      </c>
      <c r="N4719" s="17">
        <v>44361</v>
      </c>
      <c r="O4719" s="15" t="s">
        <v>73</v>
      </c>
      <c r="P4719" s="16" t="s">
        <v>15100</v>
      </c>
      <c r="Q4719" s="15" t="s">
        <v>419</v>
      </c>
      <c r="R4719" s="13" t="str">
        <f>HYPERLINK("https://my.pitchbook.com?c=178163-11T","View Company Online")</f>
        <v>View Company Online</v>
      </c>
    </row>
    <row r="4720" spans="1:18" hidden="1" x14ac:dyDescent="0.3">
      <c r="A4720" s="9" t="s">
        <v>15101</v>
      </c>
      <c r="B4720" s="9" t="s">
        <v>15102</v>
      </c>
      <c r="C4720" s="11" t="s">
        <v>28</v>
      </c>
      <c r="D4720" s="9" t="s">
        <v>15103</v>
      </c>
      <c r="E4720" s="11" t="s">
        <v>28</v>
      </c>
      <c r="F4720" s="10" t="s">
        <v>28</v>
      </c>
      <c r="G4720" s="10" t="s">
        <v>28</v>
      </c>
      <c r="H4720" s="10" t="s">
        <v>28</v>
      </c>
      <c r="I4720" s="11" t="s">
        <v>28</v>
      </c>
      <c r="J4720" s="11" t="s">
        <v>28</v>
      </c>
      <c r="K4720" s="11" t="s">
        <v>28</v>
      </c>
      <c r="L4720" s="11" t="s">
        <v>28</v>
      </c>
      <c r="M4720" s="11" t="s">
        <v>28</v>
      </c>
      <c r="N4720" s="8">
        <v>44361</v>
      </c>
      <c r="O4720" s="9" t="s">
        <v>30</v>
      </c>
      <c r="P4720" s="12" t="s">
        <v>15104</v>
      </c>
      <c r="Q4720" s="9" t="s">
        <v>114</v>
      </c>
      <c r="R4720" s="14" t="str">
        <f>HYPERLINK("https://my.pitchbook.com?c=212166-19T","View Company Online")</f>
        <v>View Company Online</v>
      </c>
    </row>
    <row r="4721" spans="1:18" hidden="1" x14ac:dyDescent="0.3">
      <c r="A4721" s="15" t="s">
        <v>15105</v>
      </c>
      <c r="B4721" s="15" t="s">
        <v>11842</v>
      </c>
      <c r="C4721" s="18" t="s">
        <v>28</v>
      </c>
      <c r="D4721" s="15" t="s">
        <v>11843</v>
      </c>
      <c r="E4721" s="18" t="s">
        <v>28</v>
      </c>
      <c r="F4721" s="19" t="s">
        <v>28</v>
      </c>
      <c r="G4721" s="19" t="s">
        <v>28</v>
      </c>
      <c r="H4721" s="19" t="s">
        <v>28</v>
      </c>
      <c r="I4721" s="18" t="s">
        <v>28</v>
      </c>
      <c r="J4721" s="18" t="s">
        <v>28</v>
      </c>
      <c r="K4721" s="18" t="s">
        <v>28</v>
      </c>
      <c r="L4721" s="18" t="s">
        <v>28</v>
      </c>
      <c r="M4721" s="18" t="s">
        <v>28</v>
      </c>
      <c r="N4721" s="17">
        <v>44361</v>
      </c>
      <c r="O4721" s="15" t="s">
        <v>73</v>
      </c>
      <c r="P4721" s="16" t="s">
        <v>15106</v>
      </c>
      <c r="Q4721" s="15" t="s">
        <v>37</v>
      </c>
      <c r="R4721" s="13" t="str">
        <f>HYPERLINK("https://my.pitchbook.com?c=294384-07T","View Company Online")</f>
        <v>View Company Online</v>
      </c>
    </row>
    <row r="4722" spans="1:18" hidden="1" x14ac:dyDescent="0.3">
      <c r="A4722" s="9" t="s">
        <v>15107</v>
      </c>
      <c r="B4722" s="9" t="s">
        <v>15108</v>
      </c>
      <c r="C4722" s="11" t="s">
        <v>28</v>
      </c>
      <c r="D4722" s="9" t="s">
        <v>15109</v>
      </c>
      <c r="E4722" s="11" t="s">
        <v>28</v>
      </c>
      <c r="F4722" s="10" t="s">
        <v>28</v>
      </c>
      <c r="G4722" s="10">
        <v>0.05</v>
      </c>
      <c r="H4722" s="10" t="s">
        <v>28</v>
      </c>
      <c r="I4722" s="11" t="s">
        <v>28</v>
      </c>
      <c r="J4722" s="11" t="s">
        <v>28</v>
      </c>
      <c r="K4722" s="11" t="s">
        <v>28</v>
      </c>
      <c r="L4722" s="11" t="s">
        <v>28</v>
      </c>
      <c r="M4722" s="11" t="s">
        <v>28</v>
      </c>
      <c r="N4722" s="8">
        <v>44361</v>
      </c>
      <c r="O4722" s="9" t="s">
        <v>52</v>
      </c>
      <c r="P4722" s="12" t="s">
        <v>221</v>
      </c>
      <c r="Q4722" s="9" t="s">
        <v>75</v>
      </c>
      <c r="R4722" s="14" t="str">
        <f>HYPERLINK("https://my.pitchbook.com?c=215453-98T","View Company Online")</f>
        <v>View Company Online</v>
      </c>
    </row>
    <row r="4723" spans="1:18" hidden="1" x14ac:dyDescent="0.3">
      <c r="A4723" s="15" t="s">
        <v>15110</v>
      </c>
      <c r="B4723" s="15" t="s">
        <v>15111</v>
      </c>
      <c r="C4723" s="18" t="s">
        <v>28</v>
      </c>
      <c r="D4723" s="15" t="s">
        <v>15112</v>
      </c>
      <c r="E4723" s="18" t="s">
        <v>28</v>
      </c>
      <c r="F4723" s="19" t="s">
        <v>28</v>
      </c>
      <c r="G4723" s="19" t="s">
        <v>28</v>
      </c>
      <c r="H4723" s="19" t="s">
        <v>28</v>
      </c>
      <c r="I4723" s="18" t="s">
        <v>28</v>
      </c>
      <c r="J4723" s="18" t="s">
        <v>28</v>
      </c>
      <c r="K4723" s="18" t="s">
        <v>28</v>
      </c>
      <c r="L4723" s="18" t="s">
        <v>28</v>
      </c>
      <c r="M4723" s="18" t="s">
        <v>28</v>
      </c>
      <c r="N4723" s="17">
        <v>44361</v>
      </c>
      <c r="O4723" s="15" t="s">
        <v>52</v>
      </c>
      <c r="P4723" s="16" t="s">
        <v>221</v>
      </c>
      <c r="Q4723" s="15" t="s">
        <v>75</v>
      </c>
      <c r="R4723" s="13" t="str">
        <f>HYPERLINK("https://my.pitchbook.com?c=215431-03T","View Company Online")</f>
        <v>View Company Online</v>
      </c>
    </row>
    <row r="4724" spans="1:18" hidden="1" x14ac:dyDescent="0.3">
      <c r="A4724" s="9" t="s">
        <v>15113</v>
      </c>
      <c r="B4724" s="9" t="s">
        <v>15114</v>
      </c>
      <c r="C4724" s="11" t="s">
        <v>28</v>
      </c>
      <c r="D4724" s="9" t="s">
        <v>15115</v>
      </c>
      <c r="E4724" s="11" t="s">
        <v>28</v>
      </c>
      <c r="F4724" s="10" t="s">
        <v>28</v>
      </c>
      <c r="G4724" s="10" t="s">
        <v>28</v>
      </c>
      <c r="H4724" s="10" t="s">
        <v>28</v>
      </c>
      <c r="I4724" s="11" t="s">
        <v>28</v>
      </c>
      <c r="J4724" s="11" t="s">
        <v>28</v>
      </c>
      <c r="K4724" s="11" t="s">
        <v>28</v>
      </c>
      <c r="L4724" s="11" t="s">
        <v>28</v>
      </c>
      <c r="M4724" s="11" t="s">
        <v>28</v>
      </c>
      <c r="N4724" s="8">
        <v>44361</v>
      </c>
      <c r="O4724" s="9" t="s">
        <v>93</v>
      </c>
      <c r="P4724" s="12" t="s">
        <v>15116</v>
      </c>
      <c r="Q4724" s="9" t="s">
        <v>240</v>
      </c>
      <c r="R4724" s="14" t="str">
        <f>HYPERLINK("https://my.pitchbook.com?c=199419-67T","View Company Online")</f>
        <v>View Company Online</v>
      </c>
    </row>
    <row r="4725" spans="1:18" hidden="1" x14ac:dyDescent="0.3">
      <c r="A4725" s="15" t="s">
        <v>15117</v>
      </c>
      <c r="B4725" s="15" t="s">
        <v>7458</v>
      </c>
      <c r="C4725" s="18" t="s">
        <v>28</v>
      </c>
      <c r="D4725" s="15" t="s">
        <v>7459</v>
      </c>
      <c r="E4725" s="18" t="s">
        <v>28</v>
      </c>
      <c r="F4725" s="19" t="s">
        <v>28</v>
      </c>
      <c r="G4725" s="19">
        <v>0.35</v>
      </c>
      <c r="H4725" s="19" t="s">
        <v>28</v>
      </c>
      <c r="I4725" s="18" t="s">
        <v>28</v>
      </c>
      <c r="J4725" s="18" t="s">
        <v>28</v>
      </c>
      <c r="K4725" s="18" t="s">
        <v>28</v>
      </c>
      <c r="L4725" s="18" t="s">
        <v>28</v>
      </c>
      <c r="M4725" s="18" t="s">
        <v>28</v>
      </c>
      <c r="N4725" s="17">
        <v>44361</v>
      </c>
      <c r="O4725" s="15" t="s">
        <v>73</v>
      </c>
      <c r="P4725" s="16" t="s">
        <v>15118</v>
      </c>
      <c r="Q4725" s="15" t="s">
        <v>136</v>
      </c>
      <c r="R4725" s="13" t="str">
        <f>HYPERLINK("https://my.pitchbook.com?c=189685-36T","View Company Online")</f>
        <v>View Company Online</v>
      </c>
    </row>
    <row r="4726" spans="1:18" hidden="1" x14ac:dyDescent="0.3">
      <c r="A4726" s="9" t="s">
        <v>15119</v>
      </c>
      <c r="B4726" s="9" t="s">
        <v>15120</v>
      </c>
      <c r="C4726" s="11" t="s">
        <v>28</v>
      </c>
      <c r="D4726" s="9" t="s">
        <v>15121</v>
      </c>
      <c r="E4726" s="11" t="s">
        <v>28</v>
      </c>
      <c r="F4726" s="10" t="s">
        <v>28</v>
      </c>
      <c r="G4726" s="10">
        <v>0.48</v>
      </c>
      <c r="H4726" s="10" t="s">
        <v>28</v>
      </c>
      <c r="I4726" s="11" t="s">
        <v>28</v>
      </c>
      <c r="J4726" s="11" t="s">
        <v>28</v>
      </c>
      <c r="K4726" s="11" t="s">
        <v>28</v>
      </c>
      <c r="L4726" s="11" t="s">
        <v>28</v>
      </c>
      <c r="M4726" s="11" t="s">
        <v>28</v>
      </c>
      <c r="N4726" s="8">
        <v>44361</v>
      </c>
      <c r="O4726" s="9" t="s">
        <v>73</v>
      </c>
      <c r="P4726" s="12" t="s">
        <v>11495</v>
      </c>
      <c r="Q4726" s="9" t="s">
        <v>75</v>
      </c>
      <c r="R4726" s="14" t="str">
        <f>HYPERLINK("https://my.pitchbook.com?c=175247-65T","View Company Online")</f>
        <v>View Company Online</v>
      </c>
    </row>
    <row r="4727" spans="1:18" hidden="1" x14ac:dyDescent="0.3">
      <c r="A4727" s="15" t="s">
        <v>15122</v>
      </c>
      <c r="B4727" s="15" t="s">
        <v>15123</v>
      </c>
      <c r="C4727" s="18" t="s">
        <v>28</v>
      </c>
      <c r="D4727" s="15" t="s">
        <v>15124</v>
      </c>
      <c r="E4727" s="18" t="s">
        <v>28</v>
      </c>
      <c r="F4727" s="19" t="s">
        <v>28</v>
      </c>
      <c r="G4727" s="19" t="s">
        <v>28</v>
      </c>
      <c r="H4727" s="19" t="s">
        <v>28</v>
      </c>
      <c r="I4727" s="18" t="s">
        <v>28</v>
      </c>
      <c r="J4727" s="18" t="s">
        <v>28</v>
      </c>
      <c r="K4727" s="18" t="s">
        <v>28</v>
      </c>
      <c r="L4727" s="18" t="s">
        <v>28</v>
      </c>
      <c r="M4727" s="18" t="s">
        <v>28</v>
      </c>
      <c r="N4727" s="17">
        <v>44361</v>
      </c>
      <c r="O4727" s="15" t="s">
        <v>99</v>
      </c>
      <c r="P4727" s="16" t="s">
        <v>15125</v>
      </c>
      <c r="Q4727" s="15" t="s">
        <v>75</v>
      </c>
      <c r="R4727" s="13" t="str">
        <f>HYPERLINK("https://my.pitchbook.com?c=215547-85T","View Company Online")</f>
        <v>View Company Online</v>
      </c>
    </row>
    <row r="4728" spans="1:18" hidden="1" x14ac:dyDescent="0.3">
      <c r="A4728" s="9" t="s">
        <v>15126</v>
      </c>
      <c r="B4728" s="9" t="s">
        <v>591</v>
      </c>
      <c r="C4728" s="11" t="s">
        <v>28</v>
      </c>
      <c r="D4728" s="9" t="s">
        <v>15127</v>
      </c>
      <c r="E4728" s="11" t="s">
        <v>28</v>
      </c>
      <c r="F4728" s="10" t="s">
        <v>28</v>
      </c>
      <c r="G4728" s="10">
        <v>405.9</v>
      </c>
      <c r="H4728" s="10" t="s">
        <v>28</v>
      </c>
      <c r="I4728" s="11" t="s">
        <v>28</v>
      </c>
      <c r="J4728" s="11" t="s">
        <v>28</v>
      </c>
      <c r="K4728" s="11" t="s">
        <v>28</v>
      </c>
      <c r="L4728" s="11" t="s">
        <v>28</v>
      </c>
      <c r="M4728" s="11" t="s">
        <v>28</v>
      </c>
      <c r="N4728" s="8">
        <v>44360</v>
      </c>
      <c r="O4728" s="9" t="s">
        <v>79</v>
      </c>
      <c r="P4728" s="12" t="s">
        <v>28</v>
      </c>
      <c r="Q4728" s="9" t="s">
        <v>696</v>
      </c>
      <c r="R4728" s="14" t="str">
        <f>HYPERLINK("https://my.pitchbook.com?c=177110-29T","View Company Online")</f>
        <v>View Company Online</v>
      </c>
    </row>
    <row r="4729" spans="1:18" hidden="1" x14ac:dyDescent="0.3">
      <c r="A4729" s="15" t="s">
        <v>15128</v>
      </c>
      <c r="B4729" s="15" t="s">
        <v>15129</v>
      </c>
      <c r="C4729" s="18" t="s">
        <v>28</v>
      </c>
      <c r="D4729" s="15" t="s">
        <v>15130</v>
      </c>
      <c r="E4729" s="18" t="s">
        <v>28</v>
      </c>
      <c r="F4729" s="19" t="s">
        <v>28</v>
      </c>
      <c r="G4729" s="19" t="s">
        <v>28</v>
      </c>
      <c r="H4729" s="19" t="s">
        <v>28</v>
      </c>
      <c r="I4729" s="18" t="s">
        <v>28</v>
      </c>
      <c r="J4729" s="18" t="s">
        <v>28</v>
      </c>
      <c r="K4729" s="18" t="s">
        <v>28</v>
      </c>
      <c r="L4729" s="18" t="s">
        <v>28</v>
      </c>
      <c r="M4729" s="18" t="s">
        <v>28</v>
      </c>
      <c r="N4729" s="17">
        <v>44360</v>
      </c>
      <c r="O4729" s="15" t="s">
        <v>99</v>
      </c>
      <c r="P4729" s="16" t="s">
        <v>15131</v>
      </c>
      <c r="Q4729" s="15" t="s">
        <v>43</v>
      </c>
      <c r="R4729" s="13" t="str">
        <f>HYPERLINK("https://my.pitchbook.com?c=174717-01T","View Company Online")</f>
        <v>View Company Online</v>
      </c>
    </row>
    <row r="4730" spans="1:18" hidden="1" x14ac:dyDescent="0.3">
      <c r="A4730" s="9" t="s">
        <v>15132</v>
      </c>
      <c r="B4730" s="9" t="s">
        <v>4631</v>
      </c>
      <c r="C4730" s="11" t="s">
        <v>28</v>
      </c>
      <c r="D4730" s="9" t="s">
        <v>4632</v>
      </c>
      <c r="E4730" s="11" t="s">
        <v>28</v>
      </c>
      <c r="F4730" s="10" t="s">
        <v>28</v>
      </c>
      <c r="G4730" s="10" t="s">
        <v>28</v>
      </c>
      <c r="H4730" s="10">
        <v>7.68</v>
      </c>
      <c r="I4730" s="11" t="s">
        <v>28</v>
      </c>
      <c r="J4730" s="11" t="s">
        <v>28</v>
      </c>
      <c r="K4730" s="11" t="s">
        <v>28</v>
      </c>
      <c r="L4730" s="11" t="s">
        <v>28</v>
      </c>
      <c r="M4730" s="11" t="s">
        <v>28</v>
      </c>
      <c r="N4730" s="8">
        <v>44359</v>
      </c>
      <c r="O4730" s="9" t="s">
        <v>93</v>
      </c>
      <c r="P4730" s="12" t="s">
        <v>15133</v>
      </c>
      <c r="Q4730" s="9" t="s">
        <v>1068</v>
      </c>
      <c r="R4730" s="14" t="str">
        <f>HYPERLINK("https://my.pitchbook.com?c=178211-26T","View Company Online")</f>
        <v>View Company Online</v>
      </c>
    </row>
    <row r="4731" spans="1:18" hidden="1" x14ac:dyDescent="0.3">
      <c r="A4731" s="15" t="s">
        <v>15134</v>
      </c>
      <c r="B4731" s="15" t="s">
        <v>15135</v>
      </c>
      <c r="C4731" s="18" t="s">
        <v>28</v>
      </c>
      <c r="D4731" s="15" t="s">
        <v>15136</v>
      </c>
      <c r="E4731" s="18" t="s">
        <v>28</v>
      </c>
      <c r="F4731" s="19">
        <v>20.13</v>
      </c>
      <c r="G4731" s="19">
        <v>20.13</v>
      </c>
      <c r="H4731" s="19">
        <v>20.13</v>
      </c>
      <c r="I4731" s="18" t="s">
        <v>28</v>
      </c>
      <c r="J4731" s="18" t="s">
        <v>28</v>
      </c>
      <c r="K4731" s="18">
        <v>7.76</v>
      </c>
      <c r="L4731" s="18">
        <v>2.59</v>
      </c>
      <c r="M4731" s="18" t="s">
        <v>28</v>
      </c>
      <c r="N4731" s="17">
        <v>44358</v>
      </c>
      <c r="O4731" s="15" t="s">
        <v>30</v>
      </c>
      <c r="P4731" s="16" t="s">
        <v>6926</v>
      </c>
      <c r="Q4731" s="15" t="s">
        <v>607</v>
      </c>
      <c r="R4731" s="13" t="str">
        <f>HYPERLINK("https://my.pitchbook.com?c=190106-38T","View Company Online")</f>
        <v>View Company Online</v>
      </c>
    </row>
    <row r="4732" spans="1:18" hidden="1" x14ac:dyDescent="0.3">
      <c r="A4732" s="9" t="s">
        <v>15137</v>
      </c>
      <c r="B4732" s="9" t="s">
        <v>15138</v>
      </c>
      <c r="C4732" s="11" t="s">
        <v>28</v>
      </c>
      <c r="D4732" s="9" t="s">
        <v>15139</v>
      </c>
      <c r="E4732" s="11" t="s">
        <v>28</v>
      </c>
      <c r="F4732" s="10" t="s">
        <v>28</v>
      </c>
      <c r="G4732" s="10" t="s">
        <v>28</v>
      </c>
      <c r="H4732" s="10" t="s">
        <v>28</v>
      </c>
      <c r="I4732" s="11" t="s">
        <v>28</v>
      </c>
      <c r="J4732" s="11" t="s">
        <v>28</v>
      </c>
      <c r="K4732" s="11" t="s">
        <v>28</v>
      </c>
      <c r="L4732" s="11" t="s">
        <v>28</v>
      </c>
      <c r="M4732" s="11" t="s">
        <v>28</v>
      </c>
      <c r="N4732" s="8">
        <v>44358</v>
      </c>
      <c r="O4732" s="9" t="s">
        <v>73</v>
      </c>
      <c r="P4732" s="12" t="s">
        <v>15140</v>
      </c>
      <c r="Q4732" s="9" t="s">
        <v>75</v>
      </c>
      <c r="R4732" s="14" t="str">
        <f>HYPERLINK("https://my.pitchbook.com?c=206054-92T","View Company Online")</f>
        <v>View Company Online</v>
      </c>
    </row>
    <row r="4733" spans="1:18" hidden="1" x14ac:dyDescent="0.3">
      <c r="A4733" s="15" t="s">
        <v>15141</v>
      </c>
      <c r="B4733" s="15" t="s">
        <v>15142</v>
      </c>
      <c r="C4733" s="18" t="s">
        <v>28</v>
      </c>
      <c r="D4733" s="15" t="s">
        <v>15143</v>
      </c>
      <c r="E4733" s="18" t="s">
        <v>28</v>
      </c>
      <c r="F4733" s="19" t="s">
        <v>28</v>
      </c>
      <c r="G4733" s="19" t="s">
        <v>28</v>
      </c>
      <c r="H4733" s="19" t="s">
        <v>28</v>
      </c>
      <c r="I4733" s="18" t="s">
        <v>28</v>
      </c>
      <c r="J4733" s="18" t="s">
        <v>28</v>
      </c>
      <c r="K4733" s="18" t="s">
        <v>28</v>
      </c>
      <c r="L4733" s="18" t="s">
        <v>28</v>
      </c>
      <c r="M4733" s="18" t="s">
        <v>28</v>
      </c>
      <c r="N4733" s="17">
        <v>44358</v>
      </c>
      <c r="O4733" s="15" t="s">
        <v>30</v>
      </c>
      <c r="P4733" s="16" t="s">
        <v>15144</v>
      </c>
      <c r="Q4733" s="15" t="s">
        <v>285</v>
      </c>
      <c r="R4733" s="13" t="str">
        <f>HYPERLINK("https://my.pitchbook.com?c=175317-58T","View Company Online")</f>
        <v>View Company Online</v>
      </c>
    </row>
    <row r="4734" spans="1:18" hidden="1" x14ac:dyDescent="0.3">
      <c r="A4734" s="9" t="s">
        <v>15145</v>
      </c>
      <c r="B4734" s="9" t="s">
        <v>15146</v>
      </c>
      <c r="C4734" s="11" t="s">
        <v>28</v>
      </c>
      <c r="D4734" s="9" t="s">
        <v>15147</v>
      </c>
      <c r="E4734" s="11" t="s">
        <v>28</v>
      </c>
      <c r="F4734" s="10" t="s">
        <v>28</v>
      </c>
      <c r="G4734" s="10" t="s">
        <v>28</v>
      </c>
      <c r="H4734" s="10" t="s">
        <v>28</v>
      </c>
      <c r="I4734" s="11" t="s">
        <v>28</v>
      </c>
      <c r="J4734" s="11" t="s">
        <v>28</v>
      </c>
      <c r="K4734" s="11">
        <v>1.85</v>
      </c>
      <c r="L4734" s="11" t="s">
        <v>28</v>
      </c>
      <c r="M4734" s="11">
        <v>1.45</v>
      </c>
      <c r="N4734" s="8">
        <v>44358</v>
      </c>
      <c r="O4734" s="9" t="s">
        <v>173</v>
      </c>
      <c r="P4734" s="12" t="s">
        <v>28</v>
      </c>
      <c r="Q4734" s="9" t="s">
        <v>174</v>
      </c>
      <c r="R4734" s="14" t="str">
        <f>HYPERLINK("https://my.pitchbook.com?c=251367-94T","View Company Online")</f>
        <v>View Company Online</v>
      </c>
    </row>
    <row r="4735" spans="1:18" x14ac:dyDescent="0.3">
      <c r="A4735" s="15" t="s">
        <v>15148</v>
      </c>
      <c r="B4735" s="15" t="s">
        <v>1444</v>
      </c>
      <c r="C4735" s="18">
        <v>6.23</v>
      </c>
      <c r="D4735" s="15" t="s">
        <v>1445</v>
      </c>
      <c r="E4735" s="18" t="s">
        <v>28</v>
      </c>
      <c r="F4735" s="19">
        <v>575.25</v>
      </c>
      <c r="G4735" s="19">
        <v>575.25</v>
      </c>
      <c r="H4735" s="19">
        <v>575.25</v>
      </c>
      <c r="I4735" s="18">
        <v>92.39</v>
      </c>
      <c r="J4735" s="18">
        <v>6.23</v>
      </c>
      <c r="K4735" s="18">
        <v>388.19</v>
      </c>
      <c r="L4735" s="18">
        <v>1.48</v>
      </c>
      <c r="M4735" s="18">
        <v>31.64</v>
      </c>
      <c r="N4735" s="17">
        <v>44358</v>
      </c>
      <c r="O4735" s="15" t="s">
        <v>30</v>
      </c>
      <c r="P4735" s="16" t="s">
        <v>28</v>
      </c>
      <c r="Q4735" s="15" t="s">
        <v>245</v>
      </c>
      <c r="R4735" s="13" t="str">
        <f>HYPERLINK("https://my.pitchbook.com?c=174271-24T","View Company Online")</f>
        <v>View Company Online</v>
      </c>
    </row>
    <row r="4736" spans="1:18" hidden="1" x14ac:dyDescent="0.3">
      <c r="A4736" s="9" t="s">
        <v>15149</v>
      </c>
      <c r="B4736" s="9" t="s">
        <v>15150</v>
      </c>
      <c r="C4736" s="11" t="s">
        <v>28</v>
      </c>
      <c r="D4736" s="9" t="s">
        <v>15151</v>
      </c>
      <c r="E4736" s="11" t="s">
        <v>28</v>
      </c>
      <c r="F4736" s="10" t="s">
        <v>28</v>
      </c>
      <c r="G4736" s="10" t="s">
        <v>28</v>
      </c>
      <c r="H4736" s="10" t="s">
        <v>28</v>
      </c>
      <c r="I4736" s="11" t="s">
        <v>28</v>
      </c>
      <c r="J4736" s="11" t="s">
        <v>28</v>
      </c>
      <c r="K4736" s="11" t="s">
        <v>28</v>
      </c>
      <c r="L4736" s="11" t="s">
        <v>28</v>
      </c>
      <c r="M4736" s="11" t="s">
        <v>28</v>
      </c>
      <c r="N4736" s="8">
        <v>44357</v>
      </c>
      <c r="O4736" s="9" t="s">
        <v>30</v>
      </c>
      <c r="P4736" s="12" t="s">
        <v>15152</v>
      </c>
      <c r="Q4736" s="9" t="s">
        <v>10313</v>
      </c>
      <c r="R4736" s="14" t="str">
        <f>HYPERLINK("https://my.pitchbook.com?c=174203-20T","View Company Online")</f>
        <v>View Company Online</v>
      </c>
    </row>
    <row r="4737" spans="1:18" hidden="1" x14ac:dyDescent="0.3">
      <c r="A4737" s="15" t="s">
        <v>15153</v>
      </c>
      <c r="B4737" s="15" t="s">
        <v>15154</v>
      </c>
      <c r="C4737" s="18" t="s">
        <v>28</v>
      </c>
      <c r="D4737" s="15" t="s">
        <v>15155</v>
      </c>
      <c r="E4737" s="18" t="s">
        <v>28</v>
      </c>
      <c r="F4737" s="19" t="s">
        <v>28</v>
      </c>
      <c r="G4737" s="19">
        <v>134.08000000000001</v>
      </c>
      <c r="H4737" s="19" t="s">
        <v>28</v>
      </c>
      <c r="I4737" s="18" t="s">
        <v>28</v>
      </c>
      <c r="J4737" s="18" t="s">
        <v>28</v>
      </c>
      <c r="K4737" s="18" t="s">
        <v>28</v>
      </c>
      <c r="L4737" s="18" t="s">
        <v>28</v>
      </c>
      <c r="M4737" s="18" t="s">
        <v>28</v>
      </c>
      <c r="N4737" s="17">
        <v>44357</v>
      </c>
      <c r="O4737" s="15" t="s">
        <v>79</v>
      </c>
      <c r="P4737" s="16" t="s">
        <v>15156</v>
      </c>
      <c r="Q4737" s="15" t="s">
        <v>85</v>
      </c>
      <c r="R4737" s="13" t="str">
        <f>HYPERLINK("https://my.pitchbook.com?c=174119-86T","View Company Online")</f>
        <v>View Company Online</v>
      </c>
    </row>
    <row r="4738" spans="1:18" hidden="1" x14ac:dyDescent="0.3">
      <c r="A4738" s="9" t="s">
        <v>15157</v>
      </c>
      <c r="B4738" s="9" t="s">
        <v>15158</v>
      </c>
      <c r="C4738" s="11" t="s">
        <v>28</v>
      </c>
      <c r="D4738" s="9" t="s">
        <v>15159</v>
      </c>
      <c r="E4738" s="11" t="s">
        <v>28</v>
      </c>
      <c r="F4738" s="10" t="s">
        <v>28</v>
      </c>
      <c r="G4738" s="10">
        <v>2.87</v>
      </c>
      <c r="H4738" s="10" t="s">
        <v>28</v>
      </c>
      <c r="I4738" s="11" t="s">
        <v>28</v>
      </c>
      <c r="J4738" s="11" t="s">
        <v>28</v>
      </c>
      <c r="K4738" s="11" t="s">
        <v>28</v>
      </c>
      <c r="L4738" s="11" t="s">
        <v>28</v>
      </c>
      <c r="M4738" s="11" t="s">
        <v>28</v>
      </c>
      <c r="N4738" s="8">
        <v>44357</v>
      </c>
      <c r="O4738" s="9" t="s">
        <v>79</v>
      </c>
      <c r="P4738" s="12" t="s">
        <v>15160</v>
      </c>
      <c r="Q4738" s="9" t="s">
        <v>75</v>
      </c>
      <c r="R4738" s="14" t="str">
        <f>HYPERLINK("https://my.pitchbook.com?c=192353-95T","View Company Online")</f>
        <v>View Company Online</v>
      </c>
    </row>
    <row r="4739" spans="1:18" hidden="1" x14ac:dyDescent="0.3">
      <c r="A4739" s="15" t="s">
        <v>15161</v>
      </c>
      <c r="B4739" s="15" t="s">
        <v>15162</v>
      </c>
      <c r="C4739" s="18" t="s">
        <v>28</v>
      </c>
      <c r="D4739" s="15" t="s">
        <v>15163</v>
      </c>
      <c r="E4739" s="18" t="s">
        <v>28</v>
      </c>
      <c r="F4739" s="19" t="s">
        <v>28</v>
      </c>
      <c r="G4739" s="19" t="s">
        <v>28</v>
      </c>
      <c r="H4739" s="19" t="s">
        <v>28</v>
      </c>
      <c r="I4739" s="18" t="s">
        <v>28</v>
      </c>
      <c r="J4739" s="18" t="s">
        <v>28</v>
      </c>
      <c r="K4739" s="18" t="s">
        <v>28</v>
      </c>
      <c r="L4739" s="18" t="s">
        <v>28</v>
      </c>
      <c r="M4739" s="18" t="s">
        <v>28</v>
      </c>
      <c r="N4739" s="17">
        <v>44357</v>
      </c>
      <c r="O4739" s="15" t="s">
        <v>58</v>
      </c>
      <c r="P4739" s="16" t="s">
        <v>15164</v>
      </c>
      <c r="Q4739" s="15" t="s">
        <v>240</v>
      </c>
      <c r="R4739" s="13" t="str">
        <f>HYPERLINK("https://my.pitchbook.com?c=174963-79T","View Company Online")</f>
        <v>View Company Online</v>
      </c>
    </row>
    <row r="4740" spans="1:18" hidden="1" x14ac:dyDescent="0.3">
      <c r="A4740" s="9" t="s">
        <v>15165</v>
      </c>
      <c r="B4740" s="9" t="s">
        <v>15166</v>
      </c>
      <c r="C4740" s="11" t="s">
        <v>28</v>
      </c>
      <c r="D4740" s="9" t="s">
        <v>15167</v>
      </c>
      <c r="E4740" s="11" t="s">
        <v>28</v>
      </c>
      <c r="F4740" s="10" t="s">
        <v>28</v>
      </c>
      <c r="G4740" s="10" t="s">
        <v>28</v>
      </c>
      <c r="H4740" s="10" t="s">
        <v>28</v>
      </c>
      <c r="I4740" s="11" t="s">
        <v>28</v>
      </c>
      <c r="J4740" s="11" t="s">
        <v>28</v>
      </c>
      <c r="K4740" s="11" t="s">
        <v>28</v>
      </c>
      <c r="L4740" s="11" t="s">
        <v>28</v>
      </c>
      <c r="M4740" s="11" t="s">
        <v>28</v>
      </c>
      <c r="N4740" s="8">
        <v>44357</v>
      </c>
      <c r="O4740" s="9" t="s">
        <v>30</v>
      </c>
      <c r="P4740" s="12" t="s">
        <v>15168</v>
      </c>
      <c r="Q4740" s="9" t="s">
        <v>7913</v>
      </c>
      <c r="R4740" s="14" t="str">
        <f>HYPERLINK("https://my.pitchbook.com?c=235930-87T","View Company Online")</f>
        <v>View Company Online</v>
      </c>
    </row>
    <row r="4741" spans="1:18" hidden="1" x14ac:dyDescent="0.3">
      <c r="A4741" s="15" t="s">
        <v>15169</v>
      </c>
      <c r="B4741" s="15" t="s">
        <v>15170</v>
      </c>
      <c r="C4741" s="18" t="s">
        <v>28</v>
      </c>
      <c r="D4741" s="15" t="s">
        <v>15171</v>
      </c>
      <c r="E4741" s="18" t="s">
        <v>28</v>
      </c>
      <c r="F4741" s="19" t="s">
        <v>28</v>
      </c>
      <c r="G4741" s="19">
        <v>1.07</v>
      </c>
      <c r="H4741" s="19" t="s">
        <v>28</v>
      </c>
      <c r="I4741" s="18" t="s">
        <v>28</v>
      </c>
      <c r="J4741" s="18" t="s">
        <v>28</v>
      </c>
      <c r="K4741" s="18" t="s">
        <v>28</v>
      </c>
      <c r="L4741" s="18" t="s">
        <v>28</v>
      </c>
      <c r="M4741" s="18" t="s">
        <v>28</v>
      </c>
      <c r="N4741" s="17">
        <v>44357</v>
      </c>
      <c r="O4741" s="15" t="s">
        <v>73</v>
      </c>
      <c r="P4741" s="16" t="s">
        <v>15172</v>
      </c>
      <c r="Q4741" s="15" t="s">
        <v>362</v>
      </c>
      <c r="R4741" s="13" t="str">
        <f>HYPERLINK("https://my.pitchbook.com?c=183737-53T","View Company Online")</f>
        <v>View Company Online</v>
      </c>
    </row>
    <row r="4742" spans="1:18" hidden="1" x14ac:dyDescent="0.3">
      <c r="A4742" s="9" t="s">
        <v>15173</v>
      </c>
      <c r="B4742" s="9" t="s">
        <v>11101</v>
      </c>
      <c r="C4742" s="11" t="s">
        <v>28</v>
      </c>
      <c r="D4742" s="9" t="s">
        <v>11102</v>
      </c>
      <c r="E4742" s="11" t="s">
        <v>28</v>
      </c>
      <c r="F4742" s="10" t="s">
        <v>28</v>
      </c>
      <c r="G4742" s="10">
        <v>3.26</v>
      </c>
      <c r="H4742" s="10" t="s">
        <v>28</v>
      </c>
      <c r="I4742" s="11" t="s">
        <v>28</v>
      </c>
      <c r="J4742" s="11" t="s">
        <v>28</v>
      </c>
      <c r="K4742" s="11" t="s">
        <v>28</v>
      </c>
      <c r="L4742" s="11" t="s">
        <v>28</v>
      </c>
      <c r="M4742" s="11" t="s">
        <v>28</v>
      </c>
      <c r="N4742" s="8">
        <v>44357</v>
      </c>
      <c r="O4742" s="9" t="s">
        <v>79</v>
      </c>
      <c r="P4742" s="12" t="s">
        <v>15174</v>
      </c>
      <c r="Q4742" s="9" t="s">
        <v>855</v>
      </c>
      <c r="R4742" s="14" t="str">
        <f>HYPERLINK("https://my.pitchbook.com?c=174485-98T","View Company Online")</f>
        <v>View Company Online</v>
      </c>
    </row>
    <row r="4743" spans="1:18" hidden="1" x14ac:dyDescent="0.3">
      <c r="A4743" s="15" t="s">
        <v>15175</v>
      </c>
      <c r="B4743" s="15" t="s">
        <v>15176</v>
      </c>
      <c r="C4743" s="18" t="s">
        <v>28</v>
      </c>
      <c r="D4743" s="15" t="s">
        <v>15177</v>
      </c>
      <c r="E4743" s="18" t="s">
        <v>28</v>
      </c>
      <c r="F4743" s="19">
        <v>100.32</v>
      </c>
      <c r="G4743" s="19">
        <v>100.32</v>
      </c>
      <c r="H4743" s="19">
        <v>100.32</v>
      </c>
      <c r="I4743" s="18" t="s">
        <v>28</v>
      </c>
      <c r="J4743" s="18" t="s">
        <v>28</v>
      </c>
      <c r="K4743" s="18" t="s">
        <v>28</v>
      </c>
      <c r="L4743" s="18" t="s">
        <v>28</v>
      </c>
      <c r="M4743" s="18" t="s">
        <v>28</v>
      </c>
      <c r="N4743" s="17">
        <v>44356</v>
      </c>
      <c r="O4743" s="15" t="s">
        <v>30</v>
      </c>
      <c r="P4743" s="16" t="s">
        <v>6531</v>
      </c>
      <c r="Q4743" s="15" t="s">
        <v>75</v>
      </c>
      <c r="R4743" s="13" t="str">
        <f>HYPERLINK("https://my.pitchbook.com?c=170963-47T","View Company Online")</f>
        <v>View Company Online</v>
      </c>
    </row>
    <row r="4744" spans="1:18" hidden="1" x14ac:dyDescent="0.3">
      <c r="A4744" s="9" t="s">
        <v>15178</v>
      </c>
      <c r="B4744" s="9" t="s">
        <v>15179</v>
      </c>
      <c r="C4744" s="11" t="s">
        <v>28</v>
      </c>
      <c r="D4744" s="9" t="s">
        <v>15180</v>
      </c>
      <c r="E4744" s="11" t="s">
        <v>28</v>
      </c>
      <c r="F4744" s="10">
        <v>1.28</v>
      </c>
      <c r="G4744" s="10">
        <v>1.28</v>
      </c>
      <c r="H4744" s="10">
        <v>1.28</v>
      </c>
      <c r="I4744" s="11" t="s">
        <v>28</v>
      </c>
      <c r="J4744" s="11" t="s">
        <v>28</v>
      </c>
      <c r="K4744" s="11" t="s">
        <v>28</v>
      </c>
      <c r="L4744" s="11" t="s">
        <v>28</v>
      </c>
      <c r="M4744" s="11" t="s">
        <v>28</v>
      </c>
      <c r="N4744" s="8">
        <v>44356</v>
      </c>
      <c r="O4744" s="9" t="s">
        <v>30</v>
      </c>
      <c r="P4744" s="12" t="s">
        <v>6531</v>
      </c>
      <c r="Q4744" s="9" t="s">
        <v>37</v>
      </c>
      <c r="R4744" s="14" t="str">
        <f>HYPERLINK("https://my.pitchbook.com?c=174466-90T","View Company Online")</f>
        <v>View Company Online</v>
      </c>
    </row>
    <row r="4745" spans="1:18" hidden="1" x14ac:dyDescent="0.3">
      <c r="A4745" s="15" t="s">
        <v>15181</v>
      </c>
      <c r="B4745" s="15" t="s">
        <v>3373</v>
      </c>
      <c r="C4745" s="18" t="s">
        <v>28</v>
      </c>
      <c r="D4745" s="15" t="s">
        <v>3374</v>
      </c>
      <c r="E4745" s="18" t="s">
        <v>28</v>
      </c>
      <c r="F4745" s="19" t="s">
        <v>28</v>
      </c>
      <c r="G4745" s="19">
        <v>0.27</v>
      </c>
      <c r="H4745" s="19" t="s">
        <v>28</v>
      </c>
      <c r="I4745" s="18" t="s">
        <v>28</v>
      </c>
      <c r="J4745" s="18" t="s">
        <v>28</v>
      </c>
      <c r="K4745" s="18" t="s">
        <v>28</v>
      </c>
      <c r="L4745" s="18" t="s">
        <v>28</v>
      </c>
      <c r="M4745" s="18" t="s">
        <v>28</v>
      </c>
      <c r="N4745" s="17">
        <v>44355</v>
      </c>
      <c r="O4745" s="15" t="s">
        <v>73</v>
      </c>
      <c r="P4745" s="16" t="s">
        <v>15182</v>
      </c>
      <c r="Q4745" s="15" t="s">
        <v>774</v>
      </c>
      <c r="R4745" s="13" t="str">
        <f>HYPERLINK("https://my.pitchbook.com?c=184471-66T","View Company Online")</f>
        <v>View Company Online</v>
      </c>
    </row>
    <row r="4746" spans="1:18" hidden="1" x14ac:dyDescent="0.3">
      <c r="A4746" s="9" t="s">
        <v>15183</v>
      </c>
      <c r="B4746" s="9" t="s">
        <v>15184</v>
      </c>
      <c r="C4746" s="11" t="s">
        <v>28</v>
      </c>
      <c r="D4746" s="9" t="s">
        <v>15185</v>
      </c>
      <c r="E4746" s="11" t="s">
        <v>28</v>
      </c>
      <c r="F4746" s="10" t="s">
        <v>28</v>
      </c>
      <c r="G4746" s="10" t="s">
        <v>28</v>
      </c>
      <c r="H4746" s="10" t="s">
        <v>28</v>
      </c>
      <c r="I4746" s="11" t="s">
        <v>28</v>
      </c>
      <c r="J4746" s="11" t="s">
        <v>28</v>
      </c>
      <c r="K4746" s="11" t="s">
        <v>28</v>
      </c>
      <c r="L4746" s="11" t="s">
        <v>28</v>
      </c>
      <c r="M4746" s="11" t="s">
        <v>28</v>
      </c>
      <c r="N4746" s="8">
        <v>44355</v>
      </c>
      <c r="O4746" s="9" t="s">
        <v>30</v>
      </c>
      <c r="P4746" s="12" t="s">
        <v>3609</v>
      </c>
      <c r="Q4746" s="9" t="s">
        <v>37</v>
      </c>
      <c r="R4746" s="14" t="str">
        <f>HYPERLINK("https://my.pitchbook.com?c=210086-47T","View Company Online")</f>
        <v>View Company Online</v>
      </c>
    </row>
    <row r="4747" spans="1:18" hidden="1" x14ac:dyDescent="0.3">
      <c r="A4747" s="15" t="s">
        <v>15186</v>
      </c>
      <c r="B4747" s="15" t="s">
        <v>15187</v>
      </c>
      <c r="C4747" s="18" t="s">
        <v>28</v>
      </c>
      <c r="D4747" s="15" t="s">
        <v>15188</v>
      </c>
      <c r="E4747" s="18" t="s">
        <v>28</v>
      </c>
      <c r="F4747" s="19" t="s">
        <v>28</v>
      </c>
      <c r="G4747" s="19" t="s">
        <v>28</v>
      </c>
      <c r="H4747" s="19" t="s">
        <v>28</v>
      </c>
      <c r="I4747" s="18" t="s">
        <v>28</v>
      </c>
      <c r="J4747" s="18" t="s">
        <v>28</v>
      </c>
      <c r="K4747" s="18" t="s">
        <v>28</v>
      </c>
      <c r="L4747" s="18" t="s">
        <v>28</v>
      </c>
      <c r="M4747" s="18" t="s">
        <v>28</v>
      </c>
      <c r="N4747" s="17">
        <v>44355</v>
      </c>
      <c r="O4747" s="15" t="s">
        <v>30</v>
      </c>
      <c r="P4747" s="16" t="s">
        <v>13898</v>
      </c>
      <c r="Q4747" s="15" t="s">
        <v>290</v>
      </c>
      <c r="R4747" s="13" t="str">
        <f>HYPERLINK("https://my.pitchbook.com?c=211950-01T","View Company Online")</f>
        <v>View Company Online</v>
      </c>
    </row>
    <row r="4748" spans="1:18" hidden="1" x14ac:dyDescent="0.3">
      <c r="A4748" s="9" t="s">
        <v>15189</v>
      </c>
      <c r="B4748" s="9" t="s">
        <v>15190</v>
      </c>
      <c r="C4748" s="11" t="s">
        <v>28</v>
      </c>
      <c r="D4748" s="9" t="s">
        <v>15191</v>
      </c>
      <c r="E4748" s="11" t="s">
        <v>28</v>
      </c>
      <c r="F4748" s="10" t="s">
        <v>28</v>
      </c>
      <c r="G4748" s="10" t="s">
        <v>28</v>
      </c>
      <c r="H4748" s="10" t="s">
        <v>28</v>
      </c>
      <c r="I4748" s="11" t="s">
        <v>28</v>
      </c>
      <c r="J4748" s="11" t="s">
        <v>28</v>
      </c>
      <c r="K4748" s="11" t="s">
        <v>28</v>
      </c>
      <c r="L4748" s="11" t="s">
        <v>28</v>
      </c>
      <c r="M4748" s="11" t="s">
        <v>28</v>
      </c>
      <c r="N4748" s="8">
        <v>44355</v>
      </c>
      <c r="O4748" s="9" t="s">
        <v>379</v>
      </c>
      <c r="P4748" s="12" t="s">
        <v>28</v>
      </c>
      <c r="Q4748" s="9" t="s">
        <v>3912</v>
      </c>
      <c r="R4748" s="14" t="str">
        <f>HYPERLINK("https://my.pitchbook.com?c=173989-09T","View Company Online")</f>
        <v>View Company Online</v>
      </c>
    </row>
    <row r="4749" spans="1:18" hidden="1" x14ac:dyDescent="0.3">
      <c r="A4749" s="15" t="s">
        <v>15192</v>
      </c>
      <c r="B4749" s="15" t="s">
        <v>15193</v>
      </c>
      <c r="C4749" s="18" t="s">
        <v>28</v>
      </c>
      <c r="D4749" s="15" t="s">
        <v>15194</v>
      </c>
      <c r="E4749" s="18" t="s">
        <v>28</v>
      </c>
      <c r="F4749" s="19">
        <v>5.35</v>
      </c>
      <c r="G4749" s="19">
        <v>5.35</v>
      </c>
      <c r="H4749" s="19">
        <v>5.35</v>
      </c>
      <c r="I4749" s="18" t="s">
        <v>28</v>
      </c>
      <c r="J4749" s="18" t="s">
        <v>28</v>
      </c>
      <c r="K4749" s="18" t="s">
        <v>28</v>
      </c>
      <c r="L4749" s="18" t="s">
        <v>28</v>
      </c>
      <c r="M4749" s="18" t="s">
        <v>28</v>
      </c>
      <c r="N4749" s="17">
        <v>44355</v>
      </c>
      <c r="O4749" s="15" t="s">
        <v>30</v>
      </c>
      <c r="P4749" s="16" t="s">
        <v>15195</v>
      </c>
      <c r="Q4749" s="15" t="s">
        <v>2168</v>
      </c>
      <c r="R4749" s="13" t="str">
        <f>HYPERLINK("https://my.pitchbook.com?c=174203-02T","View Company Online")</f>
        <v>View Company Online</v>
      </c>
    </row>
    <row r="4750" spans="1:18" hidden="1" x14ac:dyDescent="0.3">
      <c r="A4750" s="9" t="s">
        <v>15196</v>
      </c>
      <c r="B4750" s="9" t="s">
        <v>10859</v>
      </c>
      <c r="C4750" s="11" t="s">
        <v>28</v>
      </c>
      <c r="D4750" s="9" t="s">
        <v>10860</v>
      </c>
      <c r="E4750" s="11" t="s">
        <v>28</v>
      </c>
      <c r="F4750" s="10" t="s">
        <v>28</v>
      </c>
      <c r="G4750" s="10">
        <v>0.34</v>
      </c>
      <c r="H4750" s="10" t="s">
        <v>28</v>
      </c>
      <c r="I4750" s="11" t="s">
        <v>28</v>
      </c>
      <c r="J4750" s="11" t="s">
        <v>28</v>
      </c>
      <c r="K4750" s="11" t="s">
        <v>28</v>
      </c>
      <c r="L4750" s="11" t="s">
        <v>28</v>
      </c>
      <c r="M4750" s="11" t="s">
        <v>28</v>
      </c>
      <c r="N4750" s="8">
        <v>44355</v>
      </c>
      <c r="O4750" s="9" t="s">
        <v>1639</v>
      </c>
      <c r="P4750" s="12" t="s">
        <v>28</v>
      </c>
      <c r="Q4750" s="9" t="s">
        <v>1191</v>
      </c>
      <c r="R4750" s="14" t="str">
        <f>HYPERLINK("https://my.pitchbook.com?c=192952-90T","View Company Online")</f>
        <v>View Company Online</v>
      </c>
    </row>
    <row r="4751" spans="1:18" hidden="1" x14ac:dyDescent="0.3">
      <c r="A4751" s="15" t="s">
        <v>15197</v>
      </c>
      <c r="B4751" s="15" t="s">
        <v>12251</v>
      </c>
      <c r="C4751" s="18" t="s">
        <v>28</v>
      </c>
      <c r="D4751" s="15" t="s">
        <v>12252</v>
      </c>
      <c r="E4751" s="18" t="s">
        <v>28</v>
      </c>
      <c r="F4751" s="19" t="s">
        <v>28</v>
      </c>
      <c r="G4751" s="19">
        <v>0.23</v>
      </c>
      <c r="H4751" s="19" t="s">
        <v>28</v>
      </c>
      <c r="I4751" s="18" t="s">
        <v>28</v>
      </c>
      <c r="J4751" s="18" t="s">
        <v>28</v>
      </c>
      <c r="K4751" s="18" t="s">
        <v>28</v>
      </c>
      <c r="L4751" s="18" t="s">
        <v>28</v>
      </c>
      <c r="M4751" s="18" t="s">
        <v>28</v>
      </c>
      <c r="N4751" s="17">
        <v>44354</v>
      </c>
      <c r="O4751" s="15" t="s">
        <v>73</v>
      </c>
      <c r="P4751" s="16" t="s">
        <v>15198</v>
      </c>
      <c r="Q4751" s="15" t="s">
        <v>249</v>
      </c>
      <c r="R4751" s="13" t="str">
        <f>HYPERLINK("https://my.pitchbook.com?c=171605-98T","View Company Online")</f>
        <v>View Company Online</v>
      </c>
    </row>
    <row r="4752" spans="1:18" hidden="1" x14ac:dyDescent="0.3">
      <c r="A4752" s="9" t="s">
        <v>15199</v>
      </c>
      <c r="B4752" s="9" t="s">
        <v>5326</v>
      </c>
      <c r="C4752" s="11" t="s">
        <v>28</v>
      </c>
      <c r="D4752" s="9" t="s">
        <v>5327</v>
      </c>
      <c r="E4752" s="11" t="s">
        <v>28</v>
      </c>
      <c r="F4752" s="10" t="s">
        <v>28</v>
      </c>
      <c r="G4752" s="10">
        <v>0.95</v>
      </c>
      <c r="H4752" s="10" t="s">
        <v>28</v>
      </c>
      <c r="I4752" s="11" t="s">
        <v>28</v>
      </c>
      <c r="J4752" s="11" t="s">
        <v>28</v>
      </c>
      <c r="K4752" s="11" t="s">
        <v>28</v>
      </c>
      <c r="L4752" s="11" t="s">
        <v>28</v>
      </c>
      <c r="M4752" s="11" t="s">
        <v>28</v>
      </c>
      <c r="N4752" s="8">
        <v>44354</v>
      </c>
      <c r="O4752" s="9" t="s">
        <v>99</v>
      </c>
      <c r="P4752" s="12" t="s">
        <v>3000</v>
      </c>
      <c r="Q4752" s="9" t="s">
        <v>1580</v>
      </c>
      <c r="R4752" s="14" t="str">
        <f>HYPERLINK("https://my.pitchbook.com?c=179950-33T","View Company Online")</f>
        <v>View Company Online</v>
      </c>
    </row>
    <row r="4753" spans="1:18" hidden="1" x14ac:dyDescent="0.3">
      <c r="A4753" s="15" t="s">
        <v>15200</v>
      </c>
      <c r="B4753" s="15" t="s">
        <v>15201</v>
      </c>
      <c r="C4753" s="18" t="s">
        <v>28</v>
      </c>
      <c r="D4753" s="15" t="s">
        <v>15202</v>
      </c>
      <c r="E4753" s="18" t="s">
        <v>28</v>
      </c>
      <c r="F4753" s="19" t="s">
        <v>28</v>
      </c>
      <c r="G4753" s="19" t="s">
        <v>28</v>
      </c>
      <c r="H4753" s="19" t="s">
        <v>28</v>
      </c>
      <c r="I4753" s="18" t="s">
        <v>28</v>
      </c>
      <c r="J4753" s="18" t="s">
        <v>28</v>
      </c>
      <c r="K4753" s="18" t="s">
        <v>28</v>
      </c>
      <c r="L4753" s="18" t="s">
        <v>28</v>
      </c>
      <c r="M4753" s="18" t="s">
        <v>28</v>
      </c>
      <c r="N4753" s="17">
        <v>44354</v>
      </c>
      <c r="O4753" s="15" t="s">
        <v>58</v>
      </c>
      <c r="P4753" s="16" t="s">
        <v>15164</v>
      </c>
      <c r="Q4753" s="15" t="s">
        <v>240</v>
      </c>
      <c r="R4753" s="13" t="str">
        <f>HYPERLINK("https://my.pitchbook.com?c=232685-38T","View Company Online")</f>
        <v>View Company Online</v>
      </c>
    </row>
    <row r="4754" spans="1:18" hidden="1" x14ac:dyDescent="0.3">
      <c r="A4754" s="9" t="s">
        <v>15203</v>
      </c>
      <c r="B4754" s="9" t="s">
        <v>7338</v>
      </c>
      <c r="C4754" s="11" t="s">
        <v>28</v>
      </c>
      <c r="D4754" s="9" t="s">
        <v>7339</v>
      </c>
      <c r="E4754" s="11" t="s">
        <v>28</v>
      </c>
      <c r="F4754" s="10" t="s">
        <v>28</v>
      </c>
      <c r="G4754" s="10" t="s">
        <v>28</v>
      </c>
      <c r="H4754" s="10" t="s">
        <v>28</v>
      </c>
      <c r="I4754" s="11" t="s">
        <v>28</v>
      </c>
      <c r="J4754" s="11" t="s">
        <v>28</v>
      </c>
      <c r="K4754" s="11" t="s">
        <v>28</v>
      </c>
      <c r="L4754" s="11" t="s">
        <v>28</v>
      </c>
      <c r="M4754" s="11" t="s">
        <v>28</v>
      </c>
      <c r="N4754" s="8">
        <v>44354</v>
      </c>
      <c r="O4754" s="9" t="s">
        <v>79</v>
      </c>
      <c r="P4754" s="12" t="s">
        <v>14225</v>
      </c>
      <c r="Q4754" s="9" t="s">
        <v>136</v>
      </c>
      <c r="R4754" s="14" t="str">
        <f>HYPERLINK("https://my.pitchbook.com?c=199060-66T","View Company Online")</f>
        <v>View Company Online</v>
      </c>
    </row>
    <row r="4755" spans="1:18" hidden="1" x14ac:dyDescent="0.3">
      <c r="A4755" s="15" t="s">
        <v>15204</v>
      </c>
      <c r="B4755" s="15" t="s">
        <v>15205</v>
      </c>
      <c r="C4755" s="18" t="s">
        <v>28</v>
      </c>
      <c r="D4755" s="15" t="s">
        <v>15206</v>
      </c>
      <c r="E4755" s="18" t="s">
        <v>28</v>
      </c>
      <c r="F4755" s="19" t="s">
        <v>28</v>
      </c>
      <c r="G4755" s="19" t="s">
        <v>28</v>
      </c>
      <c r="H4755" s="19" t="s">
        <v>28</v>
      </c>
      <c r="I4755" s="18" t="s">
        <v>28</v>
      </c>
      <c r="J4755" s="18" t="s">
        <v>28</v>
      </c>
      <c r="K4755" s="18" t="s">
        <v>28</v>
      </c>
      <c r="L4755" s="18" t="s">
        <v>28</v>
      </c>
      <c r="M4755" s="18" t="s">
        <v>28</v>
      </c>
      <c r="N4755" s="17">
        <v>44354</v>
      </c>
      <c r="O4755" s="15" t="s">
        <v>73</v>
      </c>
      <c r="P4755" s="16" t="s">
        <v>15207</v>
      </c>
      <c r="Q4755" s="15" t="s">
        <v>583</v>
      </c>
      <c r="R4755" s="13" t="str">
        <f>HYPERLINK("https://my.pitchbook.com?c=173958-76T","View Company Online")</f>
        <v>View Company Online</v>
      </c>
    </row>
    <row r="4756" spans="1:18" hidden="1" x14ac:dyDescent="0.3">
      <c r="A4756" s="9" t="s">
        <v>15208</v>
      </c>
      <c r="B4756" s="9" t="s">
        <v>15209</v>
      </c>
      <c r="C4756" s="11" t="s">
        <v>28</v>
      </c>
      <c r="D4756" s="9" t="s">
        <v>15210</v>
      </c>
      <c r="E4756" s="11" t="s">
        <v>28</v>
      </c>
      <c r="F4756" s="10" t="s">
        <v>28</v>
      </c>
      <c r="G4756" s="10" t="s">
        <v>28</v>
      </c>
      <c r="H4756" s="10" t="s">
        <v>28</v>
      </c>
      <c r="I4756" s="11" t="s">
        <v>28</v>
      </c>
      <c r="J4756" s="11" t="s">
        <v>28</v>
      </c>
      <c r="K4756" s="11" t="s">
        <v>28</v>
      </c>
      <c r="L4756" s="11" t="s">
        <v>28</v>
      </c>
      <c r="M4756" s="11" t="s">
        <v>28</v>
      </c>
      <c r="N4756" s="8">
        <v>44354</v>
      </c>
      <c r="O4756" s="9" t="s">
        <v>30</v>
      </c>
      <c r="P4756" s="12" t="s">
        <v>15211</v>
      </c>
      <c r="Q4756" s="9" t="s">
        <v>37</v>
      </c>
      <c r="R4756" s="14" t="str">
        <f>HYPERLINK("https://my.pitchbook.com?c=173888-65T","View Company Online")</f>
        <v>View Company Online</v>
      </c>
    </row>
    <row r="4757" spans="1:18" hidden="1" x14ac:dyDescent="0.3">
      <c r="A4757" s="15" t="s">
        <v>15212</v>
      </c>
      <c r="B4757" s="15" t="s">
        <v>15213</v>
      </c>
      <c r="C4757" s="18" t="s">
        <v>28</v>
      </c>
      <c r="D4757" s="15" t="s">
        <v>15214</v>
      </c>
      <c r="E4757" s="18" t="s">
        <v>28</v>
      </c>
      <c r="F4757" s="19" t="s">
        <v>28</v>
      </c>
      <c r="G4757" s="19" t="s">
        <v>28</v>
      </c>
      <c r="H4757" s="19" t="s">
        <v>28</v>
      </c>
      <c r="I4757" s="18" t="s">
        <v>28</v>
      </c>
      <c r="J4757" s="18" t="s">
        <v>28</v>
      </c>
      <c r="K4757" s="18" t="s">
        <v>28</v>
      </c>
      <c r="L4757" s="18" t="s">
        <v>28</v>
      </c>
      <c r="M4757" s="18" t="s">
        <v>28</v>
      </c>
      <c r="N4757" s="17">
        <v>44353</v>
      </c>
      <c r="O4757" s="15" t="s">
        <v>30</v>
      </c>
      <c r="P4757" s="16" t="s">
        <v>15215</v>
      </c>
      <c r="Q4757" s="15" t="s">
        <v>386</v>
      </c>
      <c r="R4757" s="13" t="str">
        <f>HYPERLINK("https://my.pitchbook.com?c=178162-93T","View Company Online")</f>
        <v>View Company Online</v>
      </c>
    </row>
    <row r="4758" spans="1:18" hidden="1" x14ac:dyDescent="0.3">
      <c r="A4758" s="9" t="s">
        <v>15216</v>
      </c>
      <c r="B4758" s="9" t="s">
        <v>15217</v>
      </c>
      <c r="C4758" s="11" t="s">
        <v>28</v>
      </c>
      <c r="D4758" s="9" t="s">
        <v>15218</v>
      </c>
      <c r="E4758" s="11" t="s">
        <v>28</v>
      </c>
      <c r="F4758" s="10" t="s">
        <v>28</v>
      </c>
      <c r="G4758" s="10" t="s">
        <v>28</v>
      </c>
      <c r="H4758" s="10" t="s">
        <v>28</v>
      </c>
      <c r="I4758" s="11" t="s">
        <v>28</v>
      </c>
      <c r="J4758" s="11" t="s">
        <v>28</v>
      </c>
      <c r="K4758" s="11" t="s">
        <v>28</v>
      </c>
      <c r="L4758" s="11" t="s">
        <v>28</v>
      </c>
      <c r="M4758" s="11" t="s">
        <v>28</v>
      </c>
      <c r="N4758" s="8">
        <v>44351</v>
      </c>
      <c r="O4758" s="9" t="s">
        <v>30</v>
      </c>
      <c r="P4758" s="12" t="s">
        <v>15219</v>
      </c>
      <c r="Q4758" s="9" t="s">
        <v>114</v>
      </c>
      <c r="R4758" s="14" t="str">
        <f>HYPERLINK("https://my.pitchbook.com?c=173531-89T","View Company Online")</f>
        <v>View Company Online</v>
      </c>
    </row>
    <row r="4759" spans="1:18" hidden="1" x14ac:dyDescent="0.3">
      <c r="A4759" s="15" t="s">
        <v>15220</v>
      </c>
      <c r="B4759" s="15" t="s">
        <v>5463</v>
      </c>
      <c r="C4759" s="18" t="s">
        <v>28</v>
      </c>
      <c r="D4759" s="15" t="s">
        <v>5464</v>
      </c>
      <c r="E4759" s="18" t="s">
        <v>28</v>
      </c>
      <c r="F4759" s="19" t="s">
        <v>28</v>
      </c>
      <c r="G4759" s="19">
        <v>0.05</v>
      </c>
      <c r="H4759" s="19" t="s">
        <v>28</v>
      </c>
      <c r="I4759" s="18" t="s">
        <v>28</v>
      </c>
      <c r="J4759" s="18" t="s">
        <v>28</v>
      </c>
      <c r="K4759" s="18" t="s">
        <v>28</v>
      </c>
      <c r="L4759" s="18" t="s">
        <v>28</v>
      </c>
      <c r="M4759" s="18" t="s">
        <v>28</v>
      </c>
      <c r="N4759" s="17">
        <v>44351</v>
      </c>
      <c r="O4759" s="15" t="s">
        <v>52</v>
      </c>
      <c r="P4759" s="16" t="s">
        <v>221</v>
      </c>
      <c r="Q4759" s="15" t="s">
        <v>75</v>
      </c>
      <c r="R4759" s="13" t="str">
        <f>HYPERLINK("https://my.pitchbook.com?c=215072-74T","View Company Online")</f>
        <v>View Company Online</v>
      </c>
    </row>
    <row r="4760" spans="1:18" x14ac:dyDescent="0.3">
      <c r="A4760" s="9" t="s">
        <v>15221</v>
      </c>
      <c r="B4760" s="9" t="s">
        <v>15222</v>
      </c>
      <c r="C4760" s="11">
        <v>14.57</v>
      </c>
      <c r="D4760" s="9" t="s">
        <v>15223</v>
      </c>
      <c r="E4760" s="11" t="s">
        <v>28</v>
      </c>
      <c r="F4760" s="10">
        <v>56.54</v>
      </c>
      <c r="G4760" s="10">
        <v>56.54</v>
      </c>
      <c r="H4760" s="10">
        <v>56.54</v>
      </c>
      <c r="I4760" s="11">
        <v>3.88</v>
      </c>
      <c r="J4760" s="11">
        <v>14.57</v>
      </c>
      <c r="K4760" s="11">
        <v>30.18</v>
      </c>
      <c r="L4760" s="11">
        <v>1.87</v>
      </c>
      <c r="M4760" s="11" t="s">
        <v>28</v>
      </c>
      <c r="N4760" s="8">
        <v>44351</v>
      </c>
      <c r="O4760" s="9" t="s">
        <v>30</v>
      </c>
      <c r="P4760" s="12" t="s">
        <v>13906</v>
      </c>
      <c r="Q4760" s="9" t="s">
        <v>43</v>
      </c>
      <c r="R4760" s="14" t="str">
        <f>HYPERLINK("https://my.pitchbook.com?c=173118-16T","View Company Online")</f>
        <v>View Company Online</v>
      </c>
    </row>
    <row r="4761" spans="1:18" hidden="1" x14ac:dyDescent="0.3">
      <c r="A4761" s="15" t="s">
        <v>15224</v>
      </c>
      <c r="B4761" s="15" t="s">
        <v>2225</v>
      </c>
      <c r="C4761" s="18" t="s">
        <v>28</v>
      </c>
      <c r="D4761" s="15" t="s">
        <v>2226</v>
      </c>
      <c r="E4761" s="18" t="s">
        <v>28</v>
      </c>
      <c r="F4761" s="19" t="s">
        <v>28</v>
      </c>
      <c r="G4761" s="19">
        <v>0.95</v>
      </c>
      <c r="H4761" s="19" t="s">
        <v>28</v>
      </c>
      <c r="I4761" s="18" t="s">
        <v>28</v>
      </c>
      <c r="J4761" s="18" t="s">
        <v>28</v>
      </c>
      <c r="K4761" s="18" t="s">
        <v>28</v>
      </c>
      <c r="L4761" s="18" t="s">
        <v>28</v>
      </c>
      <c r="M4761" s="18" t="s">
        <v>28</v>
      </c>
      <c r="N4761" s="17">
        <v>44350</v>
      </c>
      <c r="O4761" s="15" t="s">
        <v>99</v>
      </c>
      <c r="P4761" s="16" t="s">
        <v>15225</v>
      </c>
      <c r="Q4761" s="15" t="s">
        <v>409</v>
      </c>
      <c r="R4761" s="13" t="str">
        <f>HYPERLINK("https://my.pitchbook.com?c=179725-42T","View Company Online")</f>
        <v>View Company Online</v>
      </c>
    </row>
    <row r="4762" spans="1:18" hidden="1" x14ac:dyDescent="0.3">
      <c r="A4762" s="9" t="s">
        <v>15226</v>
      </c>
      <c r="B4762" s="9" t="s">
        <v>5533</v>
      </c>
      <c r="C4762" s="11" t="s">
        <v>28</v>
      </c>
      <c r="D4762" s="9" t="s">
        <v>5534</v>
      </c>
      <c r="E4762" s="11" t="s">
        <v>28</v>
      </c>
      <c r="F4762" s="10" t="s">
        <v>28</v>
      </c>
      <c r="G4762" s="10" t="s">
        <v>28</v>
      </c>
      <c r="H4762" s="10" t="s">
        <v>28</v>
      </c>
      <c r="I4762" s="11" t="s">
        <v>28</v>
      </c>
      <c r="J4762" s="11" t="s">
        <v>28</v>
      </c>
      <c r="K4762" s="11" t="s">
        <v>28</v>
      </c>
      <c r="L4762" s="11" t="s">
        <v>28</v>
      </c>
      <c r="M4762" s="11">
        <v>38.659999999999997</v>
      </c>
      <c r="N4762" s="8">
        <v>44350</v>
      </c>
      <c r="O4762" s="9" t="s">
        <v>173</v>
      </c>
      <c r="P4762" s="12" t="s">
        <v>28</v>
      </c>
      <c r="Q4762" s="9" t="s">
        <v>409</v>
      </c>
      <c r="R4762" s="14" t="str">
        <f>HYPERLINK("https://my.pitchbook.com?c=179062-84T","View Company Online")</f>
        <v>View Company Online</v>
      </c>
    </row>
    <row r="4763" spans="1:18" hidden="1" x14ac:dyDescent="0.3">
      <c r="A4763" s="15" t="s">
        <v>15227</v>
      </c>
      <c r="B4763" s="15" t="s">
        <v>2649</v>
      </c>
      <c r="C4763" s="18" t="s">
        <v>28</v>
      </c>
      <c r="D4763" s="15" t="s">
        <v>2650</v>
      </c>
      <c r="E4763" s="18" t="s">
        <v>28</v>
      </c>
      <c r="F4763" s="19" t="s">
        <v>28</v>
      </c>
      <c r="G4763" s="19">
        <v>1.1399999999999999</v>
      </c>
      <c r="H4763" s="19" t="s">
        <v>28</v>
      </c>
      <c r="I4763" s="18" t="s">
        <v>28</v>
      </c>
      <c r="J4763" s="18" t="s">
        <v>28</v>
      </c>
      <c r="K4763" s="18" t="s">
        <v>28</v>
      </c>
      <c r="L4763" s="18" t="s">
        <v>28</v>
      </c>
      <c r="M4763" s="18" t="s">
        <v>28</v>
      </c>
      <c r="N4763" s="17">
        <v>44349</v>
      </c>
      <c r="O4763" s="15" t="s">
        <v>73</v>
      </c>
      <c r="P4763" s="16" t="s">
        <v>15228</v>
      </c>
      <c r="Q4763" s="15" t="s">
        <v>75</v>
      </c>
      <c r="R4763" s="13" t="str">
        <f>HYPERLINK("https://my.pitchbook.com?c=174567-43T","View Company Online")</f>
        <v>View Company Online</v>
      </c>
    </row>
    <row r="4764" spans="1:18" hidden="1" x14ac:dyDescent="0.3">
      <c r="A4764" s="9" t="s">
        <v>15229</v>
      </c>
      <c r="B4764" s="9" t="s">
        <v>15230</v>
      </c>
      <c r="C4764" s="11" t="s">
        <v>28</v>
      </c>
      <c r="D4764" s="9" t="s">
        <v>15231</v>
      </c>
      <c r="E4764" s="11" t="s">
        <v>28</v>
      </c>
      <c r="F4764" s="10" t="s">
        <v>28</v>
      </c>
      <c r="G4764" s="10" t="s">
        <v>28</v>
      </c>
      <c r="H4764" s="10" t="s">
        <v>28</v>
      </c>
      <c r="I4764" s="11" t="s">
        <v>28</v>
      </c>
      <c r="J4764" s="11" t="s">
        <v>28</v>
      </c>
      <c r="K4764" s="11">
        <v>1.55</v>
      </c>
      <c r="L4764" s="11" t="s">
        <v>28</v>
      </c>
      <c r="M4764" s="11">
        <v>1.43</v>
      </c>
      <c r="N4764" s="8">
        <v>44349</v>
      </c>
      <c r="O4764" s="9" t="s">
        <v>173</v>
      </c>
      <c r="P4764" s="12" t="s">
        <v>28</v>
      </c>
      <c r="Q4764" s="9" t="s">
        <v>174</v>
      </c>
      <c r="R4764" s="14" t="str">
        <f>HYPERLINK("https://my.pitchbook.com?c=251576-83T","View Company Online")</f>
        <v>View Company Online</v>
      </c>
    </row>
    <row r="4765" spans="1:18" hidden="1" x14ac:dyDescent="0.3">
      <c r="A4765" s="15" t="s">
        <v>15232</v>
      </c>
      <c r="B4765" s="15" t="s">
        <v>15233</v>
      </c>
      <c r="C4765" s="18" t="s">
        <v>28</v>
      </c>
      <c r="D4765" s="15" t="s">
        <v>15234</v>
      </c>
      <c r="E4765" s="18" t="s">
        <v>28</v>
      </c>
      <c r="F4765" s="19" t="s">
        <v>28</v>
      </c>
      <c r="G4765" s="19" t="s">
        <v>28</v>
      </c>
      <c r="H4765" s="19" t="s">
        <v>28</v>
      </c>
      <c r="I4765" s="18" t="s">
        <v>28</v>
      </c>
      <c r="J4765" s="18" t="s">
        <v>28</v>
      </c>
      <c r="K4765" s="18" t="s">
        <v>28</v>
      </c>
      <c r="L4765" s="18" t="s">
        <v>28</v>
      </c>
      <c r="M4765" s="18" t="s">
        <v>28</v>
      </c>
      <c r="N4765" s="17">
        <v>44349</v>
      </c>
      <c r="O4765" s="15" t="s">
        <v>30</v>
      </c>
      <c r="P4765" s="16" t="s">
        <v>3081</v>
      </c>
      <c r="Q4765" s="15" t="s">
        <v>414</v>
      </c>
      <c r="R4765" s="13" t="str">
        <f>HYPERLINK("https://my.pitchbook.com?c=212370-85T","View Company Online")</f>
        <v>View Company Online</v>
      </c>
    </row>
    <row r="4766" spans="1:18" hidden="1" x14ac:dyDescent="0.3">
      <c r="A4766" s="9" t="s">
        <v>15235</v>
      </c>
      <c r="B4766" s="9" t="s">
        <v>3509</v>
      </c>
      <c r="C4766" s="11" t="s">
        <v>28</v>
      </c>
      <c r="D4766" s="9" t="s">
        <v>3510</v>
      </c>
      <c r="E4766" s="11" t="s">
        <v>28</v>
      </c>
      <c r="F4766" s="10" t="s">
        <v>28</v>
      </c>
      <c r="G4766" s="10">
        <v>0.03</v>
      </c>
      <c r="H4766" s="10" t="s">
        <v>28</v>
      </c>
      <c r="I4766" s="11" t="s">
        <v>28</v>
      </c>
      <c r="J4766" s="11" t="s">
        <v>28</v>
      </c>
      <c r="K4766" s="11" t="s">
        <v>28</v>
      </c>
      <c r="L4766" s="11" t="s">
        <v>28</v>
      </c>
      <c r="M4766" s="11" t="s">
        <v>28</v>
      </c>
      <c r="N4766" s="8">
        <v>44348</v>
      </c>
      <c r="O4766" s="9" t="s">
        <v>47</v>
      </c>
      <c r="P4766" s="12" t="s">
        <v>15236</v>
      </c>
      <c r="Q4766" s="9" t="s">
        <v>1336</v>
      </c>
      <c r="R4766" s="14" t="str">
        <f>HYPERLINK("https://my.pitchbook.com?c=225630-37T","View Company Online")</f>
        <v>View Company Online</v>
      </c>
    </row>
    <row r="4767" spans="1:18" hidden="1" x14ac:dyDescent="0.3">
      <c r="A4767" s="15" t="s">
        <v>15237</v>
      </c>
      <c r="B4767" s="15" t="s">
        <v>2549</v>
      </c>
      <c r="C4767" s="18" t="s">
        <v>28</v>
      </c>
      <c r="D4767" s="15" t="s">
        <v>2550</v>
      </c>
      <c r="E4767" s="18" t="s">
        <v>28</v>
      </c>
      <c r="F4767" s="19" t="s">
        <v>28</v>
      </c>
      <c r="G4767" s="19">
        <v>9.44</v>
      </c>
      <c r="H4767" s="19">
        <v>48.34</v>
      </c>
      <c r="I4767" s="18" t="s">
        <v>28</v>
      </c>
      <c r="J4767" s="18" t="s">
        <v>28</v>
      </c>
      <c r="K4767" s="18">
        <v>6.79</v>
      </c>
      <c r="L4767" s="18">
        <v>7.12</v>
      </c>
      <c r="M4767" s="18" t="s">
        <v>28</v>
      </c>
      <c r="N4767" s="17">
        <v>44348</v>
      </c>
      <c r="O4767" s="15" t="s">
        <v>58</v>
      </c>
      <c r="P4767" s="16" t="s">
        <v>7518</v>
      </c>
      <c r="Q4767" s="15" t="s">
        <v>43</v>
      </c>
      <c r="R4767" s="13" t="str">
        <f>HYPERLINK("https://my.pitchbook.com?c=222879-79T","View Company Online")</f>
        <v>View Company Online</v>
      </c>
    </row>
    <row r="4768" spans="1:18" hidden="1" x14ac:dyDescent="0.3">
      <c r="A4768" s="9" t="s">
        <v>15238</v>
      </c>
      <c r="B4768" s="9" t="s">
        <v>15239</v>
      </c>
      <c r="C4768" s="11" t="s">
        <v>28</v>
      </c>
      <c r="D4768" s="9" t="s">
        <v>15240</v>
      </c>
      <c r="E4768" s="11" t="s">
        <v>28</v>
      </c>
      <c r="F4768" s="10" t="s">
        <v>28</v>
      </c>
      <c r="G4768" s="10">
        <v>0.06</v>
      </c>
      <c r="H4768" s="10" t="s">
        <v>28</v>
      </c>
      <c r="I4768" s="11" t="s">
        <v>28</v>
      </c>
      <c r="J4768" s="11" t="s">
        <v>28</v>
      </c>
      <c r="K4768" s="11" t="s">
        <v>28</v>
      </c>
      <c r="L4768" s="11" t="s">
        <v>28</v>
      </c>
      <c r="M4768" s="11" t="s">
        <v>28</v>
      </c>
      <c r="N4768" s="8">
        <v>44348</v>
      </c>
      <c r="O4768" s="9" t="s">
        <v>52</v>
      </c>
      <c r="P4768" s="12" t="s">
        <v>8261</v>
      </c>
      <c r="Q4768" s="9" t="s">
        <v>119</v>
      </c>
      <c r="R4768" s="14" t="str">
        <f>HYPERLINK("https://my.pitchbook.com?c=195839-92T","View Company Online")</f>
        <v>View Company Online</v>
      </c>
    </row>
    <row r="4769" spans="1:18" hidden="1" x14ac:dyDescent="0.3">
      <c r="A4769" s="15" t="s">
        <v>15241</v>
      </c>
      <c r="B4769" s="15" t="s">
        <v>2351</v>
      </c>
      <c r="C4769" s="18" t="s">
        <v>28</v>
      </c>
      <c r="D4769" s="15" t="s">
        <v>2352</v>
      </c>
      <c r="E4769" s="18">
        <v>-9.2200000000000006</v>
      </c>
      <c r="F4769" s="19" t="s">
        <v>28</v>
      </c>
      <c r="G4769" s="19">
        <v>65</v>
      </c>
      <c r="H4769" s="19" t="s">
        <v>28</v>
      </c>
      <c r="I4769" s="18" t="s">
        <v>28</v>
      </c>
      <c r="J4769" s="18" t="s">
        <v>28</v>
      </c>
      <c r="K4769" s="18">
        <v>14.09</v>
      </c>
      <c r="L4769" s="18" t="s">
        <v>28</v>
      </c>
      <c r="M4769" s="18">
        <v>-9.35</v>
      </c>
      <c r="N4769" s="17">
        <v>44348</v>
      </c>
      <c r="O4769" s="15" t="s">
        <v>73</v>
      </c>
      <c r="P4769" s="16" t="s">
        <v>15242</v>
      </c>
      <c r="Q4769" s="15" t="s">
        <v>740</v>
      </c>
      <c r="R4769" s="13" t="str">
        <f>HYPERLINK("https://my.pitchbook.com?c=172167-58T","View Company Online")</f>
        <v>View Company Online</v>
      </c>
    </row>
    <row r="4770" spans="1:18" hidden="1" x14ac:dyDescent="0.3">
      <c r="A4770" s="9" t="s">
        <v>15243</v>
      </c>
      <c r="B4770" s="9" t="s">
        <v>15244</v>
      </c>
      <c r="C4770" s="11" t="s">
        <v>28</v>
      </c>
      <c r="D4770" s="9" t="s">
        <v>15245</v>
      </c>
      <c r="E4770" s="11" t="s">
        <v>28</v>
      </c>
      <c r="F4770" s="10" t="s">
        <v>28</v>
      </c>
      <c r="G4770" s="10" t="s">
        <v>28</v>
      </c>
      <c r="H4770" s="10" t="s">
        <v>28</v>
      </c>
      <c r="I4770" s="11" t="s">
        <v>28</v>
      </c>
      <c r="J4770" s="11" t="s">
        <v>28</v>
      </c>
      <c r="K4770" s="11" t="s">
        <v>28</v>
      </c>
      <c r="L4770" s="11" t="s">
        <v>28</v>
      </c>
      <c r="M4770" s="11" t="s">
        <v>28</v>
      </c>
      <c r="N4770" s="8">
        <v>44348</v>
      </c>
      <c r="O4770" s="9" t="s">
        <v>93</v>
      </c>
      <c r="P4770" s="12" t="s">
        <v>343</v>
      </c>
      <c r="Q4770" s="9" t="s">
        <v>583</v>
      </c>
      <c r="R4770" s="14" t="str">
        <f>HYPERLINK("https://my.pitchbook.com?c=176480-83T","View Company Online")</f>
        <v>View Company Online</v>
      </c>
    </row>
    <row r="4771" spans="1:18" hidden="1" x14ac:dyDescent="0.3">
      <c r="A4771" s="15" t="s">
        <v>15246</v>
      </c>
      <c r="B4771" s="15" t="s">
        <v>11510</v>
      </c>
      <c r="C4771" s="18" t="s">
        <v>28</v>
      </c>
      <c r="D4771" s="15" t="s">
        <v>11511</v>
      </c>
      <c r="E4771" s="18" t="s">
        <v>28</v>
      </c>
      <c r="F4771" s="19" t="s">
        <v>28</v>
      </c>
      <c r="G4771" s="19">
        <v>7.55</v>
      </c>
      <c r="H4771" s="19" t="s">
        <v>28</v>
      </c>
      <c r="I4771" s="18" t="s">
        <v>28</v>
      </c>
      <c r="J4771" s="18" t="s">
        <v>28</v>
      </c>
      <c r="K4771" s="18">
        <v>8.77</v>
      </c>
      <c r="L4771" s="18" t="s">
        <v>28</v>
      </c>
      <c r="M4771" s="18" t="s">
        <v>28</v>
      </c>
      <c r="N4771" s="17">
        <v>44348</v>
      </c>
      <c r="O4771" s="15" t="s">
        <v>93</v>
      </c>
      <c r="P4771" s="16" t="s">
        <v>28</v>
      </c>
      <c r="Q4771" s="15" t="s">
        <v>75</v>
      </c>
      <c r="R4771" s="13" t="str">
        <f>HYPERLINK("https://my.pitchbook.com?c=187496-02T","View Company Online")</f>
        <v>View Company Online</v>
      </c>
    </row>
    <row r="4772" spans="1:18" hidden="1" x14ac:dyDescent="0.3">
      <c r="A4772" s="9" t="s">
        <v>15247</v>
      </c>
      <c r="B4772" s="9" t="s">
        <v>15248</v>
      </c>
      <c r="C4772" s="11" t="s">
        <v>28</v>
      </c>
      <c r="D4772" s="9" t="s">
        <v>15249</v>
      </c>
      <c r="E4772" s="11" t="s">
        <v>28</v>
      </c>
      <c r="F4772" s="10">
        <v>160.52000000000001</v>
      </c>
      <c r="G4772" s="10">
        <v>160.52000000000001</v>
      </c>
      <c r="H4772" s="10">
        <v>160.52000000000001</v>
      </c>
      <c r="I4772" s="11" t="s">
        <v>28</v>
      </c>
      <c r="J4772" s="11" t="s">
        <v>28</v>
      </c>
      <c r="K4772" s="11" t="s">
        <v>28</v>
      </c>
      <c r="L4772" s="11" t="s">
        <v>28</v>
      </c>
      <c r="M4772" s="11" t="s">
        <v>28</v>
      </c>
      <c r="N4772" s="8">
        <v>44348</v>
      </c>
      <c r="O4772" s="9" t="s">
        <v>30</v>
      </c>
      <c r="P4772" s="12" t="s">
        <v>8230</v>
      </c>
      <c r="Q4772" s="9" t="s">
        <v>2181</v>
      </c>
      <c r="R4772" s="14" t="str">
        <f>HYPERLINK("https://my.pitchbook.com?c=190912-24T","View Company Online")</f>
        <v>View Company Online</v>
      </c>
    </row>
    <row r="4773" spans="1:18" hidden="1" x14ac:dyDescent="0.3">
      <c r="A4773" s="15" t="s">
        <v>15250</v>
      </c>
      <c r="B4773" s="15" t="s">
        <v>4890</v>
      </c>
      <c r="C4773" s="18" t="s">
        <v>28</v>
      </c>
      <c r="D4773" s="15" t="s">
        <v>4891</v>
      </c>
      <c r="E4773" s="18" t="s">
        <v>28</v>
      </c>
      <c r="F4773" s="19" t="s">
        <v>28</v>
      </c>
      <c r="G4773" s="19">
        <v>38</v>
      </c>
      <c r="H4773" s="19" t="s">
        <v>28</v>
      </c>
      <c r="I4773" s="18" t="s">
        <v>28</v>
      </c>
      <c r="J4773" s="18" t="s">
        <v>28</v>
      </c>
      <c r="K4773" s="18" t="s">
        <v>28</v>
      </c>
      <c r="L4773" s="18" t="s">
        <v>28</v>
      </c>
      <c r="M4773" s="18" t="s">
        <v>28</v>
      </c>
      <c r="N4773" s="17">
        <v>44348</v>
      </c>
      <c r="O4773" s="15" t="s">
        <v>79</v>
      </c>
      <c r="P4773" s="16" t="s">
        <v>15251</v>
      </c>
      <c r="Q4773" s="15" t="s">
        <v>75</v>
      </c>
      <c r="R4773" s="13" t="str">
        <f>HYPERLINK("https://my.pitchbook.com?c=173332-36T","View Company Online")</f>
        <v>View Company Online</v>
      </c>
    </row>
    <row r="4774" spans="1:18" hidden="1" x14ac:dyDescent="0.3">
      <c r="A4774" s="9" t="s">
        <v>15252</v>
      </c>
      <c r="B4774" s="9" t="s">
        <v>15253</v>
      </c>
      <c r="C4774" s="11" t="s">
        <v>28</v>
      </c>
      <c r="D4774" s="9" t="s">
        <v>15254</v>
      </c>
      <c r="E4774" s="11" t="s">
        <v>28</v>
      </c>
      <c r="F4774" s="10">
        <v>37.03</v>
      </c>
      <c r="G4774" s="10">
        <v>37.03</v>
      </c>
      <c r="H4774" s="10">
        <v>37.03</v>
      </c>
      <c r="I4774" s="11" t="s">
        <v>28</v>
      </c>
      <c r="J4774" s="11" t="s">
        <v>28</v>
      </c>
      <c r="K4774" s="11" t="s">
        <v>28</v>
      </c>
      <c r="L4774" s="11" t="s">
        <v>28</v>
      </c>
      <c r="M4774" s="11" t="s">
        <v>28</v>
      </c>
      <c r="N4774" s="8">
        <v>44348</v>
      </c>
      <c r="O4774" s="9" t="s">
        <v>30</v>
      </c>
      <c r="P4774" s="12" t="s">
        <v>9785</v>
      </c>
      <c r="Q4774" s="9" t="s">
        <v>235</v>
      </c>
      <c r="R4774" s="14" t="str">
        <f>HYPERLINK("https://my.pitchbook.com?c=165875-32T","View Company Online")</f>
        <v>View Company Online</v>
      </c>
    </row>
    <row r="4775" spans="1:18" hidden="1" x14ac:dyDescent="0.3">
      <c r="A4775" s="15" t="s">
        <v>15255</v>
      </c>
      <c r="B4775" s="15" t="s">
        <v>15256</v>
      </c>
      <c r="C4775" s="18" t="s">
        <v>28</v>
      </c>
      <c r="D4775" s="15" t="s">
        <v>15257</v>
      </c>
      <c r="E4775" s="18" t="s">
        <v>28</v>
      </c>
      <c r="F4775" s="19" t="s">
        <v>28</v>
      </c>
      <c r="G4775" s="19" t="s">
        <v>28</v>
      </c>
      <c r="H4775" s="19" t="s">
        <v>28</v>
      </c>
      <c r="I4775" s="18" t="s">
        <v>28</v>
      </c>
      <c r="J4775" s="18" t="s">
        <v>28</v>
      </c>
      <c r="K4775" s="18" t="s">
        <v>28</v>
      </c>
      <c r="L4775" s="18" t="s">
        <v>28</v>
      </c>
      <c r="M4775" s="18" t="s">
        <v>28</v>
      </c>
      <c r="N4775" s="17">
        <v>44348</v>
      </c>
      <c r="O4775" s="15" t="s">
        <v>99</v>
      </c>
      <c r="P4775" s="16" t="s">
        <v>15258</v>
      </c>
      <c r="Q4775" s="15" t="s">
        <v>37</v>
      </c>
      <c r="R4775" s="13" t="str">
        <f>HYPERLINK("https://my.pitchbook.com?c=178559-92T","View Company Online")</f>
        <v>View Company Online</v>
      </c>
    </row>
    <row r="4776" spans="1:18" hidden="1" x14ac:dyDescent="0.3">
      <c r="A4776" s="9" t="s">
        <v>15259</v>
      </c>
      <c r="B4776" s="9" t="s">
        <v>7263</v>
      </c>
      <c r="C4776" s="11" t="s">
        <v>28</v>
      </c>
      <c r="D4776" s="9" t="s">
        <v>7264</v>
      </c>
      <c r="E4776" s="11" t="s">
        <v>28</v>
      </c>
      <c r="F4776" s="10" t="s">
        <v>28</v>
      </c>
      <c r="G4776" s="10" t="s">
        <v>28</v>
      </c>
      <c r="H4776" s="10" t="s">
        <v>28</v>
      </c>
      <c r="I4776" s="11" t="s">
        <v>28</v>
      </c>
      <c r="J4776" s="11" t="s">
        <v>28</v>
      </c>
      <c r="K4776" s="11" t="s">
        <v>28</v>
      </c>
      <c r="L4776" s="11" t="s">
        <v>28</v>
      </c>
      <c r="M4776" s="11" t="s">
        <v>28</v>
      </c>
      <c r="N4776" s="8">
        <v>44348</v>
      </c>
      <c r="O4776" s="9" t="s">
        <v>99</v>
      </c>
      <c r="P4776" s="12" t="s">
        <v>611</v>
      </c>
      <c r="Q4776" s="9" t="s">
        <v>1035</v>
      </c>
      <c r="R4776" s="14" t="str">
        <f>HYPERLINK("https://my.pitchbook.com?c=178536-43T","View Company Online")</f>
        <v>View Company Online</v>
      </c>
    </row>
    <row r="4777" spans="1:18" hidden="1" x14ac:dyDescent="0.3">
      <c r="A4777" s="15" t="s">
        <v>15260</v>
      </c>
      <c r="B4777" s="15" t="s">
        <v>15261</v>
      </c>
      <c r="C4777" s="18" t="s">
        <v>28</v>
      </c>
      <c r="D4777" s="15" t="s">
        <v>15262</v>
      </c>
      <c r="E4777" s="18" t="s">
        <v>28</v>
      </c>
      <c r="F4777" s="19" t="s">
        <v>28</v>
      </c>
      <c r="G4777" s="19" t="s">
        <v>28</v>
      </c>
      <c r="H4777" s="19" t="s">
        <v>28</v>
      </c>
      <c r="I4777" s="18" t="s">
        <v>28</v>
      </c>
      <c r="J4777" s="18" t="s">
        <v>28</v>
      </c>
      <c r="K4777" s="18" t="s">
        <v>28</v>
      </c>
      <c r="L4777" s="18" t="s">
        <v>28</v>
      </c>
      <c r="M4777" s="18" t="s">
        <v>28</v>
      </c>
      <c r="N4777" s="17">
        <v>44348</v>
      </c>
      <c r="O4777" s="15" t="s">
        <v>93</v>
      </c>
      <c r="P4777" s="16" t="s">
        <v>15263</v>
      </c>
      <c r="Q4777" s="15" t="s">
        <v>75</v>
      </c>
      <c r="R4777" s="13" t="str">
        <f>HYPERLINK("https://my.pitchbook.com?c=174335-05T","View Company Online")</f>
        <v>View Company Online</v>
      </c>
    </row>
    <row r="4778" spans="1:18" hidden="1" x14ac:dyDescent="0.3">
      <c r="A4778" s="9" t="s">
        <v>15264</v>
      </c>
      <c r="B4778" s="9" t="s">
        <v>6525</v>
      </c>
      <c r="C4778" s="11" t="s">
        <v>28</v>
      </c>
      <c r="D4778" s="9" t="s">
        <v>6526</v>
      </c>
      <c r="E4778" s="11" t="s">
        <v>28</v>
      </c>
      <c r="F4778" s="10" t="s">
        <v>28</v>
      </c>
      <c r="G4778" s="10" t="s">
        <v>28</v>
      </c>
      <c r="H4778" s="10" t="s">
        <v>28</v>
      </c>
      <c r="I4778" s="11">
        <v>0.04</v>
      </c>
      <c r="J4778" s="11" t="s">
        <v>28</v>
      </c>
      <c r="K4778" s="11">
        <v>0.4</v>
      </c>
      <c r="L4778" s="11" t="s">
        <v>28</v>
      </c>
      <c r="M4778" s="11">
        <v>0.04</v>
      </c>
      <c r="N4778" s="8">
        <v>44348</v>
      </c>
      <c r="O4778" s="9" t="s">
        <v>99</v>
      </c>
      <c r="P4778" s="12" t="s">
        <v>611</v>
      </c>
      <c r="Q4778" s="9" t="s">
        <v>263</v>
      </c>
      <c r="R4778" s="14" t="str">
        <f>HYPERLINK("https://my.pitchbook.com?c=178563-97T","View Company Online")</f>
        <v>View Company Online</v>
      </c>
    </row>
    <row r="4779" spans="1:18" hidden="1" x14ac:dyDescent="0.3">
      <c r="A4779" s="15" t="s">
        <v>15265</v>
      </c>
      <c r="B4779" s="15" t="s">
        <v>15266</v>
      </c>
      <c r="C4779" s="18" t="s">
        <v>28</v>
      </c>
      <c r="D4779" s="15" t="s">
        <v>15267</v>
      </c>
      <c r="E4779" s="18" t="s">
        <v>28</v>
      </c>
      <c r="F4779" s="19" t="s">
        <v>28</v>
      </c>
      <c r="G4779" s="19" t="s">
        <v>28</v>
      </c>
      <c r="H4779" s="19" t="s">
        <v>28</v>
      </c>
      <c r="I4779" s="18" t="s">
        <v>28</v>
      </c>
      <c r="J4779" s="18" t="s">
        <v>28</v>
      </c>
      <c r="K4779" s="18" t="s">
        <v>28</v>
      </c>
      <c r="L4779" s="18" t="s">
        <v>28</v>
      </c>
      <c r="M4779" s="18" t="s">
        <v>28</v>
      </c>
      <c r="N4779" s="17">
        <v>44348</v>
      </c>
      <c r="O4779" s="15" t="s">
        <v>99</v>
      </c>
      <c r="P4779" s="16" t="s">
        <v>15268</v>
      </c>
      <c r="Q4779" s="15" t="s">
        <v>1853</v>
      </c>
      <c r="R4779" s="13" t="str">
        <f>HYPERLINK("https://my.pitchbook.com?c=178559-11T","View Company Online")</f>
        <v>View Company Online</v>
      </c>
    </row>
    <row r="4780" spans="1:18" hidden="1" x14ac:dyDescent="0.3">
      <c r="A4780" s="9" t="s">
        <v>15269</v>
      </c>
      <c r="B4780" s="9" t="s">
        <v>9514</v>
      </c>
      <c r="C4780" s="11" t="s">
        <v>28</v>
      </c>
      <c r="D4780" s="9" t="s">
        <v>9515</v>
      </c>
      <c r="E4780" s="11" t="s">
        <v>28</v>
      </c>
      <c r="F4780" s="10" t="s">
        <v>28</v>
      </c>
      <c r="G4780" s="10" t="s">
        <v>28</v>
      </c>
      <c r="H4780" s="10" t="s">
        <v>28</v>
      </c>
      <c r="I4780" s="11" t="s">
        <v>28</v>
      </c>
      <c r="J4780" s="11" t="s">
        <v>28</v>
      </c>
      <c r="K4780" s="11" t="s">
        <v>28</v>
      </c>
      <c r="L4780" s="11" t="s">
        <v>28</v>
      </c>
      <c r="M4780" s="11" t="s">
        <v>28</v>
      </c>
      <c r="N4780" s="8">
        <v>44348</v>
      </c>
      <c r="O4780" s="9" t="s">
        <v>379</v>
      </c>
      <c r="P4780" s="12" t="s">
        <v>15270</v>
      </c>
      <c r="Q4780" s="9" t="s">
        <v>566</v>
      </c>
      <c r="R4780" s="14" t="str">
        <f>HYPERLINK("https://my.pitchbook.com?c=190576-09T","View Company Online")</f>
        <v>View Company Online</v>
      </c>
    </row>
    <row r="4781" spans="1:18" hidden="1" x14ac:dyDescent="0.3">
      <c r="A4781" s="15" t="s">
        <v>15271</v>
      </c>
      <c r="B4781" s="15" t="s">
        <v>15272</v>
      </c>
      <c r="C4781" s="18" t="s">
        <v>28</v>
      </c>
      <c r="D4781" s="15" t="s">
        <v>15273</v>
      </c>
      <c r="E4781" s="18" t="s">
        <v>28</v>
      </c>
      <c r="F4781" s="19" t="s">
        <v>28</v>
      </c>
      <c r="G4781" s="19" t="s">
        <v>28</v>
      </c>
      <c r="H4781" s="19" t="s">
        <v>28</v>
      </c>
      <c r="I4781" s="18" t="s">
        <v>28</v>
      </c>
      <c r="J4781" s="18" t="s">
        <v>28</v>
      </c>
      <c r="K4781" s="18" t="s">
        <v>28</v>
      </c>
      <c r="L4781" s="18" t="s">
        <v>28</v>
      </c>
      <c r="M4781" s="18" t="s">
        <v>28</v>
      </c>
      <c r="N4781" s="17">
        <v>44348</v>
      </c>
      <c r="O4781" s="15" t="s">
        <v>30</v>
      </c>
      <c r="P4781" s="16" t="s">
        <v>15274</v>
      </c>
      <c r="Q4781" s="15" t="s">
        <v>37</v>
      </c>
      <c r="R4781" s="13" t="str">
        <f>HYPERLINK("https://my.pitchbook.com?c=210636-82T","View Company Online")</f>
        <v>View Company Online</v>
      </c>
    </row>
    <row r="4782" spans="1:18" hidden="1" x14ac:dyDescent="0.3">
      <c r="A4782" s="9" t="s">
        <v>15275</v>
      </c>
      <c r="B4782" s="9" t="s">
        <v>15276</v>
      </c>
      <c r="C4782" s="11" t="s">
        <v>28</v>
      </c>
      <c r="D4782" s="9" t="s">
        <v>15277</v>
      </c>
      <c r="E4782" s="11" t="s">
        <v>28</v>
      </c>
      <c r="F4782" s="10" t="s">
        <v>28</v>
      </c>
      <c r="G4782" s="10" t="s">
        <v>28</v>
      </c>
      <c r="H4782" s="10" t="s">
        <v>28</v>
      </c>
      <c r="I4782" s="11" t="s">
        <v>28</v>
      </c>
      <c r="J4782" s="11" t="s">
        <v>28</v>
      </c>
      <c r="K4782" s="11" t="s">
        <v>28</v>
      </c>
      <c r="L4782" s="11" t="s">
        <v>28</v>
      </c>
      <c r="M4782" s="11" t="s">
        <v>28</v>
      </c>
      <c r="N4782" s="8">
        <v>44348</v>
      </c>
      <c r="O4782" s="9" t="s">
        <v>52</v>
      </c>
      <c r="P4782" s="12" t="s">
        <v>15278</v>
      </c>
      <c r="Q4782" s="9" t="s">
        <v>37</v>
      </c>
      <c r="R4782" s="14" t="str">
        <f>HYPERLINK("https://my.pitchbook.com?c=278331-76T","View Company Online")</f>
        <v>View Company Online</v>
      </c>
    </row>
    <row r="4783" spans="1:18" hidden="1" x14ac:dyDescent="0.3">
      <c r="A4783" s="15" t="s">
        <v>15279</v>
      </c>
      <c r="B4783" s="15" t="s">
        <v>15280</v>
      </c>
      <c r="C4783" s="18" t="s">
        <v>28</v>
      </c>
      <c r="D4783" s="15" t="s">
        <v>15281</v>
      </c>
      <c r="E4783" s="18" t="s">
        <v>28</v>
      </c>
      <c r="F4783" s="19" t="s">
        <v>28</v>
      </c>
      <c r="G4783" s="19">
        <v>0.94</v>
      </c>
      <c r="H4783" s="19" t="s">
        <v>28</v>
      </c>
      <c r="I4783" s="18" t="s">
        <v>28</v>
      </c>
      <c r="J4783" s="18" t="s">
        <v>28</v>
      </c>
      <c r="K4783" s="18" t="s">
        <v>28</v>
      </c>
      <c r="L4783" s="18" t="s">
        <v>28</v>
      </c>
      <c r="M4783" s="18" t="s">
        <v>28</v>
      </c>
      <c r="N4783" s="17">
        <v>44348</v>
      </c>
      <c r="O4783" s="15" t="s">
        <v>379</v>
      </c>
      <c r="P4783" s="16" t="s">
        <v>15282</v>
      </c>
      <c r="Q4783" s="15" t="s">
        <v>136</v>
      </c>
      <c r="R4783" s="13" t="str">
        <f>HYPERLINK("https://my.pitchbook.com?c=227042-74T","View Company Online")</f>
        <v>View Company Online</v>
      </c>
    </row>
    <row r="4784" spans="1:18" hidden="1" x14ac:dyDescent="0.3">
      <c r="A4784" s="9" t="s">
        <v>15283</v>
      </c>
      <c r="B4784" s="9" t="s">
        <v>15284</v>
      </c>
      <c r="C4784" s="11" t="s">
        <v>28</v>
      </c>
      <c r="D4784" s="9" t="s">
        <v>15285</v>
      </c>
      <c r="E4784" s="11" t="s">
        <v>28</v>
      </c>
      <c r="F4784" s="10" t="s">
        <v>28</v>
      </c>
      <c r="G4784" s="10" t="s">
        <v>28</v>
      </c>
      <c r="H4784" s="10" t="s">
        <v>28</v>
      </c>
      <c r="I4784" s="11" t="s">
        <v>28</v>
      </c>
      <c r="J4784" s="11" t="s">
        <v>28</v>
      </c>
      <c r="K4784" s="11">
        <v>13.1</v>
      </c>
      <c r="L4784" s="11" t="s">
        <v>28</v>
      </c>
      <c r="M4784" s="11" t="s">
        <v>28</v>
      </c>
      <c r="N4784" s="8">
        <v>44348</v>
      </c>
      <c r="O4784" s="9" t="s">
        <v>30</v>
      </c>
      <c r="P4784" s="12" t="s">
        <v>15286</v>
      </c>
      <c r="Q4784" s="9" t="s">
        <v>37</v>
      </c>
      <c r="R4784" s="14" t="str">
        <f>HYPERLINK("https://my.pitchbook.com?c=167534-92T","View Company Online")</f>
        <v>View Company Online</v>
      </c>
    </row>
    <row r="4785" spans="1:18" hidden="1" x14ac:dyDescent="0.3">
      <c r="A4785" s="15" t="s">
        <v>15287</v>
      </c>
      <c r="B4785" s="15" t="s">
        <v>15288</v>
      </c>
      <c r="C4785" s="18" t="s">
        <v>28</v>
      </c>
      <c r="D4785" s="15" t="s">
        <v>15289</v>
      </c>
      <c r="E4785" s="18" t="s">
        <v>28</v>
      </c>
      <c r="F4785" s="19">
        <v>0.02</v>
      </c>
      <c r="G4785" s="19">
        <v>0.02</v>
      </c>
      <c r="H4785" s="19">
        <v>0.02</v>
      </c>
      <c r="I4785" s="18" t="s">
        <v>28</v>
      </c>
      <c r="J4785" s="18" t="s">
        <v>28</v>
      </c>
      <c r="K4785" s="18" t="s">
        <v>28</v>
      </c>
      <c r="L4785" s="18" t="s">
        <v>28</v>
      </c>
      <c r="M4785" s="18" t="s">
        <v>28</v>
      </c>
      <c r="N4785" s="17">
        <v>44348</v>
      </c>
      <c r="O4785" s="15" t="s">
        <v>30</v>
      </c>
      <c r="P4785" s="16" t="s">
        <v>15290</v>
      </c>
      <c r="Q4785" s="15" t="s">
        <v>409</v>
      </c>
      <c r="R4785" s="13" t="str">
        <f>HYPERLINK("https://my.pitchbook.com?c=176660-38T","View Company Online")</f>
        <v>View Company Online</v>
      </c>
    </row>
    <row r="4786" spans="1:18" hidden="1" x14ac:dyDescent="0.3">
      <c r="A4786" s="9" t="s">
        <v>15291</v>
      </c>
      <c r="B4786" s="9" t="s">
        <v>15292</v>
      </c>
      <c r="C4786" s="11" t="s">
        <v>28</v>
      </c>
      <c r="D4786" s="9" t="s">
        <v>15293</v>
      </c>
      <c r="E4786" s="11" t="s">
        <v>28</v>
      </c>
      <c r="F4786" s="10" t="s">
        <v>28</v>
      </c>
      <c r="G4786" s="10" t="s">
        <v>28</v>
      </c>
      <c r="H4786" s="10" t="s">
        <v>28</v>
      </c>
      <c r="I4786" s="11" t="s">
        <v>28</v>
      </c>
      <c r="J4786" s="11" t="s">
        <v>28</v>
      </c>
      <c r="K4786" s="11" t="s">
        <v>28</v>
      </c>
      <c r="L4786" s="11" t="s">
        <v>28</v>
      </c>
      <c r="M4786" s="11" t="s">
        <v>28</v>
      </c>
      <c r="N4786" s="8">
        <v>44348</v>
      </c>
      <c r="O4786" s="9" t="s">
        <v>52</v>
      </c>
      <c r="P4786" s="12" t="s">
        <v>15278</v>
      </c>
      <c r="Q4786" s="9" t="s">
        <v>245</v>
      </c>
      <c r="R4786" s="14" t="str">
        <f>HYPERLINK("https://my.pitchbook.com?c=278335-36T","View Company Online")</f>
        <v>View Company Online</v>
      </c>
    </row>
    <row r="4787" spans="1:18" hidden="1" x14ac:dyDescent="0.3">
      <c r="A4787" s="15" t="s">
        <v>15294</v>
      </c>
      <c r="B4787" s="15" t="s">
        <v>1637</v>
      </c>
      <c r="C4787" s="18" t="s">
        <v>28</v>
      </c>
      <c r="D4787" s="15" t="s">
        <v>1638</v>
      </c>
      <c r="E4787" s="18" t="s">
        <v>28</v>
      </c>
      <c r="F4787" s="19" t="s">
        <v>28</v>
      </c>
      <c r="G4787" s="19">
        <v>0.06</v>
      </c>
      <c r="H4787" s="19" t="s">
        <v>28</v>
      </c>
      <c r="I4787" s="18" t="s">
        <v>28</v>
      </c>
      <c r="J4787" s="18" t="s">
        <v>28</v>
      </c>
      <c r="K4787" s="18" t="s">
        <v>28</v>
      </c>
      <c r="L4787" s="18" t="s">
        <v>28</v>
      </c>
      <c r="M4787" s="18" t="s">
        <v>28</v>
      </c>
      <c r="N4787" s="17">
        <v>44348</v>
      </c>
      <c r="O4787" s="15" t="s">
        <v>52</v>
      </c>
      <c r="P4787" s="16" t="s">
        <v>8261</v>
      </c>
      <c r="Q4787" s="15" t="s">
        <v>855</v>
      </c>
      <c r="R4787" s="13" t="str">
        <f>HYPERLINK("https://my.pitchbook.com?c=201542-68T","View Company Online")</f>
        <v>View Company Online</v>
      </c>
    </row>
    <row r="4788" spans="1:18" hidden="1" x14ac:dyDescent="0.3">
      <c r="A4788" s="9" t="s">
        <v>15295</v>
      </c>
      <c r="B4788" s="9" t="s">
        <v>1637</v>
      </c>
      <c r="C4788" s="11" t="s">
        <v>28</v>
      </c>
      <c r="D4788" s="9" t="s">
        <v>1638</v>
      </c>
      <c r="E4788" s="11" t="s">
        <v>28</v>
      </c>
      <c r="F4788" s="10" t="s">
        <v>28</v>
      </c>
      <c r="G4788" s="10">
        <v>0.08</v>
      </c>
      <c r="H4788" s="10" t="s">
        <v>28</v>
      </c>
      <c r="I4788" s="11" t="s">
        <v>28</v>
      </c>
      <c r="J4788" s="11" t="s">
        <v>28</v>
      </c>
      <c r="K4788" s="11" t="s">
        <v>28</v>
      </c>
      <c r="L4788" s="11" t="s">
        <v>28</v>
      </c>
      <c r="M4788" s="11" t="s">
        <v>28</v>
      </c>
      <c r="N4788" s="8">
        <v>44348</v>
      </c>
      <c r="O4788" s="9" t="s">
        <v>379</v>
      </c>
      <c r="P4788" s="12" t="s">
        <v>28</v>
      </c>
      <c r="Q4788" s="9" t="s">
        <v>855</v>
      </c>
      <c r="R4788" s="14" t="str">
        <f>HYPERLINK("https://my.pitchbook.com?c=296866-36T","View Company Online")</f>
        <v>View Company Online</v>
      </c>
    </row>
    <row r="4789" spans="1:18" hidden="1" x14ac:dyDescent="0.3">
      <c r="A4789" s="15" t="s">
        <v>15296</v>
      </c>
      <c r="B4789" s="15" t="s">
        <v>9976</v>
      </c>
      <c r="C4789" s="18" t="s">
        <v>28</v>
      </c>
      <c r="D4789" s="15" t="s">
        <v>9977</v>
      </c>
      <c r="E4789" s="18" t="s">
        <v>28</v>
      </c>
      <c r="F4789" s="19" t="s">
        <v>28</v>
      </c>
      <c r="G4789" s="19" t="s">
        <v>28</v>
      </c>
      <c r="H4789" s="19" t="s">
        <v>28</v>
      </c>
      <c r="I4789" s="18" t="s">
        <v>28</v>
      </c>
      <c r="J4789" s="18" t="s">
        <v>28</v>
      </c>
      <c r="K4789" s="18" t="s">
        <v>28</v>
      </c>
      <c r="L4789" s="18" t="s">
        <v>28</v>
      </c>
      <c r="M4789" s="18" t="s">
        <v>28</v>
      </c>
      <c r="N4789" s="17">
        <v>44348</v>
      </c>
      <c r="O4789" s="15" t="s">
        <v>99</v>
      </c>
      <c r="P4789" s="16" t="s">
        <v>15297</v>
      </c>
      <c r="Q4789" s="15" t="s">
        <v>386</v>
      </c>
      <c r="R4789" s="13" t="str">
        <f>HYPERLINK("https://my.pitchbook.com?c=212265-73T","View Company Online")</f>
        <v>View Company Online</v>
      </c>
    </row>
    <row r="4790" spans="1:18" hidden="1" x14ac:dyDescent="0.3">
      <c r="A4790" s="9" t="s">
        <v>15298</v>
      </c>
      <c r="B4790" s="9" t="s">
        <v>634</v>
      </c>
      <c r="C4790" s="11" t="s">
        <v>28</v>
      </c>
      <c r="D4790" s="9" t="s">
        <v>635</v>
      </c>
      <c r="E4790" s="11" t="s">
        <v>28</v>
      </c>
      <c r="F4790" s="10" t="s">
        <v>28</v>
      </c>
      <c r="G4790" s="10">
        <v>18.88</v>
      </c>
      <c r="H4790" s="10" t="s">
        <v>28</v>
      </c>
      <c r="I4790" s="11" t="s">
        <v>28</v>
      </c>
      <c r="J4790" s="11" t="s">
        <v>28</v>
      </c>
      <c r="K4790" s="11" t="s">
        <v>28</v>
      </c>
      <c r="L4790" s="11" t="s">
        <v>28</v>
      </c>
      <c r="M4790" s="11" t="s">
        <v>28</v>
      </c>
      <c r="N4790" s="8">
        <v>44348</v>
      </c>
      <c r="O4790" s="9" t="s">
        <v>93</v>
      </c>
      <c r="P4790" s="12" t="s">
        <v>15299</v>
      </c>
      <c r="Q4790" s="9" t="s">
        <v>95</v>
      </c>
      <c r="R4790" s="14" t="str">
        <f>HYPERLINK("https://my.pitchbook.com?c=196959-61T","View Company Online")</f>
        <v>View Company Online</v>
      </c>
    </row>
    <row r="4791" spans="1:18" hidden="1" x14ac:dyDescent="0.3">
      <c r="A4791" s="15" t="s">
        <v>15300</v>
      </c>
      <c r="B4791" s="15" t="s">
        <v>15301</v>
      </c>
      <c r="C4791" s="18" t="s">
        <v>28</v>
      </c>
      <c r="D4791" s="15" t="s">
        <v>15302</v>
      </c>
      <c r="E4791" s="18" t="s">
        <v>28</v>
      </c>
      <c r="F4791" s="19" t="s">
        <v>28</v>
      </c>
      <c r="G4791" s="19">
        <v>0.01</v>
      </c>
      <c r="H4791" s="19" t="s">
        <v>28</v>
      </c>
      <c r="I4791" s="18" t="s">
        <v>28</v>
      </c>
      <c r="J4791" s="18" t="s">
        <v>28</v>
      </c>
      <c r="K4791" s="18" t="s">
        <v>28</v>
      </c>
      <c r="L4791" s="18" t="s">
        <v>28</v>
      </c>
      <c r="M4791" s="18" t="s">
        <v>28</v>
      </c>
      <c r="N4791" s="17">
        <v>44348</v>
      </c>
      <c r="O4791" s="15" t="s">
        <v>8420</v>
      </c>
      <c r="P4791" s="16" t="s">
        <v>28</v>
      </c>
      <c r="Q4791" s="15" t="s">
        <v>75</v>
      </c>
      <c r="R4791" s="13" t="str">
        <f>HYPERLINK("https://my.pitchbook.com?c=181234-63T","View Company Online")</f>
        <v>View Company Online</v>
      </c>
    </row>
    <row r="4792" spans="1:18" hidden="1" x14ac:dyDescent="0.3">
      <c r="A4792" s="9" t="s">
        <v>15303</v>
      </c>
      <c r="B4792" s="9" t="s">
        <v>7476</v>
      </c>
      <c r="C4792" s="11" t="s">
        <v>28</v>
      </c>
      <c r="D4792" s="9" t="s">
        <v>7477</v>
      </c>
      <c r="E4792" s="11" t="s">
        <v>28</v>
      </c>
      <c r="F4792" s="10" t="s">
        <v>28</v>
      </c>
      <c r="G4792" s="10" t="s">
        <v>28</v>
      </c>
      <c r="H4792" s="10" t="s">
        <v>28</v>
      </c>
      <c r="I4792" s="11" t="s">
        <v>28</v>
      </c>
      <c r="J4792" s="11" t="s">
        <v>28</v>
      </c>
      <c r="K4792" s="11" t="s">
        <v>28</v>
      </c>
      <c r="L4792" s="11" t="s">
        <v>28</v>
      </c>
      <c r="M4792" s="11" t="s">
        <v>28</v>
      </c>
      <c r="N4792" s="8">
        <v>44347</v>
      </c>
      <c r="O4792" s="9" t="s">
        <v>73</v>
      </c>
      <c r="P4792" s="12" t="s">
        <v>15304</v>
      </c>
      <c r="Q4792" s="9" t="s">
        <v>37</v>
      </c>
      <c r="R4792" s="14" t="str">
        <f>HYPERLINK("https://my.pitchbook.com?c=173260-72T","View Company Online")</f>
        <v>View Company Online</v>
      </c>
    </row>
    <row r="4793" spans="1:18" hidden="1" x14ac:dyDescent="0.3">
      <c r="A4793" s="15" t="s">
        <v>15305</v>
      </c>
      <c r="B4793" s="15" t="s">
        <v>15306</v>
      </c>
      <c r="C4793" s="18" t="s">
        <v>28</v>
      </c>
      <c r="D4793" s="15" t="s">
        <v>15307</v>
      </c>
      <c r="E4793" s="18" t="s">
        <v>28</v>
      </c>
      <c r="F4793" s="19" t="s">
        <v>28</v>
      </c>
      <c r="G4793" s="19" t="s">
        <v>28</v>
      </c>
      <c r="H4793" s="19" t="s">
        <v>28</v>
      </c>
      <c r="I4793" s="18" t="s">
        <v>28</v>
      </c>
      <c r="J4793" s="18" t="s">
        <v>28</v>
      </c>
      <c r="K4793" s="18" t="s">
        <v>28</v>
      </c>
      <c r="L4793" s="18" t="s">
        <v>28</v>
      </c>
      <c r="M4793" s="18" t="s">
        <v>28</v>
      </c>
      <c r="N4793" s="17">
        <v>44347</v>
      </c>
      <c r="O4793" s="15" t="s">
        <v>30</v>
      </c>
      <c r="P4793" s="16" t="s">
        <v>9712</v>
      </c>
      <c r="Q4793" s="15" t="s">
        <v>1853</v>
      </c>
      <c r="R4793" s="13" t="str">
        <f>HYPERLINK("https://my.pitchbook.com?c=174015-55T","View Company Online")</f>
        <v>View Company Online</v>
      </c>
    </row>
    <row r="4794" spans="1:18" hidden="1" x14ac:dyDescent="0.3">
      <c r="A4794" s="9" t="s">
        <v>15308</v>
      </c>
      <c r="B4794" s="9" t="s">
        <v>15309</v>
      </c>
      <c r="C4794" s="11" t="s">
        <v>28</v>
      </c>
      <c r="D4794" s="9" t="s">
        <v>15310</v>
      </c>
      <c r="E4794" s="11" t="s">
        <v>28</v>
      </c>
      <c r="F4794" s="10" t="s">
        <v>28</v>
      </c>
      <c r="G4794" s="10" t="s">
        <v>28</v>
      </c>
      <c r="H4794" s="10" t="s">
        <v>28</v>
      </c>
      <c r="I4794" s="11" t="s">
        <v>28</v>
      </c>
      <c r="J4794" s="11" t="s">
        <v>28</v>
      </c>
      <c r="K4794" s="11" t="s">
        <v>28</v>
      </c>
      <c r="L4794" s="11" t="s">
        <v>28</v>
      </c>
      <c r="M4794" s="11" t="s">
        <v>28</v>
      </c>
      <c r="N4794" s="8">
        <v>44347</v>
      </c>
      <c r="O4794" s="9" t="s">
        <v>173</v>
      </c>
      <c r="P4794" s="12" t="s">
        <v>28</v>
      </c>
      <c r="Q4794" s="9" t="s">
        <v>174</v>
      </c>
      <c r="R4794" s="14" t="str">
        <f>HYPERLINK("https://my.pitchbook.com?c=251562-97T","View Company Online")</f>
        <v>View Company Online</v>
      </c>
    </row>
    <row r="4795" spans="1:18" hidden="1" x14ac:dyDescent="0.3">
      <c r="A4795" s="15" t="s">
        <v>15311</v>
      </c>
      <c r="B4795" s="15" t="s">
        <v>15312</v>
      </c>
      <c r="C4795" s="18" t="s">
        <v>28</v>
      </c>
      <c r="D4795" s="15" t="s">
        <v>15313</v>
      </c>
      <c r="E4795" s="18" t="s">
        <v>28</v>
      </c>
      <c r="F4795" s="19" t="s">
        <v>28</v>
      </c>
      <c r="G4795" s="19" t="s">
        <v>28</v>
      </c>
      <c r="H4795" s="19" t="s">
        <v>28</v>
      </c>
      <c r="I4795" s="18" t="s">
        <v>28</v>
      </c>
      <c r="J4795" s="18" t="s">
        <v>28</v>
      </c>
      <c r="K4795" s="18" t="s">
        <v>28</v>
      </c>
      <c r="L4795" s="18" t="s">
        <v>28</v>
      </c>
      <c r="M4795" s="18" t="s">
        <v>28</v>
      </c>
      <c r="N4795" s="17">
        <v>44345</v>
      </c>
      <c r="O4795" s="15" t="s">
        <v>41</v>
      </c>
      <c r="P4795" s="16" t="s">
        <v>4872</v>
      </c>
      <c r="Q4795" s="15" t="s">
        <v>285</v>
      </c>
      <c r="R4795" s="13" t="str">
        <f>HYPERLINK("https://my.pitchbook.com?c=226395-37T","View Company Online")</f>
        <v>View Company Online</v>
      </c>
    </row>
    <row r="4796" spans="1:18" hidden="1" x14ac:dyDescent="0.3">
      <c r="A4796" s="9" t="s">
        <v>15314</v>
      </c>
      <c r="B4796" s="9" t="s">
        <v>15315</v>
      </c>
      <c r="C4796" s="11" t="s">
        <v>28</v>
      </c>
      <c r="D4796" s="9" t="s">
        <v>15316</v>
      </c>
      <c r="E4796" s="11" t="s">
        <v>28</v>
      </c>
      <c r="F4796" s="10">
        <v>325.44</v>
      </c>
      <c r="G4796" s="10">
        <v>325.44</v>
      </c>
      <c r="H4796" s="10">
        <v>325.44</v>
      </c>
      <c r="I4796" s="11" t="s">
        <v>28</v>
      </c>
      <c r="J4796" s="11" t="s">
        <v>28</v>
      </c>
      <c r="K4796" s="11" t="s">
        <v>28</v>
      </c>
      <c r="L4796" s="11" t="s">
        <v>28</v>
      </c>
      <c r="M4796" s="11" t="s">
        <v>28</v>
      </c>
      <c r="N4796" s="8">
        <v>44344</v>
      </c>
      <c r="O4796" s="9" t="s">
        <v>30</v>
      </c>
      <c r="P4796" s="12" t="s">
        <v>14921</v>
      </c>
      <c r="Q4796" s="9" t="s">
        <v>43</v>
      </c>
      <c r="R4796" s="14" t="str">
        <f>HYPERLINK("https://my.pitchbook.com?c=156181-87T","View Company Online")</f>
        <v>View Company Online</v>
      </c>
    </row>
    <row r="4797" spans="1:18" hidden="1" x14ac:dyDescent="0.3">
      <c r="A4797" s="15" t="s">
        <v>15317</v>
      </c>
      <c r="B4797" s="15" t="s">
        <v>15318</v>
      </c>
      <c r="C4797" s="18" t="s">
        <v>28</v>
      </c>
      <c r="D4797" s="15" t="s">
        <v>15319</v>
      </c>
      <c r="E4797" s="18" t="s">
        <v>28</v>
      </c>
      <c r="F4797" s="19" t="s">
        <v>28</v>
      </c>
      <c r="G4797" s="19" t="s">
        <v>28</v>
      </c>
      <c r="H4797" s="19" t="s">
        <v>28</v>
      </c>
      <c r="I4797" s="18" t="s">
        <v>28</v>
      </c>
      <c r="J4797" s="18" t="s">
        <v>28</v>
      </c>
      <c r="K4797" s="18" t="s">
        <v>28</v>
      </c>
      <c r="L4797" s="18" t="s">
        <v>28</v>
      </c>
      <c r="M4797" s="18" t="s">
        <v>28</v>
      </c>
      <c r="N4797" s="17">
        <v>44344</v>
      </c>
      <c r="O4797" s="15" t="s">
        <v>30</v>
      </c>
      <c r="P4797" s="16" t="s">
        <v>14921</v>
      </c>
      <c r="Q4797" s="15" t="s">
        <v>43</v>
      </c>
      <c r="R4797" s="13" t="str">
        <f>HYPERLINK("https://my.pitchbook.com?c=186111-01T","View Company Online")</f>
        <v>View Company Online</v>
      </c>
    </row>
    <row r="4798" spans="1:18" hidden="1" x14ac:dyDescent="0.3">
      <c r="A4798" s="9" t="s">
        <v>15320</v>
      </c>
      <c r="B4798" s="9" t="s">
        <v>15321</v>
      </c>
      <c r="C4798" s="11" t="s">
        <v>28</v>
      </c>
      <c r="D4798" s="9" t="s">
        <v>15322</v>
      </c>
      <c r="E4798" s="11" t="s">
        <v>28</v>
      </c>
      <c r="F4798" s="10" t="s">
        <v>28</v>
      </c>
      <c r="G4798" s="10" t="s">
        <v>28</v>
      </c>
      <c r="H4798" s="10" t="s">
        <v>28</v>
      </c>
      <c r="I4798" s="11" t="s">
        <v>28</v>
      </c>
      <c r="J4798" s="11" t="s">
        <v>28</v>
      </c>
      <c r="K4798" s="11" t="s">
        <v>28</v>
      </c>
      <c r="L4798" s="11" t="s">
        <v>28</v>
      </c>
      <c r="M4798" s="11" t="s">
        <v>28</v>
      </c>
      <c r="N4798" s="8">
        <v>44344</v>
      </c>
      <c r="O4798" s="9" t="s">
        <v>30</v>
      </c>
      <c r="P4798" s="12" t="s">
        <v>14921</v>
      </c>
      <c r="Q4798" s="9" t="s">
        <v>43</v>
      </c>
      <c r="R4798" s="14" t="str">
        <f>HYPERLINK("https://my.pitchbook.com?c=186591-88T","View Company Online")</f>
        <v>View Company Online</v>
      </c>
    </row>
    <row r="4799" spans="1:18" hidden="1" x14ac:dyDescent="0.3">
      <c r="A4799" s="15" t="s">
        <v>15323</v>
      </c>
      <c r="B4799" s="15" t="s">
        <v>341</v>
      </c>
      <c r="C4799" s="18" t="s">
        <v>28</v>
      </c>
      <c r="D4799" s="15" t="s">
        <v>342</v>
      </c>
      <c r="E4799" s="18" t="s">
        <v>28</v>
      </c>
      <c r="F4799" s="19" t="s">
        <v>28</v>
      </c>
      <c r="G4799" s="19">
        <v>564.30999999999995</v>
      </c>
      <c r="H4799" s="19">
        <v>1881.05</v>
      </c>
      <c r="I4799" s="18" t="s">
        <v>28</v>
      </c>
      <c r="J4799" s="18" t="s">
        <v>28</v>
      </c>
      <c r="K4799" s="18" t="s">
        <v>28</v>
      </c>
      <c r="L4799" s="18" t="s">
        <v>28</v>
      </c>
      <c r="M4799" s="18" t="s">
        <v>28</v>
      </c>
      <c r="N4799" s="17">
        <v>44344</v>
      </c>
      <c r="O4799" s="15" t="s">
        <v>93</v>
      </c>
      <c r="P4799" s="16" t="s">
        <v>15116</v>
      </c>
      <c r="Q4799" s="15" t="s">
        <v>240</v>
      </c>
      <c r="R4799" s="13" t="str">
        <f>HYPERLINK("https://my.pitchbook.com?c=279865-45T","View Company Online")</f>
        <v>View Company Online</v>
      </c>
    </row>
    <row r="4800" spans="1:18" hidden="1" x14ac:dyDescent="0.3">
      <c r="A4800" s="9" t="s">
        <v>15324</v>
      </c>
      <c r="B4800" s="9" t="s">
        <v>15325</v>
      </c>
      <c r="C4800" s="11" t="s">
        <v>28</v>
      </c>
      <c r="D4800" s="9" t="s">
        <v>15326</v>
      </c>
      <c r="E4800" s="11" t="s">
        <v>28</v>
      </c>
      <c r="F4800" s="10" t="s">
        <v>28</v>
      </c>
      <c r="G4800" s="10">
        <v>0.28000000000000003</v>
      </c>
      <c r="H4800" s="10" t="s">
        <v>28</v>
      </c>
      <c r="I4800" s="11" t="s">
        <v>28</v>
      </c>
      <c r="J4800" s="11" t="s">
        <v>28</v>
      </c>
      <c r="K4800" s="11" t="s">
        <v>28</v>
      </c>
      <c r="L4800" s="11" t="s">
        <v>28</v>
      </c>
      <c r="M4800" s="11" t="s">
        <v>28</v>
      </c>
      <c r="N4800" s="8">
        <v>44344</v>
      </c>
      <c r="O4800" s="9" t="s">
        <v>99</v>
      </c>
      <c r="P4800" s="12" t="s">
        <v>15327</v>
      </c>
      <c r="Q4800" s="9" t="s">
        <v>75</v>
      </c>
      <c r="R4800" s="14" t="str">
        <f>HYPERLINK("https://my.pitchbook.com?c=168023-62T","View Company Online")</f>
        <v>View Company Online</v>
      </c>
    </row>
    <row r="4801" spans="1:18" hidden="1" x14ac:dyDescent="0.3">
      <c r="A4801" s="15" t="s">
        <v>15328</v>
      </c>
      <c r="B4801" s="15" t="s">
        <v>15329</v>
      </c>
      <c r="C4801" s="18" t="s">
        <v>28</v>
      </c>
      <c r="D4801" s="15" t="s">
        <v>15330</v>
      </c>
      <c r="E4801" s="18" t="s">
        <v>28</v>
      </c>
      <c r="F4801" s="19" t="s">
        <v>28</v>
      </c>
      <c r="G4801" s="19" t="s">
        <v>28</v>
      </c>
      <c r="H4801" s="19" t="s">
        <v>28</v>
      </c>
      <c r="I4801" s="18" t="s">
        <v>28</v>
      </c>
      <c r="J4801" s="18" t="s">
        <v>28</v>
      </c>
      <c r="K4801" s="18" t="s">
        <v>28</v>
      </c>
      <c r="L4801" s="18" t="s">
        <v>28</v>
      </c>
      <c r="M4801" s="18" t="s">
        <v>28</v>
      </c>
      <c r="N4801" s="17">
        <v>44344</v>
      </c>
      <c r="O4801" s="15" t="s">
        <v>30</v>
      </c>
      <c r="P4801" s="16" t="s">
        <v>14921</v>
      </c>
      <c r="Q4801" s="15" t="s">
        <v>43</v>
      </c>
      <c r="R4801" s="13" t="str">
        <f>HYPERLINK("https://my.pitchbook.com?c=186110-11T","View Company Online")</f>
        <v>View Company Online</v>
      </c>
    </row>
    <row r="4802" spans="1:18" hidden="1" x14ac:dyDescent="0.3">
      <c r="A4802" s="9" t="s">
        <v>15331</v>
      </c>
      <c r="B4802" s="9" t="s">
        <v>746</v>
      </c>
      <c r="C4802" s="11" t="s">
        <v>28</v>
      </c>
      <c r="D4802" s="9" t="s">
        <v>747</v>
      </c>
      <c r="E4802" s="11" t="s">
        <v>28</v>
      </c>
      <c r="F4802" s="10" t="s">
        <v>28</v>
      </c>
      <c r="G4802" s="10">
        <v>3.76</v>
      </c>
      <c r="H4802" s="10" t="s">
        <v>28</v>
      </c>
      <c r="I4802" s="11" t="s">
        <v>28</v>
      </c>
      <c r="J4802" s="11" t="s">
        <v>28</v>
      </c>
      <c r="K4802" s="11" t="s">
        <v>28</v>
      </c>
      <c r="L4802" s="11" t="s">
        <v>28</v>
      </c>
      <c r="M4802" s="11" t="s">
        <v>28</v>
      </c>
      <c r="N4802" s="8">
        <v>44344</v>
      </c>
      <c r="O4802" s="9" t="s">
        <v>73</v>
      </c>
      <c r="P4802" s="12" t="s">
        <v>15332</v>
      </c>
      <c r="Q4802" s="9" t="s">
        <v>37</v>
      </c>
      <c r="R4802" s="14" t="str">
        <f>HYPERLINK("https://my.pitchbook.com?c=174411-91T","View Company Online")</f>
        <v>View Company Online</v>
      </c>
    </row>
    <row r="4803" spans="1:18" hidden="1" x14ac:dyDescent="0.3">
      <c r="A4803" s="15" t="s">
        <v>15333</v>
      </c>
      <c r="B4803" s="15" t="s">
        <v>15334</v>
      </c>
      <c r="C4803" s="18" t="s">
        <v>28</v>
      </c>
      <c r="D4803" s="15" t="s">
        <v>15335</v>
      </c>
      <c r="E4803" s="18" t="s">
        <v>28</v>
      </c>
      <c r="F4803" s="19" t="s">
        <v>28</v>
      </c>
      <c r="G4803" s="19" t="s">
        <v>28</v>
      </c>
      <c r="H4803" s="19" t="s">
        <v>28</v>
      </c>
      <c r="I4803" s="18" t="s">
        <v>28</v>
      </c>
      <c r="J4803" s="18" t="s">
        <v>28</v>
      </c>
      <c r="K4803" s="18" t="s">
        <v>28</v>
      </c>
      <c r="L4803" s="18" t="s">
        <v>28</v>
      </c>
      <c r="M4803" s="18" t="s">
        <v>28</v>
      </c>
      <c r="N4803" s="17">
        <v>44344</v>
      </c>
      <c r="O4803" s="15" t="s">
        <v>379</v>
      </c>
      <c r="P4803" s="16" t="s">
        <v>28</v>
      </c>
      <c r="Q4803" s="15" t="s">
        <v>136</v>
      </c>
      <c r="R4803" s="13" t="str">
        <f>HYPERLINK("https://my.pitchbook.com?c=188560-90T","View Company Online")</f>
        <v>View Company Online</v>
      </c>
    </row>
    <row r="4804" spans="1:18" hidden="1" x14ac:dyDescent="0.3">
      <c r="A4804" s="9" t="s">
        <v>15336</v>
      </c>
      <c r="B4804" s="9" t="s">
        <v>15337</v>
      </c>
      <c r="C4804" s="11" t="s">
        <v>28</v>
      </c>
      <c r="D4804" s="9" t="s">
        <v>15338</v>
      </c>
      <c r="E4804" s="11" t="s">
        <v>28</v>
      </c>
      <c r="F4804" s="10" t="s">
        <v>28</v>
      </c>
      <c r="G4804" s="10" t="s">
        <v>28</v>
      </c>
      <c r="H4804" s="10" t="s">
        <v>28</v>
      </c>
      <c r="I4804" s="11" t="s">
        <v>28</v>
      </c>
      <c r="J4804" s="11" t="s">
        <v>28</v>
      </c>
      <c r="K4804" s="11" t="s">
        <v>28</v>
      </c>
      <c r="L4804" s="11" t="s">
        <v>28</v>
      </c>
      <c r="M4804" s="11" t="s">
        <v>28</v>
      </c>
      <c r="N4804" s="8">
        <v>44344</v>
      </c>
      <c r="O4804" s="9" t="s">
        <v>41</v>
      </c>
      <c r="P4804" s="12" t="s">
        <v>15339</v>
      </c>
      <c r="Q4804" s="9" t="s">
        <v>9353</v>
      </c>
      <c r="R4804" s="14" t="str">
        <f>HYPERLINK("https://my.pitchbook.com?c=224235-64T","View Company Online")</f>
        <v>View Company Online</v>
      </c>
    </row>
    <row r="4805" spans="1:18" hidden="1" x14ac:dyDescent="0.3">
      <c r="A4805" s="15" t="s">
        <v>15340</v>
      </c>
      <c r="B4805" s="15" t="s">
        <v>15341</v>
      </c>
      <c r="C4805" s="18" t="s">
        <v>28</v>
      </c>
      <c r="D4805" s="15" t="s">
        <v>15342</v>
      </c>
      <c r="E4805" s="18" t="s">
        <v>28</v>
      </c>
      <c r="F4805" s="19" t="s">
        <v>28</v>
      </c>
      <c r="G4805" s="19" t="s">
        <v>28</v>
      </c>
      <c r="H4805" s="19" t="s">
        <v>28</v>
      </c>
      <c r="I4805" s="18" t="s">
        <v>28</v>
      </c>
      <c r="J4805" s="18" t="s">
        <v>28</v>
      </c>
      <c r="K4805" s="18">
        <v>427.01</v>
      </c>
      <c r="L4805" s="18" t="s">
        <v>28</v>
      </c>
      <c r="M4805" s="18" t="s">
        <v>28</v>
      </c>
      <c r="N4805" s="17">
        <v>44344</v>
      </c>
      <c r="O4805" s="15" t="s">
        <v>41</v>
      </c>
      <c r="P4805" s="16" t="s">
        <v>2216</v>
      </c>
      <c r="Q4805" s="15" t="s">
        <v>109</v>
      </c>
      <c r="R4805" s="13" t="str">
        <f>HYPERLINK("https://my.pitchbook.com?c=261199-63T","View Company Online")</f>
        <v>View Company Online</v>
      </c>
    </row>
    <row r="4806" spans="1:18" hidden="1" x14ac:dyDescent="0.3">
      <c r="A4806" s="9" t="s">
        <v>15343</v>
      </c>
      <c r="B4806" s="9" t="s">
        <v>15344</v>
      </c>
      <c r="C4806" s="11" t="s">
        <v>28</v>
      </c>
      <c r="D4806" s="9" t="s">
        <v>15345</v>
      </c>
      <c r="E4806" s="11" t="s">
        <v>28</v>
      </c>
      <c r="F4806" s="10" t="s">
        <v>28</v>
      </c>
      <c r="G4806" s="10" t="s">
        <v>28</v>
      </c>
      <c r="H4806" s="10" t="s">
        <v>28</v>
      </c>
      <c r="I4806" s="11" t="s">
        <v>28</v>
      </c>
      <c r="J4806" s="11" t="s">
        <v>28</v>
      </c>
      <c r="K4806" s="11" t="s">
        <v>28</v>
      </c>
      <c r="L4806" s="11" t="s">
        <v>28</v>
      </c>
      <c r="M4806" s="11" t="s">
        <v>28</v>
      </c>
      <c r="N4806" s="8">
        <v>44344</v>
      </c>
      <c r="O4806" s="9" t="s">
        <v>30</v>
      </c>
      <c r="P4806" s="12" t="s">
        <v>14921</v>
      </c>
      <c r="Q4806" s="9" t="s">
        <v>43</v>
      </c>
      <c r="R4806" s="14" t="str">
        <f>HYPERLINK("https://my.pitchbook.com?c=186136-12T","View Company Online")</f>
        <v>View Company Online</v>
      </c>
    </row>
    <row r="4807" spans="1:18" hidden="1" x14ac:dyDescent="0.3">
      <c r="A4807" s="15" t="s">
        <v>15346</v>
      </c>
      <c r="B4807" s="15" t="s">
        <v>15347</v>
      </c>
      <c r="C4807" s="18" t="s">
        <v>28</v>
      </c>
      <c r="D4807" s="15" t="s">
        <v>15348</v>
      </c>
      <c r="E4807" s="18" t="s">
        <v>28</v>
      </c>
      <c r="F4807" s="19" t="s">
        <v>28</v>
      </c>
      <c r="G4807" s="19" t="s">
        <v>28</v>
      </c>
      <c r="H4807" s="19" t="s">
        <v>28</v>
      </c>
      <c r="I4807" s="18" t="s">
        <v>28</v>
      </c>
      <c r="J4807" s="18" t="s">
        <v>28</v>
      </c>
      <c r="K4807" s="18" t="s">
        <v>28</v>
      </c>
      <c r="L4807" s="18" t="s">
        <v>28</v>
      </c>
      <c r="M4807" s="18" t="s">
        <v>28</v>
      </c>
      <c r="N4807" s="17">
        <v>44344</v>
      </c>
      <c r="O4807" s="15" t="s">
        <v>30</v>
      </c>
      <c r="P4807" s="16" t="s">
        <v>14921</v>
      </c>
      <c r="Q4807" s="15" t="s">
        <v>43</v>
      </c>
      <c r="R4807" s="13" t="str">
        <f>HYPERLINK("https://my.pitchbook.com?c=186112-00T","View Company Online")</f>
        <v>View Company Online</v>
      </c>
    </row>
    <row r="4808" spans="1:18" hidden="1" x14ac:dyDescent="0.3">
      <c r="A4808" s="9" t="s">
        <v>15349</v>
      </c>
      <c r="B4808" s="9" t="s">
        <v>15350</v>
      </c>
      <c r="C4808" s="11" t="s">
        <v>28</v>
      </c>
      <c r="D4808" s="9" t="s">
        <v>15351</v>
      </c>
      <c r="E4808" s="11" t="s">
        <v>28</v>
      </c>
      <c r="F4808" s="10" t="s">
        <v>28</v>
      </c>
      <c r="G4808" s="10" t="s">
        <v>28</v>
      </c>
      <c r="H4808" s="10" t="s">
        <v>28</v>
      </c>
      <c r="I4808" s="11" t="s">
        <v>28</v>
      </c>
      <c r="J4808" s="11" t="s">
        <v>28</v>
      </c>
      <c r="K4808" s="11" t="s">
        <v>28</v>
      </c>
      <c r="L4808" s="11" t="s">
        <v>28</v>
      </c>
      <c r="M4808" s="11" t="s">
        <v>28</v>
      </c>
      <c r="N4808" s="8">
        <v>44344</v>
      </c>
      <c r="O4808" s="9" t="s">
        <v>30</v>
      </c>
      <c r="P4808" s="12" t="s">
        <v>14921</v>
      </c>
      <c r="Q4808" s="9" t="s">
        <v>43</v>
      </c>
      <c r="R4808" s="14" t="str">
        <f>HYPERLINK("https://my.pitchbook.com?c=186113-35T","View Company Online")</f>
        <v>View Company Online</v>
      </c>
    </row>
    <row r="4809" spans="1:18" hidden="1" x14ac:dyDescent="0.3">
      <c r="A4809" s="15" t="s">
        <v>15352</v>
      </c>
      <c r="B4809" s="15" t="s">
        <v>15353</v>
      </c>
      <c r="C4809" s="18" t="s">
        <v>28</v>
      </c>
      <c r="D4809" s="15" t="s">
        <v>15354</v>
      </c>
      <c r="E4809" s="18" t="s">
        <v>28</v>
      </c>
      <c r="F4809" s="19" t="s">
        <v>28</v>
      </c>
      <c r="G4809" s="19" t="s">
        <v>28</v>
      </c>
      <c r="H4809" s="19" t="s">
        <v>28</v>
      </c>
      <c r="I4809" s="18" t="s">
        <v>28</v>
      </c>
      <c r="J4809" s="18" t="s">
        <v>28</v>
      </c>
      <c r="K4809" s="18" t="s">
        <v>28</v>
      </c>
      <c r="L4809" s="18" t="s">
        <v>28</v>
      </c>
      <c r="M4809" s="18" t="s">
        <v>28</v>
      </c>
      <c r="N4809" s="17">
        <v>44344</v>
      </c>
      <c r="O4809" s="15" t="s">
        <v>30</v>
      </c>
      <c r="P4809" s="16" t="s">
        <v>14921</v>
      </c>
      <c r="Q4809" s="15" t="s">
        <v>43</v>
      </c>
      <c r="R4809" s="13" t="str">
        <f>HYPERLINK("https://my.pitchbook.com?c=186097-96T","View Company Online")</f>
        <v>View Company Online</v>
      </c>
    </row>
    <row r="4810" spans="1:18" hidden="1" x14ac:dyDescent="0.3">
      <c r="A4810" s="9" t="s">
        <v>15355</v>
      </c>
      <c r="B4810" s="9" t="s">
        <v>15356</v>
      </c>
      <c r="C4810" s="11" t="s">
        <v>28</v>
      </c>
      <c r="D4810" s="9" t="s">
        <v>15357</v>
      </c>
      <c r="E4810" s="11" t="s">
        <v>28</v>
      </c>
      <c r="F4810" s="10" t="s">
        <v>28</v>
      </c>
      <c r="G4810" s="10" t="s">
        <v>28</v>
      </c>
      <c r="H4810" s="10" t="s">
        <v>28</v>
      </c>
      <c r="I4810" s="11" t="s">
        <v>28</v>
      </c>
      <c r="J4810" s="11" t="s">
        <v>28</v>
      </c>
      <c r="K4810" s="11" t="s">
        <v>28</v>
      </c>
      <c r="L4810" s="11" t="s">
        <v>28</v>
      </c>
      <c r="M4810" s="11" t="s">
        <v>28</v>
      </c>
      <c r="N4810" s="8">
        <v>44343</v>
      </c>
      <c r="O4810" s="9" t="s">
        <v>30</v>
      </c>
      <c r="P4810" s="12" t="s">
        <v>15358</v>
      </c>
      <c r="Q4810" s="9" t="s">
        <v>119</v>
      </c>
      <c r="R4810" s="14" t="str">
        <f>HYPERLINK("https://my.pitchbook.com?c=206916-22T","View Company Online")</f>
        <v>View Company Online</v>
      </c>
    </row>
    <row r="4811" spans="1:18" hidden="1" x14ac:dyDescent="0.3">
      <c r="A4811" s="15" t="s">
        <v>15359</v>
      </c>
      <c r="B4811" s="15" t="s">
        <v>15360</v>
      </c>
      <c r="C4811" s="18" t="s">
        <v>28</v>
      </c>
      <c r="D4811" s="15" t="s">
        <v>15361</v>
      </c>
      <c r="E4811" s="18" t="s">
        <v>28</v>
      </c>
      <c r="F4811" s="19" t="s">
        <v>28</v>
      </c>
      <c r="G4811" s="19" t="s">
        <v>28</v>
      </c>
      <c r="H4811" s="19" t="s">
        <v>28</v>
      </c>
      <c r="I4811" s="18" t="s">
        <v>28</v>
      </c>
      <c r="J4811" s="18" t="s">
        <v>28</v>
      </c>
      <c r="K4811" s="18" t="s">
        <v>28</v>
      </c>
      <c r="L4811" s="18" t="s">
        <v>28</v>
      </c>
      <c r="M4811" s="18" t="s">
        <v>28</v>
      </c>
      <c r="N4811" s="17">
        <v>44343</v>
      </c>
      <c r="O4811" s="15" t="s">
        <v>173</v>
      </c>
      <c r="P4811" s="16" t="s">
        <v>28</v>
      </c>
      <c r="Q4811" s="15" t="s">
        <v>240</v>
      </c>
      <c r="R4811" s="13" t="str">
        <f>HYPERLINK("https://my.pitchbook.com?c=221402-26T","View Company Online")</f>
        <v>View Company Online</v>
      </c>
    </row>
    <row r="4812" spans="1:18" hidden="1" x14ac:dyDescent="0.3">
      <c r="A4812" s="9" t="s">
        <v>15362</v>
      </c>
      <c r="B4812" s="9" t="s">
        <v>6353</v>
      </c>
      <c r="C4812" s="11" t="s">
        <v>28</v>
      </c>
      <c r="D4812" s="9" t="s">
        <v>6354</v>
      </c>
      <c r="E4812" s="11" t="s">
        <v>28</v>
      </c>
      <c r="F4812" s="10" t="s">
        <v>28</v>
      </c>
      <c r="G4812" s="10">
        <v>2.82</v>
      </c>
      <c r="H4812" s="10" t="s">
        <v>28</v>
      </c>
      <c r="I4812" s="11" t="s">
        <v>28</v>
      </c>
      <c r="J4812" s="11" t="s">
        <v>28</v>
      </c>
      <c r="K4812" s="11" t="s">
        <v>28</v>
      </c>
      <c r="L4812" s="11" t="s">
        <v>28</v>
      </c>
      <c r="M4812" s="11" t="s">
        <v>28</v>
      </c>
      <c r="N4812" s="8">
        <v>44343</v>
      </c>
      <c r="O4812" s="9" t="s">
        <v>99</v>
      </c>
      <c r="P4812" s="12" t="s">
        <v>15363</v>
      </c>
      <c r="Q4812" s="9" t="s">
        <v>6356</v>
      </c>
      <c r="R4812" s="14" t="str">
        <f>HYPERLINK("https://my.pitchbook.com?c=173008-63T","View Company Online")</f>
        <v>View Company Online</v>
      </c>
    </row>
    <row r="4813" spans="1:18" hidden="1" x14ac:dyDescent="0.3">
      <c r="A4813" s="15" t="s">
        <v>15364</v>
      </c>
      <c r="B4813" s="15" t="s">
        <v>15365</v>
      </c>
      <c r="C4813" s="18" t="s">
        <v>28</v>
      </c>
      <c r="D4813" s="15" t="s">
        <v>15366</v>
      </c>
      <c r="E4813" s="18" t="s">
        <v>28</v>
      </c>
      <c r="F4813" s="19" t="s">
        <v>28</v>
      </c>
      <c r="G4813" s="19" t="s">
        <v>28</v>
      </c>
      <c r="H4813" s="19" t="s">
        <v>28</v>
      </c>
      <c r="I4813" s="18" t="s">
        <v>28</v>
      </c>
      <c r="J4813" s="18" t="s">
        <v>28</v>
      </c>
      <c r="K4813" s="18" t="s">
        <v>28</v>
      </c>
      <c r="L4813" s="18" t="s">
        <v>28</v>
      </c>
      <c r="M4813" s="18" t="s">
        <v>28</v>
      </c>
      <c r="N4813" s="17">
        <v>44343</v>
      </c>
      <c r="O4813" s="15" t="s">
        <v>30</v>
      </c>
      <c r="P4813" s="16" t="s">
        <v>12054</v>
      </c>
      <c r="Q4813" s="15" t="s">
        <v>583</v>
      </c>
      <c r="R4813" s="13" t="str">
        <f>HYPERLINK("https://my.pitchbook.com?c=173072-98T","View Company Online")</f>
        <v>View Company Online</v>
      </c>
    </row>
    <row r="4814" spans="1:18" hidden="1" x14ac:dyDescent="0.3">
      <c r="A4814" s="9" t="s">
        <v>15367</v>
      </c>
      <c r="B4814" s="9" t="s">
        <v>15368</v>
      </c>
      <c r="C4814" s="11" t="s">
        <v>28</v>
      </c>
      <c r="D4814" s="9" t="s">
        <v>15369</v>
      </c>
      <c r="E4814" s="11" t="s">
        <v>28</v>
      </c>
      <c r="F4814" s="10">
        <v>131.5</v>
      </c>
      <c r="G4814" s="10">
        <v>131.5</v>
      </c>
      <c r="H4814" s="10">
        <v>131.5</v>
      </c>
      <c r="I4814" s="11" t="s">
        <v>28</v>
      </c>
      <c r="J4814" s="11" t="s">
        <v>28</v>
      </c>
      <c r="K4814" s="11" t="s">
        <v>28</v>
      </c>
      <c r="L4814" s="11" t="s">
        <v>28</v>
      </c>
      <c r="M4814" s="11">
        <v>51.07</v>
      </c>
      <c r="N4814" s="8">
        <v>44343</v>
      </c>
      <c r="O4814" s="9" t="s">
        <v>30</v>
      </c>
      <c r="P4814" s="12" t="s">
        <v>7615</v>
      </c>
      <c r="Q4814" s="9" t="s">
        <v>43</v>
      </c>
      <c r="R4814" s="14" t="str">
        <f>HYPERLINK("https://my.pitchbook.com?c=173165-95T","View Company Online")</f>
        <v>View Company Online</v>
      </c>
    </row>
    <row r="4815" spans="1:18" hidden="1" x14ac:dyDescent="0.3">
      <c r="A4815" s="15" t="s">
        <v>15370</v>
      </c>
      <c r="B4815" s="15" t="s">
        <v>5709</v>
      </c>
      <c r="C4815" s="18" t="s">
        <v>28</v>
      </c>
      <c r="D4815" s="15" t="s">
        <v>5710</v>
      </c>
      <c r="E4815" s="18" t="s">
        <v>28</v>
      </c>
      <c r="F4815" s="19" t="s">
        <v>28</v>
      </c>
      <c r="G4815" s="19">
        <v>0.32</v>
      </c>
      <c r="H4815" s="19" t="s">
        <v>28</v>
      </c>
      <c r="I4815" s="18" t="s">
        <v>28</v>
      </c>
      <c r="J4815" s="18" t="s">
        <v>28</v>
      </c>
      <c r="K4815" s="18" t="s">
        <v>28</v>
      </c>
      <c r="L4815" s="18" t="s">
        <v>28</v>
      </c>
      <c r="M4815" s="18" t="s">
        <v>28</v>
      </c>
      <c r="N4815" s="17">
        <v>44343</v>
      </c>
      <c r="O4815" s="15" t="s">
        <v>99</v>
      </c>
      <c r="P4815" s="16" t="s">
        <v>15371</v>
      </c>
      <c r="Q4815" s="15" t="s">
        <v>414</v>
      </c>
      <c r="R4815" s="13" t="str">
        <f>HYPERLINK("https://my.pitchbook.com?c=172192-96T","View Company Online")</f>
        <v>View Company Online</v>
      </c>
    </row>
    <row r="4816" spans="1:18" hidden="1" x14ac:dyDescent="0.3">
      <c r="A4816" s="9" t="s">
        <v>15372</v>
      </c>
      <c r="B4816" s="9" t="s">
        <v>6481</v>
      </c>
      <c r="C4816" s="11" t="s">
        <v>28</v>
      </c>
      <c r="D4816" s="9" t="s">
        <v>6482</v>
      </c>
      <c r="E4816" s="11" t="s">
        <v>28</v>
      </c>
      <c r="F4816" s="10" t="s">
        <v>28</v>
      </c>
      <c r="G4816" s="10">
        <v>0.17</v>
      </c>
      <c r="H4816" s="10" t="s">
        <v>28</v>
      </c>
      <c r="I4816" s="11" t="s">
        <v>28</v>
      </c>
      <c r="J4816" s="11" t="s">
        <v>28</v>
      </c>
      <c r="K4816" s="11" t="s">
        <v>28</v>
      </c>
      <c r="L4816" s="11" t="s">
        <v>28</v>
      </c>
      <c r="M4816" s="11" t="s">
        <v>28</v>
      </c>
      <c r="N4816" s="8">
        <v>44343</v>
      </c>
      <c r="O4816" s="9" t="s">
        <v>73</v>
      </c>
      <c r="P4816" s="12" t="s">
        <v>4148</v>
      </c>
      <c r="Q4816" s="9" t="s">
        <v>583</v>
      </c>
      <c r="R4816" s="14" t="str">
        <f>HYPERLINK("https://my.pitchbook.com?c=173033-11T","View Company Online")</f>
        <v>View Company Online</v>
      </c>
    </row>
    <row r="4817" spans="1:18" hidden="1" x14ac:dyDescent="0.3">
      <c r="A4817" s="15" t="s">
        <v>15373</v>
      </c>
      <c r="B4817" s="15" t="s">
        <v>15374</v>
      </c>
      <c r="C4817" s="18" t="s">
        <v>28</v>
      </c>
      <c r="D4817" s="15" t="s">
        <v>15375</v>
      </c>
      <c r="E4817" s="18" t="s">
        <v>28</v>
      </c>
      <c r="F4817" s="19" t="s">
        <v>28</v>
      </c>
      <c r="G4817" s="19">
        <v>0.42</v>
      </c>
      <c r="H4817" s="19" t="s">
        <v>28</v>
      </c>
      <c r="I4817" s="18" t="s">
        <v>28</v>
      </c>
      <c r="J4817" s="18" t="s">
        <v>28</v>
      </c>
      <c r="K4817" s="18" t="s">
        <v>28</v>
      </c>
      <c r="L4817" s="18" t="s">
        <v>28</v>
      </c>
      <c r="M4817" s="18" t="s">
        <v>28</v>
      </c>
      <c r="N4817" s="17">
        <v>44342</v>
      </c>
      <c r="O4817" s="15" t="s">
        <v>99</v>
      </c>
      <c r="P4817" s="16" t="s">
        <v>15376</v>
      </c>
      <c r="Q4817" s="15" t="s">
        <v>404</v>
      </c>
      <c r="R4817" s="13" t="str">
        <f>HYPERLINK("https://my.pitchbook.com?c=172888-21T","View Company Online")</f>
        <v>View Company Online</v>
      </c>
    </row>
    <row r="4818" spans="1:18" hidden="1" x14ac:dyDescent="0.3">
      <c r="A4818" s="9" t="s">
        <v>15377</v>
      </c>
      <c r="B4818" s="9" t="s">
        <v>15374</v>
      </c>
      <c r="C4818" s="11" t="s">
        <v>28</v>
      </c>
      <c r="D4818" s="9" t="s">
        <v>15375</v>
      </c>
      <c r="E4818" s="11" t="s">
        <v>28</v>
      </c>
      <c r="F4818" s="10" t="s">
        <v>28</v>
      </c>
      <c r="G4818" s="10" t="s">
        <v>28</v>
      </c>
      <c r="H4818" s="10" t="s">
        <v>28</v>
      </c>
      <c r="I4818" s="11" t="s">
        <v>28</v>
      </c>
      <c r="J4818" s="11" t="s">
        <v>28</v>
      </c>
      <c r="K4818" s="11" t="s">
        <v>28</v>
      </c>
      <c r="L4818" s="11" t="s">
        <v>28</v>
      </c>
      <c r="M4818" s="11" t="s">
        <v>28</v>
      </c>
      <c r="N4818" s="8">
        <v>44342</v>
      </c>
      <c r="O4818" s="9" t="s">
        <v>73</v>
      </c>
      <c r="P4818" s="12" t="s">
        <v>28</v>
      </c>
      <c r="Q4818" s="9" t="s">
        <v>404</v>
      </c>
      <c r="R4818" s="14" t="str">
        <f>HYPERLINK("https://my.pitchbook.com?c=172888-30T","View Company Online")</f>
        <v>View Company Online</v>
      </c>
    </row>
    <row r="4819" spans="1:18" hidden="1" x14ac:dyDescent="0.3">
      <c r="A4819" s="15" t="s">
        <v>15378</v>
      </c>
      <c r="B4819" s="15" t="s">
        <v>15379</v>
      </c>
      <c r="C4819" s="18" t="s">
        <v>28</v>
      </c>
      <c r="D4819" s="15" t="s">
        <v>15380</v>
      </c>
      <c r="E4819" s="18" t="s">
        <v>28</v>
      </c>
      <c r="F4819" s="19" t="s">
        <v>28</v>
      </c>
      <c r="G4819" s="19" t="s">
        <v>28</v>
      </c>
      <c r="H4819" s="19" t="s">
        <v>28</v>
      </c>
      <c r="I4819" s="18" t="s">
        <v>28</v>
      </c>
      <c r="J4819" s="18" t="s">
        <v>28</v>
      </c>
      <c r="K4819" s="18" t="s">
        <v>28</v>
      </c>
      <c r="L4819" s="18" t="s">
        <v>28</v>
      </c>
      <c r="M4819" s="18" t="s">
        <v>28</v>
      </c>
      <c r="N4819" s="17">
        <v>44342</v>
      </c>
      <c r="O4819" s="15" t="s">
        <v>30</v>
      </c>
      <c r="P4819" s="16" t="s">
        <v>28</v>
      </c>
      <c r="Q4819" s="15" t="s">
        <v>2168</v>
      </c>
      <c r="R4819" s="13" t="str">
        <f>HYPERLINK("https://my.pitchbook.com?c=211681-99T","View Company Online")</f>
        <v>View Company Online</v>
      </c>
    </row>
    <row r="4820" spans="1:18" hidden="1" x14ac:dyDescent="0.3">
      <c r="A4820" s="9" t="s">
        <v>15381</v>
      </c>
      <c r="B4820" s="9" t="s">
        <v>15382</v>
      </c>
      <c r="C4820" s="11" t="s">
        <v>28</v>
      </c>
      <c r="D4820" s="9" t="s">
        <v>15383</v>
      </c>
      <c r="E4820" s="11" t="s">
        <v>28</v>
      </c>
      <c r="F4820" s="10" t="s">
        <v>28</v>
      </c>
      <c r="G4820" s="10" t="s">
        <v>28</v>
      </c>
      <c r="H4820" s="10" t="s">
        <v>28</v>
      </c>
      <c r="I4820" s="11" t="s">
        <v>28</v>
      </c>
      <c r="J4820" s="11" t="s">
        <v>28</v>
      </c>
      <c r="K4820" s="11" t="s">
        <v>28</v>
      </c>
      <c r="L4820" s="11" t="s">
        <v>28</v>
      </c>
      <c r="M4820" s="11" t="s">
        <v>28</v>
      </c>
      <c r="N4820" s="8">
        <v>44342</v>
      </c>
      <c r="O4820" s="9" t="s">
        <v>30</v>
      </c>
      <c r="P4820" s="12" t="s">
        <v>5646</v>
      </c>
      <c r="Q4820" s="9" t="s">
        <v>290</v>
      </c>
      <c r="R4820" s="14" t="str">
        <f>HYPERLINK("https://my.pitchbook.com?c=213229-09T","View Company Online")</f>
        <v>View Company Online</v>
      </c>
    </row>
    <row r="4821" spans="1:18" hidden="1" x14ac:dyDescent="0.3">
      <c r="A4821" s="15" t="s">
        <v>15384</v>
      </c>
      <c r="B4821" s="15" t="s">
        <v>6180</v>
      </c>
      <c r="C4821" s="18" t="s">
        <v>28</v>
      </c>
      <c r="D4821" s="15" t="s">
        <v>6181</v>
      </c>
      <c r="E4821" s="18" t="s">
        <v>28</v>
      </c>
      <c r="F4821" s="19" t="s">
        <v>28</v>
      </c>
      <c r="G4821" s="19">
        <v>0.47</v>
      </c>
      <c r="H4821" s="19">
        <v>3.28</v>
      </c>
      <c r="I4821" s="18" t="s">
        <v>28</v>
      </c>
      <c r="J4821" s="18" t="s">
        <v>28</v>
      </c>
      <c r="K4821" s="18">
        <v>0.08</v>
      </c>
      <c r="L4821" s="18">
        <v>42.91</v>
      </c>
      <c r="M4821" s="18" t="s">
        <v>28</v>
      </c>
      <c r="N4821" s="17">
        <v>44341</v>
      </c>
      <c r="O4821" s="15" t="s">
        <v>58</v>
      </c>
      <c r="P4821" s="16" t="s">
        <v>6183</v>
      </c>
      <c r="Q4821" s="15" t="s">
        <v>75</v>
      </c>
      <c r="R4821" s="13" t="str">
        <f>HYPERLINK("https://my.pitchbook.com?c=213131-26T","View Company Online")</f>
        <v>View Company Online</v>
      </c>
    </row>
    <row r="4822" spans="1:18" hidden="1" x14ac:dyDescent="0.3">
      <c r="A4822" s="9" t="s">
        <v>15385</v>
      </c>
      <c r="B4822" s="9" t="s">
        <v>15386</v>
      </c>
      <c r="C4822" s="11" t="s">
        <v>28</v>
      </c>
      <c r="D4822" s="9" t="s">
        <v>15387</v>
      </c>
      <c r="E4822" s="11" t="s">
        <v>28</v>
      </c>
      <c r="F4822" s="10" t="s">
        <v>28</v>
      </c>
      <c r="G4822" s="10" t="s">
        <v>28</v>
      </c>
      <c r="H4822" s="10" t="s">
        <v>28</v>
      </c>
      <c r="I4822" s="11" t="s">
        <v>28</v>
      </c>
      <c r="J4822" s="11" t="s">
        <v>28</v>
      </c>
      <c r="K4822" s="11" t="s">
        <v>28</v>
      </c>
      <c r="L4822" s="11" t="s">
        <v>28</v>
      </c>
      <c r="M4822" s="11" t="s">
        <v>28</v>
      </c>
      <c r="N4822" s="8">
        <v>44341</v>
      </c>
      <c r="O4822" s="9" t="s">
        <v>99</v>
      </c>
      <c r="P4822" s="12" t="s">
        <v>28</v>
      </c>
      <c r="Q4822" s="9" t="s">
        <v>419</v>
      </c>
      <c r="R4822" s="14" t="str">
        <f>HYPERLINK("https://my.pitchbook.com?c=172799-47T","View Company Online")</f>
        <v>View Company Online</v>
      </c>
    </row>
    <row r="4823" spans="1:18" hidden="1" x14ac:dyDescent="0.3">
      <c r="A4823" s="15" t="s">
        <v>15388</v>
      </c>
      <c r="B4823" s="15" t="s">
        <v>472</v>
      </c>
      <c r="C4823" s="18" t="s">
        <v>28</v>
      </c>
      <c r="D4823" s="15" t="s">
        <v>473</v>
      </c>
      <c r="E4823" s="18" t="s">
        <v>28</v>
      </c>
      <c r="F4823" s="19" t="s">
        <v>28</v>
      </c>
      <c r="G4823" s="19">
        <v>9.94</v>
      </c>
      <c r="H4823" s="19" t="s">
        <v>28</v>
      </c>
      <c r="I4823" s="18" t="s">
        <v>28</v>
      </c>
      <c r="J4823" s="18" t="s">
        <v>28</v>
      </c>
      <c r="K4823" s="18" t="s">
        <v>28</v>
      </c>
      <c r="L4823" s="18" t="s">
        <v>28</v>
      </c>
      <c r="M4823" s="18" t="s">
        <v>28</v>
      </c>
      <c r="N4823" s="17">
        <v>44341</v>
      </c>
      <c r="O4823" s="15" t="s">
        <v>73</v>
      </c>
      <c r="P4823" s="16" t="s">
        <v>15389</v>
      </c>
      <c r="Q4823" s="15" t="s">
        <v>114</v>
      </c>
      <c r="R4823" s="13" t="str">
        <f>HYPERLINK("https://my.pitchbook.com?c=172782-91T","View Company Online")</f>
        <v>View Company Online</v>
      </c>
    </row>
    <row r="4824" spans="1:18" hidden="1" x14ac:dyDescent="0.3">
      <c r="A4824" s="9" t="s">
        <v>15390</v>
      </c>
      <c r="B4824" s="9" t="s">
        <v>15391</v>
      </c>
      <c r="C4824" s="11" t="s">
        <v>28</v>
      </c>
      <c r="D4824" s="9" t="s">
        <v>15392</v>
      </c>
      <c r="E4824" s="11" t="s">
        <v>28</v>
      </c>
      <c r="F4824" s="10" t="s">
        <v>28</v>
      </c>
      <c r="G4824" s="10">
        <v>0.03</v>
      </c>
      <c r="H4824" s="10">
        <v>0.56000000000000005</v>
      </c>
      <c r="I4824" s="11" t="s">
        <v>28</v>
      </c>
      <c r="J4824" s="11" t="s">
        <v>28</v>
      </c>
      <c r="K4824" s="11" t="s">
        <v>28</v>
      </c>
      <c r="L4824" s="11" t="s">
        <v>28</v>
      </c>
      <c r="M4824" s="11" t="s">
        <v>28</v>
      </c>
      <c r="N4824" s="8">
        <v>44341</v>
      </c>
      <c r="O4824" s="9" t="s">
        <v>379</v>
      </c>
      <c r="P4824" s="12" t="s">
        <v>28</v>
      </c>
      <c r="Q4824" s="9" t="s">
        <v>37</v>
      </c>
      <c r="R4824" s="14" t="str">
        <f>HYPERLINK("https://my.pitchbook.com?c=172791-46T","View Company Online")</f>
        <v>View Company Online</v>
      </c>
    </row>
    <row r="4825" spans="1:18" hidden="1" x14ac:dyDescent="0.3">
      <c r="A4825" s="15" t="s">
        <v>15393</v>
      </c>
      <c r="B4825" s="15" t="s">
        <v>6800</v>
      </c>
      <c r="C4825" s="18" t="s">
        <v>28</v>
      </c>
      <c r="D4825" s="15" t="s">
        <v>15394</v>
      </c>
      <c r="E4825" s="18">
        <v>18.89</v>
      </c>
      <c r="F4825" s="19" t="s">
        <v>28</v>
      </c>
      <c r="G4825" s="19" t="s">
        <v>28</v>
      </c>
      <c r="H4825" s="19" t="s">
        <v>28</v>
      </c>
      <c r="I4825" s="18">
        <v>21.31</v>
      </c>
      <c r="J4825" s="18" t="s">
        <v>28</v>
      </c>
      <c r="K4825" s="18">
        <v>147.01</v>
      </c>
      <c r="L4825" s="18" t="s">
        <v>28</v>
      </c>
      <c r="M4825" s="18">
        <v>11.61</v>
      </c>
      <c r="N4825" s="17">
        <v>44341</v>
      </c>
      <c r="O4825" s="15" t="s">
        <v>173</v>
      </c>
      <c r="P4825" s="16" t="s">
        <v>28</v>
      </c>
      <c r="Q4825" s="15" t="s">
        <v>119</v>
      </c>
      <c r="R4825" s="13" t="str">
        <f>HYPERLINK("https://my.pitchbook.com?c=216428-23T","View Company Online")</f>
        <v>View Company Online</v>
      </c>
    </row>
    <row r="4826" spans="1:18" hidden="1" x14ac:dyDescent="0.3">
      <c r="A4826" s="9" t="s">
        <v>15395</v>
      </c>
      <c r="B4826" s="9" t="s">
        <v>13922</v>
      </c>
      <c r="C4826" s="11" t="s">
        <v>28</v>
      </c>
      <c r="D4826" s="9" t="s">
        <v>13923</v>
      </c>
      <c r="E4826" s="11" t="s">
        <v>28</v>
      </c>
      <c r="F4826" s="10" t="s">
        <v>28</v>
      </c>
      <c r="G4826" s="10">
        <v>2.25</v>
      </c>
      <c r="H4826" s="10" t="s">
        <v>28</v>
      </c>
      <c r="I4826" s="11" t="s">
        <v>28</v>
      </c>
      <c r="J4826" s="11" t="s">
        <v>28</v>
      </c>
      <c r="K4826" s="11" t="s">
        <v>28</v>
      </c>
      <c r="L4826" s="11" t="s">
        <v>28</v>
      </c>
      <c r="M4826" s="11" t="s">
        <v>28</v>
      </c>
      <c r="N4826" s="8">
        <v>44340</v>
      </c>
      <c r="O4826" s="9" t="s">
        <v>79</v>
      </c>
      <c r="P4826" s="12" t="s">
        <v>15396</v>
      </c>
      <c r="Q4826" s="9" t="s">
        <v>75</v>
      </c>
      <c r="R4826" s="14" t="str">
        <f>HYPERLINK("https://my.pitchbook.com?c=172921-96T","View Company Online")</f>
        <v>View Company Online</v>
      </c>
    </row>
    <row r="4827" spans="1:18" hidden="1" x14ac:dyDescent="0.3">
      <c r="A4827" s="15" t="s">
        <v>15397</v>
      </c>
      <c r="B4827" s="15" t="s">
        <v>3045</v>
      </c>
      <c r="C4827" s="18" t="s">
        <v>28</v>
      </c>
      <c r="D4827" s="15" t="s">
        <v>3046</v>
      </c>
      <c r="E4827" s="18" t="s">
        <v>28</v>
      </c>
      <c r="F4827" s="19" t="s">
        <v>28</v>
      </c>
      <c r="G4827" s="19">
        <v>1.3</v>
      </c>
      <c r="H4827" s="19" t="s">
        <v>28</v>
      </c>
      <c r="I4827" s="18" t="s">
        <v>28</v>
      </c>
      <c r="J4827" s="18" t="s">
        <v>28</v>
      </c>
      <c r="K4827" s="18" t="s">
        <v>28</v>
      </c>
      <c r="L4827" s="18" t="s">
        <v>28</v>
      </c>
      <c r="M4827" s="18" t="s">
        <v>28</v>
      </c>
      <c r="N4827" s="17">
        <v>44340</v>
      </c>
      <c r="O4827" s="15" t="s">
        <v>99</v>
      </c>
      <c r="P4827" s="16" t="s">
        <v>15398</v>
      </c>
      <c r="Q4827" s="15" t="s">
        <v>3048</v>
      </c>
      <c r="R4827" s="13" t="str">
        <f>HYPERLINK("https://my.pitchbook.com?c=173011-24T","View Company Online")</f>
        <v>View Company Online</v>
      </c>
    </row>
    <row r="4828" spans="1:18" hidden="1" x14ac:dyDescent="0.3">
      <c r="A4828" s="9" t="s">
        <v>15399</v>
      </c>
      <c r="B4828" s="9" t="s">
        <v>118</v>
      </c>
      <c r="C4828" s="11" t="s">
        <v>28</v>
      </c>
      <c r="D4828" s="9" t="s">
        <v>444</v>
      </c>
      <c r="E4828" s="11">
        <v>6.41</v>
      </c>
      <c r="F4828" s="10" t="s">
        <v>28</v>
      </c>
      <c r="G4828" s="10" t="s">
        <v>28</v>
      </c>
      <c r="H4828" s="10" t="s">
        <v>28</v>
      </c>
      <c r="I4828" s="11">
        <v>6.41</v>
      </c>
      <c r="J4828" s="11" t="s">
        <v>28</v>
      </c>
      <c r="K4828" s="11">
        <v>3.9</v>
      </c>
      <c r="L4828" s="11" t="s">
        <v>28</v>
      </c>
      <c r="M4828" s="11">
        <v>6.4</v>
      </c>
      <c r="N4828" s="8">
        <v>44340</v>
      </c>
      <c r="O4828" s="9" t="s">
        <v>173</v>
      </c>
      <c r="P4828" s="12" t="s">
        <v>28</v>
      </c>
      <c r="Q4828" s="9" t="s">
        <v>240</v>
      </c>
      <c r="R4828" s="14" t="str">
        <f>HYPERLINK("https://my.pitchbook.com?c=226404-46T","View Company Online")</f>
        <v>View Company Online</v>
      </c>
    </row>
    <row r="4829" spans="1:18" hidden="1" x14ac:dyDescent="0.3">
      <c r="A4829" s="15" t="s">
        <v>15400</v>
      </c>
      <c r="B4829" s="15" t="s">
        <v>15401</v>
      </c>
      <c r="C4829" s="18" t="s">
        <v>28</v>
      </c>
      <c r="D4829" s="15" t="s">
        <v>15402</v>
      </c>
      <c r="E4829" s="18" t="s">
        <v>28</v>
      </c>
      <c r="F4829" s="19" t="s">
        <v>28</v>
      </c>
      <c r="G4829" s="19">
        <v>0.94</v>
      </c>
      <c r="H4829" s="19" t="s">
        <v>28</v>
      </c>
      <c r="I4829" s="18" t="s">
        <v>28</v>
      </c>
      <c r="J4829" s="18" t="s">
        <v>28</v>
      </c>
      <c r="K4829" s="18" t="s">
        <v>28</v>
      </c>
      <c r="L4829" s="18" t="s">
        <v>28</v>
      </c>
      <c r="M4829" s="18" t="s">
        <v>28</v>
      </c>
      <c r="N4829" s="17">
        <v>44340</v>
      </c>
      <c r="O4829" s="15" t="s">
        <v>79</v>
      </c>
      <c r="P4829" s="16" t="s">
        <v>3000</v>
      </c>
      <c r="Q4829" s="15" t="s">
        <v>855</v>
      </c>
      <c r="R4829" s="13" t="str">
        <f>HYPERLINK("https://my.pitchbook.com?c=175985-29T","View Company Online")</f>
        <v>View Company Online</v>
      </c>
    </row>
    <row r="4830" spans="1:18" hidden="1" x14ac:dyDescent="0.3">
      <c r="A4830" s="9" t="s">
        <v>15403</v>
      </c>
      <c r="B4830" s="9" t="s">
        <v>15404</v>
      </c>
      <c r="C4830" s="11" t="s">
        <v>28</v>
      </c>
      <c r="D4830" s="9" t="s">
        <v>15405</v>
      </c>
      <c r="E4830" s="11" t="s">
        <v>28</v>
      </c>
      <c r="F4830" s="10" t="s">
        <v>28</v>
      </c>
      <c r="G4830" s="10">
        <v>18.73</v>
      </c>
      <c r="H4830" s="10" t="s">
        <v>28</v>
      </c>
      <c r="I4830" s="11" t="s">
        <v>28</v>
      </c>
      <c r="J4830" s="11" t="s">
        <v>28</v>
      </c>
      <c r="K4830" s="11">
        <v>8.15</v>
      </c>
      <c r="L4830" s="11" t="s">
        <v>28</v>
      </c>
      <c r="M4830" s="11" t="s">
        <v>28</v>
      </c>
      <c r="N4830" s="8">
        <v>44340</v>
      </c>
      <c r="O4830" s="9" t="s">
        <v>73</v>
      </c>
      <c r="P4830" s="12" t="s">
        <v>15406</v>
      </c>
      <c r="Q4830" s="9" t="s">
        <v>85</v>
      </c>
      <c r="R4830" s="14" t="str">
        <f>HYPERLINK("https://my.pitchbook.com?c=172682-38T","View Company Online")</f>
        <v>View Company Online</v>
      </c>
    </row>
    <row r="4831" spans="1:18" hidden="1" x14ac:dyDescent="0.3">
      <c r="A4831" s="15" t="s">
        <v>15407</v>
      </c>
      <c r="B4831" s="15" t="s">
        <v>4778</v>
      </c>
      <c r="C4831" s="18" t="s">
        <v>28</v>
      </c>
      <c r="D4831" s="15" t="s">
        <v>4779</v>
      </c>
      <c r="E4831" s="18" t="s">
        <v>28</v>
      </c>
      <c r="F4831" s="19" t="s">
        <v>28</v>
      </c>
      <c r="G4831" s="19">
        <v>0.19</v>
      </c>
      <c r="H4831" s="19" t="s">
        <v>28</v>
      </c>
      <c r="I4831" s="18" t="s">
        <v>28</v>
      </c>
      <c r="J4831" s="18" t="s">
        <v>28</v>
      </c>
      <c r="K4831" s="18" t="s">
        <v>28</v>
      </c>
      <c r="L4831" s="18" t="s">
        <v>28</v>
      </c>
      <c r="M4831" s="18" t="s">
        <v>28</v>
      </c>
      <c r="N4831" s="17">
        <v>44339</v>
      </c>
      <c r="O4831" s="15" t="s">
        <v>73</v>
      </c>
      <c r="P4831" s="16" t="s">
        <v>15408</v>
      </c>
      <c r="Q4831" s="15" t="s">
        <v>4710</v>
      </c>
      <c r="R4831" s="13" t="str">
        <f>HYPERLINK("https://my.pitchbook.com?c=172632-79T","View Company Online")</f>
        <v>View Company Online</v>
      </c>
    </row>
    <row r="4832" spans="1:18" hidden="1" x14ac:dyDescent="0.3">
      <c r="A4832" s="9" t="s">
        <v>15409</v>
      </c>
      <c r="B4832" s="9" t="s">
        <v>279</v>
      </c>
      <c r="C4832" s="11" t="s">
        <v>28</v>
      </c>
      <c r="D4832" s="9" t="s">
        <v>2280</v>
      </c>
      <c r="E4832" s="11">
        <v>611.88</v>
      </c>
      <c r="F4832" s="10" t="s">
        <v>28</v>
      </c>
      <c r="G4832" s="10">
        <v>1000</v>
      </c>
      <c r="H4832" s="10">
        <v>4166.67</v>
      </c>
      <c r="I4832" s="11">
        <v>1071.44</v>
      </c>
      <c r="J4832" s="11">
        <v>3.89</v>
      </c>
      <c r="K4832" s="11">
        <v>7606.15</v>
      </c>
      <c r="L4832" s="11">
        <v>0.55000000000000004</v>
      </c>
      <c r="M4832" s="11">
        <v>293.95</v>
      </c>
      <c r="N4832" s="8">
        <v>44337</v>
      </c>
      <c r="O4832" s="9" t="s">
        <v>159</v>
      </c>
      <c r="P4832" s="12" t="s">
        <v>2281</v>
      </c>
      <c r="Q4832" s="9" t="s">
        <v>136</v>
      </c>
      <c r="R4832" s="14" t="str">
        <f>HYPERLINK("https://my.pitchbook.com?c=184600-99T","View Company Online")</f>
        <v>View Company Online</v>
      </c>
    </row>
    <row r="4833" spans="1:18" hidden="1" x14ac:dyDescent="0.3">
      <c r="A4833" s="15" t="s">
        <v>15410</v>
      </c>
      <c r="B4833" s="15" t="s">
        <v>15411</v>
      </c>
      <c r="C4833" s="18" t="s">
        <v>28</v>
      </c>
      <c r="D4833" s="15" t="s">
        <v>15412</v>
      </c>
      <c r="E4833" s="18">
        <v>52.87</v>
      </c>
      <c r="F4833" s="19" t="s">
        <v>28</v>
      </c>
      <c r="G4833" s="19" t="s">
        <v>28</v>
      </c>
      <c r="H4833" s="19" t="s">
        <v>28</v>
      </c>
      <c r="I4833" s="18">
        <v>58.74</v>
      </c>
      <c r="J4833" s="18" t="s">
        <v>28</v>
      </c>
      <c r="K4833" s="18">
        <v>456.87</v>
      </c>
      <c r="L4833" s="18" t="s">
        <v>28</v>
      </c>
      <c r="M4833" s="18">
        <v>40.630000000000003</v>
      </c>
      <c r="N4833" s="17">
        <v>44337</v>
      </c>
      <c r="O4833" s="15" t="s">
        <v>159</v>
      </c>
      <c r="P4833" s="16" t="s">
        <v>15413</v>
      </c>
      <c r="Q4833" s="15" t="s">
        <v>299</v>
      </c>
      <c r="R4833" s="13" t="str">
        <f>HYPERLINK("https://my.pitchbook.com?c=172921-06T","View Company Online")</f>
        <v>View Company Online</v>
      </c>
    </row>
    <row r="4834" spans="1:18" hidden="1" x14ac:dyDescent="0.3">
      <c r="A4834" s="9" t="s">
        <v>15414</v>
      </c>
      <c r="B4834" s="9" t="s">
        <v>9592</v>
      </c>
      <c r="C4834" s="11" t="s">
        <v>28</v>
      </c>
      <c r="D4834" s="9" t="s">
        <v>9593</v>
      </c>
      <c r="E4834" s="11" t="s">
        <v>28</v>
      </c>
      <c r="F4834" s="10" t="s">
        <v>28</v>
      </c>
      <c r="G4834" s="10" t="s">
        <v>28</v>
      </c>
      <c r="H4834" s="10" t="s">
        <v>28</v>
      </c>
      <c r="I4834" s="11" t="s">
        <v>28</v>
      </c>
      <c r="J4834" s="11" t="s">
        <v>28</v>
      </c>
      <c r="K4834" s="11">
        <v>0.16</v>
      </c>
      <c r="L4834" s="11" t="s">
        <v>28</v>
      </c>
      <c r="M4834" s="11" t="s">
        <v>28</v>
      </c>
      <c r="N4834" s="8">
        <v>44337</v>
      </c>
      <c r="O4834" s="9" t="s">
        <v>99</v>
      </c>
      <c r="P4834" s="12" t="s">
        <v>611</v>
      </c>
      <c r="Q4834" s="9" t="s">
        <v>583</v>
      </c>
      <c r="R4834" s="14" t="str">
        <f>HYPERLINK("https://my.pitchbook.com?c=194455-54T","View Company Online")</f>
        <v>View Company Online</v>
      </c>
    </row>
    <row r="4835" spans="1:18" hidden="1" x14ac:dyDescent="0.3">
      <c r="A4835" s="15" t="s">
        <v>15415</v>
      </c>
      <c r="B4835" s="15" t="s">
        <v>7867</v>
      </c>
      <c r="C4835" s="18" t="s">
        <v>28</v>
      </c>
      <c r="D4835" s="15" t="s">
        <v>7868</v>
      </c>
      <c r="E4835" s="18" t="s">
        <v>28</v>
      </c>
      <c r="F4835" s="19" t="s">
        <v>28</v>
      </c>
      <c r="G4835" s="19">
        <v>2.8</v>
      </c>
      <c r="H4835" s="19" t="s">
        <v>28</v>
      </c>
      <c r="I4835" s="18" t="s">
        <v>28</v>
      </c>
      <c r="J4835" s="18" t="s">
        <v>28</v>
      </c>
      <c r="K4835" s="18">
        <v>1.3</v>
      </c>
      <c r="L4835" s="18" t="s">
        <v>28</v>
      </c>
      <c r="M4835" s="18" t="s">
        <v>28</v>
      </c>
      <c r="N4835" s="17">
        <v>44337</v>
      </c>
      <c r="O4835" s="15" t="s">
        <v>79</v>
      </c>
      <c r="P4835" s="16" t="s">
        <v>15416</v>
      </c>
      <c r="Q4835" s="15" t="s">
        <v>75</v>
      </c>
      <c r="R4835" s="13" t="str">
        <f>HYPERLINK("https://my.pitchbook.com?c=172594-18T","View Company Online")</f>
        <v>View Company Online</v>
      </c>
    </row>
    <row r="4836" spans="1:18" hidden="1" x14ac:dyDescent="0.3">
      <c r="A4836" s="9" t="s">
        <v>15417</v>
      </c>
      <c r="B4836" s="9" t="s">
        <v>15418</v>
      </c>
      <c r="C4836" s="11" t="s">
        <v>28</v>
      </c>
      <c r="D4836" s="9" t="s">
        <v>15419</v>
      </c>
      <c r="E4836" s="11" t="s">
        <v>28</v>
      </c>
      <c r="F4836" s="10" t="s">
        <v>28</v>
      </c>
      <c r="G4836" s="10" t="s">
        <v>28</v>
      </c>
      <c r="H4836" s="10" t="s">
        <v>28</v>
      </c>
      <c r="I4836" s="11" t="s">
        <v>28</v>
      </c>
      <c r="J4836" s="11" t="s">
        <v>28</v>
      </c>
      <c r="K4836" s="11" t="s">
        <v>28</v>
      </c>
      <c r="L4836" s="11" t="s">
        <v>28</v>
      </c>
      <c r="M4836" s="11" t="s">
        <v>28</v>
      </c>
      <c r="N4836" s="8">
        <v>44336</v>
      </c>
      <c r="O4836" s="9" t="s">
        <v>30</v>
      </c>
      <c r="P4836" s="12" t="s">
        <v>457</v>
      </c>
      <c r="Q4836" s="9" t="s">
        <v>1853</v>
      </c>
      <c r="R4836" s="14" t="str">
        <f>HYPERLINK("https://my.pitchbook.com?c=213164-47T","View Company Online")</f>
        <v>View Company Online</v>
      </c>
    </row>
    <row r="4837" spans="1:18" hidden="1" x14ac:dyDescent="0.3">
      <c r="A4837" s="15" t="s">
        <v>15420</v>
      </c>
      <c r="B4837" s="15" t="s">
        <v>15421</v>
      </c>
      <c r="C4837" s="18" t="s">
        <v>28</v>
      </c>
      <c r="D4837" s="15" t="s">
        <v>15422</v>
      </c>
      <c r="E4837" s="18" t="s">
        <v>28</v>
      </c>
      <c r="F4837" s="19" t="s">
        <v>28</v>
      </c>
      <c r="G4837" s="19">
        <v>1.93</v>
      </c>
      <c r="H4837" s="19">
        <v>15.03</v>
      </c>
      <c r="I4837" s="18" t="s">
        <v>28</v>
      </c>
      <c r="J4837" s="18" t="s">
        <v>28</v>
      </c>
      <c r="K4837" s="18">
        <v>0.91</v>
      </c>
      <c r="L4837" s="18">
        <v>16.53</v>
      </c>
      <c r="M4837" s="18" t="s">
        <v>28</v>
      </c>
      <c r="N4837" s="17">
        <v>44336</v>
      </c>
      <c r="O4837" s="15" t="s">
        <v>1639</v>
      </c>
      <c r="P4837" s="16" t="s">
        <v>28</v>
      </c>
      <c r="Q4837" s="15" t="s">
        <v>75</v>
      </c>
      <c r="R4837" s="13" t="str">
        <f>HYPERLINK("https://my.pitchbook.com?c=171759-61T","View Company Online")</f>
        <v>View Company Online</v>
      </c>
    </row>
    <row r="4838" spans="1:18" hidden="1" x14ac:dyDescent="0.3">
      <c r="A4838" s="9" t="s">
        <v>15423</v>
      </c>
      <c r="B4838" s="9" t="s">
        <v>8578</v>
      </c>
      <c r="C4838" s="11" t="s">
        <v>28</v>
      </c>
      <c r="D4838" s="9" t="s">
        <v>15424</v>
      </c>
      <c r="E4838" s="11" t="s">
        <v>28</v>
      </c>
      <c r="F4838" s="10" t="s">
        <v>28</v>
      </c>
      <c r="G4838" s="10" t="s">
        <v>28</v>
      </c>
      <c r="H4838" s="10" t="s">
        <v>28</v>
      </c>
      <c r="I4838" s="11" t="s">
        <v>28</v>
      </c>
      <c r="J4838" s="11" t="s">
        <v>28</v>
      </c>
      <c r="K4838" s="11" t="s">
        <v>28</v>
      </c>
      <c r="L4838" s="11" t="s">
        <v>28</v>
      </c>
      <c r="M4838" s="11" t="s">
        <v>28</v>
      </c>
      <c r="N4838" s="8">
        <v>44336</v>
      </c>
      <c r="O4838" s="9" t="s">
        <v>173</v>
      </c>
      <c r="P4838" s="12" t="s">
        <v>28</v>
      </c>
      <c r="Q4838" s="9" t="s">
        <v>607</v>
      </c>
      <c r="R4838" s="14" t="str">
        <f>HYPERLINK("https://my.pitchbook.com?c=172641-43T","View Company Online")</f>
        <v>View Company Online</v>
      </c>
    </row>
    <row r="4839" spans="1:18" hidden="1" x14ac:dyDescent="0.3">
      <c r="A4839" s="15" t="s">
        <v>15425</v>
      </c>
      <c r="B4839" s="15" t="s">
        <v>15426</v>
      </c>
      <c r="C4839" s="18" t="s">
        <v>28</v>
      </c>
      <c r="D4839" s="15" t="s">
        <v>15427</v>
      </c>
      <c r="E4839" s="18" t="s">
        <v>28</v>
      </c>
      <c r="F4839" s="19" t="s">
        <v>28</v>
      </c>
      <c r="G4839" s="19" t="s">
        <v>28</v>
      </c>
      <c r="H4839" s="19" t="s">
        <v>28</v>
      </c>
      <c r="I4839" s="18" t="s">
        <v>28</v>
      </c>
      <c r="J4839" s="18" t="s">
        <v>28</v>
      </c>
      <c r="K4839" s="18" t="s">
        <v>28</v>
      </c>
      <c r="L4839" s="18" t="s">
        <v>28</v>
      </c>
      <c r="M4839" s="18" t="s">
        <v>28</v>
      </c>
      <c r="N4839" s="17">
        <v>44335</v>
      </c>
      <c r="O4839" s="15" t="s">
        <v>73</v>
      </c>
      <c r="P4839" s="16" t="s">
        <v>15428</v>
      </c>
      <c r="Q4839" s="15" t="s">
        <v>583</v>
      </c>
      <c r="R4839" s="13" t="str">
        <f>HYPERLINK("https://my.pitchbook.com?c=123762-34T","View Company Online")</f>
        <v>View Company Online</v>
      </c>
    </row>
    <row r="4840" spans="1:18" hidden="1" x14ac:dyDescent="0.3">
      <c r="A4840" s="9" t="s">
        <v>15429</v>
      </c>
      <c r="B4840" s="9" t="s">
        <v>15430</v>
      </c>
      <c r="C4840" s="11" t="s">
        <v>28</v>
      </c>
      <c r="D4840" s="9" t="s">
        <v>15431</v>
      </c>
      <c r="E4840" s="11" t="s">
        <v>28</v>
      </c>
      <c r="F4840" s="10" t="s">
        <v>28</v>
      </c>
      <c r="G4840" s="10">
        <v>0.45</v>
      </c>
      <c r="H4840" s="10" t="s">
        <v>28</v>
      </c>
      <c r="I4840" s="11" t="s">
        <v>28</v>
      </c>
      <c r="J4840" s="11" t="s">
        <v>28</v>
      </c>
      <c r="K4840" s="11" t="s">
        <v>28</v>
      </c>
      <c r="L4840" s="11" t="s">
        <v>28</v>
      </c>
      <c r="M4840" s="11" t="s">
        <v>28</v>
      </c>
      <c r="N4840" s="8">
        <v>44335</v>
      </c>
      <c r="O4840" s="9" t="s">
        <v>79</v>
      </c>
      <c r="P4840" s="12" t="s">
        <v>15432</v>
      </c>
      <c r="Q4840" s="9" t="s">
        <v>75</v>
      </c>
      <c r="R4840" s="14" t="str">
        <f>HYPERLINK("https://my.pitchbook.com?c=172453-87T","View Company Online")</f>
        <v>View Company Online</v>
      </c>
    </row>
    <row r="4841" spans="1:18" hidden="1" x14ac:dyDescent="0.3">
      <c r="A4841" s="15" t="s">
        <v>15433</v>
      </c>
      <c r="B4841" s="15" t="s">
        <v>15434</v>
      </c>
      <c r="C4841" s="18" t="s">
        <v>28</v>
      </c>
      <c r="D4841" s="15" t="s">
        <v>15435</v>
      </c>
      <c r="E4841" s="18" t="s">
        <v>28</v>
      </c>
      <c r="F4841" s="19" t="s">
        <v>28</v>
      </c>
      <c r="G4841" s="19" t="s">
        <v>28</v>
      </c>
      <c r="H4841" s="19" t="s">
        <v>28</v>
      </c>
      <c r="I4841" s="18" t="s">
        <v>28</v>
      </c>
      <c r="J4841" s="18" t="s">
        <v>28</v>
      </c>
      <c r="K4841" s="18" t="s">
        <v>28</v>
      </c>
      <c r="L4841" s="18" t="s">
        <v>28</v>
      </c>
      <c r="M4841" s="18" t="s">
        <v>28</v>
      </c>
      <c r="N4841" s="17">
        <v>44335</v>
      </c>
      <c r="O4841" s="15" t="s">
        <v>173</v>
      </c>
      <c r="P4841" s="16" t="s">
        <v>28</v>
      </c>
      <c r="Q4841" s="15" t="s">
        <v>240</v>
      </c>
      <c r="R4841" s="13" t="str">
        <f>HYPERLINK("https://my.pitchbook.com?c=192242-71T","View Company Online")</f>
        <v>View Company Online</v>
      </c>
    </row>
    <row r="4842" spans="1:18" hidden="1" x14ac:dyDescent="0.3">
      <c r="A4842" s="9" t="s">
        <v>15436</v>
      </c>
      <c r="B4842" s="9" t="s">
        <v>15437</v>
      </c>
      <c r="C4842" s="11" t="s">
        <v>28</v>
      </c>
      <c r="D4842" s="9" t="s">
        <v>15438</v>
      </c>
      <c r="E4842" s="11" t="s">
        <v>28</v>
      </c>
      <c r="F4842" s="10" t="s">
        <v>28</v>
      </c>
      <c r="G4842" s="10" t="s">
        <v>28</v>
      </c>
      <c r="H4842" s="10" t="s">
        <v>28</v>
      </c>
      <c r="I4842" s="11" t="s">
        <v>28</v>
      </c>
      <c r="J4842" s="11" t="s">
        <v>28</v>
      </c>
      <c r="K4842" s="11" t="s">
        <v>28</v>
      </c>
      <c r="L4842" s="11" t="s">
        <v>28</v>
      </c>
      <c r="M4842" s="11" t="s">
        <v>28</v>
      </c>
      <c r="N4842" s="8">
        <v>44335</v>
      </c>
      <c r="O4842" s="9" t="s">
        <v>30</v>
      </c>
      <c r="P4842" s="12" t="s">
        <v>15439</v>
      </c>
      <c r="Q4842" s="9" t="s">
        <v>692</v>
      </c>
      <c r="R4842" s="14" t="str">
        <f>HYPERLINK("https://my.pitchbook.com?c=223559-92T","View Company Online")</f>
        <v>View Company Online</v>
      </c>
    </row>
    <row r="4843" spans="1:18" hidden="1" x14ac:dyDescent="0.3">
      <c r="A4843" s="15" t="s">
        <v>15440</v>
      </c>
      <c r="B4843" s="15" t="s">
        <v>5785</v>
      </c>
      <c r="C4843" s="18" t="s">
        <v>28</v>
      </c>
      <c r="D4843" s="15" t="s">
        <v>12775</v>
      </c>
      <c r="E4843" s="18" t="s">
        <v>28</v>
      </c>
      <c r="F4843" s="19" t="s">
        <v>28</v>
      </c>
      <c r="G4843" s="19" t="s">
        <v>28</v>
      </c>
      <c r="H4843" s="19">
        <v>30000</v>
      </c>
      <c r="I4843" s="18" t="s">
        <v>28</v>
      </c>
      <c r="J4843" s="18" t="s">
        <v>28</v>
      </c>
      <c r="K4843" s="18">
        <v>522.92999999999995</v>
      </c>
      <c r="L4843" s="18">
        <v>57.37</v>
      </c>
      <c r="M4843" s="18">
        <v>-204.32</v>
      </c>
      <c r="N4843" s="17">
        <v>44334</v>
      </c>
      <c r="O4843" s="15" t="s">
        <v>79</v>
      </c>
      <c r="P4843" s="16" t="s">
        <v>15441</v>
      </c>
      <c r="Q4843" s="15" t="s">
        <v>1213</v>
      </c>
      <c r="R4843" s="13" t="str">
        <f>HYPERLINK("https://my.pitchbook.com?c=139114-00T","View Company Online")</f>
        <v>View Company Online</v>
      </c>
    </row>
    <row r="4844" spans="1:18" hidden="1" x14ac:dyDescent="0.3">
      <c r="A4844" s="9" t="s">
        <v>15442</v>
      </c>
      <c r="B4844" s="9" t="s">
        <v>9678</v>
      </c>
      <c r="C4844" s="11" t="s">
        <v>28</v>
      </c>
      <c r="D4844" s="9" t="s">
        <v>9679</v>
      </c>
      <c r="E4844" s="11" t="s">
        <v>28</v>
      </c>
      <c r="F4844" s="10" t="s">
        <v>28</v>
      </c>
      <c r="G4844" s="10">
        <v>1.26</v>
      </c>
      <c r="H4844" s="10" t="s">
        <v>28</v>
      </c>
      <c r="I4844" s="11" t="s">
        <v>28</v>
      </c>
      <c r="J4844" s="11" t="s">
        <v>28</v>
      </c>
      <c r="K4844" s="11" t="s">
        <v>28</v>
      </c>
      <c r="L4844" s="11" t="s">
        <v>28</v>
      </c>
      <c r="M4844" s="11" t="s">
        <v>28</v>
      </c>
      <c r="N4844" s="8">
        <v>44334</v>
      </c>
      <c r="O4844" s="9" t="s">
        <v>79</v>
      </c>
      <c r="P4844" s="12" t="s">
        <v>15443</v>
      </c>
      <c r="Q4844" s="9" t="s">
        <v>6513</v>
      </c>
      <c r="R4844" s="14" t="str">
        <f>HYPERLINK("https://my.pitchbook.com?c=181502-47T","View Company Online")</f>
        <v>View Company Online</v>
      </c>
    </row>
    <row r="4845" spans="1:18" hidden="1" x14ac:dyDescent="0.3">
      <c r="A4845" s="15" t="s">
        <v>15444</v>
      </c>
      <c r="B4845" s="15" t="s">
        <v>10836</v>
      </c>
      <c r="C4845" s="18" t="s">
        <v>28</v>
      </c>
      <c r="D4845" s="15" t="s">
        <v>10837</v>
      </c>
      <c r="E4845" s="18" t="s">
        <v>28</v>
      </c>
      <c r="F4845" s="19" t="s">
        <v>28</v>
      </c>
      <c r="G4845" s="19" t="s">
        <v>28</v>
      </c>
      <c r="H4845" s="19" t="s">
        <v>28</v>
      </c>
      <c r="I4845" s="18" t="s">
        <v>28</v>
      </c>
      <c r="J4845" s="18" t="s">
        <v>28</v>
      </c>
      <c r="K4845" s="18" t="s">
        <v>28</v>
      </c>
      <c r="L4845" s="18" t="s">
        <v>28</v>
      </c>
      <c r="M4845" s="18" t="s">
        <v>28</v>
      </c>
      <c r="N4845" s="17">
        <v>44333</v>
      </c>
      <c r="O4845" s="15" t="s">
        <v>73</v>
      </c>
      <c r="P4845" s="16" t="s">
        <v>15445</v>
      </c>
      <c r="Q4845" s="15" t="s">
        <v>75</v>
      </c>
      <c r="R4845" s="13" t="str">
        <f>HYPERLINK("https://my.pitchbook.com?c=224077-51T","View Company Online")</f>
        <v>View Company Online</v>
      </c>
    </row>
    <row r="4846" spans="1:18" hidden="1" x14ac:dyDescent="0.3">
      <c r="A4846" s="9" t="s">
        <v>15446</v>
      </c>
      <c r="B4846" s="9" t="s">
        <v>4870</v>
      </c>
      <c r="C4846" s="11" t="s">
        <v>28</v>
      </c>
      <c r="D4846" s="9" t="s">
        <v>4871</v>
      </c>
      <c r="E4846" s="11" t="s">
        <v>28</v>
      </c>
      <c r="F4846" s="10" t="s">
        <v>28</v>
      </c>
      <c r="G4846" s="10">
        <v>92.67</v>
      </c>
      <c r="H4846" s="10" t="s">
        <v>28</v>
      </c>
      <c r="I4846" s="11" t="s">
        <v>28</v>
      </c>
      <c r="J4846" s="11" t="s">
        <v>28</v>
      </c>
      <c r="K4846" s="11" t="s">
        <v>28</v>
      </c>
      <c r="L4846" s="11" t="s">
        <v>28</v>
      </c>
      <c r="M4846" s="11" t="s">
        <v>28</v>
      </c>
      <c r="N4846" s="8">
        <v>44333</v>
      </c>
      <c r="O4846" s="9" t="s">
        <v>58</v>
      </c>
      <c r="P4846" s="12" t="s">
        <v>28</v>
      </c>
      <c r="Q4846" s="9" t="s">
        <v>424</v>
      </c>
      <c r="R4846" s="14" t="str">
        <f>HYPERLINK("https://my.pitchbook.com?c=172283-50T","View Company Online")</f>
        <v>View Company Online</v>
      </c>
    </row>
    <row r="4847" spans="1:18" hidden="1" x14ac:dyDescent="0.3">
      <c r="A4847" s="15" t="s">
        <v>15447</v>
      </c>
      <c r="B4847" s="15" t="s">
        <v>239</v>
      </c>
      <c r="C4847" s="18" t="s">
        <v>28</v>
      </c>
      <c r="D4847" s="15" t="s">
        <v>4519</v>
      </c>
      <c r="E4847" s="18">
        <v>-1.21</v>
      </c>
      <c r="F4847" s="19" t="s">
        <v>28</v>
      </c>
      <c r="G4847" s="19">
        <v>89.34</v>
      </c>
      <c r="H4847" s="19">
        <v>186.18</v>
      </c>
      <c r="I4847" s="18" t="s">
        <v>28</v>
      </c>
      <c r="J4847" s="18" t="s">
        <v>28</v>
      </c>
      <c r="K4847" s="18">
        <v>8.57</v>
      </c>
      <c r="L4847" s="18">
        <v>21.74</v>
      </c>
      <c r="M4847" s="18">
        <v>-1.23</v>
      </c>
      <c r="N4847" s="17">
        <v>44333</v>
      </c>
      <c r="O4847" s="15" t="s">
        <v>173</v>
      </c>
      <c r="P4847" s="16" t="s">
        <v>28</v>
      </c>
      <c r="Q4847" s="15" t="s">
        <v>95</v>
      </c>
      <c r="R4847" s="13" t="str">
        <f>HYPERLINK("https://my.pitchbook.com?c=172480-60T","View Company Online")</f>
        <v>View Company Online</v>
      </c>
    </row>
    <row r="4848" spans="1:18" hidden="1" x14ac:dyDescent="0.3">
      <c r="A4848" s="9" t="s">
        <v>15448</v>
      </c>
      <c r="B4848" s="9" t="s">
        <v>15449</v>
      </c>
      <c r="C4848" s="11" t="s">
        <v>28</v>
      </c>
      <c r="D4848" s="9" t="s">
        <v>15450</v>
      </c>
      <c r="E4848" s="11" t="s">
        <v>28</v>
      </c>
      <c r="F4848" s="10" t="s">
        <v>28</v>
      </c>
      <c r="G4848" s="10" t="s">
        <v>28</v>
      </c>
      <c r="H4848" s="10" t="s">
        <v>28</v>
      </c>
      <c r="I4848" s="11" t="s">
        <v>28</v>
      </c>
      <c r="J4848" s="11" t="s">
        <v>28</v>
      </c>
      <c r="K4848" s="11" t="s">
        <v>28</v>
      </c>
      <c r="L4848" s="11" t="s">
        <v>28</v>
      </c>
      <c r="M4848" s="11" t="s">
        <v>28</v>
      </c>
      <c r="N4848" s="8">
        <v>44333</v>
      </c>
      <c r="O4848" s="9" t="s">
        <v>30</v>
      </c>
      <c r="P4848" s="12" t="s">
        <v>15451</v>
      </c>
      <c r="Q4848" s="9" t="s">
        <v>316</v>
      </c>
      <c r="R4848" s="14" t="str">
        <f>HYPERLINK("https://my.pitchbook.com?c=172711-81T","View Company Online")</f>
        <v>View Company Online</v>
      </c>
    </row>
    <row r="4849" spans="1:18" hidden="1" x14ac:dyDescent="0.3">
      <c r="A4849" s="15" t="s">
        <v>15452</v>
      </c>
      <c r="B4849" s="15" t="s">
        <v>15453</v>
      </c>
      <c r="C4849" s="18" t="s">
        <v>28</v>
      </c>
      <c r="D4849" s="15" t="s">
        <v>15454</v>
      </c>
      <c r="E4849" s="18" t="s">
        <v>28</v>
      </c>
      <c r="F4849" s="19" t="s">
        <v>28</v>
      </c>
      <c r="G4849" s="19" t="s">
        <v>28</v>
      </c>
      <c r="H4849" s="19" t="s">
        <v>28</v>
      </c>
      <c r="I4849" s="18" t="s">
        <v>28</v>
      </c>
      <c r="J4849" s="18" t="s">
        <v>28</v>
      </c>
      <c r="K4849" s="18" t="s">
        <v>28</v>
      </c>
      <c r="L4849" s="18" t="s">
        <v>28</v>
      </c>
      <c r="M4849" s="18" t="s">
        <v>28</v>
      </c>
      <c r="N4849" s="17">
        <v>44330</v>
      </c>
      <c r="O4849" s="15" t="s">
        <v>30</v>
      </c>
      <c r="P4849" s="16" t="s">
        <v>15455</v>
      </c>
      <c r="Q4849" s="15" t="s">
        <v>348</v>
      </c>
      <c r="R4849" s="13" t="str">
        <f>HYPERLINK("https://my.pitchbook.com?c=286389-82T","View Company Online")</f>
        <v>View Company Online</v>
      </c>
    </row>
    <row r="4850" spans="1:18" hidden="1" x14ac:dyDescent="0.3">
      <c r="A4850" s="9" t="s">
        <v>15456</v>
      </c>
      <c r="B4850" s="9" t="s">
        <v>3667</v>
      </c>
      <c r="C4850" s="11" t="s">
        <v>28</v>
      </c>
      <c r="D4850" s="9" t="s">
        <v>3668</v>
      </c>
      <c r="E4850" s="11" t="s">
        <v>28</v>
      </c>
      <c r="F4850" s="10" t="s">
        <v>28</v>
      </c>
      <c r="G4850" s="10">
        <v>1.5</v>
      </c>
      <c r="H4850" s="10" t="s">
        <v>28</v>
      </c>
      <c r="I4850" s="11" t="s">
        <v>28</v>
      </c>
      <c r="J4850" s="11" t="s">
        <v>28</v>
      </c>
      <c r="K4850" s="11" t="s">
        <v>28</v>
      </c>
      <c r="L4850" s="11" t="s">
        <v>28</v>
      </c>
      <c r="M4850" s="11" t="s">
        <v>28</v>
      </c>
      <c r="N4850" s="8">
        <v>44330</v>
      </c>
      <c r="O4850" s="9" t="s">
        <v>99</v>
      </c>
      <c r="P4850" s="12" t="s">
        <v>15457</v>
      </c>
      <c r="Q4850" s="9" t="s">
        <v>75</v>
      </c>
      <c r="R4850" s="14" t="str">
        <f>HYPERLINK("https://my.pitchbook.com?c=177086-44T","View Company Online")</f>
        <v>View Company Online</v>
      </c>
    </row>
    <row r="4851" spans="1:18" hidden="1" x14ac:dyDescent="0.3">
      <c r="A4851" s="15" t="s">
        <v>15458</v>
      </c>
      <c r="B4851" s="15" t="s">
        <v>15459</v>
      </c>
      <c r="C4851" s="18" t="s">
        <v>28</v>
      </c>
      <c r="D4851" s="15" t="s">
        <v>15460</v>
      </c>
      <c r="E4851" s="18" t="s">
        <v>28</v>
      </c>
      <c r="F4851" s="19" t="s">
        <v>28</v>
      </c>
      <c r="G4851" s="19" t="s">
        <v>28</v>
      </c>
      <c r="H4851" s="19">
        <v>0.74</v>
      </c>
      <c r="I4851" s="18" t="s">
        <v>28</v>
      </c>
      <c r="J4851" s="18" t="s">
        <v>28</v>
      </c>
      <c r="K4851" s="18" t="s">
        <v>28</v>
      </c>
      <c r="L4851" s="18" t="s">
        <v>28</v>
      </c>
      <c r="M4851" s="18" t="s">
        <v>28</v>
      </c>
      <c r="N4851" s="17">
        <v>44330</v>
      </c>
      <c r="O4851" s="15" t="s">
        <v>379</v>
      </c>
      <c r="P4851" s="16" t="s">
        <v>15461</v>
      </c>
      <c r="Q4851" s="15" t="s">
        <v>37</v>
      </c>
      <c r="R4851" s="13" t="str">
        <f>HYPERLINK("https://my.pitchbook.com?c=254583-91T","View Company Online")</f>
        <v>View Company Online</v>
      </c>
    </row>
    <row r="4852" spans="1:18" hidden="1" x14ac:dyDescent="0.3">
      <c r="A4852" s="9" t="s">
        <v>15462</v>
      </c>
      <c r="B4852" s="9" t="s">
        <v>10725</v>
      </c>
      <c r="C4852" s="11" t="s">
        <v>28</v>
      </c>
      <c r="D4852" s="9" t="s">
        <v>10726</v>
      </c>
      <c r="E4852" s="11" t="s">
        <v>28</v>
      </c>
      <c r="F4852" s="10" t="s">
        <v>28</v>
      </c>
      <c r="G4852" s="10">
        <v>1.84</v>
      </c>
      <c r="H4852" s="10" t="s">
        <v>28</v>
      </c>
      <c r="I4852" s="11" t="s">
        <v>28</v>
      </c>
      <c r="J4852" s="11" t="s">
        <v>28</v>
      </c>
      <c r="K4852" s="11">
        <v>9.6999999999999993</v>
      </c>
      <c r="L4852" s="11" t="s">
        <v>28</v>
      </c>
      <c r="M4852" s="11" t="s">
        <v>28</v>
      </c>
      <c r="N4852" s="8">
        <v>44329</v>
      </c>
      <c r="O4852" s="9" t="s">
        <v>73</v>
      </c>
      <c r="P4852" s="12" t="s">
        <v>15463</v>
      </c>
      <c r="Q4852" s="9" t="s">
        <v>75</v>
      </c>
      <c r="R4852" s="14" t="str">
        <f>HYPERLINK("https://my.pitchbook.com?c=179881-75T","View Company Online")</f>
        <v>View Company Online</v>
      </c>
    </row>
    <row r="4853" spans="1:18" hidden="1" x14ac:dyDescent="0.3">
      <c r="A4853" s="15" t="s">
        <v>15464</v>
      </c>
      <c r="B4853" s="15" t="s">
        <v>15465</v>
      </c>
      <c r="C4853" s="18" t="s">
        <v>28</v>
      </c>
      <c r="D4853" s="15" t="s">
        <v>15466</v>
      </c>
      <c r="E4853" s="18" t="s">
        <v>28</v>
      </c>
      <c r="F4853" s="19">
        <v>0.37</v>
      </c>
      <c r="G4853" s="19">
        <v>0.37</v>
      </c>
      <c r="H4853" s="19">
        <v>0.37</v>
      </c>
      <c r="I4853" s="18" t="s">
        <v>28</v>
      </c>
      <c r="J4853" s="18" t="s">
        <v>28</v>
      </c>
      <c r="K4853" s="18" t="s">
        <v>28</v>
      </c>
      <c r="L4853" s="18" t="s">
        <v>28</v>
      </c>
      <c r="M4853" s="18" t="s">
        <v>28</v>
      </c>
      <c r="N4853" s="17">
        <v>44329</v>
      </c>
      <c r="O4853" s="15" t="s">
        <v>30</v>
      </c>
      <c r="P4853" s="16" t="s">
        <v>3052</v>
      </c>
      <c r="Q4853" s="15" t="s">
        <v>245</v>
      </c>
      <c r="R4853" s="13" t="str">
        <f>HYPERLINK("https://my.pitchbook.com?c=209199-97T","View Company Online")</f>
        <v>View Company Online</v>
      </c>
    </row>
    <row r="4854" spans="1:18" hidden="1" x14ac:dyDescent="0.3">
      <c r="A4854" s="9" t="s">
        <v>15467</v>
      </c>
      <c r="B4854" s="9" t="s">
        <v>15468</v>
      </c>
      <c r="C4854" s="11" t="s">
        <v>28</v>
      </c>
      <c r="D4854" s="9" t="s">
        <v>15469</v>
      </c>
      <c r="E4854" s="11" t="s">
        <v>28</v>
      </c>
      <c r="F4854" s="10" t="s">
        <v>28</v>
      </c>
      <c r="G4854" s="10" t="s">
        <v>28</v>
      </c>
      <c r="H4854" s="10" t="s">
        <v>28</v>
      </c>
      <c r="I4854" s="11" t="s">
        <v>28</v>
      </c>
      <c r="J4854" s="11" t="s">
        <v>28</v>
      </c>
      <c r="K4854" s="11" t="s">
        <v>28</v>
      </c>
      <c r="L4854" s="11" t="s">
        <v>28</v>
      </c>
      <c r="M4854" s="11" t="s">
        <v>28</v>
      </c>
      <c r="N4854" s="8">
        <v>44329</v>
      </c>
      <c r="O4854" s="9" t="s">
        <v>99</v>
      </c>
      <c r="P4854" s="12" t="s">
        <v>15470</v>
      </c>
      <c r="Q4854" s="9" t="s">
        <v>75</v>
      </c>
      <c r="R4854" s="14" t="str">
        <f>HYPERLINK("https://my.pitchbook.com?c=182692-90T","View Company Online")</f>
        <v>View Company Online</v>
      </c>
    </row>
    <row r="4855" spans="1:18" hidden="1" x14ac:dyDescent="0.3">
      <c r="A4855" s="15" t="s">
        <v>15471</v>
      </c>
      <c r="B4855" s="15" t="s">
        <v>15472</v>
      </c>
      <c r="C4855" s="18" t="s">
        <v>28</v>
      </c>
      <c r="D4855" s="15" t="s">
        <v>15473</v>
      </c>
      <c r="E4855" s="18" t="s">
        <v>28</v>
      </c>
      <c r="F4855" s="19">
        <v>1.89</v>
      </c>
      <c r="G4855" s="19">
        <v>1.89</v>
      </c>
      <c r="H4855" s="19">
        <v>1.89</v>
      </c>
      <c r="I4855" s="18" t="s">
        <v>28</v>
      </c>
      <c r="J4855" s="18" t="s">
        <v>28</v>
      </c>
      <c r="K4855" s="18">
        <v>0.85</v>
      </c>
      <c r="L4855" s="18">
        <v>2.2200000000000002</v>
      </c>
      <c r="M4855" s="18" t="s">
        <v>28</v>
      </c>
      <c r="N4855" s="17">
        <v>44329</v>
      </c>
      <c r="O4855" s="15" t="s">
        <v>30</v>
      </c>
      <c r="P4855" s="16" t="s">
        <v>15474</v>
      </c>
      <c r="Q4855" s="15" t="s">
        <v>386</v>
      </c>
      <c r="R4855" s="13" t="str">
        <f>HYPERLINK("https://my.pitchbook.com?c=174466-27T","View Company Online")</f>
        <v>View Company Online</v>
      </c>
    </row>
    <row r="4856" spans="1:18" hidden="1" x14ac:dyDescent="0.3">
      <c r="A4856" s="9" t="s">
        <v>15475</v>
      </c>
      <c r="B4856" s="9" t="s">
        <v>11241</v>
      </c>
      <c r="C4856" s="11" t="s">
        <v>28</v>
      </c>
      <c r="D4856" s="9" t="s">
        <v>11242</v>
      </c>
      <c r="E4856" s="11" t="s">
        <v>28</v>
      </c>
      <c r="F4856" s="10" t="s">
        <v>28</v>
      </c>
      <c r="G4856" s="10">
        <v>18.38</v>
      </c>
      <c r="H4856" s="10" t="s">
        <v>28</v>
      </c>
      <c r="I4856" s="11" t="s">
        <v>28</v>
      </c>
      <c r="J4856" s="11" t="s">
        <v>28</v>
      </c>
      <c r="K4856" s="11" t="s">
        <v>28</v>
      </c>
      <c r="L4856" s="11" t="s">
        <v>28</v>
      </c>
      <c r="M4856" s="11" t="s">
        <v>28</v>
      </c>
      <c r="N4856" s="8">
        <v>44329</v>
      </c>
      <c r="O4856" s="9" t="s">
        <v>73</v>
      </c>
      <c r="P4856" s="12" t="s">
        <v>15476</v>
      </c>
      <c r="Q4856" s="9" t="s">
        <v>386</v>
      </c>
      <c r="R4856" s="14" t="str">
        <f>HYPERLINK("https://my.pitchbook.com?c=180256-51T","View Company Online")</f>
        <v>View Company Online</v>
      </c>
    </row>
    <row r="4857" spans="1:18" hidden="1" x14ac:dyDescent="0.3">
      <c r="A4857" s="15" t="s">
        <v>15477</v>
      </c>
      <c r="B4857" s="15" t="s">
        <v>15478</v>
      </c>
      <c r="C4857" s="18" t="s">
        <v>28</v>
      </c>
      <c r="D4857" s="15" t="s">
        <v>15479</v>
      </c>
      <c r="E4857" s="18" t="s">
        <v>28</v>
      </c>
      <c r="F4857" s="19" t="s">
        <v>28</v>
      </c>
      <c r="G4857" s="19" t="s">
        <v>28</v>
      </c>
      <c r="H4857" s="19" t="s">
        <v>28</v>
      </c>
      <c r="I4857" s="18" t="s">
        <v>28</v>
      </c>
      <c r="J4857" s="18" t="s">
        <v>28</v>
      </c>
      <c r="K4857" s="18" t="s">
        <v>28</v>
      </c>
      <c r="L4857" s="18" t="s">
        <v>28</v>
      </c>
      <c r="M4857" s="18" t="s">
        <v>28</v>
      </c>
      <c r="N4857" s="17">
        <v>44329</v>
      </c>
      <c r="O4857" s="15" t="s">
        <v>30</v>
      </c>
      <c r="P4857" s="16" t="s">
        <v>28</v>
      </c>
      <c r="Q4857" s="15" t="s">
        <v>7913</v>
      </c>
      <c r="R4857" s="13" t="str">
        <f>HYPERLINK("https://my.pitchbook.com?c=213232-15T","View Company Online")</f>
        <v>View Company Online</v>
      </c>
    </row>
    <row r="4858" spans="1:18" hidden="1" x14ac:dyDescent="0.3">
      <c r="A4858" s="9" t="s">
        <v>15480</v>
      </c>
      <c r="B4858" s="9" t="s">
        <v>15481</v>
      </c>
      <c r="C4858" s="11" t="s">
        <v>28</v>
      </c>
      <c r="D4858" s="9" t="s">
        <v>15482</v>
      </c>
      <c r="E4858" s="11" t="s">
        <v>28</v>
      </c>
      <c r="F4858" s="10">
        <v>91.65</v>
      </c>
      <c r="G4858" s="10">
        <v>91.65</v>
      </c>
      <c r="H4858" s="10">
        <v>91.65</v>
      </c>
      <c r="I4858" s="11" t="s">
        <v>28</v>
      </c>
      <c r="J4858" s="11" t="s">
        <v>28</v>
      </c>
      <c r="K4858" s="11" t="s">
        <v>28</v>
      </c>
      <c r="L4858" s="11" t="s">
        <v>28</v>
      </c>
      <c r="M4858" s="11" t="s">
        <v>28</v>
      </c>
      <c r="N4858" s="8">
        <v>44328</v>
      </c>
      <c r="O4858" s="9" t="s">
        <v>30</v>
      </c>
      <c r="P4858" s="12" t="s">
        <v>14921</v>
      </c>
      <c r="Q4858" s="9" t="s">
        <v>43</v>
      </c>
      <c r="R4858" s="14" t="str">
        <f>HYPERLINK("https://my.pitchbook.com?c=186062-68T","View Company Online")</f>
        <v>View Company Online</v>
      </c>
    </row>
    <row r="4859" spans="1:18" hidden="1" x14ac:dyDescent="0.3">
      <c r="A4859" s="15" t="s">
        <v>15483</v>
      </c>
      <c r="B4859" s="15" t="s">
        <v>10870</v>
      </c>
      <c r="C4859" s="18" t="s">
        <v>28</v>
      </c>
      <c r="D4859" s="15" t="s">
        <v>10871</v>
      </c>
      <c r="E4859" s="18" t="s">
        <v>28</v>
      </c>
      <c r="F4859" s="19" t="s">
        <v>28</v>
      </c>
      <c r="G4859" s="19">
        <v>3.6</v>
      </c>
      <c r="H4859" s="19" t="s">
        <v>28</v>
      </c>
      <c r="I4859" s="18" t="s">
        <v>28</v>
      </c>
      <c r="J4859" s="18" t="s">
        <v>28</v>
      </c>
      <c r="K4859" s="18" t="s">
        <v>28</v>
      </c>
      <c r="L4859" s="18" t="s">
        <v>28</v>
      </c>
      <c r="M4859" s="18" t="s">
        <v>28</v>
      </c>
      <c r="N4859" s="17">
        <v>44328</v>
      </c>
      <c r="O4859" s="15" t="s">
        <v>99</v>
      </c>
      <c r="P4859" s="16" t="s">
        <v>15484</v>
      </c>
      <c r="Q4859" s="15" t="s">
        <v>1336</v>
      </c>
      <c r="R4859" s="13" t="str">
        <f>HYPERLINK("https://my.pitchbook.com?c=172061-11T","View Company Online")</f>
        <v>View Company Online</v>
      </c>
    </row>
    <row r="4860" spans="1:18" hidden="1" x14ac:dyDescent="0.3">
      <c r="A4860" s="9" t="s">
        <v>15485</v>
      </c>
      <c r="B4860" s="9" t="s">
        <v>3993</v>
      </c>
      <c r="C4860" s="11" t="s">
        <v>28</v>
      </c>
      <c r="D4860" s="9" t="s">
        <v>3994</v>
      </c>
      <c r="E4860" s="11" t="s">
        <v>28</v>
      </c>
      <c r="F4860" s="10">
        <v>4.49</v>
      </c>
      <c r="G4860" s="10">
        <v>4.49</v>
      </c>
      <c r="H4860" s="10">
        <v>4.49</v>
      </c>
      <c r="I4860" s="11" t="s">
        <v>28</v>
      </c>
      <c r="J4860" s="11" t="s">
        <v>28</v>
      </c>
      <c r="K4860" s="11" t="s">
        <v>28</v>
      </c>
      <c r="L4860" s="11" t="s">
        <v>28</v>
      </c>
      <c r="M4860" s="11" t="s">
        <v>28</v>
      </c>
      <c r="N4860" s="8">
        <v>44328</v>
      </c>
      <c r="O4860" s="9" t="s">
        <v>30</v>
      </c>
      <c r="P4860" s="12" t="s">
        <v>6802</v>
      </c>
      <c r="Q4860" s="9" t="s">
        <v>226</v>
      </c>
      <c r="R4860" s="14" t="str">
        <f>HYPERLINK("https://my.pitchbook.com?c=213229-99T","View Company Online")</f>
        <v>View Company Online</v>
      </c>
    </row>
    <row r="4861" spans="1:18" hidden="1" x14ac:dyDescent="0.3">
      <c r="A4861" s="15" t="s">
        <v>15486</v>
      </c>
      <c r="B4861" s="15" t="s">
        <v>15487</v>
      </c>
      <c r="C4861" s="18" t="s">
        <v>28</v>
      </c>
      <c r="D4861" s="15" t="s">
        <v>15488</v>
      </c>
      <c r="E4861" s="18" t="s">
        <v>28</v>
      </c>
      <c r="F4861" s="19">
        <v>2.38</v>
      </c>
      <c r="G4861" s="19">
        <v>2.38</v>
      </c>
      <c r="H4861" s="19">
        <v>2.38</v>
      </c>
      <c r="I4861" s="18" t="s">
        <v>28</v>
      </c>
      <c r="J4861" s="18" t="s">
        <v>28</v>
      </c>
      <c r="K4861" s="18">
        <v>1.01</v>
      </c>
      <c r="L4861" s="18">
        <v>2.36</v>
      </c>
      <c r="M4861" s="18" t="s">
        <v>28</v>
      </c>
      <c r="N4861" s="17">
        <v>44328</v>
      </c>
      <c r="O4861" s="15" t="s">
        <v>30</v>
      </c>
      <c r="P4861" s="16" t="s">
        <v>15474</v>
      </c>
      <c r="Q4861" s="15" t="s">
        <v>855</v>
      </c>
      <c r="R4861" s="13" t="str">
        <f>HYPERLINK("https://my.pitchbook.com?c=172098-10T","View Company Online")</f>
        <v>View Company Online</v>
      </c>
    </row>
    <row r="4862" spans="1:18" hidden="1" x14ac:dyDescent="0.3">
      <c r="A4862" s="9" t="s">
        <v>15489</v>
      </c>
      <c r="B4862" s="9" t="s">
        <v>6441</v>
      </c>
      <c r="C4862" s="11" t="s">
        <v>28</v>
      </c>
      <c r="D4862" s="9" t="s">
        <v>6442</v>
      </c>
      <c r="E4862" s="11" t="s">
        <v>28</v>
      </c>
      <c r="F4862" s="10" t="s">
        <v>28</v>
      </c>
      <c r="G4862" s="10">
        <v>2.57</v>
      </c>
      <c r="H4862" s="10" t="s">
        <v>28</v>
      </c>
      <c r="I4862" s="11" t="s">
        <v>28</v>
      </c>
      <c r="J4862" s="11" t="s">
        <v>28</v>
      </c>
      <c r="K4862" s="11" t="s">
        <v>28</v>
      </c>
      <c r="L4862" s="11" t="s">
        <v>28</v>
      </c>
      <c r="M4862" s="11" t="s">
        <v>28</v>
      </c>
      <c r="N4862" s="8">
        <v>44328</v>
      </c>
      <c r="O4862" s="9" t="s">
        <v>99</v>
      </c>
      <c r="P4862" s="12" t="s">
        <v>15490</v>
      </c>
      <c r="Q4862" s="9" t="s">
        <v>37</v>
      </c>
      <c r="R4862" s="14" t="str">
        <f>HYPERLINK("https://my.pitchbook.com?c=176086-45T","View Company Online")</f>
        <v>View Company Online</v>
      </c>
    </row>
    <row r="4863" spans="1:18" hidden="1" x14ac:dyDescent="0.3">
      <c r="A4863" s="15" t="s">
        <v>15491</v>
      </c>
      <c r="B4863" s="15" t="s">
        <v>15492</v>
      </c>
      <c r="C4863" s="18" t="s">
        <v>28</v>
      </c>
      <c r="D4863" s="15" t="s">
        <v>15493</v>
      </c>
      <c r="E4863" s="18" t="s">
        <v>28</v>
      </c>
      <c r="F4863" s="19" t="s">
        <v>28</v>
      </c>
      <c r="G4863" s="19" t="s">
        <v>28</v>
      </c>
      <c r="H4863" s="19" t="s">
        <v>28</v>
      </c>
      <c r="I4863" s="18" t="s">
        <v>28</v>
      </c>
      <c r="J4863" s="18" t="s">
        <v>28</v>
      </c>
      <c r="K4863" s="18" t="s">
        <v>28</v>
      </c>
      <c r="L4863" s="18" t="s">
        <v>28</v>
      </c>
      <c r="M4863" s="18" t="s">
        <v>28</v>
      </c>
      <c r="N4863" s="17">
        <v>44327</v>
      </c>
      <c r="O4863" s="15" t="s">
        <v>79</v>
      </c>
      <c r="P4863" s="16" t="s">
        <v>4568</v>
      </c>
      <c r="Q4863" s="15" t="s">
        <v>386</v>
      </c>
      <c r="R4863" s="13" t="str">
        <f>HYPERLINK("https://my.pitchbook.com?c=258855-40T","View Company Online")</f>
        <v>View Company Online</v>
      </c>
    </row>
    <row r="4864" spans="1:18" hidden="1" x14ac:dyDescent="0.3">
      <c r="A4864" s="9" t="s">
        <v>15494</v>
      </c>
      <c r="B4864" s="9" t="s">
        <v>6299</v>
      </c>
      <c r="C4864" s="11" t="s">
        <v>28</v>
      </c>
      <c r="D4864" s="9" t="s">
        <v>6300</v>
      </c>
      <c r="E4864" s="11" t="s">
        <v>28</v>
      </c>
      <c r="F4864" s="10" t="s">
        <v>28</v>
      </c>
      <c r="G4864" s="10">
        <v>0.6</v>
      </c>
      <c r="H4864" s="10" t="s">
        <v>28</v>
      </c>
      <c r="I4864" s="11" t="s">
        <v>28</v>
      </c>
      <c r="J4864" s="11" t="s">
        <v>28</v>
      </c>
      <c r="K4864" s="11">
        <v>0.35</v>
      </c>
      <c r="L4864" s="11" t="s">
        <v>28</v>
      </c>
      <c r="M4864" s="11" t="s">
        <v>28</v>
      </c>
      <c r="N4864" s="8">
        <v>44327</v>
      </c>
      <c r="O4864" s="9" t="s">
        <v>379</v>
      </c>
      <c r="P4864" s="12" t="s">
        <v>28</v>
      </c>
      <c r="Q4864" s="9" t="s">
        <v>37</v>
      </c>
      <c r="R4864" s="14" t="str">
        <f>HYPERLINK("https://my.pitchbook.com?c=188567-65T","View Company Online")</f>
        <v>View Company Online</v>
      </c>
    </row>
    <row r="4865" spans="1:18" hidden="1" x14ac:dyDescent="0.3">
      <c r="A4865" s="15" t="s">
        <v>15495</v>
      </c>
      <c r="B4865" s="15" t="s">
        <v>15496</v>
      </c>
      <c r="C4865" s="18" t="s">
        <v>28</v>
      </c>
      <c r="D4865" s="15" t="s">
        <v>15497</v>
      </c>
      <c r="E4865" s="18" t="s">
        <v>28</v>
      </c>
      <c r="F4865" s="19" t="s">
        <v>28</v>
      </c>
      <c r="G4865" s="19">
        <v>21.93</v>
      </c>
      <c r="H4865" s="19" t="s">
        <v>28</v>
      </c>
      <c r="I4865" s="18" t="s">
        <v>28</v>
      </c>
      <c r="J4865" s="18" t="s">
        <v>28</v>
      </c>
      <c r="K4865" s="18">
        <v>16.3</v>
      </c>
      <c r="L4865" s="18" t="s">
        <v>28</v>
      </c>
      <c r="M4865" s="18" t="s">
        <v>28</v>
      </c>
      <c r="N4865" s="17">
        <v>44327</v>
      </c>
      <c r="O4865" s="15" t="s">
        <v>79</v>
      </c>
      <c r="P4865" s="16" t="s">
        <v>15498</v>
      </c>
      <c r="Q4865" s="15" t="s">
        <v>75</v>
      </c>
      <c r="R4865" s="13" t="str">
        <f>HYPERLINK("https://my.pitchbook.com?c=171968-50T","View Company Online")</f>
        <v>View Company Online</v>
      </c>
    </row>
    <row r="4866" spans="1:18" hidden="1" x14ac:dyDescent="0.3">
      <c r="A4866" s="9" t="s">
        <v>15499</v>
      </c>
      <c r="B4866" s="9" t="s">
        <v>15500</v>
      </c>
      <c r="C4866" s="11" t="s">
        <v>28</v>
      </c>
      <c r="D4866" s="9" t="s">
        <v>15501</v>
      </c>
      <c r="E4866" s="11" t="s">
        <v>28</v>
      </c>
      <c r="F4866" s="10" t="s">
        <v>28</v>
      </c>
      <c r="G4866" s="10" t="s">
        <v>28</v>
      </c>
      <c r="H4866" s="10" t="s">
        <v>28</v>
      </c>
      <c r="I4866" s="11" t="s">
        <v>28</v>
      </c>
      <c r="J4866" s="11" t="s">
        <v>28</v>
      </c>
      <c r="K4866" s="11" t="s">
        <v>28</v>
      </c>
      <c r="L4866" s="11" t="s">
        <v>28</v>
      </c>
      <c r="M4866" s="11" t="s">
        <v>28</v>
      </c>
      <c r="N4866" s="8">
        <v>44326</v>
      </c>
      <c r="O4866" s="9" t="s">
        <v>41</v>
      </c>
      <c r="P4866" s="12" t="s">
        <v>2216</v>
      </c>
      <c r="Q4866" s="9" t="s">
        <v>109</v>
      </c>
      <c r="R4866" s="14" t="str">
        <f>HYPERLINK("https://my.pitchbook.com?c=174467-80T","View Company Online")</f>
        <v>View Company Online</v>
      </c>
    </row>
    <row r="4867" spans="1:18" hidden="1" x14ac:dyDescent="0.3">
      <c r="A4867" s="15" t="s">
        <v>15502</v>
      </c>
      <c r="B4867" s="15" t="s">
        <v>1810</v>
      </c>
      <c r="C4867" s="18" t="s">
        <v>28</v>
      </c>
      <c r="D4867" s="15" t="s">
        <v>1811</v>
      </c>
      <c r="E4867" s="18" t="s">
        <v>28</v>
      </c>
      <c r="F4867" s="19" t="s">
        <v>28</v>
      </c>
      <c r="G4867" s="19">
        <v>1</v>
      </c>
      <c r="H4867" s="19" t="s">
        <v>28</v>
      </c>
      <c r="I4867" s="18" t="s">
        <v>28</v>
      </c>
      <c r="J4867" s="18" t="s">
        <v>28</v>
      </c>
      <c r="K4867" s="18" t="s">
        <v>28</v>
      </c>
      <c r="L4867" s="18" t="s">
        <v>28</v>
      </c>
      <c r="M4867" s="18" t="s">
        <v>28</v>
      </c>
      <c r="N4867" s="17">
        <v>44326</v>
      </c>
      <c r="O4867" s="15" t="s">
        <v>79</v>
      </c>
      <c r="P4867" s="16" t="s">
        <v>15503</v>
      </c>
      <c r="Q4867" s="15" t="s">
        <v>404</v>
      </c>
      <c r="R4867" s="13" t="str">
        <f>HYPERLINK("https://my.pitchbook.com?c=181255-33T","View Company Online")</f>
        <v>View Company Online</v>
      </c>
    </row>
    <row r="4868" spans="1:18" hidden="1" x14ac:dyDescent="0.3">
      <c r="A4868" s="9" t="s">
        <v>15504</v>
      </c>
      <c r="B4868" s="9" t="s">
        <v>15505</v>
      </c>
      <c r="C4868" s="11" t="s">
        <v>28</v>
      </c>
      <c r="D4868" s="9" t="s">
        <v>15506</v>
      </c>
      <c r="E4868" s="11" t="s">
        <v>28</v>
      </c>
      <c r="F4868" s="10" t="s">
        <v>28</v>
      </c>
      <c r="G4868" s="10">
        <v>26</v>
      </c>
      <c r="H4868" s="10" t="s">
        <v>28</v>
      </c>
      <c r="I4868" s="11" t="s">
        <v>28</v>
      </c>
      <c r="J4868" s="11" t="s">
        <v>28</v>
      </c>
      <c r="K4868" s="11" t="s">
        <v>28</v>
      </c>
      <c r="L4868" s="11" t="s">
        <v>28</v>
      </c>
      <c r="M4868" s="11" t="s">
        <v>28</v>
      </c>
      <c r="N4868" s="8">
        <v>44326</v>
      </c>
      <c r="O4868" s="9" t="s">
        <v>73</v>
      </c>
      <c r="P4868" s="12" t="s">
        <v>15507</v>
      </c>
      <c r="Q4868" s="9" t="s">
        <v>240</v>
      </c>
      <c r="R4868" s="14" t="str">
        <f>HYPERLINK("https://my.pitchbook.com?c=172024-48T","View Company Online")</f>
        <v>View Company Online</v>
      </c>
    </row>
    <row r="4869" spans="1:18" hidden="1" x14ac:dyDescent="0.3">
      <c r="A4869" s="15" t="s">
        <v>15508</v>
      </c>
      <c r="B4869" s="15" t="s">
        <v>4991</v>
      </c>
      <c r="C4869" s="18" t="s">
        <v>28</v>
      </c>
      <c r="D4869" s="15" t="s">
        <v>4992</v>
      </c>
      <c r="E4869" s="18" t="s">
        <v>28</v>
      </c>
      <c r="F4869" s="19" t="s">
        <v>28</v>
      </c>
      <c r="G4869" s="19" t="s">
        <v>28</v>
      </c>
      <c r="H4869" s="19" t="s">
        <v>28</v>
      </c>
      <c r="I4869" s="18" t="s">
        <v>28</v>
      </c>
      <c r="J4869" s="18" t="s">
        <v>28</v>
      </c>
      <c r="K4869" s="18" t="s">
        <v>28</v>
      </c>
      <c r="L4869" s="18" t="s">
        <v>28</v>
      </c>
      <c r="M4869" s="18" t="s">
        <v>28</v>
      </c>
      <c r="N4869" s="17">
        <v>44326</v>
      </c>
      <c r="O4869" s="15" t="s">
        <v>73</v>
      </c>
      <c r="P4869" s="16" t="s">
        <v>15509</v>
      </c>
      <c r="Q4869" s="15" t="s">
        <v>583</v>
      </c>
      <c r="R4869" s="13" t="str">
        <f>HYPERLINK("https://my.pitchbook.com?c=194459-23T","View Company Online")</f>
        <v>View Company Online</v>
      </c>
    </row>
    <row r="4870" spans="1:18" hidden="1" x14ac:dyDescent="0.3">
      <c r="A4870" s="9" t="s">
        <v>15510</v>
      </c>
      <c r="B4870" s="9" t="s">
        <v>13819</v>
      </c>
      <c r="C4870" s="11" t="s">
        <v>28</v>
      </c>
      <c r="D4870" s="9" t="s">
        <v>13820</v>
      </c>
      <c r="E4870" s="11" t="s">
        <v>28</v>
      </c>
      <c r="F4870" s="10" t="s">
        <v>28</v>
      </c>
      <c r="G4870" s="10" t="s">
        <v>28</v>
      </c>
      <c r="H4870" s="10" t="s">
        <v>28</v>
      </c>
      <c r="I4870" s="11" t="s">
        <v>28</v>
      </c>
      <c r="J4870" s="11" t="s">
        <v>28</v>
      </c>
      <c r="K4870" s="11" t="s">
        <v>28</v>
      </c>
      <c r="L4870" s="11" t="s">
        <v>28</v>
      </c>
      <c r="M4870" s="11" t="s">
        <v>28</v>
      </c>
      <c r="N4870" s="8">
        <v>44326</v>
      </c>
      <c r="O4870" s="9" t="s">
        <v>41</v>
      </c>
      <c r="P4870" s="12" t="s">
        <v>14513</v>
      </c>
      <c r="Q4870" s="9" t="s">
        <v>2043</v>
      </c>
      <c r="R4870" s="14" t="str">
        <f>HYPERLINK("https://my.pitchbook.com?c=224358-85T","View Company Online")</f>
        <v>View Company Online</v>
      </c>
    </row>
    <row r="4871" spans="1:18" hidden="1" x14ac:dyDescent="0.3">
      <c r="A4871" s="15" t="s">
        <v>15511</v>
      </c>
      <c r="B4871" s="15" t="s">
        <v>9503</v>
      </c>
      <c r="C4871" s="18" t="s">
        <v>28</v>
      </c>
      <c r="D4871" s="15" t="s">
        <v>9504</v>
      </c>
      <c r="E4871" s="18" t="s">
        <v>28</v>
      </c>
      <c r="F4871" s="19" t="s">
        <v>28</v>
      </c>
      <c r="G4871" s="19">
        <v>2.46</v>
      </c>
      <c r="H4871" s="19" t="s">
        <v>28</v>
      </c>
      <c r="I4871" s="18" t="s">
        <v>28</v>
      </c>
      <c r="J4871" s="18" t="s">
        <v>28</v>
      </c>
      <c r="K4871" s="18" t="s">
        <v>28</v>
      </c>
      <c r="L4871" s="18" t="s">
        <v>28</v>
      </c>
      <c r="M4871" s="18" t="s">
        <v>28</v>
      </c>
      <c r="N4871" s="17">
        <v>44326</v>
      </c>
      <c r="O4871" s="15" t="s">
        <v>79</v>
      </c>
      <c r="P4871" s="16" t="s">
        <v>28</v>
      </c>
      <c r="Q4871" s="15" t="s">
        <v>1035</v>
      </c>
      <c r="R4871" s="13" t="str">
        <f>HYPERLINK("https://my.pitchbook.com?c=171905-23T","View Company Online")</f>
        <v>View Company Online</v>
      </c>
    </row>
    <row r="4872" spans="1:18" hidden="1" x14ac:dyDescent="0.3">
      <c r="A4872" s="9" t="s">
        <v>15512</v>
      </c>
      <c r="B4872" s="9" t="s">
        <v>2187</v>
      </c>
      <c r="C4872" s="11" t="s">
        <v>28</v>
      </c>
      <c r="D4872" s="9" t="s">
        <v>2188</v>
      </c>
      <c r="E4872" s="11" t="s">
        <v>28</v>
      </c>
      <c r="F4872" s="10" t="s">
        <v>28</v>
      </c>
      <c r="G4872" s="10">
        <v>1.5</v>
      </c>
      <c r="H4872" s="10" t="s">
        <v>28</v>
      </c>
      <c r="I4872" s="11" t="s">
        <v>28</v>
      </c>
      <c r="J4872" s="11" t="s">
        <v>28</v>
      </c>
      <c r="K4872" s="11" t="s">
        <v>28</v>
      </c>
      <c r="L4872" s="11" t="s">
        <v>28</v>
      </c>
      <c r="M4872" s="11" t="s">
        <v>28</v>
      </c>
      <c r="N4872" s="8">
        <v>44326</v>
      </c>
      <c r="O4872" s="9" t="s">
        <v>99</v>
      </c>
      <c r="P4872" s="12" t="s">
        <v>15513</v>
      </c>
      <c r="Q4872" s="9" t="s">
        <v>75</v>
      </c>
      <c r="R4872" s="14" t="str">
        <f>HYPERLINK("https://my.pitchbook.com?c=178345-18T","View Company Online")</f>
        <v>View Company Online</v>
      </c>
    </row>
    <row r="4873" spans="1:18" hidden="1" x14ac:dyDescent="0.3">
      <c r="A4873" s="15" t="s">
        <v>15514</v>
      </c>
      <c r="B4873" s="15" t="s">
        <v>7016</v>
      </c>
      <c r="C4873" s="18" t="s">
        <v>28</v>
      </c>
      <c r="D4873" s="15" t="s">
        <v>7017</v>
      </c>
      <c r="E4873" s="18" t="s">
        <v>28</v>
      </c>
      <c r="F4873" s="19" t="s">
        <v>28</v>
      </c>
      <c r="G4873" s="19" t="s">
        <v>28</v>
      </c>
      <c r="H4873" s="19" t="s">
        <v>28</v>
      </c>
      <c r="I4873" s="18" t="s">
        <v>28</v>
      </c>
      <c r="J4873" s="18" t="s">
        <v>28</v>
      </c>
      <c r="K4873" s="18" t="s">
        <v>28</v>
      </c>
      <c r="L4873" s="18" t="s">
        <v>28</v>
      </c>
      <c r="M4873" s="18" t="s">
        <v>28</v>
      </c>
      <c r="N4873" s="17">
        <v>44324</v>
      </c>
      <c r="O4873" s="15" t="s">
        <v>52</v>
      </c>
      <c r="P4873" s="16" t="s">
        <v>3869</v>
      </c>
      <c r="Q4873" s="15" t="s">
        <v>37</v>
      </c>
      <c r="R4873" s="13" t="str">
        <f>HYPERLINK("https://my.pitchbook.com?c=261999-01T","View Company Online")</f>
        <v>View Company Online</v>
      </c>
    </row>
    <row r="4874" spans="1:18" hidden="1" x14ac:dyDescent="0.3">
      <c r="A4874" s="9" t="s">
        <v>15515</v>
      </c>
      <c r="B4874" s="9" t="s">
        <v>4089</v>
      </c>
      <c r="C4874" s="11" t="s">
        <v>28</v>
      </c>
      <c r="D4874" s="9" t="s">
        <v>4090</v>
      </c>
      <c r="E4874" s="11">
        <v>3.57</v>
      </c>
      <c r="F4874" s="10" t="s">
        <v>28</v>
      </c>
      <c r="G4874" s="10">
        <v>157.83000000000001</v>
      </c>
      <c r="H4874" s="10">
        <v>689.84</v>
      </c>
      <c r="I4874" s="11" t="s">
        <v>28</v>
      </c>
      <c r="J4874" s="11" t="s">
        <v>28</v>
      </c>
      <c r="K4874" s="11">
        <v>49.13</v>
      </c>
      <c r="L4874" s="11">
        <v>14.04</v>
      </c>
      <c r="M4874" s="11">
        <v>0.96</v>
      </c>
      <c r="N4874" s="8">
        <v>44324</v>
      </c>
      <c r="O4874" s="9" t="s">
        <v>173</v>
      </c>
      <c r="P4874" s="12" t="s">
        <v>28</v>
      </c>
      <c r="Q4874" s="9" t="s">
        <v>75</v>
      </c>
      <c r="R4874" s="14" t="str">
        <f>HYPERLINK("https://my.pitchbook.com?c=172577-80T","View Company Online")</f>
        <v>View Company Online</v>
      </c>
    </row>
    <row r="4875" spans="1:18" hidden="1" x14ac:dyDescent="0.3">
      <c r="A4875" s="15" t="s">
        <v>15516</v>
      </c>
      <c r="B4875" s="15" t="s">
        <v>13083</v>
      </c>
      <c r="C4875" s="18" t="s">
        <v>28</v>
      </c>
      <c r="D4875" s="15" t="s">
        <v>13084</v>
      </c>
      <c r="E4875" s="18" t="s">
        <v>28</v>
      </c>
      <c r="F4875" s="19" t="s">
        <v>28</v>
      </c>
      <c r="G4875" s="19">
        <v>0.18</v>
      </c>
      <c r="H4875" s="19">
        <v>6.05</v>
      </c>
      <c r="I4875" s="18" t="s">
        <v>28</v>
      </c>
      <c r="J4875" s="18" t="s">
        <v>28</v>
      </c>
      <c r="K4875" s="18" t="s">
        <v>28</v>
      </c>
      <c r="L4875" s="18" t="s">
        <v>28</v>
      </c>
      <c r="M4875" s="18" t="s">
        <v>28</v>
      </c>
      <c r="N4875" s="17">
        <v>44324</v>
      </c>
      <c r="O4875" s="15" t="s">
        <v>52</v>
      </c>
      <c r="P4875" s="16" t="s">
        <v>3869</v>
      </c>
      <c r="Q4875" s="15" t="s">
        <v>37</v>
      </c>
      <c r="R4875" s="13" t="str">
        <f>HYPERLINK("https://my.pitchbook.com?c=264025-63T","View Company Online")</f>
        <v>View Company Online</v>
      </c>
    </row>
    <row r="4876" spans="1:18" hidden="1" x14ac:dyDescent="0.3">
      <c r="A4876" s="9" t="s">
        <v>15517</v>
      </c>
      <c r="B4876" s="9" t="s">
        <v>15518</v>
      </c>
      <c r="C4876" s="11" t="s">
        <v>28</v>
      </c>
      <c r="D4876" s="9" t="s">
        <v>15519</v>
      </c>
      <c r="E4876" s="11" t="s">
        <v>28</v>
      </c>
      <c r="F4876" s="10">
        <v>11.8</v>
      </c>
      <c r="G4876" s="10">
        <v>11.8</v>
      </c>
      <c r="H4876" s="10">
        <v>11.8</v>
      </c>
      <c r="I4876" s="11" t="s">
        <v>28</v>
      </c>
      <c r="J4876" s="11" t="s">
        <v>28</v>
      </c>
      <c r="K4876" s="11" t="s">
        <v>28</v>
      </c>
      <c r="L4876" s="11" t="s">
        <v>28</v>
      </c>
      <c r="M4876" s="11" t="s">
        <v>28</v>
      </c>
      <c r="N4876" s="8">
        <v>44323</v>
      </c>
      <c r="O4876" s="9" t="s">
        <v>41</v>
      </c>
      <c r="P4876" s="12" t="s">
        <v>15520</v>
      </c>
      <c r="Q4876" s="9" t="s">
        <v>15521</v>
      </c>
      <c r="R4876" s="14" t="str">
        <f>HYPERLINK("https://my.pitchbook.com?c=173002-69T","View Company Online")</f>
        <v>View Company Online</v>
      </c>
    </row>
    <row r="4877" spans="1:18" hidden="1" x14ac:dyDescent="0.3">
      <c r="A4877" s="15" t="s">
        <v>15522</v>
      </c>
      <c r="B4877" s="15" t="s">
        <v>15523</v>
      </c>
      <c r="C4877" s="18" t="s">
        <v>28</v>
      </c>
      <c r="D4877" s="15" t="s">
        <v>15524</v>
      </c>
      <c r="E4877" s="18" t="s">
        <v>28</v>
      </c>
      <c r="F4877" s="19" t="s">
        <v>28</v>
      </c>
      <c r="G4877" s="19" t="s">
        <v>28</v>
      </c>
      <c r="H4877" s="19" t="s">
        <v>28</v>
      </c>
      <c r="I4877" s="18" t="s">
        <v>28</v>
      </c>
      <c r="J4877" s="18" t="s">
        <v>28</v>
      </c>
      <c r="K4877" s="18" t="s">
        <v>28</v>
      </c>
      <c r="L4877" s="18" t="s">
        <v>28</v>
      </c>
      <c r="M4877" s="18" t="s">
        <v>28</v>
      </c>
      <c r="N4877" s="17">
        <v>44323</v>
      </c>
      <c r="O4877" s="15" t="s">
        <v>30</v>
      </c>
      <c r="P4877" s="16" t="s">
        <v>28</v>
      </c>
      <c r="Q4877" s="15" t="s">
        <v>399</v>
      </c>
      <c r="R4877" s="13" t="str">
        <f>HYPERLINK("https://my.pitchbook.com?c=171843-13T","View Company Online")</f>
        <v>View Company Online</v>
      </c>
    </row>
    <row r="4878" spans="1:18" hidden="1" x14ac:dyDescent="0.3">
      <c r="A4878" s="9" t="s">
        <v>15525</v>
      </c>
      <c r="B4878" s="9" t="s">
        <v>15526</v>
      </c>
      <c r="C4878" s="11" t="s">
        <v>28</v>
      </c>
      <c r="D4878" s="9" t="s">
        <v>15527</v>
      </c>
      <c r="E4878" s="11" t="s">
        <v>28</v>
      </c>
      <c r="F4878" s="10">
        <v>36.200000000000003</v>
      </c>
      <c r="G4878" s="10">
        <v>36.200000000000003</v>
      </c>
      <c r="H4878" s="10">
        <v>36.200000000000003</v>
      </c>
      <c r="I4878" s="11" t="s">
        <v>28</v>
      </c>
      <c r="J4878" s="11" t="s">
        <v>28</v>
      </c>
      <c r="K4878" s="11" t="s">
        <v>28</v>
      </c>
      <c r="L4878" s="11" t="s">
        <v>28</v>
      </c>
      <c r="M4878" s="11" t="s">
        <v>28</v>
      </c>
      <c r="N4878" s="8">
        <v>44323</v>
      </c>
      <c r="O4878" s="9" t="s">
        <v>30</v>
      </c>
      <c r="P4878" s="12" t="s">
        <v>5129</v>
      </c>
      <c r="Q4878" s="9" t="s">
        <v>245</v>
      </c>
      <c r="R4878" s="14" t="str">
        <f>HYPERLINK("https://my.pitchbook.com?c=210854-44T","View Company Online")</f>
        <v>View Company Online</v>
      </c>
    </row>
    <row r="4879" spans="1:18" hidden="1" x14ac:dyDescent="0.3">
      <c r="A4879" s="15" t="s">
        <v>15528</v>
      </c>
      <c r="B4879" s="15" t="s">
        <v>1761</v>
      </c>
      <c r="C4879" s="18" t="s">
        <v>28</v>
      </c>
      <c r="D4879" s="15" t="s">
        <v>1762</v>
      </c>
      <c r="E4879" s="18" t="s">
        <v>28</v>
      </c>
      <c r="F4879" s="19" t="s">
        <v>28</v>
      </c>
      <c r="G4879" s="19" t="s">
        <v>28</v>
      </c>
      <c r="H4879" s="19" t="s">
        <v>28</v>
      </c>
      <c r="I4879" s="18" t="s">
        <v>28</v>
      </c>
      <c r="J4879" s="18" t="s">
        <v>28</v>
      </c>
      <c r="K4879" s="18" t="s">
        <v>28</v>
      </c>
      <c r="L4879" s="18" t="s">
        <v>28</v>
      </c>
      <c r="M4879" s="18" t="s">
        <v>28</v>
      </c>
      <c r="N4879" s="17">
        <v>44323</v>
      </c>
      <c r="O4879" s="15" t="s">
        <v>73</v>
      </c>
      <c r="P4879" s="16" t="s">
        <v>15529</v>
      </c>
      <c r="Q4879" s="15" t="s">
        <v>419</v>
      </c>
      <c r="R4879" s="13" t="str">
        <f>HYPERLINK("https://my.pitchbook.com?c=258858-82T","View Company Online")</f>
        <v>View Company Online</v>
      </c>
    </row>
    <row r="4880" spans="1:18" hidden="1" x14ac:dyDescent="0.3">
      <c r="A4880" s="9" t="s">
        <v>15530</v>
      </c>
      <c r="B4880" s="9" t="s">
        <v>15531</v>
      </c>
      <c r="C4880" s="11" t="s">
        <v>28</v>
      </c>
      <c r="D4880" s="9" t="s">
        <v>15532</v>
      </c>
      <c r="E4880" s="11" t="s">
        <v>28</v>
      </c>
      <c r="F4880" s="10" t="s">
        <v>28</v>
      </c>
      <c r="G4880" s="10" t="s">
        <v>28</v>
      </c>
      <c r="H4880" s="10" t="s">
        <v>28</v>
      </c>
      <c r="I4880" s="11" t="s">
        <v>28</v>
      </c>
      <c r="J4880" s="11" t="s">
        <v>28</v>
      </c>
      <c r="K4880" s="11" t="s">
        <v>28</v>
      </c>
      <c r="L4880" s="11" t="s">
        <v>28</v>
      </c>
      <c r="M4880" s="11" t="s">
        <v>28</v>
      </c>
      <c r="N4880" s="8">
        <v>44322</v>
      </c>
      <c r="O4880" s="9" t="s">
        <v>30</v>
      </c>
      <c r="P4880" s="12" t="s">
        <v>15533</v>
      </c>
      <c r="Q4880" s="9" t="s">
        <v>404</v>
      </c>
      <c r="R4880" s="14" t="str">
        <f>HYPERLINK("https://my.pitchbook.com?c=183336-58T","View Company Online")</f>
        <v>View Company Online</v>
      </c>
    </row>
    <row r="4881" spans="1:18" hidden="1" x14ac:dyDescent="0.3">
      <c r="A4881" s="15" t="s">
        <v>15534</v>
      </c>
      <c r="B4881" s="15" t="s">
        <v>3656</v>
      </c>
      <c r="C4881" s="18" t="s">
        <v>28</v>
      </c>
      <c r="D4881" s="15" t="s">
        <v>3657</v>
      </c>
      <c r="E4881" s="18" t="s">
        <v>28</v>
      </c>
      <c r="F4881" s="19" t="s">
        <v>28</v>
      </c>
      <c r="G4881" s="19">
        <v>0.9</v>
      </c>
      <c r="H4881" s="19" t="s">
        <v>28</v>
      </c>
      <c r="I4881" s="18" t="s">
        <v>28</v>
      </c>
      <c r="J4881" s="18" t="s">
        <v>28</v>
      </c>
      <c r="K4881" s="18" t="s">
        <v>28</v>
      </c>
      <c r="L4881" s="18" t="s">
        <v>28</v>
      </c>
      <c r="M4881" s="18" t="s">
        <v>28</v>
      </c>
      <c r="N4881" s="17">
        <v>44322</v>
      </c>
      <c r="O4881" s="15" t="s">
        <v>73</v>
      </c>
      <c r="P4881" s="16" t="s">
        <v>15535</v>
      </c>
      <c r="Q4881" s="15" t="s">
        <v>75</v>
      </c>
      <c r="R4881" s="13" t="str">
        <f>HYPERLINK("https://my.pitchbook.com?c=171768-25T","View Company Online")</f>
        <v>View Company Online</v>
      </c>
    </row>
    <row r="4882" spans="1:18" hidden="1" x14ac:dyDescent="0.3">
      <c r="A4882" s="9" t="s">
        <v>15536</v>
      </c>
      <c r="B4882" s="9" t="s">
        <v>3335</v>
      </c>
      <c r="C4882" s="11" t="s">
        <v>28</v>
      </c>
      <c r="D4882" s="9" t="s">
        <v>3336</v>
      </c>
      <c r="E4882" s="11" t="s">
        <v>28</v>
      </c>
      <c r="F4882" s="10" t="s">
        <v>28</v>
      </c>
      <c r="G4882" s="10">
        <v>8.1300000000000008</v>
      </c>
      <c r="H4882" s="10" t="s">
        <v>28</v>
      </c>
      <c r="I4882" s="11" t="s">
        <v>28</v>
      </c>
      <c r="J4882" s="11" t="s">
        <v>28</v>
      </c>
      <c r="K4882" s="11" t="s">
        <v>28</v>
      </c>
      <c r="L4882" s="11" t="s">
        <v>28</v>
      </c>
      <c r="M4882" s="11" t="s">
        <v>28</v>
      </c>
      <c r="N4882" s="8">
        <v>44322</v>
      </c>
      <c r="O4882" s="9" t="s">
        <v>79</v>
      </c>
      <c r="P4882" s="12" t="s">
        <v>15537</v>
      </c>
      <c r="Q4882" s="9" t="s">
        <v>75</v>
      </c>
      <c r="R4882" s="14" t="str">
        <f>HYPERLINK("https://my.pitchbook.com?c=171754-48T","View Company Online")</f>
        <v>View Company Online</v>
      </c>
    </row>
    <row r="4883" spans="1:18" hidden="1" x14ac:dyDescent="0.3">
      <c r="A4883" s="15" t="s">
        <v>15538</v>
      </c>
      <c r="B4883" s="15" t="s">
        <v>11780</v>
      </c>
      <c r="C4883" s="18" t="s">
        <v>28</v>
      </c>
      <c r="D4883" s="15" t="s">
        <v>11781</v>
      </c>
      <c r="E4883" s="18" t="s">
        <v>28</v>
      </c>
      <c r="F4883" s="19" t="s">
        <v>28</v>
      </c>
      <c r="G4883" s="19">
        <v>7.93</v>
      </c>
      <c r="H4883" s="19" t="s">
        <v>28</v>
      </c>
      <c r="I4883" s="18" t="s">
        <v>28</v>
      </c>
      <c r="J4883" s="18" t="s">
        <v>28</v>
      </c>
      <c r="K4883" s="18" t="s">
        <v>28</v>
      </c>
      <c r="L4883" s="18" t="s">
        <v>28</v>
      </c>
      <c r="M4883" s="18" t="s">
        <v>28</v>
      </c>
      <c r="N4883" s="17">
        <v>44321</v>
      </c>
      <c r="O4883" s="15" t="s">
        <v>99</v>
      </c>
      <c r="P4883" s="16" t="s">
        <v>15539</v>
      </c>
      <c r="Q4883" s="15" t="s">
        <v>1341</v>
      </c>
      <c r="R4883" s="13" t="str">
        <f>HYPERLINK("https://my.pitchbook.com?c=171582-76T","View Company Online")</f>
        <v>View Company Online</v>
      </c>
    </row>
    <row r="4884" spans="1:18" hidden="1" x14ac:dyDescent="0.3">
      <c r="A4884" s="9" t="s">
        <v>15540</v>
      </c>
      <c r="B4884" s="9" t="s">
        <v>15541</v>
      </c>
      <c r="C4884" s="11" t="s">
        <v>28</v>
      </c>
      <c r="D4884" s="9" t="s">
        <v>15542</v>
      </c>
      <c r="E4884" s="11" t="s">
        <v>28</v>
      </c>
      <c r="F4884" s="10" t="s">
        <v>28</v>
      </c>
      <c r="G4884" s="10" t="s">
        <v>28</v>
      </c>
      <c r="H4884" s="10" t="s">
        <v>28</v>
      </c>
      <c r="I4884" s="11" t="s">
        <v>28</v>
      </c>
      <c r="J4884" s="11" t="s">
        <v>28</v>
      </c>
      <c r="K4884" s="11" t="s">
        <v>28</v>
      </c>
      <c r="L4884" s="11" t="s">
        <v>28</v>
      </c>
      <c r="M4884" s="11" t="s">
        <v>28</v>
      </c>
      <c r="N4884" s="8">
        <v>44321</v>
      </c>
      <c r="O4884" s="9" t="s">
        <v>93</v>
      </c>
      <c r="P4884" s="12" t="s">
        <v>1490</v>
      </c>
      <c r="Q4884" s="9" t="s">
        <v>583</v>
      </c>
      <c r="R4884" s="14" t="str">
        <f>HYPERLINK("https://my.pitchbook.com?c=249930-73T","View Company Online")</f>
        <v>View Company Online</v>
      </c>
    </row>
    <row r="4885" spans="1:18" hidden="1" x14ac:dyDescent="0.3">
      <c r="A4885" s="15" t="s">
        <v>15543</v>
      </c>
      <c r="B4885" s="15" t="s">
        <v>8337</v>
      </c>
      <c r="C4885" s="18" t="s">
        <v>28</v>
      </c>
      <c r="D4885" s="15" t="s">
        <v>8338</v>
      </c>
      <c r="E4885" s="18" t="s">
        <v>28</v>
      </c>
      <c r="F4885" s="19" t="s">
        <v>28</v>
      </c>
      <c r="G4885" s="19">
        <v>0.08</v>
      </c>
      <c r="H4885" s="19" t="s">
        <v>28</v>
      </c>
      <c r="I4885" s="18" t="s">
        <v>28</v>
      </c>
      <c r="J4885" s="18" t="s">
        <v>28</v>
      </c>
      <c r="K4885" s="18" t="s">
        <v>28</v>
      </c>
      <c r="L4885" s="18" t="s">
        <v>28</v>
      </c>
      <c r="M4885" s="18" t="s">
        <v>28</v>
      </c>
      <c r="N4885" s="17">
        <v>44321</v>
      </c>
      <c r="O4885" s="15" t="s">
        <v>99</v>
      </c>
      <c r="P4885" s="16" t="s">
        <v>15544</v>
      </c>
      <c r="Q4885" s="15" t="s">
        <v>75</v>
      </c>
      <c r="R4885" s="13" t="str">
        <f>HYPERLINK("https://my.pitchbook.com?c=210976-48T","View Company Online")</f>
        <v>View Company Online</v>
      </c>
    </row>
    <row r="4886" spans="1:18" hidden="1" x14ac:dyDescent="0.3">
      <c r="A4886" s="9" t="s">
        <v>15545</v>
      </c>
      <c r="B4886" s="9" t="s">
        <v>225</v>
      </c>
      <c r="C4886" s="11" t="s">
        <v>28</v>
      </c>
      <c r="D4886" s="9" t="s">
        <v>10266</v>
      </c>
      <c r="E4886" s="11">
        <v>24.87</v>
      </c>
      <c r="F4886" s="10" t="s">
        <v>28</v>
      </c>
      <c r="G4886" s="10">
        <v>186.18</v>
      </c>
      <c r="H4886" s="10" t="s">
        <v>28</v>
      </c>
      <c r="I4886" s="11" t="s">
        <v>28</v>
      </c>
      <c r="J4886" s="11" t="s">
        <v>28</v>
      </c>
      <c r="K4886" s="11">
        <v>155.05000000000001</v>
      </c>
      <c r="L4886" s="11" t="s">
        <v>28</v>
      </c>
      <c r="M4886" s="11">
        <v>7.66</v>
      </c>
      <c r="N4886" s="8">
        <v>44321</v>
      </c>
      <c r="O4886" s="9" t="s">
        <v>173</v>
      </c>
      <c r="P4886" s="12" t="s">
        <v>28</v>
      </c>
      <c r="Q4886" s="9" t="s">
        <v>268</v>
      </c>
      <c r="R4886" s="14" t="str">
        <f>HYPERLINK("https://my.pitchbook.com?c=171894-97T","View Company Online")</f>
        <v>View Company Online</v>
      </c>
    </row>
    <row r="4887" spans="1:18" hidden="1" x14ac:dyDescent="0.3">
      <c r="A4887" s="15" t="s">
        <v>15546</v>
      </c>
      <c r="B4887" s="15" t="s">
        <v>2170</v>
      </c>
      <c r="C4887" s="18" t="s">
        <v>28</v>
      </c>
      <c r="D4887" s="15" t="s">
        <v>2171</v>
      </c>
      <c r="E4887" s="18" t="s">
        <v>28</v>
      </c>
      <c r="F4887" s="19" t="s">
        <v>28</v>
      </c>
      <c r="G4887" s="19">
        <v>35</v>
      </c>
      <c r="H4887" s="19" t="s">
        <v>28</v>
      </c>
      <c r="I4887" s="18" t="s">
        <v>28</v>
      </c>
      <c r="J4887" s="18" t="s">
        <v>28</v>
      </c>
      <c r="K4887" s="18" t="s">
        <v>28</v>
      </c>
      <c r="L4887" s="18" t="s">
        <v>28</v>
      </c>
      <c r="M4887" s="18" t="s">
        <v>28</v>
      </c>
      <c r="N4887" s="17">
        <v>44320</v>
      </c>
      <c r="O4887" s="15" t="s">
        <v>73</v>
      </c>
      <c r="P4887" s="16" t="s">
        <v>15547</v>
      </c>
      <c r="Q4887" s="15" t="s">
        <v>1336</v>
      </c>
      <c r="R4887" s="13" t="str">
        <f>HYPERLINK("https://my.pitchbook.com?c=171530-29T","View Company Online")</f>
        <v>View Company Online</v>
      </c>
    </row>
    <row r="4888" spans="1:18" hidden="1" x14ac:dyDescent="0.3">
      <c r="A4888" s="9" t="s">
        <v>15548</v>
      </c>
      <c r="B4888" s="9" t="s">
        <v>2287</v>
      </c>
      <c r="C4888" s="11" t="s">
        <v>28</v>
      </c>
      <c r="D4888" s="9" t="s">
        <v>2288</v>
      </c>
      <c r="E4888" s="11" t="s">
        <v>28</v>
      </c>
      <c r="F4888" s="10" t="s">
        <v>28</v>
      </c>
      <c r="G4888" s="10">
        <v>5.5</v>
      </c>
      <c r="H4888" s="10" t="s">
        <v>28</v>
      </c>
      <c r="I4888" s="11" t="s">
        <v>28</v>
      </c>
      <c r="J4888" s="11" t="s">
        <v>28</v>
      </c>
      <c r="K4888" s="11" t="s">
        <v>28</v>
      </c>
      <c r="L4888" s="11" t="s">
        <v>28</v>
      </c>
      <c r="M4888" s="11" t="s">
        <v>28</v>
      </c>
      <c r="N4888" s="8">
        <v>44320</v>
      </c>
      <c r="O4888" s="9" t="s">
        <v>73</v>
      </c>
      <c r="P4888" s="12" t="s">
        <v>15549</v>
      </c>
      <c r="Q4888" s="9" t="s">
        <v>696</v>
      </c>
      <c r="R4888" s="14" t="str">
        <f>HYPERLINK("https://my.pitchbook.com?c=134231-50T","View Company Online")</f>
        <v>View Company Online</v>
      </c>
    </row>
    <row r="4889" spans="1:18" hidden="1" x14ac:dyDescent="0.3">
      <c r="A4889" s="15" t="s">
        <v>15550</v>
      </c>
      <c r="B4889" s="15" t="s">
        <v>15551</v>
      </c>
      <c r="C4889" s="18" t="s">
        <v>28</v>
      </c>
      <c r="D4889" s="15" t="s">
        <v>15552</v>
      </c>
      <c r="E4889" s="18" t="s">
        <v>28</v>
      </c>
      <c r="F4889" s="19" t="s">
        <v>28</v>
      </c>
      <c r="G4889" s="19" t="s">
        <v>28</v>
      </c>
      <c r="H4889" s="19" t="s">
        <v>28</v>
      </c>
      <c r="I4889" s="18" t="s">
        <v>28</v>
      </c>
      <c r="J4889" s="18" t="s">
        <v>28</v>
      </c>
      <c r="K4889" s="18" t="s">
        <v>28</v>
      </c>
      <c r="L4889" s="18" t="s">
        <v>28</v>
      </c>
      <c r="M4889" s="18" t="s">
        <v>28</v>
      </c>
      <c r="N4889" s="17">
        <v>44320</v>
      </c>
      <c r="O4889" s="15" t="s">
        <v>30</v>
      </c>
      <c r="P4889" s="16" t="s">
        <v>15553</v>
      </c>
      <c r="Q4889" s="15" t="s">
        <v>285</v>
      </c>
      <c r="R4889" s="13" t="str">
        <f>HYPERLINK("https://my.pitchbook.com?c=213230-44T","View Company Online")</f>
        <v>View Company Online</v>
      </c>
    </row>
    <row r="4890" spans="1:18" hidden="1" x14ac:dyDescent="0.3">
      <c r="A4890" s="9" t="s">
        <v>15554</v>
      </c>
      <c r="B4890" s="9" t="s">
        <v>15555</v>
      </c>
      <c r="C4890" s="11" t="s">
        <v>28</v>
      </c>
      <c r="D4890" s="9" t="s">
        <v>15556</v>
      </c>
      <c r="E4890" s="11" t="s">
        <v>28</v>
      </c>
      <c r="F4890" s="10" t="s">
        <v>28</v>
      </c>
      <c r="G4890" s="10" t="s">
        <v>28</v>
      </c>
      <c r="H4890" s="10" t="s">
        <v>28</v>
      </c>
      <c r="I4890" s="11" t="s">
        <v>28</v>
      </c>
      <c r="J4890" s="11" t="s">
        <v>28</v>
      </c>
      <c r="K4890" s="11" t="s">
        <v>28</v>
      </c>
      <c r="L4890" s="11" t="s">
        <v>28</v>
      </c>
      <c r="M4890" s="11" t="s">
        <v>28</v>
      </c>
      <c r="N4890" s="8">
        <v>44320</v>
      </c>
      <c r="O4890" s="9" t="s">
        <v>30</v>
      </c>
      <c r="P4890" s="12" t="s">
        <v>769</v>
      </c>
      <c r="Q4890" s="9" t="s">
        <v>188</v>
      </c>
      <c r="R4890" s="14" t="str">
        <f>HYPERLINK("https://my.pitchbook.com?c=171650-62T","View Company Online")</f>
        <v>View Company Online</v>
      </c>
    </row>
    <row r="4891" spans="1:18" hidden="1" x14ac:dyDescent="0.3">
      <c r="A4891" s="15" t="s">
        <v>15557</v>
      </c>
      <c r="B4891" s="15" t="s">
        <v>15558</v>
      </c>
      <c r="C4891" s="18" t="s">
        <v>28</v>
      </c>
      <c r="D4891" s="15" t="s">
        <v>15559</v>
      </c>
      <c r="E4891" s="18" t="s">
        <v>28</v>
      </c>
      <c r="F4891" s="19">
        <v>58.33</v>
      </c>
      <c r="G4891" s="19">
        <v>58.33</v>
      </c>
      <c r="H4891" s="19">
        <v>58.33</v>
      </c>
      <c r="I4891" s="18" t="s">
        <v>28</v>
      </c>
      <c r="J4891" s="18" t="s">
        <v>28</v>
      </c>
      <c r="K4891" s="18">
        <v>10.4</v>
      </c>
      <c r="L4891" s="18">
        <v>5.61</v>
      </c>
      <c r="M4891" s="18" t="s">
        <v>28</v>
      </c>
      <c r="N4891" s="17">
        <v>44319</v>
      </c>
      <c r="O4891" s="15" t="s">
        <v>30</v>
      </c>
      <c r="P4891" s="16" t="s">
        <v>2679</v>
      </c>
      <c r="Q4891" s="15" t="s">
        <v>114</v>
      </c>
      <c r="R4891" s="13" t="str">
        <f>HYPERLINK("https://my.pitchbook.com?c=171734-59T","View Company Online")</f>
        <v>View Company Online</v>
      </c>
    </row>
    <row r="4892" spans="1:18" hidden="1" x14ac:dyDescent="0.3">
      <c r="A4892" s="9" t="s">
        <v>15560</v>
      </c>
      <c r="B4892" s="9" t="s">
        <v>4391</v>
      </c>
      <c r="C4892" s="11" t="s">
        <v>28</v>
      </c>
      <c r="D4892" s="9" t="s">
        <v>4392</v>
      </c>
      <c r="E4892" s="11" t="s">
        <v>28</v>
      </c>
      <c r="F4892" s="10">
        <v>58.24</v>
      </c>
      <c r="G4892" s="10">
        <v>58.24</v>
      </c>
      <c r="H4892" s="10">
        <v>58.24</v>
      </c>
      <c r="I4892" s="11" t="s">
        <v>28</v>
      </c>
      <c r="J4892" s="11" t="s">
        <v>28</v>
      </c>
      <c r="K4892" s="11" t="s">
        <v>28</v>
      </c>
      <c r="L4892" s="11" t="s">
        <v>28</v>
      </c>
      <c r="M4892" s="11">
        <v>2.85</v>
      </c>
      <c r="N4892" s="8">
        <v>44319</v>
      </c>
      <c r="O4892" s="9" t="s">
        <v>30</v>
      </c>
      <c r="P4892" s="12" t="s">
        <v>15561</v>
      </c>
      <c r="Q4892" s="9" t="s">
        <v>37</v>
      </c>
      <c r="R4892" s="14" t="str">
        <f>HYPERLINK("https://my.pitchbook.com?c=211838-41T","View Company Online")</f>
        <v>View Company Online</v>
      </c>
    </row>
    <row r="4893" spans="1:18" hidden="1" x14ac:dyDescent="0.3">
      <c r="A4893" s="15" t="s">
        <v>15562</v>
      </c>
      <c r="B4893" s="15" t="s">
        <v>15563</v>
      </c>
      <c r="C4893" s="18" t="s">
        <v>28</v>
      </c>
      <c r="D4893" s="15" t="s">
        <v>15564</v>
      </c>
      <c r="E4893" s="18" t="s">
        <v>28</v>
      </c>
      <c r="F4893" s="19" t="s">
        <v>28</v>
      </c>
      <c r="G4893" s="19" t="s">
        <v>28</v>
      </c>
      <c r="H4893" s="19" t="s">
        <v>28</v>
      </c>
      <c r="I4893" s="18" t="s">
        <v>28</v>
      </c>
      <c r="J4893" s="18" t="s">
        <v>28</v>
      </c>
      <c r="K4893" s="18" t="s">
        <v>28</v>
      </c>
      <c r="L4893" s="18" t="s">
        <v>28</v>
      </c>
      <c r="M4893" s="18" t="s">
        <v>28</v>
      </c>
      <c r="N4893" s="17">
        <v>44319</v>
      </c>
      <c r="O4893" s="15" t="s">
        <v>30</v>
      </c>
      <c r="P4893" s="16" t="s">
        <v>343</v>
      </c>
      <c r="Q4893" s="15" t="s">
        <v>424</v>
      </c>
      <c r="R4893" s="13" t="str">
        <f>HYPERLINK("https://my.pitchbook.com?c=213223-51T","View Company Online")</f>
        <v>View Company Online</v>
      </c>
    </row>
    <row r="4894" spans="1:18" hidden="1" x14ac:dyDescent="0.3">
      <c r="A4894" s="9" t="s">
        <v>15565</v>
      </c>
      <c r="B4894" s="9" t="s">
        <v>15566</v>
      </c>
      <c r="C4894" s="11" t="s">
        <v>28</v>
      </c>
      <c r="D4894" s="9" t="s">
        <v>15567</v>
      </c>
      <c r="E4894" s="11" t="s">
        <v>28</v>
      </c>
      <c r="F4894" s="10" t="s">
        <v>28</v>
      </c>
      <c r="G4894" s="10" t="s">
        <v>28</v>
      </c>
      <c r="H4894" s="10" t="s">
        <v>28</v>
      </c>
      <c r="I4894" s="11" t="s">
        <v>28</v>
      </c>
      <c r="J4894" s="11" t="s">
        <v>28</v>
      </c>
      <c r="K4894" s="11" t="s">
        <v>28</v>
      </c>
      <c r="L4894" s="11" t="s">
        <v>28</v>
      </c>
      <c r="M4894" s="11" t="s">
        <v>28</v>
      </c>
      <c r="N4894" s="8">
        <v>44319</v>
      </c>
      <c r="O4894" s="9" t="s">
        <v>30</v>
      </c>
      <c r="P4894" s="12" t="s">
        <v>15568</v>
      </c>
      <c r="Q4894" s="9" t="s">
        <v>95</v>
      </c>
      <c r="R4894" s="14" t="str">
        <f>HYPERLINK("https://my.pitchbook.com?c=215911-45T","View Company Online")</f>
        <v>View Company Online</v>
      </c>
    </row>
    <row r="4895" spans="1:18" hidden="1" x14ac:dyDescent="0.3">
      <c r="A4895" s="15" t="s">
        <v>15569</v>
      </c>
      <c r="B4895" s="15" t="s">
        <v>15570</v>
      </c>
      <c r="C4895" s="18" t="s">
        <v>28</v>
      </c>
      <c r="D4895" s="15" t="s">
        <v>15571</v>
      </c>
      <c r="E4895" s="18" t="s">
        <v>28</v>
      </c>
      <c r="F4895" s="19" t="s">
        <v>28</v>
      </c>
      <c r="G4895" s="19" t="s">
        <v>28</v>
      </c>
      <c r="H4895" s="19" t="s">
        <v>28</v>
      </c>
      <c r="I4895" s="18" t="s">
        <v>28</v>
      </c>
      <c r="J4895" s="18" t="s">
        <v>28</v>
      </c>
      <c r="K4895" s="18" t="s">
        <v>28</v>
      </c>
      <c r="L4895" s="18" t="s">
        <v>28</v>
      </c>
      <c r="M4895" s="18" t="s">
        <v>28</v>
      </c>
      <c r="N4895" s="17">
        <v>44319</v>
      </c>
      <c r="O4895" s="15" t="s">
        <v>30</v>
      </c>
      <c r="P4895" s="16" t="s">
        <v>15572</v>
      </c>
      <c r="Q4895" s="15" t="s">
        <v>5628</v>
      </c>
      <c r="R4895" s="13" t="str">
        <f>HYPERLINK("https://my.pitchbook.com?c=171606-79T","View Company Online")</f>
        <v>View Company Online</v>
      </c>
    </row>
    <row r="4896" spans="1:18" hidden="1" x14ac:dyDescent="0.3">
      <c r="A4896" s="9" t="s">
        <v>15573</v>
      </c>
      <c r="B4896" s="9" t="s">
        <v>1713</v>
      </c>
      <c r="C4896" s="11" t="s">
        <v>28</v>
      </c>
      <c r="D4896" s="9" t="s">
        <v>1714</v>
      </c>
      <c r="E4896" s="11" t="s">
        <v>28</v>
      </c>
      <c r="F4896" s="10" t="s">
        <v>28</v>
      </c>
      <c r="G4896" s="10">
        <v>6.02</v>
      </c>
      <c r="H4896" s="10" t="s">
        <v>28</v>
      </c>
      <c r="I4896" s="11" t="s">
        <v>28</v>
      </c>
      <c r="J4896" s="11" t="s">
        <v>28</v>
      </c>
      <c r="K4896" s="11" t="s">
        <v>28</v>
      </c>
      <c r="L4896" s="11" t="s">
        <v>28</v>
      </c>
      <c r="M4896" s="11" t="s">
        <v>28</v>
      </c>
      <c r="N4896" s="8">
        <v>44319</v>
      </c>
      <c r="O4896" s="9" t="s">
        <v>99</v>
      </c>
      <c r="P4896" s="12" t="s">
        <v>13237</v>
      </c>
      <c r="Q4896" s="9" t="s">
        <v>419</v>
      </c>
      <c r="R4896" s="14" t="str">
        <f>HYPERLINK("https://my.pitchbook.com?c=168214-15T","View Company Online")</f>
        <v>View Company Online</v>
      </c>
    </row>
    <row r="4897" spans="1:18" hidden="1" x14ac:dyDescent="0.3">
      <c r="A4897" s="15" t="s">
        <v>15574</v>
      </c>
      <c r="B4897" s="15" t="s">
        <v>15575</v>
      </c>
      <c r="C4897" s="18" t="s">
        <v>28</v>
      </c>
      <c r="D4897" s="15" t="s">
        <v>15576</v>
      </c>
      <c r="E4897" s="18" t="s">
        <v>28</v>
      </c>
      <c r="F4897" s="19" t="s">
        <v>28</v>
      </c>
      <c r="G4897" s="19" t="s">
        <v>28</v>
      </c>
      <c r="H4897" s="19" t="s">
        <v>28</v>
      </c>
      <c r="I4897" s="18" t="s">
        <v>28</v>
      </c>
      <c r="J4897" s="18" t="s">
        <v>28</v>
      </c>
      <c r="K4897" s="18" t="s">
        <v>28</v>
      </c>
      <c r="L4897" s="18" t="s">
        <v>28</v>
      </c>
      <c r="M4897" s="18" t="s">
        <v>28</v>
      </c>
      <c r="N4897" s="17">
        <v>44318</v>
      </c>
      <c r="O4897" s="15" t="s">
        <v>30</v>
      </c>
      <c r="P4897" s="16" t="s">
        <v>15577</v>
      </c>
      <c r="Q4897" s="15" t="s">
        <v>37</v>
      </c>
      <c r="R4897" s="13" t="str">
        <f>HYPERLINK("https://my.pitchbook.com?c=171484-48T","View Company Online")</f>
        <v>View Company Online</v>
      </c>
    </row>
    <row r="4898" spans="1:18" hidden="1" x14ac:dyDescent="0.3">
      <c r="A4898" s="9" t="s">
        <v>15578</v>
      </c>
      <c r="B4898" s="9" t="s">
        <v>15579</v>
      </c>
      <c r="C4898" s="11" t="s">
        <v>28</v>
      </c>
      <c r="D4898" s="9" t="s">
        <v>13551</v>
      </c>
      <c r="E4898" s="11" t="s">
        <v>28</v>
      </c>
      <c r="F4898" s="10" t="s">
        <v>28</v>
      </c>
      <c r="G4898" s="10" t="s">
        <v>28</v>
      </c>
      <c r="H4898" s="10" t="s">
        <v>28</v>
      </c>
      <c r="I4898" s="11" t="s">
        <v>28</v>
      </c>
      <c r="J4898" s="11" t="s">
        <v>28</v>
      </c>
      <c r="K4898" s="11" t="s">
        <v>28</v>
      </c>
      <c r="L4898" s="11" t="s">
        <v>28</v>
      </c>
      <c r="M4898" s="11" t="s">
        <v>28</v>
      </c>
      <c r="N4898" s="8">
        <v>44317</v>
      </c>
      <c r="O4898" s="9" t="s">
        <v>41</v>
      </c>
      <c r="P4898" s="12" t="s">
        <v>15580</v>
      </c>
      <c r="Q4898" s="9" t="s">
        <v>692</v>
      </c>
      <c r="R4898" s="14" t="str">
        <f>HYPERLINK("https://my.pitchbook.com?c=241842-34T","View Company Online")</f>
        <v>View Company Online</v>
      </c>
    </row>
    <row r="4899" spans="1:18" hidden="1" x14ac:dyDescent="0.3">
      <c r="A4899" s="15" t="s">
        <v>15581</v>
      </c>
      <c r="B4899" s="15" t="s">
        <v>11714</v>
      </c>
      <c r="C4899" s="18" t="s">
        <v>28</v>
      </c>
      <c r="D4899" s="15" t="s">
        <v>11715</v>
      </c>
      <c r="E4899" s="18" t="s">
        <v>28</v>
      </c>
      <c r="F4899" s="19" t="s">
        <v>28</v>
      </c>
      <c r="G4899" s="19" t="s">
        <v>28</v>
      </c>
      <c r="H4899" s="19" t="s">
        <v>28</v>
      </c>
      <c r="I4899" s="18" t="s">
        <v>28</v>
      </c>
      <c r="J4899" s="18" t="s">
        <v>28</v>
      </c>
      <c r="K4899" s="18" t="s">
        <v>28</v>
      </c>
      <c r="L4899" s="18" t="s">
        <v>28</v>
      </c>
      <c r="M4899" s="18" t="s">
        <v>28</v>
      </c>
      <c r="N4899" s="17">
        <v>44317</v>
      </c>
      <c r="O4899" s="15" t="s">
        <v>73</v>
      </c>
      <c r="P4899" s="16" t="s">
        <v>11716</v>
      </c>
      <c r="Q4899" s="15" t="s">
        <v>399</v>
      </c>
      <c r="R4899" s="13" t="str">
        <f>HYPERLINK("https://my.pitchbook.com?c=210784-60T","View Company Online")</f>
        <v>View Company Online</v>
      </c>
    </row>
    <row r="4900" spans="1:18" hidden="1" x14ac:dyDescent="0.3">
      <c r="A4900" s="9" t="s">
        <v>15582</v>
      </c>
      <c r="B4900" s="9" t="s">
        <v>11953</v>
      </c>
      <c r="C4900" s="11" t="s">
        <v>28</v>
      </c>
      <c r="D4900" s="9" t="s">
        <v>11954</v>
      </c>
      <c r="E4900" s="11" t="s">
        <v>28</v>
      </c>
      <c r="F4900" s="10" t="s">
        <v>28</v>
      </c>
      <c r="G4900" s="10">
        <v>0.08</v>
      </c>
      <c r="H4900" s="10">
        <v>1.5</v>
      </c>
      <c r="I4900" s="11" t="s">
        <v>28</v>
      </c>
      <c r="J4900" s="11" t="s">
        <v>28</v>
      </c>
      <c r="K4900" s="11" t="s">
        <v>28</v>
      </c>
      <c r="L4900" s="11" t="s">
        <v>28</v>
      </c>
      <c r="M4900" s="11" t="s">
        <v>28</v>
      </c>
      <c r="N4900" s="8">
        <v>44317</v>
      </c>
      <c r="O4900" s="9" t="s">
        <v>379</v>
      </c>
      <c r="P4900" s="12" t="s">
        <v>28</v>
      </c>
      <c r="Q4900" s="9" t="s">
        <v>37</v>
      </c>
      <c r="R4900" s="14" t="str">
        <f>HYPERLINK("https://my.pitchbook.com?c=190419-40T","View Company Online")</f>
        <v>View Company Online</v>
      </c>
    </row>
    <row r="4901" spans="1:18" hidden="1" x14ac:dyDescent="0.3">
      <c r="A4901" s="15" t="s">
        <v>15583</v>
      </c>
      <c r="B4901" s="15" t="s">
        <v>15584</v>
      </c>
      <c r="C4901" s="18" t="s">
        <v>28</v>
      </c>
      <c r="D4901" s="15" t="s">
        <v>15585</v>
      </c>
      <c r="E4901" s="18" t="s">
        <v>28</v>
      </c>
      <c r="F4901" s="19" t="s">
        <v>28</v>
      </c>
      <c r="G4901" s="19">
        <v>0.36</v>
      </c>
      <c r="H4901" s="19" t="s">
        <v>28</v>
      </c>
      <c r="I4901" s="18" t="s">
        <v>28</v>
      </c>
      <c r="J4901" s="18" t="s">
        <v>28</v>
      </c>
      <c r="K4901" s="18" t="s">
        <v>28</v>
      </c>
      <c r="L4901" s="18" t="s">
        <v>28</v>
      </c>
      <c r="M4901" s="18" t="s">
        <v>28</v>
      </c>
      <c r="N4901" s="17">
        <v>44317</v>
      </c>
      <c r="O4901" s="15" t="s">
        <v>73</v>
      </c>
      <c r="P4901" s="16" t="s">
        <v>15586</v>
      </c>
      <c r="Q4901" s="15" t="s">
        <v>75</v>
      </c>
      <c r="R4901" s="13" t="str">
        <f>HYPERLINK("https://my.pitchbook.com?c=179450-29T","View Company Online")</f>
        <v>View Company Online</v>
      </c>
    </row>
    <row r="4902" spans="1:18" hidden="1" x14ac:dyDescent="0.3">
      <c r="A4902" s="9" t="s">
        <v>15587</v>
      </c>
      <c r="B4902" s="9" t="s">
        <v>15588</v>
      </c>
      <c r="C4902" s="11" t="s">
        <v>28</v>
      </c>
      <c r="D4902" s="9" t="s">
        <v>15589</v>
      </c>
      <c r="E4902" s="11" t="s">
        <v>28</v>
      </c>
      <c r="F4902" s="10" t="s">
        <v>28</v>
      </c>
      <c r="G4902" s="10" t="s">
        <v>28</v>
      </c>
      <c r="H4902" s="10" t="s">
        <v>28</v>
      </c>
      <c r="I4902" s="11" t="s">
        <v>28</v>
      </c>
      <c r="J4902" s="11" t="s">
        <v>28</v>
      </c>
      <c r="K4902" s="11" t="s">
        <v>28</v>
      </c>
      <c r="L4902" s="11" t="s">
        <v>28</v>
      </c>
      <c r="M4902" s="11" t="s">
        <v>28</v>
      </c>
      <c r="N4902" s="8">
        <v>44317</v>
      </c>
      <c r="O4902" s="9" t="s">
        <v>52</v>
      </c>
      <c r="P4902" s="12" t="s">
        <v>15278</v>
      </c>
      <c r="Q4902" s="9" t="s">
        <v>75</v>
      </c>
      <c r="R4902" s="14" t="str">
        <f>HYPERLINK("https://my.pitchbook.com?c=278334-55T","View Company Online")</f>
        <v>View Company Online</v>
      </c>
    </row>
    <row r="4903" spans="1:18" hidden="1" x14ac:dyDescent="0.3">
      <c r="A4903" s="15" t="s">
        <v>15590</v>
      </c>
      <c r="B4903" s="15" t="s">
        <v>15591</v>
      </c>
      <c r="C4903" s="18" t="s">
        <v>28</v>
      </c>
      <c r="D4903" s="15" t="s">
        <v>15592</v>
      </c>
      <c r="E4903" s="18" t="s">
        <v>28</v>
      </c>
      <c r="F4903" s="19" t="s">
        <v>28</v>
      </c>
      <c r="G4903" s="19" t="s">
        <v>28</v>
      </c>
      <c r="H4903" s="19" t="s">
        <v>28</v>
      </c>
      <c r="I4903" s="18" t="s">
        <v>28</v>
      </c>
      <c r="J4903" s="18" t="s">
        <v>28</v>
      </c>
      <c r="K4903" s="18" t="s">
        <v>28</v>
      </c>
      <c r="L4903" s="18" t="s">
        <v>28</v>
      </c>
      <c r="M4903" s="18" t="s">
        <v>28</v>
      </c>
      <c r="N4903" s="17">
        <v>44317</v>
      </c>
      <c r="O4903" s="15" t="s">
        <v>99</v>
      </c>
      <c r="P4903" s="16" t="s">
        <v>611</v>
      </c>
      <c r="Q4903" s="15" t="s">
        <v>75</v>
      </c>
      <c r="R4903" s="13" t="str">
        <f>HYPERLINK("https://my.pitchbook.com?c=178532-38T","View Company Online")</f>
        <v>View Company Online</v>
      </c>
    </row>
    <row r="4904" spans="1:18" hidden="1" x14ac:dyDescent="0.3">
      <c r="A4904" s="9" t="s">
        <v>15593</v>
      </c>
      <c r="B4904" s="9" t="s">
        <v>11602</v>
      </c>
      <c r="C4904" s="11" t="s">
        <v>28</v>
      </c>
      <c r="D4904" s="9" t="s">
        <v>11603</v>
      </c>
      <c r="E4904" s="11" t="s">
        <v>28</v>
      </c>
      <c r="F4904" s="10" t="s">
        <v>28</v>
      </c>
      <c r="G4904" s="10" t="s">
        <v>28</v>
      </c>
      <c r="H4904" s="10" t="s">
        <v>28</v>
      </c>
      <c r="I4904" s="11" t="s">
        <v>28</v>
      </c>
      <c r="J4904" s="11" t="s">
        <v>28</v>
      </c>
      <c r="K4904" s="11" t="s">
        <v>28</v>
      </c>
      <c r="L4904" s="11" t="s">
        <v>28</v>
      </c>
      <c r="M4904" s="11" t="s">
        <v>28</v>
      </c>
      <c r="N4904" s="8">
        <v>44317</v>
      </c>
      <c r="O4904" s="9" t="s">
        <v>73</v>
      </c>
      <c r="P4904" s="12" t="s">
        <v>15594</v>
      </c>
      <c r="Q4904" s="9" t="s">
        <v>75</v>
      </c>
      <c r="R4904" s="14" t="str">
        <f>HYPERLINK("https://my.pitchbook.com?c=189323-02T","View Company Online")</f>
        <v>View Company Online</v>
      </c>
    </row>
    <row r="4905" spans="1:18" hidden="1" x14ac:dyDescent="0.3">
      <c r="A4905" s="15" t="s">
        <v>15595</v>
      </c>
      <c r="B4905" s="15" t="s">
        <v>15596</v>
      </c>
      <c r="C4905" s="18" t="s">
        <v>28</v>
      </c>
      <c r="D4905" s="15" t="s">
        <v>15597</v>
      </c>
      <c r="E4905" s="18" t="s">
        <v>28</v>
      </c>
      <c r="F4905" s="19" t="s">
        <v>28</v>
      </c>
      <c r="G4905" s="19" t="s">
        <v>28</v>
      </c>
      <c r="H4905" s="19" t="s">
        <v>28</v>
      </c>
      <c r="I4905" s="18" t="s">
        <v>28</v>
      </c>
      <c r="J4905" s="18" t="s">
        <v>28</v>
      </c>
      <c r="K4905" s="18" t="s">
        <v>28</v>
      </c>
      <c r="L4905" s="18" t="s">
        <v>28</v>
      </c>
      <c r="M4905" s="18" t="s">
        <v>28</v>
      </c>
      <c r="N4905" s="17">
        <v>44317</v>
      </c>
      <c r="O4905" s="15" t="s">
        <v>99</v>
      </c>
      <c r="P4905" s="16" t="s">
        <v>15598</v>
      </c>
      <c r="Q4905" s="15" t="s">
        <v>404</v>
      </c>
      <c r="R4905" s="13" t="str">
        <f>HYPERLINK("https://my.pitchbook.com?c=178537-24T","View Company Online")</f>
        <v>View Company Online</v>
      </c>
    </row>
    <row r="4906" spans="1:18" hidden="1" x14ac:dyDescent="0.3">
      <c r="A4906" s="9" t="s">
        <v>15599</v>
      </c>
      <c r="B4906" s="9" t="s">
        <v>10738</v>
      </c>
      <c r="C4906" s="11" t="s">
        <v>28</v>
      </c>
      <c r="D4906" s="9" t="s">
        <v>10739</v>
      </c>
      <c r="E4906" s="11" t="s">
        <v>28</v>
      </c>
      <c r="F4906" s="10" t="s">
        <v>28</v>
      </c>
      <c r="G4906" s="10" t="s">
        <v>28</v>
      </c>
      <c r="H4906" s="10" t="s">
        <v>28</v>
      </c>
      <c r="I4906" s="11" t="s">
        <v>28</v>
      </c>
      <c r="J4906" s="11" t="s">
        <v>28</v>
      </c>
      <c r="K4906" s="11" t="s">
        <v>28</v>
      </c>
      <c r="L4906" s="11" t="s">
        <v>28</v>
      </c>
      <c r="M4906" s="11" t="s">
        <v>28</v>
      </c>
      <c r="N4906" s="8">
        <v>44317</v>
      </c>
      <c r="O4906" s="9" t="s">
        <v>52</v>
      </c>
      <c r="P4906" s="12" t="s">
        <v>15600</v>
      </c>
      <c r="Q4906" s="9" t="s">
        <v>245</v>
      </c>
      <c r="R4906" s="14" t="str">
        <f>HYPERLINK("https://my.pitchbook.com?c=292856-41T","View Company Online")</f>
        <v>View Company Online</v>
      </c>
    </row>
    <row r="4907" spans="1:18" hidden="1" x14ac:dyDescent="0.3">
      <c r="A4907" s="15" t="s">
        <v>15601</v>
      </c>
      <c r="B4907" s="15" t="s">
        <v>15602</v>
      </c>
      <c r="C4907" s="18" t="s">
        <v>28</v>
      </c>
      <c r="D4907" s="15" t="s">
        <v>15603</v>
      </c>
      <c r="E4907" s="18" t="s">
        <v>28</v>
      </c>
      <c r="F4907" s="19" t="s">
        <v>28</v>
      </c>
      <c r="G4907" s="19" t="s">
        <v>28</v>
      </c>
      <c r="H4907" s="19" t="s">
        <v>28</v>
      </c>
      <c r="I4907" s="18" t="s">
        <v>28</v>
      </c>
      <c r="J4907" s="18" t="s">
        <v>28</v>
      </c>
      <c r="K4907" s="18" t="s">
        <v>28</v>
      </c>
      <c r="L4907" s="18" t="s">
        <v>28</v>
      </c>
      <c r="M4907" s="18" t="s">
        <v>28</v>
      </c>
      <c r="N4907" s="17">
        <v>44317</v>
      </c>
      <c r="O4907" s="15" t="s">
        <v>73</v>
      </c>
      <c r="P4907" s="16" t="s">
        <v>15604</v>
      </c>
      <c r="Q4907" s="15" t="s">
        <v>95</v>
      </c>
      <c r="R4907" s="13" t="str">
        <f>HYPERLINK("https://my.pitchbook.com?c=194482-36T","View Company Online")</f>
        <v>View Company Online</v>
      </c>
    </row>
    <row r="4908" spans="1:18" hidden="1" x14ac:dyDescent="0.3">
      <c r="A4908" s="9" t="s">
        <v>15605</v>
      </c>
      <c r="B4908" s="9" t="s">
        <v>2688</v>
      </c>
      <c r="C4908" s="11" t="s">
        <v>28</v>
      </c>
      <c r="D4908" s="9" t="s">
        <v>2689</v>
      </c>
      <c r="E4908" s="11">
        <v>17.190000000000001</v>
      </c>
      <c r="F4908" s="10" t="s">
        <v>28</v>
      </c>
      <c r="G4908" s="10">
        <v>71.58</v>
      </c>
      <c r="H4908" s="10" t="s">
        <v>28</v>
      </c>
      <c r="I4908" s="11" t="s">
        <v>28</v>
      </c>
      <c r="J4908" s="11" t="s">
        <v>28</v>
      </c>
      <c r="K4908" s="11">
        <v>109.58</v>
      </c>
      <c r="L4908" s="11" t="s">
        <v>28</v>
      </c>
      <c r="M4908" s="11">
        <v>12.13</v>
      </c>
      <c r="N4908" s="8">
        <v>44316</v>
      </c>
      <c r="O4908" s="9" t="s">
        <v>173</v>
      </c>
      <c r="P4908" s="12" t="s">
        <v>28</v>
      </c>
      <c r="Q4908" s="9" t="s">
        <v>69</v>
      </c>
      <c r="R4908" s="14" t="str">
        <f>HYPERLINK("https://my.pitchbook.com?c=221421-07T","View Company Online")</f>
        <v>View Company Online</v>
      </c>
    </row>
    <row r="4909" spans="1:18" hidden="1" x14ac:dyDescent="0.3">
      <c r="A4909" s="15" t="s">
        <v>15606</v>
      </c>
      <c r="B4909" s="15" t="s">
        <v>15607</v>
      </c>
      <c r="C4909" s="18" t="s">
        <v>28</v>
      </c>
      <c r="D4909" s="15" t="s">
        <v>15608</v>
      </c>
      <c r="E4909" s="18" t="s">
        <v>28</v>
      </c>
      <c r="F4909" s="19" t="s">
        <v>28</v>
      </c>
      <c r="G4909" s="19" t="s">
        <v>28</v>
      </c>
      <c r="H4909" s="19" t="s">
        <v>28</v>
      </c>
      <c r="I4909" s="18" t="s">
        <v>28</v>
      </c>
      <c r="J4909" s="18" t="s">
        <v>28</v>
      </c>
      <c r="K4909" s="18" t="s">
        <v>28</v>
      </c>
      <c r="L4909" s="18" t="s">
        <v>28</v>
      </c>
      <c r="M4909" s="18" t="s">
        <v>28</v>
      </c>
      <c r="N4909" s="17">
        <v>44316</v>
      </c>
      <c r="O4909" s="15" t="s">
        <v>30</v>
      </c>
      <c r="P4909" s="16" t="s">
        <v>15609</v>
      </c>
      <c r="Q4909" s="15" t="s">
        <v>1982</v>
      </c>
      <c r="R4909" s="13" t="str">
        <f>HYPERLINK("https://my.pitchbook.com?c=213162-58T","View Company Online")</f>
        <v>View Company Online</v>
      </c>
    </row>
    <row r="4910" spans="1:18" hidden="1" x14ac:dyDescent="0.3">
      <c r="A4910" s="9" t="s">
        <v>15610</v>
      </c>
      <c r="B4910" s="9" t="s">
        <v>15611</v>
      </c>
      <c r="C4910" s="11" t="s">
        <v>28</v>
      </c>
      <c r="D4910" s="9" t="s">
        <v>15612</v>
      </c>
      <c r="E4910" s="11" t="s">
        <v>28</v>
      </c>
      <c r="F4910" s="10" t="s">
        <v>28</v>
      </c>
      <c r="G4910" s="10" t="s">
        <v>28</v>
      </c>
      <c r="H4910" s="10" t="s">
        <v>28</v>
      </c>
      <c r="I4910" s="11" t="s">
        <v>28</v>
      </c>
      <c r="J4910" s="11" t="s">
        <v>28</v>
      </c>
      <c r="K4910" s="11">
        <v>300</v>
      </c>
      <c r="L4910" s="11" t="s">
        <v>28</v>
      </c>
      <c r="M4910" s="11" t="s">
        <v>28</v>
      </c>
      <c r="N4910" s="8">
        <v>44316</v>
      </c>
      <c r="O4910" s="9" t="s">
        <v>30</v>
      </c>
      <c r="P4910" s="12" t="s">
        <v>15613</v>
      </c>
      <c r="Q4910" s="9" t="s">
        <v>245</v>
      </c>
      <c r="R4910" s="14" t="str">
        <f>HYPERLINK("https://my.pitchbook.com?c=166532-95T","View Company Online")</f>
        <v>View Company Online</v>
      </c>
    </row>
    <row r="4911" spans="1:18" hidden="1" x14ac:dyDescent="0.3">
      <c r="A4911" s="15" t="s">
        <v>15614</v>
      </c>
      <c r="B4911" s="15" t="s">
        <v>11570</v>
      </c>
      <c r="C4911" s="18" t="s">
        <v>28</v>
      </c>
      <c r="D4911" s="15" t="s">
        <v>11571</v>
      </c>
      <c r="E4911" s="18" t="s">
        <v>28</v>
      </c>
      <c r="F4911" s="19" t="s">
        <v>28</v>
      </c>
      <c r="G4911" s="19">
        <v>63</v>
      </c>
      <c r="H4911" s="19" t="s">
        <v>28</v>
      </c>
      <c r="I4911" s="18" t="s">
        <v>28</v>
      </c>
      <c r="J4911" s="18" t="s">
        <v>28</v>
      </c>
      <c r="K4911" s="18" t="s">
        <v>28</v>
      </c>
      <c r="L4911" s="18" t="s">
        <v>28</v>
      </c>
      <c r="M4911" s="18" t="s">
        <v>28</v>
      </c>
      <c r="N4911" s="17">
        <v>44316</v>
      </c>
      <c r="O4911" s="15" t="s">
        <v>79</v>
      </c>
      <c r="P4911" s="16" t="s">
        <v>15615</v>
      </c>
      <c r="Q4911" s="15" t="s">
        <v>740</v>
      </c>
      <c r="R4911" s="13" t="str">
        <f>HYPERLINK("https://my.pitchbook.com?c=176716-36T","View Company Online")</f>
        <v>View Company Online</v>
      </c>
    </row>
    <row r="4912" spans="1:18" hidden="1" x14ac:dyDescent="0.3">
      <c r="A4912" s="9" t="s">
        <v>15616</v>
      </c>
      <c r="B4912" s="9" t="s">
        <v>15617</v>
      </c>
      <c r="C4912" s="11" t="s">
        <v>28</v>
      </c>
      <c r="D4912" s="9" t="s">
        <v>15618</v>
      </c>
      <c r="E4912" s="11" t="s">
        <v>28</v>
      </c>
      <c r="F4912" s="10" t="s">
        <v>28</v>
      </c>
      <c r="G4912" s="10" t="s">
        <v>28</v>
      </c>
      <c r="H4912" s="10" t="s">
        <v>28</v>
      </c>
      <c r="I4912" s="11" t="s">
        <v>28</v>
      </c>
      <c r="J4912" s="11" t="s">
        <v>28</v>
      </c>
      <c r="K4912" s="11" t="s">
        <v>28</v>
      </c>
      <c r="L4912" s="11" t="s">
        <v>28</v>
      </c>
      <c r="M4912" s="11" t="s">
        <v>28</v>
      </c>
      <c r="N4912" s="8">
        <v>44316</v>
      </c>
      <c r="O4912" s="9" t="s">
        <v>30</v>
      </c>
      <c r="P4912" s="12" t="s">
        <v>7471</v>
      </c>
      <c r="Q4912" s="9" t="s">
        <v>75</v>
      </c>
      <c r="R4912" s="14" t="str">
        <f>HYPERLINK("https://my.pitchbook.com?c=211895-20T","View Company Online")</f>
        <v>View Company Online</v>
      </c>
    </row>
    <row r="4913" spans="1:18" hidden="1" x14ac:dyDescent="0.3">
      <c r="A4913" s="15" t="s">
        <v>15619</v>
      </c>
      <c r="B4913" s="15" t="s">
        <v>8643</v>
      </c>
      <c r="C4913" s="18" t="s">
        <v>28</v>
      </c>
      <c r="D4913" s="15" t="s">
        <v>15620</v>
      </c>
      <c r="E4913" s="18" t="s">
        <v>28</v>
      </c>
      <c r="F4913" s="19" t="s">
        <v>28</v>
      </c>
      <c r="G4913" s="19" t="s">
        <v>28</v>
      </c>
      <c r="H4913" s="19" t="s">
        <v>28</v>
      </c>
      <c r="I4913" s="18" t="s">
        <v>28</v>
      </c>
      <c r="J4913" s="18" t="s">
        <v>28</v>
      </c>
      <c r="K4913" s="18" t="s">
        <v>28</v>
      </c>
      <c r="L4913" s="18" t="s">
        <v>28</v>
      </c>
      <c r="M4913" s="18" t="s">
        <v>28</v>
      </c>
      <c r="N4913" s="17">
        <v>44316</v>
      </c>
      <c r="O4913" s="15" t="s">
        <v>30</v>
      </c>
      <c r="P4913" s="16" t="s">
        <v>13674</v>
      </c>
      <c r="Q4913" s="15" t="s">
        <v>424</v>
      </c>
      <c r="R4913" s="13" t="str">
        <f>HYPERLINK("https://my.pitchbook.com?c=176462-83T","View Company Online")</f>
        <v>View Company Online</v>
      </c>
    </row>
    <row r="4914" spans="1:18" hidden="1" x14ac:dyDescent="0.3">
      <c r="A4914" s="9" t="s">
        <v>15621</v>
      </c>
      <c r="B4914" s="9" t="s">
        <v>15622</v>
      </c>
      <c r="C4914" s="11" t="s">
        <v>28</v>
      </c>
      <c r="D4914" s="9" t="s">
        <v>15623</v>
      </c>
      <c r="E4914" s="11" t="s">
        <v>28</v>
      </c>
      <c r="F4914" s="10" t="s">
        <v>28</v>
      </c>
      <c r="G4914" s="10">
        <v>2.68</v>
      </c>
      <c r="H4914" s="10" t="s">
        <v>28</v>
      </c>
      <c r="I4914" s="11" t="s">
        <v>28</v>
      </c>
      <c r="J4914" s="11" t="s">
        <v>28</v>
      </c>
      <c r="K4914" s="11" t="s">
        <v>28</v>
      </c>
      <c r="L4914" s="11" t="s">
        <v>28</v>
      </c>
      <c r="M4914" s="11" t="s">
        <v>28</v>
      </c>
      <c r="N4914" s="8">
        <v>44316</v>
      </c>
      <c r="O4914" s="9" t="s">
        <v>79</v>
      </c>
      <c r="P4914" s="12" t="s">
        <v>15624</v>
      </c>
      <c r="Q4914" s="9" t="s">
        <v>37</v>
      </c>
      <c r="R4914" s="14" t="str">
        <f>HYPERLINK("https://my.pitchbook.com?c=209220-67T","View Company Online")</f>
        <v>View Company Online</v>
      </c>
    </row>
    <row r="4915" spans="1:18" hidden="1" x14ac:dyDescent="0.3">
      <c r="A4915" s="15" t="s">
        <v>15625</v>
      </c>
      <c r="B4915" s="15" t="s">
        <v>15626</v>
      </c>
      <c r="C4915" s="18" t="s">
        <v>28</v>
      </c>
      <c r="D4915" s="15" t="s">
        <v>15627</v>
      </c>
      <c r="E4915" s="18" t="s">
        <v>28</v>
      </c>
      <c r="F4915" s="19" t="s">
        <v>28</v>
      </c>
      <c r="G4915" s="19" t="s">
        <v>28</v>
      </c>
      <c r="H4915" s="19" t="s">
        <v>28</v>
      </c>
      <c r="I4915" s="18" t="s">
        <v>28</v>
      </c>
      <c r="J4915" s="18" t="s">
        <v>28</v>
      </c>
      <c r="K4915" s="18" t="s">
        <v>28</v>
      </c>
      <c r="L4915" s="18" t="s">
        <v>28</v>
      </c>
      <c r="M4915" s="18" t="s">
        <v>28</v>
      </c>
      <c r="N4915" s="17">
        <v>44315</v>
      </c>
      <c r="O4915" s="15" t="s">
        <v>30</v>
      </c>
      <c r="P4915" s="16" t="s">
        <v>15628</v>
      </c>
      <c r="Q4915" s="15" t="s">
        <v>114</v>
      </c>
      <c r="R4915" s="13" t="str">
        <f>HYPERLINK("https://my.pitchbook.com?c=212118-94T","View Company Online")</f>
        <v>View Company Online</v>
      </c>
    </row>
    <row r="4916" spans="1:18" hidden="1" x14ac:dyDescent="0.3">
      <c r="A4916" s="9" t="s">
        <v>15629</v>
      </c>
      <c r="B4916" s="9" t="s">
        <v>15630</v>
      </c>
      <c r="C4916" s="11" t="s">
        <v>28</v>
      </c>
      <c r="D4916" s="9" t="s">
        <v>15631</v>
      </c>
      <c r="E4916" s="11">
        <v>380.61</v>
      </c>
      <c r="F4916" s="10" t="s">
        <v>28</v>
      </c>
      <c r="G4916" s="10">
        <v>776.71</v>
      </c>
      <c r="H4916" s="10" t="s">
        <v>28</v>
      </c>
      <c r="I4916" s="11" t="s">
        <v>28</v>
      </c>
      <c r="J4916" s="11" t="s">
        <v>28</v>
      </c>
      <c r="K4916" s="11">
        <v>169.57</v>
      </c>
      <c r="L4916" s="11" t="s">
        <v>28</v>
      </c>
      <c r="M4916" s="11">
        <v>330.63</v>
      </c>
      <c r="N4916" s="8">
        <v>44315</v>
      </c>
      <c r="O4916" s="9" t="s">
        <v>173</v>
      </c>
      <c r="P4916" s="12" t="s">
        <v>28</v>
      </c>
      <c r="Q4916" s="9" t="s">
        <v>774</v>
      </c>
      <c r="R4916" s="14" t="str">
        <f>HYPERLINK("https://my.pitchbook.com?c=222914-98T","View Company Online")</f>
        <v>View Company Online</v>
      </c>
    </row>
    <row r="4917" spans="1:18" hidden="1" x14ac:dyDescent="0.3">
      <c r="A4917" s="15" t="s">
        <v>15632</v>
      </c>
      <c r="B4917" s="15" t="s">
        <v>14953</v>
      </c>
      <c r="C4917" s="18" t="s">
        <v>28</v>
      </c>
      <c r="D4917" s="15" t="s">
        <v>14954</v>
      </c>
      <c r="E4917" s="18" t="s">
        <v>28</v>
      </c>
      <c r="F4917" s="19" t="s">
        <v>28</v>
      </c>
      <c r="G4917" s="19">
        <v>18.38</v>
      </c>
      <c r="H4917" s="19" t="s">
        <v>28</v>
      </c>
      <c r="I4917" s="18" t="s">
        <v>28</v>
      </c>
      <c r="J4917" s="18" t="s">
        <v>28</v>
      </c>
      <c r="K4917" s="18" t="s">
        <v>28</v>
      </c>
      <c r="L4917" s="18" t="s">
        <v>28</v>
      </c>
      <c r="M4917" s="18" t="s">
        <v>28</v>
      </c>
      <c r="N4917" s="17">
        <v>44315</v>
      </c>
      <c r="O4917" s="15" t="s">
        <v>73</v>
      </c>
      <c r="P4917" s="16" t="s">
        <v>15633</v>
      </c>
      <c r="Q4917" s="15" t="s">
        <v>119</v>
      </c>
      <c r="R4917" s="13" t="str">
        <f>HYPERLINK("https://my.pitchbook.com?c=191353-78T","View Company Online")</f>
        <v>View Company Online</v>
      </c>
    </row>
    <row r="4918" spans="1:18" hidden="1" x14ac:dyDescent="0.3">
      <c r="A4918" s="9" t="s">
        <v>15634</v>
      </c>
      <c r="B4918" s="9" t="s">
        <v>10730</v>
      </c>
      <c r="C4918" s="11" t="s">
        <v>28</v>
      </c>
      <c r="D4918" s="9" t="s">
        <v>10731</v>
      </c>
      <c r="E4918" s="11" t="s">
        <v>28</v>
      </c>
      <c r="F4918" s="10" t="s">
        <v>28</v>
      </c>
      <c r="G4918" s="10">
        <v>209.11</v>
      </c>
      <c r="H4918" s="10" t="s">
        <v>28</v>
      </c>
      <c r="I4918" s="11" t="s">
        <v>28</v>
      </c>
      <c r="J4918" s="11" t="s">
        <v>28</v>
      </c>
      <c r="K4918" s="11">
        <v>31.84</v>
      </c>
      <c r="L4918" s="11" t="s">
        <v>28</v>
      </c>
      <c r="M4918" s="11">
        <v>3.18</v>
      </c>
      <c r="N4918" s="8">
        <v>44314</v>
      </c>
      <c r="O4918" s="9" t="s">
        <v>173</v>
      </c>
      <c r="P4918" s="12" t="s">
        <v>28</v>
      </c>
      <c r="Q4918" s="9" t="s">
        <v>7449</v>
      </c>
      <c r="R4918" s="14" t="str">
        <f>HYPERLINK("https://my.pitchbook.com?c=172171-00T","View Company Online")</f>
        <v>View Company Online</v>
      </c>
    </row>
    <row r="4919" spans="1:18" hidden="1" x14ac:dyDescent="0.3">
      <c r="A4919" s="15" t="s">
        <v>15635</v>
      </c>
      <c r="B4919" s="15" t="s">
        <v>4931</v>
      </c>
      <c r="C4919" s="18" t="s">
        <v>28</v>
      </c>
      <c r="D4919" s="15" t="s">
        <v>4932</v>
      </c>
      <c r="E4919" s="18" t="s">
        <v>28</v>
      </c>
      <c r="F4919" s="19" t="s">
        <v>28</v>
      </c>
      <c r="G4919" s="19">
        <v>2</v>
      </c>
      <c r="H4919" s="19" t="s">
        <v>28</v>
      </c>
      <c r="I4919" s="18" t="s">
        <v>28</v>
      </c>
      <c r="J4919" s="18" t="s">
        <v>28</v>
      </c>
      <c r="K4919" s="18" t="s">
        <v>28</v>
      </c>
      <c r="L4919" s="18" t="s">
        <v>28</v>
      </c>
      <c r="M4919" s="18" t="s">
        <v>28</v>
      </c>
      <c r="N4919" s="17">
        <v>44314</v>
      </c>
      <c r="O4919" s="15" t="s">
        <v>79</v>
      </c>
      <c r="P4919" s="16" t="s">
        <v>15636</v>
      </c>
      <c r="Q4919" s="15" t="s">
        <v>75</v>
      </c>
      <c r="R4919" s="13" t="str">
        <f>HYPERLINK("https://my.pitchbook.com?c=185074-84T","View Company Online")</f>
        <v>View Company Online</v>
      </c>
    </row>
    <row r="4920" spans="1:18" hidden="1" x14ac:dyDescent="0.3">
      <c r="A4920" s="9" t="s">
        <v>15637</v>
      </c>
      <c r="B4920" s="9" t="s">
        <v>15638</v>
      </c>
      <c r="C4920" s="11" t="s">
        <v>28</v>
      </c>
      <c r="D4920" s="9" t="s">
        <v>15639</v>
      </c>
      <c r="E4920" s="11" t="s">
        <v>28</v>
      </c>
      <c r="F4920" s="10" t="s">
        <v>28</v>
      </c>
      <c r="G4920" s="10" t="s">
        <v>28</v>
      </c>
      <c r="H4920" s="10" t="s">
        <v>28</v>
      </c>
      <c r="I4920" s="11" t="s">
        <v>28</v>
      </c>
      <c r="J4920" s="11" t="s">
        <v>28</v>
      </c>
      <c r="K4920" s="11" t="s">
        <v>28</v>
      </c>
      <c r="L4920" s="11" t="s">
        <v>28</v>
      </c>
      <c r="M4920" s="11" t="s">
        <v>28</v>
      </c>
      <c r="N4920" s="8">
        <v>44314</v>
      </c>
      <c r="O4920" s="9" t="s">
        <v>30</v>
      </c>
      <c r="P4920" s="12" t="s">
        <v>15640</v>
      </c>
      <c r="Q4920" s="9" t="s">
        <v>245</v>
      </c>
      <c r="R4920" s="14" t="str">
        <f>HYPERLINK("https://my.pitchbook.com?c=224476-84T","View Company Online")</f>
        <v>View Company Online</v>
      </c>
    </row>
    <row r="4921" spans="1:18" hidden="1" x14ac:dyDescent="0.3">
      <c r="A4921" s="15" t="s">
        <v>15641</v>
      </c>
      <c r="B4921" s="15" t="s">
        <v>13951</v>
      </c>
      <c r="C4921" s="18" t="s">
        <v>28</v>
      </c>
      <c r="D4921" s="15" t="s">
        <v>13952</v>
      </c>
      <c r="E4921" s="18" t="s">
        <v>28</v>
      </c>
      <c r="F4921" s="19" t="s">
        <v>28</v>
      </c>
      <c r="G4921" s="19" t="s">
        <v>28</v>
      </c>
      <c r="H4921" s="19" t="s">
        <v>28</v>
      </c>
      <c r="I4921" s="18" t="s">
        <v>28</v>
      </c>
      <c r="J4921" s="18" t="s">
        <v>28</v>
      </c>
      <c r="K4921" s="18" t="s">
        <v>28</v>
      </c>
      <c r="L4921" s="18" t="s">
        <v>28</v>
      </c>
      <c r="M4921" s="18" t="s">
        <v>28</v>
      </c>
      <c r="N4921" s="17">
        <v>44314</v>
      </c>
      <c r="O4921" s="15" t="s">
        <v>73</v>
      </c>
      <c r="P4921" s="16" t="s">
        <v>15642</v>
      </c>
      <c r="Q4921" s="15" t="s">
        <v>37</v>
      </c>
      <c r="R4921" s="13" t="str">
        <f>HYPERLINK("https://my.pitchbook.com?c=173037-97T","View Company Online")</f>
        <v>View Company Online</v>
      </c>
    </row>
    <row r="4922" spans="1:18" hidden="1" x14ac:dyDescent="0.3">
      <c r="A4922" s="9" t="s">
        <v>15643</v>
      </c>
      <c r="B4922" s="9" t="s">
        <v>5181</v>
      </c>
      <c r="C4922" s="11" t="s">
        <v>28</v>
      </c>
      <c r="D4922" s="9" t="s">
        <v>5182</v>
      </c>
      <c r="E4922" s="11" t="s">
        <v>28</v>
      </c>
      <c r="F4922" s="10" t="s">
        <v>28</v>
      </c>
      <c r="G4922" s="10">
        <v>1.51</v>
      </c>
      <c r="H4922" s="10" t="s">
        <v>28</v>
      </c>
      <c r="I4922" s="11" t="s">
        <v>28</v>
      </c>
      <c r="J4922" s="11" t="s">
        <v>28</v>
      </c>
      <c r="K4922" s="11" t="s">
        <v>28</v>
      </c>
      <c r="L4922" s="11" t="s">
        <v>28</v>
      </c>
      <c r="M4922" s="11" t="s">
        <v>28</v>
      </c>
      <c r="N4922" s="8">
        <v>44314</v>
      </c>
      <c r="O4922" s="9" t="s">
        <v>99</v>
      </c>
      <c r="P4922" s="12" t="s">
        <v>15644</v>
      </c>
      <c r="Q4922" s="9" t="s">
        <v>740</v>
      </c>
      <c r="R4922" s="14" t="str">
        <f>HYPERLINK("https://my.pitchbook.com?c=184627-90T","View Company Online")</f>
        <v>View Company Online</v>
      </c>
    </row>
    <row r="4923" spans="1:18" hidden="1" x14ac:dyDescent="0.3">
      <c r="A4923" s="15" t="s">
        <v>15645</v>
      </c>
      <c r="B4923" s="15" t="s">
        <v>773</v>
      </c>
      <c r="C4923" s="18" t="s">
        <v>28</v>
      </c>
      <c r="D4923" s="15" t="s">
        <v>6350</v>
      </c>
      <c r="E4923" s="18" t="s">
        <v>28</v>
      </c>
      <c r="F4923" s="19" t="s">
        <v>28</v>
      </c>
      <c r="G4923" s="19">
        <v>53.41</v>
      </c>
      <c r="H4923" s="19" t="s">
        <v>28</v>
      </c>
      <c r="I4923" s="18" t="s">
        <v>28</v>
      </c>
      <c r="J4923" s="18" t="s">
        <v>28</v>
      </c>
      <c r="K4923" s="18" t="s">
        <v>28</v>
      </c>
      <c r="L4923" s="18" t="s">
        <v>28</v>
      </c>
      <c r="M4923" s="18" t="s">
        <v>28</v>
      </c>
      <c r="N4923" s="17">
        <v>44314</v>
      </c>
      <c r="O4923" s="15" t="s">
        <v>79</v>
      </c>
      <c r="P4923" s="16" t="s">
        <v>15646</v>
      </c>
      <c r="Q4923" s="15" t="s">
        <v>37</v>
      </c>
      <c r="R4923" s="13" t="str">
        <f>HYPERLINK("https://my.pitchbook.com?c=171225-91T","View Company Online")</f>
        <v>View Company Online</v>
      </c>
    </row>
    <row r="4924" spans="1:18" hidden="1" x14ac:dyDescent="0.3">
      <c r="A4924" s="9" t="s">
        <v>15647</v>
      </c>
      <c r="B4924" s="9" t="s">
        <v>15648</v>
      </c>
      <c r="C4924" s="11" t="s">
        <v>28</v>
      </c>
      <c r="D4924" s="9" t="s">
        <v>1445</v>
      </c>
      <c r="E4924" s="11" t="s">
        <v>28</v>
      </c>
      <c r="F4924" s="10" t="s">
        <v>28</v>
      </c>
      <c r="G4924" s="10" t="s">
        <v>28</v>
      </c>
      <c r="H4924" s="10" t="s">
        <v>28</v>
      </c>
      <c r="I4924" s="11" t="s">
        <v>28</v>
      </c>
      <c r="J4924" s="11" t="s">
        <v>28</v>
      </c>
      <c r="K4924" s="11" t="s">
        <v>28</v>
      </c>
      <c r="L4924" s="11" t="s">
        <v>28</v>
      </c>
      <c r="M4924" s="11" t="s">
        <v>28</v>
      </c>
      <c r="N4924" s="8">
        <v>44313</v>
      </c>
      <c r="O4924" s="9" t="s">
        <v>41</v>
      </c>
      <c r="P4924" s="12" t="s">
        <v>15649</v>
      </c>
      <c r="Q4924" s="9" t="s">
        <v>245</v>
      </c>
      <c r="R4924" s="14" t="str">
        <f>HYPERLINK("https://my.pitchbook.com?c=219142-54T","View Company Online")</f>
        <v>View Company Online</v>
      </c>
    </row>
    <row r="4925" spans="1:18" hidden="1" x14ac:dyDescent="0.3">
      <c r="A4925" s="15" t="s">
        <v>15650</v>
      </c>
      <c r="B4925" s="15" t="s">
        <v>15651</v>
      </c>
      <c r="C4925" s="18" t="s">
        <v>28</v>
      </c>
      <c r="D4925" s="15" t="s">
        <v>15652</v>
      </c>
      <c r="E4925" s="18" t="s">
        <v>28</v>
      </c>
      <c r="F4925" s="19" t="s">
        <v>28</v>
      </c>
      <c r="G4925" s="19">
        <v>3.5</v>
      </c>
      <c r="H4925" s="19" t="s">
        <v>28</v>
      </c>
      <c r="I4925" s="18" t="s">
        <v>28</v>
      </c>
      <c r="J4925" s="18" t="s">
        <v>28</v>
      </c>
      <c r="K4925" s="18" t="s">
        <v>28</v>
      </c>
      <c r="L4925" s="18" t="s">
        <v>28</v>
      </c>
      <c r="M4925" s="18" t="s">
        <v>28</v>
      </c>
      <c r="N4925" s="17">
        <v>44313</v>
      </c>
      <c r="O4925" s="15" t="s">
        <v>73</v>
      </c>
      <c r="P4925" s="16" t="s">
        <v>15653</v>
      </c>
      <c r="Q4925" s="15" t="s">
        <v>75</v>
      </c>
      <c r="R4925" s="13" t="str">
        <f>HYPERLINK("https://my.pitchbook.com?c=194466-16T","View Company Online")</f>
        <v>View Company Online</v>
      </c>
    </row>
    <row r="4926" spans="1:18" hidden="1" x14ac:dyDescent="0.3">
      <c r="A4926" s="9" t="s">
        <v>15654</v>
      </c>
      <c r="B4926" s="9" t="s">
        <v>15655</v>
      </c>
      <c r="C4926" s="11" t="s">
        <v>28</v>
      </c>
      <c r="D4926" s="9" t="s">
        <v>15656</v>
      </c>
      <c r="E4926" s="11" t="s">
        <v>28</v>
      </c>
      <c r="F4926" s="10" t="s">
        <v>28</v>
      </c>
      <c r="G4926" s="10" t="s">
        <v>28</v>
      </c>
      <c r="H4926" s="10" t="s">
        <v>28</v>
      </c>
      <c r="I4926" s="11" t="s">
        <v>28</v>
      </c>
      <c r="J4926" s="11" t="s">
        <v>28</v>
      </c>
      <c r="K4926" s="11" t="s">
        <v>28</v>
      </c>
      <c r="L4926" s="11" t="s">
        <v>28</v>
      </c>
      <c r="M4926" s="11" t="s">
        <v>28</v>
      </c>
      <c r="N4926" s="8">
        <v>44312</v>
      </c>
      <c r="O4926" s="9" t="s">
        <v>30</v>
      </c>
      <c r="P4926" s="12" t="s">
        <v>15657</v>
      </c>
      <c r="Q4926" s="9" t="s">
        <v>114</v>
      </c>
      <c r="R4926" s="14" t="str">
        <f>HYPERLINK("https://my.pitchbook.com?c=251755-03T","View Company Online")</f>
        <v>View Company Online</v>
      </c>
    </row>
    <row r="4927" spans="1:18" x14ac:dyDescent="0.3">
      <c r="A4927" s="15" t="s">
        <v>15658</v>
      </c>
      <c r="B4927" s="15" t="s">
        <v>15659</v>
      </c>
      <c r="C4927" s="18">
        <v>21.83</v>
      </c>
      <c r="D4927" s="15" t="s">
        <v>15660</v>
      </c>
      <c r="E4927" s="18">
        <v>22.36</v>
      </c>
      <c r="F4927" s="19">
        <v>841.11</v>
      </c>
      <c r="G4927" s="19">
        <v>905.18</v>
      </c>
      <c r="H4927" s="19">
        <v>905.18</v>
      </c>
      <c r="I4927" s="18">
        <v>38.53</v>
      </c>
      <c r="J4927" s="18">
        <v>23.49</v>
      </c>
      <c r="K4927" s="18">
        <v>201</v>
      </c>
      <c r="L4927" s="18">
        <v>4.5</v>
      </c>
      <c r="M4927" s="18">
        <v>66.180000000000007</v>
      </c>
      <c r="N4927" s="17">
        <v>44312</v>
      </c>
      <c r="O4927" s="15" t="s">
        <v>30</v>
      </c>
      <c r="P4927" s="16" t="s">
        <v>15661</v>
      </c>
      <c r="Q4927" s="15" t="s">
        <v>607</v>
      </c>
      <c r="R4927" s="13" t="str">
        <f>HYPERLINK("https://my.pitchbook.com?c=171189-73T","View Company Online")</f>
        <v>View Company Online</v>
      </c>
    </row>
    <row r="4928" spans="1:18" hidden="1" x14ac:dyDescent="0.3">
      <c r="A4928" s="9" t="s">
        <v>15662</v>
      </c>
      <c r="B4928" s="9" t="s">
        <v>9104</v>
      </c>
      <c r="C4928" s="11" t="s">
        <v>28</v>
      </c>
      <c r="D4928" s="9" t="s">
        <v>9105</v>
      </c>
      <c r="E4928" s="11" t="s">
        <v>28</v>
      </c>
      <c r="F4928" s="10" t="s">
        <v>28</v>
      </c>
      <c r="G4928" s="10">
        <v>3.68</v>
      </c>
      <c r="H4928" s="10" t="s">
        <v>28</v>
      </c>
      <c r="I4928" s="11" t="s">
        <v>28</v>
      </c>
      <c r="J4928" s="11" t="s">
        <v>28</v>
      </c>
      <c r="K4928" s="11" t="s">
        <v>28</v>
      </c>
      <c r="L4928" s="11" t="s">
        <v>28</v>
      </c>
      <c r="M4928" s="11" t="s">
        <v>28</v>
      </c>
      <c r="N4928" s="8">
        <v>44312</v>
      </c>
      <c r="O4928" s="9" t="s">
        <v>1639</v>
      </c>
      <c r="P4928" s="12" t="s">
        <v>28</v>
      </c>
      <c r="Q4928" s="9" t="s">
        <v>692</v>
      </c>
      <c r="R4928" s="14" t="str">
        <f>HYPERLINK("https://my.pitchbook.com?c=174313-00T","View Company Online")</f>
        <v>View Company Online</v>
      </c>
    </row>
    <row r="4929" spans="1:18" hidden="1" x14ac:dyDescent="0.3">
      <c r="A4929" s="15" t="s">
        <v>15663</v>
      </c>
      <c r="B4929" s="15" t="s">
        <v>9041</v>
      </c>
      <c r="C4929" s="18" t="s">
        <v>28</v>
      </c>
      <c r="D4929" s="15" t="s">
        <v>9042</v>
      </c>
      <c r="E4929" s="18" t="s">
        <v>28</v>
      </c>
      <c r="F4929" s="19" t="s">
        <v>28</v>
      </c>
      <c r="G4929" s="19" t="s">
        <v>28</v>
      </c>
      <c r="H4929" s="19" t="s">
        <v>28</v>
      </c>
      <c r="I4929" s="18" t="s">
        <v>28</v>
      </c>
      <c r="J4929" s="18" t="s">
        <v>28</v>
      </c>
      <c r="K4929" s="18" t="s">
        <v>28</v>
      </c>
      <c r="L4929" s="18" t="s">
        <v>28</v>
      </c>
      <c r="M4929" s="18" t="s">
        <v>28</v>
      </c>
      <c r="N4929" s="17">
        <v>44312</v>
      </c>
      <c r="O4929" s="15" t="s">
        <v>73</v>
      </c>
      <c r="P4929" s="16" t="s">
        <v>15664</v>
      </c>
      <c r="Q4929" s="15" t="s">
        <v>37</v>
      </c>
      <c r="R4929" s="13" t="str">
        <f>HYPERLINK("https://my.pitchbook.com?c=181370-80T","View Company Online")</f>
        <v>View Company Online</v>
      </c>
    </row>
    <row r="4930" spans="1:18" hidden="1" x14ac:dyDescent="0.3">
      <c r="A4930" s="9" t="s">
        <v>15665</v>
      </c>
      <c r="B4930" s="9" t="s">
        <v>15666</v>
      </c>
      <c r="C4930" s="11" t="s">
        <v>28</v>
      </c>
      <c r="D4930" s="9" t="s">
        <v>15667</v>
      </c>
      <c r="E4930" s="11">
        <v>0.05</v>
      </c>
      <c r="F4930" s="10" t="s">
        <v>28</v>
      </c>
      <c r="G4930" s="10" t="s">
        <v>28</v>
      </c>
      <c r="H4930" s="10" t="s">
        <v>28</v>
      </c>
      <c r="I4930" s="11">
        <v>0.05</v>
      </c>
      <c r="J4930" s="11" t="s">
        <v>28</v>
      </c>
      <c r="K4930" s="11">
        <v>0.53</v>
      </c>
      <c r="L4930" s="11" t="s">
        <v>28</v>
      </c>
      <c r="M4930" s="11">
        <v>0.05</v>
      </c>
      <c r="N4930" s="8">
        <v>44312</v>
      </c>
      <c r="O4930" s="9" t="s">
        <v>173</v>
      </c>
      <c r="P4930" s="12" t="s">
        <v>28</v>
      </c>
      <c r="Q4930" s="9" t="s">
        <v>240</v>
      </c>
      <c r="R4930" s="14" t="str">
        <f>HYPERLINK("https://my.pitchbook.com?c=225404-56T","View Company Online")</f>
        <v>View Company Online</v>
      </c>
    </row>
    <row r="4931" spans="1:18" hidden="1" x14ac:dyDescent="0.3">
      <c r="A4931" s="15" t="s">
        <v>15668</v>
      </c>
      <c r="B4931" s="15" t="s">
        <v>15669</v>
      </c>
      <c r="C4931" s="18" t="s">
        <v>28</v>
      </c>
      <c r="D4931" s="15" t="s">
        <v>15670</v>
      </c>
      <c r="E4931" s="18" t="s">
        <v>28</v>
      </c>
      <c r="F4931" s="19" t="s">
        <v>28</v>
      </c>
      <c r="G4931" s="19">
        <v>19.52</v>
      </c>
      <c r="H4931" s="19">
        <v>108.27</v>
      </c>
      <c r="I4931" s="18" t="s">
        <v>28</v>
      </c>
      <c r="J4931" s="18" t="s">
        <v>28</v>
      </c>
      <c r="K4931" s="18" t="s">
        <v>28</v>
      </c>
      <c r="L4931" s="18" t="s">
        <v>28</v>
      </c>
      <c r="M4931" s="18" t="s">
        <v>28</v>
      </c>
      <c r="N4931" s="17">
        <v>44312</v>
      </c>
      <c r="O4931" s="15" t="s">
        <v>73</v>
      </c>
      <c r="P4931" s="16" t="s">
        <v>15671</v>
      </c>
      <c r="Q4931" s="15" t="s">
        <v>362</v>
      </c>
      <c r="R4931" s="13" t="str">
        <f>HYPERLINK("https://my.pitchbook.com?c=171516-43T","View Company Online")</f>
        <v>View Company Online</v>
      </c>
    </row>
    <row r="4932" spans="1:18" hidden="1" x14ac:dyDescent="0.3">
      <c r="A4932" s="9" t="s">
        <v>15672</v>
      </c>
      <c r="B4932" s="9" t="s">
        <v>15673</v>
      </c>
      <c r="C4932" s="11" t="s">
        <v>28</v>
      </c>
      <c r="D4932" s="9" t="s">
        <v>15674</v>
      </c>
      <c r="E4932" s="11" t="s">
        <v>28</v>
      </c>
      <c r="F4932" s="10" t="s">
        <v>28</v>
      </c>
      <c r="G4932" s="10">
        <v>0.71</v>
      </c>
      <c r="H4932" s="10">
        <v>1.42</v>
      </c>
      <c r="I4932" s="11" t="s">
        <v>28</v>
      </c>
      <c r="J4932" s="11" t="s">
        <v>28</v>
      </c>
      <c r="K4932" s="11" t="s">
        <v>28</v>
      </c>
      <c r="L4932" s="11" t="s">
        <v>28</v>
      </c>
      <c r="M4932" s="11" t="s">
        <v>28</v>
      </c>
      <c r="N4932" s="8">
        <v>44309</v>
      </c>
      <c r="O4932" s="9" t="s">
        <v>73</v>
      </c>
      <c r="P4932" s="12" t="s">
        <v>15675</v>
      </c>
      <c r="Q4932" s="9" t="s">
        <v>37</v>
      </c>
      <c r="R4932" s="14" t="str">
        <f>HYPERLINK("https://my.pitchbook.com?c=204760-09T","View Company Online")</f>
        <v>View Company Online</v>
      </c>
    </row>
    <row r="4933" spans="1:18" hidden="1" x14ac:dyDescent="0.3">
      <c r="A4933" s="15" t="s">
        <v>15676</v>
      </c>
      <c r="B4933" s="15" t="s">
        <v>15677</v>
      </c>
      <c r="C4933" s="18" t="s">
        <v>28</v>
      </c>
      <c r="D4933" s="15" t="s">
        <v>15678</v>
      </c>
      <c r="E4933" s="18" t="s">
        <v>28</v>
      </c>
      <c r="F4933" s="19" t="s">
        <v>28</v>
      </c>
      <c r="G4933" s="19" t="s">
        <v>28</v>
      </c>
      <c r="H4933" s="19" t="s">
        <v>28</v>
      </c>
      <c r="I4933" s="18" t="s">
        <v>28</v>
      </c>
      <c r="J4933" s="18" t="s">
        <v>28</v>
      </c>
      <c r="K4933" s="18" t="s">
        <v>28</v>
      </c>
      <c r="L4933" s="18" t="s">
        <v>28</v>
      </c>
      <c r="M4933" s="18" t="s">
        <v>28</v>
      </c>
      <c r="N4933" s="17">
        <v>44308</v>
      </c>
      <c r="O4933" s="15" t="s">
        <v>30</v>
      </c>
      <c r="P4933" s="16" t="s">
        <v>151</v>
      </c>
      <c r="Q4933" s="15" t="s">
        <v>75</v>
      </c>
      <c r="R4933" s="13" t="str">
        <f>HYPERLINK("https://my.pitchbook.com?c=172480-15T","View Company Online")</f>
        <v>View Company Online</v>
      </c>
    </row>
    <row r="4934" spans="1:18" hidden="1" x14ac:dyDescent="0.3">
      <c r="A4934" s="9" t="s">
        <v>15679</v>
      </c>
      <c r="B4934" s="9" t="s">
        <v>15680</v>
      </c>
      <c r="C4934" s="11" t="s">
        <v>28</v>
      </c>
      <c r="D4934" s="9" t="s">
        <v>15681</v>
      </c>
      <c r="E4934" s="11" t="s">
        <v>28</v>
      </c>
      <c r="F4934" s="10" t="s">
        <v>28</v>
      </c>
      <c r="G4934" s="10" t="s">
        <v>28</v>
      </c>
      <c r="H4934" s="10" t="s">
        <v>28</v>
      </c>
      <c r="I4934" s="11" t="s">
        <v>28</v>
      </c>
      <c r="J4934" s="11" t="s">
        <v>28</v>
      </c>
      <c r="K4934" s="11" t="s">
        <v>28</v>
      </c>
      <c r="L4934" s="11" t="s">
        <v>28</v>
      </c>
      <c r="M4934" s="11" t="s">
        <v>28</v>
      </c>
      <c r="N4934" s="8">
        <v>44308</v>
      </c>
      <c r="O4934" s="9" t="s">
        <v>30</v>
      </c>
      <c r="P4934" s="12" t="s">
        <v>3058</v>
      </c>
      <c r="Q4934" s="9" t="s">
        <v>43</v>
      </c>
      <c r="R4934" s="14" t="str">
        <f>HYPERLINK("https://my.pitchbook.com?c=212049-64T","View Company Online")</f>
        <v>View Company Online</v>
      </c>
    </row>
    <row r="4935" spans="1:18" hidden="1" x14ac:dyDescent="0.3">
      <c r="A4935" s="15" t="s">
        <v>15682</v>
      </c>
      <c r="B4935" s="15" t="s">
        <v>15683</v>
      </c>
      <c r="C4935" s="18" t="s">
        <v>28</v>
      </c>
      <c r="D4935" s="15" t="s">
        <v>15684</v>
      </c>
      <c r="E4935" s="18" t="s">
        <v>28</v>
      </c>
      <c r="F4935" s="19" t="s">
        <v>28</v>
      </c>
      <c r="G4935" s="19">
        <v>4.95</v>
      </c>
      <c r="H4935" s="19" t="s">
        <v>28</v>
      </c>
      <c r="I4935" s="18" t="s">
        <v>28</v>
      </c>
      <c r="J4935" s="18" t="s">
        <v>28</v>
      </c>
      <c r="K4935" s="18" t="s">
        <v>28</v>
      </c>
      <c r="L4935" s="18" t="s">
        <v>28</v>
      </c>
      <c r="M4935" s="18" t="s">
        <v>28</v>
      </c>
      <c r="N4935" s="17">
        <v>44307</v>
      </c>
      <c r="O4935" s="15" t="s">
        <v>379</v>
      </c>
      <c r="P4935" s="16" t="s">
        <v>28</v>
      </c>
      <c r="Q4935" s="15" t="s">
        <v>37</v>
      </c>
      <c r="R4935" s="13" t="str">
        <f>HYPERLINK("https://my.pitchbook.com?c=171048-88T","View Company Online")</f>
        <v>View Company Online</v>
      </c>
    </row>
    <row r="4936" spans="1:18" hidden="1" x14ac:dyDescent="0.3">
      <c r="A4936" s="9" t="s">
        <v>15685</v>
      </c>
      <c r="B4936" s="9" t="s">
        <v>15686</v>
      </c>
      <c r="C4936" s="11" t="s">
        <v>28</v>
      </c>
      <c r="D4936" s="9" t="s">
        <v>15687</v>
      </c>
      <c r="E4936" s="11" t="s">
        <v>28</v>
      </c>
      <c r="F4936" s="10" t="s">
        <v>28</v>
      </c>
      <c r="G4936" s="10" t="s">
        <v>28</v>
      </c>
      <c r="H4936" s="10" t="s">
        <v>28</v>
      </c>
      <c r="I4936" s="11" t="s">
        <v>28</v>
      </c>
      <c r="J4936" s="11" t="s">
        <v>28</v>
      </c>
      <c r="K4936" s="11" t="s">
        <v>28</v>
      </c>
      <c r="L4936" s="11" t="s">
        <v>28</v>
      </c>
      <c r="M4936" s="11" t="s">
        <v>28</v>
      </c>
      <c r="N4936" s="8">
        <v>44306</v>
      </c>
      <c r="O4936" s="9" t="s">
        <v>30</v>
      </c>
      <c r="P4936" s="12" t="s">
        <v>15688</v>
      </c>
      <c r="Q4936" s="9" t="s">
        <v>109</v>
      </c>
      <c r="R4936" s="14" t="str">
        <f>HYPERLINK("https://my.pitchbook.com?c=170767-45T","View Company Online")</f>
        <v>View Company Online</v>
      </c>
    </row>
    <row r="4937" spans="1:18" hidden="1" x14ac:dyDescent="0.3">
      <c r="A4937" s="15" t="s">
        <v>15689</v>
      </c>
      <c r="B4937" s="15" t="s">
        <v>13424</v>
      </c>
      <c r="C4937" s="18" t="s">
        <v>28</v>
      </c>
      <c r="D4937" s="15" t="s">
        <v>13425</v>
      </c>
      <c r="E4937" s="18" t="s">
        <v>28</v>
      </c>
      <c r="F4937" s="19" t="s">
        <v>28</v>
      </c>
      <c r="G4937" s="19">
        <v>15</v>
      </c>
      <c r="H4937" s="19" t="s">
        <v>28</v>
      </c>
      <c r="I4937" s="18" t="s">
        <v>28</v>
      </c>
      <c r="J4937" s="18" t="s">
        <v>28</v>
      </c>
      <c r="K4937" s="18" t="s">
        <v>28</v>
      </c>
      <c r="L4937" s="18" t="s">
        <v>28</v>
      </c>
      <c r="M4937" s="18">
        <v>4.8499999999999996</v>
      </c>
      <c r="N4937" s="17">
        <v>44306</v>
      </c>
      <c r="O4937" s="15" t="s">
        <v>73</v>
      </c>
      <c r="P4937" s="16" t="s">
        <v>15690</v>
      </c>
      <c r="Q4937" s="15" t="s">
        <v>37</v>
      </c>
      <c r="R4937" s="13" t="str">
        <f>HYPERLINK("https://my.pitchbook.com?c=170752-51T","View Company Online")</f>
        <v>View Company Online</v>
      </c>
    </row>
    <row r="4938" spans="1:18" hidden="1" x14ac:dyDescent="0.3">
      <c r="A4938" s="9" t="s">
        <v>15691</v>
      </c>
      <c r="B4938" s="9" t="s">
        <v>1315</v>
      </c>
      <c r="C4938" s="11" t="s">
        <v>28</v>
      </c>
      <c r="D4938" s="9" t="s">
        <v>1316</v>
      </c>
      <c r="E4938" s="11">
        <v>28.7</v>
      </c>
      <c r="F4938" s="10" t="s">
        <v>28</v>
      </c>
      <c r="G4938" s="10">
        <v>389.49</v>
      </c>
      <c r="H4938" s="10" t="s">
        <v>28</v>
      </c>
      <c r="I4938" s="11">
        <v>42.49</v>
      </c>
      <c r="J4938" s="11" t="s">
        <v>28</v>
      </c>
      <c r="K4938" s="11">
        <v>139.16</v>
      </c>
      <c r="L4938" s="11" t="s">
        <v>28</v>
      </c>
      <c r="M4938" s="11">
        <v>-2.62</v>
      </c>
      <c r="N4938" s="8">
        <v>44306</v>
      </c>
      <c r="O4938" s="9" t="s">
        <v>93</v>
      </c>
      <c r="P4938" s="12" t="s">
        <v>15692</v>
      </c>
      <c r="Q4938" s="9" t="s">
        <v>1088</v>
      </c>
      <c r="R4938" s="14" t="str">
        <f>HYPERLINK("https://my.pitchbook.com?c=189510-67T","View Company Online")</f>
        <v>View Company Online</v>
      </c>
    </row>
    <row r="4939" spans="1:18" hidden="1" x14ac:dyDescent="0.3">
      <c r="A4939" s="15" t="s">
        <v>15693</v>
      </c>
      <c r="B4939" s="15" t="s">
        <v>15694</v>
      </c>
      <c r="C4939" s="18" t="s">
        <v>28</v>
      </c>
      <c r="D4939" s="15" t="s">
        <v>15695</v>
      </c>
      <c r="E4939" s="18" t="s">
        <v>28</v>
      </c>
      <c r="F4939" s="19" t="s">
        <v>28</v>
      </c>
      <c r="G4939" s="19" t="s">
        <v>28</v>
      </c>
      <c r="H4939" s="19" t="s">
        <v>28</v>
      </c>
      <c r="I4939" s="18" t="s">
        <v>28</v>
      </c>
      <c r="J4939" s="18" t="s">
        <v>28</v>
      </c>
      <c r="K4939" s="18" t="s">
        <v>28</v>
      </c>
      <c r="L4939" s="18" t="s">
        <v>28</v>
      </c>
      <c r="M4939" s="18" t="s">
        <v>28</v>
      </c>
      <c r="N4939" s="17">
        <v>44306</v>
      </c>
      <c r="O4939" s="15" t="s">
        <v>30</v>
      </c>
      <c r="P4939" s="16" t="s">
        <v>2727</v>
      </c>
      <c r="Q4939" s="15" t="s">
        <v>114</v>
      </c>
      <c r="R4939" s="13" t="str">
        <f>HYPERLINK("https://my.pitchbook.com?c=171062-83T","View Company Online")</f>
        <v>View Company Online</v>
      </c>
    </row>
    <row r="4940" spans="1:18" hidden="1" x14ac:dyDescent="0.3">
      <c r="A4940" s="9" t="s">
        <v>15696</v>
      </c>
      <c r="B4940" s="9" t="s">
        <v>15697</v>
      </c>
      <c r="C4940" s="11" t="s">
        <v>28</v>
      </c>
      <c r="D4940" s="9" t="s">
        <v>15698</v>
      </c>
      <c r="E4940" s="11" t="s">
        <v>28</v>
      </c>
      <c r="F4940" s="10" t="s">
        <v>28</v>
      </c>
      <c r="G4940" s="10" t="s">
        <v>28</v>
      </c>
      <c r="H4940" s="10" t="s">
        <v>28</v>
      </c>
      <c r="I4940" s="11" t="s">
        <v>28</v>
      </c>
      <c r="J4940" s="11" t="s">
        <v>28</v>
      </c>
      <c r="K4940" s="11">
        <v>44.25</v>
      </c>
      <c r="L4940" s="11" t="s">
        <v>28</v>
      </c>
      <c r="M4940" s="11" t="s">
        <v>28</v>
      </c>
      <c r="N4940" s="8">
        <v>44306</v>
      </c>
      <c r="O4940" s="9" t="s">
        <v>30</v>
      </c>
      <c r="P4940" s="12" t="s">
        <v>15699</v>
      </c>
      <c r="Q4940" s="9" t="s">
        <v>136</v>
      </c>
      <c r="R4940" s="14" t="str">
        <f>HYPERLINK("https://my.pitchbook.com?c=217926-37T","View Company Online")</f>
        <v>View Company Online</v>
      </c>
    </row>
    <row r="4941" spans="1:18" x14ac:dyDescent="0.3">
      <c r="A4941" s="15" t="s">
        <v>15700</v>
      </c>
      <c r="B4941" s="15" t="s">
        <v>15701</v>
      </c>
      <c r="C4941" s="18">
        <v>1.96</v>
      </c>
      <c r="D4941" s="15" t="s">
        <v>15702</v>
      </c>
      <c r="E4941" s="18" t="s">
        <v>28</v>
      </c>
      <c r="F4941" s="19">
        <v>2.85</v>
      </c>
      <c r="G4941" s="19">
        <v>2.85</v>
      </c>
      <c r="H4941" s="19">
        <v>2.85</v>
      </c>
      <c r="I4941" s="18">
        <v>1.46</v>
      </c>
      <c r="J4941" s="18">
        <v>1.96</v>
      </c>
      <c r="K4941" s="18">
        <v>23.6</v>
      </c>
      <c r="L4941" s="18">
        <v>0.12</v>
      </c>
      <c r="M4941" s="18">
        <v>0.74</v>
      </c>
      <c r="N4941" s="17">
        <v>44306</v>
      </c>
      <c r="O4941" s="15" t="s">
        <v>30</v>
      </c>
      <c r="P4941" s="16" t="s">
        <v>6332</v>
      </c>
      <c r="Q4941" s="15" t="s">
        <v>2916</v>
      </c>
      <c r="R4941" s="13" t="str">
        <f>HYPERLINK("https://my.pitchbook.com?c=168878-62T","View Company Online")</f>
        <v>View Company Online</v>
      </c>
    </row>
    <row r="4942" spans="1:18" hidden="1" x14ac:dyDescent="0.3">
      <c r="A4942" s="9" t="s">
        <v>15703</v>
      </c>
      <c r="B4942" s="9" t="s">
        <v>3261</v>
      </c>
      <c r="C4942" s="11" t="s">
        <v>28</v>
      </c>
      <c r="D4942" s="9" t="s">
        <v>3262</v>
      </c>
      <c r="E4942" s="11" t="s">
        <v>28</v>
      </c>
      <c r="F4942" s="10" t="s">
        <v>28</v>
      </c>
      <c r="G4942" s="10">
        <v>0.89</v>
      </c>
      <c r="H4942" s="10" t="s">
        <v>28</v>
      </c>
      <c r="I4942" s="11" t="s">
        <v>28</v>
      </c>
      <c r="J4942" s="11" t="s">
        <v>28</v>
      </c>
      <c r="K4942" s="11" t="s">
        <v>28</v>
      </c>
      <c r="L4942" s="11" t="s">
        <v>28</v>
      </c>
      <c r="M4942" s="11" t="s">
        <v>28</v>
      </c>
      <c r="N4942" s="8">
        <v>44305</v>
      </c>
      <c r="O4942" s="9" t="s">
        <v>73</v>
      </c>
      <c r="P4942" s="12" t="s">
        <v>15704</v>
      </c>
      <c r="Q4942" s="9" t="s">
        <v>583</v>
      </c>
      <c r="R4942" s="14" t="str">
        <f>HYPERLINK("https://my.pitchbook.com?c=188974-00T","View Company Online")</f>
        <v>View Company Online</v>
      </c>
    </row>
    <row r="4943" spans="1:18" hidden="1" x14ac:dyDescent="0.3">
      <c r="A4943" s="15" t="s">
        <v>15705</v>
      </c>
      <c r="B4943" s="15" t="s">
        <v>15706</v>
      </c>
      <c r="C4943" s="18" t="s">
        <v>28</v>
      </c>
      <c r="D4943" s="15" t="s">
        <v>15707</v>
      </c>
      <c r="E4943" s="18" t="s">
        <v>28</v>
      </c>
      <c r="F4943" s="19" t="s">
        <v>28</v>
      </c>
      <c r="G4943" s="19" t="s">
        <v>28</v>
      </c>
      <c r="H4943" s="19" t="s">
        <v>28</v>
      </c>
      <c r="I4943" s="18" t="s">
        <v>28</v>
      </c>
      <c r="J4943" s="18" t="s">
        <v>28</v>
      </c>
      <c r="K4943" s="18" t="s">
        <v>28</v>
      </c>
      <c r="L4943" s="18" t="s">
        <v>28</v>
      </c>
      <c r="M4943" s="18" t="s">
        <v>28</v>
      </c>
      <c r="N4943" s="17">
        <v>44305</v>
      </c>
      <c r="O4943" s="15" t="s">
        <v>30</v>
      </c>
      <c r="P4943" s="16" t="s">
        <v>15708</v>
      </c>
      <c r="Q4943" s="15" t="s">
        <v>75</v>
      </c>
      <c r="R4943" s="13" t="str">
        <f>HYPERLINK("https://my.pitchbook.com?c=188577-73T","View Company Online")</f>
        <v>View Company Online</v>
      </c>
    </row>
    <row r="4944" spans="1:18" hidden="1" x14ac:dyDescent="0.3">
      <c r="A4944" s="9" t="s">
        <v>15709</v>
      </c>
      <c r="B4944" s="9" t="s">
        <v>15710</v>
      </c>
      <c r="C4944" s="11" t="s">
        <v>28</v>
      </c>
      <c r="D4944" s="9" t="s">
        <v>15711</v>
      </c>
      <c r="E4944" s="11" t="s">
        <v>28</v>
      </c>
      <c r="F4944" s="10" t="s">
        <v>28</v>
      </c>
      <c r="G4944" s="10" t="s">
        <v>28</v>
      </c>
      <c r="H4944" s="10" t="s">
        <v>28</v>
      </c>
      <c r="I4944" s="11" t="s">
        <v>28</v>
      </c>
      <c r="J4944" s="11" t="s">
        <v>28</v>
      </c>
      <c r="K4944" s="11" t="s">
        <v>28</v>
      </c>
      <c r="L4944" s="11" t="s">
        <v>28</v>
      </c>
      <c r="M4944" s="11" t="s">
        <v>28</v>
      </c>
      <c r="N4944" s="8">
        <v>44305</v>
      </c>
      <c r="O4944" s="9" t="s">
        <v>41</v>
      </c>
      <c r="P4944" s="12" t="s">
        <v>15712</v>
      </c>
      <c r="Q4944" s="9" t="s">
        <v>1341</v>
      </c>
      <c r="R4944" s="14" t="str">
        <f>HYPERLINK("https://my.pitchbook.com?c=172181-53T","View Company Online")</f>
        <v>View Company Online</v>
      </c>
    </row>
    <row r="4945" spans="1:18" hidden="1" x14ac:dyDescent="0.3">
      <c r="A4945" s="15" t="s">
        <v>15713</v>
      </c>
      <c r="B4945" s="15" t="s">
        <v>15714</v>
      </c>
      <c r="C4945" s="18" t="s">
        <v>28</v>
      </c>
      <c r="D4945" s="15" t="s">
        <v>15715</v>
      </c>
      <c r="E4945" s="18" t="s">
        <v>28</v>
      </c>
      <c r="F4945" s="19" t="s">
        <v>28</v>
      </c>
      <c r="G4945" s="19" t="s">
        <v>28</v>
      </c>
      <c r="H4945" s="19" t="s">
        <v>28</v>
      </c>
      <c r="I4945" s="18" t="s">
        <v>28</v>
      </c>
      <c r="J4945" s="18" t="s">
        <v>28</v>
      </c>
      <c r="K4945" s="18">
        <v>25.23</v>
      </c>
      <c r="L4945" s="18" t="s">
        <v>28</v>
      </c>
      <c r="M4945" s="18" t="s">
        <v>28</v>
      </c>
      <c r="N4945" s="17">
        <v>44305</v>
      </c>
      <c r="O4945" s="15" t="s">
        <v>41</v>
      </c>
      <c r="P4945" s="16" t="s">
        <v>15716</v>
      </c>
      <c r="Q4945" s="15" t="s">
        <v>880</v>
      </c>
      <c r="R4945" s="13" t="str">
        <f>HYPERLINK("https://my.pitchbook.com?c=170630-92T","View Company Online")</f>
        <v>View Company Online</v>
      </c>
    </row>
    <row r="4946" spans="1:18" hidden="1" x14ac:dyDescent="0.3">
      <c r="A4946" s="9" t="s">
        <v>15717</v>
      </c>
      <c r="B4946" s="9" t="s">
        <v>1818</v>
      </c>
      <c r="C4946" s="11" t="s">
        <v>28</v>
      </c>
      <c r="D4946" s="9" t="s">
        <v>1819</v>
      </c>
      <c r="E4946" s="11" t="s">
        <v>28</v>
      </c>
      <c r="F4946" s="10" t="s">
        <v>28</v>
      </c>
      <c r="G4946" s="10">
        <v>1.81</v>
      </c>
      <c r="H4946" s="10" t="s">
        <v>28</v>
      </c>
      <c r="I4946" s="11" t="s">
        <v>28</v>
      </c>
      <c r="J4946" s="11" t="s">
        <v>28</v>
      </c>
      <c r="K4946" s="11" t="s">
        <v>28</v>
      </c>
      <c r="L4946" s="11" t="s">
        <v>28</v>
      </c>
      <c r="M4946" s="11" t="s">
        <v>28</v>
      </c>
      <c r="N4946" s="8">
        <v>44305</v>
      </c>
      <c r="O4946" s="9" t="s">
        <v>79</v>
      </c>
      <c r="P4946" s="12" t="s">
        <v>3451</v>
      </c>
      <c r="Q4946" s="9" t="s">
        <v>75</v>
      </c>
      <c r="R4946" s="14" t="str">
        <f>HYPERLINK("https://my.pitchbook.com?c=170755-39T","View Company Online")</f>
        <v>View Company Online</v>
      </c>
    </row>
    <row r="4947" spans="1:18" hidden="1" x14ac:dyDescent="0.3">
      <c r="A4947" s="15" t="s">
        <v>15718</v>
      </c>
      <c r="B4947" s="15" t="s">
        <v>14168</v>
      </c>
      <c r="C4947" s="18" t="s">
        <v>28</v>
      </c>
      <c r="D4947" s="15" t="s">
        <v>14169</v>
      </c>
      <c r="E4947" s="18" t="s">
        <v>28</v>
      </c>
      <c r="F4947" s="19" t="s">
        <v>28</v>
      </c>
      <c r="G4947" s="19" t="s">
        <v>28</v>
      </c>
      <c r="H4947" s="19" t="s">
        <v>28</v>
      </c>
      <c r="I4947" s="18" t="s">
        <v>28</v>
      </c>
      <c r="J4947" s="18" t="s">
        <v>28</v>
      </c>
      <c r="K4947" s="18">
        <v>105.78</v>
      </c>
      <c r="L4947" s="18" t="s">
        <v>28</v>
      </c>
      <c r="M4947" s="18" t="s">
        <v>28</v>
      </c>
      <c r="N4947" s="17">
        <v>44305</v>
      </c>
      <c r="O4947" s="15" t="s">
        <v>58</v>
      </c>
      <c r="P4947" s="16" t="s">
        <v>15719</v>
      </c>
      <c r="Q4947" s="15" t="s">
        <v>409</v>
      </c>
      <c r="R4947" s="13" t="str">
        <f>HYPERLINK("https://my.pitchbook.com?c=172180-72T","View Company Online")</f>
        <v>View Company Online</v>
      </c>
    </row>
    <row r="4948" spans="1:18" hidden="1" x14ac:dyDescent="0.3">
      <c r="A4948" s="9" t="s">
        <v>15720</v>
      </c>
      <c r="B4948" s="9" t="s">
        <v>15721</v>
      </c>
      <c r="C4948" s="11" t="s">
        <v>28</v>
      </c>
      <c r="D4948" s="9" t="s">
        <v>15722</v>
      </c>
      <c r="E4948" s="11" t="s">
        <v>28</v>
      </c>
      <c r="F4948" s="10">
        <v>0.22</v>
      </c>
      <c r="G4948" s="10">
        <v>0.22</v>
      </c>
      <c r="H4948" s="10">
        <v>0.22</v>
      </c>
      <c r="I4948" s="11" t="s">
        <v>28</v>
      </c>
      <c r="J4948" s="11" t="s">
        <v>28</v>
      </c>
      <c r="K4948" s="11" t="s">
        <v>28</v>
      </c>
      <c r="L4948" s="11" t="s">
        <v>28</v>
      </c>
      <c r="M4948" s="11" t="s">
        <v>28</v>
      </c>
      <c r="N4948" s="8">
        <v>44305</v>
      </c>
      <c r="O4948" s="9" t="s">
        <v>30</v>
      </c>
      <c r="P4948" s="12" t="s">
        <v>15723</v>
      </c>
      <c r="Q4948" s="9" t="s">
        <v>249</v>
      </c>
      <c r="R4948" s="14" t="str">
        <f>HYPERLINK("https://my.pitchbook.com?c=170594-74T","View Company Online")</f>
        <v>View Company Online</v>
      </c>
    </row>
    <row r="4949" spans="1:18" hidden="1" x14ac:dyDescent="0.3">
      <c r="A4949" s="15" t="s">
        <v>15724</v>
      </c>
      <c r="B4949" s="15" t="s">
        <v>15725</v>
      </c>
      <c r="C4949" s="18" t="s">
        <v>28</v>
      </c>
      <c r="D4949" s="15" t="s">
        <v>15726</v>
      </c>
      <c r="E4949" s="18" t="s">
        <v>28</v>
      </c>
      <c r="F4949" s="19" t="s">
        <v>28</v>
      </c>
      <c r="G4949" s="19" t="s">
        <v>28</v>
      </c>
      <c r="H4949" s="19" t="s">
        <v>28</v>
      </c>
      <c r="I4949" s="18" t="s">
        <v>28</v>
      </c>
      <c r="J4949" s="18" t="s">
        <v>28</v>
      </c>
      <c r="K4949" s="18" t="s">
        <v>28</v>
      </c>
      <c r="L4949" s="18" t="s">
        <v>28</v>
      </c>
      <c r="M4949" s="18" t="s">
        <v>28</v>
      </c>
      <c r="N4949" s="17">
        <v>44303</v>
      </c>
      <c r="O4949" s="15" t="s">
        <v>58</v>
      </c>
      <c r="P4949" s="16" t="s">
        <v>15727</v>
      </c>
      <c r="Q4949" s="15" t="s">
        <v>114</v>
      </c>
      <c r="R4949" s="13" t="str">
        <f>HYPERLINK("https://my.pitchbook.com?c=170562-61T","View Company Online")</f>
        <v>View Company Online</v>
      </c>
    </row>
    <row r="4950" spans="1:18" hidden="1" x14ac:dyDescent="0.3">
      <c r="A4950" s="9" t="s">
        <v>15728</v>
      </c>
      <c r="B4950" s="9" t="s">
        <v>15729</v>
      </c>
      <c r="C4950" s="11" t="s">
        <v>28</v>
      </c>
      <c r="D4950" s="9" t="s">
        <v>15730</v>
      </c>
      <c r="E4950" s="11" t="s">
        <v>28</v>
      </c>
      <c r="F4950" s="10">
        <v>3.9</v>
      </c>
      <c r="G4950" s="10">
        <v>3.9</v>
      </c>
      <c r="H4950" s="10">
        <v>3.9</v>
      </c>
      <c r="I4950" s="11" t="s">
        <v>28</v>
      </c>
      <c r="J4950" s="11" t="s">
        <v>28</v>
      </c>
      <c r="K4950" s="11" t="s">
        <v>28</v>
      </c>
      <c r="L4950" s="11" t="s">
        <v>28</v>
      </c>
      <c r="M4950" s="11" t="s">
        <v>28</v>
      </c>
      <c r="N4950" s="8">
        <v>44302</v>
      </c>
      <c r="O4950" s="9" t="s">
        <v>30</v>
      </c>
      <c r="P4950" s="12" t="s">
        <v>7615</v>
      </c>
      <c r="Q4950" s="9" t="s">
        <v>386</v>
      </c>
      <c r="R4950" s="14" t="str">
        <f>HYPERLINK("https://my.pitchbook.com?c=189780-67T","View Company Online")</f>
        <v>View Company Online</v>
      </c>
    </row>
    <row r="4951" spans="1:18" hidden="1" x14ac:dyDescent="0.3">
      <c r="A4951" s="15" t="s">
        <v>15731</v>
      </c>
      <c r="B4951" s="15" t="s">
        <v>7382</v>
      </c>
      <c r="C4951" s="18" t="s">
        <v>28</v>
      </c>
      <c r="D4951" s="15" t="s">
        <v>7383</v>
      </c>
      <c r="E4951" s="18" t="s">
        <v>28</v>
      </c>
      <c r="F4951" s="19" t="s">
        <v>28</v>
      </c>
      <c r="G4951" s="19" t="s">
        <v>28</v>
      </c>
      <c r="H4951" s="19" t="s">
        <v>28</v>
      </c>
      <c r="I4951" s="18" t="s">
        <v>28</v>
      </c>
      <c r="J4951" s="18" t="s">
        <v>28</v>
      </c>
      <c r="K4951" s="18" t="s">
        <v>28</v>
      </c>
      <c r="L4951" s="18" t="s">
        <v>28</v>
      </c>
      <c r="M4951" s="18" t="s">
        <v>28</v>
      </c>
      <c r="N4951" s="17">
        <v>44302</v>
      </c>
      <c r="O4951" s="15" t="s">
        <v>58</v>
      </c>
      <c r="P4951" s="16" t="s">
        <v>10517</v>
      </c>
      <c r="Q4951" s="15" t="s">
        <v>37</v>
      </c>
      <c r="R4951" s="13" t="str">
        <f>HYPERLINK("https://my.pitchbook.com?c=171647-65T","View Company Online")</f>
        <v>View Company Online</v>
      </c>
    </row>
    <row r="4952" spans="1:18" hidden="1" x14ac:dyDescent="0.3">
      <c r="A4952" s="9" t="s">
        <v>15732</v>
      </c>
      <c r="B4952" s="9" t="s">
        <v>15733</v>
      </c>
      <c r="C4952" s="11" t="s">
        <v>28</v>
      </c>
      <c r="D4952" s="9" t="s">
        <v>15734</v>
      </c>
      <c r="E4952" s="11" t="s">
        <v>28</v>
      </c>
      <c r="F4952" s="10" t="s">
        <v>28</v>
      </c>
      <c r="G4952" s="10">
        <v>0.27</v>
      </c>
      <c r="H4952" s="10" t="s">
        <v>28</v>
      </c>
      <c r="I4952" s="11" t="s">
        <v>28</v>
      </c>
      <c r="J4952" s="11" t="s">
        <v>28</v>
      </c>
      <c r="K4952" s="11" t="s">
        <v>28</v>
      </c>
      <c r="L4952" s="11" t="s">
        <v>28</v>
      </c>
      <c r="M4952" s="11" t="s">
        <v>28</v>
      </c>
      <c r="N4952" s="8">
        <v>44302</v>
      </c>
      <c r="O4952" s="9" t="s">
        <v>99</v>
      </c>
      <c r="P4952" s="12" t="s">
        <v>28</v>
      </c>
      <c r="Q4952" s="9" t="s">
        <v>37</v>
      </c>
      <c r="R4952" s="14" t="str">
        <f>HYPERLINK("https://my.pitchbook.com?c=170551-99T","View Company Online")</f>
        <v>View Company Online</v>
      </c>
    </row>
    <row r="4953" spans="1:18" hidden="1" x14ac:dyDescent="0.3">
      <c r="A4953" s="15" t="s">
        <v>15735</v>
      </c>
      <c r="B4953" s="15" t="s">
        <v>15733</v>
      </c>
      <c r="C4953" s="18" t="s">
        <v>28</v>
      </c>
      <c r="D4953" s="15" t="s">
        <v>15734</v>
      </c>
      <c r="E4953" s="18" t="s">
        <v>28</v>
      </c>
      <c r="F4953" s="19" t="s">
        <v>28</v>
      </c>
      <c r="G4953" s="19" t="s">
        <v>28</v>
      </c>
      <c r="H4953" s="19" t="s">
        <v>28</v>
      </c>
      <c r="I4953" s="18" t="s">
        <v>28</v>
      </c>
      <c r="J4953" s="18" t="s">
        <v>28</v>
      </c>
      <c r="K4953" s="18" t="s">
        <v>28</v>
      </c>
      <c r="L4953" s="18" t="s">
        <v>28</v>
      </c>
      <c r="M4953" s="18" t="s">
        <v>28</v>
      </c>
      <c r="N4953" s="17">
        <v>44302</v>
      </c>
      <c r="O4953" s="15" t="s">
        <v>73</v>
      </c>
      <c r="P4953" s="16" t="s">
        <v>28</v>
      </c>
      <c r="Q4953" s="15" t="s">
        <v>37</v>
      </c>
      <c r="R4953" s="13" t="str">
        <f>HYPERLINK("https://my.pitchbook.com?c=170554-33T","View Company Online")</f>
        <v>View Company Online</v>
      </c>
    </row>
    <row r="4954" spans="1:18" hidden="1" x14ac:dyDescent="0.3">
      <c r="A4954" s="9" t="s">
        <v>15736</v>
      </c>
      <c r="B4954" s="9" t="s">
        <v>11436</v>
      </c>
      <c r="C4954" s="11" t="s">
        <v>28</v>
      </c>
      <c r="D4954" s="9" t="s">
        <v>11437</v>
      </c>
      <c r="E4954" s="11" t="s">
        <v>28</v>
      </c>
      <c r="F4954" s="10" t="s">
        <v>28</v>
      </c>
      <c r="G4954" s="10">
        <v>2.83</v>
      </c>
      <c r="H4954" s="10" t="s">
        <v>28</v>
      </c>
      <c r="I4954" s="11" t="s">
        <v>28</v>
      </c>
      <c r="J4954" s="11" t="s">
        <v>28</v>
      </c>
      <c r="K4954" s="11" t="s">
        <v>28</v>
      </c>
      <c r="L4954" s="11" t="s">
        <v>28</v>
      </c>
      <c r="M4954" s="11" t="s">
        <v>28</v>
      </c>
      <c r="N4954" s="8">
        <v>44302</v>
      </c>
      <c r="O4954" s="9" t="s">
        <v>99</v>
      </c>
      <c r="P4954" s="12" t="s">
        <v>15737</v>
      </c>
      <c r="Q4954" s="9" t="s">
        <v>95</v>
      </c>
      <c r="R4954" s="14" t="str">
        <f>HYPERLINK("https://my.pitchbook.com?c=170545-06T","View Company Online")</f>
        <v>View Company Online</v>
      </c>
    </row>
    <row r="4955" spans="1:18" hidden="1" x14ac:dyDescent="0.3">
      <c r="A4955" s="15" t="s">
        <v>15738</v>
      </c>
      <c r="B4955" s="15" t="s">
        <v>1510</v>
      </c>
      <c r="C4955" s="18" t="s">
        <v>28</v>
      </c>
      <c r="D4955" s="15" t="s">
        <v>1511</v>
      </c>
      <c r="E4955" s="18" t="s">
        <v>28</v>
      </c>
      <c r="F4955" s="19" t="s">
        <v>28</v>
      </c>
      <c r="G4955" s="19" t="s">
        <v>28</v>
      </c>
      <c r="H4955" s="19" t="s">
        <v>28</v>
      </c>
      <c r="I4955" s="18" t="s">
        <v>28</v>
      </c>
      <c r="J4955" s="18" t="s">
        <v>28</v>
      </c>
      <c r="K4955" s="18" t="s">
        <v>28</v>
      </c>
      <c r="L4955" s="18" t="s">
        <v>28</v>
      </c>
      <c r="M4955" s="18" t="s">
        <v>28</v>
      </c>
      <c r="N4955" s="17">
        <v>44301</v>
      </c>
      <c r="O4955" s="15" t="s">
        <v>52</v>
      </c>
      <c r="P4955" s="16" t="s">
        <v>1880</v>
      </c>
      <c r="Q4955" s="15" t="s">
        <v>75</v>
      </c>
      <c r="R4955" s="13" t="str">
        <f>HYPERLINK("https://my.pitchbook.com?c=179649-46T","View Company Online")</f>
        <v>View Company Online</v>
      </c>
    </row>
    <row r="4956" spans="1:18" hidden="1" x14ac:dyDescent="0.3">
      <c r="A4956" s="9" t="s">
        <v>15739</v>
      </c>
      <c r="B4956" s="9" t="s">
        <v>8929</v>
      </c>
      <c r="C4956" s="11" t="s">
        <v>28</v>
      </c>
      <c r="D4956" s="9" t="s">
        <v>8930</v>
      </c>
      <c r="E4956" s="11" t="s">
        <v>28</v>
      </c>
      <c r="F4956" s="10" t="s">
        <v>28</v>
      </c>
      <c r="G4956" s="10" t="s">
        <v>28</v>
      </c>
      <c r="H4956" s="10" t="s">
        <v>28</v>
      </c>
      <c r="I4956" s="11" t="s">
        <v>28</v>
      </c>
      <c r="J4956" s="11" t="s">
        <v>28</v>
      </c>
      <c r="K4956" s="11" t="s">
        <v>28</v>
      </c>
      <c r="L4956" s="11" t="s">
        <v>28</v>
      </c>
      <c r="M4956" s="11" t="s">
        <v>28</v>
      </c>
      <c r="N4956" s="8">
        <v>44301</v>
      </c>
      <c r="O4956" s="9" t="s">
        <v>52</v>
      </c>
      <c r="P4956" s="12" t="s">
        <v>1880</v>
      </c>
      <c r="Q4956" s="9" t="s">
        <v>583</v>
      </c>
      <c r="R4956" s="14" t="str">
        <f>HYPERLINK("https://my.pitchbook.com?c=206596-18T","View Company Online")</f>
        <v>View Company Online</v>
      </c>
    </row>
    <row r="4957" spans="1:18" hidden="1" x14ac:dyDescent="0.3">
      <c r="A4957" s="15" t="s">
        <v>15740</v>
      </c>
      <c r="B4957" s="15" t="s">
        <v>15741</v>
      </c>
      <c r="C4957" s="18" t="s">
        <v>28</v>
      </c>
      <c r="D4957" s="15" t="s">
        <v>15742</v>
      </c>
      <c r="E4957" s="18" t="s">
        <v>28</v>
      </c>
      <c r="F4957" s="19" t="s">
        <v>28</v>
      </c>
      <c r="G4957" s="19" t="s">
        <v>28</v>
      </c>
      <c r="H4957" s="19" t="s">
        <v>28</v>
      </c>
      <c r="I4957" s="18" t="s">
        <v>28</v>
      </c>
      <c r="J4957" s="18" t="s">
        <v>28</v>
      </c>
      <c r="K4957" s="18" t="s">
        <v>28</v>
      </c>
      <c r="L4957" s="18" t="s">
        <v>28</v>
      </c>
      <c r="M4957" s="18" t="s">
        <v>28</v>
      </c>
      <c r="N4957" s="17">
        <v>44301</v>
      </c>
      <c r="O4957" s="15" t="s">
        <v>173</v>
      </c>
      <c r="P4957" s="16" t="s">
        <v>28</v>
      </c>
      <c r="Q4957" s="15" t="s">
        <v>174</v>
      </c>
      <c r="R4957" s="13" t="str">
        <f>HYPERLINK("https://my.pitchbook.com?c=252180-37T","View Company Online")</f>
        <v>View Company Online</v>
      </c>
    </row>
    <row r="4958" spans="1:18" hidden="1" x14ac:dyDescent="0.3">
      <c r="A4958" s="9" t="s">
        <v>15743</v>
      </c>
      <c r="B4958" s="9" t="s">
        <v>5524</v>
      </c>
      <c r="C4958" s="11" t="s">
        <v>28</v>
      </c>
      <c r="D4958" s="9" t="s">
        <v>5525</v>
      </c>
      <c r="E4958" s="11" t="s">
        <v>28</v>
      </c>
      <c r="F4958" s="10" t="s">
        <v>28</v>
      </c>
      <c r="G4958" s="10">
        <v>0.35</v>
      </c>
      <c r="H4958" s="10" t="s">
        <v>28</v>
      </c>
      <c r="I4958" s="11" t="s">
        <v>28</v>
      </c>
      <c r="J4958" s="11" t="s">
        <v>28</v>
      </c>
      <c r="K4958" s="11" t="s">
        <v>28</v>
      </c>
      <c r="L4958" s="11" t="s">
        <v>28</v>
      </c>
      <c r="M4958" s="11" t="s">
        <v>28</v>
      </c>
      <c r="N4958" s="8">
        <v>44300</v>
      </c>
      <c r="O4958" s="9" t="s">
        <v>1639</v>
      </c>
      <c r="P4958" s="12" t="s">
        <v>28</v>
      </c>
      <c r="Q4958" s="9" t="s">
        <v>566</v>
      </c>
      <c r="R4958" s="14" t="str">
        <f>HYPERLINK("https://my.pitchbook.com?c=183134-53T","View Company Online")</f>
        <v>View Company Online</v>
      </c>
    </row>
    <row r="4959" spans="1:18" hidden="1" x14ac:dyDescent="0.3">
      <c r="A4959" s="15" t="s">
        <v>15744</v>
      </c>
      <c r="B4959" s="15" t="s">
        <v>15745</v>
      </c>
      <c r="C4959" s="18" t="s">
        <v>28</v>
      </c>
      <c r="D4959" s="15" t="s">
        <v>15746</v>
      </c>
      <c r="E4959" s="18" t="s">
        <v>28</v>
      </c>
      <c r="F4959" s="19" t="s">
        <v>28</v>
      </c>
      <c r="G4959" s="19" t="s">
        <v>28</v>
      </c>
      <c r="H4959" s="19" t="s">
        <v>28</v>
      </c>
      <c r="I4959" s="18" t="s">
        <v>28</v>
      </c>
      <c r="J4959" s="18" t="s">
        <v>28</v>
      </c>
      <c r="K4959" s="18" t="s">
        <v>28</v>
      </c>
      <c r="L4959" s="18" t="s">
        <v>28</v>
      </c>
      <c r="M4959" s="18" t="s">
        <v>28</v>
      </c>
      <c r="N4959" s="17">
        <v>44300</v>
      </c>
      <c r="O4959" s="15" t="s">
        <v>30</v>
      </c>
      <c r="P4959" s="16" t="s">
        <v>3609</v>
      </c>
      <c r="Q4959" s="15" t="s">
        <v>7913</v>
      </c>
      <c r="R4959" s="13" t="str">
        <f>HYPERLINK("https://my.pitchbook.com?c=209987-56T","View Company Online")</f>
        <v>View Company Online</v>
      </c>
    </row>
    <row r="4960" spans="1:18" hidden="1" x14ac:dyDescent="0.3">
      <c r="A4960" s="9" t="s">
        <v>15747</v>
      </c>
      <c r="B4960" s="9" t="s">
        <v>14447</v>
      </c>
      <c r="C4960" s="11" t="s">
        <v>28</v>
      </c>
      <c r="D4960" s="9" t="s">
        <v>14448</v>
      </c>
      <c r="E4960" s="11" t="s">
        <v>28</v>
      </c>
      <c r="F4960" s="10" t="s">
        <v>28</v>
      </c>
      <c r="G4960" s="10" t="s">
        <v>28</v>
      </c>
      <c r="H4960" s="10" t="s">
        <v>28</v>
      </c>
      <c r="I4960" s="11" t="s">
        <v>28</v>
      </c>
      <c r="J4960" s="11" t="s">
        <v>28</v>
      </c>
      <c r="K4960" s="11" t="s">
        <v>28</v>
      </c>
      <c r="L4960" s="11" t="s">
        <v>28</v>
      </c>
      <c r="M4960" s="11" t="s">
        <v>28</v>
      </c>
      <c r="N4960" s="8">
        <v>44299</v>
      </c>
      <c r="O4960" s="9" t="s">
        <v>52</v>
      </c>
      <c r="P4960" s="12" t="s">
        <v>1880</v>
      </c>
      <c r="Q4960" s="9" t="s">
        <v>75</v>
      </c>
      <c r="R4960" s="14" t="str">
        <f>HYPERLINK("https://my.pitchbook.com?c=177858-64T","View Company Online")</f>
        <v>View Company Online</v>
      </c>
    </row>
    <row r="4961" spans="1:18" hidden="1" x14ac:dyDescent="0.3">
      <c r="A4961" s="15" t="s">
        <v>15748</v>
      </c>
      <c r="B4961" s="15" t="s">
        <v>15749</v>
      </c>
      <c r="C4961" s="18" t="s">
        <v>28</v>
      </c>
      <c r="D4961" s="15" t="s">
        <v>15750</v>
      </c>
      <c r="E4961" s="18" t="s">
        <v>28</v>
      </c>
      <c r="F4961" s="19">
        <v>2.12</v>
      </c>
      <c r="G4961" s="19">
        <v>1.48</v>
      </c>
      <c r="H4961" s="19">
        <v>2.12</v>
      </c>
      <c r="I4961" s="18" t="s">
        <v>28</v>
      </c>
      <c r="J4961" s="18" t="s">
        <v>28</v>
      </c>
      <c r="K4961" s="18" t="s">
        <v>28</v>
      </c>
      <c r="L4961" s="18" t="s">
        <v>28</v>
      </c>
      <c r="M4961" s="18" t="s">
        <v>28</v>
      </c>
      <c r="N4961" s="17">
        <v>44299</v>
      </c>
      <c r="O4961" s="15" t="s">
        <v>30</v>
      </c>
      <c r="P4961" s="16" t="s">
        <v>3677</v>
      </c>
      <c r="Q4961" s="15" t="s">
        <v>386</v>
      </c>
      <c r="R4961" s="13" t="str">
        <f>HYPERLINK("https://my.pitchbook.com?c=201950-56T","View Company Online")</f>
        <v>View Company Online</v>
      </c>
    </row>
    <row r="4962" spans="1:18" hidden="1" x14ac:dyDescent="0.3">
      <c r="A4962" s="9" t="s">
        <v>15751</v>
      </c>
      <c r="B4962" s="9" t="s">
        <v>15752</v>
      </c>
      <c r="C4962" s="11" t="s">
        <v>28</v>
      </c>
      <c r="D4962" s="9" t="s">
        <v>15753</v>
      </c>
      <c r="E4962" s="11" t="s">
        <v>28</v>
      </c>
      <c r="F4962" s="10" t="s">
        <v>28</v>
      </c>
      <c r="G4962" s="10" t="s">
        <v>28</v>
      </c>
      <c r="H4962" s="10" t="s">
        <v>28</v>
      </c>
      <c r="I4962" s="11" t="s">
        <v>28</v>
      </c>
      <c r="J4962" s="11" t="s">
        <v>28</v>
      </c>
      <c r="K4962" s="11" t="s">
        <v>28</v>
      </c>
      <c r="L4962" s="11" t="s">
        <v>28</v>
      </c>
      <c r="M4962" s="11" t="s">
        <v>28</v>
      </c>
      <c r="N4962" s="8">
        <v>44299</v>
      </c>
      <c r="O4962" s="9" t="s">
        <v>173</v>
      </c>
      <c r="P4962" s="12" t="s">
        <v>28</v>
      </c>
      <c r="Q4962" s="9" t="s">
        <v>174</v>
      </c>
      <c r="R4962" s="14" t="str">
        <f>HYPERLINK("https://my.pitchbook.com?c=251545-15T","View Company Online")</f>
        <v>View Company Online</v>
      </c>
    </row>
    <row r="4963" spans="1:18" hidden="1" x14ac:dyDescent="0.3">
      <c r="A4963" s="15" t="s">
        <v>15754</v>
      </c>
      <c r="B4963" s="15" t="s">
        <v>15755</v>
      </c>
      <c r="C4963" s="18" t="s">
        <v>28</v>
      </c>
      <c r="D4963" s="15" t="s">
        <v>15756</v>
      </c>
      <c r="E4963" s="18" t="s">
        <v>28</v>
      </c>
      <c r="F4963" s="19" t="s">
        <v>28</v>
      </c>
      <c r="G4963" s="19" t="s">
        <v>28</v>
      </c>
      <c r="H4963" s="19" t="s">
        <v>28</v>
      </c>
      <c r="I4963" s="18" t="s">
        <v>28</v>
      </c>
      <c r="J4963" s="18" t="s">
        <v>28</v>
      </c>
      <c r="K4963" s="18" t="s">
        <v>28</v>
      </c>
      <c r="L4963" s="18" t="s">
        <v>28</v>
      </c>
      <c r="M4963" s="18" t="s">
        <v>28</v>
      </c>
      <c r="N4963" s="17">
        <v>44298</v>
      </c>
      <c r="O4963" s="15" t="s">
        <v>30</v>
      </c>
      <c r="P4963" s="16" t="s">
        <v>7471</v>
      </c>
      <c r="Q4963" s="15" t="s">
        <v>245</v>
      </c>
      <c r="R4963" s="13" t="str">
        <f>HYPERLINK("https://my.pitchbook.com?c=213168-88T","View Company Online")</f>
        <v>View Company Online</v>
      </c>
    </row>
    <row r="4964" spans="1:18" hidden="1" x14ac:dyDescent="0.3">
      <c r="A4964" s="9" t="s">
        <v>15757</v>
      </c>
      <c r="B4964" s="9" t="s">
        <v>15758</v>
      </c>
      <c r="C4964" s="11" t="s">
        <v>28</v>
      </c>
      <c r="D4964" s="9" t="s">
        <v>15759</v>
      </c>
      <c r="E4964" s="11" t="s">
        <v>28</v>
      </c>
      <c r="F4964" s="10">
        <v>21.09</v>
      </c>
      <c r="G4964" s="10">
        <v>15.81</v>
      </c>
      <c r="H4964" s="10">
        <v>21.09</v>
      </c>
      <c r="I4964" s="11" t="s">
        <v>28</v>
      </c>
      <c r="J4964" s="11" t="s">
        <v>28</v>
      </c>
      <c r="K4964" s="11" t="s">
        <v>28</v>
      </c>
      <c r="L4964" s="11" t="s">
        <v>28</v>
      </c>
      <c r="M4964" s="11" t="s">
        <v>28</v>
      </c>
      <c r="N4964" s="8">
        <v>44298</v>
      </c>
      <c r="O4964" s="9" t="s">
        <v>30</v>
      </c>
      <c r="P4964" s="12" t="s">
        <v>10804</v>
      </c>
      <c r="Q4964" s="9" t="s">
        <v>6142</v>
      </c>
      <c r="R4964" s="14" t="str">
        <f>HYPERLINK("https://my.pitchbook.com?c=170230-69T","View Company Online")</f>
        <v>View Company Online</v>
      </c>
    </row>
    <row r="4965" spans="1:18" hidden="1" x14ac:dyDescent="0.3">
      <c r="A4965" s="15" t="s">
        <v>15760</v>
      </c>
      <c r="B4965" s="15" t="s">
        <v>6091</v>
      </c>
      <c r="C4965" s="18" t="s">
        <v>28</v>
      </c>
      <c r="D4965" s="15" t="s">
        <v>6092</v>
      </c>
      <c r="E4965" s="18" t="s">
        <v>28</v>
      </c>
      <c r="F4965" s="19" t="s">
        <v>28</v>
      </c>
      <c r="G4965" s="19">
        <v>0.27</v>
      </c>
      <c r="H4965" s="19" t="s">
        <v>28</v>
      </c>
      <c r="I4965" s="18" t="s">
        <v>28</v>
      </c>
      <c r="J4965" s="18" t="s">
        <v>28</v>
      </c>
      <c r="K4965" s="18" t="s">
        <v>28</v>
      </c>
      <c r="L4965" s="18" t="s">
        <v>28</v>
      </c>
      <c r="M4965" s="18" t="s">
        <v>28</v>
      </c>
      <c r="N4965" s="17">
        <v>44298</v>
      </c>
      <c r="O4965" s="15" t="s">
        <v>99</v>
      </c>
      <c r="P4965" s="16" t="s">
        <v>9564</v>
      </c>
      <c r="Q4965" s="15" t="s">
        <v>75</v>
      </c>
      <c r="R4965" s="13" t="str">
        <f>HYPERLINK("https://my.pitchbook.com?c=173183-23T","View Company Online")</f>
        <v>View Company Online</v>
      </c>
    </row>
    <row r="4966" spans="1:18" hidden="1" x14ac:dyDescent="0.3">
      <c r="A4966" s="9" t="s">
        <v>15761</v>
      </c>
      <c r="B4966" s="9" t="s">
        <v>15762</v>
      </c>
      <c r="C4966" s="11" t="s">
        <v>28</v>
      </c>
      <c r="D4966" s="9" t="s">
        <v>15763</v>
      </c>
      <c r="E4966" s="11" t="s">
        <v>28</v>
      </c>
      <c r="F4966" s="10" t="s">
        <v>28</v>
      </c>
      <c r="G4966" s="10" t="s">
        <v>28</v>
      </c>
      <c r="H4966" s="10" t="s">
        <v>28</v>
      </c>
      <c r="I4966" s="11" t="s">
        <v>28</v>
      </c>
      <c r="J4966" s="11" t="s">
        <v>28</v>
      </c>
      <c r="K4966" s="11" t="s">
        <v>28</v>
      </c>
      <c r="L4966" s="11" t="s">
        <v>28</v>
      </c>
      <c r="M4966" s="11" t="s">
        <v>28</v>
      </c>
      <c r="N4966" s="8">
        <v>44298</v>
      </c>
      <c r="O4966" s="9" t="s">
        <v>41</v>
      </c>
      <c r="P4966" s="12" t="s">
        <v>15764</v>
      </c>
      <c r="Q4966" s="9" t="s">
        <v>240</v>
      </c>
      <c r="R4966" s="14" t="str">
        <f>HYPERLINK("https://my.pitchbook.com?c=170280-46T","View Company Online")</f>
        <v>View Company Online</v>
      </c>
    </row>
    <row r="4967" spans="1:18" hidden="1" x14ac:dyDescent="0.3">
      <c r="A4967" s="15" t="s">
        <v>15765</v>
      </c>
      <c r="B4967" s="15" t="s">
        <v>15766</v>
      </c>
      <c r="C4967" s="18" t="s">
        <v>28</v>
      </c>
      <c r="D4967" s="15" t="s">
        <v>15767</v>
      </c>
      <c r="E4967" s="18" t="s">
        <v>28</v>
      </c>
      <c r="F4967" s="19" t="s">
        <v>28</v>
      </c>
      <c r="G4967" s="19" t="s">
        <v>28</v>
      </c>
      <c r="H4967" s="19" t="s">
        <v>28</v>
      </c>
      <c r="I4967" s="18" t="s">
        <v>28</v>
      </c>
      <c r="J4967" s="18" t="s">
        <v>28</v>
      </c>
      <c r="K4967" s="18" t="s">
        <v>28</v>
      </c>
      <c r="L4967" s="18" t="s">
        <v>28</v>
      </c>
      <c r="M4967" s="18" t="s">
        <v>28</v>
      </c>
      <c r="N4967" s="17">
        <v>44295</v>
      </c>
      <c r="O4967" s="15" t="s">
        <v>41</v>
      </c>
      <c r="P4967" s="16" t="s">
        <v>15768</v>
      </c>
      <c r="Q4967" s="15" t="s">
        <v>37</v>
      </c>
      <c r="R4967" s="13" t="str">
        <f>HYPERLINK("https://my.pitchbook.com?c=224345-08T","View Company Online")</f>
        <v>View Company Online</v>
      </c>
    </row>
    <row r="4968" spans="1:18" hidden="1" x14ac:dyDescent="0.3">
      <c r="A4968" s="9" t="s">
        <v>15769</v>
      </c>
      <c r="B4968" s="9" t="s">
        <v>15770</v>
      </c>
      <c r="C4968" s="11" t="s">
        <v>28</v>
      </c>
      <c r="D4968" s="9" t="s">
        <v>15771</v>
      </c>
      <c r="E4968" s="11" t="s">
        <v>28</v>
      </c>
      <c r="F4968" s="10" t="s">
        <v>28</v>
      </c>
      <c r="G4968" s="10" t="s">
        <v>28</v>
      </c>
      <c r="H4968" s="10" t="s">
        <v>28</v>
      </c>
      <c r="I4968" s="11" t="s">
        <v>28</v>
      </c>
      <c r="J4968" s="11" t="s">
        <v>28</v>
      </c>
      <c r="K4968" s="11" t="s">
        <v>28</v>
      </c>
      <c r="L4968" s="11" t="s">
        <v>28</v>
      </c>
      <c r="M4968" s="11" t="s">
        <v>28</v>
      </c>
      <c r="N4968" s="8">
        <v>44295</v>
      </c>
      <c r="O4968" s="9" t="s">
        <v>30</v>
      </c>
      <c r="P4968" s="12" t="s">
        <v>15772</v>
      </c>
      <c r="Q4968" s="9" t="s">
        <v>692</v>
      </c>
      <c r="R4968" s="14" t="str">
        <f>HYPERLINK("https://my.pitchbook.com?c=213259-42T","View Company Online")</f>
        <v>View Company Online</v>
      </c>
    </row>
    <row r="4969" spans="1:18" hidden="1" x14ac:dyDescent="0.3">
      <c r="A4969" s="15" t="s">
        <v>15773</v>
      </c>
      <c r="B4969" s="15" t="s">
        <v>15774</v>
      </c>
      <c r="C4969" s="18" t="s">
        <v>28</v>
      </c>
      <c r="D4969" s="15" t="s">
        <v>15775</v>
      </c>
      <c r="E4969" s="18" t="s">
        <v>28</v>
      </c>
      <c r="F4969" s="19" t="s">
        <v>28</v>
      </c>
      <c r="G4969" s="19" t="s">
        <v>28</v>
      </c>
      <c r="H4969" s="19" t="s">
        <v>28</v>
      </c>
      <c r="I4969" s="18" t="s">
        <v>28</v>
      </c>
      <c r="J4969" s="18" t="s">
        <v>28</v>
      </c>
      <c r="K4969" s="18" t="s">
        <v>28</v>
      </c>
      <c r="L4969" s="18" t="s">
        <v>28</v>
      </c>
      <c r="M4969" s="18" t="s">
        <v>28</v>
      </c>
      <c r="N4969" s="17">
        <v>44295</v>
      </c>
      <c r="O4969" s="15" t="s">
        <v>41</v>
      </c>
      <c r="P4969" s="16" t="s">
        <v>15768</v>
      </c>
      <c r="Q4969" s="15" t="s">
        <v>75</v>
      </c>
      <c r="R4969" s="13" t="str">
        <f>HYPERLINK("https://my.pitchbook.com?c=170146-45T","View Company Online")</f>
        <v>View Company Online</v>
      </c>
    </row>
    <row r="4970" spans="1:18" hidden="1" x14ac:dyDescent="0.3">
      <c r="A4970" s="9" t="s">
        <v>15776</v>
      </c>
      <c r="B4970" s="9" t="s">
        <v>223</v>
      </c>
      <c r="C4970" s="11" t="s">
        <v>28</v>
      </c>
      <c r="D4970" s="9" t="s">
        <v>224</v>
      </c>
      <c r="E4970" s="11">
        <v>-48.48</v>
      </c>
      <c r="F4970" s="10" t="s">
        <v>28</v>
      </c>
      <c r="G4970" s="10">
        <v>146.1</v>
      </c>
      <c r="H4970" s="10" t="s">
        <v>28</v>
      </c>
      <c r="I4970" s="11">
        <v>-38.85</v>
      </c>
      <c r="J4970" s="11" t="s">
        <v>28</v>
      </c>
      <c r="K4970" s="11">
        <v>60.84</v>
      </c>
      <c r="L4970" s="11" t="s">
        <v>28</v>
      </c>
      <c r="M4970" s="11">
        <v>-50.36</v>
      </c>
      <c r="N4970" s="8">
        <v>44294</v>
      </c>
      <c r="O4970" s="9" t="s">
        <v>423</v>
      </c>
      <c r="P4970" s="12" t="s">
        <v>28</v>
      </c>
      <c r="Q4970" s="9" t="s">
        <v>226</v>
      </c>
      <c r="R4970" s="14" t="str">
        <f>HYPERLINK("https://my.pitchbook.com?c=170827-12T","View Company Online")</f>
        <v>View Company Online</v>
      </c>
    </row>
    <row r="4971" spans="1:18" hidden="1" x14ac:dyDescent="0.3">
      <c r="A4971" s="15" t="s">
        <v>15777</v>
      </c>
      <c r="B4971" s="15" t="s">
        <v>1772</v>
      </c>
      <c r="C4971" s="18" t="s">
        <v>28</v>
      </c>
      <c r="D4971" s="15" t="s">
        <v>1773</v>
      </c>
      <c r="E4971" s="18" t="s">
        <v>28</v>
      </c>
      <c r="F4971" s="19" t="s">
        <v>28</v>
      </c>
      <c r="G4971" s="19" t="s">
        <v>28</v>
      </c>
      <c r="H4971" s="19" t="s">
        <v>28</v>
      </c>
      <c r="I4971" s="18" t="s">
        <v>28</v>
      </c>
      <c r="J4971" s="18" t="s">
        <v>28</v>
      </c>
      <c r="K4971" s="18" t="s">
        <v>28</v>
      </c>
      <c r="L4971" s="18" t="s">
        <v>28</v>
      </c>
      <c r="M4971" s="18" t="s">
        <v>28</v>
      </c>
      <c r="N4971" s="17">
        <v>44294</v>
      </c>
      <c r="O4971" s="15" t="s">
        <v>73</v>
      </c>
      <c r="P4971" s="16" t="s">
        <v>15778</v>
      </c>
      <c r="Q4971" s="15" t="s">
        <v>75</v>
      </c>
      <c r="R4971" s="13" t="str">
        <f>HYPERLINK("https://my.pitchbook.com?c=170223-67T","View Company Online")</f>
        <v>View Company Online</v>
      </c>
    </row>
    <row r="4972" spans="1:18" hidden="1" x14ac:dyDescent="0.3">
      <c r="A4972" s="9" t="s">
        <v>15779</v>
      </c>
      <c r="B4972" s="9" t="s">
        <v>8484</v>
      </c>
      <c r="C4972" s="11" t="s">
        <v>28</v>
      </c>
      <c r="D4972" s="9" t="s">
        <v>11710</v>
      </c>
      <c r="E4972" s="11" t="s">
        <v>28</v>
      </c>
      <c r="F4972" s="10" t="s">
        <v>28</v>
      </c>
      <c r="G4972" s="10">
        <v>300</v>
      </c>
      <c r="H4972" s="10" t="s">
        <v>28</v>
      </c>
      <c r="I4972" s="11" t="s">
        <v>28</v>
      </c>
      <c r="J4972" s="11" t="s">
        <v>28</v>
      </c>
      <c r="K4972" s="11" t="s">
        <v>28</v>
      </c>
      <c r="L4972" s="11" t="s">
        <v>28</v>
      </c>
      <c r="M4972" s="11" t="s">
        <v>28</v>
      </c>
      <c r="N4972" s="8">
        <v>44294</v>
      </c>
      <c r="O4972" s="9" t="s">
        <v>79</v>
      </c>
      <c r="P4972" s="12" t="s">
        <v>15780</v>
      </c>
      <c r="Q4972" s="9" t="s">
        <v>114</v>
      </c>
      <c r="R4972" s="14" t="str">
        <f>HYPERLINK("https://my.pitchbook.com?c=155464-48T","View Company Online")</f>
        <v>View Company Online</v>
      </c>
    </row>
    <row r="4973" spans="1:18" hidden="1" x14ac:dyDescent="0.3">
      <c r="A4973" s="15" t="s">
        <v>15781</v>
      </c>
      <c r="B4973" s="15" t="s">
        <v>15782</v>
      </c>
      <c r="C4973" s="18" t="s">
        <v>28</v>
      </c>
      <c r="D4973" s="15" t="s">
        <v>15783</v>
      </c>
      <c r="E4973" s="18" t="s">
        <v>28</v>
      </c>
      <c r="F4973" s="19" t="s">
        <v>28</v>
      </c>
      <c r="G4973" s="19" t="s">
        <v>28</v>
      </c>
      <c r="H4973" s="19" t="s">
        <v>28</v>
      </c>
      <c r="I4973" s="18" t="s">
        <v>28</v>
      </c>
      <c r="J4973" s="18" t="s">
        <v>28</v>
      </c>
      <c r="K4973" s="18" t="s">
        <v>28</v>
      </c>
      <c r="L4973" s="18" t="s">
        <v>28</v>
      </c>
      <c r="M4973" s="18" t="s">
        <v>28</v>
      </c>
      <c r="N4973" s="17">
        <v>44294</v>
      </c>
      <c r="O4973" s="15" t="s">
        <v>30</v>
      </c>
      <c r="P4973" s="16" t="s">
        <v>15784</v>
      </c>
      <c r="Q4973" s="15" t="s">
        <v>959</v>
      </c>
      <c r="R4973" s="13" t="str">
        <f>HYPERLINK("https://my.pitchbook.com?c=167802-22T","View Company Online")</f>
        <v>View Company Online</v>
      </c>
    </row>
    <row r="4974" spans="1:18" hidden="1" x14ac:dyDescent="0.3">
      <c r="A4974" s="9" t="s">
        <v>15785</v>
      </c>
      <c r="B4974" s="9" t="s">
        <v>15786</v>
      </c>
      <c r="C4974" s="11" t="s">
        <v>28</v>
      </c>
      <c r="D4974" s="9" t="s">
        <v>15787</v>
      </c>
      <c r="E4974" s="11" t="s">
        <v>28</v>
      </c>
      <c r="F4974" s="10" t="s">
        <v>28</v>
      </c>
      <c r="G4974" s="10" t="s">
        <v>28</v>
      </c>
      <c r="H4974" s="10" t="s">
        <v>28</v>
      </c>
      <c r="I4974" s="11" t="s">
        <v>28</v>
      </c>
      <c r="J4974" s="11" t="s">
        <v>28</v>
      </c>
      <c r="K4974" s="11" t="s">
        <v>28</v>
      </c>
      <c r="L4974" s="11" t="s">
        <v>28</v>
      </c>
      <c r="M4974" s="11" t="s">
        <v>28</v>
      </c>
      <c r="N4974" s="8">
        <v>44293</v>
      </c>
      <c r="O4974" s="9" t="s">
        <v>30</v>
      </c>
      <c r="P4974" s="12" t="s">
        <v>15788</v>
      </c>
      <c r="Q4974" s="9" t="s">
        <v>5628</v>
      </c>
      <c r="R4974" s="14" t="str">
        <f>HYPERLINK("https://my.pitchbook.com?c=170045-83T","View Company Online")</f>
        <v>View Company Online</v>
      </c>
    </row>
    <row r="4975" spans="1:18" hidden="1" x14ac:dyDescent="0.3">
      <c r="A4975" s="15" t="s">
        <v>15789</v>
      </c>
      <c r="B4975" s="15" t="s">
        <v>15790</v>
      </c>
      <c r="C4975" s="18" t="s">
        <v>28</v>
      </c>
      <c r="D4975" s="15" t="s">
        <v>15791</v>
      </c>
      <c r="E4975" s="18" t="s">
        <v>28</v>
      </c>
      <c r="F4975" s="19" t="s">
        <v>28</v>
      </c>
      <c r="G4975" s="19">
        <v>0.08</v>
      </c>
      <c r="H4975" s="19" t="s">
        <v>28</v>
      </c>
      <c r="I4975" s="18" t="s">
        <v>28</v>
      </c>
      <c r="J4975" s="18" t="s">
        <v>28</v>
      </c>
      <c r="K4975" s="18" t="s">
        <v>28</v>
      </c>
      <c r="L4975" s="18" t="s">
        <v>28</v>
      </c>
      <c r="M4975" s="18" t="s">
        <v>28</v>
      </c>
      <c r="N4975" s="17">
        <v>44293</v>
      </c>
      <c r="O4975" s="15" t="s">
        <v>79</v>
      </c>
      <c r="P4975" s="16" t="s">
        <v>15792</v>
      </c>
      <c r="Q4975" s="15" t="s">
        <v>136</v>
      </c>
      <c r="R4975" s="13" t="str">
        <f>HYPERLINK("https://my.pitchbook.com?c=300924-01T","View Company Online")</f>
        <v>View Company Online</v>
      </c>
    </row>
    <row r="4976" spans="1:18" hidden="1" x14ac:dyDescent="0.3">
      <c r="A4976" s="9" t="s">
        <v>15793</v>
      </c>
      <c r="B4976" s="9" t="s">
        <v>15794</v>
      </c>
      <c r="C4976" s="11" t="s">
        <v>28</v>
      </c>
      <c r="D4976" s="9" t="s">
        <v>15795</v>
      </c>
      <c r="E4976" s="11" t="s">
        <v>28</v>
      </c>
      <c r="F4976" s="10" t="s">
        <v>28</v>
      </c>
      <c r="G4976" s="10" t="s">
        <v>28</v>
      </c>
      <c r="H4976" s="10" t="s">
        <v>28</v>
      </c>
      <c r="I4976" s="11" t="s">
        <v>28</v>
      </c>
      <c r="J4976" s="11" t="s">
        <v>28</v>
      </c>
      <c r="K4976" s="11" t="s">
        <v>28</v>
      </c>
      <c r="L4976" s="11" t="s">
        <v>28</v>
      </c>
      <c r="M4976" s="11" t="s">
        <v>28</v>
      </c>
      <c r="N4976" s="8">
        <v>44293</v>
      </c>
      <c r="O4976" s="9" t="s">
        <v>30</v>
      </c>
      <c r="P4976" s="12" t="s">
        <v>8232</v>
      </c>
      <c r="Q4976" s="9" t="s">
        <v>95</v>
      </c>
      <c r="R4976" s="14" t="str">
        <f>HYPERLINK("https://my.pitchbook.com?c=170179-66T","View Company Online")</f>
        <v>View Company Online</v>
      </c>
    </row>
    <row r="4977" spans="1:18" hidden="1" x14ac:dyDescent="0.3">
      <c r="A4977" s="15" t="s">
        <v>15796</v>
      </c>
      <c r="B4977" s="15" t="s">
        <v>10696</v>
      </c>
      <c r="C4977" s="18" t="s">
        <v>28</v>
      </c>
      <c r="D4977" s="15" t="s">
        <v>10697</v>
      </c>
      <c r="E4977" s="18" t="s">
        <v>28</v>
      </c>
      <c r="F4977" s="19" t="s">
        <v>28</v>
      </c>
      <c r="G4977" s="19">
        <v>0.6</v>
      </c>
      <c r="H4977" s="19" t="s">
        <v>28</v>
      </c>
      <c r="I4977" s="18" t="s">
        <v>28</v>
      </c>
      <c r="J4977" s="18" t="s">
        <v>28</v>
      </c>
      <c r="K4977" s="18" t="s">
        <v>28</v>
      </c>
      <c r="L4977" s="18" t="s">
        <v>28</v>
      </c>
      <c r="M4977" s="18" t="s">
        <v>28</v>
      </c>
      <c r="N4977" s="17">
        <v>44293</v>
      </c>
      <c r="O4977" s="15" t="s">
        <v>79</v>
      </c>
      <c r="P4977" s="16" t="s">
        <v>15797</v>
      </c>
      <c r="Q4977" s="15" t="s">
        <v>774</v>
      </c>
      <c r="R4977" s="13" t="str">
        <f>HYPERLINK("https://my.pitchbook.com?c=217920-34T","View Company Online")</f>
        <v>View Company Online</v>
      </c>
    </row>
    <row r="4978" spans="1:18" hidden="1" x14ac:dyDescent="0.3">
      <c r="A4978" s="9" t="s">
        <v>15798</v>
      </c>
      <c r="B4978" s="9" t="s">
        <v>5171</v>
      </c>
      <c r="C4978" s="11" t="s">
        <v>28</v>
      </c>
      <c r="D4978" s="9" t="s">
        <v>5172</v>
      </c>
      <c r="E4978" s="11" t="s">
        <v>28</v>
      </c>
      <c r="F4978" s="10" t="s">
        <v>28</v>
      </c>
      <c r="G4978" s="10">
        <v>4.43</v>
      </c>
      <c r="H4978" s="10" t="s">
        <v>28</v>
      </c>
      <c r="I4978" s="11" t="s">
        <v>28</v>
      </c>
      <c r="J4978" s="11" t="s">
        <v>28</v>
      </c>
      <c r="K4978" s="11">
        <v>2.91</v>
      </c>
      <c r="L4978" s="11" t="s">
        <v>28</v>
      </c>
      <c r="M4978" s="11" t="s">
        <v>28</v>
      </c>
      <c r="N4978" s="8">
        <v>44292</v>
      </c>
      <c r="O4978" s="9" t="s">
        <v>73</v>
      </c>
      <c r="P4978" s="12" t="s">
        <v>28</v>
      </c>
      <c r="Q4978" s="9" t="s">
        <v>37</v>
      </c>
      <c r="R4978" s="14" t="str">
        <f>HYPERLINK("https://my.pitchbook.com?c=169248-52T","View Company Online")</f>
        <v>View Company Online</v>
      </c>
    </row>
    <row r="4979" spans="1:18" hidden="1" x14ac:dyDescent="0.3">
      <c r="A4979" s="15" t="s">
        <v>15799</v>
      </c>
      <c r="B4979" s="15" t="s">
        <v>15800</v>
      </c>
      <c r="C4979" s="18" t="s">
        <v>28</v>
      </c>
      <c r="D4979" s="15" t="s">
        <v>15801</v>
      </c>
      <c r="E4979" s="18" t="s">
        <v>28</v>
      </c>
      <c r="F4979" s="19" t="s">
        <v>28</v>
      </c>
      <c r="G4979" s="19" t="s">
        <v>28</v>
      </c>
      <c r="H4979" s="19" t="s">
        <v>28</v>
      </c>
      <c r="I4979" s="18" t="s">
        <v>28</v>
      </c>
      <c r="J4979" s="18" t="s">
        <v>28</v>
      </c>
      <c r="K4979" s="18">
        <v>120.34</v>
      </c>
      <c r="L4979" s="18" t="s">
        <v>28</v>
      </c>
      <c r="M4979" s="18" t="s">
        <v>28</v>
      </c>
      <c r="N4979" s="17">
        <v>44292</v>
      </c>
      <c r="O4979" s="15" t="s">
        <v>30</v>
      </c>
      <c r="P4979" s="16" t="s">
        <v>3609</v>
      </c>
      <c r="Q4979" s="15" t="s">
        <v>75</v>
      </c>
      <c r="R4979" s="13" t="str">
        <f>HYPERLINK("https://my.pitchbook.com?c=170127-55T","View Company Online")</f>
        <v>View Company Online</v>
      </c>
    </row>
    <row r="4980" spans="1:18" hidden="1" x14ac:dyDescent="0.3">
      <c r="A4980" s="9" t="s">
        <v>15802</v>
      </c>
      <c r="B4980" s="9" t="s">
        <v>12124</v>
      </c>
      <c r="C4980" s="11" t="s">
        <v>28</v>
      </c>
      <c r="D4980" s="9" t="s">
        <v>15803</v>
      </c>
      <c r="E4980" s="11" t="s">
        <v>28</v>
      </c>
      <c r="F4980" s="10" t="s">
        <v>28</v>
      </c>
      <c r="G4980" s="10">
        <v>660</v>
      </c>
      <c r="H4980" s="10">
        <v>1466.67</v>
      </c>
      <c r="I4980" s="11" t="s">
        <v>28</v>
      </c>
      <c r="J4980" s="11" t="s">
        <v>28</v>
      </c>
      <c r="K4980" s="11">
        <v>1241.8900000000001</v>
      </c>
      <c r="L4980" s="11">
        <v>1.18</v>
      </c>
      <c r="M4980" s="11">
        <v>124.93</v>
      </c>
      <c r="N4980" s="8">
        <v>44291</v>
      </c>
      <c r="O4980" s="9" t="s">
        <v>30</v>
      </c>
      <c r="P4980" s="12" t="s">
        <v>343</v>
      </c>
      <c r="Q4980" s="9" t="s">
        <v>59</v>
      </c>
      <c r="R4980" s="14" t="str">
        <f>HYPERLINK("https://my.pitchbook.com?c=211862-89T","View Company Online")</f>
        <v>View Company Online</v>
      </c>
    </row>
    <row r="4981" spans="1:18" hidden="1" x14ac:dyDescent="0.3">
      <c r="A4981" s="15" t="s">
        <v>15804</v>
      </c>
      <c r="B4981" s="15" t="s">
        <v>14189</v>
      </c>
      <c r="C4981" s="18" t="s">
        <v>28</v>
      </c>
      <c r="D4981" s="15" t="s">
        <v>14190</v>
      </c>
      <c r="E4981" s="18" t="s">
        <v>28</v>
      </c>
      <c r="F4981" s="19" t="s">
        <v>28</v>
      </c>
      <c r="G4981" s="19">
        <v>26.7</v>
      </c>
      <c r="H4981" s="19" t="s">
        <v>28</v>
      </c>
      <c r="I4981" s="18" t="s">
        <v>28</v>
      </c>
      <c r="J4981" s="18" t="s">
        <v>28</v>
      </c>
      <c r="K4981" s="18" t="s">
        <v>28</v>
      </c>
      <c r="L4981" s="18" t="s">
        <v>28</v>
      </c>
      <c r="M4981" s="18" t="s">
        <v>28</v>
      </c>
      <c r="N4981" s="17">
        <v>44291</v>
      </c>
      <c r="O4981" s="15" t="s">
        <v>73</v>
      </c>
      <c r="P4981" s="16" t="s">
        <v>15805</v>
      </c>
      <c r="Q4981" s="15" t="s">
        <v>37</v>
      </c>
      <c r="R4981" s="13" t="str">
        <f>HYPERLINK("https://my.pitchbook.com?c=169750-81T","View Company Online")</f>
        <v>View Company Online</v>
      </c>
    </row>
    <row r="4982" spans="1:18" hidden="1" x14ac:dyDescent="0.3">
      <c r="A4982" s="9" t="s">
        <v>15806</v>
      </c>
      <c r="B4982" s="9" t="s">
        <v>3192</v>
      </c>
      <c r="C4982" s="11" t="s">
        <v>28</v>
      </c>
      <c r="D4982" s="9" t="s">
        <v>3193</v>
      </c>
      <c r="E4982" s="11" t="s">
        <v>28</v>
      </c>
      <c r="F4982" s="10" t="s">
        <v>28</v>
      </c>
      <c r="G4982" s="10">
        <v>7</v>
      </c>
      <c r="H4982" s="10" t="s">
        <v>28</v>
      </c>
      <c r="I4982" s="11" t="s">
        <v>28</v>
      </c>
      <c r="J4982" s="11" t="s">
        <v>28</v>
      </c>
      <c r="K4982" s="11" t="s">
        <v>28</v>
      </c>
      <c r="L4982" s="11" t="s">
        <v>28</v>
      </c>
      <c r="M4982" s="11" t="s">
        <v>28</v>
      </c>
      <c r="N4982" s="8">
        <v>44291</v>
      </c>
      <c r="O4982" s="9" t="s">
        <v>79</v>
      </c>
      <c r="P4982" s="12" t="s">
        <v>15807</v>
      </c>
      <c r="Q4982" s="9" t="s">
        <v>114</v>
      </c>
      <c r="R4982" s="14" t="str">
        <f>HYPERLINK("https://my.pitchbook.com?c=169889-95T","View Company Online")</f>
        <v>View Company Online</v>
      </c>
    </row>
    <row r="4983" spans="1:18" hidden="1" x14ac:dyDescent="0.3">
      <c r="A4983" s="15" t="s">
        <v>15808</v>
      </c>
      <c r="B4983" s="15" t="s">
        <v>364</v>
      </c>
      <c r="C4983" s="18" t="s">
        <v>28</v>
      </c>
      <c r="D4983" s="15" t="s">
        <v>365</v>
      </c>
      <c r="E4983" s="18" t="s">
        <v>28</v>
      </c>
      <c r="F4983" s="19" t="s">
        <v>28</v>
      </c>
      <c r="G4983" s="19" t="s">
        <v>28</v>
      </c>
      <c r="H4983" s="19" t="s">
        <v>28</v>
      </c>
      <c r="I4983" s="18" t="s">
        <v>28</v>
      </c>
      <c r="J4983" s="18" t="s">
        <v>28</v>
      </c>
      <c r="K4983" s="18">
        <v>0.83</v>
      </c>
      <c r="L4983" s="18" t="s">
        <v>28</v>
      </c>
      <c r="M4983" s="18" t="s">
        <v>28</v>
      </c>
      <c r="N4983" s="17">
        <v>44291</v>
      </c>
      <c r="O4983" s="15" t="s">
        <v>30</v>
      </c>
      <c r="P4983" s="16" t="s">
        <v>9217</v>
      </c>
      <c r="Q4983" s="15" t="s">
        <v>245</v>
      </c>
      <c r="R4983" s="13" t="str">
        <f>HYPERLINK("https://my.pitchbook.com?c=210818-98T","View Company Online")</f>
        <v>View Company Online</v>
      </c>
    </row>
    <row r="4984" spans="1:18" hidden="1" x14ac:dyDescent="0.3">
      <c r="A4984" s="9" t="s">
        <v>15809</v>
      </c>
      <c r="B4984" s="9" t="s">
        <v>15810</v>
      </c>
      <c r="C4984" s="11" t="s">
        <v>28</v>
      </c>
      <c r="D4984" s="9" t="s">
        <v>15811</v>
      </c>
      <c r="E4984" s="11" t="s">
        <v>28</v>
      </c>
      <c r="F4984" s="10" t="s">
        <v>28</v>
      </c>
      <c r="G4984" s="10" t="s">
        <v>28</v>
      </c>
      <c r="H4984" s="10" t="s">
        <v>28</v>
      </c>
      <c r="I4984" s="11" t="s">
        <v>28</v>
      </c>
      <c r="J4984" s="11" t="s">
        <v>28</v>
      </c>
      <c r="K4984" s="11" t="s">
        <v>28</v>
      </c>
      <c r="L4984" s="11" t="s">
        <v>28</v>
      </c>
      <c r="M4984" s="11" t="s">
        <v>28</v>
      </c>
      <c r="N4984" s="8">
        <v>44291</v>
      </c>
      <c r="O4984" s="9" t="s">
        <v>30</v>
      </c>
      <c r="P4984" s="12" t="s">
        <v>15708</v>
      </c>
      <c r="Q4984" s="9" t="s">
        <v>245</v>
      </c>
      <c r="R4984" s="14" t="str">
        <f>HYPERLINK("https://my.pitchbook.com?c=179730-46T","View Company Online")</f>
        <v>View Company Online</v>
      </c>
    </row>
    <row r="4985" spans="1:18" hidden="1" x14ac:dyDescent="0.3">
      <c r="A4985" s="15" t="s">
        <v>15812</v>
      </c>
      <c r="B4985" s="15" t="s">
        <v>15813</v>
      </c>
      <c r="C4985" s="18" t="s">
        <v>28</v>
      </c>
      <c r="D4985" s="15" t="s">
        <v>15814</v>
      </c>
      <c r="E4985" s="18" t="s">
        <v>28</v>
      </c>
      <c r="F4985" s="19" t="s">
        <v>28</v>
      </c>
      <c r="G4985" s="19" t="s">
        <v>28</v>
      </c>
      <c r="H4985" s="19" t="s">
        <v>28</v>
      </c>
      <c r="I4985" s="18" t="s">
        <v>28</v>
      </c>
      <c r="J4985" s="18" t="s">
        <v>28</v>
      </c>
      <c r="K4985" s="18" t="s">
        <v>28</v>
      </c>
      <c r="L4985" s="18" t="s">
        <v>28</v>
      </c>
      <c r="M4985" s="18" t="s">
        <v>28</v>
      </c>
      <c r="N4985" s="17">
        <v>44291</v>
      </c>
      <c r="O4985" s="15" t="s">
        <v>52</v>
      </c>
      <c r="P4985" s="16" t="s">
        <v>632</v>
      </c>
      <c r="Q4985" s="15" t="s">
        <v>7209</v>
      </c>
      <c r="R4985" s="13" t="str">
        <f>HYPERLINK("https://my.pitchbook.com?c=292483-45T","View Company Online")</f>
        <v>View Company Online</v>
      </c>
    </row>
    <row r="4986" spans="1:18" hidden="1" x14ac:dyDescent="0.3">
      <c r="A4986" s="9" t="s">
        <v>15815</v>
      </c>
      <c r="B4986" s="9" t="s">
        <v>1098</v>
      </c>
      <c r="C4986" s="11" t="s">
        <v>28</v>
      </c>
      <c r="D4986" s="9" t="s">
        <v>1099</v>
      </c>
      <c r="E4986" s="11" t="s">
        <v>28</v>
      </c>
      <c r="F4986" s="10" t="s">
        <v>28</v>
      </c>
      <c r="G4986" s="10" t="s">
        <v>28</v>
      </c>
      <c r="H4986" s="10" t="s">
        <v>28</v>
      </c>
      <c r="I4986" s="11" t="s">
        <v>28</v>
      </c>
      <c r="J4986" s="11" t="s">
        <v>28</v>
      </c>
      <c r="K4986" s="11" t="s">
        <v>28</v>
      </c>
      <c r="L4986" s="11" t="s">
        <v>28</v>
      </c>
      <c r="M4986" s="11" t="s">
        <v>28</v>
      </c>
      <c r="N4986" s="8">
        <v>44291</v>
      </c>
      <c r="O4986" s="9" t="s">
        <v>52</v>
      </c>
      <c r="P4986" s="12" t="s">
        <v>15816</v>
      </c>
      <c r="Q4986" s="9" t="s">
        <v>37</v>
      </c>
      <c r="R4986" s="14" t="str">
        <f>HYPERLINK("https://my.pitchbook.com?c=177925-69T","View Company Online")</f>
        <v>View Company Online</v>
      </c>
    </row>
    <row r="4987" spans="1:18" hidden="1" x14ac:dyDescent="0.3">
      <c r="A4987" s="15" t="s">
        <v>15817</v>
      </c>
      <c r="B4987" s="15" t="s">
        <v>15818</v>
      </c>
      <c r="C4987" s="18" t="s">
        <v>28</v>
      </c>
      <c r="D4987" s="15" t="s">
        <v>15819</v>
      </c>
      <c r="E4987" s="18" t="s">
        <v>28</v>
      </c>
      <c r="F4987" s="19">
        <v>61.66</v>
      </c>
      <c r="G4987" s="19">
        <v>61.66</v>
      </c>
      <c r="H4987" s="19">
        <v>61.66</v>
      </c>
      <c r="I4987" s="18" t="s">
        <v>28</v>
      </c>
      <c r="J4987" s="18" t="s">
        <v>28</v>
      </c>
      <c r="K4987" s="18" t="s">
        <v>28</v>
      </c>
      <c r="L4987" s="18" t="s">
        <v>28</v>
      </c>
      <c r="M4987" s="18" t="s">
        <v>28</v>
      </c>
      <c r="N4987" s="17">
        <v>44291</v>
      </c>
      <c r="O4987" s="15" t="s">
        <v>30</v>
      </c>
      <c r="P4987" s="16" t="s">
        <v>343</v>
      </c>
      <c r="Q4987" s="15" t="s">
        <v>240</v>
      </c>
      <c r="R4987" s="13" t="str">
        <f>HYPERLINK("https://my.pitchbook.com?c=158368-60T","View Company Online")</f>
        <v>View Company Online</v>
      </c>
    </row>
    <row r="4988" spans="1:18" hidden="1" x14ac:dyDescent="0.3">
      <c r="A4988" s="9" t="s">
        <v>15820</v>
      </c>
      <c r="B4988" s="9" t="s">
        <v>15821</v>
      </c>
      <c r="C4988" s="11" t="s">
        <v>28</v>
      </c>
      <c r="D4988" s="9" t="s">
        <v>15822</v>
      </c>
      <c r="E4988" s="11" t="s">
        <v>28</v>
      </c>
      <c r="F4988" s="10" t="s">
        <v>28</v>
      </c>
      <c r="G4988" s="10" t="s">
        <v>28</v>
      </c>
      <c r="H4988" s="10" t="s">
        <v>28</v>
      </c>
      <c r="I4988" s="11" t="s">
        <v>28</v>
      </c>
      <c r="J4988" s="11" t="s">
        <v>28</v>
      </c>
      <c r="K4988" s="11" t="s">
        <v>28</v>
      </c>
      <c r="L4988" s="11" t="s">
        <v>28</v>
      </c>
      <c r="M4988" s="11" t="s">
        <v>28</v>
      </c>
      <c r="N4988" s="8">
        <v>44291</v>
      </c>
      <c r="O4988" s="9" t="s">
        <v>30</v>
      </c>
      <c r="P4988" s="12" t="s">
        <v>769</v>
      </c>
      <c r="Q4988" s="9" t="s">
        <v>188</v>
      </c>
      <c r="R4988" s="14" t="str">
        <f>HYPERLINK("https://my.pitchbook.com?c=211759-75T","View Company Online")</f>
        <v>View Company Online</v>
      </c>
    </row>
    <row r="4989" spans="1:18" hidden="1" x14ac:dyDescent="0.3">
      <c r="A4989" s="15" t="s">
        <v>15823</v>
      </c>
      <c r="B4989" s="15" t="s">
        <v>15824</v>
      </c>
      <c r="C4989" s="18" t="s">
        <v>28</v>
      </c>
      <c r="D4989" s="15" t="s">
        <v>15825</v>
      </c>
      <c r="E4989" s="18" t="s">
        <v>28</v>
      </c>
      <c r="F4989" s="19" t="s">
        <v>28</v>
      </c>
      <c r="G4989" s="19">
        <v>3.45</v>
      </c>
      <c r="H4989" s="19" t="s">
        <v>28</v>
      </c>
      <c r="I4989" s="18" t="s">
        <v>28</v>
      </c>
      <c r="J4989" s="18" t="s">
        <v>28</v>
      </c>
      <c r="K4989" s="18" t="s">
        <v>28</v>
      </c>
      <c r="L4989" s="18" t="s">
        <v>28</v>
      </c>
      <c r="M4989" s="18" t="s">
        <v>28</v>
      </c>
      <c r="N4989" s="17">
        <v>44290</v>
      </c>
      <c r="O4989" s="15" t="s">
        <v>79</v>
      </c>
      <c r="P4989" s="16" t="s">
        <v>15826</v>
      </c>
      <c r="Q4989" s="15" t="s">
        <v>75</v>
      </c>
      <c r="R4989" s="13" t="str">
        <f>HYPERLINK("https://my.pitchbook.com?c=191406-61T","View Company Online")</f>
        <v>View Company Online</v>
      </c>
    </row>
    <row r="4990" spans="1:18" hidden="1" x14ac:dyDescent="0.3">
      <c r="A4990" s="9" t="s">
        <v>15827</v>
      </c>
      <c r="B4990" s="9" t="s">
        <v>15828</v>
      </c>
      <c r="C4990" s="11" t="s">
        <v>28</v>
      </c>
      <c r="D4990" s="9" t="s">
        <v>15829</v>
      </c>
      <c r="E4990" s="11" t="s">
        <v>28</v>
      </c>
      <c r="F4990" s="10" t="s">
        <v>28</v>
      </c>
      <c r="G4990" s="10" t="s">
        <v>28</v>
      </c>
      <c r="H4990" s="10" t="s">
        <v>28</v>
      </c>
      <c r="I4990" s="11" t="s">
        <v>28</v>
      </c>
      <c r="J4990" s="11" t="s">
        <v>28</v>
      </c>
      <c r="K4990" s="11" t="s">
        <v>28</v>
      </c>
      <c r="L4990" s="11" t="s">
        <v>28</v>
      </c>
      <c r="M4990" s="11" t="s">
        <v>28</v>
      </c>
      <c r="N4990" s="8">
        <v>44288</v>
      </c>
      <c r="O4990" s="9" t="s">
        <v>379</v>
      </c>
      <c r="P4990" s="12" t="s">
        <v>15830</v>
      </c>
      <c r="Q4990" s="9" t="s">
        <v>69</v>
      </c>
      <c r="R4990" s="14" t="str">
        <f>HYPERLINK("https://my.pitchbook.com?c=284396-50T","View Company Online")</f>
        <v>View Company Online</v>
      </c>
    </row>
    <row r="4991" spans="1:18" hidden="1" x14ac:dyDescent="0.3">
      <c r="A4991" s="15" t="s">
        <v>15831</v>
      </c>
      <c r="B4991" s="15" t="s">
        <v>15832</v>
      </c>
      <c r="C4991" s="18" t="s">
        <v>28</v>
      </c>
      <c r="D4991" s="15" t="s">
        <v>15833</v>
      </c>
      <c r="E4991" s="18" t="s">
        <v>28</v>
      </c>
      <c r="F4991" s="19" t="s">
        <v>28</v>
      </c>
      <c r="G4991" s="19">
        <v>2.31</v>
      </c>
      <c r="H4991" s="19" t="s">
        <v>28</v>
      </c>
      <c r="I4991" s="18" t="s">
        <v>28</v>
      </c>
      <c r="J4991" s="18" t="s">
        <v>28</v>
      </c>
      <c r="K4991" s="18" t="s">
        <v>28</v>
      </c>
      <c r="L4991" s="18" t="s">
        <v>28</v>
      </c>
      <c r="M4991" s="18" t="s">
        <v>28</v>
      </c>
      <c r="N4991" s="17">
        <v>44288</v>
      </c>
      <c r="O4991" s="15" t="s">
        <v>58</v>
      </c>
      <c r="P4991" s="16" t="s">
        <v>15834</v>
      </c>
      <c r="Q4991" s="15" t="s">
        <v>566</v>
      </c>
      <c r="R4991" s="13" t="str">
        <f>HYPERLINK("https://my.pitchbook.com?c=169886-17T","View Company Online")</f>
        <v>View Company Online</v>
      </c>
    </row>
    <row r="4992" spans="1:18" hidden="1" x14ac:dyDescent="0.3">
      <c r="A4992" s="9" t="s">
        <v>15835</v>
      </c>
      <c r="B4992" s="9" t="s">
        <v>8857</v>
      </c>
      <c r="C4992" s="11" t="s">
        <v>28</v>
      </c>
      <c r="D4992" s="9" t="s">
        <v>8858</v>
      </c>
      <c r="E4992" s="11" t="s">
        <v>28</v>
      </c>
      <c r="F4992" s="10" t="s">
        <v>28</v>
      </c>
      <c r="G4992" s="10">
        <v>1.6</v>
      </c>
      <c r="H4992" s="10" t="s">
        <v>28</v>
      </c>
      <c r="I4992" s="11" t="s">
        <v>28</v>
      </c>
      <c r="J4992" s="11" t="s">
        <v>28</v>
      </c>
      <c r="K4992" s="11" t="s">
        <v>28</v>
      </c>
      <c r="L4992" s="11" t="s">
        <v>28</v>
      </c>
      <c r="M4992" s="11" t="s">
        <v>28</v>
      </c>
      <c r="N4992" s="8">
        <v>44287</v>
      </c>
      <c r="O4992" s="9" t="s">
        <v>99</v>
      </c>
      <c r="P4992" s="12" t="s">
        <v>15836</v>
      </c>
      <c r="Q4992" s="9" t="s">
        <v>1336</v>
      </c>
      <c r="R4992" s="14" t="str">
        <f>HYPERLINK("https://my.pitchbook.com?c=167474-89T","View Company Online")</f>
        <v>View Company Online</v>
      </c>
    </row>
    <row r="4993" spans="1:18" hidden="1" x14ac:dyDescent="0.3">
      <c r="A4993" s="15" t="s">
        <v>15837</v>
      </c>
      <c r="B4993" s="15" t="s">
        <v>15838</v>
      </c>
      <c r="C4993" s="18" t="s">
        <v>28</v>
      </c>
      <c r="D4993" s="15" t="s">
        <v>15839</v>
      </c>
      <c r="E4993" s="18" t="s">
        <v>28</v>
      </c>
      <c r="F4993" s="19" t="s">
        <v>28</v>
      </c>
      <c r="G4993" s="19" t="s">
        <v>28</v>
      </c>
      <c r="H4993" s="19" t="s">
        <v>28</v>
      </c>
      <c r="I4993" s="18" t="s">
        <v>28</v>
      </c>
      <c r="J4993" s="18" t="s">
        <v>28</v>
      </c>
      <c r="K4993" s="18" t="s">
        <v>28</v>
      </c>
      <c r="L4993" s="18" t="s">
        <v>28</v>
      </c>
      <c r="M4993" s="18" t="s">
        <v>28</v>
      </c>
      <c r="N4993" s="17">
        <v>44287</v>
      </c>
      <c r="O4993" s="15" t="s">
        <v>93</v>
      </c>
      <c r="P4993" s="16" t="s">
        <v>15840</v>
      </c>
      <c r="Q4993" s="15" t="s">
        <v>136</v>
      </c>
      <c r="R4993" s="13" t="str">
        <f>HYPERLINK("https://my.pitchbook.com?c=170889-85T","View Company Online")</f>
        <v>View Company Online</v>
      </c>
    </row>
    <row r="4994" spans="1:18" hidden="1" x14ac:dyDescent="0.3">
      <c r="A4994" s="9" t="s">
        <v>15841</v>
      </c>
      <c r="B4994" s="9" t="s">
        <v>15842</v>
      </c>
      <c r="C4994" s="11" t="s">
        <v>28</v>
      </c>
      <c r="D4994" s="9" t="s">
        <v>15843</v>
      </c>
      <c r="E4994" s="11" t="s">
        <v>28</v>
      </c>
      <c r="F4994" s="10" t="s">
        <v>28</v>
      </c>
      <c r="G4994" s="10">
        <v>1.07</v>
      </c>
      <c r="H4994" s="10" t="s">
        <v>28</v>
      </c>
      <c r="I4994" s="11" t="s">
        <v>28</v>
      </c>
      <c r="J4994" s="11" t="s">
        <v>28</v>
      </c>
      <c r="K4994" s="11" t="s">
        <v>28</v>
      </c>
      <c r="L4994" s="11" t="s">
        <v>28</v>
      </c>
      <c r="M4994" s="11" t="s">
        <v>28</v>
      </c>
      <c r="N4994" s="8">
        <v>44287</v>
      </c>
      <c r="O4994" s="9" t="s">
        <v>73</v>
      </c>
      <c r="P4994" s="12" t="s">
        <v>15844</v>
      </c>
      <c r="Q4994" s="9" t="s">
        <v>37</v>
      </c>
      <c r="R4994" s="14" t="str">
        <f>HYPERLINK("https://my.pitchbook.com?c=251452-81T","View Company Online")</f>
        <v>View Company Online</v>
      </c>
    </row>
    <row r="4995" spans="1:18" hidden="1" x14ac:dyDescent="0.3">
      <c r="A4995" s="15" t="s">
        <v>15845</v>
      </c>
      <c r="B4995" s="15" t="s">
        <v>9507</v>
      </c>
      <c r="C4995" s="18" t="s">
        <v>28</v>
      </c>
      <c r="D4995" s="15" t="s">
        <v>9508</v>
      </c>
      <c r="E4995" s="18" t="s">
        <v>28</v>
      </c>
      <c r="F4995" s="19" t="s">
        <v>28</v>
      </c>
      <c r="G4995" s="19">
        <v>2.31</v>
      </c>
      <c r="H4995" s="19" t="s">
        <v>28</v>
      </c>
      <c r="I4995" s="18" t="s">
        <v>28</v>
      </c>
      <c r="J4995" s="18" t="s">
        <v>28</v>
      </c>
      <c r="K4995" s="18" t="s">
        <v>28</v>
      </c>
      <c r="L4995" s="18" t="s">
        <v>28</v>
      </c>
      <c r="M4995" s="18" t="s">
        <v>28</v>
      </c>
      <c r="N4995" s="17">
        <v>44287</v>
      </c>
      <c r="O4995" s="15" t="s">
        <v>99</v>
      </c>
      <c r="P4995" s="16" t="s">
        <v>15846</v>
      </c>
      <c r="Q4995" s="15" t="s">
        <v>114</v>
      </c>
      <c r="R4995" s="13" t="str">
        <f>HYPERLINK("https://my.pitchbook.com?c=202545-82T","View Company Online")</f>
        <v>View Company Online</v>
      </c>
    </row>
    <row r="4996" spans="1:18" x14ac:dyDescent="0.3">
      <c r="A4996" s="9" t="s">
        <v>15847</v>
      </c>
      <c r="B4996" s="9" t="s">
        <v>15848</v>
      </c>
      <c r="C4996" s="11">
        <v>7.31</v>
      </c>
      <c r="D4996" s="9" t="s">
        <v>15849</v>
      </c>
      <c r="E4996" s="11" t="s">
        <v>28</v>
      </c>
      <c r="F4996" s="10">
        <v>11.35</v>
      </c>
      <c r="G4996" s="10">
        <v>6.81</v>
      </c>
      <c r="H4996" s="10">
        <v>11.35</v>
      </c>
      <c r="I4996" s="11">
        <v>1.55</v>
      </c>
      <c r="J4996" s="11">
        <v>7.31</v>
      </c>
      <c r="K4996" s="11">
        <v>2.52</v>
      </c>
      <c r="L4996" s="11">
        <v>4.5</v>
      </c>
      <c r="M4996" s="11" t="s">
        <v>28</v>
      </c>
      <c r="N4996" s="8">
        <v>44287</v>
      </c>
      <c r="O4996" s="9" t="s">
        <v>30</v>
      </c>
      <c r="P4996" s="12" t="s">
        <v>6796</v>
      </c>
      <c r="Q4996" s="9" t="s">
        <v>75</v>
      </c>
      <c r="R4996" s="14" t="str">
        <f>HYPERLINK("https://my.pitchbook.com?c=211875-49T","View Company Online")</f>
        <v>View Company Online</v>
      </c>
    </row>
    <row r="4997" spans="1:18" hidden="1" x14ac:dyDescent="0.3">
      <c r="A4997" s="15" t="s">
        <v>15850</v>
      </c>
      <c r="B4997" s="15" t="s">
        <v>15851</v>
      </c>
      <c r="C4997" s="18" t="s">
        <v>28</v>
      </c>
      <c r="D4997" s="15" t="s">
        <v>15852</v>
      </c>
      <c r="E4997" s="18" t="s">
        <v>28</v>
      </c>
      <c r="F4997" s="19">
        <v>0.47</v>
      </c>
      <c r="G4997" s="19">
        <v>0.47</v>
      </c>
      <c r="H4997" s="19">
        <v>0.47</v>
      </c>
      <c r="I4997" s="18" t="s">
        <v>28</v>
      </c>
      <c r="J4997" s="18" t="s">
        <v>28</v>
      </c>
      <c r="K4997" s="18" t="s">
        <v>28</v>
      </c>
      <c r="L4997" s="18" t="s">
        <v>28</v>
      </c>
      <c r="M4997" s="18" t="s">
        <v>28</v>
      </c>
      <c r="N4997" s="17">
        <v>44287</v>
      </c>
      <c r="O4997" s="15" t="s">
        <v>30</v>
      </c>
      <c r="P4997" s="16" t="s">
        <v>13160</v>
      </c>
      <c r="Q4997" s="15" t="s">
        <v>37</v>
      </c>
      <c r="R4997" s="13" t="str">
        <f>HYPERLINK("https://my.pitchbook.com?c=213218-47T","View Company Online")</f>
        <v>View Company Online</v>
      </c>
    </row>
    <row r="4998" spans="1:18" hidden="1" x14ac:dyDescent="0.3">
      <c r="A4998" s="9" t="s">
        <v>15853</v>
      </c>
      <c r="B4998" s="9" t="s">
        <v>9050</v>
      </c>
      <c r="C4998" s="11" t="s">
        <v>28</v>
      </c>
      <c r="D4998" s="9" t="s">
        <v>15854</v>
      </c>
      <c r="E4998" s="11">
        <v>223.93</v>
      </c>
      <c r="F4998" s="10" t="s">
        <v>28</v>
      </c>
      <c r="G4998" s="10">
        <v>478.97</v>
      </c>
      <c r="H4998" s="10" t="s">
        <v>28</v>
      </c>
      <c r="I4998" s="11">
        <v>374.27</v>
      </c>
      <c r="J4998" s="11" t="s">
        <v>28</v>
      </c>
      <c r="K4998" s="11">
        <v>1627.94</v>
      </c>
      <c r="L4998" s="11" t="s">
        <v>28</v>
      </c>
      <c r="M4998" s="11">
        <v>142.31</v>
      </c>
      <c r="N4998" s="8">
        <v>44287</v>
      </c>
      <c r="O4998" s="9" t="s">
        <v>423</v>
      </c>
      <c r="P4998" s="12" t="s">
        <v>28</v>
      </c>
      <c r="Q4998" s="9" t="s">
        <v>9051</v>
      </c>
      <c r="R4998" s="14" t="str">
        <f>HYPERLINK("https://my.pitchbook.com?c=268119-64T","View Company Online")</f>
        <v>View Company Online</v>
      </c>
    </row>
    <row r="4999" spans="1:18" hidden="1" x14ac:dyDescent="0.3">
      <c r="A4999" s="15" t="s">
        <v>15855</v>
      </c>
      <c r="B4999" s="15" t="s">
        <v>9818</v>
      </c>
      <c r="C4999" s="18" t="s">
        <v>28</v>
      </c>
      <c r="D4999" s="15" t="s">
        <v>9819</v>
      </c>
      <c r="E4999" s="18" t="s">
        <v>28</v>
      </c>
      <c r="F4999" s="19" t="s">
        <v>28</v>
      </c>
      <c r="G4999" s="19" t="s">
        <v>28</v>
      </c>
      <c r="H4999" s="19" t="s">
        <v>28</v>
      </c>
      <c r="I4999" s="18" t="s">
        <v>28</v>
      </c>
      <c r="J4999" s="18" t="s">
        <v>28</v>
      </c>
      <c r="K4999" s="18" t="s">
        <v>28</v>
      </c>
      <c r="L4999" s="18" t="s">
        <v>28</v>
      </c>
      <c r="M4999" s="18" t="s">
        <v>28</v>
      </c>
      <c r="N4999" s="17">
        <v>44287</v>
      </c>
      <c r="O4999" s="15" t="s">
        <v>79</v>
      </c>
      <c r="P4999" s="16" t="s">
        <v>15856</v>
      </c>
      <c r="Q4999" s="15" t="s">
        <v>75</v>
      </c>
      <c r="R4999" s="13" t="str">
        <f>HYPERLINK("https://my.pitchbook.com?c=124733-17T","View Company Online")</f>
        <v>View Company Online</v>
      </c>
    </row>
    <row r="5000" spans="1:18" hidden="1" x14ac:dyDescent="0.3">
      <c r="A5000" s="9" t="s">
        <v>15857</v>
      </c>
      <c r="B5000" s="9" t="s">
        <v>12159</v>
      </c>
      <c r="C5000" s="11" t="s">
        <v>28</v>
      </c>
      <c r="D5000" s="9" t="s">
        <v>12160</v>
      </c>
      <c r="E5000" s="11" t="s">
        <v>28</v>
      </c>
      <c r="F5000" s="10" t="s">
        <v>28</v>
      </c>
      <c r="G5000" s="10">
        <v>0.04</v>
      </c>
      <c r="H5000" s="10" t="s">
        <v>28</v>
      </c>
      <c r="I5000" s="11" t="s">
        <v>28</v>
      </c>
      <c r="J5000" s="11" t="s">
        <v>28</v>
      </c>
      <c r="K5000" s="11" t="s">
        <v>28</v>
      </c>
      <c r="L5000" s="11" t="s">
        <v>28</v>
      </c>
      <c r="M5000" s="11" t="s">
        <v>28</v>
      </c>
      <c r="N5000" s="8">
        <v>44287</v>
      </c>
      <c r="O5000" s="9" t="s">
        <v>379</v>
      </c>
      <c r="P5000" s="12" t="s">
        <v>28</v>
      </c>
      <c r="Q5000" s="9" t="s">
        <v>409</v>
      </c>
      <c r="R5000" s="14" t="str">
        <f>HYPERLINK("https://my.pitchbook.com?c=188348-68T","View Company Online")</f>
        <v>View Company Online</v>
      </c>
    </row>
    <row r="5001" spans="1:18" hidden="1" x14ac:dyDescent="0.3">
      <c r="A5001" s="15" t="s">
        <v>15858</v>
      </c>
      <c r="B5001" s="15" t="s">
        <v>10836</v>
      </c>
      <c r="C5001" s="18" t="s">
        <v>28</v>
      </c>
      <c r="D5001" s="15" t="s">
        <v>10837</v>
      </c>
      <c r="E5001" s="18" t="s">
        <v>28</v>
      </c>
      <c r="F5001" s="19" t="s">
        <v>28</v>
      </c>
      <c r="G5001" s="19">
        <v>5.32</v>
      </c>
      <c r="H5001" s="19" t="s">
        <v>28</v>
      </c>
      <c r="I5001" s="18" t="s">
        <v>28</v>
      </c>
      <c r="J5001" s="18" t="s">
        <v>28</v>
      </c>
      <c r="K5001" s="18" t="s">
        <v>28</v>
      </c>
      <c r="L5001" s="18" t="s">
        <v>28</v>
      </c>
      <c r="M5001" s="18" t="s">
        <v>28</v>
      </c>
      <c r="N5001" s="17">
        <v>44287</v>
      </c>
      <c r="O5001" s="15" t="s">
        <v>99</v>
      </c>
      <c r="P5001" s="16" t="s">
        <v>15859</v>
      </c>
      <c r="Q5001" s="15" t="s">
        <v>75</v>
      </c>
      <c r="R5001" s="13" t="str">
        <f>HYPERLINK("https://my.pitchbook.com?c=174297-34T","View Company Online")</f>
        <v>View Company Online</v>
      </c>
    </row>
    <row r="5002" spans="1:18" hidden="1" x14ac:dyDescent="0.3">
      <c r="A5002" s="9" t="s">
        <v>15860</v>
      </c>
      <c r="B5002" s="9" t="s">
        <v>15861</v>
      </c>
      <c r="C5002" s="11" t="s">
        <v>28</v>
      </c>
      <c r="D5002" s="9" t="s">
        <v>15862</v>
      </c>
      <c r="E5002" s="11" t="s">
        <v>28</v>
      </c>
      <c r="F5002" s="10" t="s">
        <v>28</v>
      </c>
      <c r="G5002" s="10" t="s">
        <v>28</v>
      </c>
      <c r="H5002" s="10" t="s">
        <v>28</v>
      </c>
      <c r="I5002" s="11" t="s">
        <v>28</v>
      </c>
      <c r="J5002" s="11" t="s">
        <v>28</v>
      </c>
      <c r="K5002" s="11" t="s">
        <v>28</v>
      </c>
      <c r="L5002" s="11" t="s">
        <v>28</v>
      </c>
      <c r="M5002" s="11" t="s">
        <v>28</v>
      </c>
      <c r="N5002" s="8">
        <v>44287</v>
      </c>
      <c r="O5002" s="9" t="s">
        <v>30</v>
      </c>
      <c r="P5002" s="12" t="s">
        <v>28</v>
      </c>
      <c r="Q5002" s="9" t="s">
        <v>160</v>
      </c>
      <c r="R5002" s="14" t="str">
        <f>HYPERLINK("https://my.pitchbook.com?c=187900-66T","View Company Online")</f>
        <v>View Company Online</v>
      </c>
    </row>
    <row r="5003" spans="1:18" hidden="1" x14ac:dyDescent="0.3">
      <c r="A5003" s="15" t="s">
        <v>15863</v>
      </c>
      <c r="B5003" s="15" t="s">
        <v>4655</v>
      </c>
      <c r="C5003" s="18" t="s">
        <v>28</v>
      </c>
      <c r="D5003" s="15" t="s">
        <v>4656</v>
      </c>
      <c r="E5003" s="18" t="s">
        <v>28</v>
      </c>
      <c r="F5003" s="19" t="s">
        <v>28</v>
      </c>
      <c r="G5003" s="19">
        <v>32.43</v>
      </c>
      <c r="H5003" s="19" t="s">
        <v>28</v>
      </c>
      <c r="I5003" s="18" t="s">
        <v>28</v>
      </c>
      <c r="J5003" s="18" t="s">
        <v>28</v>
      </c>
      <c r="K5003" s="18" t="s">
        <v>28</v>
      </c>
      <c r="L5003" s="18" t="s">
        <v>28</v>
      </c>
      <c r="M5003" s="18" t="s">
        <v>28</v>
      </c>
      <c r="N5003" s="17">
        <v>44287</v>
      </c>
      <c r="O5003" s="15" t="s">
        <v>79</v>
      </c>
      <c r="P5003" s="16" t="s">
        <v>15864</v>
      </c>
      <c r="Q5003" s="15" t="s">
        <v>386</v>
      </c>
      <c r="R5003" s="13" t="str">
        <f>HYPERLINK("https://my.pitchbook.com?c=169725-34T","View Company Online")</f>
        <v>View Company Online</v>
      </c>
    </row>
    <row r="5004" spans="1:18" hidden="1" x14ac:dyDescent="0.3">
      <c r="A5004" s="9" t="s">
        <v>15865</v>
      </c>
      <c r="B5004" s="9" t="s">
        <v>6277</v>
      </c>
      <c r="C5004" s="11" t="s">
        <v>28</v>
      </c>
      <c r="D5004" s="9" t="s">
        <v>6278</v>
      </c>
      <c r="E5004" s="11" t="s">
        <v>28</v>
      </c>
      <c r="F5004" s="10" t="s">
        <v>28</v>
      </c>
      <c r="G5004" s="10" t="s">
        <v>28</v>
      </c>
      <c r="H5004" s="10" t="s">
        <v>28</v>
      </c>
      <c r="I5004" s="11" t="s">
        <v>28</v>
      </c>
      <c r="J5004" s="11" t="s">
        <v>28</v>
      </c>
      <c r="K5004" s="11" t="s">
        <v>28</v>
      </c>
      <c r="L5004" s="11" t="s">
        <v>28</v>
      </c>
      <c r="M5004" s="11" t="s">
        <v>28</v>
      </c>
      <c r="N5004" s="8">
        <v>44287</v>
      </c>
      <c r="O5004" s="9" t="s">
        <v>79</v>
      </c>
      <c r="P5004" s="12" t="s">
        <v>611</v>
      </c>
      <c r="Q5004" s="9" t="s">
        <v>75</v>
      </c>
      <c r="R5004" s="14" t="str">
        <f>HYPERLINK("https://my.pitchbook.com?c=205305-22T","View Company Online")</f>
        <v>View Company Online</v>
      </c>
    </row>
    <row r="5005" spans="1:18" hidden="1" x14ac:dyDescent="0.3">
      <c r="A5005" s="15" t="s">
        <v>15866</v>
      </c>
      <c r="B5005" s="15" t="s">
        <v>11897</v>
      </c>
      <c r="C5005" s="18" t="s">
        <v>28</v>
      </c>
      <c r="D5005" s="15" t="s">
        <v>11898</v>
      </c>
      <c r="E5005" s="18" t="s">
        <v>28</v>
      </c>
      <c r="F5005" s="19" t="s">
        <v>28</v>
      </c>
      <c r="G5005" s="19">
        <v>0.18</v>
      </c>
      <c r="H5005" s="19" t="s">
        <v>28</v>
      </c>
      <c r="I5005" s="18" t="s">
        <v>28</v>
      </c>
      <c r="J5005" s="18" t="s">
        <v>28</v>
      </c>
      <c r="K5005" s="18" t="s">
        <v>28</v>
      </c>
      <c r="L5005" s="18" t="s">
        <v>28</v>
      </c>
      <c r="M5005" s="18" t="s">
        <v>28</v>
      </c>
      <c r="N5005" s="17">
        <v>44287</v>
      </c>
      <c r="O5005" s="15" t="s">
        <v>99</v>
      </c>
      <c r="P5005" s="16" t="s">
        <v>15867</v>
      </c>
      <c r="Q5005" s="15" t="s">
        <v>188</v>
      </c>
      <c r="R5005" s="13" t="str">
        <f>HYPERLINK("https://my.pitchbook.com?c=166489-93T","View Company Online")</f>
        <v>View Company Online</v>
      </c>
    </row>
    <row r="5006" spans="1:18" hidden="1" x14ac:dyDescent="0.3">
      <c r="A5006" s="9" t="s">
        <v>15868</v>
      </c>
      <c r="B5006" s="9" t="s">
        <v>15869</v>
      </c>
      <c r="C5006" s="11" t="s">
        <v>28</v>
      </c>
      <c r="D5006" s="9" t="s">
        <v>15870</v>
      </c>
      <c r="E5006" s="11" t="s">
        <v>28</v>
      </c>
      <c r="F5006" s="10" t="s">
        <v>28</v>
      </c>
      <c r="G5006" s="10" t="s">
        <v>28</v>
      </c>
      <c r="H5006" s="10" t="s">
        <v>28</v>
      </c>
      <c r="I5006" s="11" t="s">
        <v>28</v>
      </c>
      <c r="J5006" s="11" t="s">
        <v>28</v>
      </c>
      <c r="K5006" s="11" t="s">
        <v>28</v>
      </c>
      <c r="L5006" s="11" t="s">
        <v>28</v>
      </c>
      <c r="M5006" s="11" t="s">
        <v>28</v>
      </c>
      <c r="N5006" s="8">
        <v>44287</v>
      </c>
      <c r="O5006" s="9" t="s">
        <v>41</v>
      </c>
      <c r="P5006" s="12" t="s">
        <v>8586</v>
      </c>
      <c r="Q5006" s="9" t="s">
        <v>290</v>
      </c>
      <c r="R5006" s="14" t="str">
        <f>HYPERLINK("https://my.pitchbook.com?c=215265-07T","View Company Online")</f>
        <v>View Company Online</v>
      </c>
    </row>
    <row r="5007" spans="1:18" hidden="1" x14ac:dyDescent="0.3">
      <c r="A5007" s="15" t="s">
        <v>15871</v>
      </c>
      <c r="B5007" s="15" t="s">
        <v>3445</v>
      </c>
      <c r="C5007" s="18" t="s">
        <v>28</v>
      </c>
      <c r="D5007" s="15" t="s">
        <v>3446</v>
      </c>
      <c r="E5007" s="18" t="s">
        <v>28</v>
      </c>
      <c r="F5007" s="19" t="s">
        <v>28</v>
      </c>
      <c r="G5007" s="19">
        <v>0.09</v>
      </c>
      <c r="H5007" s="19" t="s">
        <v>28</v>
      </c>
      <c r="I5007" s="18" t="s">
        <v>28</v>
      </c>
      <c r="J5007" s="18" t="s">
        <v>28</v>
      </c>
      <c r="K5007" s="18" t="s">
        <v>28</v>
      </c>
      <c r="L5007" s="18" t="s">
        <v>28</v>
      </c>
      <c r="M5007" s="18" t="s">
        <v>28</v>
      </c>
      <c r="N5007" s="17">
        <v>44287</v>
      </c>
      <c r="O5007" s="15" t="s">
        <v>99</v>
      </c>
      <c r="P5007" s="16" t="s">
        <v>611</v>
      </c>
      <c r="Q5007" s="15" t="s">
        <v>114</v>
      </c>
      <c r="R5007" s="13" t="str">
        <f>HYPERLINK("https://my.pitchbook.com?c=178539-22T","View Company Online")</f>
        <v>View Company Online</v>
      </c>
    </row>
    <row r="5008" spans="1:18" hidden="1" x14ac:dyDescent="0.3">
      <c r="A5008" s="9" t="s">
        <v>15872</v>
      </c>
      <c r="B5008" s="9" t="s">
        <v>15873</v>
      </c>
      <c r="C5008" s="11" t="s">
        <v>28</v>
      </c>
      <c r="D5008" s="9" t="s">
        <v>15874</v>
      </c>
      <c r="E5008" s="11" t="s">
        <v>28</v>
      </c>
      <c r="F5008" s="10" t="s">
        <v>28</v>
      </c>
      <c r="G5008" s="10" t="s">
        <v>28</v>
      </c>
      <c r="H5008" s="10" t="s">
        <v>28</v>
      </c>
      <c r="I5008" s="11" t="s">
        <v>28</v>
      </c>
      <c r="J5008" s="11" t="s">
        <v>28</v>
      </c>
      <c r="K5008" s="11" t="s">
        <v>28</v>
      </c>
      <c r="L5008" s="11" t="s">
        <v>28</v>
      </c>
      <c r="M5008" s="11" t="s">
        <v>28</v>
      </c>
      <c r="N5008" s="8">
        <v>44287</v>
      </c>
      <c r="O5008" s="9" t="s">
        <v>41</v>
      </c>
      <c r="P5008" s="12" t="s">
        <v>15875</v>
      </c>
      <c r="Q5008" s="9" t="s">
        <v>245</v>
      </c>
      <c r="R5008" s="14" t="str">
        <f>HYPERLINK("https://my.pitchbook.com?c=169702-21T","View Company Online")</f>
        <v>View Company Online</v>
      </c>
    </row>
    <row r="5009" spans="1:18" hidden="1" x14ac:dyDescent="0.3">
      <c r="A5009" s="15" t="s">
        <v>15876</v>
      </c>
      <c r="B5009" s="15" t="s">
        <v>15877</v>
      </c>
      <c r="C5009" s="18" t="s">
        <v>28</v>
      </c>
      <c r="D5009" s="15" t="s">
        <v>15878</v>
      </c>
      <c r="E5009" s="18" t="s">
        <v>28</v>
      </c>
      <c r="F5009" s="19" t="s">
        <v>28</v>
      </c>
      <c r="G5009" s="19" t="s">
        <v>28</v>
      </c>
      <c r="H5009" s="19" t="s">
        <v>28</v>
      </c>
      <c r="I5009" s="18" t="s">
        <v>28</v>
      </c>
      <c r="J5009" s="18" t="s">
        <v>28</v>
      </c>
      <c r="K5009" s="18" t="s">
        <v>28</v>
      </c>
      <c r="L5009" s="18" t="s">
        <v>28</v>
      </c>
      <c r="M5009" s="18" t="s">
        <v>28</v>
      </c>
      <c r="N5009" s="17">
        <v>44287</v>
      </c>
      <c r="O5009" s="15" t="s">
        <v>30</v>
      </c>
      <c r="P5009" s="16" t="s">
        <v>8911</v>
      </c>
      <c r="Q5009" s="15" t="s">
        <v>114</v>
      </c>
      <c r="R5009" s="13" t="str">
        <f>HYPERLINK("https://my.pitchbook.com?c=210823-03T","View Company Online")</f>
        <v>View Company Online</v>
      </c>
    </row>
    <row r="5010" spans="1:18" hidden="1" x14ac:dyDescent="0.3">
      <c r="A5010" s="9" t="s">
        <v>15879</v>
      </c>
      <c r="B5010" s="9" t="s">
        <v>15880</v>
      </c>
      <c r="C5010" s="11" t="s">
        <v>28</v>
      </c>
      <c r="D5010" s="9" t="s">
        <v>15881</v>
      </c>
      <c r="E5010" s="11" t="s">
        <v>28</v>
      </c>
      <c r="F5010" s="10">
        <v>10.96</v>
      </c>
      <c r="G5010" s="10">
        <v>5.48</v>
      </c>
      <c r="H5010" s="10">
        <v>10.96</v>
      </c>
      <c r="I5010" s="11" t="s">
        <v>28</v>
      </c>
      <c r="J5010" s="11" t="s">
        <v>28</v>
      </c>
      <c r="K5010" s="11" t="s">
        <v>28</v>
      </c>
      <c r="L5010" s="11" t="s">
        <v>28</v>
      </c>
      <c r="M5010" s="11" t="s">
        <v>28</v>
      </c>
      <c r="N5010" s="8">
        <v>44287</v>
      </c>
      <c r="O5010" s="9" t="s">
        <v>30</v>
      </c>
      <c r="P5010" s="12" t="s">
        <v>11193</v>
      </c>
      <c r="Q5010" s="9" t="s">
        <v>75</v>
      </c>
      <c r="R5010" s="14" t="str">
        <f>HYPERLINK("https://my.pitchbook.com?c=210056-14T","View Company Online")</f>
        <v>View Company Online</v>
      </c>
    </row>
    <row r="5011" spans="1:18" hidden="1" x14ac:dyDescent="0.3">
      <c r="A5011" s="15" t="s">
        <v>15882</v>
      </c>
      <c r="B5011" s="15" t="s">
        <v>15883</v>
      </c>
      <c r="C5011" s="18" t="s">
        <v>28</v>
      </c>
      <c r="D5011" s="15" t="s">
        <v>15884</v>
      </c>
      <c r="E5011" s="18" t="s">
        <v>28</v>
      </c>
      <c r="F5011" s="19" t="s">
        <v>28</v>
      </c>
      <c r="G5011" s="19" t="s">
        <v>28</v>
      </c>
      <c r="H5011" s="19" t="s">
        <v>28</v>
      </c>
      <c r="I5011" s="18" t="s">
        <v>28</v>
      </c>
      <c r="J5011" s="18" t="s">
        <v>28</v>
      </c>
      <c r="K5011" s="18" t="s">
        <v>28</v>
      </c>
      <c r="L5011" s="18" t="s">
        <v>28</v>
      </c>
      <c r="M5011" s="18" t="s">
        <v>28</v>
      </c>
      <c r="N5011" s="17">
        <v>44287</v>
      </c>
      <c r="O5011" s="15" t="s">
        <v>30</v>
      </c>
      <c r="P5011" s="16" t="s">
        <v>4616</v>
      </c>
      <c r="Q5011" s="15" t="s">
        <v>245</v>
      </c>
      <c r="R5011" s="13" t="str">
        <f>HYPERLINK("https://my.pitchbook.com?c=209250-28T","View Company Online")</f>
        <v>View Company Online</v>
      </c>
    </row>
    <row r="5012" spans="1:18" hidden="1" x14ac:dyDescent="0.3">
      <c r="A5012" s="9" t="s">
        <v>15885</v>
      </c>
      <c r="B5012" s="9" t="s">
        <v>5745</v>
      </c>
      <c r="C5012" s="11" t="s">
        <v>28</v>
      </c>
      <c r="D5012" s="9" t="s">
        <v>5746</v>
      </c>
      <c r="E5012" s="11" t="s">
        <v>28</v>
      </c>
      <c r="F5012" s="10" t="s">
        <v>28</v>
      </c>
      <c r="G5012" s="10">
        <v>0.81</v>
      </c>
      <c r="H5012" s="10" t="s">
        <v>28</v>
      </c>
      <c r="I5012" s="11" t="s">
        <v>28</v>
      </c>
      <c r="J5012" s="11" t="s">
        <v>28</v>
      </c>
      <c r="K5012" s="11" t="s">
        <v>28</v>
      </c>
      <c r="L5012" s="11" t="s">
        <v>28</v>
      </c>
      <c r="M5012" s="11" t="s">
        <v>28</v>
      </c>
      <c r="N5012" s="8">
        <v>44287</v>
      </c>
      <c r="O5012" s="9" t="s">
        <v>99</v>
      </c>
      <c r="P5012" s="12" t="s">
        <v>140</v>
      </c>
      <c r="Q5012" s="9" t="s">
        <v>119</v>
      </c>
      <c r="R5012" s="14" t="str">
        <f>HYPERLINK("https://my.pitchbook.com?c=226794-79T","View Company Online")</f>
        <v>View Company Online</v>
      </c>
    </row>
    <row r="5013" spans="1:18" hidden="1" x14ac:dyDescent="0.3">
      <c r="A5013" s="15" t="s">
        <v>15886</v>
      </c>
      <c r="B5013" s="15" t="s">
        <v>15887</v>
      </c>
      <c r="C5013" s="18" t="s">
        <v>28</v>
      </c>
      <c r="D5013" s="15" t="s">
        <v>15888</v>
      </c>
      <c r="E5013" s="18" t="s">
        <v>28</v>
      </c>
      <c r="F5013" s="19" t="s">
        <v>28</v>
      </c>
      <c r="G5013" s="19" t="s">
        <v>28</v>
      </c>
      <c r="H5013" s="19" t="s">
        <v>28</v>
      </c>
      <c r="I5013" s="18" t="s">
        <v>28</v>
      </c>
      <c r="J5013" s="18" t="s">
        <v>28</v>
      </c>
      <c r="K5013" s="18" t="s">
        <v>28</v>
      </c>
      <c r="L5013" s="18" t="s">
        <v>28</v>
      </c>
      <c r="M5013" s="18" t="s">
        <v>28</v>
      </c>
      <c r="N5013" s="17">
        <v>44287</v>
      </c>
      <c r="O5013" s="15" t="s">
        <v>41</v>
      </c>
      <c r="P5013" s="16" t="s">
        <v>15889</v>
      </c>
      <c r="Q5013" s="15" t="s">
        <v>136</v>
      </c>
      <c r="R5013" s="13" t="str">
        <f>HYPERLINK("https://my.pitchbook.com?c=219368-44T","View Company Online")</f>
        <v>View Company Online</v>
      </c>
    </row>
    <row r="5014" spans="1:18" hidden="1" x14ac:dyDescent="0.3">
      <c r="A5014" s="9" t="s">
        <v>15890</v>
      </c>
      <c r="B5014" s="9" t="s">
        <v>10641</v>
      </c>
      <c r="C5014" s="11" t="s">
        <v>28</v>
      </c>
      <c r="D5014" s="9" t="s">
        <v>10642</v>
      </c>
      <c r="E5014" s="11" t="s">
        <v>28</v>
      </c>
      <c r="F5014" s="10" t="s">
        <v>28</v>
      </c>
      <c r="G5014" s="10">
        <v>1.1499999999999999</v>
      </c>
      <c r="H5014" s="10" t="s">
        <v>28</v>
      </c>
      <c r="I5014" s="11" t="s">
        <v>28</v>
      </c>
      <c r="J5014" s="11" t="s">
        <v>28</v>
      </c>
      <c r="K5014" s="11" t="s">
        <v>28</v>
      </c>
      <c r="L5014" s="11" t="s">
        <v>28</v>
      </c>
      <c r="M5014" s="11" t="s">
        <v>28</v>
      </c>
      <c r="N5014" s="8">
        <v>44286</v>
      </c>
      <c r="O5014" s="9" t="s">
        <v>99</v>
      </c>
      <c r="P5014" s="12" t="s">
        <v>15891</v>
      </c>
      <c r="Q5014" s="9" t="s">
        <v>386</v>
      </c>
      <c r="R5014" s="14" t="str">
        <f>HYPERLINK("https://my.pitchbook.com?c=169970-59T","View Company Online")</f>
        <v>View Company Online</v>
      </c>
    </row>
    <row r="5015" spans="1:18" hidden="1" x14ac:dyDescent="0.3">
      <c r="A5015" s="15" t="s">
        <v>15892</v>
      </c>
      <c r="B5015" s="15" t="s">
        <v>15893</v>
      </c>
      <c r="C5015" s="18" t="s">
        <v>28</v>
      </c>
      <c r="D5015" s="15" t="s">
        <v>15894</v>
      </c>
      <c r="E5015" s="18" t="s">
        <v>28</v>
      </c>
      <c r="F5015" s="19" t="s">
        <v>28</v>
      </c>
      <c r="G5015" s="19" t="s">
        <v>28</v>
      </c>
      <c r="H5015" s="19" t="s">
        <v>28</v>
      </c>
      <c r="I5015" s="18" t="s">
        <v>28</v>
      </c>
      <c r="J5015" s="18" t="s">
        <v>28</v>
      </c>
      <c r="K5015" s="18" t="s">
        <v>28</v>
      </c>
      <c r="L5015" s="18" t="s">
        <v>28</v>
      </c>
      <c r="M5015" s="18" t="s">
        <v>28</v>
      </c>
      <c r="N5015" s="17">
        <v>44286</v>
      </c>
      <c r="O5015" s="15" t="s">
        <v>30</v>
      </c>
      <c r="P5015" s="16" t="s">
        <v>3609</v>
      </c>
      <c r="Q5015" s="15" t="s">
        <v>566</v>
      </c>
      <c r="R5015" s="13" t="str">
        <f>HYPERLINK("https://my.pitchbook.com?c=212167-63T","View Company Online")</f>
        <v>View Company Online</v>
      </c>
    </row>
    <row r="5016" spans="1:18" hidden="1" x14ac:dyDescent="0.3">
      <c r="A5016" s="9" t="s">
        <v>15895</v>
      </c>
      <c r="B5016" s="9" t="s">
        <v>15896</v>
      </c>
      <c r="C5016" s="11" t="s">
        <v>28</v>
      </c>
      <c r="D5016" s="9" t="s">
        <v>15897</v>
      </c>
      <c r="E5016" s="11" t="s">
        <v>28</v>
      </c>
      <c r="F5016" s="10" t="s">
        <v>28</v>
      </c>
      <c r="G5016" s="10">
        <v>151.69999999999999</v>
      </c>
      <c r="H5016" s="10">
        <v>762.3</v>
      </c>
      <c r="I5016" s="11" t="s">
        <v>28</v>
      </c>
      <c r="J5016" s="11" t="s">
        <v>28</v>
      </c>
      <c r="K5016" s="11" t="s">
        <v>28</v>
      </c>
      <c r="L5016" s="11" t="s">
        <v>28</v>
      </c>
      <c r="M5016" s="11" t="s">
        <v>28</v>
      </c>
      <c r="N5016" s="8">
        <v>44286</v>
      </c>
      <c r="O5016" s="9" t="s">
        <v>58</v>
      </c>
      <c r="P5016" s="12" t="s">
        <v>2372</v>
      </c>
      <c r="Q5016" s="9" t="s">
        <v>226</v>
      </c>
      <c r="R5016" s="14" t="str">
        <f>HYPERLINK("https://my.pitchbook.com?c=213260-50T","View Company Online")</f>
        <v>View Company Online</v>
      </c>
    </row>
    <row r="5017" spans="1:18" hidden="1" x14ac:dyDescent="0.3">
      <c r="A5017" s="15" t="s">
        <v>15898</v>
      </c>
      <c r="B5017" s="15" t="s">
        <v>4089</v>
      </c>
      <c r="C5017" s="18" t="s">
        <v>28</v>
      </c>
      <c r="D5017" s="15" t="s">
        <v>4090</v>
      </c>
      <c r="E5017" s="18">
        <v>3.57</v>
      </c>
      <c r="F5017" s="19" t="s">
        <v>28</v>
      </c>
      <c r="G5017" s="19" t="s">
        <v>28</v>
      </c>
      <c r="H5017" s="19" t="s">
        <v>28</v>
      </c>
      <c r="I5017" s="18" t="s">
        <v>28</v>
      </c>
      <c r="J5017" s="18" t="s">
        <v>28</v>
      </c>
      <c r="K5017" s="18">
        <v>49.13</v>
      </c>
      <c r="L5017" s="18" t="s">
        <v>28</v>
      </c>
      <c r="M5017" s="18">
        <v>0.96</v>
      </c>
      <c r="N5017" s="17">
        <v>44286</v>
      </c>
      <c r="O5017" s="15" t="s">
        <v>79</v>
      </c>
      <c r="P5017" s="16" t="s">
        <v>15899</v>
      </c>
      <c r="Q5017" s="15" t="s">
        <v>75</v>
      </c>
      <c r="R5017" s="13" t="str">
        <f>HYPERLINK("https://my.pitchbook.com?c=259702-12T","View Company Online")</f>
        <v>View Company Online</v>
      </c>
    </row>
    <row r="5018" spans="1:18" hidden="1" x14ac:dyDescent="0.3">
      <c r="A5018" s="9" t="s">
        <v>15900</v>
      </c>
      <c r="B5018" s="9" t="s">
        <v>15901</v>
      </c>
      <c r="C5018" s="11" t="s">
        <v>28</v>
      </c>
      <c r="D5018" s="9" t="s">
        <v>15902</v>
      </c>
      <c r="E5018" s="11" t="s">
        <v>28</v>
      </c>
      <c r="F5018" s="10" t="s">
        <v>28</v>
      </c>
      <c r="G5018" s="10" t="s">
        <v>28</v>
      </c>
      <c r="H5018" s="10" t="s">
        <v>28</v>
      </c>
      <c r="I5018" s="11" t="s">
        <v>28</v>
      </c>
      <c r="J5018" s="11" t="s">
        <v>28</v>
      </c>
      <c r="K5018" s="11" t="s">
        <v>28</v>
      </c>
      <c r="L5018" s="11" t="s">
        <v>28</v>
      </c>
      <c r="M5018" s="11" t="s">
        <v>28</v>
      </c>
      <c r="N5018" s="8">
        <v>44286</v>
      </c>
      <c r="O5018" s="9" t="s">
        <v>173</v>
      </c>
      <c r="P5018" s="12" t="s">
        <v>28</v>
      </c>
      <c r="Q5018" s="9" t="s">
        <v>174</v>
      </c>
      <c r="R5018" s="14" t="str">
        <f>HYPERLINK("https://my.pitchbook.com?c=251570-26T","View Company Online")</f>
        <v>View Company Online</v>
      </c>
    </row>
    <row r="5019" spans="1:18" hidden="1" x14ac:dyDescent="0.3">
      <c r="A5019" s="15" t="s">
        <v>15903</v>
      </c>
      <c r="B5019" s="15" t="s">
        <v>15904</v>
      </c>
      <c r="C5019" s="18" t="s">
        <v>28</v>
      </c>
      <c r="D5019" s="15" t="s">
        <v>15905</v>
      </c>
      <c r="E5019" s="18" t="s">
        <v>28</v>
      </c>
      <c r="F5019" s="19" t="s">
        <v>28</v>
      </c>
      <c r="G5019" s="19" t="s">
        <v>28</v>
      </c>
      <c r="H5019" s="19" t="s">
        <v>28</v>
      </c>
      <c r="I5019" s="18" t="s">
        <v>28</v>
      </c>
      <c r="J5019" s="18" t="s">
        <v>28</v>
      </c>
      <c r="K5019" s="18" t="s">
        <v>28</v>
      </c>
      <c r="L5019" s="18" t="s">
        <v>28</v>
      </c>
      <c r="M5019" s="18" t="s">
        <v>28</v>
      </c>
      <c r="N5019" s="17">
        <v>44286</v>
      </c>
      <c r="O5019" s="15" t="s">
        <v>173</v>
      </c>
      <c r="P5019" s="16" t="s">
        <v>28</v>
      </c>
      <c r="Q5019" s="15" t="s">
        <v>174</v>
      </c>
      <c r="R5019" s="13" t="str">
        <f>HYPERLINK("https://my.pitchbook.com?c=251091-64T","View Company Online")</f>
        <v>View Company Online</v>
      </c>
    </row>
    <row r="5020" spans="1:18" hidden="1" x14ac:dyDescent="0.3">
      <c r="A5020" s="9" t="s">
        <v>15906</v>
      </c>
      <c r="B5020" s="9" t="s">
        <v>15907</v>
      </c>
      <c r="C5020" s="11" t="s">
        <v>28</v>
      </c>
      <c r="D5020" s="9" t="s">
        <v>15908</v>
      </c>
      <c r="E5020" s="11" t="s">
        <v>28</v>
      </c>
      <c r="F5020" s="10" t="s">
        <v>28</v>
      </c>
      <c r="G5020" s="10" t="s">
        <v>28</v>
      </c>
      <c r="H5020" s="10" t="s">
        <v>28</v>
      </c>
      <c r="I5020" s="11" t="s">
        <v>28</v>
      </c>
      <c r="J5020" s="11" t="s">
        <v>28</v>
      </c>
      <c r="K5020" s="11" t="s">
        <v>28</v>
      </c>
      <c r="L5020" s="11" t="s">
        <v>28</v>
      </c>
      <c r="M5020" s="11" t="s">
        <v>28</v>
      </c>
      <c r="N5020" s="8">
        <v>44286</v>
      </c>
      <c r="O5020" s="9" t="s">
        <v>30</v>
      </c>
      <c r="P5020" s="12" t="s">
        <v>3609</v>
      </c>
      <c r="Q5020" s="9" t="s">
        <v>566</v>
      </c>
      <c r="R5020" s="14" t="str">
        <f>HYPERLINK("https://my.pitchbook.com?c=212370-40T","View Company Online")</f>
        <v>View Company Online</v>
      </c>
    </row>
    <row r="5021" spans="1:18" hidden="1" x14ac:dyDescent="0.3">
      <c r="A5021" s="15" t="s">
        <v>15909</v>
      </c>
      <c r="B5021" s="15" t="s">
        <v>11191</v>
      </c>
      <c r="C5021" s="18" t="s">
        <v>28</v>
      </c>
      <c r="D5021" s="15" t="s">
        <v>11192</v>
      </c>
      <c r="E5021" s="18" t="s">
        <v>28</v>
      </c>
      <c r="F5021" s="19" t="s">
        <v>28</v>
      </c>
      <c r="G5021" s="19" t="s">
        <v>28</v>
      </c>
      <c r="H5021" s="19" t="s">
        <v>28</v>
      </c>
      <c r="I5021" s="18" t="s">
        <v>28</v>
      </c>
      <c r="J5021" s="18" t="s">
        <v>28</v>
      </c>
      <c r="K5021" s="18" t="s">
        <v>28</v>
      </c>
      <c r="L5021" s="18" t="s">
        <v>28</v>
      </c>
      <c r="M5021" s="18" t="s">
        <v>28</v>
      </c>
      <c r="N5021" s="17">
        <v>44286</v>
      </c>
      <c r="O5021" s="15" t="s">
        <v>79</v>
      </c>
      <c r="P5021" s="16" t="s">
        <v>15910</v>
      </c>
      <c r="Q5021" s="15" t="s">
        <v>75</v>
      </c>
      <c r="R5021" s="13" t="str">
        <f>HYPERLINK("https://my.pitchbook.com?c=169867-09T","View Company Online")</f>
        <v>View Company Online</v>
      </c>
    </row>
    <row r="5022" spans="1:18" hidden="1" x14ac:dyDescent="0.3">
      <c r="A5022" s="9" t="s">
        <v>15911</v>
      </c>
      <c r="B5022" s="9" t="s">
        <v>15912</v>
      </c>
      <c r="C5022" s="11" t="s">
        <v>28</v>
      </c>
      <c r="D5022" s="9" t="s">
        <v>15913</v>
      </c>
      <c r="E5022" s="11" t="s">
        <v>28</v>
      </c>
      <c r="F5022" s="10" t="s">
        <v>28</v>
      </c>
      <c r="G5022" s="10" t="s">
        <v>28</v>
      </c>
      <c r="H5022" s="10" t="s">
        <v>28</v>
      </c>
      <c r="I5022" s="11" t="s">
        <v>28</v>
      </c>
      <c r="J5022" s="11" t="s">
        <v>28</v>
      </c>
      <c r="K5022" s="11" t="s">
        <v>28</v>
      </c>
      <c r="L5022" s="11" t="s">
        <v>28</v>
      </c>
      <c r="M5022" s="11" t="s">
        <v>28</v>
      </c>
      <c r="N5022" s="8">
        <v>44285</v>
      </c>
      <c r="O5022" s="9" t="s">
        <v>41</v>
      </c>
      <c r="P5022" s="12" t="s">
        <v>10900</v>
      </c>
      <c r="Q5022" s="9" t="s">
        <v>43</v>
      </c>
      <c r="R5022" s="14" t="str">
        <f>HYPERLINK("https://my.pitchbook.com?c=250315-03T","View Company Online")</f>
        <v>View Company Online</v>
      </c>
    </row>
    <row r="5023" spans="1:18" hidden="1" x14ac:dyDescent="0.3">
      <c r="A5023" s="15" t="s">
        <v>15914</v>
      </c>
      <c r="B5023" s="15" t="s">
        <v>15915</v>
      </c>
      <c r="C5023" s="18" t="s">
        <v>28</v>
      </c>
      <c r="D5023" s="15" t="s">
        <v>15916</v>
      </c>
      <c r="E5023" s="18" t="s">
        <v>28</v>
      </c>
      <c r="F5023" s="19" t="s">
        <v>28</v>
      </c>
      <c r="G5023" s="19" t="s">
        <v>28</v>
      </c>
      <c r="H5023" s="19" t="s">
        <v>28</v>
      </c>
      <c r="I5023" s="18" t="s">
        <v>28</v>
      </c>
      <c r="J5023" s="18" t="s">
        <v>28</v>
      </c>
      <c r="K5023" s="18" t="s">
        <v>28</v>
      </c>
      <c r="L5023" s="18" t="s">
        <v>28</v>
      </c>
      <c r="M5023" s="18" t="s">
        <v>28</v>
      </c>
      <c r="N5023" s="17">
        <v>44285</v>
      </c>
      <c r="O5023" s="15" t="s">
        <v>30</v>
      </c>
      <c r="P5023" s="16" t="s">
        <v>15917</v>
      </c>
      <c r="Q5023" s="15" t="s">
        <v>245</v>
      </c>
      <c r="R5023" s="13" t="str">
        <f>HYPERLINK("https://my.pitchbook.com?c=242016-22T","View Company Online")</f>
        <v>View Company Online</v>
      </c>
    </row>
    <row r="5024" spans="1:18" hidden="1" x14ac:dyDescent="0.3">
      <c r="A5024" s="9" t="s">
        <v>15918</v>
      </c>
      <c r="B5024" s="9" t="s">
        <v>8018</v>
      </c>
      <c r="C5024" s="11" t="s">
        <v>28</v>
      </c>
      <c r="D5024" s="9" t="s">
        <v>8019</v>
      </c>
      <c r="E5024" s="11" t="s">
        <v>28</v>
      </c>
      <c r="F5024" s="10" t="s">
        <v>28</v>
      </c>
      <c r="G5024" s="10" t="s">
        <v>28</v>
      </c>
      <c r="H5024" s="10" t="s">
        <v>28</v>
      </c>
      <c r="I5024" s="11" t="s">
        <v>28</v>
      </c>
      <c r="J5024" s="11" t="s">
        <v>28</v>
      </c>
      <c r="K5024" s="11" t="s">
        <v>28</v>
      </c>
      <c r="L5024" s="11" t="s">
        <v>28</v>
      </c>
      <c r="M5024" s="11" t="s">
        <v>28</v>
      </c>
      <c r="N5024" s="8">
        <v>44285</v>
      </c>
      <c r="O5024" s="9" t="s">
        <v>58</v>
      </c>
      <c r="P5024" s="12" t="s">
        <v>28</v>
      </c>
      <c r="Q5024" s="9" t="s">
        <v>2988</v>
      </c>
      <c r="R5024" s="14" t="str">
        <f>HYPERLINK("https://my.pitchbook.com?c=211216-60T","View Company Online")</f>
        <v>View Company Online</v>
      </c>
    </row>
    <row r="5025" spans="1:18" hidden="1" x14ac:dyDescent="0.3">
      <c r="A5025" s="15" t="s">
        <v>15919</v>
      </c>
      <c r="B5025" s="15" t="s">
        <v>15920</v>
      </c>
      <c r="C5025" s="18" t="s">
        <v>28</v>
      </c>
      <c r="D5025" s="15" t="s">
        <v>15921</v>
      </c>
      <c r="E5025" s="18" t="s">
        <v>28</v>
      </c>
      <c r="F5025" s="19" t="s">
        <v>28</v>
      </c>
      <c r="G5025" s="19" t="s">
        <v>28</v>
      </c>
      <c r="H5025" s="19" t="s">
        <v>28</v>
      </c>
      <c r="I5025" s="18" t="s">
        <v>28</v>
      </c>
      <c r="J5025" s="18" t="s">
        <v>28</v>
      </c>
      <c r="K5025" s="18" t="s">
        <v>28</v>
      </c>
      <c r="L5025" s="18" t="s">
        <v>28</v>
      </c>
      <c r="M5025" s="18" t="s">
        <v>28</v>
      </c>
      <c r="N5025" s="17">
        <v>44285</v>
      </c>
      <c r="O5025" s="15" t="s">
        <v>93</v>
      </c>
      <c r="P5025" s="16" t="s">
        <v>1490</v>
      </c>
      <c r="Q5025" s="15" t="s">
        <v>75</v>
      </c>
      <c r="R5025" s="13" t="str">
        <f>HYPERLINK("https://my.pitchbook.com?c=224039-53T","View Company Online")</f>
        <v>View Company Online</v>
      </c>
    </row>
    <row r="5026" spans="1:18" hidden="1" x14ac:dyDescent="0.3">
      <c r="A5026" s="9" t="s">
        <v>15922</v>
      </c>
      <c r="B5026" s="9" t="s">
        <v>796</v>
      </c>
      <c r="C5026" s="11" t="s">
        <v>28</v>
      </c>
      <c r="D5026" s="9" t="s">
        <v>797</v>
      </c>
      <c r="E5026" s="11" t="s">
        <v>28</v>
      </c>
      <c r="F5026" s="10" t="s">
        <v>28</v>
      </c>
      <c r="G5026" s="10">
        <v>0.02</v>
      </c>
      <c r="H5026" s="10">
        <v>0.05</v>
      </c>
      <c r="I5026" s="11" t="s">
        <v>28</v>
      </c>
      <c r="J5026" s="11" t="s">
        <v>28</v>
      </c>
      <c r="K5026" s="11" t="s">
        <v>28</v>
      </c>
      <c r="L5026" s="11" t="s">
        <v>28</v>
      </c>
      <c r="M5026" s="11" t="s">
        <v>28</v>
      </c>
      <c r="N5026" s="8">
        <v>44285</v>
      </c>
      <c r="O5026" s="9" t="s">
        <v>52</v>
      </c>
      <c r="P5026" s="12" t="s">
        <v>15923</v>
      </c>
      <c r="Q5026" s="9" t="s">
        <v>75</v>
      </c>
      <c r="R5026" s="14" t="str">
        <f>HYPERLINK("https://my.pitchbook.com?c=300600-46T","View Company Online")</f>
        <v>View Company Online</v>
      </c>
    </row>
    <row r="5027" spans="1:18" hidden="1" x14ac:dyDescent="0.3">
      <c r="A5027" s="15" t="s">
        <v>15924</v>
      </c>
      <c r="B5027" s="15" t="s">
        <v>811</v>
      </c>
      <c r="C5027" s="18" t="s">
        <v>28</v>
      </c>
      <c r="D5027" s="15" t="s">
        <v>812</v>
      </c>
      <c r="E5027" s="18" t="s">
        <v>28</v>
      </c>
      <c r="F5027" s="19" t="s">
        <v>28</v>
      </c>
      <c r="G5027" s="19" t="s">
        <v>28</v>
      </c>
      <c r="H5027" s="19" t="s">
        <v>28</v>
      </c>
      <c r="I5027" s="18" t="s">
        <v>28</v>
      </c>
      <c r="J5027" s="18" t="s">
        <v>28</v>
      </c>
      <c r="K5027" s="18" t="s">
        <v>28</v>
      </c>
      <c r="L5027" s="18" t="s">
        <v>28</v>
      </c>
      <c r="M5027" s="18" t="s">
        <v>28</v>
      </c>
      <c r="N5027" s="17">
        <v>44284</v>
      </c>
      <c r="O5027" s="15" t="s">
        <v>173</v>
      </c>
      <c r="P5027" s="16" t="s">
        <v>28</v>
      </c>
      <c r="Q5027" s="15" t="s">
        <v>226</v>
      </c>
      <c r="R5027" s="13" t="str">
        <f>HYPERLINK("https://my.pitchbook.com?c=169778-44T","View Company Online")</f>
        <v>View Company Online</v>
      </c>
    </row>
    <row r="5028" spans="1:18" hidden="1" x14ac:dyDescent="0.3">
      <c r="A5028" s="9" t="s">
        <v>15925</v>
      </c>
      <c r="B5028" s="9" t="s">
        <v>9406</v>
      </c>
      <c r="C5028" s="11" t="s">
        <v>28</v>
      </c>
      <c r="D5028" s="9" t="s">
        <v>9407</v>
      </c>
      <c r="E5028" s="11" t="s">
        <v>28</v>
      </c>
      <c r="F5028" s="10" t="s">
        <v>28</v>
      </c>
      <c r="G5028" s="10">
        <v>1.78</v>
      </c>
      <c r="H5028" s="10">
        <v>49.79</v>
      </c>
      <c r="I5028" s="11" t="s">
        <v>28</v>
      </c>
      <c r="J5028" s="11" t="s">
        <v>28</v>
      </c>
      <c r="K5028" s="11">
        <v>0.39</v>
      </c>
      <c r="L5028" s="11">
        <v>128.26</v>
      </c>
      <c r="M5028" s="11" t="s">
        <v>28</v>
      </c>
      <c r="N5028" s="8">
        <v>44284</v>
      </c>
      <c r="O5028" s="9" t="s">
        <v>58</v>
      </c>
      <c r="P5028" s="12" t="s">
        <v>15926</v>
      </c>
      <c r="Q5028" s="9" t="s">
        <v>37</v>
      </c>
      <c r="R5028" s="14" t="str">
        <f>HYPERLINK("https://my.pitchbook.com?c=169415-56T","View Company Online")</f>
        <v>View Company Online</v>
      </c>
    </row>
    <row r="5029" spans="1:18" hidden="1" x14ac:dyDescent="0.3">
      <c r="A5029" s="15" t="s">
        <v>15927</v>
      </c>
      <c r="B5029" s="15" t="s">
        <v>15928</v>
      </c>
      <c r="C5029" s="18" t="s">
        <v>28</v>
      </c>
      <c r="D5029" s="15" t="s">
        <v>15929</v>
      </c>
      <c r="E5029" s="18" t="s">
        <v>28</v>
      </c>
      <c r="F5029" s="19">
        <v>31.01</v>
      </c>
      <c r="G5029" s="19">
        <v>31.01</v>
      </c>
      <c r="H5029" s="19">
        <v>31.01</v>
      </c>
      <c r="I5029" s="18" t="s">
        <v>28</v>
      </c>
      <c r="J5029" s="18" t="s">
        <v>28</v>
      </c>
      <c r="K5029" s="18" t="s">
        <v>28</v>
      </c>
      <c r="L5029" s="18" t="s">
        <v>28</v>
      </c>
      <c r="M5029" s="18" t="s">
        <v>28</v>
      </c>
      <c r="N5029" s="17">
        <v>44284</v>
      </c>
      <c r="O5029" s="15" t="s">
        <v>30</v>
      </c>
      <c r="P5029" s="16" t="s">
        <v>10517</v>
      </c>
      <c r="Q5029" s="15" t="s">
        <v>832</v>
      </c>
      <c r="R5029" s="13" t="str">
        <f>HYPERLINK("https://my.pitchbook.com?c=170301-34T","View Company Online")</f>
        <v>View Company Online</v>
      </c>
    </row>
    <row r="5030" spans="1:18" hidden="1" x14ac:dyDescent="0.3">
      <c r="A5030" s="9" t="s">
        <v>15930</v>
      </c>
      <c r="B5030" s="9" t="s">
        <v>15931</v>
      </c>
      <c r="C5030" s="11" t="s">
        <v>28</v>
      </c>
      <c r="D5030" s="9" t="s">
        <v>15932</v>
      </c>
      <c r="E5030" s="11" t="s">
        <v>28</v>
      </c>
      <c r="F5030" s="10" t="s">
        <v>28</v>
      </c>
      <c r="G5030" s="10" t="s">
        <v>28</v>
      </c>
      <c r="H5030" s="10" t="s">
        <v>28</v>
      </c>
      <c r="I5030" s="11" t="s">
        <v>28</v>
      </c>
      <c r="J5030" s="11" t="s">
        <v>28</v>
      </c>
      <c r="K5030" s="11" t="s">
        <v>28</v>
      </c>
      <c r="L5030" s="11" t="s">
        <v>28</v>
      </c>
      <c r="M5030" s="11" t="s">
        <v>28</v>
      </c>
      <c r="N5030" s="8">
        <v>44283</v>
      </c>
      <c r="O5030" s="9" t="s">
        <v>52</v>
      </c>
      <c r="P5030" s="12" t="s">
        <v>15933</v>
      </c>
      <c r="Q5030" s="9" t="s">
        <v>855</v>
      </c>
      <c r="R5030" s="14" t="str">
        <f>HYPERLINK("https://my.pitchbook.com?c=277188-49T","View Company Online")</f>
        <v>View Company Online</v>
      </c>
    </row>
    <row r="5031" spans="1:18" hidden="1" x14ac:dyDescent="0.3">
      <c r="A5031" s="15" t="s">
        <v>15934</v>
      </c>
      <c r="B5031" s="15" t="s">
        <v>15935</v>
      </c>
      <c r="C5031" s="18" t="s">
        <v>28</v>
      </c>
      <c r="D5031" s="15" t="s">
        <v>15936</v>
      </c>
      <c r="E5031" s="18" t="s">
        <v>28</v>
      </c>
      <c r="F5031" s="19" t="s">
        <v>28</v>
      </c>
      <c r="G5031" s="19" t="s">
        <v>28</v>
      </c>
      <c r="H5031" s="19" t="s">
        <v>28</v>
      </c>
      <c r="I5031" s="18" t="s">
        <v>28</v>
      </c>
      <c r="J5031" s="18" t="s">
        <v>28</v>
      </c>
      <c r="K5031" s="18">
        <v>1.86</v>
      </c>
      <c r="L5031" s="18" t="s">
        <v>28</v>
      </c>
      <c r="M5031" s="18">
        <v>1.75</v>
      </c>
      <c r="N5031" s="17">
        <v>44281</v>
      </c>
      <c r="O5031" s="15" t="s">
        <v>173</v>
      </c>
      <c r="P5031" s="16" t="s">
        <v>28</v>
      </c>
      <c r="Q5031" s="15" t="s">
        <v>174</v>
      </c>
      <c r="R5031" s="13" t="str">
        <f>HYPERLINK("https://my.pitchbook.com?c=251548-30T","View Company Online")</f>
        <v>View Company Online</v>
      </c>
    </row>
    <row r="5032" spans="1:18" hidden="1" x14ac:dyDescent="0.3">
      <c r="A5032" s="9" t="s">
        <v>15937</v>
      </c>
      <c r="B5032" s="9" t="s">
        <v>15938</v>
      </c>
      <c r="C5032" s="11" t="s">
        <v>28</v>
      </c>
      <c r="D5032" s="9" t="s">
        <v>15939</v>
      </c>
      <c r="E5032" s="11" t="s">
        <v>28</v>
      </c>
      <c r="F5032" s="10" t="s">
        <v>28</v>
      </c>
      <c r="G5032" s="10" t="s">
        <v>28</v>
      </c>
      <c r="H5032" s="10" t="s">
        <v>28</v>
      </c>
      <c r="I5032" s="11" t="s">
        <v>28</v>
      </c>
      <c r="J5032" s="11" t="s">
        <v>28</v>
      </c>
      <c r="K5032" s="11" t="s">
        <v>28</v>
      </c>
      <c r="L5032" s="11" t="s">
        <v>28</v>
      </c>
      <c r="M5032" s="11" t="s">
        <v>28</v>
      </c>
      <c r="N5032" s="8">
        <v>44281</v>
      </c>
      <c r="O5032" s="9" t="s">
        <v>173</v>
      </c>
      <c r="P5032" s="12" t="s">
        <v>28</v>
      </c>
      <c r="Q5032" s="9" t="s">
        <v>174</v>
      </c>
      <c r="R5032" s="14" t="str">
        <f>HYPERLINK("https://my.pitchbook.com?c=251581-06T","View Company Online")</f>
        <v>View Company Online</v>
      </c>
    </row>
    <row r="5033" spans="1:18" hidden="1" x14ac:dyDescent="0.3">
      <c r="A5033" s="15" t="s">
        <v>15940</v>
      </c>
      <c r="B5033" s="15" t="s">
        <v>8132</v>
      </c>
      <c r="C5033" s="18" t="s">
        <v>28</v>
      </c>
      <c r="D5033" s="15" t="s">
        <v>8133</v>
      </c>
      <c r="E5033" s="18" t="s">
        <v>28</v>
      </c>
      <c r="F5033" s="19" t="s">
        <v>28</v>
      </c>
      <c r="G5033" s="19" t="s">
        <v>28</v>
      </c>
      <c r="H5033" s="19" t="s">
        <v>28</v>
      </c>
      <c r="I5033" s="18" t="s">
        <v>28</v>
      </c>
      <c r="J5033" s="18" t="s">
        <v>28</v>
      </c>
      <c r="K5033" s="18" t="s">
        <v>28</v>
      </c>
      <c r="L5033" s="18" t="s">
        <v>28</v>
      </c>
      <c r="M5033" s="18" t="s">
        <v>28</v>
      </c>
      <c r="N5033" s="17">
        <v>44280</v>
      </c>
      <c r="O5033" s="15" t="s">
        <v>52</v>
      </c>
      <c r="P5033" s="16" t="s">
        <v>15941</v>
      </c>
      <c r="Q5033" s="15" t="s">
        <v>75</v>
      </c>
      <c r="R5033" s="13" t="str">
        <f>HYPERLINK("https://my.pitchbook.com?c=295564-60T","View Company Online")</f>
        <v>View Company Online</v>
      </c>
    </row>
    <row r="5034" spans="1:18" hidden="1" x14ac:dyDescent="0.3">
      <c r="A5034" s="9" t="s">
        <v>15942</v>
      </c>
      <c r="B5034" s="9" t="s">
        <v>2959</v>
      </c>
      <c r="C5034" s="11" t="s">
        <v>28</v>
      </c>
      <c r="D5034" s="9" t="s">
        <v>2960</v>
      </c>
      <c r="E5034" s="11" t="s">
        <v>28</v>
      </c>
      <c r="F5034" s="10" t="s">
        <v>28</v>
      </c>
      <c r="G5034" s="10">
        <v>0.13</v>
      </c>
      <c r="H5034" s="10">
        <v>1.79</v>
      </c>
      <c r="I5034" s="11" t="s">
        <v>28</v>
      </c>
      <c r="J5034" s="11" t="s">
        <v>28</v>
      </c>
      <c r="K5034" s="11">
        <v>0.23</v>
      </c>
      <c r="L5034" s="11">
        <v>7.67</v>
      </c>
      <c r="M5034" s="11" t="s">
        <v>28</v>
      </c>
      <c r="N5034" s="8">
        <v>44279</v>
      </c>
      <c r="O5034" s="9" t="s">
        <v>52</v>
      </c>
      <c r="P5034" s="12" t="s">
        <v>15943</v>
      </c>
      <c r="Q5034" s="9" t="s">
        <v>583</v>
      </c>
      <c r="R5034" s="14" t="str">
        <f>HYPERLINK("https://my.pitchbook.com?c=169084-72T","View Company Online")</f>
        <v>View Company Online</v>
      </c>
    </row>
    <row r="5035" spans="1:18" hidden="1" x14ac:dyDescent="0.3">
      <c r="A5035" s="15" t="s">
        <v>15944</v>
      </c>
      <c r="B5035" s="15" t="s">
        <v>7473</v>
      </c>
      <c r="C5035" s="18" t="s">
        <v>28</v>
      </c>
      <c r="D5035" s="15" t="s">
        <v>7474</v>
      </c>
      <c r="E5035" s="18" t="s">
        <v>28</v>
      </c>
      <c r="F5035" s="19" t="s">
        <v>28</v>
      </c>
      <c r="G5035" s="19">
        <v>1.43</v>
      </c>
      <c r="H5035" s="19" t="s">
        <v>28</v>
      </c>
      <c r="I5035" s="18" t="s">
        <v>28</v>
      </c>
      <c r="J5035" s="18" t="s">
        <v>28</v>
      </c>
      <c r="K5035" s="18" t="s">
        <v>28</v>
      </c>
      <c r="L5035" s="18" t="s">
        <v>28</v>
      </c>
      <c r="M5035" s="18" t="s">
        <v>28</v>
      </c>
      <c r="N5035" s="17">
        <v>44279</v>
      </c>
      <c r="O5035" s="15" t="s">
        <v>58</v>
      </c>
      <c r="P5035" s="16" t="s">
        <v>15945</v>
      </c>
      <c r="Q5035" s="15" t="s">
        <v>583</v>
      </c>
      <c r="R5035" s="13" t="str">
        <f>HYPERLINK("https://my.pitchbook.com?c=169960-42T","View Company Online")</f>
        <v>View Company Online</v>
      </c>
    </row>
    <row r="5036" spans="1:18" hidden="1" x14ac:dyDescent="0.3">
      <c r="A5036" s="9" t="s">
        <v>15946</v>
      </c>
      <c r="B5036" s="9" t="s">
        <v>15947</v>
      </c>
      <c r="C5036" s="11" t="s">
        <v>28</v>
      </c>
      <c r="D5036" s="9" t="s">
        <v>15948</v>
      </c>
      <c r="E5036" s="11" t="s">
        <v>28</v>
      </c>
      <c r="F5036" s="10" t="s">
        <v>28</v>
      </c>
      <c r="G5036" s="10" t="s">
        <v>28</v>
      </c>
      <c r="H5036" s="10" t="s">
        <v>28</v>
      </c>
      <c r="I5036" s="11" t="s">
        <v>28</v>
      </c>
      <c r="J5036" s="11" t="s">
        <v>28</v>
      </c>
      <c r="K5036" s="11" t="s">
        <v>28</v>
      </c>
      <c r="L5036" s="11" t="s">
        <v>28</v>
      </c>
      <c r="M5036" s="11" t="s">
        <v>28</v>
      </c>
      <c r="N5036" s="8">
        <v>44279</v>
      </c>
      <c r="O5036" s="9" t="s">
        <v>79</v>
      </c>
      <c r="P5036" s="12" t="s">
        <v>611</v>
      </c>
      <c r="Q5036" s="9" t="s">
        <v>75</v>
      </c>
      <c r="R5036" s="14" t="str">
        <f>HYPERLINK("https://my.pitchbook.com?c=194458-51T","View Company Online")</f>
        <v>View Company Online</v>
      </c>
    </row>
    <row r="5037" spans="1:18" hidden="1" x14ac:dyDescent="0.3">
      <c r="A5037" s="15" t="s">
        <v>15949</v>
      </c>
      <c r="B5037" s="15" t="s">
        <v>12387</v>
      </c>
      <c r="C5037" s="18" t="s">
        <v>28</v>
      </c>
      <c r="D5037" s="15" t="s">
        <v>12388</v>
      </c>
      <c r="E5037" s="18" t="s">
        <v>28</v>
      </c>
      <c r="F5037" s="19" t="s">
        <v>28</v>
      </c>
      <c r="G5037" s="19">
        <v>25</v>
      </c>
      <c r="H5037" s="19" t="s">
        <v>28</v>
      </c>
      <c r="I5037" s="18" t="s">
        <v>28</v>
      </c>
      <c r="J5037" s="18" t="s">
        <v>28</v>
      </c>
      <c r="K5037" s="18" t="s">
        <v>28</v>
      </c>
      <c r="L5037" s="18" t="s">
        <v>28</v>
      </c>
      <c r="M5037" s="18" t="s">
        <v>28</v>
      </c>
      <c r="N5037" s="17">
        <v>44279</v>
      </c>
      <c r="O5037" s="15" t="s">
        <v>79</v>
      </c>
      <c r="P5037" s="16" t="s">
        <v>15950</v>
      </c>
      <c r="Q5037" s="15" t="s">
        <v>696</v>
      </c>
      <c r="R5037" s="13" t="str">
        <f>HYPERLINK("https://my.pitchbook.com?c=169173-19T","View Company Online")</f>
        <v>View Company Online</v>
      </c>
    </row>
    <row r="5038" spans="1:18" hidden="1" x14ac:dyDescent="0.3">
      <c r="A5038" s="9" t="s">
        <v>15951</v>
      </c>
      <c r="B5038" s="9" t="s">
        <v>15952</v>
      </c>
      <c r="C5038" s="11" t="s">
        <v>28</v>
      </c>
      <c r="D5038" s="9" t="s">
        <v>15953</v>
      </c>
      <c r="E5038" s="11" t="s">
        <v>28</v>
      </c>
      <c r="F5038" s="10" t="s">
        <v>28</v>
      </c>
      <c r="G5038" s="10" t="s">
        <v>28</v>
      </c>
      <c r="H5038" s="10" t="s">
        <v>28</v>
      </c>
      <c r="I5038" s="11" t="s">
        <v>28</v>
      </c>
      <c r="J5038" s="11" t="s">
        <v>28</v>
      </c>
      <c r="K5038" s="11" t="s">
        <v>28</v>
      </c>
      <c r="L5038" s="11" t="s">
        <v>28</v>
      </c>
      <c r="M5038" s="11" t="s">
        <v>28</v>
      </c>
      <c r="N5038" s="8">
        <v>44278</v>
      </c>
      <c r="O5038" s="9" t="s">
        <v>30</v>
      </c>
      <c r="P5038" s="12" t="s">
        <v>15954</v>
      </c>
      <c r="Q5038" s="9" t="s">
        <v>414</v>
      </c>
      <c r="R5038" s="14" t="str">
        <f>HYPERLINK("https://my.pitchbook.com?c=209548-27T","View Company Online")</f>
        <v>View Company Online</v>
      </c>
    </row>
    <row r="5039" spans="1:18" hidden="1" x14ac:dyDescent="0.3">
      <c r="A5039" s="15" t="s">
        <v>15955</v>
      </c>
      <c r="B5039" s="15" t="s">
        <v>15956</v>
      </c>
      <c r="C5039" s="18" t="s">
        <v>28</v>
      </c>
      <c r="D5039" s="15" t="s">
        <v>15957</v>
      </c>
      <c r="E5039" s="18" t="s">
        <v>28</v>
      </c>
      <c r="F5039" s="19" t="s">
        <v>28</v>
      </c>
      <c r="G5039" s="19">
        <v>0.72</v>
      </c>
      <c r="H5039" s="19">
        <v>5.37</v>
      </c>
      <c r="I5039" s="18" t="s">
        <v>28</v>
      </c>
      <c r="J5039" s="18" t="s">
        <v>28</v>
      </c>
      <c r="K5039" s="18" t="s">
        <v>28</v>
      </c>
      <c r="L5039" s="18" t="s">
        <v>28</v>
      </c>
      <c r="M5039" s="18" t="s">
        <v>28</v>
      </c>
      <c r="N5039" s="17">
        <v>44278</v>
      </c>
      <c r="O5039" s="15" t="s">
        <v>99</v>
      </c>
      <c r="P5039" s="16" t="s">
        <v>15958</v>
      </c>
      <c r="Q5039" s="15" t="s">
        <v>263</v>
      </c>
      <c r="R5039" s="13" t="str">
        <f>HYPERLINK("https://my.pitchbook.com?c=169192-99T","View Company Online")</f>
        <v>View Company Online</v>
      </c>
    </row>
    <row r="5040" spans="1:18" hidden="1" x14ac:dyDescent="0.3">
      <c r="A5040" s="9" t="s">
        <v>15959</v>
      </c>
      <c r="B5040" s="9" t="s">
        <v>15960</v>
      </c>
      <c r="C5040" s="11" t="s">
        <v>28</v>
      </c>
      <c r="D5040" s="9" t="s">
        <v>15961</v>
      </c>
      <c r="E5040" s="11" t="s">
        <v>28</v>
      </c>
      <c r="F5040" s="10" t="s">
        <v>28</v>
      </c>
      <c r="G5040" s="10" t="s">
        <v>28</v>
      </c>
      <c r="H5040" s="10" t="s">
        <v>28</v>
      </c>
      <c r="I5040" s="11" t="s">
        <v>28</v>
      </c>
      <c r="J5040" s="11" t="s">
        <v>28</v>
      </c>
      <c r="K5040" s="11" t="s">
        <v>28</v>
      </c>
      <c r="L5040" s="11" t="s">
        <v>28</v>
      </c>
      <c r="M5040" s="11" t="s">
        <v>28</v>
      </c>
      <c r="N5040" s="8">
        <v>44278</v>
      </c>
      <c r="O5040" s="9" t="s">
        <v>379</v>
      </c>
      <c r="P5040" s="12" t="s">
        <v>28</v>
      </c>
      <c r="Q5040" s="9" t="s">
        <v>119</v>
      </c>
      <c r="R5040" s="14" t="str">
        <f>HYPERLINK("https://my.pitchbook.com?c=179417-80T","View Company Online")</f>
        <v>View Company Online</v>
      </c>
    </row>
    <row r="5041" spans="1:18" hidden="1" x14ac:dyDescent="0.3">
      <c r="A5041" s="15" t="s">
        <v>15962</v>
      </c>
      <c r="B5041" s="15" t="s">
        <v>15963</v>
      </c>
      <c r="C5041" s="18" t="s">
        <v>28</v>
      </c>
      <c r="D5041" s="15" t="s">
        <v>15964</v>
      </c>
      <c r="E5041" s="18" t="s">
        <v>28</v>
      </c>
      <c r="F5041" s="19" t="s">
        <v>28</v>
      </c>
      <c r="G5041" s="19" t="s">
        <v>28</v>
      </c>
      <c r="H5041" s="19" t="s">
        <v>28</v>
      </c>
      <c r="I5041" s="18" t="s">
        <v>28</v>
      </c>
      <c r="J5041" s="18" t="s">
        <v>28</v>
      </c>
      <c r="K5041" s="18" t="s">
        <v>28</v>
      </c>
      <c r="L5041" s="18" t="s">
        <v>28</v>
      </c>
      <c r="M5041" s="18" t="s">
        <v>28</v>
      </c>
      <c r="N5041" s="17">
        <v>44278</v>
      </c>
      <c r="O5041" s="15" t="s">
        <v>30</v>
      </c>
      <c r="P5041" s="16" t="s">
        <v>15965</v>
      </c>
      <c r="Q5041" s="15" t="s">
        <v>740</v>
      </c>
      <c r="R5041" s="13" t="str">
        <f>HYPERLINK("https://my.pitchbook.com?c=218610-28T","View Company Online")</f>
        <v>View Company Online</v>
      </c>
    </row>
    <row r="5042" spans="1:18" hidden="1" x14ac:dyDescent="0.3">
      <c r="A5042" s="9" t="s">
        <v>15966</v>
      </c>
      <c r="B5042" s="9" t="s">
        <v>15967</v>
      </c>
      <c r="C5042" s="11" t="s">
        <v>28</v>
      </c>
      <c r="D5042" s="9" t="s">
        <v>15968</v>
      </c>
      <c r="E5042" s="11" t="s">
        <v>28</v>
      </c>
      <c r="F5042" s="10" t="s">
        <v>28</v>
      </c>
      <c r="G5042" s="10">
        <v>0.5</v>
      </c>
      <c r="H5042" s="10" t="s">
        <v>28</v>
      </c>
      <c r="I5042" s="11" t="s">
        <v>28</v>
      </c>
      <c r="J5042" s="11" t="s">
        <v>28</v>
      </c>
      <c r="K5042" s="11" t="s">
        <v>28</v>
      </c>
      <c r="L5042" s="11" t="s">
        <v>28</v>
      </c>
      <c r="M5042" s="11" t="s">
        <v>28</v>
      </c>
      <c r="N5042" s="8">
        <v>44278</v>
      </c>
      <c r="O5042" s="9" t="s">
        <v>73</v>
      </c>
      <c r="P5042" s="12" t="s">
        <v>15969</v>
      </c>
      <c r="Q5042" s="9" t="s">
        <v>95</v>
      </c>
      <c r="R5042" s="14" t="str">
        <f>HYPERLINK("https://my.pitchbook.com?c=168978-25T","View Company Online")</f>
        <v>View Company Online</v>
      </c>
    </row>
    <row r="5043" spans="1:18" hidden="1" x14ac:dyDescent="0.3">
      <c r="A5043" s="15" t="s">
        <v>15970</v>
      </c>
      <c r="B5043" s="15" t="s">
        <v>503</v>
      </c>
      <c r="C5043" s="18" t="s">
        <v>28</v>
      </c>
      <c r="D5043" s="15" t="s">
        <v>504</v>
      </c>
      <c r="E5043" s="18">
        <v>0.01</v>
      </c>
      <c r="F5043" s="19" t="s">
        <v>28</v>
      </c>
      <c r="G5043" s="19">
        <v>35</v>
      </c>
      <c r="H5043" s="19" t="s">
        <v>28</v>
      </c>
      <c r="I5043" s="18" t="s">
        <v>28</v>
      </c>
      <c r="J5043" s="18" t="s">
        <v>28</v>
      </c>
      <c r="K5043" s="18" t="s">
        <v>28</v>
      </c>
      <c r="L5043" s="18" t="s">
        <v>28</v>
      </c>
      <c r="M5043" s="18">
        <v>3.7</v>
      </c>
      <c r="N5043" s="17">
        <v>44278</v>
      </c>
      <c r="O5043" s="15" t="s">
        <v>79</v>
      </c>
      <c r="P5043" s="16" t="s">
        <v>15971</v>
      </c>
      <c r="Q5043" s="15" t="s">
        <v>240</v>
      </c>
      <c r="R5043" s="13" t="str">
        <f>HYPERLINK("https://my.pitchbook.com?c=169067-44T","View Company Online")</f>
        <v>View Company Online</v>
      </c>
    </row>
    <row r="5044" spans="1:18" hidden="1" x14ac:dyDescent="0.3">
      <c r="A5044" s="9" t="s">
        <v>15972</v>
      </c>
      <c r="B5044" s="9" t="s">
        <v>15973</v>
      </c>
      <c r="C5044" s="11" t="s">
        <v>28</v>
      </c>
      <c r="D5044" s="9" t="s">
        <v>15974</v>
      </c>
      <c r="E5044" s="11" t="s">
        <v>28</v>
      </c>
      <c r="F5044" s="10" t="s">
        <v>28</v>
      </c>
      <c r="G5044" s="10" t="s">
        <v>28</v>
      </c>
      <c r="H5044" s="10" t="s">
        <v>28</v>
      </c>
      <c r="I5044" s="11" t="s">
        <v>28</v>
      </c>
      <c r="J5044" s="11" t="s">
        <v>28</v>
      </c>
      <c r="K5044" s="11">
        <v>1329.57</v>
      </c>
      <c r="L5044" s="11" t="s">
        <v>28</v>
      </c>
      <c r="M5044" s="11" t="s">
        <v>28</v>
      </c>
      <c r="N5044" s="8">
        <v>44277</v>
      </c>
      <c r="O5044" s="9" t="s">
        <v>30</v>
      </c>
      <c r="P5044" s="12" t="s">
        <v>28</v>
      </c>
      <c r="Q5044" s="9" t="s">
        <v>240</v>
      </c>
      <c r="R5044" s="14" t="str">
        <f>HYPERLINK("https://my.pitchbook.com?c=169019-65T","View Company Online")</f>
        <v>View Company Online</v>
      </c>
    </row>
    <row r="5045" spans="1:18" hidden="1" x14ac:dyDescent="0.3">
      <c r="A5045" s="15" t="s">
        <v>15975</v>
      </c>
      <c r="B5045" s="15" t="s">
        <v>15976</v>
      </c>
      <c r="C5045" s="18" t="s">
        <v>28</v>
      </c>
      <c r="D5045" s="15" t="s">
        <v>15977</v>
      </c>
      <c r="E5045" s="18" t="s">
        <v>28</v>
      </c>
      <c r="F5045" s="19" t="s">
        <v>28</v>
      </c>
      <c r="G5045" s="19" t="s">
        <v>28</v>
      </c>
      <c r="H5045" s="19" t="s">
        <v>28</v>
      </c>
      <c r="I5045" s="18" t="s">
        <v>28</v>
      </c>
      <c r="J5045" s="18" t="s">
        <v>28</v>
      </c>
      <c r="K5045" s="18" t="s">
        <v>28</v>
      </c>
      <c r="L5045" s="18" t="s">
        <v>28</v>
      </c>
      <c r="M5045" s="18" t="s">
        <v>28</v>
      </c>
      <c r="N5045" s="17">
        <v>44277</v>
      </c>
      <c r="O5045" s="15" t="s">
        <v>52</v>
      </c>
      <c r="P5045" s="16" t="s">
        <v>1880</v>
      </c>
      <c r="Q5045" s="15" t="s">
        <v>75</v>
      </c>
      <c r="R5045" s="13" t="str">
        <f>HYPERLINK("https://my.pitchbook.com?c=195667-21T","View Company Online")</f>
        <v>View Company Online</v>
      </c>
    </row>
    <row r="5046" spans="1:18" hidden="1" x14ac:dyDescent="0.3">
      <c r="A5046" s="9" t="s">
        <v>15978</v>
      </c>
      <c r="B5046" s="9" t="s">
        <v>2063</v>
      </c>
      <c r="C5046" s="11" t="s">
        <v>28</v>
      </c>
      <c r="D5046" s="9" t="s">
        <v>2064</v>
      </c>
      <c r="E5046" s="11" t="s">
        <v>28</v>
      </c>
      <c r="F5046" s="10" t="s">
        <v>28</v>
      </c>
      <c r="G5046" s="10" t="s">
        <v>28</v>
      </c>
      <c r="H5046" s="10" t="s">
        <v>28</v>
      </c>
      <c r="I5046" s="11" t="s">
        <v>28</v>
      </c>
      <c r="J5046" s="11" t="s">
        <v>28</v>
      </c>
      <c r="K5046" s="11" t="s">
        <v>28</v>
      </c>
      <c r="L5046" s="11" t="s">
        <v>28</v>
      </c>
      <c r="M5046" s="11" t="s">
        <v>28</v>
      </c>
      <c r="N5046" s="8">
        <v>44277</v>
      </c>
      <c r="O5046" s="9" t="s">
        <v>52</v>
      </c>
      <c r="P5046" s="12" t="s">
        <v>1880</v>
      </c>
      <c r="Q5046" s="9" t="s">
        <v>245</v>
      </c>
      <c r="R5046" s="14" t="str">
        <f>HYPERLINK("https://my.pitchbook.com?c=199759-15T","View Company Online")</f>
        <v>View Company Online</v>
      </c>
    </row>
    <row r="5047" spans="1:18" hidden="1" x14ac:dyDescent="0.3">
      <c r="A5047" s="15" t="s">
        <v>15979</v>
      </c>
      <c r="B5047" s="15" t="s">
        <v>15980</v>
      </c>
      <c r="C5047" s="18" t="s">
        <v>28</v>
      </c>
      <c r="D5047" s="15" t="s">
        <v>15981</v>
      </c>
      <c r="E5047" s="18" t="s">
        <v>28</v>
      </c>
      <c r="F5047" s="19">
        <v>37.61</v>
      </c>
      <c r="G5047" s="19">
        <v>37.61</v>
      </c>
      <c r="H5047" s="19">
        <v>37.61</v>
      </c>
      <c r="I5047" s="18" t="s">
        <v>28</v>
      </c>
      <c r="J5047" s="18" t="s">
        <v>28</v>
      </c>
      <c r="K5047" s="18">
        <v>0.35</v>
      </c>
      <c r="L5047" s="18">
        <v>107.66</v>
      </c>
      <c r="M5047" s="18" t="s">
        <v>28</v>
      </c>
      <c r="N5047" s="17">
        <v>44277</v>
      </c>
      <c r="O5047" s="15" t="s">
        <v>41</v>
      </c>
      <c r="P5047" s="16" t="s">
        <v>15982</v>
      </c>
      <c r="Q5047" s="15" t="s">
        <v>95</v>
      </c>
      <c r="R5047" s="13" t="str">
        <f>HYPERLINK("https://my.pitchbook.com?c=170584-03T","View Company Online")</f>
        <v>View Company Online</v>
      </c>
    </row>
    <row r="5048" spans="1:18" hidden="1" x14ac:dyDescent="0.3">
      <c r="A5048" s="9" t="s">
        <v>15983</v>
      </c>
      <c r="B5048" s="9" t="s">
        <v>15984</v>
      </c>
      <c r="C5048" s="11" t="s">
        <v>28</v>
      </c>
      <c r="D5048" s="9" t="s">
        <v>15985</v>
      </c>
      <c r="E5048" s="11" t="s">
        <v>28</v>
      </c>
      <c r="F5048" s="10" t="s">
        <v>28</v>
      </c>
      <c r="G5048" s="10" t="s">
        <v>28</v>
      </c>
      <c r="H5048" s="10" t="s">
        <v>28</v>
      </c>
      <c r="I5048" s="11" t="s">
        <v>28</v>
      </c>
      <c r="J5048" s="11" t="s">
        <v>28</v>
      </c>
      <c r="K5048" s="11" t="s">
        <v>28</v>
      </c>
      <c r="L5048" s="11" t="s">
        <v>28</v>
      </c>
      <c r="M5048" s="11" t="s">
        <v>28</v>
      </c>
      <c r="N5048" s="8">
        <v>44277</v>
      </c>
      <c r="O5048" s="9" t="s">
        <v>30</v>
      </c>
      <c r="P5048" s="12" t="s">
        <v>15986</v>
      </c>
      <c r="Q5048" s="9" t="s">
        <v>362</v>
      </c>
      <c r="R5048" s="14" t="str">
        <f>HYPERLINK("https://my.pitchbook.com?c=213215-68T","View Company Online")</f>
        <v>View Company Online</v>
      </c>
    </row>
    <row r="5049" spans="1:18" hidden="1" x14ac:dyDescent="0.3">
      <c r="A5049" s="15" t="s">
        <v>15987</v>
      </c>
      <c r="B5049" s="15" t="s">
        <v>11398</v>
      </c>
      <c r="C5049" s="18" t="s">
        <v>28</v>
      </c>
      <c r="D5049" s="15" t="s">
        <v>11399</v>
      </c>
      <c r="E5049" s="18" t="s">
        <v>28</v>
      </c>
      <c r="F5049" s="19" t="s">
        <v>28</v>
      </c>
      <c r="G5049" s="19" t="s">
        <v>28</v>
      </c>
      <c r="H5049" s="19" t="s">
        <v>28</v>
      </c>
      <c r="I5049" s="18" t="s">
        <v>28</v>
      </c>
      <c r="J5049" s="18" t="s">
        <v>28</v>
      </c>
      <c r="K5049" s="18" t="s">
        <v>28</v>
      </c>
      <c r="L5049" s="18" t="s">
        <v>28</v>
      </c>
      <c r="M5049" s="18" t="s">
        <v>28</v>
      </c>
      <c r="N5049" s="17">
        <v>44277</v>
      </c>
      <c r="O5049" s="15" t="s">
        <v>52</v>
      </c>
      <c r="P5049" s="16" t="s">
        <v>1880</v>
      </c>
      <c r="Q5049" s="15" t="s">
        <v>37</v>
      </c>
      <c r="R5049" s="13" t="str">
        <f>HYPERLINK("https://my.pitchbook.com?c=195665-95T","View Company Online")</f>
        <v>View Company Online</v>
      </c>
    </row>
    <row r="5050" spans="1:18" hidden="1" x14ac:dyDescent="0.3">
      <c r="A5050" s="9" t="s">
        <v>15988</v>
      </c>
      <c r="B5050" s="9" t="s">
        <v>11510</v>
      </c>
      <c r="C5050" s="11" t="s">
        <v>28</v>
      </c>
      <c r="D5050" s="9" t="s">
        <v>11511</v>
      </c>
      <c r="E5050" s="11" t="s">
        <v>28</v>
      </c>
      <c r="F5050" s="10" t="s">
        <v>28</v>
      </c>
      <c r="G5050" s="10" t="s">
        <v>28</v>
      </c>
      <c r="H5050" s="10" t="s">
        <v>28</v>
      </c>
      <c r="I5050" s="11" t="s">
        <v>28</v>
      </c>
      <c r="J5050" s="11" t="s">
        <v>28</v>
      </c>
      <c r="K5050" s="11">
        <v>8.77</v>
      </c>
      <c r="L5050" s="11" t="s">
        <v>28</v>
      </c>
      <c r="M5050" s="11" t="s">
        <v>28</v>
      </c>
      <c r="N5050" s="8">
        <v>44277</v>
      </c>
      <c r="O5050" s="9" t="s">
        <v>52</v>
      </c>
      <c r="P5050" s="12" t="s">
        <v>1880</v>
      </c>
      <c r="Q5050" s="9" t="s">
        <v>75</v>
      </c>
      <c r="R5050" s="14" t="str">
        <f>HYPERLINK("https://my.pitchbook.com?c=206978-95T","View Company Online")</f>
        <v>View Company Online</v>
      </c>
    </row>
    <row r="5051" spans="1:18" x14ac:dyDescent="0.3">
      <c r="A5051" s="15" t="s">
        <v>15989</v>
      </c>
      <c r="B5051" s="15" t="s">
        <v>1315</v>
      </c>
      <c r="C5051" s="18" t="s">
        <v>28</v>
      </c>
      <c r="D5051" s="15" t="s">
        <v>1316</v>
      </c>
      <c r="E5051" s="18">
        <v>28.94</v>
      </c>
      <c r="F5051" s="19" t="s">
        <v>28</v>
      </c>
      <c r="G5051" s="19">
        <v>211</v>
      </c>
      <c r="H5051" s="19">
        <v>472.39</v>
      </c>
      <c r="I5051" s="18">
        <v>42.92</v>
      </c>
      <c r="J5051" s="18">
        <v>11.01</v>
      </c>
      <c r="K5051" s="18">
        <v>145.02000000000001</v>
      </c>
      <c r="L5051" s="18">
        <v>3.26</v>
      </c>
      <c r="M5051" s="18">
        <v>-1.19</v>
      </c>
      <c r="N5051" s="17">
        <v>44277</v>
      </c>
      <c r="O5051" s="15" t="s">
        <v>93</v>
      </c>
      <c r="P5051" s="16" t="s">
        <v>15990</v>
      </c>
      <c r="Q5051" s="15" t="s">
        <v>1088</v>
      </c>
      <c r="R5051" s="13" t="str">
        <f>HYPERLINK("https://my.pitchbook.com?c=165197-26T","View Company Online")</f>
        <v>View Company Online</v>
      </c>
    </row>
    <row r="5052" spans="1:18" hidden="1" x14ac:dyDescent="0.3">
      <c r="A5052" s="9" t="s">
        <v>15991</v>
      </c>
      <c r="B5052" s="9" t="s">
        <v>6277</v>
      </c>
      <c r="C5052" s="11" t="s">
        <v>28</v>
      </c>
      <c r="D5052" s="9" t="s">
        <v>6278</v>
      </c>
      <c r="E5052" s="11" t="s">
        <v>28</v>
      </c>
      <c r="F5052" s="10" t="s">
        <v>28</v>
      </c>
      <c r="G5052" s="10" t="s">
        <v>28</v>
      </c>
      <c r="H5052" s="10" t="s">
        <v>28</v>
      </c>
      <c r="I5052" s="11" t="s">
        <v>28</v>
      </c>
      <c r="J5052" s="11" t="s">
        <v>28</v>
      </c>
      <c r="K5052" s="11" t="s">
        <v>28</v>
      </c>
      <c r="L5052" s="11" t="s">
        <v>28</v>
      </c>
      <c r="M5052" s="11" t="s">
        <v>28</v>
      </c>
      <c r="N5052" s="8">
        <v>44277</v>
      </c>
      <c r="O5052" s="9" t="s">
        <v>52</v>
      </c>
      <c r="P5052" s="12" t="s">
        <v>1880</v>
      </c>
      <c r="Q5052" s="9" t="s">
        <v>75</v>
      </c>
      <c r="R5052" s="14" t="str">
        <f>HYPERLINK("https://my.pitchbook.com?c=195666-22T","View Company Online")</f>
        <v>View Company Online</v>
      </c>
    </row>
    <row r="5053" spans="1:18" hidden="1" x14ac:dyDescent="0.3">
      <c r="A5053" s="15" t="s">
        <v>15992</v>
      </c>
      <c r="B5053" s="15" t="s">
        <v>10602</v>
      </c>
      <c r="C5053" s="18" t="s">
        <v>28</v>
      </c>
      <c r="D5053" s="15" t="s">
        <v>10603</v>
      </c>
      <c r="E5053" s="18" t="s">
        <v>28</v>
      </c>
      <c r="F5053" s="19" t="s">
        <v>28</v>
      </c>
      <c r="G5053" s="19" t="s">
        <v>28</v>
      </c>
      <c r="H5053" s="19" t="s">
        <v>28</v>
      </c>
      <c r="I5053" s="18" t="s">
        <v>28</v>
      </c>
      <c r="J5053" s="18" t="s">
        <v>28</v>
      </c>
      <c r="K5053" s="18" t="s">
        <v>28</v>
      </c>
      <c r="L5053" s="18" t="s">
        <v>28</v>
      </c>
      <c r="M5053" s="18" t="s">
        <v>28</v>
      </c>
      <c r="N5053" s="17">
        <v>44277</v>
      </c>
      <c r="O5053" s="15" t="s">
        <v>52</v>
      </c>
      <c r="P5053" s="16" t="s">
        <v>1880</v>
      </c>
      <c r="Q5053" s="15" t="s">
        <v>75</v>
      </c>
      <c r="R5053" s="13" t="str">
        <f>HYPERLINK("https://my.pitchbook.com?c=195667-12T","View Company Online")</f>
        <v>View Company Online</v>
      </c>
    </row>
    <row r="5054" spans="1:18" hidden="1" x14ac:dyDescent="0.3">
      <c r="A5054" s="9" t="s">
        <v>15993</v>
      </c>
      <c r="B5054" s="9" t="s">
        <v>15365</v>
      </c>
      <c r="C5054" s="11" t="s">
        <v>28</v>
      </c>
      <c r="D5054" s="9" t="s">
        <v>15366</v>
      </c>
      <c r="E5054" s="11" t="s">
        <v>28</v>
      </c>
      <c r="F5054" s="10" t="s">
        <v>28</v>
      </c>
      <c r="G5054" s="10" t="s">
        <v>28</v>
      </c>
      <c r="H5054" s="10" t="s">
        <v>28</v>
      </c>
      <c r="I5054" s="11" t="s">
        <v>28</v>
      </c>
      <c r="J5054" s="11" t="s">
        <v>28</v>
      </c>
      <c r="K5054" s="11" t="s">
        <v>28</v>
      </c>
      <c r="L5054" s="11" t="s">
        <v>28</v>
      </c>
      <c r="M5054" s="11" t="s">
        <v>28</v>
      </c>
      <c r="N5054" s="8">
        <v>44277</v>
      </c>
      <c r="O5054" s="9" t="s">
        <v>52</v>
      </c>
      <c r="P5054" s="12" t="s">
        <v>1880</v>
      </c>
      <c r="Q5054" s="9" t="s">
        <v>583</v>
      </c>
      <c r="R5054" s="14" t="str">
        <f>HYPERLINK("https://my.pitchbook.com?c=173074-33T","View Company Online")</f>
        <v>View Company Online</v>
      </c>
    </row>
    <row r="5055" spans="1:18" hidden="1" x14ac:dyDescent="0.3">
      <c r="A5055" s="15" t="s">
        <v>15994</v>
      </c>
      <c r="B5055" s="15" t="s">
        <v>13188</v>
      </c>
      <c r="C5055" s="18" t="s">
        <v>28</v>
      </c>
      <c r="D5055" s="15" t="s">
        <v>13189</v>
      </c>
      <c r="E5055" s="18" t="s">
        <v>28</v>
      </c>
      <c r="F5055" s="19" t="s">
        <v>28</v>
      </c>
      <c r="G5055" s="19" t="s">
        <v>28</v>
      </c>
      <c r="H5055" s="19" t="s">
        <v>28</v>
      </c>
      <c r="I5055" s="18" t="s">
        <v>28</v>
      </c>
      <c r="J5055" s="18" t="s">
        <v>28</v>
      </c>
      <c r="K5055" s="18" t="s">
        <v>28</v>
      </c>
      <c r="L5055" s="18" t="s">
        <v>28</v>
      </c>
      <c r="M5055" s="18" t="s">
        <v>28</v>
      </c>
      <c r="N5055" s="17">
        <v>44277</v>
      </c>
      <c r="O5055" s="15" t="s">
        <v>52</v>
      </c>
      <c r="P5055" s="16" t="s">
        <v>1880</v>
      </c>
      <c r="Q5055" s="15" t="s">
        <v>1263</v>
      </c>
      <c r="R5055" s="13" t="str">
        <f>HYPERLINK("https://my.pitchbook.com?c=195668-29T","View Company Online")</f>
        <v>View Company Online</v>
      </c>
    </row>
    <row r="5056" spans="1:18" hidden="1" x14ac:dyDescent="0.3">
      <c r="A5056" s="9" t="s">
        <v>15995</v>
      </c>
      <c r="B5056" s="9" t="s">
        <v>15996</v>
      </c>
      <c r="C5056" s="11" t="s">
        <v>28</v>
      </c>
      <c r="D5056" s="9" t="s">
        <v>15997</v>
      </c>
      <c r="E5056" s="11" t="s">
        <v>28</v>
      </c>
      <c r="F5056" s="10">
        <v>0.9</v>
      </c>
      <c r="G5056" s="10">
        <v>0.9</v>
      </c>
      <c r="H5056" s="10">
        <v>0.9</v>
      </c>
      <c r="I5056" s="11" t="s">
        <v>28</v>
      </c>
      <c r="J5056" s="11" t="s">
        <v>28</v>
      </c>
      <c r="K5056" s="11">
        <v>0.06</v>
      </c>
      <c r="L5056" s="11">
        <v>15.21</v>
      </c>
      <c r="M5056" s="11" t="s">
        <v>28</v>
      </c>
      <c r="N5056" s="8">
        <v>44277</v>
      </c>
      <c r="O5056" s="9" t="s">
        <v>30</v>
      </c>
      <c r="P5056" s="12" t="s">
        <v>15998</v>
      </c>
      <c r="Q5056" s="9" t="s">
        <v>75</v>
      </c>
      <c r="R5056" s="14" t="str">
        <f>HYPERLINK("https://my.pitchbook.com?c=169666-30T","View Company Online")</f>
        <v>View Company Online</v>
      </c>
    </row>
    <row r="5057" spans="1:18" hidden="1" x14ac:dyDescent="0.3">
      <c r="A5057" s="15" t="s">
        <v>15999</v>
      </c>
      <c r="B5057" s="15" t="s">
        <v>3373</v>
      </c>
      <c r="C5057" s="18" t="s">
        <v>28</v>
      </c>
      <c r="D5057" s="15" t="s">
        <v>3374</v>
      </c>
      <c r="E5057" s="18" t="s">
        <v>28</v>
      </c>
      <c r="F5057" s="19" t="s">
        <v>28</v>
      </c>
      <c r="G5057" s="19">
        <v>0.9</v>
      </c>
      <c r="H5057" s="19" t="s">
        <v>28</v>
      </c>
      <c r="I5057" s="18" t="s">
        <v>28</v>
      </c>
      <c r="J5057" s="18" t="s">
        <v>28</v>
      </c>
      <c r="K5057" s="18" t="s">
        <v>28</v>
      </c>
      <c r="L5057" s="18" t="s">
        <v>28</v>
      </c>
      <c r="M5057" s="18" t="s">
        <v>28</v>
      </c>
      <c r="N5057" s="17">
        <v>44274</v>
      </c>
      <c r="O5057" s="15" t="s">
        <v>73</v>
      </c>
      <c r="P5057" s="16" t="s">
        <v>3000</v>
      </c>
      <c r="Q5057" s="15" t="s">
        <v>774</v>
      </c>
      <c r="R5057" s="13" t="str">
        <f>HYPERLINK("https://my.pitchbook.com?c=173043-28T","View Company Online")</f>
        <v>View Company Online</v>
      </c>
    </row>
    <row r="5058" spans="1:18" hidden="1" x14ac:dyDescent="0.3">
      <c r="A5058" s="9" t="s">
        <v>16000</v>
      </c>
      <c r="B5058" s="9" t="s">
        <v>12078</v>
      </c>
      <c r="C5058" s="11" t="s">
        <v>28</v>
      </c>
      <c r="D5058" s="9" t="s">
        <v>12079</v>
      </c>
      <c r="E5058" s="11" t="s">
        <v>28</v>
      </c>
      <c r="F5058" s="10" t="s">
        <v>28</v>
      </c>
      <c r="G5058" s="10">
        <v>0.8</v>
      </c>
      <c r="H5058" s="10" t="s">
        <v>28</v>
      </c>
      <c r="I5058" s="11" t="s">
        <v>28</v>
      </c>
      <c r="J5058" s="11" t="s">
        <v>28</v>
      </c>
      <c r="K5058" s="11" t="s">
        <v>28</v>
      </c>
      <c r="L5058" s="11" t="s">
        <v>28</v>
      </c>
      <c r="M5058" s="11" t="s">
        <v>28</v>
      </c>
      <c r="N5058" s="8">
        <v>44274</v>
      </c>
      <c r="O5058" s="9" t="s">
        <v>99</v>
      </c>
      <c r="P5058" s="12" t="s">
        <v>16001</v>
      </c>
      <c r="Q5058" s="9" t="s">
        <v>583</v>
      </c>
      <c r="R5058" s="14" t="str">
        <f>HYPERLINK("https://my.pitchbook.com?c=194437-18T","View Company Online")</f>
        <v>View Company Online</v>
      </c>
    </row>
    <row r="5059" spans="1:18" hidden="1" x14ac:dyDescent="0.3">
      <c r="A5059" s="15" t="s">
        <v>16002</v>
      </c>
      <c r="B5059" s="15" t="s">
        <v>16003</v>
      </c>
      <c r="C5059" s="18" t="s">
        <v>28</v>
      </c>
      <c r="D5059" s="15" t="s">
        <v>16004</v>
      </c>
      <c r="E5059" s="18" t="s">
        <v>28</v>
      </c>
      <c r="F5059" s="19" t="s">
        <v>28</v>
      </c>
      <c r="G5059" s="19" t="s">
        <v>28</v>
      </c>
      <c r="H5059" s="19" t="s">
        <v>28</v>
      </c>
      <c r="I5059" s="18" t="s">
        <v>28</v>
      </c>
      <c r="J5059" s="18" t="s">
        <v>28</v>
      </c>
      <c r="K5059" s="18" t="s">
        <v>28</v>
      </c>
      <c r="L5059" s="18" t="s">
        <v>28</v>
      </c>
      <c r="M5059" s="18" t="s">
        <v>28</v>
      </c>
      <c r="N5059" s="17">
        <v>44274</v>
      </c>
      <c r="O5059" s="15" t="s">
        <v>41</v>
      </c>
      <c r="P5059" s="16" t="s">
        <v>16005</v>
      </c>
      <c r="Q5059" s="15" t="s">
        <v>6142</v>
      </c>
      <c r="R5059" s="13" t="str">
        <f>HYPERLINK("https://my.pitchbook.com?c=164659-69T","View Company Online")</f>
        <v>View Company Online</v>
      </c>
    </row>
    <row r="5060" spans="1:18" hidden="1" x14ac:dyDescent="0.3">
      <c r="A5060" s="9" t="s">
        <v>16006</v>
      </c>
      <c r="B5060" s="9" t="s">
        <v>8758</v>
      </c>
      <c r="C5060" s="11" t="s">
        <v>28</v>
      </c>
      <c r="D5060" s="9" t="s">
        <v>8759</v>
      </c>
      <c r="E5060" s="11" t="s">
        <v>28</v>
      </c>
      <c r="F5060" s="10" t="s">
        <v>28</v>
      </c>
      <c r="G5060" s="10">
        <v>0.13</v>
      </c>
      <c r="H5060" s="10" t="s">
        <v>28</v>
      </c>
      <c r="I5060" s="11" t="s">
        <v>28</v>
      </c>
      <c r="J5060" s="11" t="s">
        <v>28</v>
      </c>
      <c r="K5060" s="11" t="s">
        <v>28</v>
      </c>
      <c r="L5060" s="11" t="s">
        <v>28</v>
      </c>
      <c r="M5060" s="11" t="s">
        <v>28</v>
      </c>
      <c r="N5060" s="8">
        <v>44274</v>
      </c>
      <c r="O5060" s="9" t="s">
        <v>52</v>
      </c>
      <c r="P5060" s="12" t="s">
        <v>3944</v>
      </c>
      <c r="Q5060" s="9" t="s">
        <v>75</v>
      </c>
      <c r="R5060" s="14" t="str">
        <f>HYPERLINK("https://my.pitchbook.com?c=179510-32T","View Company Online")</f>
        <v>View Company Online</v>
      </c>
    </row>
    <row r="5061" spans="1:18" hidden="1" x14ac:dyDescent="0.3">
      <c r="A5061" s="15" t="s">
        <v>16007</v>
      </c>
      <c r="B5061" s="15" t="s">
        <v>4505</v>
      </c>
      <c r="C5061" s="18" t="s">
        <v>28</v>
      </c>
      <c r="D5061" s="15" t="s">
        <v>4506</v>
      </c>
      <c r="E5061" s="18" t="s">
        <v>28</v>
      </c>
      <c r="F5061" s="19" t="s">
        <v>28</v>
      </c>
      <c r="G5061" s="19">
        <v>1.18</v>
      </c>
      <c r="H5061" s="19" t="s">
        <v>28</v>
      </c>
      <c r="I5061" s="18" t="s">
        <v>28</v>
      </c>
      <c r="J5061" s="18" t="s">
        <v>28</v>
      </c>
      <c r="K5061" s="18" t="s">
        <v>28</v>
      </c>
      <c r="L5061" s="18" t="s">
        <v>28</v>
      </c>
      <c r="M5061" s="18" t="s">
        <v>28</v>
      </c>
      <c r="N5061" s="17">
        <v>44274</v>
      </c>
      <c r="O5061" s="15" t="s">
        <v>99</v>
      </c>
      <c r="P5061" s="16" t="s">
        <v>16008</v>
      </c>
      <c r="Q5061" s="15" t="s">
        <v>37</v>
      </c>
      <c r="R5061" s="13" t="str">
        <f>HYPERLINK("https://my.pitchbook.com?c=169412-50T","View Company Online")</f>
        <v>View Company Online</v>
      </c>
    </row>
    <row r="5062" spans="1:18" hidden="1" x14ac:dyDescent="0.3">
      <c r="A5062" s="9" t="s">
        <v>16009</v>
      </c>
      <c r="B5062" s="9" t="s">
        <v>16010</v>
      </c>
      <c r="C5062" s="11" t="s">
        <v>28</v>
      </c>
      <c r="D5062" s="9" t="s">
        <v>16011</v>
      </c>
      <c r="E5062" s="11" t="s">
        <v>28</v>
      </c>
      <c r="F5062" s="10" t="s">
        <v>28</v>
      </c>
      <c r="G5062" s="10" t="s">
        <v>28</v>
      </c>
      <c r="H5062" s="10" t="s">
        <v>28</v>
      </c>
      <c r="I5062" s="11" t="s">
        <v>28</v>
      </c>
      <c r="J5062" s="11" t="s">
        <v>28</v>
      </c>
      <c r="K5062" s="11" t="s">
        <v>28</v>
      </c>
      <c r="L5062" s="11" t="s">
        <v>28</v>
      </c>
      <c r="M5062" s="11" t="s">
        <v>28</v>
      </c>
      <c r="N5062" s="8">
        <v>44274</v>
      </c>
      <c r="O5062" s="9" t="s">
        <v>99</v>
      </c>
      <c r="P5062" s="12" t="s">
        <v>611</v>
      </c>
      <c r="Q5062" s="9" t="s">
        <v>75</v>
      </c>
      <c r="R5062" s="14" t="str">
        <f>HYPERLINK("https://my.pitchbook.com?c=194456-26T","View Company Online")</f>
        <v>View Company Online</v>
      </c>
    </row>
    <row r="5063" spans="1:18" hidden="1" x14ac:dyDescent="0.3">
      <c r="A5063" s="15" t="s">
        <v>16012</v>
      </c>
      <c r="B5063" s="15" t="s">
        <v>16013</v>
      </c>
      <c r="C5063" s="18" t="s">
        <v>28</v>
      </c>
      <c r="D5063" s="15" t="s">
        <v>16014</v>
      </c>
      <c r="E5063" s="18" t="s">
        <v>28</v>
      </c>
      <c r="F5063" s="19" t="s">
        <v>28</v>
      </c>
      <c r="G5063" s="19" t="s">
        <v>28</v>
      </c>
      <c r="H5063" s="19" t="s">
        <v>28</v>
      </c>
      <c r="I5063" s="18" t="s">
        <v>28</v>
      </c>
      <c r="J5063" s="18" t="s">
        <v>28</v>
      </c>
      <c r="K5063" s="18" t="s">
        <v>28</v>
      </c>
      <c r="L5063" s="18" t="s">
        <v>28</v>
      </c>
      <c r="M5063" s="18" t="s">
        <v>28</v>
      </c>
      <c r="N5063" s="17">
        <v>44274</v>
      </c>
      <c r="O5063" s="15" t="s">
        <v>30</v>
      </c>
      <c r="P5063" s="16" t="s">
        <v>7051</v>
      </c>
      <c r="Q5063" s="15" t="s">
        <v>240</v>
      </c>
      <c r="R5063" s="13" t="str">
        <f>HYPERLINK("https://my.pitchbook.com?c=168833-44T","View Company Online")</f>
        <v>View Company Online</v>
      </c>
    </row>
    <row r="5064" spans="1:18" hidden="1" x14ac:dyDescent="0.3">
      <c r="A5064" s="9" t="s">
        <v>16015</v>
      </c>
      <c r="B5064" s="9" t="s">
        <v>16016</v>
      </c>
      <c r="C5064" s="11" t="s">
        <v>28</v>
      </c>
      <c r="D5064" s="9" t="s">
        <v>16017</v>
      </c>
      <c r="E5064" s="11" t="s">
        <v>28</v>
      </c>
      <c r="F5064" s="10" t="s">
        <v>28</v>
      </c>
      <c r="G5064" s="10" t="s">
        <v>28</v>
      </c>
      <c r="H5064" s="10" t="s">
        <v>28</v>
      </c>
      <c r="I5064" s="11" t="s">
        <v>28</v>
      </c>
      <c r="J5064" s="11" t="s">
        <v>28</v>
      </c>
      <c r="K5064" s="11" t="s">
        <v>28</v>
      </c>
      <c r="L5064" s="11" t="s">
        <v>28</v>
      </c>
      <c r="M5064" s="11" t="s">
        <v>28</v>
      </c>
      <c r="N5064" s="8">
        <v>44274</v>
      </c>
      <c r="O5064" s="9" t="s">
        <v>30</v>
      </c>
      <c r="P5064" s="12" t="s">
        <v>10947</v>
      </c>
      <c r="Q5064" s="9" t="s">
        <v>583</v>
      </c>
      <c r="R5064" s="14" t="str">
        <f>HYPERLINK("https://my.pitchbook.com?c=168936-76T","View Company Online")</f>
        <v>View Company Online</v>
      </c>
    </row>
    <row r="5065" spans="1:18" hidden="1" x14ac:dyDescent="0.3">
      <c r="A5065" s="15" t="s">
        <v>16018</v>
      </c>
      <c r="B5065" s="15" t="s">
        <v>16019</v>
      </c>
      <c r="C5065" s="18" t="s">
        <v>28</v>
      </c>
      <c r="D5065" s="15" t="s">
        <v>16020</v>
      </c>
      <c r="E5065" s="18" t="s">
        <v>28</v>
      </c>
      <c r="F5065" s="19" t="s">
        <v>28</v>
      </c>
      <c r="G5065" s="19" t="s">
        <v>28</v>
      </c>
      <c r="H5065" s="19" t="s">
        <v>28</v>
      </c>
      <c r="I5065" s="18" t="s">
        <v>28</v>
      </c>
      <c r="J5065" s="18" t="s">
        <v>28</v>
      </c>
      <c r="K5065" s="18" t="s">
        <v>28</v>
      </c>
      <c r="L5065" s="18" t="s">
        <v>28</v>
      </c>
      <c r="M5065" s="18" t="s">
        <v>28</v>
      </c>
      <c r="N5065" s="17">
        <v>44273</v>
      </c>
      <c r="O5065" s="15" t="s">
        <v>30</v>
      </c>
      <c r="P5065" s="16" t="s">
        <v>16021</v>
      </c>
      <c r="Q5065" s="15" t="s">
        <v>607</v>
      </c>
      <c r="R5065" s="13" t="str">
        <f>HYPERLINK("https://my.pitchbook.com?c=171128-08T","View Company Online")</f>
        <v>View Company Online</v>
      </c>
    </row>
    <row r="5066" spans="1:18" hidden="1" x14ac:dyDescent="0.3">
      <c r="A5066" s="9" t="s">
        <v>16022</v>
      </c>
      <c r="B5066" s="9" t="s">
        <v>8482</v>
      </c>
      <c r="C5066" s="11" t="s">
        <v>28</v>
      </c>
      <c r="D5066" s="9" t="s">
        <v>8483</v>
      </c>
      <c r="E5066" s="11" t="s">
        <v>28</v>
      </c>
      <c r="F5066" s="10" t="s">
        <v>28</v>
      </c>
      <c r="G5066" s="10">
        <v>1.5</v>
      </c>
      <c r="H5066" s="10" t="s">
        <v>28</v>
      </c>
      <c r="I5066" s="11" t="s">
        <v>28</v>
      </c>
      <c r="J5066" s="11" t="s">
        <v>28</v>
      </c>
      <c r="K5066" s="11" t="s">
        <v>28</v>
      </c>
      <c r="L5066" s="11" t="s">
        <v>28</v>
      </c>
      <c r="M5066" s="11" t="s">
        <v>28</v>
      </c>
      <c r="N5066" s="8">
        <v>44273</v>
      </c>
      <c r="O5066" s="9" t="s">
        <v>99</v>
      </c>
      <c r="P5066" s="12" t="s">
        <v>16023</v>
      </c>
      <c r="Q5066" s="9" t="s">
        <v>37</v>
      </c>
      <c r="R5066" s="14" t="str">
        <f>HYPERLINK("https://my.pitchbook.com?c=187412-14T","View Company Online")</f>
        <v>View Company Online</v>
      </c>
    </row>
    <row r="5067" spans="1:18" hidden="1" x14ac:dyDescent="0.3">
      <c r="A5067" s="15" t="s">
        <v>16024</v>
      </c>
      <c r="B5067" s="15" t="s">
        <v>16025</v>
      </c>
      <c r="C5067" s="18" t="s">
        <v>28</v>
      </c>
      <c r="D5067" s="15" t="s">
        <v>16026</v>
      </c>
      <c r="E5067" s="18" t="s">
        <v>28</v>
      </c>
      <c r="F5067" s="19" t="s">
        <v>28</v>
      </c>
      <c r="G5067" s="19" t="s">
        <v>28</v>
      </c>
      <c r="H5067" s="19" t="s">
        <v>28</v>
      </c>
      <c r="I5067" s="18" t="s">
        <v>28</v>
      </c>
      <c r="J5067" s="18" t="s">
        <v>28</v>
      </c>
      <c r="K5067" s="18" t="s">
        <v>28</v>
      </c>
      <c r="L5067" s="18" t="s">
        <v>28</v>
      </c>
      <c r="M5067" s="18" t="s">
        <v>28</v>
      </c>
      <c r="N5067" s="17">
        <v>44273</v>
      </c>
      <c r="O5067" s="15" t="s">
        <v>41</v>
      </c>
      <c r="P5067" s="16" t="s">
        <v>9590</v>
      </c>
      <c r="Q5067" s="15" t="s">
        <v>43</v>
      </c>
      <c r="R5067" s="13" t="str">
        <f>HYPERLINK("https://my.pitchbook.com?c=215361-01T","View Company Online")</f>
        <v>View Company Online</v>
      </c>
    </row>
    <row r="5068" spans="1:18" hidden="1" x14ac:dyDescent="0.3">
      <c r="A5068" s="9" t="s">
        <v>16027</v>
      </c>
      <c r="B5068" s="9" t="s">
        <v>16028</v>
      </c>
      <c r="C5068" s="11" t="s">
        <v>28</v>
      </c>
      <c r="D5068" s="9" t="s">
        <v>16029</v>
      </c>
      <c r="E5068" s="11" t="s">
        <v>28</v>
      </c>
      <c r="F5068" s="10" t="s">
        <v>28</v>
      </c>
      <c r="G5068" s="10">
        <v>1.44</v>
      </c>
      <c r="H5068" s="10" t="s">
        <v>28</v>
      </c>
      <c r="I5068" s="11" t="s">
        <v>28</v>
      </c>
      <c r="J5068" s="11" t="s">
        <v>28</v>
      </c>
      <c r="K5068" s="11" t="s">
        <v>28</v>
      </c>
      <c r="L5068" s="11" t="s">
        <v>28</v>
      </c>
      <c r="M5068" s="11" t="s">
        <v>28</v>
      </c>
      <c r="N5068" s="8">
        <v>44273</v>
      </c>
      <c r="O5068" s="9" t="s">
        <v>79</v>
      </c>
      <c r="P5068" s="12" t="s">
        <v>16030</v>
      </c>
      <c r="Q5068" s="9" t="s">
        <v>75</v>
      </c>
      <c r="R5068" s="14" t="str">
        <f>HYPERLINK("https://my.pitchbook.com?c=170264-08T","View Company Online")</f>
        <v>View Company Online</v>
      </c>
    </row>
    <row r="5069" spans="1:18" hidden="1" x14ac:dyDescent="0.3">
      <c r="A5069" s="15" t="s">
        <v>16031</v>
      </c>
      <c r="B5069" s="15" t="s">
        <v>11034</v>
      </c>
      <c r="C5069" s="18" t="s">
        <v>28</v>
      </c>
      <c r="D5069" s="15" t="s">
        <v>11035</v>
      </c>
      <c r="E5069" s="18" t="s">
        <v>28</v>
      </c>
      <c r="F5069" s="19" t="s">
        <v>28</v>
      </c>
      <c r="G5069" s="19" t="s">
        <v>28</v>
      </c>
      <c r="H5069" s="19" t="s">
        <v>28</v>
      </c>
      <c r="I5069" s="18" t="s">
        <v>28</v>
      </c>
      <c r="J5069" s="18" t="s">
        <v>28</v>
      </c>
      <c r="K5069" s="18" t="s">
        <v>28</v>
      </c>
      <c r="L5069" s="18" t="s">
        <v>28</v>
      </c>
      <c r="M5069" s="18" t="s">
        <v>28</v>
      </c>
      <c r="N5069" s="17">
        <v>44273</v>
      </c>
      <c r="O5069" s="15" t="s">
        <v>73</v>
      </c>
      <c r="P5069" s="16" t="s">
        <v>28</v>
      </c>
      <c r="Q5069" s="15" t="s">
        <v>75</v>
      </c>
      <c r="R5069" s="13" t="str">
        <f>HYPERLINK("https://my.pitchbook.com?c=176069-53T","View Company Online")</f>
        <v>View Company Online</v>
      </c>
    </row>
    <row r="5070" spans="1:18" hidden="1" x14ac:dyDescent="0.3">
      <c r="A5070" s="9" t="s">
        <v>16032</v>
      </c>
      <c r="B5070" s="9" t="s">
        <v>16033</v>
      </c>
      <c r="C5070" s="11" t="s">
        <v>28</v>
      </c>
      <c r="D5070" s="9" t="s">
        <v>16034</v>
      </c>
      <c r="E5070" s="11" t="s">
        <v>28</v>
      </c>
      <c r="F5070" s="10" t="s">
        <v>28</v>
      </c>
      <c r="G5070" s="10">
        <v>0.3</v>
      </c>
      <c r="H5070" s="10" t="s">
        <v>28</v>
      </c>
      <c r="I5070" s="11" t="s">
        <v>28</v>
      </c>
      <c r="J5070" s="11" t="s">
        <v>28</v>
      </c>
      <c r="K5070" s="11" t="s">
        <v>28</v>
      </c>
      <c r="L5070" s="11" t="s">
        <v>28</v>
      </c>
      <c r="M5070" s="11" t="s">
        <v>28</v>
      </c>
      <c r="N5070" s="8">
        <v>44272</v>
      </c>
      <c r="O5070" s="9" t="s">
        <v>73</v>
      </c>
      <c r="P5070" s="12" t="s">
        <v>16035</v>
      </c>
      <c r="Q5070" s="9" t="s">
        <v>263</v>
      </c>
      <c r="R5070" s="14" t="str">
        <f>HYPERLINK("https://my.pitchbook.com?c=174974-41T","View Company Online")</f>
        <v>View Company Online</v>
      </c>
    </row>
    <row r="5071" spans="1:18" hidden="1" x14ac:dyDescent="0.3">
      <c r="A5071" s="15" t="s">
        <v>16036</v>
      </c>
      <c r="B5071" s="15" t="s">
        <v>11310</v>
      </c>
      <c r="C5071" s="18" t="s">
        <v>28</v>
      </c>
      <c r="D5071" s="15" t="s">
        <v>11311</v>
      </c>
      <c r="E5071" s="18" t="s">
        <v>28</v>
      </c>
      <c r="F5071" s="19" t="s">
        <v>28</v>
      </c>
      <c r="G5071" s="19">
        <v>0.23</v>
      </c>
      <c r="H5071" s="19" t="s">
        <v>28</v>
      </c>
      <c r="I5071" s="18" t="s">
        <v>28</v>
      </c>
      <c r="J5071" s="18" t="s">
        <v>28</v>
      </c>
      <c r="K5071" s="18" t="s">
        <v>28</v>
      </c>
      <c r="L5071" s="18" t="s">
        <v>28</v>
      </c>
      <c r="M5071" s="18" t="s">
        <v>28</v>
      </c>
      <c r="N5071" s="17">
        <v>44271</v>
      </c>
      <c r="O5071" s="15" t="s">
        <v>99</v>
      </c>
      <c r="P5071" s="16" t="s">
        <v>16037</v>
      </c>
      <c r="Q5071" s="15" t="s">
        <v>128</v>
      </c>
      <c r="R5071" s="13" t="str">
        <f>HYPERLINK("https://my.pitchbook.com?c=190443-34T","View Company Online")</f>
        <v>View Company Online</v>
      </c>
    </row>
    <row r="5072" spans="1:18" hidden="1" x14ac:dyDescent="0.3">
      <c r="A5072" s="9" t="s">
        <v>16038</v>
      </c>
      <c r="B5072" s="9" t="s">
        <v>1260</v>
      </c>
      <c r="C5072" s="11" t="s">
        <v>28</v>
      </c>
      <c r="D5072" s="9" t="s">
        <v>1261</v>
      </c>
      <c r="E5072" s="11" t="s">
        <v>28</v>
      </c>
      <c r="F5072" s="10" t="s">
        <v>28</v>
      </c>
      <c r="G5072" s="10">
        <v>19.82</v>
      </c>
      <c r="H5072" s="10">
        <v>120.73</v>
      </c>
      <c r="I5072" s="11" t="s">
        <v>28</v>
      </c>
      <c r="J5072" s="11" t="s">
        <v>28</v>
      </c>
      <c r="K5072" s="11" t="s">
        <v>28</v>
      </c>
      <c r="L5072" s="11" t="s">
        <v>28</v>
      </c>
      <c r="M5072" s="11" t="s">
        <v>28</v>
      </c>
      <c r="N5072" s="8">
        <v>44271</v>
      </c>
      <c r="O5072" s="9" t="s">
        <v>79</v>
      </c>
      <c r="P5072" s="12" t="s">
        <v>16039</v>
      </c>
      <c r="Q5072" s="9" t="s">
        <v>1263</v>
      </c>
      <c r="R5072" s="14" t="str">
        <f>HYPERLINK("https://my.pitchbook.com?c=170376-13T","View Company Online")</f>
        <v>View Company Online</v>
      </c>
    </row>
    <row r="5073" spans="1:18" hidden="1" x14ac:dyDescent="0.3">
      <c r="A5073" s="15" t="s">
        <v>16040</v>
      </c>
      <c r="B5073" s="15" t="s">
        <v>16041</v>
      </c>
      <c r="C5073" s="18" t="s">
        <v>28</v>
      </c>
      <c r="D5073" s="15" t="s">
        <v>16042</v>
      </c>
      <c r="E5073" s="18" t="s">
        <v>28</v>
      </c>
      <c r="F5073" s="19" t="s">
        <v>28</v>
      </c>
      <c r="G5073" s="19" t="s">
        <v>28</v>
      </c>
      <c r="H5073" s="19" t="s">
        <v>28</v>
      </c>
      <c r="I5073" s="18" t="s">
        <v>28</v>
      </c>
      <c r="J5073" s="18" t="s">
        <v>28</v>
      </c>
      <c r="K5073" s="18">
        <v>329.97</v>
      </c>
      <c r="L5073" s="18" t="s">
        <v>28</v>
      </c>
      <c r="M5073" s="18" t="s">
        <v>28</v>
      </c>
      <c r="N5073" s="17">
        <v>44271</v>
      </c>
      <c r="O5073" s="15" t="s">
        <v>30</v>
      </c>
      <c r="P5073" s="16" t="s">
        <v>16043</v>
      </c>
      <c r="Q5073" s="15" t="s">
        <v>119</v>
      </c>
      <c r="R5073" s="13" t="str">
        <f>HYPERLINK("https://my.pitchbook.com?c=211138-12T","View Company Online")</f>
        <v>View Company Online</v>
      </c>
    </row>
    <row r="5074" spans="1:18" hidden="1" x14ac:dyDescent="0.3">
      <c r="A5074" s="9" t="s">
        <v>16044</v>
      </c>
      <c r="B5074" s="9" t="s">
        <v>16045</v>
      </c>
      <c r="C5074" s="11" t="s">
        <v>28</v>
      </c>
      <c r="D5074" s="9" t="s">
        <v>16046</v>
      </c>
      <c r="E5074" s="11">
        <v>3.18</v>
      </c>
      <c r="F5074" s="10" t="s">
        <v>28</v>
      </c>
      <c r="G5074" s="10" t="s">
        <v>28</v>
      </c>
      <c r="H5074" s="10" t="s">
        <v>28</v>
      </c>
      <c r="I5074" s="11">
        <v>3.18</v>
      </c>
      <c r="J5074" s="11" t="s">
        <v>28</v>
      </c>
      <c r="K5074" s="11">
        <v>3.84</v>
      </c>
      <c r="L5074" s="11" t="s">
        <v>28</v>
      </c>
      <c r="M5074" s="11">
        <v>3.18</v>
      </c>
      <c r="N5074" s="8">
        <v>44271</v>
      </c>
      <c r="O5074" s="9" t="s">
        <v>173</v>
      </c>
      <c r="P5074" s="12" t="s">
        <v>28</v>
      </c>
      <c r="Q5074" s="9" t="s">
        <v>174</v>
      </c>
      <c r="R5074" s="14" t="str">
        <f>HYPERLINK("https://my.pitchbook.com?c=224116-12T","View Company Online")</f>
        <v>View Company Online</v>
      </c>
    </row>
    <row r="5075" spans="1:18" hidden="1" x14ac:dyDescent="0.3">
      <c r="A5075" s="15" t="s">
        <v>16047</v>
      </c>
      <c r="B5075" s="15" t="s">
        <v>16048</v>
      </c>
      <c r="C5075" s="18" t="s">
        <v>28</v>
      </c>
      <c r="D5075" s="15" t="s">
        <v>16049</v>
      </c>
      <c r="E5075" s="18" t="s">
        <v>28</v>
      </c>
      <c r="F5075" s="19">
        <v>12.97</v>
      </c>
      <c r="G5075" s="19">
        <v>12.97</v>
      </c>
      <c r="H5075" s="19">
        <v>12.97</v>
      </c>
      <c r="I5075" s="18" t="s">
        <v>28</v>
      </c>
      <c r="J5075" s="18" t="s">
        <v>28</v>
      </c>
      <c r="K5075" s="18" t="s">
        <v>28</v>
      </c>
      <c r="L5075" s="18" t="s">
        <v>28</v>
      </c>
      <c r="M5075" s="18" t="s">
        <v>28</v>
      </c>
      <c r="N5075" s="17">
        <v>44271</v>
      </c>
      <c r="O5075" s="15" t="s">
        <v>41</v>
      </c>
      <c r="P5075" s="16" t="s">
        <v>7554</v>
      </c>
      <c r="Q5075" s="15" t="s">
        <v>37</v>
      </c>
      <c r="R5075" s="13" t="str">
        <f>HYPERLINK("https://my.pitchbook.com?c=168860-71T","View Company Online")</f>
        <v>View Company Online</v>
      </c>
    </row>
    <row r="5076" spans="1:18" hidden="1" x14ac:dyDescent="0.3">
      <c r="A5076" s="9" t="s">
        <v>16050</v>
      </c>
      <c r="B5076" s="9" t="s">
        <v>10501</v>
      </c>
      <c r="C5076" s="11" t="s">
        <v>28</v>
      </c>
      <c r="D5076" s="9" t="s">
        <v>10502</v>
      </c>
      <c r="E5076" s="11" t="s">
        <v>28</v>
      </c>
      <c r="F5076" s="10" t="s">
        <v>28</v>
      </c>
      <c r="G5076" s="10">
        <v>1.5</v>
      </c>
      <c r="H5076" s="10">
        <v>10</v>
      </c>
      <c r="I5076" s="11" t="s">
        <v>28</v>
      </c>
      <c r="J5076" s="11" t="s">
        <v>28</v>
      </c>
      <c r="K5076" s="11" t="s">
        <v>28</v>
      </c>
      <c r="L5076" s="11" t="s">
        <v>28</v>
      </c>
      <c r="M5076" s="11" t="s">
        <v>28</v>
      </c>
      <c r="N5076" s="8">
        <v>44271</v>
      </c>
      <c r="O5076" s="9" t="s">
        <v>99</v>
      </c>
      <c r="P5076" s="12" t="s">
        <v>16051</v>
      </c>
      <c r="Q5076" s="9" t="s">
        <v>566</v>
      </c>
      <c r="R5076" s="14" t="str">
        <f>HYPERLINK("https://my.pitchbook.com?c=172354-51T","View Company Online")</f>
        <v>View Company Online</v>
      </c>
    </row>
    <row r="5077" spans="1:18" hidden="1" x14ac:dyDescent="0.3">
      <c r="A5077" s="15" t="s">
        <v>16052</v>
      </c>
      <c r="B5077" s="15" t="s">
        <v>15123</v>
      </c>
      <c r="C5077" s="18" t="s">
        <v>28</v>
      </c>
      <c r="D5077" s="15" t="s">
        <v>15124</v>
      </c>
      <c r="E5077" s="18" t="s">
        <v>28</v>
      </c>
      <c r="F5077" s="19" t="s">
        <v>28</v>
      </c>
      <c r="G5077" s="19" t="s">
        <v>28</v>
      </c>
      <c r="H5077" s="19" t="s">
        <v>28</v>
      </c>
      <c r="I5077" s="18" t="s">
        <v>28</v>
      </c>
      <c r="J5077" s="18" t="s">
        <v>28</v>
      </c>
      <c r="K5077" s="18" t="s">
        <v>28</v>
      </c>
      <c r="L5077" s="18" t="s">
        <v>28</v>
      </c>
      <c r="M5077" s="18" t="s">
        <v>28</v>
      </c>
      <c r="N5077" s="17">
        <v>44270</v>
      </c>
      <c r="O5077" s="15" t="s">
        <v>379</v>
      </c>
      <c r="P5077" s="16" t="s">
        <v>4148</v>
      </c>
      <c r="Q5077" s="15" t="s">
        <v>75</v>
      </c>
      <c r="R5077" s="13" t="str">
        <f>HYPERLINK("https://my.pitchbook.com?c=215536-33T","View Company Online")</f>
        <v>View Company Online</v>
      </c>
    </row>
    <row r="5078" spans="1:18" hidden="1" x14ac:dyDescent="0.3">
      <c r="A5078" s="9" t="s">
        <v>16053</v>
      </c>
      <c r="B5078" s="9" t="s">
        <v>16054</v>
      </c>
      <c r="C5078" s="11" t="s">
        <v>28</v>
      </c>
      <c r="D5078" s="9" t="s">
        <v>16055</v>
      </c>
      <c r="E5078" s="11" t="s">
        <v>28</v>
      </c>
      <c r="F5078" s="10" t="s">
        <v>28</v>
      </c>
      <c r="G5078" s="10" t="s">
        <v>28</v>
      </c>
      <c r="H5078" s="10" t="s">
        <v>28</v>
      </c>
      <c r="I5078" s="11" t="s">
        <v>28</v>
      </c>
      <c r="J5078" s="11" t="s">
        <v>28</v>
      </c>
      <c r="K5078" s="11" t="s">
        <v>28</v>
      </c>
      <c r="L5078" s="11" t="s">
        <v>28</v>
      </c>
      <c r="M5078" s="11" t="s">
        <v>28</v>
      </c>
      <c r="N5078" s="8">
        <v>44269</v>
      </c>
      <c r="O5078" s="9" t="s">
        <v>52</v>
      </c>
      <c r="P5078" s="12" t="s">
        <v>6574</v>
      </c>
      <c r="Q5078" s="9" t="s">
        <v>75</v>
      </c>
      <c r="R5078" s="14" t="str">
        <f>HYPERLINK("https://my.pitchbook.com?c=261307-27T","View Company Online")</f>
        <v>View Company Online</v>
      </c>
    </row>
    <row r="5079" spans="1:18" hidden="1" x14ac:dyDescent="0.3">
      <c r="A5079" s="15" t="s">
        <v>16056</v>
      </c>
      <c r="B5079" s="15" t="s">
        <v>16057</v>
      </c>
      <c r="C5079" s="18" t="s">
        <v>28</v>
      </c>
      <c r="D5079" s="15" t="s">
        <v>16058</v>
      </c>
      <c r="E5079" s="18" t="s">
        <v>28</v>
      </c>
      <c r="F5079" s="19" t="s">
        <v>28</v>
      </c>
      <c r="G5079" s="19">
        <v>0.54</v>
      </c>
      <c r="H5079" s="19">
        <v>27.13</v>
      </c>
      <c r="I5079" s="18" t="s">
        <v>28</v>
      </c>
      <c r="J5079" s="18" t="s">
        <v>28</v>
      </c>
      <c r="K5079" s="18" t="s">
        <v>28</v>
      </c>
      <c r="L5079" s="18" t="s">
        <v>28</v>
      </c>
      <c r="M5079" s="18" t="s">
        <v>28</v>
      </c>
      <c r="N5079" s="17">
        <v>44268</v>
      </c>
      <c r="O5079" s="15" t="s">
        <v>99</v>
      </c>
      <c r="P5079" s="16" t="s">
        <v>16059</v>
      </c>
      <c r="Q5079" s="15" t="s">
        <v>75</v>
      </c>
      <c r="R5079" s="13" t="str">
        <f>HYPERLINK("https://my.pitchbook.com?c=124758-28T","View Company Online")</f>
        <v>View Company Online</v>
      </c>
    </row>
    <row r="5080" spans="1:18" hidden="1" x14ac:dyDescent="0.3">
      <c r="A5080" s="9" t="s">
        <v>16060</v>
      </c>
      <c r="B5080" s="9" t="s">
        <v>1958</v>
      </c>
      <c r="C5080" s="11" t="s">
        <v>28</v>
      </c>
      <c r="D5080" s="9" t="s">
        <v>1959</v>
      </c>
      <c r="E5080" s="11" t="s">
        <v>28</v>
      </c>
      <c r="F5080" s="10" t="s">
        <v>28</v>
      </c>
      <c r="G5080" s="10">
        <v>9.0500000000000007</v>
      </c>
      <c r="H5080" s="10" t="s">
        <v>28</v>
      </c>
      <c r="I5080" s="11" t="s">
        <v>28</v>
      </c>
      <c r="J5080" s="11" t="s">
        <v>28</v>
      </c>
      <c r="K5080" s="11" t="s">
        <v>28</v>
      </c>
      <c r="L5080" s="11" t="s">
        <v>28</v>
      </c>
      <c r="M5080" s="11" t="s">
        <v>28</v>
      </c>
      <c r="N5080" s="8">
        <v>44267</v>
      </c>
      <c r="O5080" s="9" t="s">
        <v>79</v>
      </c>
      <c r="P5080" s="12" t="s">
        <v>421</v>
      </c>
      <c r="Q5080" s="9" t="s">
        <v>37</v>
      </c>
      <c r="R5080" s="14" t="str">
        <f>HYPERLINK("https://my.pitchbook.com?c=185206-69T","View Company Online")</f>
        <v>View Company Online</v>
      </c>
    </row>
    <row r="5081" spans="1:18" hidden="1" x14ac:dyDescent="0.3">
      <c r="A5081" s="15" t="s">
        <v>16061</v>
      </c>
      <c r="B5081" s="15" t="s">
        <v>16062</v>
      </c>
      <c r="C5081" s="18" t="s">
        <v>28</v>
      </c>
      <c r="D5081" s="15" t="s">
        <v>16063</v>
      </c>
      <c r="E5081" s="18" t="s">
        <v>28</v>
      </c>
      <c r="F5081" s="19" t="s">
        <v>28</v>
      </c>
      <c r="G5081" s="19">
        <v>17.510000000000002</v>
      </c>
      <c r="H5081" s="19" t="s">
        <v>28</v>
      </c>
      <c r="I5081" s="18" t="s">
        <v>28</v>
      </c>
      <c r="J5081" s="18" t="s">
        <v>28</v>
      </c>
      <c r="K5081" s="18" t="s">
        <v>28</v>
      </c>
      <c r="L5081" s="18" t="s">
        <v>28</v>
      </c>
      <c r="M5081" s="18" t="s">
        <v>28</v>
      </c>
      <c r="N5081" s="17">
        <v>44267</v>
      </c>
      <c r="O5081" s="15" t="s">
        <v>79</v>
      </c>
      <c r="P5081" s="16" t="s">
        <v>16064</v>
      </c>
      <c r="Q5081" s="15" t="s">
        <v>3973</v>
      </c>
      <c r="R5081" s="13" t="str">
        <f>HYPERLINK("https://my.pitchbook.com?c=168717-79T","View Company Online")</f>
        <v>View Company Online</v>
      </c>
    </row>
    <row r="5082" spans="1:18" hidden="1" x14ac:dyDescent="0.3">
      <c r="A5082" s="9" t="s">
        <v>16065</v>
      </c>
      <c r="B5082" s="9" t="s">
        <v>16066</v>
      </c>
      <c r="C5082" s="11" t="s">
        <v>28</v>
      </c>
      <c r="D5082" s="9" t="s">
        <v>16067</v>
      </c>
      <c r="E5082" s="11" t="s">
        <v>28</v>
      </c>
      <c r="F5082" s="10" t="s">
        <v>28</v>
      </c>
      <c r="G5082" s="10">
        <v>2.7</v>
      </c>
      <c r="H5082" s="10" t="s">
        <v>28</v>
      </c>
      <c r="I5082" s="11" t="s">
        <v>28</v>
      </c>
      <c r="J5082" s="11" t="s">
        <v>28</v>
      </c>
      <c r="K5082" s="11" t="s">
        <v>28</v>
      </c>
      <c r="L5082" s="11" t="s">
        <v>28</v>
      </c>
      <c r="M5082" s="11" t="s">
        <v>28</v>
      </c>
      <c r="N5082" s="8">
        <v>44267</v>
      </c>
      <c r="O5082" s="9" t="s">
        <v>99</v>
      </c>
      <c r="P5082" s="12" t="s">
        <v>16068</v>
      </c>
      <c r="Q5082" s="9" t="s">
        <v>114</v>
      </c>
      <c r="R5082" s="14" t="str">
        <f>HYPERLINK("https://my.pitchbook.com?c=180265-69T","View Company Online")</f>
        <v>View Company Online</v>
      </c>
    </row>
    <row r="5083" spans="1:18" hidden="1" x14ac:dyDescent="0.3">
      <c r="A5083" s="15" t="s">
        <v>16069</v>
      </c>
      <c r="B5083" s="15" t="s">
        <v>16070</v>
      </c>
      <c r="C5083" s="18" t="s">
        <v>28</v>
      </c>
      <c r="D5083" s="15" t="s">
        <v>16071</v>
      </c>
      <c r="E5083" s="18">
        <v>13.3</v>
      </c>
      <c r="F5083" s="19" t="s">
        <v>28</v>
      </c>
      <c r="G5083" s="19">
        <v>32.090000000000003</v>
      </c>
      <c r="H5083" s="19" t="s">
        <v>28</v>
      </c>
      <c r="I5083" s="18">
        <v>13.48</v>
      </c>
      <c r="J5083" s="18" t="s">
        <v>28</v>
      </c>
      <c r="K5083" s="18">
        <v>-24.26</v>
      </c>
      <c r="L5083" s="18" t="s">
        <v>28</v>
      </c>
      <c r="M5083" s="18">
        <v>-1.81</v>
      </c>
      <c r="N5083" s="17">
        <v>44267</v>
      </c>
      <c r="O5083" s="15" t="s">
        <v>173</v>
      </c>
      <c r="P5083" s="16" t="s">
        <v>28</v>
      </c>
      <c r="Q5083" s="15" t="s">
        <v>160</v>
      </c>
      <c r="R5083" s="13" t="str">
        <f>HYPERLINK("https://my.pitchbook.com?c=247515-13T","View Company Online")</f>
        <v>View Company Online</v>
      </c>
    </row>
    <row r="5084" spans="1:18" hidden="1" x14ac:dyDescent="0.3">
      <c r="A5084" s="9" t="s">
        <v>16072</v>
      </c>
      <c r="B5084" s="9" t="s">
        <v>16073</v>
      </c>
      <c r="C5084" s="11" t="s">
        <v>28</v>
      </c>
      <c r="D5084" s="9" t="s">
        <v>16074</v>
      </c>
      <c r="E5084" s="11">
        <v>-33.93</v>
      </c>
      <c r="F5084" s="10" t="s">
        <v>28</v>
      </c>
      <c r="G5084" s="10" t="s">
        <v>28</v>
      </c>
      <c r="H5084" s="10" t="s">
        <v>28</v>
      </c>
      <c r="I5084" s="11">
        <v>-31.72</v>
      </c>
      <c r="J5084" s="11" t="s">
        <v>28</v>
      </c>
      <c r="K5084" s="11">
        <v>19.72</v>
      </c>
      <c r="L5084" s="11" t="s">
        <v>28</v>
      </c>
      <c r="M5084" s="11">
        <v>-34.57</v>
      </c>
      <c r="N5084" s="8">
        <v>44267</v>
      </c>
      <c r="O5084" s="9" t="s">
        <v>159</v>
      </c>
      <c r="P5084" s="12" t="s">
        <v>16075</v>
      </c>
      <c r="Q5084" s="9" t="s">
        <v>119</v>
      </c>
      <c r="R5084" s="14" t="str">
        <f>HYPERLINK("https://my.pitchbook.com?c=187470-73T","View Company Online")</f>
        <v>View Company Online</v>
      </c>
    </row>
    <row r="5085" spans="1:18" hidden="1" x14ac:dyDescent="0.3">
      <c r="A5085" s="15" t="s">
        <v>16076</v>
      </c>
      <c r="B5085" s="15" t="s">
        <v>16077</v>
      </c>
      <c r="C5085" s="18" t="s">
        <v>28</v>
      </c>
      <c r="D5085" s="15" t="s">
        <v>16078</v>
      </c>
      <c r="E5085" s="18" t="s">
        <v>28</v>
      </c>
      <c r="F5085" s="19" t="s">
        <v>28</v>
      </c>
      <c r="G5085" s="19" t="s">
        <v>28</v>
      </c>
      <c r="H5085" s="19" t="s">
        <v>28</v>
      </c>
      <c r="I5085" s="18" t="s">
        <v>28</v>
      </c>
      <c r="J5085" s="18" t="s">
        <v>28</v>
      </c>
      <c r="K5085" s="18" t="s">
        <v>28</v>
      </c>
      <c r="L5085" s="18" t="s">
        <v>28</v>
      </c>
      <c r="M5085" s="18" t="s">
        <v>28</v>
      </c>
      <c r="N5085" s="17">
        <v>44266</v>
      </c>
      <c r="O5085" s="15" t="s">
        <v>30</v>
      </c>
      <c r="P5085" s="16" t="s">
        <v>16079</v>
      </c>
      <c r="Q5085" s="15" t="s">
        <v>226</v>
      </c>
      <c r="R5085" s="13" t="str">
        <f>HYPERLINK("https://my.pitchbook.com?c=228339-28T","View Company Online")</f>
        <v>View Company Online</v>
      </c>
    </row>
    <row r="5086" spans="1:18" hidden="1" x14ac:dyDescent="0.3">
      <c r="A5086" s="9" t="s">
        <v>16080</v>
      </c>
      <c r="B5086" s="9" t="s">
        <v>16081</v>
      </c>
      <c r="C5086" s="11" t="s">
        <v>28</v>
      </c>
      <c r="D5086" s="9" t="s">
        <v>16082</v>
      </c>
      <c r="E5086" s="11" t="s">
        <v>28</v>
      </c>
      <c r="F5086" s="10">
        <v>7.05</v>
      </c>
      <c r="G5086" s="10">
        <v>6.34</v>
      </c>
      <c r="H5086" s="10">
        <v>7.05</v>
      </c>
      <c r="I5086" s="11" t="s">
        <v>28</v>
      </c>
      <c r="J5086" s="11" t="s">
        <v>28</v>
      </c>
      <c r="K5086" s="11" t="s">
        <v>28</v>
      </c>
      <c r="L5086" s="11" t="s">
        <v>28</v>
      </c>
      <c r="M5086" s="11" t="s">
        <v>28</v>
      </c>
      <c r="N5086" s="8">
        <v>44266</v>
      </c>
      <c r="O5086" s="9" t="s">
        <v>30</v>
      </c>
      <c r="P5086" s="12" t="s">
        <v>12840</v>
      </c>
      <c r="Q5086" s="9" t="s">
        <v>8995</v>
      </c>
      <c r="R5086" s="14" t="str">
        <f>HYPERLINK("https://my.pitchbook.com?c=215127-37T","View Company Online")</f>
        <v>View Company Online</v>
      </c>
    </row>
    <row r="5087" spans="1:18" hidden="1" x14ac:dyDescent="0.3">
      <c r="A5087" s="15" t="s">
        <v>16083</v>
      </c>
      <c r="B5087" s="15" t="s">
        <v>16084</v>
      </c>
      <c r="C5087" s="18" t="s">
        <v>28</v>
      </c>
      <c r="D5087" s="15" t="s">
        <v>16085</v>
      </c>
      <c r="E5087" s="18" t="s">
        <v>28</v>
      </c>
      <c r="F5087" s="19" t="s">
        <v>28</v>
      </c>
      <c r="G5087" s="19" t="s">
        <v>28</v>
      </c>
      <c r="H5087" s="19" t="s">
        <v>28</v>
      </c>
      <c r="I5087" s="18" t="s">
        <v>28</v>
      </c>
      <c r="J5087" s="18" t="s">
        <v>28</v>
      </c>
      <c r="K5087" s="18" t="s">
        <v>28</v>
      </c>
      <c r="L5087" s="18" t="s">
        <v>28</v>
      </c>
      <c r="M5087" s="18" t="s">
        <v>28</v>
      </c>
      <c r="N5087" s="17">
        <v>44266</v>
      </c>
      <c r="O5087" s="15" t="s">
        <v>58</v>
      </c>
      <c r="P5087" s="16" t="s">
        <v>16086</v>
      </c>
      <c r="Q5087" s="15" t="s">
        <v>855</v>
      </c>
      <c r="R5087" s="13" t="str">
        <f>HYPERLINK("https://my.pitchbook.com?c=213415-84T","View Company Online")</f>
        <v>View Company Online</v>
      </c>
    </row>
    <row r="5088" spans="1:18" hidden="1" x14ac:dyDescent="0.3">
      <c r="A5088" s="9" t="s">
        <v>16087</v>
      </c>
      <c r="B5088" s="9" t="s">
        <v>16088</v>
      </c>
      <c r="C5088" s="11" t="s">
        <v>28</v>
      </c>
      <c r="D5088" s="9" t="s">
        <v>16089</v>
      </c>
      <c r="E5088" s="11" t="s">
        <v>28</v>
      </c>
      <c r="F5088" s="10" t="s">
        <v>28</v>
      </c>
      <c r="G5088" s="10" t="s">
        <v>28</v>
      </c>
      <c r="H5088" s="10" t="s">
        <v>28</v>
      </c>
      <c r="I5088" s="11" t="s">
        <v>28</v>
      </c>
      <c r="J5088" s="11" t="s">
        <v>28</v>
      </c>
      <c r="K5088" s="11" t="s">
        <v>28</v>
      </c>
      <c r="L5088" s="11" t="s">
        <v>28</v>
      </c>
      <c r="M5088" s="11" t="s">
        <v>28</v>
      </c>
      <c r="N5088" s="8">
        <v>44266</v>
      </c>
      <c r="O5088" s="9" t="s">
        <v>30</v>
      </c>
      <c r="P5088" s="12" t="s">
        <v>16090</v>
      </c>
      <c r="Q5088" s="9" t="s">
        <v>245</v>
      </c>
      <c r="R5088" s="14" t="str">
        <f>HYPERLINK("https://my.pitchbook.com?c=213267-88T","View Company Online")</f>
        <v>View Company Online</v>
      </c>
    </row>
    <row r="5089" spans="1:18" hidden="1" x14ac:dyDescent="0.3">
      <c r="A5089" s="15" t="s">
        <v>16091</v>
      </c>
      <c r="B5089" s="15" t="s">
        <v>519</v>
      </c>
      <c r="C5089" s="18" t="s">
        <v>28</v>
      </c>
      <c r="D5089" s="15" t="s">
        <v>520</v>
      </c>
      <c r="E5089" s="18" t="s">
        <v>28</v>
      </c>
      <c r="F5089" s="19" t="s">
        <v>28</v>
      </c>
      <c r="G5089" s="19">
        <v>0.18</v>
      </c>
      <c r="H5089" s="19">
        <v>6.04</v>
      </c>
      <c r="I5089" s="18" t="s">
        <v>28</v>
      </c>
      <c r="J5089" s="18" t="s">
        <v>28</v>
      </c>
      <c r="K5089" s="18" t="s">
        <v>28</v>
      </c>
      <c r="L5089" s="18" t="s">
        <v>28</v>
      </c>
      <c r="M5089" s="18" t="s">
        <v>28</v>
      </c>
      <c r="N5089" s="17">
        <v>44266</v>
      </c>
      <c r="O5089" s="15" t="s">
        <v>52</v>
      </c>
      <c r="P5089" s="16" t="s">
        <v>3869</v>
      </c>
      <c r="Q5089" s="15" t="s">
        <v>522</v>
      </c>
      <c r="R5089" s="13" t="str">
        <f>HYPERLINK("https://my.pitchbook.com?c=263494-54T","View Company Online")</f>
        <v>View Company Online</v>
      </c>
    </row>
    <row r="5090" spans="1:18" hidden="1" x14ac:dyDescent="0.3">
      <c r="A5090" s="9" t="s">
        <v>16092</v>
      </c>
      <c r="B5090" s="9" t="s">
        <v>4055</v>
      </c>
      <c r="C5090" s="11" t="s">
        <v>28</v>
      </c>
      <c r="D5090" s="9" t="s">
        <v>4056</v>
      </c>
      <c r="E5090" s="11" t="s">
        <v>28</v>
      </c>
      <c r="F5090" s="10" t="s">
        <v>28</v>
      </c>
      <c r="G5090" s="10" t="s">
        <v>28</v>
      </c>
      <c r="H5090" s="10" t="s">
        <v>28</v>
      </c>
      <c r="I5090" s="11" t="s">
        <v>28</v>
      </c>
      <c r="J5090" s="11" t="s">
        <v>28</v>
      </c>
      <c r="K5090" s="11" t="s">
        <v>28</v>
      </c>
      <c r="L5090" s="11" t="s">
        <v>28</v>
      </c>
      <c r="M5090" s="11" t="s">
        <v>28</v>
      </c>
      <c r="N5090" s="8">
        <v>44266</v>
      </c>
      <c r="O5090" s="9" t="s">
        <v>30</v>
      </c>
      <c r="P5090" s="12" t="s">
        <v>28</v>
      </c>
      <c r="Q5090" s="9" t="s">
        <v>268</v>
      </c>
      <c r="R5090" s="14" t="str">
        <f>HYPERLINK("https://my.pitchbook.com?c=228339-82T","View Company Online")</f>
        <v>View Company Online</v>
      </c>
    </row>
    <row r="5091" spans="1:18" hidden="1" x14ac:dyDescent="0.3">
      <c r="A5091" s="15" t="s">
        <v>16093</v>
      </c>
      <c r="B5091" s="15" t="s">
        <v>737</v>
      </c>
      <c r="C5091" s="18" t="s">
        <v>28</v>
      </c>
      <c r="D5091" s="15" t="s">
        <v>738</v>
      </c>
      <c r="E5091" s="18" t="s">
        <v>28</v>
      </c>
      <c r="F5091" s="19" t="s">
        <v>28</v>
      </c>
      <c r="G5091" s="19">
        <v>21.74</v>
      </c>
      <c r="H5091" s="19" t="s">
        <v>28</v>
      </c>
      <c r="I5091" s="18" t="s">
        <v>28</v>
      </c>
      <c r="J5091" s="18" t="s">
        <v>28</v>
      </c>
      <c r="K5091" s="18" t="s">
        <v>28</v>
      </c>
      <c r="L5091" s="18" t="s">
        <v>28</v>
      </c>
      <c r="M5091" s="18" t="s">
        <v>28</v>
      </c>
      <c r="N5091" s="17">
        <v>44266</v>
      </c>
      <c r="O5091" s="15" t="s">
        <v>79</v>
      </c>
      <c r="P5091" s="16" t="s">
        <v>16094</v>
      </c>
      <c r="Q5091" s="15" t="s">
        <v>740</v>
      </c>
      <c r="R5091" s="13" t="str">
        <f>HYPERLINK("https://my.pitchbook.com?c=168272-83T","View Company Online")</f>
        <v>View Company Online</v>
      </c>
    </row>
    <row r="5092" spans="1:18" hidden="1" x14ac:dyDescent="0.3">
      <c r="A5092" s="9" t="s">
        <v>16095</v>
      </c>
      <c r="B5092" s="9" t="s">
        <v>16096</v>
      </c>
      <c r="C5092" s="11" t="s">
        <v>28</v>
      </c>
      <c r="D5092" s="9" t="s">
        <v>16097</v>
      </c>
      <c r="E5092" s="11" t="s">
        <v>28</v>
      </c>
      <c r="F5092" s="10" t="s">
        <v>28</v>
      </c>
      <c r="G5092" s="10">
        <v>1.27</v>
      </c>
      <c r="H5092" s="10" t="s">
        <v>28</v>
      </c>
      <c r="I5092" s="11" t="s">
        <v>28</v>
      </c>
      <c r="J5092" s="11" t="s">
        <v>28</v>
      </c>
      <c r="K5092" s="11" t="s">
        <v>28</v>
      </c>
      <c r="L5092" s="11" t="s">
        <v>28</v>
      </c>
      <c r="M5092" s="11" t="s">
        <v>28</v>
      </c>
      <c r="N5092" s="8">
        <v>44266</v>
      </c>
      <c r="O5092" s="9" t="s">
        <v>79</v>
      </c>
      <c r="P5092" s="12" t="s">
        <v>16098</v>
      </c>
      <c r="Q5092" s="9" t="s">
        <v>37</v>
      </c>
      <c r="R5092" s="14" t="str">
        <f>HYPERLINK("https://my.pitchbook.com?c=168359-86T","View Company Online")</f>
        <v>View Company Online</v>
      </c>
    </row>
    <row r="5093" spans="1:18" hidden="1" x14ac:dyDescent="0.3">
      <c r="A5093" s="15" t="s">
        <v>16099</v>
      </c>
      <c r="B5093" s="15" t="s">
        <v>7112</v>
      </c>
      <c r="C5093" s="18" t="s">
        <v>28</v>
      </c>
      <c r="D5093" s="15" t="s">
        <v>7113</v>
      </c>
      <c r="E5093" s="18" t="s">
        <v>28</v>
      </c>
      <c r="F5093" s="19" t="s">
        <v>28</v>
      </c>
      <c r="G5093" s="19" t="s">
        <v>28</v>
      </c>
      <c r="H5093" s="19" t="s">
        <v>28</v>
      </c>
      <c r="I5093" s="18" t="s">
        <v>28</v>
      </c>
      <c r="J5093" s="18" t="s">
        <v>28</v>
      </c>
      <c r="K5093" s="18" t="s">
        <v>28</v>
      </c>
      <c r="L5093" s="18" t="s">
        <v>28</v>
      </c>
      <c r="M5093" s="18" t="s">
        <v>28</v>
      </c>
      <c r="N5093" s="17">
        <v>44265</v>
      </c>
      <c r="O5093" s="15" t="s">
        <v>52</v>
      </c>
      <c r="P5093" s="16" t="s">
        <v>3869</v>
      </c>
      <c r="Q5093" s="15" t="s">
        <v>37</v>
      </c>
      <c r="R5093" s="13" t="str">
        <f>HYPERLINK("https://my.pitchbook.com?c=260369-74T","View Company Online")</f>
        <v>View Company Online</v>
      </c>
    </row>
    <row r="5094" spans="1:18" hidden="1" x14ac:dyDescent="0.3">
      <c r="A5094" s="9" t="s">
        <v>16100</v>
      </c>
      <c r="B5094" s="9" t="s">
        <v>3009</v>
      </c>
      <c r="C5094" s="11" t="s">
        <v>28</v>
      </c>
      <c r="D5094" s="9" t="s">
        <v>3010</v>
      </c>
      <c r="E5094" s="11" t="s">
        <v>28</v>
      </c>
      <c r="F5094" s="10" t="s">
        <v>28</v>
      </c>
      <c r="G5094" s="10">
        <v>3.5</v>
      </c>
      <c r="H5094" s="10" t="s">
        <v>28</v>
      </c>
      <c r="I5094" s="11" t="s">
        <v>28</v>
      </c>
      <c r="J5094" s="11" t="s">
        <v>28</v>
      </c>
      <c r="K5094" s="11">
        <v>0.1</v>
      </c>
      <c r="L5094" s="11" t="s">
        <v>28</v>
      </c>
      <c r="M5094" s="11" t="s">
        <v>28</v>
      </c>
      <c r="N5094" s="8">
        <v>44265</v>
      </c>
      <c r="O5094" s="9" t="s">
        <v>99</v>
      </c>
      <c r="P5094" s="12" t="s">
        <v>16101</v>
      </c>
      <c r="Q5094" s="9" t="s">
        <v>37</v>
      </c>
      <c r="R5094" s="14" t="str">
        <f>HYPERLINK("https://my.pitchbook.com?c=168255-46T","View Company Online")</f>
        <v>View Company Online</v>
      </c>
    </row>
    <row r="5095" spans="1:18" hidden="1" x14ac:dyDescent="0.3">
      <c r="A5095" s="15" t="s">
        <v>16102</v>
      </c>
      <c r="B5095" s="15" t="s">
        <v>8758</v>
      </c>
      <c r="C5095" s="18" t="s">
        <v>28</v>
      </c>
      <c r="D5095" s="15" t="s">
        <v>8759</v>
      </c>
      <c r="E5095" s="18" t="s">
        <v>28</v>
      </c>
      <c r="F5095" s="19" t="s">
        <v>28</v>
      </c>
      <c r="G5095" s="19">
        <v>0.65</v>
      </c>
      <c r="H5095" s="19" t="s">
        <v>28</v>
      </c>
      <c r="I5095" s="18" t="s">
        <v>28</v>
      </c>
      <c r="J5095" s="18" t="s">
        <v>28</v>
      </c>
      <c r="K5095" s="18" t="s">
        <v>28</v>
      </c>
      <c r="L5095" s="18" t="s">
        <v>28</v>
      </c>
      <c r="M5095" s="18" t="s">
        <v>28</v>
      </c>
      <c r="N5095" s="17">
        <v>44265</v>
      </c>
      <c r="O5095" s="15" t="s">
        <v>73</v>
      </c>
      <c r="P5095" s="16" t="s">
        <v>16103</v>
      </c>
      <c r="Q5095" s="15" t="s">
        <v>75</v>
      </c>
      <c r="R5095" s="13" t="str">
        <f>HYPERLINK("https://my.pitchbook.com?c=185922-82T","View Company Online")</f>
        <v>View Company Online</v>
      </c>
    </row>
    <row r="5096" spans="1:18" hidden="1" x14ac:dyDescent="0.3">
      <c r="A5096" s="9" t="s">
        <v>16104</v>
      </c>
      <c r="B5096" s="9" t="s">
        <v>16105</v>
      </c>
      <c r="C5096" s="11" t="s">
        <v>28</v>
      </c>
      <c r="D5096" s="9" t="s">
        <v>16106</v>
      </c>
      <c r="E5096" s="11" t="s">
        <v>28</v>
      </c>
      <c r="F5096" s="10" t="s">
        <v>28</v>
      </c>
      <c r="G5096" s="10" t="s">
        <v>28</v>
      </c>
      <c r="H5096" s="10" t="s">
        <v>28</v>
      </c>
      <c r="I5096" s="11" t="s">
        <v>28</v>
      </c>
      <c r="J5096" s="11" t="s">
        <v>28</v>
      </c>
      <c r="K5096" s="11" t="s">
        <v>28</v>
      </c>
      <c r="L5096" s="11" t="s">
        <v>28</v>
      </c>
      <c r="M5096" s="11" t="s">
        <v>28</v>
      </c>
      <c r="N5096" s="8">
        <v>44265</v>
      </c>
      <c r="O5096" s="9" t="s">
        <v>30</v>
      </c>
      <c r="P5096" s="12" t="s">
        <v>157</v>
      </c>
      <c r="Q5096" s="9" t="s">
        <v>75</v>
      </c>
      <c r="R5096" s="14" t="str">
        <f>HYPERLINK("https://my.pitchbook.com?c=169016-86T","View Company Online")</f>
        <v>View Company Online</v>
      </c>
    </row>
    <row r="5097" spans="1:18" hidden="1" x14ac:dyDescent="0.3">
      <c r="A5097" s="15" t="s">
        <v>16107</v>
      </c>
      <c r="B5097" s="15" t="s">
        <v>16108</v>
      </c>
      <c r="C5097" s="18" t="s">
        <v>28</v>
      </c>
      <c r="D5097" s="15" t="s">
        <v>16109</v>
      </c>
      <c r="E5097" s="18" t="s">
        <v>28</v>
      </c>
      <c r="F5097" s="19" t="s">
        <v>28</v>
      </c>
      <c r="G5097" s="19" t="s">
        <v>28</v>
      </c>
      <c r="H5097" s="19" t="s">
        <v>28</v>
      </c>
      <c r="I5097" s="18" t="s">
        <v>28</v>
      </c>
      <c r="J5097" s="18" t="s">
        <v>28</v>
      </c>
      <c r="K5097" s="18" t="s">
        <v>28</v>
      </c>
      <c r="L5097" s="18" t="s">
        <v>28</v>
      </c>
      <c r="M5097" s="18" t="s">
        <v>28</v>
      </c>
      <c r="N5097" s="17">
        <v>44265</v>
      </c>
      <c r="O5097" s="15" t="s">
        <v>30</v>
      </c>
      <c r="P5097" s="16" t="s">
        <v>16110</v>
      </c>
      <c r="Q5097" s="15" t="s">
        <v>75</v>
      </c>
      <c r="R5097" s="13" t="str">
        <f>HYPERLINK("https://my.pitchbook.com?c=168416-65T","View Company Online")</f>
        <v>View Company Online</v>
      </c>
    </row>
    <row r="5098" spans="1:18" hidden="1" x14ac:dyDescent="0.3">
      <c r="A5098" s="9" t="s">
        <v>16111</v>
      </c>
      <c r="B5098" s="9" t="s">
        <v>16112</v>
      </c>
      <c r="C5098" s="11" t="s">
        <v>28</v>
      </c>
      <c r="D5098" s="9" t="s">
        <v>16113</v>
      </c>
      <c r="E5098" s="11" t="s">
        <v>28</v>
      </c>
      <c r="F5098" s="10" t="s">
        <v>28</v>
      </c>
      <c r="G5098" s="10" t="s">
        <v>28</v>
      </c>
      <c r="H5098" s="10" t="s">
        <v>28</v>
      </c>
      <c r="I5098" s="11" t="s">
        <v>28</v>
      </c>
      <c r="J5098" s="11" t="s">
        <v>28</v>
      </c>
      <c r="K5098" s="11" t="s">
        <v>28</v>
      </c>
      <c r="L5098" s="11" t="s">
        <v>28</v>
      </c>
      <c r="M5098" s="11" t="s">
        <v>28</v>
      </c>
      <c r="N5098" s="8">
        <v>44265</v>
      </c>
      <c r="O5098" s="9" t="s">
        <v>52</v>
      </c>
      <c r="P5098" s="12" t="s">
        <v>3869</v>
      </c>
      <c r="Q5098" s="9" t="s">
        <v>37</v>
      </c>
      <c r="R5098" s="14" t="str">
        <f>HYPERLINK("https://my.pitchbook.com?c=257132-17T","View Company Online")</f>
        <v>View Company Online</v>
      </c>
    </row>
    <row r="5099" spans="1:18" hidden="1" x14ac:dyDescent="0.3">
      <c r="A5099" s="15" t="s">
        <v>16114</v>
      </c>
      <c r="B5099" s="15" t="s">
        <v>16115</v>
      </c>
      <c r="C5099" s="18" t="s">
        <v>28</v>
      </c>
      <c r="D5099" s="15" t="s">
        <v>16116</v>
      </c>
      <c r="E5099" s="18" t="s">
        <v>28</v>
      </c>
      <c r="F5099" s="19" t="s">
        <v>28</v>
      </c>
      <c r="G5099" s="19" t="s">
        <v>28</v>
      </c>
      <c r="H5099" s="19" t="s">
        <v>28</v>
      </c>
      <c r="I5099" s="18" t="s">
        <v>28</v>
      </c>
      <c r="J5099" s="18" t="s">
        <v>28</v>
      </c>
      <c r="K5099" s="18" t="s">
        <v>28</v>
      </c>
      <c r="L5099" s="18" t="s">
        <v>28</v>
      </c>
      <c r="M5099" s="18" t="s">
        <v>28</v>
      </c>
      <c r="N5099" s="17">
        <v>44265</v>
      </c>
      <c r="O5099" s="15" t="s">
        <v>30</v>
      </c>
      <c r="P5099" s="16" t="s">
        <v>9043</v>
      </c>
      <c r="Q5099" s="15" t="s">
        <v>583</v>
      </c>
      <c r="R5099" s="13" t="str">
        <f>HYPERLINK("https://my.pitchbook.com?c=168495-31T","View Company Online")</f>
        <v>View Company Online</v>
      </c>
    </row>
    <row r="5100" spans="1:18" hidden="1" x14ac:dyDescent="0.3">
      <c r="A5100" s="9" t="s">
        <v>16117</v>
      </c>
      <c r="B5100" s="9" t="s">
        <v>11214</v>
      </c>
      <c r="C5100" s="11" t="s">
        <v>28</v>
      </c>
      <c r="D5100" s="9" t="s">
        <v>11215</v>
      </c>
      <c r="E5100" s="11" t="s">
        <v>28</v>
      </c>
      <c r="F5100" s="10" t="s">
        <v>28</v>
      </c>
      <c r="G5100" s="10">
        <v>0.18</v>
      </c>
      <c r="H5100" s="10" t="s">
        <v>28</v>
      </c>
      <c r="I5100" s="11" t="s">
        <v>28</v>
      </c>
      <c r="J5100" s="11" t="s">
        <v>28</v>
      </c>
      <c r="K5100" s="11" t="s">
        <v>28</v>
      </c>
      <c r="L5100" s="11" t="s">
        <v>28</v>
      </c>
      <c r="M5100" s="11" t="s">
        <v>28</v>
      </c>
      <c r="N5100" s="8">
        <v>44265</v>
      </c>
      <c r="O5100" s="9" t="s">
        <v>1639</v>
      </c>
      <c r="P5100" s="12" t="s">
        <v>28</v>
      </c>
      <c r="Q5100" s="9" t="s">
        <v>37</v>
      </c>
      <c r="R5100" s="14" t="str">
        <f>HYPERLINK("https://my.pitchbook.com?c=177788-53T","View Company Online")</f>
        <v>View Company Online</v>
      </c>
    </row>
    <row r="5101" spans="1:18" hidden="1" x14ac:dyDescent="0.3">
      <c r="A5101" s="15" t="s">
        <v>16118</v>
      </c>
      <c r="B5101" s="15" t="s">
        <v>13524</v>
      </c>
      <c r="C5101" s="18" t="s">
        <v>28</v>
      </c>
      <c r="D5101" s="15" t="s">
        <v>13525</v>
      </c>
      <c r="E5101" s="18" t="s">
        <v>28</v>
      </c>
      <c r="F5101" s="19" t="s">
        <v>28</v>
      </c>
      <c r="G5101" s="19">
        <v>0.18</v>
      </c>
      <c r="H5101" s="19">
        <v>6.05</v>
      </c>
      <c r="I5101" s="18" t="s">
        <v>28</v>
      </c>
      <c r="J5101" s="18" t="s">
        <v>28</v>
      </c>
      <c r="K5101" s="18" t="s">
        <v>28</v>
      </c>
      <c r="L5101" s="18" t="s">
        <v>28</v>
      </c>
      <c r="M5101" s="18" t="s">
        <v>28</v>
      </c>
      <c r="N5101" s="17">
        <v>44265</v>
      </c>
      <c r="O5101" s="15" t="s">
        <v>52</v>
      </c>
      <c r="P5101" s="16" t="s">
        <v>14384</v>
      </c>
      <c r="Q5101" s="15" t="s">
        <v>37</v>
      </c>
      <c r="R5101" s="13" t="str">
        <f>HYPERLINK("https://my.pitchbook.com?c=264024-10T","View Company Online")</f>
        <v>View Company Online</v>
      </c>
    </row>
    <row r="5102" spans="1:18" hidden="1" x14ac:dyDescent="0.3">
      <c r="A5102" s="9" t="s">
        <v>16119</v>
      </c>
      <c r="B5102" s="9" t="s">
        <v>5749</v>
      </c>
      <c r="C5102" s="11" t="s">
        <v>28</v>
      </c>
      <c r="D5102" s="9" t="s">
        <v>5903</v>
      </c>
      <c r="E5102" s="11" t="s">
        <v>28</v>
      </c>
      <c r="F5102" s="10" t="s">
        <v>28</v>
      </c>
      <c r="G5102" s="10">
        <v>0.26</v>
      </c>
      <c r="H5102" s="10" t="s">
        <v>28</v>
      </c>
      <c r="I5102" s="11" t="s">
        <v>28</v>
      </c>
      <c r="J5102" s="11" t="s">
        <v>28</v>
      </c>
      <c r="K5102" s="11" t="s">
        <v>28</v>
      </c>
      <c r="L5102" s="11" t="s">
        <v>28</v>
      </c>
      <c r="M5102" s="11" t="s">
        <v>28</v>
      </c>
      <c r="N5102" s="8">
        <v>44264</v>
      </c>
      <c r="O5102" s="9" t="s">
        <v>379</v>
      </c>
      <c r="P5102" s="12" t="s">
        <v>28</v>
      </c>
      <c r="Q5102" s="9" t="s">
        <v>399</v>
      </c>
      <c r="R5102" s="14" t="str">
        <f>HYPERLINK("https://my.pitchbook.com?c=225117-82T","View Company Online")</f>
        <v>View Company Online</v>
      </c>
    </row>
    <row r="5103" spans="1:18" hidden="1" x14ac:dyDescent="0.3">
      <c r="A5103" s="15" t="s">
        <v>16120</v>
      </c>
      <c r="B5103" s="15" t="s">
        <v>16121</v>
      </c>
      <c r="C5103" s="18" t="s">
        <v>28</v>
      </c>
      <c r="D5103" s="15" t="s">
        <v>16122</v>
      </c>
      <c r="E5103" s="18" t="s">
        <v>28</v>
      </c>
      <c r="F5103" s="19" t="s">
        <v>28</v>
      </c>
      <c r="G5103" s="19" t="s">
        <v>28</v>
      </c>
      <c r="H5103" s="19" t="s">
        <v>28</v>
      </c>
      <c r="I5103" s="18" t="s">
        <v>28</v>
      </c>
      <c r="J5103" s="18" t="s">
        <v>28</v>
      </c>
      <c r="K5103" s="18" t="s">
        <v>28</v>
      </c>
      <c r="L5103" s="18" t="s">
        <v>28</v>
      </c>
      <c r="M5103" s="18" t="s">
        <v>28</v>
      </c>
      <c r="N5103" s="17">
        <v>44264</v>
      </c>
      <c r="O5103" s="15" t="s">
        <v>30</v>
      </c>
      <c r="P5103" s="16" t="s">
        <v>3419</v>
      </c>
      <c r="Q5103" s="15" t="s">
        <v>69</v>
      </c>
      <c r="R5103" s="13" t="str">
        <f>HYPERLINK("https://my.pitchbook.com?c=134694-10T","View Company Online")</f>
        <v>View Company Online</v>
      </c>
    </row>
    <row r="5104" spans="1:18" hidden="1" x14ac:dyDescent="0.3">
      <c r="A5104" s="9" t="s">
        <v>16123</v>
      </c>
      <c r="B5104" s="9" t="s">
        <v>3392</v>
      </c>
      <c r="C5104" s="11" t="s">
        <v>28</v>
      </c>
      <c r="D5104" s="9" t="s">
        <v>3393</v>
      </c>
      <c r="E5104" s="11" t="s">
        <v>28</v>
      </c>
      <c r="F5104" s="10" t="s">
        <v>28</v>
      </c>
      <c r="G5104" s="10">
        <v>7.5</v>
      </c>
      <c r="H5104" s="10" t="s">
        <v>28</v>
      </c>
      <c r="I5104" s="11" t="s">
        <v>28</v>
      </c>
      <c r="J5104" s="11" t="s">
        <v>28</v>
      </c>
      <c r="K5104" s="11" t="s">
        <v>28</v>
      </c>
      <c r="L5104" s="11" t="s">
        <v>28</v>
      </c>
      <c r="M5104" s="11" t="s">
        <v>28</v>
      </c>
      <c r="N5104" s="8">
        <v>44264</v>
      </c>
      <c r="O5104" s="9" t="s">
        <v>99</v>
      </c>
      <c r="P5104" s="12" t="s">
        <v>16124</v>
      </c>
      <c r="Q5104" s="9" t="s">
        <v>583</v>
      </c>
      <c r="R5104" s="14" t="str">
        <f>HYPERLINK("https://my.pitchbook.com?c=176630-23T","View Company Online")</f>
        <v>View Company Online</v>
      </c>
    </row>
    <row r="5105" spans="1:18" hidden="1" x14ac:dyDescent="0.3">
      <c r="A5105" s="15" t="s">
        <v>16125</v>
      </c>
      <c r="B5105" s="15" t="s">
        <v>16126</v>
      </c>
      <c r="C5105" s="18" t="s">
        <v>28</v>
      </c>
      <c r="D5105" s="15" t="s">
        <v>16127</v>
      </c>
      <c r="E5105" s="18" t="s">
        <v>28</v>
      </c>
      <c r="F5105" s="19">
        <v>19</v>
      </c>
      <c r="G5105" s="19">
        <v>19</v>
      </c>
      <c r="H5105" s="19">
        <v>19</v>
      </c>
      <c r="I5105" s="18" t="s">
        <v>28</v>
      </c>
      <c r="J5105" s="18" t="s">
        <v>28</v>
      </c>
      <c r="K5105" s="18" t="s">
        <v>28</v>
      </c>
      <c r="L5105" s="18" t="s">
        <v>28</v>
      </c>
      <c r="M5105" s="18" t="s">
        <v>28</v>
      </c>
      <c r="N5105" s="17">
        <v>44264</v>
      </c>
      <c r="O5105" s="15" t="s">
        <v>30</v>
      </c>
      <c r="P5105" s="16" t="s">
        <v>16128</v>
      </c>
      <c r="Q5105" s="15" t="s">
        <v>75</v>
      </c>
      <c r="R5105" s="13" t="str">
        <f>HYPERLINK("https://my.pitchbook.com?c=179025-85T","View Company Online")</f>
        <v>View Company Online</v>
      </c>
    </row>
    <row r="5106" spans="1:18" hidden="1" x14ac:dyDescent="0.3">
      <c r="A5106" s="9" t="s">
        <v>16129</v>
      </c>
      <c r="B5106" s="9" t="s">
        <v>9319</v>
      </c>
      <c r="C5106" s="11" t="s">
        <v>28</v>
      </c>
      <c r="D5106" s="9" t="s">
        <v>9320</v>
      </c>
      <c r="E5106" s="11" t="s">
        <v>28</v>
      </c>
      <c r="F5106" s="10" t="s">
        <v>28</v>
      </c>
      <c r="G5106" s="10">
        <v>1</v>
      </c>
      <c r="H5106" s="10" t="s">
        <v>28</v>
      </c>
      <c r="I5106" s="11" t="s">
        <v>28</v>
      </c>
      <c r="J5106" s="11" t="s">
        <v>28</v>
      </c>
      <c r="K5106" s="11" t="s">
        <v>28</v>
      </c>
      <c r="L5106" s="11" t="s">
        <v>28</v>
      </c>
      <c r="M5106" s="11" t="s">
        <v>28</v>
      </c>
      <c r="N5106" s="8">
        <v>44264</v>
      </c>
      <c r="O5106" s="9" t="s">
        <v>99</v>
      </c>
      <c r="P5106" s="12" t="s">
        <v>16130</v>
      </c>
      <c r="Q5106" s="9" t="s">
        <v>75</v>
      </c>
      <c r="R5106" s="14" t="str">
        <f>HYPERLINK("https://my.pitchbook.com?c=168223-15T","View Company Online")</f>
        <v>View Company Online</v>
      </c>
    </row>
    <row r="5107" spans="1:18" hidden="1" x14ac:dyDescent="0.3">
      <c r="A5107" s="15" t="s">
        <v>16131</v>
      </c>
      <c r="B5107" s="15" t="s">
        <v>16132</v>
      </c>
      <c r="C5107" s="18" t="s">
        <v>28</v>
      </c>
      <c r="D5107" s="15" t="s">
        <v>16133</v>
      </c>
      <c r="E5107" s="18" t="s">
        <v>28</v>
      </c>
      <c r="F5107" s="19" t="s">
        <v>28</v>
      </c>
      <c r="G5107" s="19" t="s">
        <v>28</v>
      </c>
      <c r="H5107" s="19" t="s">
        <v>28</v>
      </c>
      <c r="I5107" s="18" t="s">
        <v>28</v>
      </c>
      <c r="J5107" s="18" t="s">
        <v>28</v>
      </c>
      <c r="K5107" s="18" t="s">
        <v>28</v>
      </c>
      <c r="L5107" s="18" t="s">
        <v>28</v>
      </c>
      <c r="M5107" s="18" t="s">
        <v>28</v>
      </c>
      <c r="N5107" s="17">
        <v>44264</v>
      </c>
      <c r="O5107" s="15" t="s">
        <v>58</v>
      </c>
      <c r="P5107" s="16" t="s">
        <v>16134</v>
      </c>
      <c r="Q5107" s="15" t="s">
        <v>470</v>
      </c>
      <c r="R5107" s="13" t="str">
        <f>HYPERLINK("https://my.pitchbook.com?c=241752-43T","View Company Online")</f>
        <v>View Company Online</v>
      </c>
    </row>
    <row r="5108" spans="1:18" hidden="1" x14ac:dyDescent="0.3">
      <c r="A5108" s="9" t="s">
        <v>16135</v>
      </c>
      <c r="B5108" s="9" t="s">
        <v>16136</v>
      </c>
      <c r="C5108" s="11" t="s">
        <v>28</v>
      </c>
      <c r="D5108" s="9" t="s">
        <v>16137</v>
      </c>
      <c r="E5108" s="11" t="s">
        <v>28</v>
      </c>
      <c r="F5108" s="10" t="s">
        <v>28</v>
      </c>
      <c r="G5108" s="10" t="s">
        <v>28</v>
      </c>
      <c r="H5108" s="10" t="s">
        <v>28</v>
      </c>
      <c r="I5108" s="11" t="s">
        <v>28</v>
      </c>
      <c r="J5108" s="11" t="s">
        <v>28</v>
      </c>
      <c r="K5108" s="11" t="s">
        <v>28</v>
      </c>
      <c r="L5108" s="11" t="s">
        <v>28</v>
      </c>
      <c r="M5108" s="11" t="s">
        <v>28</v>
      </c>
      <c r="N5108" s="8">
        <v>44264</v>
      </c>
      <c r="O5108" s="9" t="s">
        <v>379</v>
      </c>
      <c r="P5108" s="12" t="s">
        <v>16138</v>
      </c>
      <c r="Q5108" s="9" t="s">
        <v>75</v>
      </c>
      <c r="R5108" s="14" t="str">
        <f>HYPERLINK("https://my.pitchbook.com?c=224103-52T","View Company Online")</f>
        <v>View Company Online</v>
      </c>
    </row>
    <row r="5109" spans="1:18" hidden="1" x14ac:dyDescent="0.3">
      <c r="A5109" s="15" t="s">
        <v>16139</v>
      </c>
      <c r="B5109" s="15" t="s">
        <v>11337</v>
      </c>
      <c r="C5109" s="18" t="s">
        <v>28</v>
      </c>
      <c r="D5109" s="15" t="s">
        <v>11338</v>
      </c>
      <c r="E5109" s="18" t="s">
        <v>28</v>
      </c>
      <c r="F5109" s="19" t="s">
        <v>28</v>
      </c>
      <c r="G5109" s="19" t="s">
        <v>28</v>
      </c>
      <c r="H5109" s="19" t="s">
        <v>28</v>
      </c>
      <c r="I5109" s="18" t="s">
        <v>28</v>
      </c>
      <c r="J5109" s="18" t="s">
        <v>28</v>
      </c>
      <c r="K5109" s="18" t="s">
        <v>28</v>
      </c>
      <c r="L5109" s="18" t="s">
        <v>28</v>
      </c>
      <c r="M5109" s="18" t="s">
        <v>28</v>
      </c>
      <c r="N5109" s="17">
        <v>44264</v>
      </c>
      <c r="O5109" s="15" t="s">
        <v>99</v>
      </c>
      <c r="P5109" s="16" t="s">
        <v>16140</v>
      </c>
      <c r="Q5109" s="15" t="s">
        <v>75</v>
      </c>
      <c r="R5109" s="13" t="str">
        <f>HYPERLINK("https://my.pitchbook.com?c=194903-65T","View Company Online")</f>
        <v>View Company Online</v>
      </c>
    </row>
    <row r="5110" spans="1:18" hidden="1" x14ac:dyDescent="0.3">
      <c r="A5110" s="9" t="s">
        <v>16141</v>
      </c>
      <c r="B5110" s="9" t="s">
        <v>16142</v>
      </c>
      <c r="C5110" s="11" t="s">
        <v>28</v>
      </c>
      <c r="D5110" s="9" t="s">
        <v>16143</v>
      </c>
      <c r="E5110" s="11" t="s">
        <v>28</v>
      </c>
      <c r="F5110" s="10" t="s">
        <v>28</v>
      </c>
      <c r="G5110" s="10" t="s">
        <v>28</v>
      </c>
      <c r="H5110" s="10" t="s">
        <v>28</v>
      </c>
      <c r="I5110" s="11" t="s">
        <v>28</v>
      </c>
      <c r="J5110" s="11" t="s">
        <v>28</v>
      </c>
      <c r="K5110" s="11" t="s">
        <v>28</v>
      </c>
      <c r="L5110" s="11" t="s">
        <v>28</v>
      </c>
      <c r="M5110" s="11" t="s">
        <v>28</v>
      </c>
      <c r="N5110" s="8">
        <v>44263</v>
      </c>
      <c r="O5110" s="9" t="s">
        <v>99</v>
      </c>
      <c r="P5110" s="12" t="s">
        <v>16144</v>
      </c>
      <c r="Q5110" s="9" t="s">
        <v>75</v>
      </c>
      <c r="R5110" s="14" t="str">
        <f>HYPERLINK("https://my.pitchbook.com?c=177680-08T","View Company Online")</f>
        <v>View Company Online</v>
      </c>
    </row>
    <row r="5111" spans="1:18" hidden="1" x14ac:dyDescent="0.3">
      <c r="A5111" s="15" t="s">
        <v>16145</v>
      </c>
      <c r="B5111" s="15" t="s">
        <v>7379</v>
      </c>
      <c r="C5111" s="18" t="s">
        <v>28</v>
      </c>
      <c r="D5111" s="15" t="s">
        <v>7380</v>
      </c>
      <c r="E5111" s="18" t="s">
        <v>28</v>
      </c>
      <c r="F5111" s="19" t="s">
        <v>28</v>
      </c>
      <c r="G5111" s="19">
        <v>0.02</v>
      </c>
      <c r="H5111" s="19" t="s">
        <v>28</v>
      </c>
      <c r="I5111" s="18" t="s">
        <v>28</v>
      </c>
      <c r="J5111" s="18" t="s">
        <v>28</v>
      </c>
      <c r="K5111" s="18" t="s">
        <v>28</v>
      </c>
      <c r="L5111" s="18" t="s">
        <v>28</v>
      </c>
      <c r="M5111" s="18" t="s">
        <v>28</v>
      </c>
      <c r="N5111" s="17">
        <v>44263</v>
      </c>
      <c r="O5111" s="15" t="s">
        <v>9098</v>
      </c>
      <c r="P5111" s="16" t="s">
        <v>28</v>
      </c>
      <c r="Q5111" s="15" t="s">
        <v>37</v>
      </c>
      <c r="R5111" s="13" t="str">
        <f>HYPERLINK("https://my.pitchbook.com?c=224756-65T","View Company Online")</f>
        <v>View Company Online</v>
      </c>
    </row>
    <row r="5112" spans="1:18" hidden="1" x14ac:dyDescent="0.3">
      <c r="A5112" s="9" t="s">
        <v>16146</v>
      </c>
      <c r="B5112" s="9" t="s">
        <v>16147</v>
      </c>
      <c r="C5112" s="11" t="s">
        <v>28</v>
      </c>
      <c r="D5112" s="9" t="s">
        <v>16148</v>
      </c>
      <c r="E5112" s="11" t="s">
        <v>28</v>
      </c>
      <c r="F5112" s="10" t="s">
        <v>28</v>
      </c>
      <c r="G5112" s="10" t="s">
        <v>28</v>
      </c>
      <c r="H5112" s="10" t="s">
        <v>28</v>
      </c>
      <c r="I5112" s="11" t="s">
        <v>28</v>
      </c>
      <c r="J5112" s="11" t="s">
        <v>28</v>
      </c>
      <c r="K5112" s="11" t="s">
        <v>28</v>
      </c>
      <c r="L5112" s="11" t="s">
        <v>28</v>
      </c>
      <c r="M5112" s="11" t="s">
        <v>28</v>
      </c>
      <c r="N5112" s="8">
        <v>44263</v>
      </c>
      <c r="O5112" s="9" t="s">
        <v>30</v>
      </c>
      <c r="P5112" s="12" t="s">
        <v>16149</v>
      </c>
      <c r="Q5112" s="9" t="s">
        <v>3912</v>
      </c>
      <c r="R5112" s="14" t="str">
        <f>HYPERLINK("https://my.pitchbook.com?c=253831-78T","View Company Online")</f>
        <v>View Company Online</v>
      </c>
    </row>
    <row r="5113" spans="1:18" hidden="1" x14ac:dyDescent="0.3">
      <c r="A5113" s="15" t="s">
        <v>16150</v>
      </c>
      <c r="B5113" s="15" t="s">
        <v>16151</v>
      </c>
      <c r="C5113" s="18" t="s">
        <v>28</v>
      </c>
      <c r="D5113" s="15" t="s">
        <v>16152</v>
      </c>
      <c r="E5113" s="18" t="s">
        <v>28</v>
      </c>
      <c r="F5113" s="19" t="s">
        <v>28</v>
      </c>
      <c r="G5113" s="19" t="s">
        <v>28</v>
      </c>
      <c r="H5113" s="19" t="s">
        <v>28</v>
      </c>
      <c r="I5113" s="18" t="s">
        <v>28</v>
      </c>
      <c r="J5113" s="18" t="s">
        <v>28</v>
      </c>
      <c r="K5113" s="18" t="s">
        <v>28</v>
      </c>
      <c r="L5113" s="18" t="s">
        <v>28</v>
      </c>
      <c r="M5113" s="18" t="s">
        <v>28</v>
      </c>
      <c r="N5113" s="17">
        <v>44263</v>
      </c>
      <c r="O5113" s="15" t="s">
        <v>41</v>
      </c>
      <c r="P5113" s="16" t="s">
        <v>16153</v>
      </c>
      <c r="Q5113" s="15" t="s">
        <v>290</v>
      </c>
      <c r="R5113" s="13" t="str">
        <f>HYPERLINK("https://my.pitchbook.com?c=242043-58T","View Company Online")</f>
        <v>View Company Online</v>
      </c>
    </row>
    <row r="5114" spans="1:18" hidden="1" x14ac:dyDescent="0.3">
      <c r="A5114" s="9" t="s">
        <v>16154</v>
      </c>
      <c r="B5114" s="9" t="s">
        <v>16155</v>
      </c>
      <c r="C5114" s="11" t="s">
        <v>28</v>
      </c>
      <c r="D5114" s="9" t="s">
        <v>16156</v>
      </c>
      <c r="E5114" s="11" t="s">
        <v>28</v>
      </c>
      <c r="F5114" s="10">
        <v>0.84</v>
      </c>
      <c r="G5114" s="10">
        <v>0.84</v>
      </c>
      <c r="H5114" s="10">
        <v>0.84</v>
      </c>
      <c r="I5114" s="11" t="s">
        <v>28</v>
      </c>
      <c r="J5114" s="11" t="s">
        <v>28</v>
      </c>
      <c r="K5114" s="11" t="s">
        <v>28</v>
      </c>
      <c r="L5114" s="11" t="s">
        <v>28</v>
      </c>
      <c r="M5114" s="11" t="s">
        <v>28</v>
      </c>
      <c r="N5114" s="8">
        <v>44263</v>
      </c>
      <c r="O5114" s="9" t="s">
        <v>30</v>
      </c>
      <c r="P5114" s="12" t="s">
        <v>9475</v>
      </c>
      <c r="Q5114" s="9" t="s">
        <v>2939</v>
      </c>
      <c r="R5114" s="14" t="str">
        <f>HYPERLINK("https://my.pitchbook.com?c=183462-04T","View Company Online")</f>
        <v>View Company Online</v>
      </c>
    </row>
    <row r="5115" spans="1:18" hidden="1" x14ac:dyDescent="0.3">
      <c r="A5115" s="15" t="s">
        <v>16157</v>
      </c>
      <c r="B5115" s="15" t="s">
        <v>16158</v>
      </c>
      <c r="C5115" s="18" t="s">
        <v>28</v>
      </c>
      <c r="D5115" s="15" t="s">
        <v>16159</v>
      </c>
      <c r="E5115" s="18" t="s">
        <v>28</v>
      </c>
      <c r="F5115" s="19" t="s">
        <v>28</v>
      </c>
      <c r="G5115" s="19" t="s">
        <v>28</v>
      </c>
      <c r="H5115" s="19" t="s">
        <v>28</v>
      </c>
      <c r="I5115" s="18" t="s">
        <v>28</v>
      </c>
      <c r="J5115" s="18" t="s">
        <v>28</v>
      </c>
      <c r="K5115" s="18" t="s">
        <v>28</v>
      </c>
      <c r="L5115" s="18" t="s">
        <v>28</v>
      </c>
      <c r="M5115" s="18" t="s">
        <v>28</v>
      </c>
      <c r="N5115" s="17">
        <v>44260</v>
      </c>
      <c r="O5115" s="15" t="s">
        <v>173</v>
      </c>
      <c r="P5115" s="16" t="s">
        <v>28</v>
      </c>
      <c r="Q5115" s="15" t="s">
        <v>174</v>
      </c>
      <c r="R5115" s="13" t="str">
        <f>HYPERLINK("https://my.pitchbook.com?c=251348-41T","View Company Online")</f>
        <v>View Company Online</v>
      </c>
    </row>
    <row r="5116" spans="1:18" hidden="1" x14ac:dyDescent="0.3">
      <c r="A5116" s="9" t="s">
        <v>16160</v>
      </c>
      <c r="B5116" s="9" t="s">
        <v>16161</v>
      </c>
      <c r="C5116" s="11" t="s">
        <v>28</v>
      </c>
      <c r="D5116" s="9" t="s">
        <v>16162</v>
      </c>
      <c r="E5116" s="11" t="s">
        <v>28</v>
      </c>
      <c r="F5116" s="10">
        <v>1.03</v>
      </c>
      <c r="G5116" s="10">
        <v>1.03</v>
      </c>
      <c r="H5116" s="10">
        <v>1.03</v>
      </c>
      <c r="I5116" s="11" t="s">
        <v>28</v>
      </c>
      <c r="J5116" s="11" t="s">
        <v>28</v>
      </c>
      <c r="K5116" s="11" t="s">
        <v>28</v>
      </c>
      <c r="L5116" s="11" t="s">
        <v>28</v>
      </c>
      <c r="M5116" s="11" t="s">
        <v>28</v>
      </c>
      <c r="N5116" s="8">
        <v>44260</v>
      </c>
      <c r="O5116" s="9" t="s">
        <v>30</v>
      </c>
      <c r="P5116" s="12" t="s">
        <v>7615</v>
      </c>
      <c r="Q5116" s="9" t="s">
        <v>37</v>
      </c>
      <c r="R5116" s="14" t="str">
        <f>HYPERLINK("https://my.pitchbook.com?c=173513-62T","View Company Online")</f>
        <v>View Company Online</v>
      </c>
    </row>
    <row r="5117" spans="1:18" hidden="1" x14ac:dyDescent="0.3">
      <c r="A5117" s="15" t="s">
        <v>16163</v>
      </c>
      <c r="B5117" s="15" t="s">
        <v>16164</v>
      </c>
      <c r="C5117" s="18" t="s">
        <v>28</v>
      </c>
      <c r="D5117" s="15" t="s">
        <v>16165</v>
      </c>
      <c r="E5117" s="18" t="s">
        <v>28</v>
      </c>
      <c r="F5117" s="19" t="s">
        <v>28</v>
      </c>
      <c r="G5117" s="19" t="s">
        <v>28</v>
      </c>
      <c r="H5117" s="19" t="s">
        <v>28</v>
      </c>
      <c r="I5117" s="18" t="s">
        <v>28</v>
      </c>
      <c r="J5117" s="18" t="s">
        <v>28</v>
      </c>
      <c r="K5117" s="18" t="s">
        <v>28</v>
      </c>
      <c r="L5117" s="18" t="s">
        <v>28</v>
      </c>
      <c r="M5117" s="18" t="s">
        <v>28</v>
      </c>
      <c r="N5117" s="17">
        <v>44260</v>
      </c>
      <c r="O5117" s="15" t="s">
        <v>30</v>
      </c>
      <c r="P5117" s="16" t="s">
        <v>16166</v>
      </c>
      <c r="Q5117" s="15" t="s">
        <v>245</v>
      </c>
      <c r="R5117" s="13" t="str">
        <f>HYPERLINK("https://my.pitchbook.com?c=167984-92T","View Company Online")</f>
        <v>View Company Online</v>
      </c>
    </row>
    <row r="5118" spans="1:18" hidden="1" x14ac:dyDescent="0.3">
      <c r="A5118" s="9" t="s">
        <v>16167</v>
      </c>
      <c r="B5118" s="9" t="s">
        <v>5031</v>
      </c>
      <c r="C5118" s="11" t="s">
        <v>28</v>
      </c>
      <c r="D5118" s="9" t="s">
        <v>5032</v>
      </c>
      <c r="E5118" s="11" t="s">
        <v>28</v>
      </c>
      <c r="F5118" s="10" t="s">
        <v>28</v>
      </c>
      <c r="G5118" s="10">
        <v>20</v>
      </c>
      <c r="H5118" s="10" t="s">
        <v>28</v>
      </c>
      <c r="I5118" s="11" t="s">
        <v>28</v>
      </c>
      <c r="J5118" s="11" t="s">
        <v>28</v>
      </c>
      <c r="K5118" s="11" t="s">
        <v>28</v>
      </c>
      <c r="L5118" s="11" t="s">
        <v>28</v>
      </c>
      <c r="M5118" s="11" t="s">
        <v>28</v>
      </c>
      <c r="N5118" s="8">
        <v>44260</v>
      </c>
      <c r="O5118" s="9" t="s">
        <v>73</v>
      </c>
      <c r="P5118" s="12" t="s">
        <v>16168</v>
      </c>
      <c r="Q5118" s="9" t="s">
        <v>85</v>
      </c>
      <c r="R5118" s="14" t="str">
        <f>HYPERLINK("https://my.pitchbook.com?c=168365-80T","View Company Online")</f>
        <v>View Company Online</v>
      </c>
    </row>
    <row r="5119" spans="1:18" hidden="1" x14ac:dyDescent="0.3">
      <c r="A5119" s="15" t="s">
        <v>16169</v>
      </c>
      <c r="B5119" s="15" t="s">
        <v>16170</v>
      </c>
      <c r="C5119" s="18" t="s">
        <v>28</v>
      </c>
      <c r="D5119" s="15" t="s">
        <v>16171</v>
      </c>
      <c r="E5119" s="18" t="s">
        <v>28</v>
      </c>
      <c r="F5119" s="19" t="s">
        <v>28</v>
      </c>
      <c r="G5119" s="19" t="s">
        <v>28</v>
      </c>
      <c r="H5119" s="19" t="s">
        <v>28</v>
      </c>
      <c r="I5119" s="18" t="s">
        <v>28</v>
      </c>
      <c r="J5119" s="18" t="s">
        <v>28</v>
      </c>
      <c r="K5119" s="18">
        <v>-27.46</v>
      </c>
      <c r="L5119" s="18" t="s">
        <v>28</v>
      </c>
      <c r="M5119" s="18">
        <v>-27.74</v>
      </c>
      <c r="N5119" s="17">
        <v>44260</v>
      </c>
      <c r="O5119" s="15" t="s">
        <v>173</v>
      </c>
      <c r="P5119" s="16" t="s">
        <v>28</v>
      </c>
      <c r="Q5119" s="15" t="s">
        <v>174</v>
      </c>
      <c r="R5119" s="13" t="str">
        <f>HYPERLINK("https://my.pitchbook.com?c=251638-48T","View Company Online")</f>
        <v>View Company Online</v>
      </c>
    </row>
    <row r="5120" spans="1:18" hidden="1" x14ac:dyDescent="0.3">
      <c r="A5120" s="9" t="s">
        <v>16172</v>
      </c>
      <c r="B5120" s="9" t="s">
        <v>16173</v>
      </c>
      <c r="C5120" s="11" t="s">
        <v>28</v>
      </c>
      <c r="D5120" s="9" t="s">
        <v>16174</v>
      </c>
      <c r="E5120" s="11" t="s">
        <v>28</v>
      </c>
      <c r="F5120" s="10" t="s">
        <v>28</v>
      </c>
      <c r="G5120" s="10" t="s">
        <v>28</v>
      </c>
      <c r="H5120" s="10" t="s">
        <v>28</v>
      </c>
      <c r="I5120" s="11" t="s">
        <v>28</v>
      </c>
      <c r="J5120" s="11" t="s">
        <v>28</v>
      </c>
      <c r="K5120" s="11">
        <v>0.01</v>
      </c>
      <c r="L5120" s="11" t="s">
        <v>28</v>
      </c>
      <c r="M5120" s="11">
        <v>0.01</v>
      </c>
      <c r="N5120" s="8">
        <v>44259</v>
      </c>
      <c r="O5120" s="9" t="s">
        <v>173</v>
      </c>
      <c r="P5120" s="12" t="s">
        <v>28</v>
      </c>
      <c r="Q5120" s="9" t="s">
        <v>174</v>
      </c>
      <c r="R5120" s="14" t="str">
        <f>HYPERLINK("https://my.pitchbook.com?c=251330-68T","View Company Online")</f>
        <v>View Company Online</v>
      </c>
    </row>
    <row r="5121" spans="1:18" hidden="1" x14ac:dyDescent="0.3">
      <c r="A5121" s="15" t="s">
        <v>16175</v>
      </c>
      <c r="B5121" s="15" t="s">
        <v>16176</v>
      </c>
      <c r="C5121" s="18" t="s">
        <v>28</v>
      </c>
      <c r="D5121" s="15" t="s">
        <v>16177</v>
      </c>
      <c r="E5121" s="18" t="s">
        <v>28</v>
      </c>
      <c r="F5121" s="19" t="s">
        <v>28</v>
      </c>
      <c r="G5121" s="19" t="s">
        <v>28</v>
      </c>
      <c r="H5121" s="19" t="s">
        <v>28</v>
      </c>
      <c r="I5121" s="18" t="s">
        <v>28</v>
      </c>
      <c r="J5121" s="18" t="s">
        <v>28</v>
      </c>
      <c r="K5121" s="18" t="s">
        <v>28</v>
      </c>
      <c r="L5121" s="18" t="s">
        <v>28</v>
      </c>
      <c r="M5121" s="18" t="s">
        <v>28</v>
      </c>
      <c r="N5121" s="17">
        <v>44259</v>
      </c>
      <c r="O5121" s="15" t="s">
        <v>30</v>
      </c>
      <c r="P5121" s="16" t="s">
        <v>12387</v>
      </c>
      <c r="Q5121" s="15" t="s">
        <v>37</v>
      </c>
      <c r="R5121" s="13" t="str">
        <f>HYPERLINK("https://my.pitchbook.com?c=167846-41T","View Company Online")</f>
        <v>View Company Online</v>
      </c>
    </row>
    <row r="5122" spans="1:18" hidden="1" x14ac:dyDescent="0.3">
      <c r="A5122" s="9" t="s">
        <v>16178</v>
      </c>
      <c r="B5122" s="9" t="s">
        <v>16179</v>
      </c>
      <c r="C5122" s="11" t="s">
        <v>28</v>
      </c>
      <c r="D5122" s="9" t="s">
        <v>16180</v>
      </c>
      <c r="E5122" s="11" t="s">
        <v>28</v>
      </c>
      <c r="F5122" s="10">
        <v>240.65</v>
      </c>
      <c r="G5122" s="10">
        <v>50.54</v>
      </c>
      <c r="H5122" s="10">
        <v>240.65</v>
      </c>
      <c r="I5122" s="11" t="s">
        <v>28</v>
      </c>
      <c r="J5122" s="11" t="s">
        <v>28</v>
      </c>
      <c r="K5122" s="11" t="s">
        <v>28</v>
      </c>
      <c r="L5122" s="11" t="s">
        <v>28</v>
      </c>
      <c r="M5122" s="11" t="s">
        <v>28</v>
      </c>
      <c r="N5122" s="8">
        <v>44259</v>
      </c>
      <c r="O5122" s="9" t="s">
        <v>30</v>
      </c>
      <c r="P5122" s="12" t="s">
        <v>16181</v>
      </c>
      <c r="Q5122" s="9" t="s">
        <v>109</v>
      </c>
      <c r="R5122" s="14" t="str">
        <f>HYPERLINK("https://my.pitchbook.com?c=168007-24T","View Company Online")</f>
        <v>View Company Online</v>
      </c>
    </row>
    <row r="5123" spans="1:18" hidden="1" x14ac:dyDescent="0.3">
      <c r="A5123" s="15" t="s">
        <v>16182</v>
      </c>
      <c r="B5123" s="15" t="s">
        <v>16183</v>
      </c>
      <c r="C5123" s="18" t="s">
        <v>28</v>
      </c>
      <c r="D5123" s="15" t="s">
        <v>16184</v>
      </c>
      <c r="E5123" s="18" t="s">
        <v>28</v>
      </c>
      <c r="F5123" s="19" t="s">
        <v>28</v>
      </c>
      <c r="G5123" s="19">
        <v>0.05</v>
      </c>
      <c r="H5123" s="19" t="s">
        <v>28</v>
      </c>
      <c r="I5123" s="18" t="s">
        <v>28</v>
      </c>
      <c r="J5123" s="18" t="s">
        <v>28</v>
      </c>
      <c r="K5123" s="18" t="s">
        <v>28</v>
      </c>
      <c r="L5123" s="18" t="s">
        <v>28</v>
      </c>
      <c r="M5123" s="18" t="s">
        <v>28</v>
      </c>
      <c r="N5123" s="17">
        <v>44258</v>
      </c>
      <c r="O5123" s="15" t="s">
        <v>99</v>
      </c>
      <c r="P5123" s="16" t="s">
        <v>16185</v>
      </c>
      <c r="Q5123" s="15" t="s">
        <v>75</v>
      </c>
      <c r="R5123" s="13" t="str">
        <f>HYPERLINK("https://my.pitchbook.com?c=199766-89T","View Company Online")</f>
        <v>View Company Online</v>
      </c>
    </row>
    <row r="5124" spans="1:18" hidden="1" x14ac:dyDescent="0.3">
      <c r="A5124" s="9" t="s">
        <v>16186</v>
      </c>
      <c r="B5124" s="9" t="s">
        <v>8552</v>
      </c>
      <c r="C5124" s="11" t="s">
        <v>28</v>
      </c>
      <c r="D5124" s="9" t="s">
        <v>8553</v>
      </c>
      <c r="E5124" s="11" t="s">
        <v>28</v>
      </c>
      <c r="F5124" s="10" t="s">
        <v>28</v>
      </c>
      <c r="G5124" s="10">
        <v>0.88</v>
      </c>
      <c r="H5124" s="10" t="s">
        <v>28</v>
      </c>
      <c r="I5124" s="11" t="s">
        <v>28</v>
      </c>
      <c r="J5124" s="11" t="s">
        <v>28</v>
      </c>
      <c r="K5124" s="11" t="s">
        <v>28</v>
      </c>
      <c r="L5124" s="11" t="s">
        <v>28</v>
      </c>
      <c r="M5124" s="11" t="s">
        <v>28</v>
      </c>
      <c r="N5124" s="8">
        <v>44258</v>
      </c>
      <c r="O5124" s="9" t="s">
        <v>1639</v>
      </c>
      <c r="P5124" s="12" t="s">
        <v>28</v>
      </c>
      <c r="Q5124" s="9" t="s">
        <v>4710</v>
      </c>
      <c r="R5124" s="14" t="str">
        <f>HYPERLINK("https://my.pitchbook.com?c=163941-94T","View Company Online")</f>
        <v>View Company Online</v>
      </c>
    </row>
    <row r="5125" spans="1:18" hidden="1" x14ac:dyDescent="0.3">
      <c r="A5125" s="15" t="s">
        <v>16187</v>
      </c>
      <c r="B5125" s="15" t="s">
        <v>16188</v>
      </c>
      <c r="C5125" s="18" t="s">
        <v>28</v>
      </c>
      <c r="D5125" s="15" t="s">
        <v>16189</v>
      </c>
      <c r="E5125" s="18" t="s">
        <v>28</v>
      </c>
      <c r="F5125" s="19" t="s">
        <v>28</v>
      </c>
      <c r="G5125" s="19" t="s">
        <v>28</v>
      </c>
      <c r="H5125" s="19" t="s">
        <v>28</v>
      </c>
      <c r="I5125" s="18" t="s">
        <v>28</v>
      </c>
      <c r="J5125" s="18" t="s">
        <v>28</v>
      </c>
      <c r="K5125" s="18">
        <v>48.52</v>
      </c>
      <c r="L5125" s="18" t="s">
        <v>28</v>
      </c>
      <c r="M5125" s="18" t="s">
        <v>28</v>
      </c>
      <c r="N5125" s="17">
        <v>44258</v>
      </c>
      <c r="O5125" s="15" t="s">
        <v>30</v>
      </c>
      <c r="P5125" s="16" t="s">
        <v>12727</v>
      </c>
      <c r="Q5125" s="15" t="s">
        <v>75</v>
      </c>
      <c r="R5125" s="13" t="str">
        <f>HYPERLINK("https://my.pitchbook.com?c=209520-82T","View Company Online")</f>
        <v>View Company Online</v>
      </c>
    </row>
    <row r="5126" spans="1:18" hidden="1" x14ac:dyDescent="0.3">
      <c r="A5126" s="9" t="s">
        <v>16190</v>
      </c>
      <c r="B5126" s="9" t="s">
        <v>16191</v>
      </c>
      <c r="C5126" s="11" t="s">
        <v>28</v>
      </c>
      <c r="D5126" s="9" t="s">
        <v>16192</v>
      </c>
      <c r="E5126" s="11" t="s">
        <v>28</v>
      </c>
      <c r="F5126" s="10" t="s">
        <v>28</v>
      </c>
      <c r="G5126" s="10" t="s">
        <v>28</v>
      </c>
      <c r="H5126" s="10" t="s">
        <v>28</v>
      </c>
      <c r="I5126" s="11" t="s">
        <v>28</v>
      </c>
      <c r="J5126" s="11" t="s">
        <v>28</v>
      </c>
      <c r="K5126" s="11">
        <v>716</v>
      </c>
      <c r="L5126" s="11" t="s">
        <v>28</v>
      </c>
      <c r="M5126" s="11" t="s">
        <v>28</v>
      </c>
      <c r="N5126" s="8">
        <v>44257</v>
      </c>
      <c r="O5126" s="9" t="s">
        <v>58</v>
      </c>
      <c r="P5126" s="12" t="s">
        <v>16193</v>
      </c>
      <c r="Q5126" s="9" t="s">
        <v>136</v>
      </c>
      <c r="R5126" s="14" t="str">
        <f>HYPERLINK("https://my.pitchbook.com?c=167873-50T","View Company Online")</f>
        <v>View Company Online</v>
      </c>
    </row>
    <row r="5127" spans="1:18" hidden="1" x14ac:dyDescent="0.3">
      <c r="A5127" s="15" t="s">
        <v>16194</v>
      </c>
      <c r="B5127" s="15" t="s">
        <v>16195</v>
      </c>
      <c r="C5127" s="18" t="s">
        <v>28</v>
      </c>
      <c r="D5127" s="15" t="s">
        <v>16196</v>
      </c>
      <c r="E5127" s="18" t="s">
        <v>28</v>
      </c>
      <c r="F5127" s="19" t="s">
        <v>28</v>
      </c>
      <c r="G5127" s="19" t="s">
        <v>28</v>
      </c>
      <c r="H5127" s="19" t="s">
        <v>28</v>
      </c>
      <c r="I5127" s="18" t="s">
        <v>28</v>
      </c>
      <c r="J5127" s="18" t="s">
        <v>28</v>
      </c>
      <c r="K5127" s="18" t="s">
        <v>28</v>
      </c>
      <c r="L5127" s="18" t="s">
        <v>28</v>
      </c>
      <c r="M5127" s="18" t="s">
        <v>28</v>
      </c>
      <c r="N5127" s="17">
        <v>44257</v>
      </c>
      <c r="O5127" s="15" t="s">
        <v>30</v>
      </c>
      <c r="P5127" s="16" t="s">
        <v>16197</v>
      </c>
      <c r="Q5127" s="15" t="s">
        <v>37</v>
      </c>
      <c r="R5127" s="13" t="str">
        <f>HYPERLINK("https://my.pitchbook.com?c=169525-54T","View Company Online")</f>
        <v>View Company Online</v>
      </c>
    </row>
    <row r="5128" spans="1:18" hidden="1" x14ac:dyDescent="0.3">
      <c r="A5128" s="9" t="s">
        <v>16198</v>
      </c>
      <c r="B5128" s="9" t="s">
        <v>12387</v>
      </c>
      <c r="C5128" s="11" t="s">
        <v>28</v>
      </c>
      <c r="D5128" s="9" t="s">
        <v>12388</v>
      </c>
      <c r="E5128" s="11" t="s">
        <v>28</v>
      </c>
      <c r="F5128" s="10" t="s">
        <v>28</v>
      </c>
      <c r="G5128" s="10" t="s">
        <v>28</v>
      </c>
      <c r="H5128" s="10" t="s">
        <v>28</v>
      </c>
      <c r="I5128" s="11" t="s">
        <v>28</v>
      </c>
      <c r="J5128" s="11" t="s">
        <v>28</v>
      </c>
      <c r="K5128" s="11" t="s">
        <v>28</v>
      </c>
      <c r="L5128" s="11" t="s">
        <v>28</v>
      </c>
      <c r="M5128" s="11" t="s">
        <v>28</v>
      </c>
      <c r="N5128" s="8">
        <v>44257</v>
      </c>
      <c r="O5128" s="9" t="s">
        <v>1285</v>
      </c>
      <c r="P5128" s="12" t="s">
        <v>16199</v>
      </c>
      <c r="Q5128" s="9" t="s">
        <v>696</v>
      </c>
      <c r="R5128" s="14" t="str">
        <f>HYPERLINK("https://my.pitchbook.com?c=181294-03T","View Company Online")</f>
        <v>View Company Online</v>
      </c>
    </row>
    <row r="5129" spans="1:18" hidden="1" x14ac:dyDescent="0.3">
      <c r="A5129" s="15" t="s">
        <v>16200</v>
      </c>
      <c r="B5129" s="15" t="s">
        <v>16201</v>
      </c>
      <c r="C5129" s="18" t="s">
        <v>28</v>
      </c>
      <c r="D5129" s="15" t="s">
        <v>16202</v>
      </c>
      <c r="E5129" s="18" t="s">
        <v>28</v>
      </c>
      <c r="F5129" s="19" t="s">
        <v>28</v>
      </c>
      <c r="G5129" s="19">
        <v>0.65</v>
      </c>
      <c r="H5129" s="19" t="s">
        <v>28</v>
      </c>
      <c r="I5129" s="18" t="s">
        <v>28</v>
      </c>
      <c r="J5129" s="18" t="s">
        <v>28</v>
      </c>
      <c r="K5129" s="18" t="s">
        <v>28</v>
      </c>
      <c r="L5129" s="18" t="s">
        <v>28</v>
      </c>
      <c r="M5129" s="18" t="s">
        <v>28</v>
      </c>
      <c r="N5129" s="17">
        <v>44256</v>
      </c>
      <c r="O5129" s="15" t="s">
        <v>79</v>
      </c>
      <c r="P5129" s="16" t="s">
        <v>11495</v>
      </c>
      <c r="Q5129" s="15" t="s">
        <v>404</v>
      </c>
      <c r="R5129" s="13" t="str">
        <f>HYPERLINK("https://my.pitchbook.com?c=181499-32T","View Company Online")</f>
        <v>View Company Online</v>
      </c>
    </row>
    <row r="5130" spans="1:18" hidden="1" x14ac:dyDescent="0.3">
      <c r="A5130" s="9" t="s">
        <v>16203</v>
      </c>
      <c r="B5130" s="9" t="s">
        <v>5063</v>
      </c>
      <c r="C5130" s="11" t="s">
        <v>28</v>
      </c>
      <c r="D5130" s="9" t="s">
        <v>5064</v>
      </c>
      <c r="E5130" s="11" t="s">
        <v>28</v>
      </c>
      <c r="F5130" s="10" t="s">
        <v>28</v>
      </c>
      <c r="G5130" s="10" t="s">
        <v>28</v>
      </c>
      <c r="H5130" s="10" t="s">
        <v>28</v>
      </c>
      <c r="I5130" s="11" t="s">
        <v>28</v>
      </c>
      <c r="J5130" s="11" t="s">
        <v>28</v>
      </c>
      <c r="K5130" s="11" t="s">
        <v>28</v>
      </c>
      <c r="L5130" s="11" t="s">
        <v>28</v>
      </c>
      <c r="M5130" s="11" t="s">
        <v>28</v>
      </c>
      <c r="N5130" s="8">
        <v>44256</v>
      </c>
      <c r="O5130" s="9" t="s">
        <v>52</v>
      </c>
      <c r="P5130" s="12" t="s">
        <v>16204</v>
      </c>
      <c r="Q5130" s="9" t="s">
        <v>75</v>
      </c>
      <c r="R5130" s="14" t="str">
        <f>HYPERLINK("https://my.pitchbook.com?c=215802-01T","View Company Online")</f>
        <v>View Company Online</v>
      </c>
    </row>
    <row r="5131" spans="1:18" hidden="1" x14ac:dyDescent="0.3">
      <c r="A5131" s="15" t="s">
        <v>16205</v>
      </c>
      <c r="B5131" s="15" t="s">
        <v>9922</v>
      </c>
      <c r="C5131" s="18" t="s">
        <v>28</v>
      </c>
      <c r="D5131" s="15" t="s">
        <v>9923</v>
      </c>
      <c r="E5131" s="18" t="s">
        <v>28</v>
      </c>
      <c r="F5131" s="19" t="s">
        <v>28</v>
      </c>
      <c r="G5131" s="19">
        <v>0.94</v>
      </c>
      <c r="H5131" s="19">
        <v>5.4</v>
      </c>
      <c r="I5131" s="18" t="s">
        <v>28</v>
      </c>
      <c r="J5131" s="18" t="s">
        <v>28</v>
      </c>
      <c r="K5131" s="18" t="s">
        <v>28</v>
      </c>
      <c r="L5131" s="18" t="s">
        <v>28</v>
      </c>
      <c r="M5131" s="18" t="s">
        <v>28</v>
      </c>
      <c r="N5131" s="17">
        <v>44256</v>
      </c>
      <c r="O5131" s="15" t="s">
        <v>99</v>
      </c>
      <c r="P5131" s="16" t="s">
        <v>28</v>
      </c>
      <c r="Q5131" s="15" t="s">
        <v>37</v>
      </c>
      <c r="R5131" s="13" t="str">
        <f>HYPERLINK("https://my.pitchbook.com?c=195463-99T","View Company Online")</f>
        <v>View Company Online</v>
      </c>
    </row>
    <row r="5132" spans="1:18" hidden="1" x14ac:dyDescent="0.3">
      <c r="A5132" s="9" t="s">
        <v>16206</v>
      </c>
      <c r="B5132" s="9" t="s">
        <v>14458</v>
      </c>
      <c r="C5132" s="11" t="s">
        <v>28</v>
      </c>
      <c r="D5132" s="9" t="s">
        <v>14459</v>
      </c>
      <c r="E5132" s="11" t="s">
        <v>28</v>
      </c>
      <c r="F5132" s="10" t="s">
        <v>28</v>
      </c>
      <c r="G5132" s="10" t="s">
        <v>28</v>
      </c>
      <c r="H5132" s="10" t="s">
        <v>28</v>
      </c>
      <c r="I5132" s="11" t="s">
        <v>28</v>
      </c>
      <c r="J5132" s="11" t="s">
        <v>28</v>
      </c>
      <c r="K5132" s="11" t="s">
        <v>28</v>
      </c>
      <c r="L5132" s="11" t="s">
        <v>28</v>
      </c>
      <c r="M5132" s="11" t="s">
        <v>28</v>
      </c>
      <c r="N5132" s="8">
        <v>44256</v>
      </c>
      <c r="O5132" s="9" t="s">
        <v>99</v>
      </c>
      <c r="P5132" s="12" t="s">
        <v>16207</v>
      </c>
      <c r="Q5132" s="9" t="s">
        <v>75</v>
      </c>
      <c r="R5132" s="14" t="str">
        <f>HYPERLINK("https://my.pitchbook.com?c=207557-47T","View Company Online")</f>
        <v>View Company Online</v>
      </c>
    </row>
    <row r="5133" spans="1:18" hidden="1" x14ac:dyDescent="0.3">
      <c r="A5133" s="15" t="s">
        <v>16208</v>
      </c>
      <c r="B5133" s="15" t="s">
        <v>16209</v>
      </c>
      <c r="C5133" s="18" t="s">
        <v>28</v>
      </c>
      <c r="D5133" s="15" t="s">
        <v>16210</v>
      </c>
      <c r="E5133" s="18" t="s">
        <v>28</v>
      </c>
      <c r="F5133" s="19" t="s">
        <v>28</v>
      </c>
      <c r="G5133" s="19" t="s">
        <v>28</v>
      </c>
      <c r="H5133" s="19" t="s">
        <v>28</v>
      </c>
      <c r="I5133" s="18" t="s">
        <v>28</v>
      </c>
      <c r="J5133" s="18" t="s">
        <v>28</v>
      </c>
      <c r="K5133" s="18" t="s">
        <v>28</v>
      </c>
      <c r="L5133" s="18" t="s">
        <v>28</v>
      </c>
      <c r="M5133" s="18" t="s">
        <v>28</v>
      </c>
      <c r="N5133" s="17">
        <v>44256</v>
      </c>
      <c r="O5133" s="15" t="s">
        <v>79</v>
      </c>
      <c r="P5133" s="16" t="s">
        <v>16211</v>
      </c>
      <c r="Q5133" s="15" t="s">
        <v>245</v>
      </c>
      <c r="R5133" s="13" t="str">
        <f>HYPERLINK("https://my.pitchbook.com?c=204129-91T","View Company Online")</f>
        <v>View Company Online</v>
      </c>
    </row>
    <row r="5134" spans="1:18" hidden="1" x14ac:dyDescent="0.3">
      <c r="A5134" s="9" t="s">
        <v>16212</v>
      </c>
      <c r="B5134" s="9" t="s">
        <v>16213</v>
      </c>
      <c r="C5134" s="11" t="s">
        <v>28</v>
      </c>
      <c r="D5134" s="9" t="s">
        <v>16214</v>
      </c>
      <c r="E5134" s="11" t="s">
        <v>28</v>
      </c>
      <c r="F5134" s="10" t="s">
        <v>28</v>
      </c>
      <c r="G5134" s="10" t="s">
        <v>28</v>
      </c>
      <c r="H5134" s="10" t="s">
        <v>28</v>
      </c>
      <c r="I5134" s="11" t="s">
        <v>28</v>
      </c>
      <c r="J5134" s="11" t="s">
        <v>28</v>
      </c>
      <c r="K5134" s="11" t="s">
        <v>28</v>
      </c>
      <c r="L5134" s="11" t="s">
        <v>28</v>
      </c>
      <c r="M5134" s="11" t="s">
        <v>28</v>
      </c>
      <c r="N5134" s="8">
        <v>44256</v>
      </c>
      <c r="O5134" s="9" t="s">
        <v>73</v>
      </c>
      <c r="P5134" s="12" t="s">
        <v>7148</v>
      </c>
      <c r="Q5134" s="9" t="s">
        <v>75</v>
      </c>
      <c r="R5134" s="14" t="str">
        <f>HYPERLINK("https://my.pitchbook.com?c=168483-52T","View Company Online")</f>
        <v>View Company Online</v>
      </c>
    </row>
    <row r="5135" spans="1:18" hidden="1" x14ac:dyDescent="0.3">
      <c r="A5135" s="15" t="s">
        <v>16215</v>
      </c>
      <c r="B5135" s="15" t="s">
        <v>8633</v>
      </c>
      <c r="C5135" s="18" t="s">
        <v>28</v>
      </c>
      <c r="D5135" s="15" t="s">
        <v>8634</v>
      </c>
      <c r="E5135" s="18" t="s">
        <v>28</v>
      </c>
      <c r="F5135" s="19" t="s">
        <v>28</v>
      </c>
      <c r="G5135" s="19">
        <v>0.89</v>
      </c>
      <c r="H5135" s="19" t="s">
        <v>28</v>
      </c>
      <c r="I5135" s="18" t="s">
        <v>28</v>
      </c>
      <c r="J5135" s="18" t="s">
        <v>28</v>
      </c>
      <c r="K5135" s="18" t="s">
        <v>28</v>
      </c>
      <c r="L5135" s="18" t="s">
        <v>28</v>
      </c>
      <c r="M5135" s="18" t="s">
        <v>28</v>
      </c>
      <c r="N5135" s="17">
        <v>44256</v>
      </c>
      <c r="O5135" s="15" t="s">
        <v>79</v>
      </c>
      <c r="P5135" s="16" t="s">
        <v>28</v>
      </c>
      <c r="Q5135" s="15" t="s">
        <v>2168</v>
      </c>
      <c r="R5135" s="13" t="str">
        <f>HYPERLINK("https://my.pitchbook.com?c=211078-63T","View Company Online")</f>
        <v>View Company Online</v>
      </c>
    </row>
    <row r="5136" spans="1:18" hidden="1" x14ac:dyDescent="0.3">
      <c r="A5136" s="9" t="s">
        <v>16216</v>
      </c>
      <c r="B5136" s="9" t="s">
        <v>9104</v>
      </c>
      <c r="C5136" s="11" t="s">
        <v>28</v>
      </c>
      <c r="D5136" s="9" t="s">
        <v>9105</v>
      </c>
      <c r="E5136" s="11" t="s">
        <v>28</v>
      </c>
      <c r="F5136" s="10" t="s">
        <v>28</v>
      </c>
      <c r="G5136" s="10">
        <v>1.29</v>
      </c>
      <c r="H5136" s="10" t="s">
        <v>28</v>
      </c>
      <c r="I5136" s="11" t="s">
        <v>28</v>
      </c>
      <c r="J5136" s="11" t="s">
        <v>28</v>
      </c>
      <c r="K5136" s="11" t="s">
        <v>28</v>
      </c>
      <c r="L5136" s="11" t="s">
        <v>28</v>
      </c>
      <c r="M5136" s="11" t="s">
        <v>28</v>
      </c>
      <c r="N5136" s="8">
        <v>44256</v>
      </c>
      <c r="O5136" s="9" t="s">
        <v>379</v>
      </c>
      <c r="P5136" s="12" t="s">
        <v>28</v>
      </c>
      <c r="Q5136" s="9" t="s">
        <v>692</v>
      </c>
      <c r="R5136" s="14" t="str">
        <f>HYPERLINK("https://my.pitchbook.com?c=174313-63T","View Company Online")</f>
        <v>View Company Online</v>
      </c>
    </row>
    <row r="5137" spans="1:18" hidden="1" x14ac:dyDescent="0.3">
      <c r="A5137" s="15" t="s">
        <v>16217</v>
      </c>
      <c r="B5137" s="15" t="s">
        <v>9410</v>
      </c>
      <c r="C5137" s="18" t="s">
        <v>28</v>
      </c>
      <c r="D5137" s="15" t="s">
        <v>9411</v>
      </c>
      <c r="E5137" s="18" t="s">
        <v>28</v>
      </c>
      <c r="F5137" s="19" t="s">
        <v>28</v>
      </c>
      <c r="G5137" s="19" t="s">
        <v>28</v>
      </c>
      <c r="H5137" s="19" t="s">
        <v>28</v>
      </c>
      <c r="I5137" s="18" t="s">
        <v>28</v>
      </c>
      <c r="J5137" s="18" t="s">
        <v>28</v>
      </c>
      <c r="K5137" s="18" t="s">
        <v>28</v>
      </c>
      <c r="L5137" s="18" t="s">
        <v>28</v>
      </c>
      <c r="M5137" s="18" t="s">
        <v>28</v>
      </c>
      <c r="N5137" s="17">
        <v>44256</v>
      </c>
      <c r="O5137" s="15" t="s">
        <v>52</v>
      </c>
      <c r="P5137" s="16" t="s">
        <v>15933</v>
      </c>
      <c r="Q5137" s="15" t="s">
        <v>75</v>
      </c>
      <c r="R5137" s="13" t="str">
        <f>HYPERLINK("https://my.pitchbook.com?c=186715-45T","View Company Online")</f>
        <v>View Company Online</v>
      </c>
    </row>
    <row r="5138" spans="1:18" hidden="1" x14ac:dyDescent="0.3">
      <c r="A5138" s="9" t="s">
        <v>16218</v>
      </c>
      <c r="B5138" s="9" t="s">
        <v>16219</v>
      </c>
      <c r="C5138" s="11" t="s">
        <v>28</v>
      </c>
      <c r="D5138" s="9" t="s">
        <v>16220</v>
      </c>
      <c r="E5138" s="11" t="s">
        <v>28</v>
      </c>
      <c r="F5138" s="10" t="s">
        <v>28</v>
      </c>
      <c r="G5138" s="10">
        <v>0.4</v>
      </c>
      <c r="H5138" s="10">
        <v>1</v>
      </c>
      <c r="I5138" s="11" t="s">
        <v>28</v>
      </c>
      <c r="J5138" s="11" t="s">
        <v>28</v>
      </c>
      <c r="K5138" s="11" t="s">
        <v>28</v>
      </c>
      <c r="L5138" s="11" t="s">
        <v>28</v>
      </c>
      <c r="M5138" s="11" t="s">
        <v>28</v>
      </c>
      <c r="N5138" s="8">
        <v>44256</v>
      </c>
      <c r="O5138" s="9" t="s">
        <v>73</v>
      </c>
      <c r="P5138" s="12" t="s">
        <v>11535</v>
      </c>
      <c r="Q5138" s="9" t="s">
        <v>75</v>
      </c>
      <c r="R5138" s="14" t="str">
        <f>HYPERLINK("https://my.pitchbook.com?c=204712-93T","View Company Online")</f>
        <v>View Company Online</v>
      </c>
    </row>
    <row r="5139" spans="1:18" hidden="1" x14ac:dyDescent="0.3">
      <c r="A5139" s="15" t="s">
        <v>16221</v>
      </c>
      <c r="B5139" s="15" t="s">
        <v>2484</v>
      </c>
      <c r="C5139" s="18" t="s">
        <v>28</v>
      </c>
      <c r="D5139" s="15" t="s">
        <v>2485</v>
      </c>
      <c r="E5139" s="18" t="s">
        <v>28</v>
      </c>
      <c r="F5139" s="19" t="s">
        <v>28</v>
      </c>
      <c r="G5139" s="19" t="s">
        <v>28</v>
      </c>
      <c r="H5139" s="19" t="s">
        <v>28</v>
      </c>
      <c r="I5139" s="18" t="s">
        <v>28</v>
      </c>
      <c r="J5139" s="18" t="s">
        <v>28</v>
      </c>
      <c r="K5139" s="18" t="s">
        <v>28</v>
      </c>
      <c r="L5139" s="18" t="s">
        <v>28</v>
      </c>
      <c r="M5139" s="18" t="s">
        <v>28</v>
      </c>
      <c r="N5139" s="17">
        <v>44256</v>
      </c>
      <c r="O5139" s="15" t="s">
        <v>99</v>
      </c>
      <c r="P5139" s="16" t="s">
        <v>611</v>
      </c>
      <c r="Q5139" s="15" t="s">
        <v>75</v>
      </c>
      <c r="R5139" s="13" t="str">
        <f>HYPERLINK("https://my.pitchbook.com?c=178562-44T","View Company Online")</f>
        <v>View Company Online</v>
      </c>
    </row>
    <row r="5140" spans="1:18" hidden="1" x14ac:dyDescent="0.3">
      <c r="A5140" s="9" t="s">
        <v>16222</v>
      </c>
      <c r="B5140" s="9" t="s">
        <v>16223</v>
      </c>
      <c r="C5140" s="11" t="s">
        <v>28</v>
      </c>
      <c r="D5140" s="9" t="s">
        <v>16224</v>
      </c>
      <c r="E5140" s="11" t="s">
        <v>28</v>
      </c>
      <c r="F5140" s="10" t="s">
        <v>28</v>
      </c>
      <c r="G5140" s="10" t="s">
        <v>28</v>
      </c>
      <c r="H5140" s="10" t="s">
        <v>28</v>
      </c>
      <c r="I5140" s="11" t="s">
        <v>28</v>
      </c>
      <c r="J5140" s="11" t="s">
        <v>28</v>
      </c>
      <c r="K5140" s="11" t="s">
        <v>28</v>
      </c>
      <c r="L5140" s="11" t="s">
        <v>28</v>
      </c>
      <c r="M5140" s="11" t="s">
        <v>28</v>
      </c>
      <c r="N5140" s="8">
        <v>44256</v>
      </c>
      <c r="O5140" s="9" t="s">
        <v>41</v>
      </c>
      <c r="P5140" s="12" t="s">
        <v>15580</v>
      </c>
      <c r="Q5140" s="9" t="s">
        <v>290</v>
      </c>
      <c r="R5140" s="14" t="str">
        <f>HYPERLINK("https://my.pitchbook.com?c=224235-46T","View Company Online")</f>
        <v>View Company Online</v>
      </c>
    </row>
    <row r="5141" spans="1:18" hidden="1" x14ac:dyDescent="0.3">
      <c r="A5141" s="15" t="s">
        <v>16225</v>
      </c>
      <c r="B5141" s="15" t="s">
        <v>1181</v>
      </c>
      <c r="C5141" s="18" t="s">
        <v>28</v>
      </c>
      <c r="D5141" s="15" t="s">
        <v>1182</v>
      </c>
      <c r="E5141" s="18" t="s">
        <v>28</v>
      </c>
      <c r="F5141" s="19" t="s">
        <v>28</v>
      </c>
      <c r="G5141" s="19" t="s">
        <v>28</v>
      </c>
      <c r="H5141" s="19" t="s">
        <v>28</v>
      </c>
      <c r="I5141" s="18" t="s">
        <v>28</v>
      </c>
      <c r="J5141" s="18" t="s">
        <v>28</v>
      </c>
      <c r="K5141" s="18" t="s">
        <v>28</v>
      </c>
      <c r="L5141" s="18" t="s">
        <v>28</v>
      </c>
      <c r="M5141" s="18" t="s">
        <v>28</v>
      </c>
      <c r="N5141" s="17">
        <v>44256</v>
      </c>
      <c r="O5141" s="15" t="s">
        <v>73</v>
      </c>
      <c r="P5141" s="16" t="s">
        <v>3825</v>
      </c>
      <c r="Q5141" s="15" t="s">
        <v>37</v>
      </c>
      <c r="R5141" s="13" t="str">
        <f>HYPERLINK("https://my.pitchbook.com?c=216041-50T","View Company Online")</f>
        <v>View Company Online</v>
      </c>
    </row>
    <row r="5142" spans="1:18" hidden="1" x14ac:dyDescent="0.3">
      <c r="A5142" s="9" t="s">
        <v>16226</v>
      </c>
      <c r="B5142" s="9" t="s">
        <v>16227</v>
      </c>
      <c r="C5142" s="11" t="s">
        <v>28</v>
      </c>
      <c r="D5142" s="9" t="s">
        <v>16228</v>
      </c>
      <c r="E5142" s="11" t="s">
        <v>28</v>
      </c>
      <c r="F5142" s="10" t="s">
        <v>28</v>
      </c>
      <c r="G5142" s="10" t="s">
        <v>28</v>
      </c>
      <c r="H5142" s="10" t="s">
        <v>28</v>
      </c>
      <c r="I5142" s="11" t="s">
        <v>28</v>
      </c>
      <c r="J5142" s="11" t="s">
        <v>28</v>
      </c>
      <c r="K5142" s="11" t="s">
        <v>28</v>
      </c>
      <c r="L5142" s="11" t="s">
        <v>28</v>
      </c>
      <c r="M5142" s="11" t="s">
        <v>28</v>
      </c>
      <c r="N5142" s="8">
        <v>44256</v>
      </c>
      <c r="O5142" s="9" t="s">
        <v>93</v>
      </c>
      <c r="P5142" s="12" t="s">
        <v>16229</v>
      </c>
      <c r="Q5142" s="9" t="s">
        <v>1007</v>
      </c>
      <c r="R5142" s="14" t="str">
        <f>HYPERLINK("https://my.pitchbook.com?c=245115-82T","View Company Online")</f>
        <v>View Company Online</v>
      </c>
    </row>
    <row r="5143" spans="1:18" hidden="1" x14ac:dyDescent="0.3">
      <c r="A5143" s="15" t="s">
        <v>16230</v>
      </c>
      <c r="B5143" s="15" t="s">
        <v>4909</v>
      </c>
      <c r="C5143" s="18" t="s">
        <v>28</v>
      </c>
      <c r="D5143" s="15" t="s">
        <v>4910</v>
      </c>
      <c r="E5143" s="18" t="s">
        <v>28</v>
      </c>
      <c r="F5143" s="19" t="s">
        <v>28</v>
      </c>
      <c r="G5143" s="19">
        <v>0.37</v>
      </c>
      <c r="H5143" s="19" t="s">
        <v>28</v>
      </c>
      <c r="I5143" s="18" t="s">
        <v>28</v>
      </c>
      <c r="J5143" s="18" t="s">
        <v>28</v>
      </c>
      <c r="K5143" s="18" t="s">
        <v>28</v>
      </c>
      <c r="L5143" s="18" t="s">
        <v>28</v>
      </c>
      <c r="M5143" s="18" t="s">
        <v>28</v>
      </c>
      <c r="N5143" s="17">
        <v>44256</v>
      </c>
      <c r="O5143" s="15" t="s">
        <v>99</v>
      </c>
      <c r="P5143" s="16" t="s">
        <v>16231</v>
      </c>
      <c r="Q5143" s="15" t="s">
        <v>75</v>
      </c>
      <c r="R5143" s="13" t="str">
        <f>HYPERLINK("https://my.pitchbook.com?c=175729-69T","View Company Online")</f>
        <v>View Company Online</v>
      </c>
    </row>
    <row r="5144" spans="1:18" hidden="1" x14ac:dyDescent="0.3">
      <c r="A5144" s="9" t="s">
        <v>16232</v>
      </c>
      <c r="B5144" s="9" t="s">
        <v>5392</v>
      </c>
      <c r="C5144" s="11" t="s">
        <v>28</v>
      </c>
      <c r="D5144" s="9" t="s">
        <v>5393</v>
      </c>
      <c r="E5144" s="11">
        <v>442.35</v>
      </c>
      <c r="F5144" s="10" t="s">
        <v>28</v>
      </c>
      <c r="G5144" s="10" t="s">
        <v>28</v>
      </c>
      <c r="H5144" s="10" t="s">
        <v>28</v>
      </c>
      <c r="I5144" s="11">
        <v>708.65</v>
      </c>
      <c r="J5144" s="11" t="s">
        <v>28</v>
      </c>
      <c r="K5144" s="11">
        <v>6995.86</v>
      </c>
      <c r="L5144" s="11" t="s">
        <v>28</v>
      </c>
      <c r="M5144" s="11">
        <v>271.35000000000002</v>
      </c>
      <c r="N5144" s="8">
        <v>44256</v>
      </c>
      <c r="O5144" s="9" t="s">
        <v>173</v>
      </c>
      <c r="P5144" s="12" t="s">
        <v>28</v>
      </c>
      <c r="Q5144" s="9" t="s">
        <v>109</v>
      </c>
      <c r="R5144" s="14" t="str">
        <f>HYPERLINK("https://my.pitchbook.com?c=169592-86T","View Company Online")</f>
        <v>View Company Online</v>
      </c>
    </row>
    <row r="5145" spans="1:18" hidden="1" x14ac:dyDescent="0.3">
      <c r="A5145" s="15" t="s">
        <v>16233</v>
      </c>
      <c r="B5145" s="15" t="s">
        <v>16234</v>
      </c>
      <c r="C5145" s="18" t="s">
        <v>28</v>
      </c>
      <c r="D5145" s="15" t="s">
        <v>16235</v>
      </c>
      <c r="E5145" s="18" t="s">
        <v>28</v>
      </c>
      <c r="F5145" s="19" t="s">
        <v>28</v>
      </c>
      <c r="G5145" s="19" t="s">
        <v>28</v>
      </c>
      <c r="H5145" s="19" t="s">
        <v>28</v>
      </c>
      <c r="I5145" s="18" t="s">
        <v>28</v>
      </c>
      <c r="J5145" s="18" t="s">
        <v>28</v>
      </c>
      <c r="K5145" s="18" t="s">
        <v>28</v>
      </c>
      <c r="L5145" s="18" t="s">
        <v>28</v>
      </c>
      <c r="M5145" s="18" t="s">
        <v>28</v>
      </c>
      <c r="N5145" s="17">
        <v>44256</v>
      </c>
      <c r="O5145" s="15" t="s">
        <v>99</v>
      </c>
      <c r="P5145" s="16" t="s">
        <v>16236</v>
      </c>
      <c r="Q5145" s="15" t="s">
        <v>75</v>
      </c>
      <c r="R5145" s="13" t="str">
        <f>HYPERLINK("https://my.pitchbook.com?c=207559-90T","View Company Online")</f>
        <v>View Company Online</v>
      </c>
    </row>
    <row r="5146" spans="1:18" hidden="1" x14ac:dyDescent="0.3">
      <c r="A5146" s="9" t="s">
        <v>16237</v>
      </c>
      <c r="B5146" s="9" t="s">
        <v>8154</v>
      </c>
      <c r="C5146" s="11" t="s">
        <v>28</v>
      </c>
      <c r="D5146" s="9" t="s">
        <v>8155</v>
      </c>
      <c r="E5146" s="11" t="s">
        <v>28</v>
      </c>
      <c r="F5146" s="10" t="s">
        <v>28</v>
      </c>
      <c r="G5146" s="10">
        <v>1.6</v>
      </c>
      <c r="H5146" s="10">
        <v>8</v>
      </c>
      <c r="I5146" s="11" t="s">
        <v>28</v>
      </c>
      <c r="J5146" s="11" t="s">
        <v>28</v>
      </c>
      <c r="K5146" s="11" t="s">
        <v>28</v>
      </c>
      <c r="L5146" s="11" t="s">
        <v>28</v>
      </c>
      <c r="M5146" s="11" t="s">
        <v>28</v>
      </c>
      <c r="N5146" s="8">
        <v>44256</v>
      </c>
      <c r="O5146" s="9" t="s">
        <v>99</v>
      </c>
      <c r="P5146" s="12" t="s">
        <v>16238</v>
      </c>
      <c r="Q5146" s="9" t="s">
        <v>119</v>
      </c>
      <c r="R5146" s="14" t="str">
        <f>HYPERLINK("https://my.pitchbook.com?c=170935-66T","View Company Online")</f>
        <v>View Company Online</v>
      </c>
    </row>
    <row r="5147" spans="1:18" hidden="1" x14ac:dyDescent="0.3">
      <c r="A5147" s="15" t="s">
        <v>16239</v>
      </c>
      <c r="B5147" s="15" t="s">
        <v>16240</v>
      </c>
      <c r="C5147" s="18" t="s">
        <v>28</v>
      </c>
      <c r="D5147" s="15" t="s">
        <v>16241</v>
      </c>
      <c r="E5147" s="18" t="s">
        <v>28</v>
      </c>
      <c r="F5147" s="19" t="s">
        <v>28</v>
      </c>
      <c r="G5147" s="19" t="s">
        <v>28</v>
      </c>
      <c r="H5147" s="19" t="s">
        <v>28</v>
      </c>
      <c r="I5147" s="18" t="s">
        <v>28</v>
      </c>
      <c r="J5147" s="18" t="s">
        <v>28</v>
      </c>
      <c r="K5147" s="18" t="s">
        <v>28</v>
      </c>
      <c r="L5147" s="18" t="s">
        <v>28</v>
      </c>
      <c r="M5147" s="18" t="s">
        <v>28</v>
      </c>
      <c r="N5147" s="17">
        <v>44256</v>
      </c>
      <c r="O5147" s="15" t="s">
        <v>73</v>
      </c>
      <c r="P5147" s="16" t="s">
        <v>611</v>
      </c>
      <c r="Q5147" s="15" t="s">
        <v>75</v>
      </c>
      <c r="R5147" s="13" t="str">
        <f>HYPERLINK("https://my.pitchbook.com?c=167692-78T","View Company Online")</f>
        <v>View Company Online</v>
      </c>
    </row>
    <row r="5148" spans="1:18" hidden="1" x14ac:dyDescent="0.3">
      <c r="A5148" s="9" t="s">
        <v>16242</v>
      </c>
      <c r="B5148" s="9" t="s">
        <v>16243</v>
      </c>
      <c r="C5148" s="11" t="s">
        <v>28</v>
      </c>
      <c r="D5148" s="9" t="s">
        <v>16244</v>
      </c>
      <c r="E5148" s="11" t="s">
        <v>28</v>
      </c>
      <c r="F5148" s="10" t="s">
        <v>28</v>
      </c>
      <c r="G5148" s="10" t="s">
        <v>28</v>
      </c>
      <c r="H5148" s="10" t="s">
        <v>28</v>
      </c>
      <c r="I5148" s="11" t="s">
        <v>28</v>
      </c>
      <c r="J5148" s="11" t="s">
        <v>28</v>
      </c>
      <c r="K5148" s="11">
        <v>213.51</v>
      </c>
      <c r="L5148" s="11" t="s">
        <v>28</v>
      </c>
      <c r="M5148" s="11" t="s">
        <v>28</v>
      </c>
      <c r="N5148" s="8">
        <v>44255</v>
      </c>
      <c r="O5148" s="9" t="s">
        <v>30</v>
      </c>
      <c r="P5148" s="12" t="s">
        <v>7471</v>
      </c>
      <c r="Q5148" s="9" t="s">
        <v>75</v>
      </c>
      <c r="R5148" s="14" t="str">
        <f>HYPERLINK("https://my.pitchbook.com?c=188792-38T","View Company Online")</f>
        <v>View Company Online</v>
      </c>
    </row>
    <row r="5149" spans="1:18" hidden="1" x14ac:dyDescent="0.3">
      <c r="A5149" s="15" t="s">
        <v>16245</v>
      </c>
      <c r="B5149" s="15" t="s">
        <v>4243</v>
      </c>
      <c r="C5149" s="18" t="s">
        <v>28</v>
      </c>
      <c r="D5149" s="15" t="s">
        <v>4244</v>
      </c>
      <c r="E5149" s="18" t="s">
        <v>28</v>
      </c>
      <c r="F5149" s="19" t="s">
        <v>28</v>
      </c>
      <c r="G5149" s="19" t="s">
        <v>28</v>
      </c>
      <c r="H5149" s="19" t="s">
        <v>28</v>
      </c>
      <c r="I5149" s="18" t="s">
        <v>28</v>
      </c>
      <c r="J5149" s="18" t="s">
        <v>28</v>
      </c>
      <c r="K5149" s="18" t="s">
        <v>28</v>
      </c>
      <c r="L5149" s="18" t="s">
        <v>28</v>
      </c>
      <c r="M5149" s="18" t="s">
        <v>28</v>
      </c>
      <c r="N5149" s="17">
        <v>44253</v>
      </c>
      <c r="O5149" s="15" t="s">
        <v>52</v>
      </c>
      <c r="P5149" s="16" t="s">
        <v>4736</v>
      </c>
      <c r="Q5149" s="15" t="s">
        <v>37</v>
      </c>
      <c r="R5149" s="13" t="str">
        <f>HYPERLINK("https://my.pitchbook.com?c=274135-06T","View Company Online")</f>
        <v>View Company Online</v>
      </c>
    </row>
    <row r="5150" spans="1:18" hidden="1" x14ac:dyDescent="0.3">
      <c r="A5150" s="9" t="s">
        <v>16246</v>
      </c>
      <c r="B5150" s="9" t="s">
        <v>16247</v>
      </c>
      <c r="C5150" s="11" t="s">
        <v>28</v>
      </c>
      <c r="D5150" s="9" t="s">
        <v>16248</v>
      </c>
      <c r="E5150" s="11" t="s">
        <v>28</v>
      </c>
      <c r="F5150" s="10" t="s">
        <v>28</v>
      </c>
      <c r="G5150" s="10" t="s">
        <v>28</v>
      </c>
      <c r="H5150" s="10" t="s">
        <v>28</v>
      </c>
      <c r="I5150" s="11" t="s">
        <v>28</v>
      </c>
      <c r="J5150" s="11" t="s">
        <v>28</v>
      </c>
      <c r="K5150" s="11" t="s">
        <v>28</v>
      </c>
      <c r="L5150" s="11" t="s">
        <v>28</v>
      </c>
      <c r="M5150" s="11" t="s">
        <v>28</v>
      </c>
      <c r="N5150" s="8">
        <v>44253</v>
      </c>
      <c r="O5150" s="9" t="s">
        <v>30</v>
      </c>
      <c r="P5150" s="12" t="s">
        <v>9529</v>
      </c>
      <c r="Q5150" s="9" t="s">
        <v>8999</v>
      </c>
      <c r="R5150" s="14" t="str">
        <f>HYPERLINK("https://my.pitchbook.com?c=183302-92T","View Company Online")</f>
        <v>View Company Online</v>
      </c>
    </row>
    <row r="5151" spans="1:18" hidden="1" x14ac:dyDescent="0.3">
      <c r="A5151" s="15" t="s">
        <v>16249</v>
      </c>
      <c r="B5151" s="15" t="s">
        <v>16250</v>
      </c>
      <c r="C5151" s="18" t="s">
        <v>28</v>
      </c>
      <c r="D5151" s="15" t="s">
        <v>16251</v>
      </c>
      <c r="E5151" s="18" t="s">
        <v>28</v>
      </c>
      <c r="F5151" s="19" t="s">
        <v>28</v>
      </c>
      <c r="G5151" s="19" t="s">
        <v>28</v>
      </c>
      <c r="H5151" s="19" t="s">
        <v>28</v>
      </c>
      <c r="I5151" s="18" t="s">
        <v>28</v>
      </c>
      <c r="J5151" s="18" t="s">
        <v>28</v>
      </c>
      <c r="K5151" s="18" t="s">
        <v>28</v>
      </c>
      <c r="L5151" s="18" t="s">
        <v>28</v>
      </c>
      <c r="M5151" s="18" t="s">
        <v>28</v>
      </c>
      <c r="N5151" s="17">
        <v>44253</v>
      </c>
      <c r="O5151" s="15" t="s">
        <v>41</v>
      </c>
      <c r="P5151" s="16" t="s">
        <v>16252</v>
      </c>
      <c r="Q5151" s="15" t="s">
        <v>16253</v>
      </c>
      <c r="R5151" s="13" t="str">
        <f>HYPERLINK("https://my.pitchbook.com?c=164899-36T","View Company Online")</f>
        <v>View Company Online</v>
      </c>
    </row>
    <row r="5152" spans="1:18" hidden="1" x14ac:dyDescent="0.3">
      <c r="A5152" s="9" t="s">
        <v>16254</v>
      </c>
      <c r="B5152" s="9" t="s">
        <v>16255</v>
      </c>
      <c r="C5152" s="11" t="s">
        <v>28</v>
      </c>
      <c r="D5152" s="9" t="s">
        <v>16256</v>
      </c>
      <c r="E5152" s="11">
        <v>1.55</v>
      </c>
      <c r="F5152" s="10" t="s">
        <v>28</v>
      </c>
      <c r="G5152" s="10" t="s">
        <v>28</v>
      </c>
      <c r="H5152" s="10" t="s">
        <v>28</v>
      </c>
      <c r="I5152" s="11">
        <v>1.55</v>
      </c>
      <c r="J5152" s="11" t="s">
        <v>28</v>
      </c>
      <c r="K5152" s="11">
        <v>0.33</v>
      </c>
      <c r="L5152" s="11" t="s">
        <v>28</v>
      </c>
      <c r="M5152" s="11">
        <v>1.55</v>
      </c>
      <c r="N5152" s="8">
        <v>44253</v>
      </c>
      <c r="O5152" s="9" t="s">
        <v>173</v>
      </c>
      <c r="P5152" s="12" t="s">
        <v>28</v>
      </c>
      <c r="Q5152" s="9" t="s">
        <v>174</v>
      </c>
      <c r="R5152" s="14" t="str">
        <f>HYPERLINK("https://my.pitchbook.com?c=251331-22T","View Company Online")</f>
        <v>View Company Online</v>
      </c>
    </row>
    <row r="5153" spans="1:18" hidden="1" x14ac:dyDescent="0.3">
      <c r="A5153" s="15" t="s">
        <v>16257</v>
      </c>
      <c r="B5153" s="15" t="s">
        <v>9141</v>
      </c>
      <c r="C5153" s="18" t="s">
        <v>28</v>
      </c>
      <c r="D5153" s="15" t="s">
        <v>9142</v>
      </c>
      <c r="E5153" s="18" t="s">
        <v>28</v>
      </c>
      <c r="F5153" s="19" t="s">
        <v>28</v>
      </c>
      <c r="G5153" s="19">
        <v>0.43</v>
      </c>
      <c r="H5153" s="19">
        <v>3.04</v>
      </c>
      <c r="I5153" s="18" t="s">
        <v>28</v>
      </c>
      <c r="J5153" s="18" t="s">
        <v>28</v>
      </c>
      <c r="K5153" s="18" t="s">
        <v>28</v>
      </c>
      <c r="L5153" s="18" t="s">
        <v>28</v>
      </c>
      <c r="M5153" s="18" t="s">
        <v>28</v>
      </c>
      <c r="N5153" s="17">
        <v>44253</v>
      </c>
      <c r="O5153" s="15" t="s">
        <v>1639</v>
      </c>
      <c r="P5153" s="16" t="s">
        <v>611</v>
      </c>
      <c r="Q5153" s="15" t="s">
        <v>740</v>
      </c>
      <c r="R5153" s="13" t="str">
        <f>HYPERLINK("https://my.pitchbook.com?c=194464-81T","View Company Online")</f>
        <v>View Company Online</v>
      </c>
    </row>
    <row r="5154" spans="1:18" hidden="1" x14ac:dyDescent="0.3">
      <c r="A5154" s="9" t="s">
        <v>16258</v>
      </c>
      <c r="B5154" s="9" t="s">
        <v>1397</v>
      </c>
      <c r="C5154" s="11" t="s">
        <v>28</v>
      </c>
      <c r="D5154" s="9" t="s">
        <v>1398</v>
      </c>
      <c r="E5154" s="11" t="s">
        <v>28</v>
      </c>
      <c r="F5154" s="10" t="s">
        <v>28</v>
      </c>
      <c r="G5154" s="10" t="s">
        <v>28</v>
      </c>
      <c r="H5154" s="10" t="s">
        <v>28</v>
      </c>
      <c r="I5154" s="11" t="s">
        <v>28</v>
      </c>
      <c r="J5154" s="11" t="s">
        <v>28</v>
      </c>
      <c r="K5154" s="11" t="s">
        <v>28</v>
      </c>
      <c r="L5154" s="11" t="s">
        <v>28</v>
      </c>
      <c r="M5154" s="11" t="s">
        <v>28</v>
      </c>
      <c r="N5154" s="8">
        <v>44253</v>
      </c>
      <c r="O5154" s="9" t="s">
        <v>52</v>
      </c>
      <c r="P5154" s="12" t="s">
        <v>4589</v>
      </c>
      <c r="Q5154" s="9" t="s">
        <v>37</v>
      </c>
      <c r="R5154" s="14" t="str">
        <f>HYPERLINK("https://my.pitchbook.com?c=273737-26T","View Company Online")</f>
        <v>View Company Online</v>
      </c>
    </row>
    <row r="5155" spans="1:18" hidden="1" x14ac:dyDescent="0.3">
      <c r="A5155" s="15" t="s">
        <v>16259</v>
      </c>
      <c r="B5155" s="15" t="s">
        <v>16260</v>
      </c>
      <c r="C5155" s="18" t="s">
        <v>28</v>
      </c>
      <c r="D5155" s="15" t="s">
        <v>16261</v>
      </c>
      <c r="E5155" s="18" t="s">
        <v>28</v>
      </c>
      <c r="F5155" s="19" t="s">
        <v>28</v>
      </c>
      <c r="G5155" s="19">
        <v>37.01</v>
      </c>
      <c r="H5155" s="19" t="s">
        <v>28</v>
      </c>
      <c r="I5155" s="18" t="s">
        <v>28</v>
      </c>
      <c r="J5155" s="18" t="s">
        <v>28</v>
      </c>
      <c r="K5155" s="18" t="s">
        <v>28</v>
      </c>
      <c r="L5155" s="18" t="s">
        <v>28</v>
      </c>
      <c r="M5155" s="18" t="s">
        <v>28</v>
      </c>
      <c r="N5155" s="17">
        <v>44252</v>
      </c>
      <c r="O5155" s="15" t="s">
        <v>73</v>
      </c>
      <c r="P5155" s="16" t="s">
        <v>16262</v>
      </c>
      <c r="Q5155" s="15" t="s">
        <v>1263</v>
      </c>
      <c r="R5155" s="13" t="str">
        <f>HYPERLINK("https://my.pitchbook.com?c=217246-15T","View Company Online")</f>
        <v>View Company Online</v>
      </c>
    </row>
    <row r="5156" spans="1:18" hidden="1" x14ac:dyDescent="0.3">
      <c r="A5156" s="9" t="s">
        <v>16263</v>
      </c>
      <c r="B5156" s="9" t="s">
        <v>292</v>
      </c>
      <c r="C5156" s="11" t="s">
        <v>28</v>
      </c>
      <c r="D5156" s="9" t="s">
        <v>293</v>
      </c>
      <c r="E5156" s="11" t="s">
        <v>28</v>
      </c>
      <c r="F5156" s="10" t="s">
        <v>28</v>
      </c>
      <c r="G5156" s="10">
        <v>0.46</v>
      </c>
      <c r="H5156" s="10" t="s">
        <v>28</v>
      </c>
      <c r="I5156" s="11" t="s">
        <v>28</v>
      </c>
      <c r="J5156" s="11" t="s">
        <v>28</v>
      </c>
      <c r="K5156" s="11" t="s">
        <v>28</v>
      </c>
      <c r="L5156" s="11" t="s">
        <v>28</v>
      </c>
      <c r="M5156" s="11" t="s">
        <v>28</v>
      </c>
      <c r="N5156" s="8">
        <v>44252</v>
      </c>
      <c r="O5156" s="9" t="s">
        <v>99</v>
      </c>
      <c r="P5156" s="12" t="s">
        <v>16264</v>
      </c>
      <c r="Q5156" s="9" t="s">
        <v>75</v>
      </c>
      <c r="R5156" s="14" t="str">
        <f>HYPERLINK("https://my.pitchbook.com?c=167449-69T","View Company Online")</f>
        <v>View Company Online</v>
      </c>
    </row>
    <row r="5157" spans="1:18" hidden="1" x14ac:dyDescent="0.3">
      <c r="A5157" s="15" t="s">
        <v>16265</v>
      </c>
      <c r="B5157" s="15" t="s">
        <v>16266</v>
      </c>
      <c r="C5157" s="18" t="s">
        <v>28</v>
      </c>
      <c r="D5157" s="15" t="s">
        <v>16267</v>
      </c>
      <c r="E5157" s="18" t="s">
        <v>28</v>
      </c>
      <c r="F5157" s="19" t="s">
        <v>28</v>
      </c>
      <c r="G5157" s="19" t="s">
        <v>28</v>
      </c>
      <c r="H5157" s="19" t="s">
        <v>28</v>
      </c>
      <c r="I5157" s="18" t="s">
        <v>28</v>
      </c>
      <c r="J5157" s="18" t="s">
        <v>28</v>
      </c>
      <c r="K5157" s="18" t="s">
        <v>28</v>
      </c>
      <c r="L5157" s="18" t="s">
        <v>28</v>
      </c>
      <c r="M5157" s="18" t="s">
        <v>28</v>
      </c>
      <c r="N5157" s="17">
        <v>44252</v>
      </c>
      <c r="O5157" s="15" t="s">
        <v>58</v>
      </c>
      <c r="P5157" s="16" t="s">
        <v>2372</v>
      </c>
      <c r="Q5157" s="15" t="s">
        <v>240</v>
      </c>
      <c r="R5157" s="13" t="str">
        <f>HYPERLINK("https://my.pitchbook.com?c=168016-15T","View Company Online")</f>
        <v>View Company Online</v>
      </c>
    </row>
    <row r="5158" spans="1:18" hidden="1" x14ac:dyDescent="0.3">
      <c r="A5158" s="9" t="s">
        <v>16268</v>
      </c>
      <c r="B5158" s="9" t="s">
        <v>16269</v>
      </c>
      <c r="C5158" s="11" t="s">
        <v>28</v>
      </c>
      <c r="D5158" s="9" t="s">
        <v>16270</v>
      </c>
      <c r="E5158" s="11" t="s">
        <v>28</v>
      </c>
      <c r="F5158" s="10" t="s">
        <v>28</v>
      </c>
      <c r="G5158" s="10">
        <v>0.13</v>
      </c>
      <c r="H5158" s="10" t="s">
        <v>28</v>
      </c>
      <c r="I5158" s="11" t="s">
        <v>28</v>
      </c>
      <c r="J5158" s="11" t="s">
        <v>28</v>
      </c>
      <c r="K5158" s="11" t="s">
        <v>28</v>
      </c>
      <c r="L5158" s="11" t="s">
        <v>28</v>
      </c>
      <c r="M5158" s="11" t="s">
        <v>28</v>
      </c>
      <c r="N5158" s="8">
        <v>44252</v>
      </c>
      <c r="O5158" s="9" t="s">
        <v>52</v>
      </c>
      <c r="P5158" s="12" t="s">
        <v>3944</v>
      </c>
      <c r="Q5158" s="9" t="s">
        <v>583</v>
      </c>
      <c r="R5158" s="14" t="str">
        <f>HYPERLINK("https://my.pitchbook.com?c=169063-48T","View Company Online")</f>
        <v>View Company Online</v>
      </c>
    </row>
    <row r="5159" spans="1:18" hidden="1" x14ac:dyDescent="0.3">
      <c r="A5159" s="15" t="s">
        <v>16271</v>
      </c>
      <c r="B5159" s="15" t="s">
        <v>16272</v>
      </c>
      <c r="C5159" s="18" t="s">
        <v>28</v>
      </c>
      <c r="D5159" s="15" t="s">
        <v>16273</v>
      </c>
      <c r="E5159" s="18" t="s">
        <v>28</v>
      </c>
      <c r="F5159" s="19" t="s">
        <v>28</v>
      </c>
      <c r="G5159" s="19">
        <v>212</v>
      </c>
      <c r="H5159" s="19">
        <v>2000</v>
      </c>
      <c r="I5159" s="18" t="s">
        <v>28</v>
      </c>
      <c r="J5159" s="18" t="s">
        <v>28</v>
      </c>
      <c r="K5159" s="18" t="s">
        <v>28</v>
      </c>
      <c r="L5159" s="18" t="s">
        <v>28</v>
      </c>
      <c r="M5159" s="18" t="s">
        <v>28</v>
      </c>
      <c r="N5159" s="17">
        <v>44252</v>
      </c>
      <c r="O5159" s="15" t="s">
        <v>79</v>
      </c>
      <c r="P5159" s="16" t="s">
        <v>16274</v>
      </c>
      <c r="Q5159" s="15" t="s">
        <v>5347</v>
      </c>
      <c r="R5159" s="13" t="str">
        <f>HYPERLINK("https://my.pitchbook.com?c=167588-92T","View Company Online")</f>
        <v>View Company Online</v>
      </c>
    </row>
    <row r="5160" spans="1:18" hidden="1" x14ac:dyDescent="0.3">
      <c r="A5160" s="9" t="s">
        <v>16275</v>
      </c>
      <c r="B5160" s="9" t="s">
        <v>16276</v>
      </c>
      <c r="C5160" s="11" t="s">
        <v>28</v>
      </c>
      <c r="D5160" s="9" t="s">
        <v>16277</v>
      </c>
      <c r="E5160" s="11" t="s">
        <v>28</v>
      </c>
      <c r="F5160" s="10" t="s">
        <v>28</v>
      </c>
      <c r="G5160" s="10" t="s">
        <v>28</v>
      </c>
      <c r="H5160" s="10" t="s">
        <v>28</v>
      </c>
      <c r="I5160" s="11" t="s">
        <v>28</v>
      </c>
      <c r="J5160" s="11" t="s">
        <v>28</v>
      </c>
      <c r="K5160" s="11" t="s">
        <v>28</v>
      </c>
      <c r="L5160" s="11" t="s">
        <v>28</v>
      </c>
      <c r="M5160" s="11" t="s">
        <v>28</v>
      </c>
      <c r="N5160" s="8">
        <v>44252</v>
      </c>
      <c r="O5160" s="9" t="s">
        <v>30</v>
      </c>
      <c r="P5160" s="12" t="s">
        <v>16278</v>
      </c>
      <c r="Q5160" s="9" t="s">
        <v>75</v>
      </c>
      <c r="R5160" s="14" t="str">
        <f>HYPERLINK("https://my.pitchbook.com?c=172462-15T","View Company Online")</f>
        <v>View Company Online</v>
      </c>
    </row>
    <row r="5161" spans="1:18" hidden="1" x14ac:dyDescent="0.3">
      <c r="A5161" s="15" t="s">
        <v>16279</v>
      </c>
      <c r="B5161" s="15" t="s">
        <v>16280</v>
      </c>
      <c r="C5161" s="18" t="s">
        <v>28</v>
      </c>
      <c r="D5161" s="15" t="s">
        <v>16281</v>
      </c>
      <c r="E5161" s="18" t="s">
        <v>28</v>
      </c>
      <c r="F5161" s="19" t="s">
        <v>28</v>
      </c>
      <c r="G5161" s="19">
        <v>0.01</v>
      </c>
      <c r="H5161" s="19" t="s">
        <v>28</v>
      </c>
      <c r="I5161" s="18" t="s">
        <v>28</v>
      </c>
      <c r="J5161" s="18" t="s">
        <v>28</v>
      </c>
      <c r="K5161" s="18" t="s">
        <v>28</v>
      </c>
      <c r="L5161" s="18" t="s">
        <v>28</v>
      </c>
      <c r="M5161" s="18" t="s">
        <v>28</v>
      </c>
      <c r="N5161" s="17">
        <v>44251</v>
      </c>
      <c r="O5161" s="15" t="s">
        <v>52</v>
      </c>
      <c r="P5161" s="16" t="s">
        <v>16282</v>
      </c>
      <c r="Q5161" s="15" t="s">
        <v>362</v>
      </c>
      <c r="R5161" s="13" t="str">
        <f>HYPERLINK("https://my.pitchbook.com?c=213039-19T","View Company Online")</f>
        <v>View Company Online</v>
      </c>
    </row>
    <row r="5162" spans="1:18" hidden="1" x14ac:dyDescent="0.3">
      <c r="A5162" s="9" t="s">
        <v>16283</v>
      </c>
      <c r="B5162" s="9" t="s">
        <v>685</v>
      </c>
      <c r="C5162" s="11" t="s">
        <v>28</v>
      </c>
      <c r="D5162" s="9" t="s">
        <v>686</v>
      </c>
      <c r="E5162" s="11" t="s">
        <v>28</v>
      </c>
      <c r="F5162" s="10" t="s">
        <v>28</v>
      </c>
      <c r="G5162" s="10" t="s">
        <v>28</v>
      </c>
      <c r="H5162" s="10" t="s">
        <v>28</v>
      </c>
      <c r="I5162" s="11">
        <v>6.91</v>
      </c>
      <c r="J5162" s="11" t="s">
        <v>28</v>
      </c>
      <c r="K5162" s="11">
        <v>138.25</v>
      </c>
      <c r="L5162" s="11" t="s">
        <v>28</v>
      </c>
      <c r="M5162" s="11" t="s">
        <v>28</v>
      </c>
      <c r="N5162" s="8">
        <v>44251</v>
      </c>
      <c r="O5162" s="9" t="s">
        <v>173</v>
      </c>
      <c r="P5162" s="12" t="s">
        <v>28</v>
      </c>
      <c r="Q5162" s="9" t="s">
        <v>409</v>
      </c>
      <c r="R5162" s="14" t="str">
        <f>HYPERLINK("https://my.pitchbook.com?c=158877-01T","View Company Online")</f>
        <v>View Company Online</v>
      </c>
    </row>
    <row r="5163" spans="1:18" hidden="1" x14ac:dyDescent="0.3">
      <c r="A5163" s="15" t="s">
        <v>16284</v>
      </c>
      <c r="B5163" s="15" t="s">
        <v>16285</v>
      </c>
      <c r="C5163" s="18" t="s">
        <v>28</v>
      </c>
      <c r="D5163" s="15" t="s">
        <v>16286</v>
      </c>
      <c r="E5163" s="18" t="s">
        <v>28</v>
      </c>
      <c r="F5163" s="19" t="s">
        <v>28</v>
      </c>
      <c r="G5163" s="19">
        <v>17.62</v>
      </c>
      <c r="H5163" s="19" t="s">
        <v>28</v>
      </c>
      <c r="I5163" s="18" t="s">
        <v>28</v>
      </c>
      <c r="J5163" s="18" t="s">
        <v>28</v>
      </c>
      <c r="K5163" s="18" t="s">
        <v>28</v>
      </c>
      <c r="L5163" s="18" t="s">
        <v>28</v>
      </c>
      <c r="M5163" s="18" t="s">
        <v>28</v>
      </c>
      <c r="N5163" s="17">
        <v>44251</v>
      </c>
      <c r="O5163" s="15" t="s">
        <v>79</v>
      </c>
      <c r="P5163" s="16" t="s">
        <v>4393</v>
      </c>
      <c r="Q5163" s="15" t="s">
        <v>114</v>
      </c>
      <c r="R5163" s="13" t="str">
        <f>HYPERLINK("https://my.pitchbook.com?c=203191-75T","View Company Online")</f>
        <v>View Company Online</v>
      </c>
    </row>
    <row r="5164" spans="1:18" hidden="1" x14ac:dyDescent="0.3">
      <c r="A5164" s="9" t="s">
        <v>16287</v>
      </c>
      <c r="B5164" s="9" t="s">
        <v>16288</v>
      </c>
      <c r="C5164" s="11" t="s">
        <v>28</v>
      </c>
      <c r="D5164" s="9" t="s">
        <v>16289</v>
      </c>
      <c r="E5164" s="11" t="s">
        <v>28</v>
      </c>
      <c r="F5164" s="10" t="s">
        <v>28</v>
      </c>
      <c r="G5164" s="10" t="s">
        <v>28</v>
      </c>
      <c r="H5164" s="10" t="s">
        <v>28</v>
      </c>
      <c r="I5164" s="11" t="s">
        <v>28</v>
      </c>
      <c r="J5164" s="11" t="s">
        <v>28</v>
      </c>
      <c r="K5164" s="11">
        <v>96.01</v>
      </c>
      <c r="L5164" s="11" t="s">
        <v>28</v>
      </c>
      <c r="M5164" s="11" t="s">
        <v>28</v>
      </c>
      <c r="N5164" s="8">
        <v>44251</v>
      </c>
      <c r="O5164" s="9" t="s">
        <v>30</v>
      </c>
      <c r="P5164" s="12" t="s">
        <v>16290</v>
      </c>
      <c r="Q5164" s="9" t="s">
        <v>449</v>
      </c>
      <c r="R5164" s="14" t="str">
        <f>HYPERLINK("https://my.pitchbook.com?c=167339-44T","View Company Online")</f>
        <v>View Company Online</v>
      </c>
    </row>
    <row r="5165" spans="1:18" hidden="1" x14ac:dyDescent="0.3">
      <c r="A5165" s="15" t="s">
        <v>16291</v>
      </c>
      <c r="B5165" s="15" t="s">
        <v>16292</v>
      </c>
      <c r="C5165" s="18" t="s">
        <v>28</v>
      </c>
      <c r="D5165" s="15" t="s">
        <v>16293</v>
      </c>
      <c r="E5165" s="18" t="s">
        <v>28</v>
      </c>
      <c r="F5165" s="19" t="s">
        <v>28</v>
      </c>
      <c r="G5165" s="19" t="s">
        <v>28</v>
      </c>
      <c r="H5165" s="19" t="s">
        <v>28</v>
      </c>
      <c r="I5165" s="18" t="s">
        <v>28</v>
      </c>
      <c r="J5165" s="18" t="s">
        <v>28</v>
      </c>
      <c r="K5165" s="18" t="s">
        <v>28</v>
      </c>
      <c r="L5165" s="18" t="s">
        <v>28</v>
      </c>
      <c r="M5165" s="18" t="s">
        <v>28</v>
      </c>
      <c r="N5165" s="17">
        <v>44250</v>
      </c>
      <c r="O5165" s="15" t="s">
        <v>52</v>
      </c>
      <c r="P5165" s="16" t="s">
        <v>4297</v>
      </c>
      <c r="Q5165" s="15" t="s">
        <v>75</v>
      </c>
      <c r="R5165" s="13" t="str">
        <f>HYPERLINK("https://my.pitchbook.com?c=167804-74T","View Company Online")</f>
        <v>View Company Online</v>
      </c>
    </row>
    <row r="5166" spans="1:18" hidden="1" x14ac:dyDescent="0.3">
      <c r="A5166" s="9" t="s">
        <v>16294</v>
      </c>
      <c r="B5166" s="9" t="s">
        <v>16295</v>
      </c>
      <c r="C5166" s="11" t="s">
        <v>28</v>
      </c>
      <c r="D5166" s="9" t="s">
        <v>16296</v>
      </c>
      <c r="E5166" s="11" t="s">
        <v>28</v>
      </c>
      <c r="F5166" s="10" t="s">
        <v>28</v>
      </c>
      <c r="G5166" s="10">
        <v>0.01</v>
      </c>
      <c r="H5166" s="10" t="s">
        <v>28</v>
      </c>
      <c r="I5166" s="11" t="s">
        <v>28</v>
      </c>
      <c r="J5166" s="11" t="s">
        <v>28</v>
      </c>
      <c r="K5166" s="11" t="s">
        <v>28</v>
      </c>
      <c r="L5166" s="11" t="s">
        <v>28</v>
      </c>
      <c r="M5166" s="11" t="s">
        <v>28</v>
      </c>
      <c r="N5166" s="8">
        <v>44250</v>
      </c>
      <c r="O5166" s="9" t="s">
        <v>52</v>
      </c>
      <c r="P5166" s="12" t="s">
        <v>4500</v>
      </c>
      <c r="Q5166" s="9" t="s">
        <v>299</v>
      </c>
      <c r="R5166" s="14" t="str">
        <f>HYPERLINK("https://my.pitchbook.com?c=267954-67T","View Company Online")</f>
        <v>View Company Online</v>
      </c>
    </row>
    <row r="5167" spans="1:18" hidden="1" x14ac:dyDescent="0.3">
      <c r="A5167" s="15" t="s">
        <v>16297</v>
      </c>
      <c r="B5167" s="15" t="s">
        <v>1004</v>
      </c>
      <c r="C5167" s="18" t="s">
        <v>28</v>
      </c>
      <c r="D5167" s="15" t="s">
        <v>1005</v>
      </c>
      <c r="E5167" s="18" t="s">
        <v>28</v>
      </c>
      <c r="F5167" s="19" t="s">
        <v>28</v>
      </c>
      <c r="G5167" s="19">
        <v>0.05</v>
      </c>
      <c r="H5167" s="19" t="s">
        <v>28</v>
      </c>
      <c r="I5167" s="18" t="s">
        <v>28</v>
      </c>
      <c r="J5167" s="18" t="s">
        <v>28</v>
      </c>
      <c r="K5167" s="18" t="s">
        <v>28</v>
      </c>
      <c r="L5167" s="18" t="s">
        <v>28</v>
      </c>
      <c r="M5167" s="18" t="s">
        <v>28</v>
      </c>
      <c r="N5167" s="17">
        <v>44250</v>
      </c>
      <c r="O5167" s="15" t="s">
        <v>52</v>
      </c>
      <c r="P5167" s="16" t="s">
        <v>16298</v>
      </c>
      <c r="Q5167" s="15" t="s">
        <v>1007</v>
      </c>
      <c r="R5167" s="13" t="str">
        <f>HYPERLINK("https://my.pitchbook.com?c=167773-69T","View Company Online")</f>
        <v>View Company Online</v>
      </c>
    </row>
    <row r="5168" spans="1:18" hidden="1" x14ac:dyDescent="0.3">
      <c r="A5168" s="9" t="s">
        <v>16299</v>
      </c>
      <c r="B5168" s="9" t="s">
        <v>6738</v>
      </c>
      <c r="C5168" s="11" t="s">
        <v>28</v>
      </c>
      <c r="D5168" s="9" t="s">
        <v>6739</v>
      </c>
      <c r="E5168" s="11" t="s">
        <v>28</v>
      </c>
      <c r="F5168" s="10" t="s">
        <v>28</v>
      </c>
      <c r="G5168" s="10" t="s">
        <v>28</v>
      </c>
      <c r="H5168" s="10" t="s">
        <v>28</v>
      </c>
      <c r="I5168" s="11" t="s">
        <v>28</v>
      </c>
      <c r="J5168" s="11" t="s">
        <v>28</v>
      </c>
      <c r="K5168" s="11" t="s">
        <v>28</v>
      </c>
      <c r="L5168" s="11" t="s">
        <v>28</v>
      </c>
      <c r="M5168" s="11" t="s">
        <v>28</v>
      </c>
      <c r="N5168" s="8">
        <v>44250</v>
      </c>
      <c r="O5168" s="9" t="s">
        <v>52</v>
      </c>
      <c r="P5168" s="12" t="s">
        <v>4589</v>
      </c>
      <c r="Q5168" s="9" t="s">
        <v>245</v>
      </c>
      <c r="R5168" s="14" t="str">
        <f>HYPERLINK("https://my.pitchbook.com?c=265328-92T","View Company Online")</f>
        <v>View Company Online</v>
      </c>
    </row>
    <row r="5169" spans="1:18" hidden="1" x14ac:dyDescent="0.3">
      <c r="A5169" s="15" t="s">
        <v>16300</v>
      </c>
      <c r="B5169" s="15" t="s">
        <v>16301</v>
      </c>
      <c r="C5169" s="18" t="s">
        <v>28</v>
      </c>
      <c r="D5169" s="15" t="s">
        <v>16302</v>
      </c>
      <c r="E5169" s="18">
        <v>15.06</v>
      </c>
      <c r="F5169" s="19" t="s">
        <v>28</v>
      </c>
      <c r="G5169" s="19" t="s">
        <v>28</v>
      </c>
      <c r="H5169" s="19" t="s">
        <v>28</v>
      </c>
      <c r="I5169" s="18">
        <v>15.06</v>
      </c>
      <c r="J5169" s="18" t="s">
        <v>28</v>
      </c>
      <c r="K5169" s="18">
        <v>6.83</v>
      </c>
      <c r="L5169" s="18" t="s">
        <v>28</v>
      </c>
      <c r="M5169" s="18">
        <v>15.68</v>
      </c>
      <c r="N5169" s="17">
        <v>44250</v>
      </c>
      <c r="O5169" s="15" t="s">
        <v>173</v>
      </c>
      <c r="P5169" s="16" t="s">
        <v>28</v>
      </c>
      <c r="Q5169" s="15" t="s">
        <v>240</v>
      </c>
      <c r="R5169" s="13" t="str">
        <f>HYPERLINK("https://my.pitchbook.com?c=234346-15T","View Company Online")</f>
        <v>View Company Online</v>
      </c>
    </row>
    <row r="5170" spans="1:18" hidden="1" x14ac:dyDescent="0.3">
      <c r="A5170" s="9" t="s">
        <v>16303</v>
      </c>
      <c r="B5170" s="9" t="s">
        <v>16304</v>
      </c>
      <c r="C5170" s="11" t="s">
        <v>28</v>
      </c>
      <c r="D5170" s="9" t="s">
        <v>16305</v>
      </c>
      <c r="E5170" s="11">
        <v>0.48</v>
      </c>
      <c r="F5170" s="10" t="s">
        <v>28</v>
      </c>
      <c r="G5170" s="10" t="s">
        <v>28</v>
      </c>
      <c r="H5170" s="10" t="s">
        <v>28</v>
      </c>
      <c r="I5170" s="11">
        <v>0.48</v>
      </c>
      <c r="J5170" s="11" t="s">
        <v>28</v>
      </c>
      <c r="K5170" s="11">
        <v>1.1399999999999999</v>
      </c>
      <c r="L5170" s="11" t="s">
        <v>28</v>
      </c>
      <c r="M5170" s="11">
        <v>0.48</v>
      </c>
      <c r="N5170" s="8">
        <v>44250</v>
      </c>
      <c r="O5170" s="9" t="s">
        <v>173</v>
      </c>
      <c r="P5170" s="12" t="s">
        <v>28</v>
      </c>
      <c r="Q5170" s="9" t="s">
        <v>174</v>
      </c>
      <c r="R5170" s="14" t="str">
        <f>HYPERLINK("https://my.pitchbook.com?c=225302-68T","View Company Online")</f>
        <v>View Company Online</v>
      </c>
    </row>
    <row r="5171" spans="1:18" hidden="1" x14ac:dyDescent="0.3">
      <c r="A5171" s="15" t="s">
        <v>16306</v>
      </c>
      <c r="B5171" s="15" t="s">
        <v>16307</v>
      </c>
      <c r="C5171" s="18" t="s">
        <v>28</v>
      </c>
      <c r="D5171" s="15" t="s">
        <v>16308</v>
      </c>
      <c r="E5171" s="18" t="s">
        <v>28</v>
      </c>
      <c r="F5171" s="19" t="s">
        <v>28</v>
      </c>
      <c r="G5171" s="19">
        <v>0.09</v>
      </c>
      <c r="H5171" s="19" t="s">
        <v>28</v>
      </c>
      <c r="I5171" s="18" t="s">
        <v>28</v>
      </c>
      <c r="J5171" s="18" t="s">
        <v>28</v>
      </c>
      <c r="K5171" s="18" t="s">
        <v>28</v>
      </c>
      <c r="L5171" s="18" t="s">
        <v>28</v>
      </c>
      <c r="M5171" s="18" t="s">
        <v>28</v>
      </c>
      <c r="N5171" s="17">
        <v>44250</v>
      </c>
      <c r="O5171" s="15" t="s">
        <v>73</v>
      </c>
      <c r="P5171" s="16" t="s">
        <v>16309</v>
      </c>
      <c r="Q5171" s="15" t="s">
        <v>583</v>
      </c>
      <c r="R5171" s="13" t="str">
        <f>HYPERLINK("https://my.pitchbook.com?c=173035-18T","View Company Online")</f>
        <v>View Company Online</v>
      </c>
    </row>
    <row r="5172" spans="1:18" hidden="1" x14ac:dyDescent="0.3">
      <c r="A5172" s="9" t="s">
        <v>16310</v>
      </c>
      <c r="B5172" s="9" t="s">
        <v>16311</v>
      </c>
      <c r="C5172" s="11" t="s">
        <v>28</v>
      </c>
      <c r="D5172" s="9" t="s">
        <v>16312</v>
      </c>
      <c r="E5172" s="11" t="s">
        <v>28</v>
      </c>
      <c r="F5172" s="10" t="s">
        <v>28</v>
      </c>
      <c r="G5172" s="10" t="s">
        <v>28</v>
      </c>
      <c r="H5172" s="10" t="s">
        <v>28</v>
      </c>
      <c r="I5172" s="11" t="s">
        <v>28</v>
      </c>
      <c r="J5172" s="11" t="s">
        <v>28</v>
      </c>
      <c r="K5172" s="11" t="s">
        <v>28</v>
      </c>
      <c r="L5172" s="11" t="s">
        <v>28</v>
      </c>
      <c r="M5172" s="11" t="s">
        <v>28</v>
      </c>
      <c r="N5172" s="8">
        <v>44249</v>
      </c>
      <c r="O5172" s="9" t="s">
        <v>30</v>
      </c>
      <c r="P5172" s="12" t="s">
        <v>16313</v>
      </c>
      <c r="Q5172" s="9" t="s">
        <v>1007</v>
      </c>
      <c r="R5172" s="14" t="str">
        <f>HYPERLINK("https://my.pitchbook.com?c=211083-31T","View Company Online")</f>
        <v>View Company Online</v>
      </c>
    </row>
    <row r="5173" spans="1:18" hidden="1" x14ac:dyDescent="0.3">
      <c r="A5173" s="15" t="s">
        <v>16314</v>
      </c>
      <c r="B5173" s="15" t="s">
        <v>16315</v>
      </c>
      <c r="C5173" s="18" t="s">
        <v>28</v>
      </c>
      <c r="D5173" s="15" t="s">
        <v>16316</v>
      </c>
      <c r="E5173" s="18" t="s">
        <v>28</v>
      </c>
      <c r="F5173" s="19" t="s">
        <v>28</v>
      </c>
      <c r="G5173" s="19" t="s">
        <v>28</v>
      </c>
      <c r="H5173" s="19" t="s">
        <v>28</v>
      </c>
      <c r="I5173" s="18" t="s">
        <v>28</v>
      </c>
      <c r="J5173" s="18" t="s">
        <v>28</v>
      </c>
      <c r="K5173" s="18" t="s">
        <v>28</v>
      </c>
      <c r="L5173" s="18" t="s">
        <v>28</v>
      </c>
      <c r="M5173" s="18" t="s">
        <v>28</v>
      </c>
      <c r="N5173" s="17">
        <v>44249</v>
      </c>
      <c r="O5173" s="15" t="s">
        <v>41</v>
      </c>
      <c r="P5173" s="16" t="s">
        <v>12076</v>
      </c>
      <c r="Q5173" s="15" t="s">
        <v>43</v>
      </c>
      <c r="R5173" s="13" t="str">
        <f>HYPERLINK("https://my.pitchbook.com?c=243063-64T","View Company Online")</f>
        <v>View Company Online</v>
      </c>
    </row>
    <row r="5174" spans="1:18" hidden="1" x14ac:dyDescent="0.3">
      <c r="A5174" s="9" t="s">
        <v>16317</v>
      </c>
      <c r="B5174" s="9" t="s">
        <v>6820</v>
      </c>
      <c r="C5174" s="11" t="s">
        <v>28</v>
      </c>
      <c r="D5174" s="9" t="s">
        <v>6821</v>
      </c>
      <c r="E5174" s="11" t="s">
        <v>28</v>
      </c>
      <c r="F5174" s="10" t="s">
        <v>28</v>
      </c>
      <c r="G5174" s="10" t="s">
        <v>28</v>
      </c>
      <c r="H5174" s="10" t="s">
        <v>28</v>
      </c>
      <c r="I5174" s="11" t="s">
        <v>28</v>
      </c>
      <c r="J5174" s="11" t="s">
        <v>28</v>
      </c>
      <c r="K5174" s="11">
        <v>3.88</v>
      </c>
      <c r="L5174" s="11" t="s">
        <v>28</v>
      </c>
      <c r="M5174" s="11" t="s">
        <v>28</v>
      </c>
      <c r="N5174" s="8">
        <v>44249</v>
      </c>
      <c r="O5174" s="9" t="s">
        <v>41</v>
      </c>
      <c r="P5174" s="12" t="s">
        <v>16318</v>
      </c>
      <c r="Q5174" s="9" t="s">
        <v>75</v>
      </c>
      <c r="R5174" s="14" t="str">
        <f>HYPERLINK("https://my.pitchbook.com?c=185071-06T","View Company Online")</f>
        <v>View Company Online</v>
      </c>
    </row>
    <row r="5175" spans="1:18" hidden="1" x14ac:dyDescent="0.3">
      <c r="A5175" s="15" t="s">
        <v>16319</v>
      </c>
      <c r="B5175" s="15" t="s">
        <v>11583</v>
      </c>
      <c r="C5175" s="18" t="s">
        <v>28</v>
      </c>
      <c r="D5175" s="15" t="s">
        <v>11584</v>
      </c>
      <c r="E5175" s="18" t="s">
        <v>28</v>
      </c>
      <c r="F5175" s="19" t="s">
        <v>28</v>
      </c>
      <c r="G5175" s="19">
        <v>1.17</v>
      </c>
      <c r="H5175" s="19" t="s">
        <v>28</v>
      </c>
      <c r="I5175" s="18" t="s">
        <v>28</v>
      </c>
      <c r="J5175" s="18" t="s">
        <v>28</v>
      </c>
      <c r="K5175" s="18" t="s">
        <v>28</v>
      </c>
      <c r="L5175" s="18" t="s">
        <v>28</v>
      </c>
      <c r="M5175" s="18" t="s">
        <v>28</v>
      </c>
      <c r="N5175" s="17">
        <v>44246</v>
      </c>
      <c r="O5175" s="15" t="s">
        <v>79</v>
      </c>
      <c r="P5175" s="16" t="s">
        <v>16320</v>
      </c>
      <c r="Q5175" s="15" t="s">
        <v>37</v>
      </c>
      <c r="R5175" s="13" t="str">
        <f>HYPERLINK("https://my.pitchbook.com?c=180649-81T","View Company Online")</f>
        <v>View Company Online</v>
      </c>
    </row>
    <row r="5176" spans="1:18" hidden="1" x14ac:dyDescent="0.3">
      <c r="A5176" s="9" t="s">
        <v>16321</v>
      </c>
      <c r="B5176" s="9" t="s">
        <v>16322</v>
      </c>
      <c r="C5176" s="11" t="s">
        <v>28</v>
      </c>
      <c r="D5176" s="9" t="s">
        <v>16323</v>
      </c>
      <c r="E5176" s="11" t="s">
        <v>28</v>
      </c>
      <c r="F5176" s="10" t="s">
        <v>28</v>
      </c>
      <c r="G5176" s="10">
        <v>3.6</v>
      </c>
      <c r="H5176" s="10" t="s">
        <v>28</v>
      </c>
      <c r="I5176" s="11" t="s">
        <v>28</v>
      </c>
      <c r="J5176" s="11" t="s">
        <v>28</v>
      </c>
      <c r="K5176" s="11" t="s">
        <v>28</v>
      </c>
      <c r="L5176" s="11" t="s">
        <v>28</v>
      </c>
      <c r="M5176" s="11" t="s">
        <v>28</v>
      </c>
      <c r="N5176" s="8">
        <v>44246</v>
      </c>
      <c r="O5176" s="9" t="s">
        <v>99</v>
      </c>
      <c r="P5176" s="12" t="s">
        <v>16324</v>
      </c>
      <c r="Q5176" s="9" t="s">
        <v>37</v>
      </c>
      <c r="R5176" s="14" t="str">
        <f>HYPERLINK("https://my.pitchbook.com?c=174793-24T","View Company Online")</f>
        <v>View Company Online</v>
      </c>
    </row>
    <row r="5177" spans="1:18" hidden="1" x14ac:dyDescent="0.3">
      <c r="A5177" s="15" t="s">
        <v>16325</v>
      </c>
      <c r="B5177" s="15" t="s">
        <v>16326</v>
      </c>
      <c r="C5177" s="18" t="s">
        <v>28</v>
      </c>
      <c r="D5177" s="15" t="s">
        <v>16327</v>
      </c>
      <c r="E5177" s="18" t="s">
        <v>28</v>
      </c>
      <c r="F5177" s="19" t="s">
        <v>28</v>
      </c>
      <c r="G5177" s="19" t="s">
        <v>28</v>
      </c>
      <c r="H5177" s="19" t="s">
        <v>28</v>
      </c>
      <c r="I5177" s="18" t="s">
        <v>28</v>
      </c>
      <c r="J5177" s="18" t="s">
        <v>28</v>
      </c>
      <c r="K5177" s="18" t="s">
        <v>28</v>
      </c>
      <c r="L5177" s="18" t="s">
        <v>28</v>
      </c>
      <c r="M5177" s="18" t="s">
        <v>28</v>
      </c>
      <c r="N5177" s="17">
        <v>44246</v>
      </c>
      <c r="O5177" s="15" t="s">
        <v>173</v>
      </c>
      <c r="P5177" s="16" t="s">
        <v>28</v>
      </c>
      <c r="Q5177" s="15" t="s">
        <v>174</v>
      </c>
      <c r="R5177" s="13" t="str">
        <f>HYPERLINK("https://my.pitchbook.com?c=251054-02T","View Company Online")</f>
        <v>View Company Online</v>
      </c>
    </row>
    <row r="5178" spans="1:18" hidden="1" x14ac:dyDescent="0.3">
      <c r="A5178" s="9" t="s">
        <v>16328</v>
      </c>
      <c r="B5178" s="9" t="s">
        <v>16329</v>
      </c>
      <c r="C5178" s="11" t="s">
        <v>28</v>
      </c>
      <c r="D5178" s="9" t="s">
        <v>16330</v>
      </c>
      <c r="E5178" s="11" t="s">
        <v>28</v>
      </c>
      <c r="F5178" s="10">
        <v>4.93</v>
      </c>
      <c r="G5178" s="10">
        <v>4.93</v>
      </c>
      <c r="H5178" s="10">
        <v>4.93</v>
      </c>
      <c r="I5178" s="11" t="s">
        <v>28</v>
      </c>
      <c r="J5178" s="11" t="s">
        <v>28</v>
      </c>
      <c r="K5178" s="11" t="s">
        <v>28</v>
      </c>
      <c r="L5178" s="11" t="s">
        <v>28</v>
      </c>
      <c r="M5178" s="11" t="s">
        <v>28</v>
      </c>
      <c r="N5178" s="8">
        <v>44245</v>
      </c>
      <c r="O5178" s="9" t="s">
        <v>30</v>
      </c>
      <c r="P5178" s="12" t="s">
        <v>16331</v>
      </c>
      <c r="Q5178" s="9" t="s">
        <v>696</v>
      </c>
      <c r="R5178" s="14" t="str">
        <f>HYPERLINK("https://my.pitchbook.com?c=167115-25T","View Company Online")</f>
        <v>View Company Online</v>
      </c>
    </row>
    <row r="5179" spans="1:18" hidden="1" x14ac:dyDescent="0.3">
      <c r="A5179" s="15" t="s">
        <v>16332</v>
      </c>
      <c r="B5179" s="15" t="s">
        <v>16333</v>
      </c>
      <c r="C5179" s="18" t="s">
        <v>28</v>
      </c>
      <c r="D5179" s="15" t="s">
        <v>16334</v>
      </c>
      <c r="E5179" s="18">
        <v>1180.1400000000001</v>
      </c>
      <c r="F5179" s="19" t="s">
        <v>28</v>
      </c>
      <c r="G5179" s="19">
        <v>920.49</v>
      </c>
      <c r="H5179" s="19">
        <v>967.57</v>
      </c>
      <c r="I5179" s="18">
        <v>1419.36</v>
      </c>
      <c r="J5179" s="18">
        <v>0.68</v>
      </c>
      <c r="K5179" s="18">
        <v>2676.51</v>
      </c>
      <c r="L5179" s="18">
        <v>0.36</v>
      </c>
      <c r="M5179" s="18">
        <v>782.35</v>
      </c>
      <c r="N5179" s="17">
        <v>44245</v>
      </c>
      <c r="O5179" s="15" t="s">
        <v>173</v>
      </c>
      <c r="P5179" s="16" t="s">
        <v>28</v>
      </c>
      <c r="Q5179" s="15" t="s">
        <v>64</v>
      </c>
      <c r="R5179" s="13" t="str">
        <f>HYPERLINK("https://my.pitchbook.com?c=188932-60T","View Company Online")</f>
        <v>View Company Online</v>
      </c>
    </row>
    <row r="5180" spans="1:18" hidden="1" x14ac:dyDescent="0.3">
      <c r="A5180" s="9" t="s">
        <v>16335</v>
      </c>
      <c r="B5180" s="9" t="s">
        <v>8327</v>
      </c>
      <c r="C5180" s="11" t="s">
        <v>28</v>
      </c>
      <c r="D5180" s="9" t="s">
        <v>8328</v>
      </c>
      <c r="E5180" s="11" t="s">
        <v>28</v>
      </c>
      <c r="F5180" s="10" t="s">
        <v>28</v>
      </c>
      <c r="G5180" s="10">
        <v>0.8</v>
      </c>
      <c r="H5180" s="10" t="s">
        <v>28</v>
      </c>
      <c r="I5180" s="11" t="s">
        <v>28</v>
      </c>
      <c r="J5180" s="11" t="s">
        <v>28</v>
      </c>
      <c r="K5180" s="11" t="s">
        <v>28</v>
      </c>
      <c r="L5180" s="11" t="s">
        <v>28</v>
      </c>
      <c r="M5180" s="11" t="s">
        <v>28</v>
      </c>
      <c r="N5180" s="8">
        <v>44245</v>
      </c>
      <c r="O5180" s="9" t="s">
        <v>99</v>
      </c>
      <c r="P5180" s="12" t="s">
        <v>16336</v>
      </c>
      <c r="Q5180" s="9" t="s">
        <v>37</v>
      </c>
      <c r="R5180" s="14" t="str">
        <f>HYPERLINK("https://my.pitchbook.com?c=169026-40T","View Company Online")</f>
        <v>View Company Online</v>
      </c>
    </row>
    <row r="5181" spans="1:18" hidden="1" x14ac:dyDescent="0.3">
      <c r="A5181" s="15" t="s">
        <v>16337</v>
      </c>
      <c r="B5181" s="15" t="s">
        <v>7535</v>
      </c>
      <c r="C5181" s="18" t="s">
        <v>28</v>
      </c>
      <c r="D5181" s="15" t="s">
        <v>7536</v>
      </c>
      <c r="E5181" s="18" t="s">
        <v>28</v>
      </c>
      <c r="F5181" s="19" t="s">
        <v>28</v>
      </c>
      <c r="G5181" s="19">
        <v>84.5</v>
      </c>
      <c r="H5181" s="19" t="s">
        <v>28</v>
      </c>
      <c r="I5181" s="18" t="s">
        <v>28</v>
      </c>
      <c r="J5181" s="18" t="s">
        <v>28</v>
      </c>
      <c r="K5181" s="18" t="s">
        <v>28</v>
      </c>
      <c r="L5181" s="18" t="s">
        <v>28</v>
      </c>
      <c r="M5181" s="18" t="s">
        <v>28</v>
      </c>
      <c r="N5181" s="17">
        <v>44245</v>
      </c>
      <c r="O5181" s="15" t="s">
        <v>79</v>
      </c>
      <c r="P5181" s="16" t="s">
        <v>16338</v>
      </c>
      <c r="Q5181" s="15" t="s">
        <v>43</v>
      </c>
      <c r="R5181" s="13" t="str">
        <f>HYPERLINK("https://my.pitchbook.com?c=167045-14T","View Company Online")</f>
        <v>View Company Online</v>
      </c>
    </row>
    <row r="5182" spans="1:18" hidden="1" x14ac:dyDescent="0.3">
      <c r="A5182" s="9" t="s">
        <v>16339</v>
      </c>
      <c r="B5182" s="9" t="s">
        <v>16340</v>
      </c>
      <c r="C5182" s="11" t="s">
        <v>28</v>
      </c>
      <c r="D5182" s="9" t="s">
        <v>16341</v>
      </c>
      <c r="E5182" s="11" t="s">
        <v>28</v>
      </c>
      <c r="F5182" s="10">
        <v>4.91</v>
      </c>
      <c r="G5182" s="10">
        <v>4.91</v>
      </c>
      <c r="H5182" s="10">
        <v>4.91</v>
      </c>
      <c r="I5182" s="11" t="s">
        <v>28</v>
      </c>
      <c r="J5182" s="11" t="s">
        <v>28</v>
      </c>
      <c r="K5182" s="11">
        <v>1.26</v>
      </c>
      <c r="L5182" s="11">
        <v>3.89</v>
      </c>
      <c r="M5182" s="11" t="s">
        <v>28</v>
      </c>
      <c r="N5182" s="8">
        <v>44245</v>
      </c>
      <c r="O5182" s="9" t="s">
        <v>30</v>
      </c>
      <c r="P5182" s="12" t="s">
        <v>16331</v>
      </c>
      <c r="Q5182" s="9" t="s">
        <v>9705</v>
      </c>
      <c r="R5182" s="14" t="str">
        <f>HYPERLINK("https://my.pitchbook.com?c=167117-86T","View Company Online")</f>
        <v>View Company Online</v>
      </c>
    </row>
    <row r="5183" spans="1:18" hidden="1" x14ac:dyDescent="0.3">
      <c r="A5183" s="15" t="s">
        <v>16342</v>
      </c>
      <c r="B5183" s="15" t="s">
        <v>7238</v>
      </c>
      <c r="C5183" s="18" t="s">
        <v>28</v>
      </c>
      <c r="D5183" s="15" t="s">
        <v>7239</v>
      </c>
      <c r="E5183" s="18" t="s">
        <v>28</v>
      </c>
      <c r="F5183" s="19" t="s">
        <v>28</v>
      </c>
      <c r="G5183" s="19" t="s">
        <v>28</v>
      </c>
      <c r="H5183" s="19" t="s">
        <v>28</v>
      </c>
      <c r="I5183" s="18" t="s">
        <v>28</v>
      </c>
      <c r="J5183" s="18" t="s">
        <v>28</v>
      </c>
      <c r="K5183" s="18" t="s">
        <v>28</v>
      </c>
      <c r="L5183" s="18" t="s">
        <v>28</v>
      </c>
      <c r="M5183" s="18" t="s">
        <v>28</v>
      </c>
      <c r="N5183" s="17">
        <v>44245</v>
      </c>
      <c r="O5183" s="15" t="s">
        <v>73</v>
      </c>
      <c r="P5183" s="16" t="s">
        <v>16343</v>
      </c>
      <c r="Q5183" s="15" t="s">
        <v>583</v>
      </c>
      <c r="R5183" s="13" t="str">
        <f>HYPERLINK("https://my.pitchbook.com?c=173042-38T","View Company Online")</f>
        <v>View Company Online</v>
      </c>
    </row>
    <row r="5184" spans="1:18" hidden="1" x14ac:dyDescent="0.3">
      <c r="A5184" s="9" t="s">
        <v>16344</v>
      </c>
      <c r="B5184" s="9" t="s">
        <v>11563</v>
      </c>
      <c r="C5184" s="11" t="s">
        <v>28</v>
      </c>
      <c r="D5184" s="9" t="s">
        <v>11564</v>
      </c>
      <c r="E5184" s="11" t="s">
        <v>28</v>
      </c>
      <c r="F5184" s="10" t="s">
        <v>28</v>
      </c>
      <c r="G5184" s="10">
        <v>18.54</v>
      </c>
      <c r="H5184" s="10" t="s">
        <v>28</v>
      </c>
      <c r="I5184" s="11" t="s">
        <v>28</v>
      </c>
      <c r="J5184" s="11" t="s">
        <v>28</v>
      </c>
      <c r="K5184" s="11">
        <v>252.33</v>
      </c>
      <c r="L5184" s="11" t="s">
        <v>28</v>
      </c>
      <c r="M5184" s="11" t="s">
        <v>28</v>
      </c>
      <c r="N5184" s="8">
        <v>44245</v>
      </c>
      <c r="O5184" s="9" t="s">
        <v>93</v>
      </c>
      <c r="P5184" s="12" t="s">
        <v>16345</v>
      </c>
      <c r="Q5184" s="9" t="s">
        <v>5347</v>
      </c>
      <c r="R5184" s="14" t="str">
        <f>HYPERLINK("https://my.pitchbook.com?c=172463-50T","View Company Online")</f>
        <v>View Company Online</v>
      </c>
    </row>
    <row r="5185" spans="1:18" hidden="1" x14ac:dyDescent="0.3">
      <c r="A5185" s="15" t="s">
        <v>16346</v>
      </c>
      <c r="B5185" s="15" t="s">
        <v>5947</v>
      </c>
      <c r="C5185" s="18" t="s">
        <v>28</v>
      </c>
      <c r="D5185" s="15" t="s">
        <v>5948</v>
      </c>
      <c r="E5185" s="18" t="s">
        <v>28</v>
      </c>
      <c r="F5185" s="19" t="s">
        <v>28</v>
      </c>
      <c r="G5185" s="19">
        <v>1.1100000000000001</v>
      </c>
      <c r="H5185" s="19">
        <v>5.56</v>
      </c>
      <c r="I5185" s="18" t="s">
        <v>28</v>
      </c>
      <c r="J5185" s="18" t="s">
        <v>28</v>
      </c>
      <c r="K5185" s="18" t="s">
        <v>28</v>
      </c>
      <c r="L5185" s="18" t="s">
        <v>28</v>
      </c>
      <c r="M5185" s="18" t="s">
        <v>28</v>
      </c>
      <c r="N5185" s="17">
        <v>44245</v>
      </c>
      <c r="O5185" s="15" t="s">
        <v>58</v>
      </c>
      <c r="P5185" s="16" t="s">
        <v>28</v>
      </c>
      <c r="Q5185" s="15" t="s">
        <v>136</v>
      </c>
      <c r="R5185" s="13" t="str">
        <f>HYPERLINK("https://my.pitchbook.com?c=172466-38T","View Company Online")</f>
        <v>View Company Online</v>
      </c>
    </row>
    <row r="5186" spans="1:18" hidden="1" x14ac:dyDescent="0.3">
      <c r="A5186" s="9" t="s">
        <v>16347</v>
      </c>
      <c r="B5186" s="9" t="s">
        <v>1164</v>
      </c>
      <c r="C5186" s="11" t="s">
        <v>28</v>
      </c>
      <c r="D5186" s="9" t="s">
        <v>16348</v>
      </c>
      <c r="E5186" s="11">
        <v>19.54</v>
      </c>
      <c r="F5186" s="10" t="s">
        <v>28</v>
      </c>
      <c r="G5186" s="10">
        <v>102.78</v>
      </c>
      <c r="H5186" s="10" t="s">
        <v>28</v>
      </c>
      <c r="I5186" s="11">
        <v>29.25</v>
      </c>
      <c r="J5186" s="11" t="s">
        <v>28</v>
      </c>
      <c r="K5186" s="11">
        <v>76.08</v>
      </c>
      <c r="L5186" s="11" t="s">
        <v>28</v>
      </c>
      <c r="M5186" s="11">
        <v>3.89</v>
      </c>
      <c r="N5186" s="8">
        <v>44244</v>
      </c>
      <c r="O5186" s="9" t="s">
        <v>173</v>
      </c>
      <c r="P5186" s="12" t="s">
        <v>28</v>
      </c>
      <c r="Q5186" s="9" t="s">
        <v>1088</v>
      </c>
      <c r="R5186" s="14" t="str">
        <f>HYPERLINK("https://my.pitchbook.com?c=169433-11T","View Company Online")</f>
        <v>View Company Online</v>
      </c>
    </row>
    <row r="5187" spans="1:18" x14ac:dyDescent="0.3">
      <c r="A5187" s="15" t="s">
        <v>16349</v>
      </c>
      <c r="B5187" s="15" t="s">
        <v>13134</v>
      </c>
      <c r="C5187" s="18">
        <v>5.81</v>
      </c>
      <c r="D5187" s="15" t="s">
        <v>16350</v>
      </c>
      <c r="E5187" s="18">
        <v>146.44</v>
      </c>
      <c r="F5187" s="19">
        <v>1470.15</v>
      </c>
      <c r="G5187" s="19">
        <v>2180</v>
      </c>
      <c r="H5187" s="19">
        <v>2180</v>
      </c>
      <c r="I5187" s="18">
        <v>253.17</v>
      </c>
      <c r="J5187" s="18">
        <v>8.61</v>
      </c>
      <c r="K5187" s="18">
        <v>1085.3599999999999</v>
      </c>
      <c r="L5187" s="18">
        <v>2.0099999999999998</v>
      </c>
      <c r="M5187" s="18">
        <v>74.849999999999994</v>
      </c>
      <c r="N5187" s="17">
        <v>44244</v>
      </c>
      <c r="O5187" s="15" t="s">
        <v>30</v>
      </c>
      <c r="P5187" s="16" t="s">
        <v>5877</v>
      </c>
      <c r="Q5187" s="15" t="s">
        <v>85</v>
      </c>
      <c r="R5187" s="13" t="str">
        <f>HYPERLINK("https://my.pitchbook.com?c=156760-39T","View Company Online")</f>
        <v>View Company Online</v>
      </c>
    </row>
    <row r="5188" spans="1:18" hidden="1" x14ac:dyDescent="0.3">
      <c r="A5188" s="9" t="s">
        <v>16351</v>
      </c>
      <c r="B5188" s="9" t="s">
        <v>6531</v>
      </c>
      <c r="C5188" s="11" t="s">
        <v>28</v>
      </c>
      <c r="D5188" s="9" t="s">
        <v>6532</v>
      </c>
      <c r="E5188" s="11">
        <v>13.1</v>
      </c>
      <c r="F5188" s="10" t="s">
        <v>28</v>
      </c>
      <c r="G5188" s="10">
        <v>511</v>
      </c>
      <c r="H5188" s="10" t="s">
        <v>28</v>
      </c>
      <c r="I5188" s="11">
        <v>24.08</v>
      </c>
      <c r="J5188" s="11" t="s">
        <v>28</v>
      </c>
      <c r="K5188" s="11">
        <v>94.76</v>
      </c>
      <c r="L5188" s="11" t="s">
        <v>28</v>
      </c>
      <c r="M5188" s="11">
        <v>3.83</v>
      </c>
      <c r="N5188" s="8">
        <v>44243</v>
      </c>
      <c r="O5188" s="9" t="s">
        <v>423</v>
      </c>
      <c r="P5188" s="12" t="s">
        <v>28</v>
      </c>
      <c r="Q5188" s="9" t="s">
        <v>880</v>
      </c>
      <c r="R5188" s="14" t="str">
        <f>HYPERLINK("https://my.pitchbook.com?c=168921-64T","View Company Online")</f>
        <v>View Company Online</v>
      </c>
    </row>
    <row r="5189" spans="1:18" hidden="1" x14ac:dyDescent="0.3">
      <c r="A5189" s="15" t="s">
        <v>16352</v>
      </c>
      <c r="B5189" s="15" t="s">
        <v>10501</v>
      </c>
      <c r="C5189" s="18" t="s">
        <v>28</v>
      </c>
      <c r="D5189" s="15" t="s">
        <v>10502</v>
      </c>
      <c r="E5189" s="18" t="s">
        <v>28</v>
      </c>
      <c r="F5189" s="19" t="s">
        <v>28</v>
      </c>
      <c r="G5189" s="19">
        <v>0.13</v>
      </c>
      <c r="H5189" s="19">
        <v>1.79</v>
      </c>
      <c r="I5189" s="18" t="s">
        <v>28</v>
      </c>
      <c r="J5189" s="18" t="s">
        <v>28</v>
      </c>
      <c r="K5189" s="18" t="s">
        <v>28</v>
      </c>
      <c r="L5189" s="18" t="s">
        <v>28</v>
      </c>
      <c r="M5189" s="18" t="s">
        <v>28</v>
      </c>
      <c r="N5189" s="17">
        <v>44242</v>
      </c>
      <c r="O5189" s="15" t="s">
        <v>52</v>
      </c>
      <c r="P5189" s="16" t="s">
        <v>16353</v>
      </c>
      <c r="Q5189" s="15" t="s">
        <v>566</v>
      </c>
      <c r="R5189" s="13" t="str">
        <f>HYPERLINK("https://my.pitchbook.com?c=168007-15T","View Company Online")</f>
        <v>View Company Online</v>
      </c>
    </row>
    <row r="5190" spans="1:18" hidden="1" x14ac:dyDescent="0.3">
      <c r="A5190" s="9" t="s">
        <v>16354</v>
      </c>
      <c r="B5190" s="9" t="s">
        <v>16355</v>
      </c>
      <c r="C5190" s="11" t="s">
        <v>28</v>
      </c>
      <c r="D5190" s="9" t="s">
        <v>16356</v>
      </c>
      <c r="E5190" s="11" t="s">
        <v>28</v>
      </c>
      <c r="F5190" s="10" t="s">
        <v>28</v>
      </c>
      <c r="G5190" s="10">
        <v>0.33</v>
      </c>
      <c r="H5190" s="10" t="s">
        <v>28</v>
      </c>
      <c r="I5190" s="11" t="s">
        <v>28</v>
      </c>
      <c r="J5190" s="11" t="s">
        <v>28</v>
      </c>
      <c r="K5190" s="11" t="s">
        <v>28</v>
      </c>
      <c r="L5190" s="11" t="s">
        <v>28</v>
      </c>
      <c r="M5190" s="11" t="s">
        <v>28</v>
      </c>
      <c r="N5190" s="8">
        <v>44242</v>
      </c>
      <c r="O5190" s="9" t="s">
        <v>1639</v>
      </c>
      <c r="P5190" s="12" t="s">
        <v>28</v>
      </c>
      <c r="Q5190" s="9" t="s">
        <v>85</v>
      </c>
      <c r="R5190" s="14" t="str">
        <f>HYPERLINK("https://my.pitchbook.com?c=278327-53T","View Company Online")</f>
        <v>View Company Online</v>
      </c>
    </row>
    <row r="5191" spans="1:18" hidden="1" x14ac:dyDescent="0.3">
      <c r="A5191" s="15" t="s">
        <v>16357</v>
      </c>
      <c r="B5191" s="15" t="s">
        <v>16358</v>
      </c>
      <c r="C5191" s="18" t="s">
        <v>28</v>
      </c>
      <c r="D5191" s="15" t="s">
        <v>16359</v>
      </c>
      <c r="E5191" s="18" t="s">
        <v>28</v>
      </c>
      <c r="F5191" s="19" t="s">
        <v>28</v>
      </c>
      <c r="G5191" s="19" t="s">
        <v>28</v>
      </c>
      <c r="H5191" s="19" t="s">
        <v>28</v>
      </c>
      <c r="I5191" s="18" t="s">
        <v>28</v>
      </c>
      <c r="J5191" s="18" t="s">
        <v>28</v>
      </c>
      <c r="K5191" s="18" t="s">
        <v>28</v>
      </c>
      <c r="L5191" s="18" t="s">
        <v>28</v>
      </c>
      <c r="M5191" s="18" t="s">
        <v>28</v>
      </c>
      <c r="N5191" s="17">
        <v>44240</v>
      </c>
      <c r="O5191" s="15" t="s">
        <v>30</v>
      </c>
      <c r="P5191" s="16" t="s">
        <v>16360</v>
      </c>
      <c r="Q5191" s="15" t="s">
        <v>414</v>
      </c>
      <c r="R5191" s="13" t="str">
        <f>HYPERLINK("https://my.pitchbook.com?c=166786-57T","View Company Online")</f>
        <v>View Company Online</v>
      </c>
    </row>
    <row r="5192" spans="1:18" hidden="1" x14ac:dyDescent="0.3">
      <c r="A5192" s="9" t="s">
        <v>16361</v>
      </c>
      <c r="B5192" s="9" t="s">
        <v>16362</v>
      </c>
      <c r="C5192" s="11" t="s">
        <v>28</v>
      </c>
      <c r="D5192" s="9" t="s">
        <v>16363</v>
      </c>
      <c r="E5192" s="11" t="s">
        <v>28</v>
      </c>
      <c r="F5192" s="10" t="s">
        <v>28</v>
      </c>
      <c r="G5192" s="10" t="s">
        <v>28</v>
      </c>
      <c r="H5192" s="10" t="s">
        <v>28</v>
      </c>
      <c r="I5192" s="11" t="s">
        <v>28</v>
      </c>
      <c r="J5192" s="11" t="s">
        <v>28</v>
      </c>
      <c r="K5192" s="11" t="s">
        <v>28</v>
      </c>
      <c r="L5192" s="11" t="s">
        <v>28</v>
      </c>
      <c r="M5192" s="11" t="s">
        <v>28</v>
      </c>
      <c r="N5192" s="8">
        <v>44239</v>
      </c>
      <c r="O5192" s="9" t="s">
        <v>52</v>
      </c>
      <c r="P5192" s="12" t="s">
        <v>14711</v>
      </c>
      <c r="Q5192" s="9" t="s">
        <v>95</v>
      </c>
      <c r="R5192" s="14" t="str">
        <f>HYPERLINK("https://my.pitchbook.com?c=169224-31T","View Company Online")</f>
        <v>View Company Online</v>
      </c>
    </row>
    <row r="5193" spans="1:18" hidden="1" x14ac:dyDescent="0.3">
      <c r="A5193" s="15" t="s">
        <v>16364</v>
      </c>
      <c r="B5193" s="15" t="s">
        <v>7276</v>
      </c>
      <c r="C5193" s="18" t="s">
        <v>28</v>
      </c>
      <c r="D5193" s="15" t="s">
        <v>7277</v>
      </c>
      <c r="E5193" s="18" t="s">
        <v>28</v>
      </c>
      <c r="F5193" s="19" t="s">
        <v>28</v>
      </c>
      <c r="G5193" s="19" t="s">
        <v>28</v>
      </c>
      <c r="H5193" s="19" t="s">
        <v>28</v>
      </c>
      <c r="I5193" s="18" t="s">
        <v>28</v>
      </c>
      <c r="J5193" s="18" t="s">
        <v>28</v>
      </c>
      <c r="K5193" s="18" t="s">
        <v>28</v>
      </c>
      <c r="L5193" s="18" t="s">
        <v>28</v>
      </c>
      <c r="M5193" s="18" t="s">
        <v>28</v>
      </c>
      <c r="N5193" s="17">
        <v>44239</v>
      </c>
      <c r="O5193" s="15" t="s">
        <v>52</v>
      </c>
      <c r="P5193" s="16" t="s">
        <v>14711</v>
      </c>
      <c r="Q5193" s="15" t="s">
        <v>245</v>
      </c>
      <c r="R5193" s="13" t="str">
        <f>HYPERLINK("https://my.pitchbook.com?c=169224-04T","View Company Online")</f>
        <v>View Company Online</v>
      </c>
    </row>
    <row r="5194" spans="1:18" hidden="1" x14ac:dyDescent="0.3">
      <c r="A5194" s="9" t="s">
        <v>16365</v>
      </c>
      <c r="B5194" s="9" t="s">
        <v>16366</v>
      </c>
      <c r="C5194" s="11" t="s">
        <v>28</v>
      </c>
      <c r="D5194" s="9" t="s">
        <v>16367</v>
      </c>
      <c r="E5194" s="11">
        <v>0.01</v>
      </c>
      <c r="F5194" s="10" t="s">
        <v>28</v>
      </c>
      <c r="G5194" s="10">
        <v>199.09</v>
      </c>
      <c r="H5194" s="10" t="s">
        <v>28</v>
      </c>
      <c r="I5194" s="11">
        <v>15.55</v>
      </c>
      <c r="J5194" s="11" t="s">
        <v>28</v>
      </c>
      <c r="K5194" s="11">
        <v>124.72</v>
      </c>
      <c r="L5194" s="11" t="s">
        <v>28</v>
      </c>
      <c r="M5194" s="11">
        <v>-4.43</v>
      </c>
      <c r="N5194" s="8">
        <v>44239</v>
      </c>
      <c r="O5194" s="9" t="s">
        <v>173</v>
      </c>
      <c r="P5194" s="12" t="s">
        <v>28</v>
      </c>
      <c r="Q5194" s="9" t="s">
        <v>1088</v>
      </c>
      <c r="R5194" s="14" t="str">
        <f>HYPERLINK("https://my.pitchbook.com?c=167427-55T","View Company Online")</f>
        <v>View Company Online</v>
      </c>
    </row>
    <row r="5195" spans="1:18" hidden="1" x14ac:dyDescent="0.3">
      <c r="A5195" s="15" t="s">
        <v>16368</v>
      </c>
      <c r="B5195" s="15" t="s">
        <v>3710</v>
      </c>
      <c r="C5195" s="18" t="s">
        <v>28</v>
      </c>
      <c r="D5195" s="15" t="s">
        <v>3711</v>
      </c>
      <c r="E5195" s="18">
        <v>-0.85</v>
      </c>
      <c r="F5195" s="19" t="s">
        <v>28</v>
      </c>
      <c r="G5195" s="19">
        <v>32.909999999999997</v>
      </c>
      <c r="H5195" s="19" t="s">
        <v>28</v>
      </c>
      <c r="I5195" s="18">
        <v>-0.8</v>
      </c>
      <c r="J5195" s="18" t="s">
        <v>28</v>
      </c>
      <c r="K5195" s="18">
        <v>0</v>
      </c>
      <c r="L5195" s="18" t="s">
        <v>28</v>
      </c>
      <c r="M5195" s="18">
        <v>-1.1499999999999999</v>
      </c>
      <c r="N5195" s="17">
        <v>44239</v>
      </c>
      <c r="O5195" s="15" t="s">
        <v>159</v>
      </c>
      <c r="P5195" s="16" t="s">
        <v>16369</v>
      </c>
      <c r="Q5195" s="15" t="s">
        <v>470</v>
      </c>
      <c r="R5195" s="13" t="str">
        <f>HYPERLINK("https://my.pitchbook.com?c=166069-54T","View Company Online")</f>
        <v>View Company Online</v>
      </c>
    </row>
    <row r="5196" spans="1:18" hidden="1" x14ac:dyDescent="0.3">
      <c r="A5196" s="9" t="s">
        <v>16370</v>
      </c>
      <c r="B5196" s="9" t="s">
        <v>16371</v>
      </c>
      <c r="C5196" s="11" t="s">
        <v>28</v>
      </c>
      <c r="D5196" s="9" t="s">
        <v>16372</v>
      </c>
      <c r="E5196" s="11">
        <v>0.05</v>
      </c>
      <c r="F5196" s="10" t="s">
        <v>28</v>
      </c>
      <c r="G5196" s="10">
        <v>192.15</v>
      </c>
      <c r="H5196" s="10">
        <v>264.81</v>
      </c>
      <c r="I5196" s="11">
        <v>0.84</v>
      </c>
      <c r="J5196" s="11">
        <v>315.89</v>
      </c>
      <c r="K5196" s="11">
        <v>47.6</v>
      </c>
      <c r="L5196" s="11">
        <v>5.56</v>
      </c>
      <c r="M5196" s="11">
        <v>2.27</v>
      </c>
      <c r="N5196" s="8">
        <v>44239</v>
      </c>
      <c r="O5196" s="9" t="s">
        <v>173</v>
      </c>
      <c r="P5196" s="12" t="s">
        <v>28</v>
      </c>
      <c r="Q5196" s="9" t="s">
        <v>409</v>
      </c>
      <c r="R5196" s="14" t="str">
        <f>HYPERLINK("https://my.pitchbook.com?c=167119-57T","View Company Online")</f>
        <v>View Company Online</v>
      </c>
    </row>
    <row r="5197" spans="1:18" hidden="1" x14ac:dyDescent="0.3">
      <c r="A5197" s="15" t="s">
        <v>16373</v>
      </c>
      <c r="B5197" s="15" t="s">
        <v>3790</v>
      </c>
      <c r="C5197" s="18" t="s">
        <v>28</v>
      </c>
      <c r="D5197" s="15" t="s">
        <v>16374</v>
      </c>
      <c r="E5197" s="18">
        <v>11.67</v>
      </c>
      <c r="F5197" s="19" t="s">
        <v>28</v>
      </c>
      <c r="G5197" s="19">
        <v>203.63</v>
      </c>
      <c r="H5197" s="19">
        <v>372.23</v>
      </c>
      <c r="I5197" s="18">
        <v>16.13</v>
      </c>
      <c r="J5197" s="18">
        <v>23.07</v>
      </c>
      <c r="K5197" s="18">
        <v>33.299999999999997</v>
      </c>
      <c r="L5197" s="18">
        <v>11.18</v>
      </c>
      <c r="M5197" s="18">
        <v>6.94</v>
      </c>
      <c r="N5197" s="17">
        <v>44238</v>
      </c>
      <c r="O5197" s="15" t="s">
        <v>173</v>
      </c>
      <c r="P5197" s="16" t="s">
        <v>28</v>
      </c>
      <c r="Q5197" s="15" t="s">
        <v>235</v>
      </c>
      <c r="R5197" s="13" t="str">
        <f>HYPERLINK("https://my.pitchbook.com?c=158367-25T","View Company Online")</f>
        <v>View Company Online</v>
      </c>
    </row>
    <row r="5198" spans="1:18" hidden="1" x14ac:dyDescent="0.3">
      <c r="A5198" s="9" t="s">
        <v>16375</v>
      </c>
      <c r="B5198" s="9" t="s">
        <v>14643</v>
      </c>
      <c r="C5198" s="11" t="s">
        <v>28</v>
      </c>
      <c r="D5198" s="9" t="s">
        <v>16376</v>
      </c>
      <c r="E5198" s="11">
        <v>35.69</v>
      </c>
      <c r="F5198" s="10" t="s">
        <v>28</v>
      </c>
      <c r="G5198" s="10">
        <v>229.23</v>
      </c>
      <c r="H5198" s="10">
        <v>994.89</v>
      </c>
      <c r="I5198" s="11">
        <v>72.31</v>
      </c>
      <c r="J5198" s="11">
        <v>13.76</v>
      </c>
      <c r="K5198" s="11">
        <v>349.56</v>
      </c>
      <c r="L5198" s="11">
        <v>2.85</v>
      </c>
      <c r="M5198" s="11">
        <v>-6.75</v>
      </c>
      <c r="N5198" s="8">
        <v>44238</v>
      </c>
      <c r="O5198" s="9" t="s">
        <v>173</v>
      </c>
      <c r="P5198" s="12" t="s">
        <v>28</v>
      </c>
      <c r="Q5198" s="9" t="s">
        <v>43</v>
      </c>
      <c r="R5198" s="14" t="str">
        <f>HYPERLINK("https://my.pitchbook.com?c=167115-70T","View Company Online")</f>
        <v>View Company Online</v>
      </c>
    </row>
    <row r="5199" spans="1:18" hidden="1" x14ac:dyDescent="0.3">
      <c r="A5199" s="15" t="s">
        <v>16377</v>
      </c>
      <c r="B5199" s="15" t="s">
        <v>16378</v>
      </c>
      <c r="C5199" s="18" t="s">
        <v>28</v>
      </c>
      <c r="D5199" s="15" t="s">
        <v>16379</v>
      </c>
      <c r="E5199" s="18" t="s">
        <v>28</v>
      </c>
      <c r="F5199" s="19" t="s">
        <v>28</v>
      </c>
      <c r="G5199" s="19" t="s">
        <v>28</v>
      </c>
      <c r="H5199" s="19" t="s">
        <v>28</v>
      </c>
      <c r="I5199" s="18" t="s">
        <v>28</v>
      </c>
      <c r="J5199" s="18" t="s">
        <v>28</v>
      </c>
      <c r="K5199" s="18" t="s">
        <v>28</v>
      </c>
      <c r="L5199" s="18" t="s">
        <v>28</v>
      </c>
      <c r="M5199" s="18" t="s">
        <v>28</v>
      </c>
      <c r="N5199" s="17">
        <v>44238</v>
      </c>
      <c r="O5199" s="15" t="s">
        <v>173</v>
      </c>
      <c r="P5199" s="16" t="s">
        <v>28</v>
      </c>
      <c r="Q5199" s="15" t="s">
        <v>174</v>
      </c>
      <c r="R5199" s="13" t="str">
        <f>HYPERLINK("https://my.pitchbook.com?c=203054-41T","View Company Online")</f>
        <v>View Company Online</v>
      </c>
    </row>
    <row r="5200" spans="1:18" hidden="1" x14ac:dyDescent="0.3">
      <c r="A5200" s="9" t="s">
        <v>16380</v>
      </c>
      <c r="B5200" s="9" t="s">
        <v>11327</v>
      </c>
      <c r="C5200" s="11" t="s">
        <v>28</v>
      </c>
      <c r="D5200" s="9" t="s">
        <v>11328</v>
      </c>
      <c r="E5200" s="11" t="s">
        <v>28</v>
      </c>
      <c r="F5200" s="10" t="s">
        <v>28</v>
      </c>
      <c r="G5200" s="10">
        <v>0.65</v>
      </c>
      <c r="H5200" s="10" t="s">
        <v>28</v>
      </c>
      <c r="I5200" s="11" t="s">
        <v>28</v>
      </c>
      <c r="J5200" s="11" t="s">
        <v>28</v>
      </c>
      <c r="K5200" s="11" t="s">
        <v>28</v>
      </c>
      <c r="L5200" s="11" t="s">
        <v>28</v>
      </c>
      <c r="M5200" s="11" t="s">
        <v>28</v>
      </c>
      <c r="N5200" s="8">
        <v>44238</v>
      </c>
      <c r="O5200" s="9" t="s">
        <v>99</v>
      </c>
      <c r="P5200" s="12" t="s">
        <v>16381</v>
      </c>
      <c r="Q5200" s="9" t="s">
        <v>583</v>
      </c>
      <c r="R5200" s="14" t="str">
        <f>HYPERLINK("https://my.pitchbook.com?c=133217-11T","View Company Online")</f>
        <v>View Company Online</v>
      </c>
    </row>
    <row r="5201" spans="1:18" hidden="1" x14ac:dyDescent="0.3">
      <c r="A5201" s="15" t="s">
        <v>16382</v>
      </c>
      <c r="B5201" s="15" t="s">
        <v>16383</v>
      </c>
      <c r="C5201" s="18" t="s">
        <v>28</v>
      </c>
      <c r="D5201" s="15" t="s">
        <v>16384</v>
      </c>
      <c r="E5201" s="18" t="s">
        <v>28</v>
      </c>
      <c r="F5201" s="19">
        <v>6.05</v>
      </c>
      <c r="G5201" s="19">
        <v>6.05</v>
      </c>
      <c r="H5201" s="19">
        <v>6.05</v>
      </c>
      <c r="I5201" s="18" t="s">
        <v>28</v>
      </c>
      <c r="J5201" s="18" t="s">
        <v>28</v>
      </c>
      <c r="K5201" s="18" t="s">
        <v>28</v>
      </c>
      <c r="L5201" s="18" t="s">
        <v>28</v>
      </c>
      <c r="M5201" s="18" t="s">
        <v>28</v>
      </c>
      <c r="N5201" s="17">
        <v>44238</v>
      </c>
      <c r="O5201" s="15" t="s">
        <v>41</v>
      </c>
      <c r="P5201" s="16" t="s">
        <v>16385</v>
      </c>
      <c r="Q5201" s="15" t="s">
        <v>43</v>
      </c>
      <c r="R5201" s="13" t="str">
        <f>HYPERLINK("https://my.pitchbook.com?c=218989-63T","View Company Online")</f>
        <v>View Company Online</v>
      </c>
    </row>
    <row r="5202" spans="1:18" hidden="1" x14ac:dyDescent="0.3">
      <c r="A5202" s="9" t="s">
        <v>16386</v>
      </c>
      <c r="B5202" s="9" t="s">
        <v>16387</v>
      </c>
      <c r="C5202" s="11" t="s">
        <v>28</v>
      </c>
      <c r="D5202" s="9" t="s">
        <v>16388</v>
      </c>
      <c r="E5202" s="11" t="s">
        <v>28</v>
      </c>
      <c r="F5202" s="10" t="s">
        <v>28</v>
      </c>
      <c r="G5202" s="10" t="s">
        <v>28</v>
      </c>
      <c r="H5202" s="10" t="s">
        <v>28</v>
      </c>
      <c r="I5202" s="11" t="s">
        <v>28</v>
      </c>
      <c r="J5202" s="11" t="s">
        <v>28</v>
      </c>
      <c r="K5202" s="11" t="s">
        <v>28</v>
      </c>
      <c r="L5202" s="11" t="s">
        <v>28</v>
      </c>
      <c r="M5202" s="11" t="s">
        <v>28</v>
      </c>
      <c r="N5202" s="8">
        <v>44238</v>
      </c>
      <c r="O5202" s="9" t="s">
        <v>41</v>
      </c>
      <c r="P5202" s="12" t="s">
        <v>16389</v>
      </c>
      <c r="Q5202" s="9" t="s">
        <v>616</v>
      </c>
      <c r="R5202" s="14" t="str">
        <f>HYPERLINK("https://my.pitchbook.com?c=166711-42T","View Company Online")</f>
        <v>View Company Online</v>
      </c>
    </row>
    <row r="5203" spans="1:18" hidden="1" x14ac:dyDescent="0.3">
      <c r="A5203" s="15" t="s">
        <v>16390</v>
      </c>
      <c r="B5203" s="15" t="s">
        <v>16391</v>
      </c>
      <c r="C5203" s="18" t="s">
        <v>28</v>
      </c>
      <c r="D5203" s="15" t="s">
        <v>16392</v>
      </c>
      <c r="E5203" s="18" t="s">
        <v>28</v>
      </c>
      <c r="F5203" s="19" t="s">
        <v>28</v>
      </c>
      <c r="G5203" s="19" t="s">
        <v>28</v>
      </c>
      <c r="H5203" s="19" t="s">
        <v>28</v>
      </c>
      <c r="I5203" s="18" t="s">
        <v>28</v>
      </c>
      <c r="J5203" s="18" t="s">
        <v>28</v>
      </c>
      <c r="K5203" s="18" t="s">
        <v>28</v>
      </c>
      <c r="L5203" s="18" t="s">
        <v>28</v>
      </c>
      <c r="M5203" s="18" t="s">
        <v>28</v>
      </c>
      <c r="N5203" s="17">
        <v>44238</v>
      </c>
      <c r="O5203" s="15" t="s">
        <v>173</v>
      </c>
      <c r="P5203" s="16" t="s">
        <v>28</v>
      </c>
      <c r="Q5203" s="15" t="s">
        <v>174</v>
      </c>
      <c r="R5203" s="13" t="str">
        <f>HYPERLINK("https://my.pitchbook.com?c=251209-54T","View Company Online")</f>
        <v>View Company Online</v>
      </c>
    </row>
    <row r="5204" spans="1:18" hidden="1" x14ac:dyDescent="0.3">
      <c r="A5204" s="9" t="s">
        <v>16393</v>
      </c>
      <c r="B5204" s="9" t="s">
        <v>16394</v>
      </c>
      <c r="C5204" s="11" t="s">
        <v>28</v>
      </c>
      <c r="D5204" s="9" t="s">
        <v>16395</v>
      </c>
      <c r="E5204" s="11" t="s">
        <v>28</v>
      </c>
      <c r="F5204" s="10">
        <v>10.87</v>
      </c>
      <c r="G5204" s="10">
        <v>10.87</v>
      </c>
      <c r="H5204" s="10">
        <v>10.87</v>
      </c>
      <c r="I5204" s="11" t="s">
        <v>28</v>
      </c>
      <c r="J5204" s="11" t="s">
        <v>28</v>
      </c>
      <c r="K5204" s="11" t="s">
        <v>28</v>
      </c>
      <c r="L5204" s="11" t="s">
        <v>28</v>
      </c>
      <c r="M5204" s="11" t="s">
        <v>28</v>
      </c>
      <c r="N5204" s="8">
        <v>44238</v>
      </c>
      <c r="O5204" s="9" t="s">
        <v>41</v>
      </c>
      <c r="P5204" s="12" t="s">
        <v>11889</v>
      </c>
      <c r="Q5204" s="9" t="s">
        <v>183</v>
      </c>
      <c r="R5204" s="14" t="str">
        <f>HYPERLINK("https://my.pitchbook.com?c=141130-27T","View Company Online")</f>
        <v>View Company Online</v>
      </c>
    </row>
    <row r="5205" spans="1:18" hidden="1" x14ac:dyDescent="0.3">
      <c r="A5205" s="15" t="s">
        <v>16396</v>
      </c>
      <c r="B5205" s="15" t="s">
        <v>16397</v>
      </c>
      <c r="C5205" s="18" t="s">
        <v>28</v>
      </c>
      <c r="D5205" s="15" t="s">
        <v>16398</v>
      </c>
      <c r="E5205" s="18" t="s">
        <v>28</v>
      </c>
      <c r="F5205" s="19" t="s">
        <v>28</v>
      </c>
      <c r="G5205" s="19">
        <v>0.56000000000000005</v>
      </c>
      <c r="H5205" s="19" t="s">
        <v>28</v>
      </c>
      <c r="I5205" s="18" t="s">
        <v>28</v>
      </c>
      <c r="J5205" s="18" t="s">
        <v>28</v>
      </c>
      <c r="K5205" s="18" t="s">
        <v>28</v>
      </c>
      <c r="L5205" s="18" t="s">
        <v>28</v>
      </c>
      <c r="M5205" s="18" t="s">
        <v>28</v>
      </c>
      <c r="N5205" s="17">
        <v>44237</v>
      </c>
      <c r="O5205" s="15" t="s">
        <v>79</v>
      </c>
      <c r="P5205" s="16" t="s">
        <v>11495</v>
      </c>
      <c r="Q5205" s="15" t="s">
        <v>75</v>
      </c>
      <c r="R5205" s="13" t="str">
        <f>HYPERLINK("https://my.pitchbook.com?c=182946-07T","View Company Online")</f>
        <v>View Company Online</v>
      </c>
    </row>
    <row r="5206" spans="1:18" hidden="1" x14ac:dyDescent="0.3">
      <c r="A5206" s="9" t="s">
        <v>16399</v>
      </c>
      <c r="B5206" s="9" t="s">
        <v>9620</v>
      </c>
      <c r="C5206" s="11" t="s">
        <v>28</v>
      </c>
      <c r="D5206" s="9" t="s">
        <v>9621</v>
      </c>
      <c r="E5206" s="11" t="s">
        <v>28</v>
      </c>
      <c r="F5206" s="10" t="s">
        <v>28</v>
      </c>
      <c r="G5206" s="10" t="s">
        <v>28</v>
      </c>
      <c r="H5206" s="10" t="s">
        <v>28</v>
      </c>
      <c r="I5206" s="11" t="s">
        <v>28</v>
      </c>
      <c r="J5206" s="11" t="s">
        <v>28</v>
      </c>
      <c r="K5206" s="11" t="s">
        <v>28</v>
      </c>
      <c r="L5206" s="11" t="s">
        <v>28</v>
      </c>
      <c r="M5206" s="11" t="s">
        <v>28</v>
      </c>
      <c r="N5206" s="8">
        <v>44237</v>
      </c>
      <c r="O5206" s="9" t="s">
        <v>99</v>
      </c>
      <c r="P5206" s="12" t="s">
        <v>611</v>
      </c>
      <c r="Q5206" s="9" t="s">
        <v>75</v>
      </c>
      <c r="R5206" s="14" t="str">
        <f>HYPERLINK("https://my.pitchbook.com?c=180874-99T","View Company Online")</f>
        <v>View Company Online</v>
      </c>
    </row>
    <row r="5207" spans="1:18" hidden="1" x14ac:dyDescent="0.3">
      <c r="A5207" s="15" t="s">
        <v>16400</v>
      </c>
      <c r="B5207" s="15" t="s">
        <v>10101</v>
      </c>
      <c r="C5207" s="18" t="s">
        <v>28</v>
      </c>
      <c r="D5207" s="15" t="s">
        <v>10102</v>
      </c>
      <c r="E5207" s="18" t="s">
        <v>28</v>
      </c>
      <c r="F5207" s="19" t="s">
        <v>28</v>
      </c>
      <c r="G5207" s="19">
        <v>0.01</v>
      </c>
      <c r="H5207" s="19" t="s">
        <v>28</v>
      </c>
      <c r="I5207" s="18" t="s">
        <v>28</v>
      </c>
      <c r="J5207" s="18" t="s">
        <v>28</v>
      </c>
      <c r="K5207" s="18" t="s">
        <v>28</v>
      </c>
      <c r="L5207" s="18" t="s">
        <v>28</v>
      </c>
      <c r="M5207" s="18" t="s">
        <v>28</v>
      </c>
      <c r="N5207" s="17">
        <v>44237</v>
      </c>
      <c r="O5207" s="15" t="s">
        <v>379</v>
      </c>
      <c r="P5207" s="16" t="s">
        <v>16401</v>
      </c>
      <c r="Q5207" s="15" t="s">
        <v>75</v>
      </c>
      <c r="R5207" s="13" t="str">
        <f>HYPERLINK("https://my.pitchbook.com?c=200374-75T","View Company Online")</f>
        <v>View Company Online</v>
      </c>
    </row>
    <row r="5208" spans="1:18" hidden="1" x14ac:dyDescent="0.3">
      <c r="A5208" s="9" t="s">
        <v>16402</v>
      </c>
      <c r="B5208" s="9" t="s">
        <v>16403</v>
      </c>
      <c r="C5208" s="11" t="s">
        <v>28</v>
      </c>
      <c r="D5208" s="9" t="s">
        <v>16404</v>
      </c>
      <c r="E5208" s="11" t="s">
        <v>28</v>
      </c>
      <c r="F5208" s="10">
        <v>4444.4399999999996</v>
      </c>
      <c r="G5208" s="10">
        <v>4000</v>
      </c>
      <c r="H5208" s="10">
        <v>4444.4399999999996</v>
      </c>
      <c r="I5208" s="11" t="s">
        <v>28</v>
      </c>
      <c r="J5208" s="11" t="s">
        <v>28</v>
      </c>
      <c r="K5208" s="11" t="s">
        <v>28</v>
      </c>
      <c r="L5208" s="11" t="s">
        <v>28</v>
      </c>
      <c r="M5208" s="11" t="s">
        <v>28</v>
      </c>
      <c r="N5208" s="8">
        <v>44237</v>
      </c>
      <c r="O5208" s="9" t="s">
        <v>41</v>
      </c>
      <c r="P5208" s="12" t="s">
        <v>7578</v>
      </c>
      <c r="Q5208" s="9" t="s">
        <v>183</v>
      </c>
      <c r="R5208" s="14" t="str">
        <f>HYPERLINK("https://my.pitchbook.com?c=168368-50T","View Company Online")</f>
        <v>View Company Online</v>
      </c>
    </row>
    <row r="5209" spans="1:18" hidden="1" x14ac:dyDescent="0.3">
      <c r="A5209" s="15" t="s">
        <v>16405</v>
      </c>
      <c r="B5209" s="15" t="s">
        <v>7578</v>
      </c>
      <c r="C5209" s="18" t="s">
        <v>28</v>
      </c>
      <c r="D5209" s="15" t="s">
        <v>16406</v>
      </c>
      <c r="E5209" s="18">
        <v>116.21</v>
      </c>
      <c r="F5209" s="19" t="s">
        <v>28</v>
      </c>
      <c r="G5209" s="19">
        <v>372</v>
      </c>
      <c r="H5209" s="19" t="s">
        <v>28</v>
      </c>
      <c r="I5209" s="18">
        <v>279.99</v>
      </c>
      <c r="J5209" s="18" t="s">
        <v>28</v>
      </c>
      <c r="K5209" s="18">
        <v>369.6</v>
      </c>
      <c r="L5209" s="18" t="s">
        <v>28</v>
      </c>
      <c r="M5209" s="18">
        <v>87.88</v>
      </c>
      <c r="N5209" s="17">
        <v>44237</v>
      </c>
      <c r="O5209" s="15" t="s">
        <v>159</v>
      </c>
      <c r="P5209" s="16" t="s">
        <v>28</v>
      </c>
      <c r="Q5209" s="15" t="s">
        <v>268</v>
      </c>
      <c r="R5209" s="13" t="str">
        <f>HYPERLINK("https://my.pitchbook.com?c=168726-34T","View Company Online")</f>
        <v>View Company Online</v>
      </c>
    </row>
    <row r="5210" spans="1:18" hidden="1" x14ac:dyDescent="0.3">
      <c r="A5210" s="9" t="s">
        <v>16407</v>
      </c>
      <c r="B5210" s="9" t="s">
        <v>16408</v>
      </c>
      <c r="C5210" s="11" t="s">
        <v>28</v>
      </c>
      <c r="D5210" s="9" t="s">
        <v>16409</v>
      </c>
      <c r="E5210" s="11" t="s">
        <v>28</v>
      </c>
      <c r="F5210" s="10" t="s">
        <v>28</v>
      </c>
      <c r="G5210" s="10" t="s">
        <v>28</v>
      </c>
      <c r="H5210" s="10" t="s">
        <v>28</v>
      </c>
      <c r="I5210" s="11" t="s">
        <v>28</v>
      </c>
      <c r="J5210" s="11" t="s">
        <v>28</v>
      </c>
      <c r="K5210" s="11" t="s">
        <v>28</v>
      </c>
      <c r="L5210" s="11" t="s">
        <v>28</v>
      </c>
      <c r="M5210" s="11" t="s">
        <v>28</v>
      </c>
      <c r="N5210" s="8">
        <v>44237</v>
      </c>
      <c r="O5210" s="9" t="s">
        <v>30</v>
      </c>
      <c r="P5210" s="12" t="s">
        <v>16410</v>
      </c>
      <c r="Q5210" s="9" t="s">
        <v>114</v>
      </c>
      <c r="R5210" s="14" t="str">
        <f>HYPERLINK("https://my.pitchbook.com?c=166701-79T","View Company Online")</f>
        <v>View Company Online</v>
      </c>
    </row>
    <row r="5211" spans="1:18" hidden="1" x14ac:dyDescent="0.3">
      <c r="A5211" s="15" t="s">
        <v>16411</v>
      </c>
      <c r="B5211" s="15" t="s">
        <v>16412</v>
      </c>
      <c r="C5211" s="18" t="s">
        <v>28</v>
      </c>
      <c r="D5211" s="15" t="s">
        <v>16413</v>
      </c>
      <c r="E5211" s="18" t="s">
        <v>28</v>
      </c>
      <c r="F5211" s="19" t="s">
        <v>28</v>
      </c>
      <c r="G5211" s="19" t="s">
        <v>28</v>
      </c>
      <c r="H5211" s="19" t="s">
        <v>28</v>
      </c>
      <c r="I5211" s="18" t="s">
        <v>28</v>
      </c>
      <c r="J5211" s="18" t="s">
        <v>28</v>
      </c>
      <c r="K5211" s="18">
        <v>11.4</v>
      </c>
      <c r="L5211" s="18" t="s">
        <v>28</v>
      </c>
      <c r="M5211" s="18" t="s">
        <v>28</v>
      </c>
      <c r="N5211" s="17">
        <v>44236</v>
      </c>
      <c r="O5211" s="15" t="s">
        <v>30</v>
      </c>
      <c r="P5211" s="16" t="s">
        <v>16414</v>
      </c>
      <c r="Q5211" s="15" t="s">
        <v>331</v>
      </c>
      <c r="R5211" s="13" t="str">
        <f>HYPERLINK("https://my.pitchbook.com?c=166501-72T","View Company Online")</f>
        <v>View Company Online</v>
      </c>
    </row>
    <row r="5212" spans="1:18" hidden="1" x14ac:dyDescent="0.3">
      <c r="A5212" s="9" t="s">
        <v>16415</v>
      </c>
      <c r="B5212" s="9" t="s">
        <v>4775</v>
      </c>
      <c r="C5212" s="11" t="s">
        <v>28</v>
      </c>
      <c r="D5212" s="9" t="s">
        <v>4776</v>
      </c>
      <c r="E5212" s="11" t="s">
        <v>28</v>
      </c>
      <c r="F5212" s="10" t="s">
        <v>28</v>
      </c>
      <c r="G5212" s="10">
        <v>8.3699999999999992</v>
      </c>
      <c r="H5212" s="10" t="s">
        <v>28</v>
      </c>
      <c r="I5212" s="11" t="s">
        <v>28</v>
      </c>
      <c r="J5212" s="11" t="s">
        <v>28</v>
      </c>
      <c r="K5212" s="11" t="s">
        <v>28</v>
      </c>
      <c r="L5212" s="11" t="s">
        <v>28</v>
      </c>
      <c r="M5212" s="11" t="s">
        <v>28</v>
      </c>
      <c r="N5212" s="8">
        <v>44236</v>
      </c>
      <c r="O5212" s="9" t="s">
        <v>79</v>
      </c>
      <c r="P5212" s="12" t="s">
        <v>16416</v>
      </c>
      <c r="Q5212" s="9" t="s">
        <v>3973</v>
      </c>
      <c r="R5212" s="14" t="str">
        <f>HYPERLINK("https://my.pitchbook.com?c=166472-20T","View Company Online")</f>
        <v>View Company Online</v>
      </c>
    </row>
    <row r="5213" spans="1:18" hidden="1" x14ac:dyDescent="0.3">
      <c r="A5213" s="15" t="s">
        <v>16417</v>
      </c>
      <c r="B5213" s="15" t="s">
        <v>2386</v>
      </c>
      <c r="C5213" s="18" t="s">
        <v>28</v>
      </c>
      <c r="D5213" s="15" t="s">
        <v>16418</v>
      </c>
      <c r="E5213" s="18">
        <v>7.84</v>
      </c>
      <c r="F5213" s="19" t="s">
        <v>28</v>
      </c>
      <c r="G5213" s="19">
        <v>500</v>
      </c>
      <c r="H5213" s="19" t="s">
        <v>28</v>
      </c>
      <c r="I5213" s="18">
        <v>24.2</v>
      </c>
      <c r="J5213" s="18" t="s">
        <v>28</v>
      </c>
      <c r="K5213" s="18">
        <v>121.05</v>
      </c>
      <c r="L5213" s="18" t="s">
        <v>28</v>
      </c>
      <c r="M5213" s="18">
        <v>21.5</v>
      </c>
      <c r="N5213" s="17">
        <v>44235</v>
      </c>
      <c r="O5213" s="15" t="s">
        <v>159</v>
      </c>
      <c r="P5213" s="16" t="s">
        <v>9551</v>
      </c>
      <c r="Q5213" s="15" t="s">
        <v>69</v>
      </c>
      <c r="R5213" s="13" t="str">
        <f>HYPERLINK("https://my.pitchbook.com?c=167546-98T","View Company Online")</f>
        <v>View Company Online</v>
      </c>
    </row>
    <row r="5214" spans="1:18" hidden="1" x14ac:dyDescent="0.3">
      <c r="A5214" s="9" t="s">
        <v>16419</v>
      </c>
      <c r="B5214" s="9" t="s">
        <v>11390</v>
      </c>
      <c r="C5214" s="11" t="s">
        <v>28</v>
      </c>
      <c r="D5214" s="9" t="s">
        <v>11391</v>
      </c>
      <c r="E5214" s="11">
        <v>22.32</v>
      </c>
      <c r="F5214" s="10" t="s">
        <v>28</v>
      </c>
      <c r="G5214" s="10">
        <v>143.63</v>
      </c>
      <c r="H5214" s="10">
        <v>300.32</v>
      </c>
      <c r="I5214" s="11">
        <v>23.28</v>
      </c>
      <c r="J5214" s="11">
        <v>12.9</v>
      </c>
      <c r="K5214" s="11">
        <v>258.04000000000002</v>
      </c>
      <c r="L5214" s="11">
        <v>1.1599999999999999</v>
      </c>
      <c r="M5214" s="11">
        <v>9.7899999999999991</v>
      </c>
      <c r="N5214" s="8">
        <v>44235</v>
      </c>
      <c r="O5214" s="9" t="s">
        <v>173</v>
      </c>
      <c r="P5214" s="12" t="s">
        <v>28</v>
      </c>
      <c r="Q5214" s="9" t="s">
        <v>1238</v>
      </c>
      <c r="R5214" s="14" t="str">
        <f>HYPERLINK("https://my.pitchbook.com?c=185348-26T","View Company Online")</f>
        <v>View Company Online</v>
      </c>
    </row>
    <row r="5215" spans="1:18" hidden="1" x14ac:dyDescent="0.3">
      <c r="A5215" s="15" t="s">
        <v>16420</v>
      </c>
      <c r="B5215" s="15" t="s">
        <v>9096</v>
      </c>
      <c r="C5215" s="18" t="s">
        <v>28</v>
      </c>
      <c r="D5215" s="15" t="s">
        <v>16421</v>
      </c>
      <c r="E5215" s="18">
        <v>59.94</v>
      </c>
      <c r="F5215" s="19" t="s">
        <v>28</v>
      </c>
      <c r="G5215" s="19" t="s">
        <v>28</v>
      </c>
      <c r="H5215" s="19" t="s">
        <v>28</v>
      </c>
      <c r="I5215" s="18">
        <v>129.86000000000001</v>
      </c>
      <c r="J5215" s="18" t="s">
        <v>28</v>
      </c>
      <c r="K5215" s="18">
        <v>200.82</v>
      </c>
      <c r="L5215" s="18" t="s">
        <v>28</v>
      </c>
      <c r="M5215" s="18">
        <v>31.53</v>
      </c>
      <c r="N5215" s="17">
        <v>44235</v>
      </c>
      <c r="O5215" s="15" t="s">
        <v>173</v>
      </c>
      <c r="P5215" s="16" t="s">
        <v>28</v>
      </c>
      <c r="Q5215" s="15" t="s">
        <v>69</v>
      </c>
      <c r="R5215" s="13" t="str">
        <f>HYPERLINK("https://my.pitchbook.com?c=224660-80T","View Company Online")</f>
        <v>View Company Online</v>
      </c>
    </row>
    <row r="5216" spans="1:18" hidden="1" x14ac:dyDescent="0.3">
      <c r="A5216" s="9" t="s">
        <v>16422</v>
      </c>
      <c r="B5216" s="9" t="s">
        <v>16423</v>
      </c>
      <c r="C5216" s="11" t="s">
        <v>28</v>
      </c>
      <c r="D5216" s="9" t="s">
        <v>16424</v>
      </c>
      <c r="E5216" s="11" t="s">
        <v>28</v>
      </c>
      <c r="F5216" s="10" t="s">
        <v>28</v>
      </c>
      <c r="G5216" s="10">
        <v>190</v>
      </c>
      <c r="H5216" s="10">
        <v>1000</v>
      </c>
      <c r="I5216" s="11" t="s">
        <v>28</v>
      </c>
      <c r="J5216" s="11" t="s">
        <v>28</v>
      </c>
      <c r="K5216" s="11" t="s">
        <v>28</v>
      </c>
      <c r="L5216" s="11" t="s">
        <v>28</v>
      </c>
      <c r="M5216" s="11" t="s">
        <v>28</v>
      </c>
      <c r="N5216" s="8">
        <v>44235</v>
      </c>
      <c r="O5216" s="9" t="s">
        <v>79</v>
      </c>
      <c r="P5216" s="12" t="s">
        <v>16425</v>
      </c>
      <c r="Q5216" s="9" t="s">
        <v>409</v>
      </c>
      <c r="R5216" s="14" t="str">
        <f>HYPERLINK("https://my.pitchbook.com?c=159765-67T","View Company Online")</f>
        <v>View Company Online</v>
      </c>
    </row>
    <row r="5217" spans="1:18" hidden="1" x14ac:dyDescent="0.3">
      <c r="A5217" s="15" t="s">
        <v>16426</v>
      </c>
      <c r="B5217" s="15" t="s">
        <v>14284</v>
      </c>
      <c r="C5217" s="18" t="s">
        <v>28</v>
      </c>
      <c r="D5217" s="15" t="s">
        <v>14285</v>
      </c>
      <c r="E5217" s="18" t="s">
        <v>28</v>
      </c>
      <c r="F5217" s="19" t="s">
        <v>28</v>
      </c>
      <c r="G5217" s="19">
        <v>0.37</v>
      </c>
      <c r="H5217" s="19">
        <v>2.42</v>
      </c>
      <c r="I5217" s="18" t="s">
        <v>28</v>
      </c>
      <c r="J5217" s="18" t="s">
        <v>28</v>
      </c>
      <c r="K5217" s="18" t="s">
        <v>28</v>
      </c>
      <c r="L5217" s="18" t="s">
        <v>28</v>
      </c>
      <c r="M5217" s="18" t="s">
        <v>28</v>
      </c>
      <c r="N5217" s="17">
        <v>44235</v>
      </c>
      <c r="O5217" s="15" t="s">
        <v>1639</v>
      </c>
      <c r="P5217" s="16" t="s">
        <v>16427</v>
      </c>
      <c r="Q5217" s="15" t="s">
        <v>75</v>
      </c>
      <c r="R5217" s="13" t="str">
        <f>HYPERLINK("https://my.pitchbook.com?c=166499-38T","View Company Online")</f>
        <v>View Company Online</v>
      </c>
    </row>
    <row r="5218" spans="1:18" hidden="1" x14ac:dyDescent="0.3">
      <c r="A5218" s="9" t="s">
        <v>16428</v>
      </c>
      <c r="B5218" s="9" t="s">
        <v>687</v>
      </c>
      <c r="C5218" s="11" t="s">
        <v>28</v>
      </c>
      <c r="D5218" s="9" t="s">
        <v>16429</v>
      </c>
      <c r="E5218" s="11">
        <v>-3.64</v>
      </c>
      <c r="F5218" s="10" t="s">
        <v>28</v>
      </c>
      <c r="G5218" s="10">
        <v>150.94999999999999</v>
      </c>
      <c r="H5218" s="10">
        <v>415.92</v>
      </c>
      <c r="I5218" s="11">
        <v>1.66</v>
      </c>
      <c r="J5218" s="11">
        <v>251.21</v>
      </c>
      <c r="K5218" s="11">
        <v>117.06</v>
      </c>
      <c r="L5218" s="11">
        <v>3.55</v>
      </c>
      <c r="M5218" s="11">
        <v>-7.81</v>
      </c>
      <c r="N5218" s="8">
        <v>44232</v>
      </c>
      <c r="O5218" s="9" t="s">
        <v>173</v>
      </c>
      <c r="P5218" s="12" t="s">
        <v>28</v>
      </c>
      <c r="Q5218" s="9" t="s">
        <v>1179</v>
      </c>
      <c r="R5218" s="14" t="str">
        <f>HYPERLINK("https://my.pitchbook.com?c=167168-17T","View Company Online")</f>
        <v>View Company Online</v>
      </c>
    </row>
    <row r="5219" spans="1:18" hidden="1" x14ac:dyDescent="0.3">
      <c r="A5219" s="15" t="s">
        <v>16430</v>
      </c>
      <c r="B5219" s="15" t="s">
        <v>13611</v>
      </c>
      <c r="C5219" s="18" t="s">
        <v>28</v>
      </c>
      <c r="D5219" s="15" t="s">
        <v>13612</v>
      </c>
      <c r="E5219" s="18">
        <v>18.420000000000002</v>
      </c>
      <c r="F5219" s="19" t="s">
        <v>28</v>
      </c>
      <c r="G5219" s="19">
        <v>200.7</v>
      </c>
      <c r="H5219" s="19" t="s">
        <v>28</v>
      </c>
      <c r="I5219" s="18">
        <v>19.57</v>
      </c>
      <c r="J5219" s="18" t="s">
        <v>28</v>
      </c>
      <c r="K5219" s="18">
        <v>61.44</v>
      </c>
      <c r="L5219" s="18" t="s">
        <v>28</v>
      </c>
      <c r="M5219" s="18">
        <v>15.21</v>
      </c>
      <c r="N5219" s="17">
        <v>44232</v>
      </c>
      <c r="O5219" s="15" t="s">
        <v>173</v>
      </c>
      <c r="P5219" s="16" t="s">
        <v>28</v>
      </c>
      <c r="Q5219" s="15" t="s">
        <v>95</v>
      </c>
      <c r="R5219" s="13" t="str">
        <f>HYPERLINK("https://my.pitchbook.com?c=213973-21T","View Company Online")</f>
        <v>View Company Online</v>
      </c>
    </row>
    <row r="5220" spans="1:18" hidden="1" x14ac:dyDescent="0.3">
      <c r="A5220" s="9" t="s">
        <v>16431</v>
      </c>
      <c r="B5220" s="9" t="s">
        <v>16432</v>
      </c>
      <c r="C5220" s="11" t="s">
        <v>28</v>
      </c>
      <c r="D5220" s="9" t="s">
        <v>16433</v>
      </c>
      <c r="E5220" s="11" t="s">
        <v>28</v>
      </c>
      <c r="F5220" s="10" t="s">
        <v>28</v>
      </c>
      <c r="G5220" s="10" t="s">
        <v>28</v>
      </c>
      <c r="H5220" s="10" t="s">
        <v>28</v>
      </c>
      <c r="I5220" s="11" t="s">
        <v>28</v>
      </c>
      <c r="J5220" s="11" t="s">
        <v>28</v>
      </c>
      <c r="K5220" s="11" t="s">
        <v>28</v>
      </c>
      <c r="L5220" s="11" t="s">
        <v>28</v>
      </c>
      <c r="M5220" s="11" t="s">
        <v>28</v>
      </c>
      <c r="N5220" s="8">
        <v>44232</v>
      </c>
      <c r="O5220" s="9" t="s">
        <v>30</v>
      </c>
      <c r="P5220" s="12" t="s">
        <v>16434</v>
      </c>
      <c r="Q5220" s="9" t="s">
        <v>1007</v>
      </c>
      <c r="R5220" s="14" t="str">
        <f>HYPERLINK("https://my.pitchbook.com?c=179751-52T","View Company Online")</f>
        <v>View Company Online</v>
      </c>
    </row>
    <row r="5221" spans="1:18" hidden="1" x14ac:dyDescent="0.3">
      <c r="A5221" s="15" t="s">
        <v>16435</v>
      </c>
      <c r="B5221" s="15" t="s">
        <v>16436</v>
      </c>
      <c r="C5221" s="18" t="s">
        <v>28</v>
      </c>
      <c r="D5221" s="15" t="s">
        <v>16437</v>
      </c>
      <c r="E5221" s="18" t="s">
        <v>28</v>
      </c>
      <c r="F5221" s="19" t="s">
        <v>28</v>
      </c>
      <c r="G5221" s="19" t="s">
        <v>28</v>
      </c>
      <c r="H5221" s="19" t="s">
        <v>28</v>
      </c>
      <c r="I5221" s="18" t="s">
        <v>28</v>
      </c>
      <c r="J5221" s="18" t="s">
        <v>28</v>
      </c>
      <c r="K5221" s="18" t="s">
        <v>28</v>
      </c>
      <c r="L5221" s="18" t="s">
        <v>28</v>
      </c>
      <c r="M5221" s="18" t="s">
        <v>28</v>
      </c>
      <c r="N5221" s="17">
        <v>44231</v>
      </c>
      <c r="O5221" s="15" t="s">
        <v>30</v>
      </c>
      <c r="P5221" s="16" t="s">
        <v>16438</v>
      </c>
      <c r="Q5221" s="15" t="s">
        <v>37</v>
      </c>
      <c r="R5221" s="13" t="str">
        <f>HYPERLINK("https://my.pitchbook.com?c=174609-82T","View Company Online")</f>
        <v>View Company Online</v>
      </c>
    </row>
    <row r="5222" spans="1:18" hidden="1" x14ac:dyDescent="0.3">
      <c r="A5222" s="9" t="s">
        <v>16439</v>
      </c>
      <c r="B5222" s="9" t="s">
        <v>1855</v>
      </c>
      <c r="C5222" s="11" t="s">
        <v>28</v>
      </c>
      <c r="D5222" s="9" t="s">
        <v>1856</v>
      </c>
      <c r="E5222" s="11" t="s">
        <v>28</v>
      </c>
      <c r="F5222" s="10" t="s">
        <v>28</v>
      </c>
      <c r="G5222" s="10">
        <v>6</v>
      </c>
      <c r="H5222" s="10" t="s">
        <v>28</v>
      </c>
      <c r="I5222" s="11" t="s">
        <v>28</v>
      </c>
      <c r="J5222" s="11" t="s">
        <v>28</v>
      </c>
      <c r="K5222" s="11" t="s">
        <v>28</v>
      </c>
      <c r="L5222" s="11" t="s">
        <v>28</v>
      </c>
      <c r="M5222" s="11" t="s">
        <v>28</v>
      </c>
      <c r="N5222" s="8">
        <v>44231</v>
      </c>
      <c r="O5222" s="9" t="s">
        <v>79</v>
      </c>
      <c r="P5222" s="12" t="s">
        <v>16440</v>
      </c>
      <c r="Q5222" s="9" t="s">
        <v>37</v>
      </c>
      <c r="R5222" s="14" t="str">
        <f>HYPERLINK("https://my.pitchbook.com?c=166237-21T","View Company Online")</f>
        <v>View Company Online</v>
      </c>
    </row>
    <row r="5223" spans="1:18" hidden="1" x14ac:dyDescent="0.3">
      <c r="A5223" s="15" t="s">
        <v>16441</v>
      </c>
      <c r="B5223" s="15" t="s">
        <v>2233</v>
      </c>
      <c r="C5223" s="18" t="s">
        <v>28</v>
      </c>
      <c r="D5223" s="15" t="s">
        <v>2234</v>
      </c>
      <c r="E5223" s="18" t="s">
        <v>28</v>
      </c>
      <c r="F5223" s="19" t="s">
        <v>28</v>
      </c>
      <c r="G5223" s="19" t="s">
        <v>28</v>
      </c>
      <c r="H5223" s="19" t="s">
        <v>28</v>
      </c>
      <c r="I5223" s="18" t="s">
        <v>28</v>
      </c>
      <c r="J5223" s="18" t="s">
        <v>28</v>
      </c>
      <c r="K5223" s="18" t="s">
        <v>28</v>
      </c>
      <c r="L5223" s="18" t="s">
        <v>28</v>
      </c>
      <c r="M5223" s="18" t="s">
        <v>28</v>
      </c>
      <c r="N5223" s="17">
        <v>44230</v>
      </c>
      <c r="O5223" s="15" t="s">
        <v>99</v>
      </c>
      <c r="P5223" s="16" t="s">
        <v>16442</v>
      </c>
      <c r="Q5223" s="15" t="s">
        <v>404</v>
      </c>
      <c r="R5223" s="13" t="str">
        <f>HYPERLINK("https://my.pitchbook.com?c=198849-79T","View Company Online")</f>
        <v>View Company Online</v>
      </c>
    </row>
    <row r="5224" spans="1:18" hidden="1" x14ac:dyDescent="0.3">
      <c r="A5224" s="9" t="s">
        <v>16443</v>
      </c>
      <c r="B5224" s="9" t="s">
        <v>16444</v>
      </c>
      <c r="C5224" s="11" t="s">
        <v>28</v>
      </c>
      <c r="D5224" s="9" t="s">
        <v>16445</v>
      </c>
      <c r="E5224" s="11" t="s">
        <v>28</v>
      </c>
      <c r="F5224" s="10" t="s">
        <v>28</v>
      </c>
      <c r="G5224" s="10" t="s">
        <v>28</v>
      </c>
      <c r="H5224" s="10" t="s">
        <v>28</v>
      </c>
      <c r="I5224" s="11" t="s">
        <v>28</v>
      </c>
      <c r="J5224" s="11" t="s">
        <v>28</v>
      </c>
      <c r="K5224" s="11" t="s">
        <v>28</v>
      </c>
      <c r="L5224" s="11" t="s">
        <v>28</v>
      </c>
      <c r="M5224" s="11" t="s">
        <v>28</v>
      </c>
      <c r="N5224" s="8">
        <v>44229</v>
      </c>
      <c r="O5224" s="9" t="s">
        <v>73</v>
      </c>
      <c r="P5224" s="12" t="s">
        <v>16446</v>
      </c>
      <c r="Q5224" s="9" t="s">
        <v>95</v>
      </c>
      <c r="R5224" s="14" t="str">
        <f>HYPERLINK("https://my.pitchbook.com?c=140136-94T","View Company Online")</f>
        <v>View Company Online</v>
      </c>
    </row>
    <row r="5225" spans="1:18" hidden="1" x14ac:dyDescent="0.3">
      <c r="A5225" s="15" t="s">
        <v>16447</v>
      </c>
      <c r="B5225" s="15" t="s">
        <v>16448</v>
      </c>
      <c r="C5225" s="18" t="s">
        <v>28</v>
      </c>
      <c r="D5225" s="15" t="s">
        <v>16449</v>
      </c>
      <c r="E5225" s="18" t="s">
        <v>28</v>
      </c>
      <c r="F5225" s="19" t="s">
        <v>28</v>
      </c>
      <c r="G5225" s="19" t="s">
        <v>28</v>
      </c>
      <c r="H5225" s="19" t="s">
        <v>28</v>
      </c>
      <c r="I5225" s="18" t="s">
        <v>28</v>
      </c>
      <c r="J5225" s="18" t="s">
        <v>28</v>
      </c>
      <c r="K5225" s="18" t="s">
        <v>28</v>
      </c>
      <c r="L5225" s="18" t="s">
        <v>28</v>
      </c>
      <c r="M5225" s="18" t="s">
        <v>28</v>
      </c>
      <c r="N5225" s="17">
        <v>44229</v>
      </c>
      <c r="O5225" s="15" t="s">
        <v>30</v>
      </c>
      <c r="P5225" s="16" t="s">
        <v>16450</v>
      </c>
      <c r="Q5225" s="15" t="s">
        <v>16451</v>
      </c>
      <c r="R5225" s="13" t="str">
        <f>HYPERLINK("https://my.pitchbook.com?c=166111-48T","View Company Online")</f>
        <v>View Company Online</v>
      </c>
    </row>
    <row r="5226" spans="1:18" hidden="1" x14ac:dyDescent="0.3">
      <c r="A5226" s="9" t="s">
        <v>16452</v>
      </c>
      <c r="B5226" s="9" t="s">
        <v>16453</v>
      </c>
      <c r="C5226" s="11" t="s">
        <v>28</v>
      </c>
      <c r="D5226" s="9" t="s">
        <v>16454</v>
      </c>
      <c r="E5226" s="11" t="s">
        <v>28</v>
      </c>
      <c r="F5226" s="10" t="s">
        <v>28</v>
      </c>
      <c r="G5226" s="10">
        <v>1.1200000000000001</v>
      </c>
      <c r="H5226" s="10" t="s">
        <v>28</v>
      </c>
      <c r="I5226" s="11" t="s">
        <v>28</v>
      </c>
      <c r="J5226" s="11" t="s">
        <v>28</v>
      </c>
      <c r="K5226" s="11" t="s">
        <v>28</v>
      </c>
      <c r="L5226" s="11" t="s">
        <v>28</v>
      </c>
      <c r="M5226" s="11" t="s">
        <v>28</v>
      </c>
      <c r="N5226" s="8">
        <v>44229</v>
      </c>
      <c r="O5226" s="9" t="s">
        <v>79</v>
      </c>
      <c r="P5226" s="12" t="s">
        <v>16455</v>
      </c>
      <c r="Q5226" s="9" t="s">
        <v>75</v>
      </c>
      <c r="R5226" s="14" t="str">
        <f>HYPERLINK("https://my.pitchbook.com?c=166479-94T","View Company Online")</f>
        <v>View Company Online</v>
      </c>
    </row>
    <row r="5227" spans="1:18" hidden="1" x14ac:dyDescent="0.3">
      <c r="A5227" s="15" t="s">
        <v>16456</v>
      </c>
      <c r="B5227" s="15" t="s">
        <v>16457</v>
      </c>
      <c r="C5227" s="18" t="s">
        <v>28</v>
      </c>
      <c r="D5227" s="15" t="s">
        <v>16458</v>
      </c>
      <c r="E5227" s="18" t="s">
        <v>28</v>
      </c>
      <c r="F5227" s="19">
        <v>22.36</v>
      </c>
      <c r="G5227" s="19">
        <v>22.36</v>
      </c>
      <c r="H5227" s="19">
        <v>22.36</v>
      </c>
      <c r="I5227" s="18" t="s">
        <v>28</v>
      </c>
      <c r="J5227" s="18" t="s">
        <v>28</v>
      </c>
      <c r="K5227" s="18">
        <v>8.15</v>
      </c>
      <c r="L5227" s="18">
        <v>2.74</v>
      </c>
      <c r="M5227" s="18" t="s">
        <v>28</v>
      </c>
      <c r="N5227" s="17">
        <v>44229</v>
      </c>
      <c r="O5227" s="15" t="s">
        <v>30</v>
      </c>
      <c r="P5227" s="16" t="s">
        <v>16459</v>
      </c>
      <c r="Q5227" s="15" t="s">
        <v>43</v>
      </c>
      <c r="R5227" s="13" t="str">
        <f>HYPERLINK("https://my.pitchbook.com?c=213617-44T","View Company Online")</f>
        <v>View Company Online</v>
      </c>
    </row>
    <row r="5228" spans="1:18" hidden="1" x14ac:dyDescent="0.3">
      <c r="A5228" s="9" t="s">
        <v>16460</v>
      </c>
      <c r="B5228" s="9" t="s">
        <v>10081</v>
      </c>
      <c r="C5228" s="11" t="s">
        <v>28</v>
      </c>
      <c r="D5228" s="9" t="s">
        <v>10082</v>
      </c>
      <c r="E5228" s="11" t="s">
        <v>28</v>
      </c>
      <c r="F5228" s="10" t="s">
        <v>28</v>
      </c>
      <c r="G5228" s="10">
        <v>0.16</v>
      </c>
      <c r="H5228" s="10" t="s">
        <v>28</v>
      </c>
      <c r="I5228" s="11" t="s">
        <v>28</v>
      </c>
      <c r="J5228" s="11" t="s">
        <v>28</v>
      </c>
      <c r="K5228" s="11" t="s">
        <v>28</v>
      </c>
      <c r="L5228" s="11" t="s">
        <v>28</v>
      </c>
      <c r="M5228" s="11" t="s">
        <v>28</v>
      </c>
      <c r="N5228" s="8">
        <v>44228</v>
      </c>
      <c r="O5228" s="9" t="s">
        <v>1639</v>
      </c>
      <c r="P5228" s="12" t="s">
        <v>28</v>
      </c>
      <c r="Q5228" s="9" t="s">
        <v>249</v>
      </c>
      <c r="R5228" s="14" t="str">
        <f>HYPERLINK("https://my.pitchbook.com?c=165789-19T","View Company Online")</f>
        <v>View Company Online</v>
      </c>
    </row>
    <row r="5229" spans="1:18" hidden="1" x14ac:dyDescent="0.3">
      <c r="A5229" s="15" t="s">
        <v>16461</v>
      </c>
      <c r="B5229" s="15" t="s">
        <v>6303</v>
      </c>
      <c r="C5229" s="18" t="s">
        <v>28</v>
      </c>
      <c r="D5229" s="15" t="s">
        <v>6304</v>
      </c>
      <c r="E5229" s="18" t="s">
        <v>28</v>
      </c>
      <c r="F5229" s="19" t="s">
        <v>28</v>
      </c>
      <c r="G5229" s="19">
        <v>0.56000000000000005</v>
      </c>
      <c r="H5229" s="19" t="s">
        <v>28</v>
      </c>
      <c r="I5229" s="18" t="s">
        <v>28</v>
      </c>
      <c r="J5229" s="18" t="s">
        <v>28</v>
      </c>
      <c r="K5229" s="18" t="s">
        <v>28</v>
      </c>
      <c r="L5229" s="18" t="s">
        <v>28</v>
      </c>
      <c r="M5229" s="18" t="s">
        <v>28</v>
      </c>
      <c r="N5229" s="17">
        <v>44228</v>
      </c>
      <c r="O5229" s="15" t="s">
        <v>9098</v>
      </c>
      <c r="P5229" s="16" t="s">
        <v>28</v>
      </c>
      <c r="Q5229" s="15" t="s">
        <v>105</v>
      </c>
      <c r="R5229" s="13" t="str">
        <f>HYPERLINK("https://my.pitchbook.com?c=221446-63T","View Company Online")</f>
        <v>View Company Online</v>
      </c>
    </row>
    <row r="5230" spans="1:18" hidden="1" x14ac:dyDescent="0.3">
      <c r="A5230" s="9" t="s">
        <v>16462</v>
      </c>
      <c r="B5230" s="9" t="s">
        <v>16463</v>
      </c>
      <c r="C5230" s="11" t="s">
        <v>28</v>
      </c>
      <c r="D5230" s="9" t="s">
        <v>16464</v>
      </c>
      <c r="E5230" s="11" t="s">
        <v>28</v>
      </c>
      <c r="F5230" s="10" t="s">
        <v>28</v>
      </c>
      <c r="G5230" s="10" t="s">
        <v>28</v>
      </c>
      <c r="H5230" s="10" t="s">
        <v>28</v>
      </c>
      <c r="I5230" s="11" t="s">
        <v>28</v>
      </c>
      <c r="J5230" s="11" t="s">
        <v>28</v>
      </c>
      <c r="K5230" s="11" t="s">
        <v>28</v>
      </c>
      <c r="L5230" s="11" t="s">
        <v>28</v>
      </c>
      <c r="M5230" s="11" t="s">
        <v>28</v>
      </c>
      <c r="N5230" s="8">
        <v>44228</v>
      </c>
      <c r="O5230" s="9" t="s">
        <v>30</v>
      </c>
      <c r="P5230" s="12" t="s">
        <v>1852</v>
      </c>
      <c r="Q5230" s="9" t="s">
        <v>75</v>
      </c>
      <c r="R5230" s="14" t="str">
        <f>HYPERLINK("https://my.pitchbook.com?c=213238-36T","View Company Online")</f>
        <v>View Company Online</v>
      </c>
    </row>
    <row r="5231" spans="1:18" hidden="1" x14ac:dyDescent="0.3">
      <c r="A5231" s="15" t="s">
        <v>16465</v>
      </c>
      <c r="B5231" s="15" t="s">
        <v>9860</v>
      </c>
      <c r="C5231" s="18" t="s">
        <v>28</v>
      </c>
      <c r="D5231" s="15" t="s">
        <v>9861</v>
      </c>
      <c r="E5231" s="18" t="s">
        <v>28</v>
      </c>
      <c r="F5231" s="19" t="s">
        <v>28</v>
      </c>
      <c r="G5231" s="19">
        <v>0.24</v>
      </c>
      <c r="H5231" s="19" t="s">
        <v>28</v>
      </c>
      <c r="I5231" s="18" t="s">
        <v>28</v>
      </c>
      <c r="J5231" s="18" t="s">
        <v>28</v>
      </c>
      <c r="K5231" s="18" t="s">
        <v>28</v>
      </c>
      <c r="L5231" s="18" t="s">
        <v>28</v>
      </c>
      <c r="M5231" s="18" t="s">
        <v>28</v>
      </c>
      <c r="N5231" s="17">
        <v>44228</v>
      </c>
      <c r="O5231" s="15" t="s">
        <v>99</v>
      </c>
      <c r="P5231" s="16" t="s">
        <v>16466</v>
      </c>
      <c r="Q5231" s="15" t="s">
        <v>75</v>
      </c>
      <c r="R5231" s="13" t="str">
        <f>HYPERLINK("https://my.pitchbook.com?c=166482-19T","View Company Online")</f>
        <v>View Company Online</v>
      </c>
    </row>
    <row r="5232" spans="1:18" hidden="1" x14ac:dyDescent="0.3">
      <c r="A5232" s="9" t="s">
        <v>16467</v>
      </c>
      <c r="B5232" s="9" t="s">
        <v>16468</v>
      </c>
      <c r="C5232" s="11" t="s">
        <v>28</v>
      </c>
      <c r="D5232" s="9" t="s">
        <v>16469</v>
      </c>
      <c r="E5232" s="11" t="s">
        <v>28</v>
      </c>
      <c r="F5232" s="10" t="s">
        <v>28</v>
      </c>
      <c r="G5232" s="10" t="s">
        <v>28</v>
      </c>
      <c r="H5232" s="10" t="s">
        <v>28</v>
      </c>
      <c r="I5232" s="11" t="s">
        <v>28</v>
      </c>
      <c r="J5232" s="11" t="s">
        <v>28</v>
      </c>
      <c r="K5232" s="11" t="s">
        <v>28</v>
      </c>
      <c r="L5232" s="11" t="s">
        <v>28</v>
      </c>
      <c r="M5232" s="11" t="s">
        <v>28</v>
      </c>
      <c r="N5232" s="8">
        <v>44228</v>
      </c>
      <c r="O5232" s="9" t="s">
        <v>30</v>
      </c>
      <c r="P5232" s="12" t="s">
        <v>16470</v>
      </c>
      <c r="Q5232" s="9" t="s">
        <v>290</v>
      </c>
      <c r="R5232" s="14" t="str">
        <f>HYPERLINK("https://my.pitchbook.com?c=212091-85T","View Company Online")</f>
        <v>View Company Online</v>
      </c>
    </row>
    <row r="5233" spans="1:18" hidden="1" x14ac:dyDescent="0.3">
      <c r="A5233" s="15" t="s">
        <v>16471</v>
      </c>
      <c r="B5233" s="15" t="s">
        <v>16472</v>
      </c>
      <c r="C5233" s="18" t="s">
        <v>28</v>
      </c>
      <c r="D5233" s="15" t="s">
        <v>16473</v>
      </c>
      <c r="E5233" s="18" t="s">
        <v>28</v>
      </c>
      <c r="F5233" s="19" t="s">
        <v>28</v>
      </c>
      <c r="G5233" s="19" t="s">
        <v>28</v>
      </c>
      <c r="H5233" s="19" t="s">
        <v>28</v>
      </c>
      <c r="I5233" s="18" t="s">
        <v>28</v>
      </c>
      <c r="J5233" s="18" t="s">
        <v>28</v>
      </c>
      <c r="K5233" s="18" t="s">
        <v>28</v>
      </c>
      <c r="L5233" s="18" t="s">
        <v>28</v>
      </c>
      <c r="M5233" s="18" t="s">
        <v>28</v>
      </c>
      <c r="N5233" s="17">
        <v>44228</v>
      </c>
      <c r="O5233" s="15" t="s">
        <v>30</v>
      </c>
      <c r="P5233" s="16" t="s">
        <v>840</v>
      </c>
      <c r="Q5233" s="15" t="s">
        <v>4670</v>
      </c>
      <c r="R5233" s="13" t="str">
        <f>HYPERLINK("https://my.pitchbook.com?c=212070-43T","View Company Online")</f>
        <v>View Company Online</v>
      </c>
    </row>
    <row r="5234" spans="1:18" hidden="1" x14ac:dyDescent="0.3">
      <c r="A5234" s="9" t="s">
        <v>16474</v>
      </c>
      <c r="B5234" s="9" t="s">
        <v>16475</v>
      </c>
      <c r="C5234" s="11" t="s">
        <v>28</v>
      </c>
      <c r="D5234" s="9" t="s">
        <v>16476</v>
      </c>
      <c r="E5234" s="11" t="s">
        <v>28</v>
      </c>
      <c r="F5234" s="10" t="s">
        <v>28</v>
      </c>
      <c r="G5234" s="10" t="s">
        <v>28</v>
      </c>
      <c r="H5234" s="10" t="s">
        <v>28</v>
      </c>
      <c r="I5234" s="11" t="s">
        <v>28</v>
      </c>
      <c r="J5234" s="11" t="s">
        <v>28</v>
      </c>
      <c r="K5234" s="11" t="s">
        <v>28</v>
      </c>
      <c r="L5234" s="11" t="s">
        <v>28</v>
      </c>
      <c r="M5234" s="11" t="s">
        <v>28</v>
      </c>
      <c r="N5234" s="8">
        <v>44228</v>
      </c>
      <c r="O5234" s="9" t="s">
        <v>30</v>
      </c>
      <c r="P5234" s="12" t="s">
        <v>16470</v>
      </c>
      <c r="Q5234" s="9" t="s">
        <v>290</v>
      </c>
      <c r="R5234" s="14" t="str">
        <f>HYPERLINK("https://my.pitchbook.com?c=212110-75T","View Company Online")</f>
        <v>View Company Online</v>
      </c>
    </row>
    <row r="5235" spans="1:18" hidden="1" x14ac:dyDescent="0.3">
      <c r="A5235" s="15" t="s">
        <v>16477</v>
      </c>
      <c r="B5235" s="15" t="s">
        <v>16478</v>
      </c>
      <c r="C5235" s="18" t="s">
        <v>28</v>
      </c>
      <c r="D5235" s="15" t="s">
        <v>16479</v>
      </c>
      <c r="E5235" s="18" t="s">
        <v>28</v>
      </c>
      <c r="F5235" s="19" t="s">
        <v>28</v>
      </c>
      <c r="G5235" s="19" t="s">
        <v>28</v>
      </c>
      <c r="H5235" s="19" t="s">
        <v>28</v>
      </c>
      <c r="I5235" s="18" t="s">
        <v>28</v>
      </c>
      <c r="J5235" s="18" t="s">
        <v>28</v>
      </c>
      <c r="K5235" s="18" t="s">
        <v>28</v>
      </c>
      <c r="L5235" s="18" t="s">
        <v>28</v>
      </c>
      <c r="M5235" s="18" t="s">
        <v>28</v>
      </c>
      <c r="N5235" s="17">
        <v>44228</v>
      </c>
      <c r="O5235" s="15" t="s">
        <v>30</v>
      </c>
      <c r="P5235" s="16" t="s">
        <v>16480</v>
      </c>
      <c r="Q5235" s="15" t="s">
        <v>114</v>
      </c>
      <c r="R5235" s="13" t="str">
        <f>HYPERLINK("https://my.pitchbook.com?c=210632-23T","View Company Online")</f>
        <v>View Company Online</v>
      </c>
    </row>
    <row r="5236" spans="1:18" hidden="1" x14ac:dyDescent="0.3">
      <c r="A5236" s="9" t="s">
        <v>16481</v>
      </c>
      <c r="B5236" s="9" t="s">
        <v>16482</v>
      </c>
      <c r="C5236" s="11" t="s">
        <v>28</v>
      </c>
      <c r="D5236" s="9" t="s">
        <v>16483</v>
      </c>
      <c r="E5236" s="11" t="s">
        <v>28</v>
      </c>
      <c r="F5236" s="10" t="s">
        <v>28</v>
      </c>
      <c r="G5236" s="10" t="s">
        <v>28</v>
      </c>
      <c r="H5236" s="10" t="s">
        <v>28</v>
      </c>
      <c r="I5236" s="11" t="s">
        <v>28</v>
      </c>
      <c r="J5236" s="11" t="s">
        <v>28</v>
      </c>
      <c r="K5236" s="11" t="s">
        <v>28</v>
      </c>
      <c r="L5236" s="11" t="s">
        <v>28</v>
      </c>
      <c r="M5236" s="11" t="s">
        <v>28</v>
      </c>
      <c r="N5236" s="8">
        <v>44228</v>
      </c>
      <c r="O5236" s="9" t="s">
        <v>30</v>
      </c>
      <c r="P5236" s="12" t="s">
        <v>16470</v>
      </c>
      <c r="Q5236" s="9" t="s">
        <v>290</v>
      </c>
      <c r="R5236" s="14" t="str">
        <f>HYPERLINK("https://my.pitchbook.com?c=212088-43T","View Company Online")</f>
        <v>View Company Online</v>
      </c>
    </row>
    <row r="5237" spans="1:18" hidden="1" x14ac:dyDescent="0.3">
      <c r="A5237" s="15" t="s">
        <v>16484</v>
      </c>
      <c r="B5237" s="15" t="s">
        <v>16485</v>
      </c>
      <c r="C5237" s="18" t="s">
        <v>28</v>
      </c>
      <c r="D5237" s="15" t="s">
        <v>16486</v>
      </c>
      <c r="E5237" s="18" t="s">
        <v>28</v>
      </c>
      <c r="F5237" s="19" t="s">
        <v>28</v>
      </c>
      <c r="G5237" s="19" t="s">
        <v>28</v>
      </c>
      <c r="H5237" s="19" t="s">
        <v>28</v>
      </c>
      <c r="I5237" s="18" t="s">
        <v>28</v>
      </c>
      <c r="J5237" s="18" t="s">
        <v>28</v>
      </c>
      <c r="K5237" s="18" t="s">
        <v>28</v>
      </c>
      <c r="L5237" s="18" t="s">
        <v>28</v>
      </c>
      <c r="M5237" s="18" t="s">
        <v>28</v>
      </c>
      <c r="N5237" s="17">
        <v>44228</v>
      </c>
      <c r="O5237" s="15" t="s">
        <v>30</v>
      </c>
      <c r="P5237" s="16" t="s">
        <v>16470</v>
      </c>
      <c r="Q5237" s="15" t="s">
        <v>290</v>
      </c>
      <c r="R5237" s="13" t="str">
        <f>HYPERLINK("https://my.pitchbook.com?c=212095-45T","View Company Online")</f>
        <v>View Company Online</v>
      </c>
    </row>
    <row r="5238" spans="1:18" hidden="1" x14ac:dyDescent="0.3">
      <c r="A5238" s="9" t="s">
        <v>16487</v>
      </c>
      <c r="B5238" s="9" t="s">
        <v>16488</v>
      </c>
      <c r="C5238" s="11" t="s">
        <v>28</v>
      </c>
      <c r="D5238" s="9" t="s">
        <v>16489</v>
      </c>
      <c r="E5238" s="11" t="s">
        <v>28</v>
      </c>
      <c r="F5238" s="10" t="s">
        <v>28</v>
      </c>
      <c r="G5238" s="10" t="s">
        <v>28</v>
      </c>
      <c r="H5238" s="10" t="s">
        <v>28</v>
      </c>
      <c r="I5238" s="11" t="s">
        <v>28</v>
      </c>
      <c r="J5238" s="11" t="s">
        <v>28</v>
      </c>
      <c r="K5238" s="11" t="s">
        <v>28</v>
      </c>
      <c r="L5238" s="11" t="s">
        <v>28</v>
      </c>
      <c r="M5238" s="11" t="s">
        <v>28</v>
      </c>
      <c r="N5238" s="8">
        <v>44228</v>
      </c>
      <c r="O5238" s="9" t="s">
        <v>30</v>
      </c>
      <c r="P5238" s="12" t="s">
        <v>16470</v>
      </c>
      <c r="Q5238" s="9" t="s">
        <v>290</v>
      </c>
      <c r="R5238" s="14" t="str">
        <f>HYPERLINK("https://my.pitchbook.com?c=212080-42T","View Company Online")</f>
        <v>View Company Online</v>
      </c>
    </row>
    <row r="5239" spans="1:18" hidden="1" x14ac:dyDescent="0.3">
      <c r="A5239" s="15" t="s">
        <v>16490</v>
      </c>
      <c r="B5239" s="15" t="s">
        <v>11905</v>
      </c>
      <c r="C5239" s="18" t="s">
        <v>28</v>
      </c>
      <c r="D5239" s="15" t="s">
        <v>11906</v>
      </c>
      <c r="E5239" s="18" t="s">
        <v>28</v>
      </c>
      <c r="F5239" s="19" t="s">
        <v>28</v>
      </c>
      <c r="G5239" s="19">
        <v>1.31</v>
      </c>
      <c r="H5239" s="19" t="s">
        <v>28</v>
      </c>
      <c r="I5239" s="18" t="s">
        <v>28</v>
      </c>
      <c r="J5239" s="18" t="s">
        <v>28</v>
      </c>
      <c r="K5239" s="18" t="s">
        <v>28</v>
      </c>
      <c r="L5239" s="18" t="s">
        <v>28</v>
      </c>
      <c r="M5239" s="18" t="s">
        <v>28</v>
      </c>
      <c r="N5239" s="17">
        <v>44228</v>
      </c>
      <c r="O5239" s="15" t="s">
        <v>73</v>
      </c>
      <c r="P5239" s="16" t="s">
        <v>104</v>
      </c>
      <c r="Q5239" s="15" t="s">
        <v>5628</v>
      </c>
      <c r="R5239" s="13" t="str">
        <f>HYPERLINK("https://my.pitchbook.com?c=186134-23T","View Company Online")</f>
        <v>View Company Online</v>
      </c>
    </row>
    <row r="5240" spans="1:18" hidden="1" x14ac:dyDescent="0.3">
      <c r="A5240" s="9" t="s">
        <v>16491</v>
      </c>
      <c r="B5240" s="9" t="s">
        <v>16492</v>
      </c>
      <c r="C5240" s="11" t="s">
        <v>28</v>
      </c>
      <c r="D5240" s="9" t="s">
        <v>16493</v>
      </c>
      <c r="E5240" s="11" t="s">
        <v>28</v>
      </c>
      <c r="F5240" s="10" t="s">
        <v>28</v>
      </c>
      <c r="G5240" s="10" t="s">
        <v>28</v>
      </c>
      <c r="H5240" s="10" t="s">
        <v>28</v>
      </c>
      <c r="I5240" s="11" t="s">
        <v>28</v>
      </c>
      <c r="J5240" s="11" t="s">
        <v>28</v>
      </c>
      <c r="K5240" s="11" t="s">
        <v>28</v>
      </c>
      <c r="L5240" s="11" t="s">
        <v>28</v>
      </c>
      <c r="M5240" s="11" t="s">
        <v>28</v>
      </c>
      <c r="N5240" s="8">
        <v>44228</v>
      </c>
      <c r="O5240" s="9" t="s">
        <v>30</v>
      </c>
      <c r="P5240" s="12" t="s">
        <v>16470</v>
      </c>
      <c r="Q5240" s="9" t="s">
        <v>290</v>
      </c>
      <c r="R5240" s="14" t="str">
        <f>HYPERLINK("https://my.pitchbook.com?c=212076-91T","View Company Online")</f>
        <v>View Company Online</v>
      </c>
    </row>
    <row r="5241" spans="1:18" hidden="1" x14ac:dyDescent="0.3">
      <c r="A5241" s="15" t="s">
        <v>16494</v>
      </c>
      <c r="B5241" s="15" t="s">
        <v>840</v>
      </c>
      <c r="C5241" s="18" t="s">
        <v>28</v>
      </c>
      <c r="D5241" s="15" t="s">
        <v>16495</v>
      </c>
      <c r="E5241" s="18" t="s">
        <v>28</v>
      </c>
      <c r="F5241" s="19" t="s">
        <v>28</v>
      </c>
      <c r="G5241" s="19" t="s">
        <v>28</v>
      </c>
      <c r="H5241" s="19" t="s">
        <v>28</v>
      </c>
      <c r="I5241" s="18" t="s">
        <v>28</v>
      </c>
      <c r="J5241" s="18" t="s">
        <v>28</v>
      </c>
      <c r="K5241" s="18" t="s">
        <v>28</v>
      </c>
      <c r="L5241" s="18" t="s">
        <v>28</v>
      </c>
      <c r="M5241" s="18" t="s">
        <v>28</v>
      </c>
      <c r="N5241" s="17">
        <v>44228</v>
      </c>
      <c r="O5241" s="15" t="s">
        <v>1285</v>
      </c>
      <c r="P5241" s="16" t="s">
        <v>28</v>
      </c>
      <c r="Q5241" s="15" t="s">
        <v>290</v>
      </c>
      <c r="R5241" s="13" t="str">
        <f>HYPERLINK("https://my.pitchbook.com?c=212071-06T","View Company Online")</f>
        <v>View Company Online</v>
      </c>
    </row>
    <row r="5242" spans="1:18" hidden="1" x14ac:dyDescent="0.3">
      <c r="A5242" s="9" t="s">
        <v>16496</v>
      </c>
      <c r="B5242" s="9" t="s">
        <v>16497</v>
      </c>
      <c r="C5242" s="11" t="s">
        <v>28</v>
      </c>
      <c r="D5242" s="9" t="s">
        <v>16498</v>
      </c>
      <c r="E5242" s="11" t="s">
        <v>28</v>
      </c>
      <c r="F5242" s="10">
        <v>1.83</v>
      </c>
      <c r="G5242" s="10">
        <v>1.83</v>
      </c>
      <c r="H5242" s="10">
        <v>1.83</v>
      </c>
      <c r="I5242" s="11" t="s">
        <v>28</v>
      </c>
      <c r="J5242" s="11" t="s">
        <v>28</v>
      </c>
      <c r="K5242" s="11" t="s">
        <v>28</v>
      </c>
      <c r="L5242" s="11" t="s">
        <v>28</v>
      </c>
      <c r="M5242" s="11" t="s">
        <v>28</v>
      </c>
      <c r="N5242" s="8">
        <v>44228</v>
      </c>
      <c r="O5242" s="9" t="s">
        <v>41</v>
      </c>
      <c r="P5242" s="12" t="s">
        <v>16499</v>
      </c>
      <c r="Q5242" s="9" t="s">
        <v>75</v>
      </c>
      <c r="R5242" s="14" t="str">
        <f>HYPERLINK("https://my.pitchbook.com?c=170126-92T","View Company Online")</f>
        <v>View Company Online</v>
      </c>
    </row>
    <row r="5243" spans="1:18" hidden="1" x14ac:dyDescent="0.3">
      <c r="A5243" s="15" t="s">
        <v>16500</v>
      </c>
      <c r="B5243" s="15" t="s">
        <v>16501</v>
      </c>
      <c r="C5243" s="18" t="s">
        <v>28</v>
      </c>
      <c r="D5243" s="15" t="s">
        <v>16502</v>
      </c>
      <c r="E5243" s="18" t="s">
        <v>28</v>
      </c>
      <c r="F5243" s="19">
        <v>16.559999999999999</v>
      </c>
      <c r="G5243" s="19">
        <v>11.59</v>
      </c>
      <c r="H5243" s="19">
        <v>16.559999999999999</v>
      </c>
      <c r="I5243" s="18" t="s">
        <v>28</v>
      </c>
      <c r="J5243" s="18" t="s">
        <v>28</v>
      </c>
      <c r="K5243" s="18" t="s">
        <v>28</v>
      </c>
      <c r="L5243" s="18" t="s">
        <v>28</v>
      </c>
      <c r="M5243" s="18" t="s">
        <v>28</v>
      </c>
      <c r="N5243" s="17">
        <v>44228</v>
      </c>
      <c r="O5243" s="15" t="s">
        <v>30</v>
      </c>
      <c r="P5243" s="16" t="s">
        <v>9256</v>
      </c>
      <c r="Q5243" s="15" t="s">
        <v>226</v>
      </c>
      <c r="R5243" s="13" t="str">
        <f>HYPERLINK("https://my.pitchbook.com?c=213436-72T","View Company Online")</f>
        <v>View Company Online</v>
      </c>
    </row>
    <row r="5244" spans="1:18" hidden="1" x14ac:dyDescent="0.3">
      <c r="A5244" s="9" t="s">
        <v>16503</v>
      </c>
      <c r="B5244" s="9" t="s">
        <v>16504</v>
      </c>
      <c r="C5244" s="11" t="s">
        <v>28</v>
      </c>
      <c r="D5244" s="9" t="s">
        <v>16505</v>
      </c>
      <c r="E5244" s="11" t="s">
        <v>28</v>
      </c>
      <c r="F5244" s="10" t="s">
        <v>28</v>
      </c>
      <c r="G5244" s="10" t="s">
        <v>28</v>
      </c>
      <c r="H5244" s="10" t="s">
        <v>28</v>
      </c>
      <c r="I5244" s="11" t="s">
        <v>28</v>
      </c>
      <c r="J5244" s="11" t="s">
        <v>28</v>
      </c>
      <c r="K5244" s="11" t="s">
        <v>28</v>
      </c>
      <c r="L5244" s="11" t="s">
        <v>28</v>
      </c>
      <c r="M5244" s="11" t="s">
        <v>28</v>
      </c>
      <c r="N5244" s="8">
        <v>44228</v>
      </c>
      <c r="O5244" s="9" t="s">
        <v>30</v>
      </c>
      <c r="P5244" s="12" t="s">
        <v>36</v>
      </c>
      <c r="Q5244" s="9" t="s">
        <v>75</v>
      </c>
      <c r="R5244" s="14" t="str">
        <f>HYPERLINK("https://my.pitchbook.com?c=211861-09T","View Company Online")</f>
        <v>View Company Online</v>
      </c>
    </row>
    <row r="5245" spans="1:18" hidden="1" x14ac:dyDescent="0.3">
      <c r="A5245" s="15" t="s">
        <v>16506</v>
      </c>
      <c r="B5245" s="15" t="s">
        <v>16507</v>
      </c>
      <c r="C5245" s="18" t="s">
        <v>28</v>
      </c>
      <c r="D5245" s="15" t="s">
        <v>16508</v>
      </c>
      <c r="E5245" s="18" t="s">
        <v>28</v>
      </c>
      <c r="F5245" s="19" t="s">
        <v>28</v>
      </c>
      <c r="G5245" s="19" t="s">
        <v>28</v>
      </c>
      <c r="H5245" s="19" t="s">
        <v>28</v>
      </c>
      <c r="I5245" s="18" t="s">
        <v>28</v>
      </c>
      <c r="J5245" s="18" t="s">
        <v>28</v>
      </c>
      <c r="K5245" s="18" t="s">
        <v>28</v>
      </c>
      <c r="L5245" s="18" t="s">
        <v>28</v>
      </c>
      <c r="M5245" s="18" t="s">
        <v>28</v>
      </c>
      <c r="N5245" s="17">
        <v>44228</v>
      </c>
      <c r="O5245" s="15" t="s">
        <v>30</v>
      </c>
      <c r="P5245" s="16" t="s">
        <v>16470</v>
      </c>
      <c r="Q5245" s="15" t="s">
        <v>290</v>
      </c>
      <c r="R5245" s="13" t="str">
        <f>HYPERLINK("https://my.pitchbook.com?c=212098-87T","View Company Online")</f>
        <v>View Company Online</v>
      </c>
    </row>
    <row r="5246" spans="1:18" hidden="1" x14ac:dyDescent="0.3">
      <c r="A5246" s="9" t="s">
        <v>16509</v>
      </c>
      <c r="B5246" s="9" t="s">
        <v>16510</v>
      </c>
      <c r="C5246" s="11" t="s">
        <v>28</v>
      </c>
      <c r="D5246" s="9" t="s">
        <v>16511</v>
      </c>
      <c r="E5246" s="11" t="s">
        <v>28</v>
      </c>
      <c r="F5246" s="10" t="s">
        <v>28</v>
      </c>
      <c r="G5246" s="10" t="s">
        <v>28</v>
      </c>
      <c r="H5246" s="10" t="s">
        <v>28</v>
      </c>
      <c r="I5246" s="11" t="s">
        <v>28</v>
      </c>
      <c r="J5246" s="11" t="s">
        <v>28</v>
      </c>
      <c r="K5246" s="11" t="s">
        <v>28</v>
      </c>
      <c r="L5246" s="11" t="s">
        <v>28</v>
      </c>
      <c r="M5246" s="11" t="s">
        <v>28</v>
      </c>
      <c r="N5246" s="8">
        <v>44228</v>
      </c>
      <c r="O5246" s="9" t="s">
        <v>30</v>
      </c>
      <c r="P5246" s="12" t="s">
        <v>3492</v>
      </c>
      <c r="Q5246" s="9" t="s">
        <v>740</v>
      </c>
      <c r="R5246" s="14" t="str">
        <f>HYPERLINK("https://my.pitchbook.com?c=209181-88T","View Company Online")</f>
        <v>View Company Online</v>
      </c>
    </row>
    <row r="5247" spans="1:18" hidden="1" x14ac:dyDescent="0.3">
      <c r="A5247" s="15" t="s">
        <v>16512</v>
      </c>
      <c r="B5247" s="15" t="s">
        <v>16513</v>
      </c>
      <c r="C5247" s="18" t="s">
        <v>28</v>
      </c>
      <c r="D5247" s="15" t="s">
        <v>16514</v>
      </c>
      <c r="E5247" s="18" t="s">
        <v>28</v>
      </c>
      <c r="F5247" s="19">
        <v>322.02</v>
      </c>
      <c r="G5247" s="19">
        <v>322.02</v>
      </c>
      <c r="H5247" s="19">
        <v>322.02</v>
      </c>
      <c r="I5247" s="18" t="s">
        <v>28</v>
      </c>
      <c r="J5247" s="18" t="s">
        <v>28</v>
      </c>
      <c r="K5247" s="18" t="s">
        <v>28</v>
      </c>
      <c r="L5247" s="18" t="s">
        <v>28</v>
      </c>
      <c r="M5247" s="18" t="s">
        <v>28</v>
      </c>
      <c r="N5247" s="17">
        <v>44228</v>
      </c>
      <c r="O5247" s="15" t="s">
        <v>30</v>
      </c>
      <c r="P5247" s="16" t="s">
        <v>16515</v>
      </c>
      <c r="Q5247" s="15" t="s">
        <v>75</v>
      </c>
      <c r="R5247" s="13" t="str">
        <f>HYPERLINK("https://my.pitchbook.com?c=134146-90T","View Company Online")</f>
        <v>View Company Online</v>
      </c>
    </row>
    <row r="5248" spans="1:18" hidden="1" x14ac:dyDescent="0.3">
      <c r="A5248" s="9" t="s">
        <v>16516</v>
      </c>
      <c r="B5248" s="9" t="s">
        <v>9141</v>
      </c>
      <c r="C5248" s="11" t="s">
        <v>28</v>
      </c>
      <c r="D5248" s="9" t="s">
        <v>9142</v>
      </c>
      <c r="E5248" s="11" t="s">
        <v>28</v>
      </c>
      <c r="F5248" s="10" t="s">
        <v>28</v>
      </c>
      <c r="G5248" s="10" t="s">
        <v>28</v>
      </c>
      <c r="H5248" s="10" t="s">
        <v>28</v>
      </c>
      <c r="I5248" s="11" t="s">
        <v>28</v>
      </c>
      <c r="J5248" s="11" t="s">
        <v>28</v>
      </c>
      <c r="K5248" s="11" t="s">
        <v>28</v>
      </c>
      <c r="L5248" s="11" t="s">
        <v>28</v>
      </c>
      <c r="M5248" s="11" t="s">
        <v>28</v>
      </c>
      <c r="N5248" s="8">
        <v>44227</v>
      </c>
      <c r="O5248" s="9" t="s">
        <v>99</v>
      </c>
      <c r="P5248" s="12" t="s">
        <v>611</v>
      </c>
      <c r="Q5248" s="9" t="s">
        <v>740</v>
      </c>
      <c r="R5248" s="14" t="str">
        <f>HYPERLINK("https://my.pitchbook.com?c=194464-72T","View Company Online")</f>
        <v>View Company Online</v>
      </c>
    </row>
    <row r="5249" spans="1:18" hidden="1" x14ac:dyDescent="0.3">
      <c r="A5249" s="15" t="s">
        <v>16517</v>
      </c>
      <c r="B5249" s="15" t="s">
        <v>16518</v>
      </c>
      <c r="C5249" s="18" t="s">
        <v>28</v>
      </c>
      <c r="D5249" s="15" t="s">
        <v>16519</v>
      </c>
      <c r="E5249" s="18" t="s">
        <v>28</v>
      </c>
      <c r="F5249" s="19" t="s">
        <v>28</v>
      </c>
      <c r="G5249" s="19" t="s">
        <v>28</v>
      </c>
      <c r="H5249" s="19" t="s">
        <v>28</v>
      </c>
      <c r="I5249" s="18" t="s">
        <v>28</v>
      </c>
      <c r="J5249" s="18" t="s">
        <v>28</v>
      </c>
      <c r="K5249" s="18" t="s">
        <v>28</v>
      </c>
      <c r="L5249" s="18" t="s">
        <v>28</v>
      </c>
      <c r="M5249" s="18" t="s">
        <v>28</v>
      </c>
      <c r="N5249" s="17">
        <v>44225</v>
      </c>
      <c r="O5249" s="15" t="s">
        <v>58</v>
      </c>
      <c r="P5249" s="16" t="s">
        <v>15215</v>
      </c>
      <c r="Q5249" s="15" t="s">
        <v>75</v>
      </c>
      <c r="R5249" s="13" t="str">
        <f>HYPERLINK("https://my.pitchbook.com?c=213448-15T","View Company Online")</f>
        <v>View Company Online</v>
      </c>
    </row>
    <row r="5250" spans="1:18" hidden="1" x14ac:dyDescent="0.3">
      <c r="A5250" s="9" t="s">
        <v>16520</v>
      </c>
      <c r="B5250" s="9" t="s">
        <v>16521</v>
      </c>
      <c r="C5250" s="11" t="s">
        <v>28</v>
      </c>
      <c r="D5250" s="9" t="s">
        <v>16522</v>
      </c>
      <c r="E5250" s="11" t="s">
        <v>28</v>
      </c>
      <c r="F5250" s="10" t="s">
        <v>28</v>
      </c>
      <c r="G5250" s="10" t="s">
        <v>28</v>
      </c>
      <c r="H5250" s="10" t="s">
        <v>28</v>
      </c>
      <c r="I5250" s="11" t="s">
        <v>28</v>
      </c>
      <c r="J5250" s="11" t="s">
        <v>28</v>
      </c>
      <c r="K5250" s="11" t="s">
        <v>28</v>
      </c>
      <c r="L5250" s="11" t="s">
        <v>28</v>
      </c>
      <c r="M5250" s="11" t="s">
        <v>28</v>
      </c>
      <c r="N5250" s="8">
        <v>44225</v>
      </c>
      <c r="O5250" s="9" t="s">
        <v>30</v>
      </c>
      <c r="P5250" s="12" t="s">
        <v>16523</v>
      </c>
      <c r="Q5250" s="9" t="s">
        <v>409</v>
      </c>
      <c r="R5250" s="14" t="str">
        <f>HYPERLINK("https://my.pitchbook.com?c=172468-36T","View Company Online")</f>
        <v>View Company Online</v>
      </c>
    </row>
    <row r="5251" spans="1:18" hidden="1" x14ac:dyDescent="0.3">
      <c r="A5251" s="15" t="s">
        <v>16524</v>
      </c>
      <c r="B5251" s="15" t="s">
        <v>9976</v>
      </c>
      <c r="C5251" s="18" t="s">
        <v>28</v>
      </c>
      <c r="D5251" s="15" t="s">
        <v>9977</v>
      </c>
      <c r="E5251" s="18" t="s">
        <v>28</v>
      </c>
      <c r="F5251" s="19" t="s">
        <v>28</v>
      </c>
      <c r="G5251" s="19">
        <v>1</v>
      </c>
      <c r="H5251" s="19" t="s">
        <v>28</v>
      </c>
      <c r="I5251" s="18" t="s">
        <v>28</v>
      </c>
      <c r="J5251" s="18" t="s">
        <v>28</v>
      </c>
      <c r="K5251" s="18" t="s">
        <v>28</v>
      </c>
      <c r="L5251" s="18" t="s">
        <v>28</v>
      </c>
      <c r="M5251" s="18" t="s">
        <v>28</v>
      </c>
      <c r="N5251" s="17">
        <v>44225</v>
      </c>
      <c r="O5251" s="15" t="s">
        <v>99</v>
      </c>
      <c r="P5251" s="16" t="s">
        <v>16525</v>
      </c>
      <c r="Q5251" s="15" t="s">
        <v>386</v>
      </c>
      <c r="R5251" s="13" t="str">
        <f>HYPERLINK("https://my.pitchbook.com?c=170720-47T","View Company Online")</f>
        <v>View Company Online</v>
      </c>
    </row>
    <row r="5252" spans="1:18" hidden="1" x14ac:dyDescent="0.3">
      <c r="A5252" s="9" t="s">
        <v>16526</v>
      </c>
      <c r="B5252" s="9" t="s">
        <v>4156</v>
      </c>
      <c r="C5252" s="11" t="s">
        <v>28</v>
      </c>
      <c r="D5252" s="9" t="s">
        <v>4157</v>
      </c>
      <c r="E5252" s="11" t="s">
        <v>28</v>
      </c>
      <c r="F5252" s="10" t="s">
        <v>28</v>
      </c>
      <c r="G5252" s="10" t="s">
        <v>28</v>
      </c>
      <c r="H5252" s="10" t="s">
        <v>28</v>
      </c>
      <c r="I5252" s="11" t="s">
        <v>28</v>
      </c>
      <c r="J5252" s="11" t="s">
        <v>28</v>
      </c>
      <c r="K5252" s="11" t="s">
        <v>28</v>
      </c>
      <c r="L5252" s="11" t="s">
        <v>28</v>
      </c>
      <c r="M5252" s="11" t="s">
        <v>28</v>
      </c>
      <c r="N5252" s="8">
        <v>44224</v>
      </c>
      <c r="O5252" s="9" t="s">
        <v>379</v>
      </c>
      <c r="P5252" s="12" t="s">
        <v>16527</v>
      </c>
      <c r="Q5252" s="9" t="s">
        <v>249</v>
      </c>
      <c r="R5252" s="14" t="str">
        <f>HYPERLINK("https://my.pitchbook.com?c=178111-00T","View Company Online")</f>
        <v>View Company Online</v>
      </c>
    </row>
    <row r="5253" spans="1:18" hidden="1" x14ac:dyDescent="0.3">
      <c r="A5253" s="15" t="s">
        <v>16528</v>
      </c>
      <c r="B5253" s="15" t="s">
        <v>168</v>
      </c>
      <c r="C5253" s="18" t="s">
        <v>28</v>
      </c>
      <c r="D5253" s="15" t="s">
        <v>4874</v>
      </c>
      <c r="E5253" s="18">
        <v>43.57</v>
      </c>
      <c r="F5253" s="19" t="s">
        <v>28</v>
      </c>
      <c r="G5253" s="19">
        <v>249.72</v>
      </c>
      <c r="H5253" s="19">
        <v>999.28</v>
      </c>
      <c r="I5253" s="18">
        <v>46.14</v>
      </c>
      <c r="J5253" s="18">
        <v>21.66</v>
      </c>
      <c r="K5253" s="18">
        <v>67.69</v>
      </c>
      <c r="L5253" s="18">
        <v>14.76</v>
      </c>
      <c r="M5253" s="18">
        <v>33.04</v>
      </c>
      <c r="N5253" s="17">
        <v>44224</v>
      </c>
      <c r="O5253" s="15" t="s">
        <v>173</v>
      </c>
      <c r="P5253" s="16" t="s">
        <v>28</v>
      </c>
      <c r="Q5253" s="15" t="s">
        <v>240</v>
      </c>
      <c r="R5253" s="13" t="str">
        <f>HYPERLINK("https://my.pitchbook.com?c=165458-35T","View Company Online")</f>
        <v>View Company Online</v>
      </c>
    </row>
    <row r="5254" spans="1:18" hidden="1" x14ac:dyDescent="0.3">
      <c r="A5254" s="9" t="s">
        <v>16529</v>
      </c>
      <c r="B5254" s="9" t="s">
        <v>9162</v>
      </c>
      <c r="C5254" s="11" t="s">
        <v>28</v>
      </c>
      <c r="D5254" s="9" t="s">
        <v>9163</v>
      </c>
      <c r="E5254" s="11" t="s">
        <v>28</v>
      </c>
      <c r="F5254" s="10" t="s">
        <v>28</v>
      </c>
      <c r="G5254" s="10">
        <v>0.19</v>
      </c>
      <c r="H5254" s="10" t="s">
        <v>28</v>
      </c>
      <c r="I5254" s="11" t="s">
        <v>28</v>
      </c>
      <c r="J5254" s="11" t="s">
        <v>28</v>
      </c>
      <c r="K5254" s="11" t="s">
        <v>28</v>
      </c>
      <c r="L5254" s="11" t="s">
        <v>28</v>
      </c>
      <c r="M5254" s="11" t="s">
        <v>28</v>
      </c>
      <c r="N5254" s="8">
        <v>44223</v>
      </c>
      <c r="O5254" s="9" t="s">
        <v>73</v>
      </c>
      <c r="P5254" s="12" t="s">
        <v>16530</v>
      </c>
      <c r="Q5254" s="9" t="s">
        <v>696</v>
      </c>
      <c r="R5254" s="14" t="str">
        <f>HYPERLINK("https://my.pitchbook.com?c=193842-82T","View Company Online")</f>
        <v>View Company Online</v>
      </c>
    </row>
    <row r="5255" spans="1:18" hidden="1" x14ac:dyDescent="0.3">
      <c r="A5255" s="15" t="s">
        <v>16531</v>
      </c>
      <c r="B5255" s="15" t="s">
        <v>343</v>
      </c>
      <c r="C5255" s="18" t="s">
        <v>28</v>
      </c>
      <c r="D5255" s="15" t="s">
        <v>16532</v>
      </c>
      <c r="E5255" s="18" t="s">
        <v>28</v>
      </c>
      <c r="F5255" s="19" t="s">
        <v>28</v>
      </c>
      <c r="G5255" s="19">
        <v>483.2</v>
      </c>
      <c r="H5255" s="19" t="s">
        <v>28</v>
      </c>
      <c r="I5255" s="18" t="s">
        <v>28</v>
      </c>
      <c r="J5255" s="18" t="s">
        <v>28</v>
      </c>
      <c r="K5255" s="18">
        <v>1860.05</v>
      </c>
      <c r="L5255" s="18" t="s">
        <v>28</v>
      </c>
      <c r="M5255" s="18">
        <v>771.81</v>
      </c>
      <c r="N5255" s="17">
        <v>44223</v>
      </c>
      <c r="O5255" s="15" t="s">
        <v>423</v>
      </c>
      <c r="P5255" s="16" t="s">
        <v>28</v>
      </c>
      <c r="Q5255" s="15" t="s">
        <v>7449</v>
      </c>
      <c r="R5255" s="13" t="str">
        <f>HYPERLINK("https://my.pitchbook.com?c=166838-41T","View Company Online")</f>
        <v>View Company Online</v>
      </c>
    </row>
    <row r="5256" spans="1:18" hidden="1" x14ac:dyDescent="0.3">
      <c r="A5256" s="9" t="s">
        <v>16533</v>
      </c>
      <c r="B5256" s="9" t="s">
        <v>7035</v>
      </c>
      <c r="C5256" s="11" t="s">
        <v>28</v>
      </c>
      <c r="D5256" s="9" t="s">
        <v>7036</v>
      </c>
      <c r="E5256" s="11" t="s">
        <v>28</v>
      </c>
      <c r="F5256" s="10" t="s">
        <v>28</v>
      </c>
      <c r="G5256" s="10">
        <v>7.14</v>
      </c>
      <c r="H5256" s="10" t="s">
        <v>28</v>
      </c>
      <c r="I5256" s="11" t="s">
        <v>28</v>
      </c>
      <c r="J5256" s="11" t="s">
        <v>28</v>
      </c>
      <c r="K5256" s="11">
        <v>3.88</v>
      </c>
      <c r="L5256" s="11" t="s">
        <v>28</v>
      </c>
      <c r="M5256" s="11" t="s">
        <v>28</v>
      </c>
      <c r="N5256" s="8">
        <v>44223</v>
      </c>
      <c r="O5256" s="9" t="s">
        <v>79</v>
      </c>
      <c r="P5256" s="12" t="s">
        <v>16534</v>
      </c>
      <c r="Q5256" s="9" t="s">
        <v>37</v>
      </c>
      <c r="R5256" s="14" t="str">
        <f>HYPERLINK("https://my.pitchbook.com?c=166784-59T","View Company Online")</f>
        <v>View Company Online</v>
      </c>
    </row>
    <row r="5257" spans="1:18" hidden="1" x14ac:dyDescent="0.3">
      <c r="A5257" s="15" t="s">
        <v>16535</v>
      </c>
      <c r="B5257" s="15" t="s">
        <v>16536</v>
      </c>
      <c r="C5257" s="18" t="s">
        <v>28</v>
      </c>
      <c r="D5257" s="15" t="s">
        <v>16537</v>
      </c>
      <c r="E5257" s="18" t="s">
        <v>28</v>
      </c>
      <c r="F5257" s="19">
        <v>19.18</v>
      </c>
      <c r="G5257" s="19">
        <v>19.18</v>
      </c>
      <c r="H5257" s="19">
        <v>19.18</v>
      </c>
      <c r="I5257" s="18" t="s">
        <v>28</v>
      </c>
      <c r="J5257" s="18" t="s">
        <v>28</v>
      </c>
      <c r="K5257" s="18" t="s">
        <v>28</v>
      </c>
      <c r="L5257" s="18" t="s">
        <v>28</v>
      </c>
      <c r="M5257" s="18" t="s">
        <v>28</v>
      </c>
      <c r="N5257" s="17">
        <v>44223</v>
      </c>
      <c r="O5257" s="15" t="s">
        <v>30</v>
      </c>
      <c r="P5257" s="16" t="s">
        <v>16538</v>
      </c>
      <c r="Q5257" s="15" t="s">
        <v>1179</v>
      </c>
      <c r="R5257" s="13" t="str">
        <f>HYPERLINK("https://my.pitchbook.com?c=214783-39T","View Company Online")</f>
        <v>View Company Online</v>
      </c>
    </row>
    <row r="5258" spans="1:18" hidden="1" x14ac:dyDescent="0.3">
      <c r="A5258" s="9" t="s">
        <v>16539</v>
      </c>
      <c r="B5258" s="9" t="s">
        <v>16540</v>
      </c>
      <c r="C5258" s="11" t="s">
        <v>28</v>
      </c>
      <c r="D5258" s="9" t="s">
        <v>16541</v>
      </c>
      <c r="E5258" s="11" t="s">
        <v>28</v>
      </c>
      <c r="F5258" s="10">
        <v>4.04</v>
      </c>
      <c r="G5258" s="10">
        <v>4.04</v>
      </c>
      <c r="H5258" s="10">
        <v>4.04</v>
      </c>
      <c r="I5258" s="11" t="s">
        <v>28</v>
      </c>
      <c r="J5258" s="11" t="s">
        <v>28</v>
      </c>
      <c r="K5258" s="11" t="s">
        <v>28</v>
      </c>
      <c r="L5258" s="11" t="s">
        <v>28</v>
      </c>
      <c r="M5258" s="11" t="s">
        <v>28</v>
      </c>
      <c r="N5258" s="8">
        <v>44223</v>
      </c>
      <c r="O5258" s="9" t="s">
        <v>30</v>
      </c>
      <c r="P5258" s="12" t="s">
        <v>16542</v>
      </c>
      <c r="Q5258" s="9" t="s">
        <v>6878</v>
      </c>
      <c r="R5258" s="14" t="str">
        <f>HYPERLINK("https://my.pitchbook.com?c=213471-82T","View Company Online")</f>
        <v>View Company Online</v>
      </c>
    </row>
    <row r="5259" spans="1:18" hidden="1" x14ac:dyDescent="0.3">
      <c r="A5259" s="15" t="s">
        <v>16543</v>
      </c>
      <c r="B5259" s="15" t="s">
        <v>16544</v>
      </c>
      <c r="C5259" s="18" t="s">
        <v>28</v>
      </c>
      <c r="D5259" s="15" t="s">
        <v>16545</v>
      </c>
      <c r="E5259" s="18" t="s">
        <v>28</v>
      </c>
      <c r="F5259" s="19" t="s">
        <v>28</v>
      </c>
      <c r="G5259" s="19" t="s">
        <v>28</v>
      </c>
      <c r="H5259" s="19" t="s">
        <v>28</v>
      </c>
      <c r="I5259" s="18" t="s">
        <v>28</v>
      </c>
      <c r="J5259" s="18" t="s">
        <v>28</v>
      </c>
      <c r="K5259" s="18" t="s">
        <v>28</v>
      </c>
      <c r="L5259" s="18" t="s">
        <v>28</v>
      </c>
      <c r="M5259" s="18" t="s">
        <v>28</v>
      </c>
      <c r="N5259" s="17">
        <v>44223</v>
      </c>
      <c r="O5259" s="15" t="s">
        <v>52</v>
      </c>
      <c r="P5259" s="16" t="s">
        <v>4500</v>
      </c>
      <c r="Q5259" s="15" t="s">
        <v>169</v>
      </c>
      <c r="R5259" s="13" t="str">
        <f>HYPERLINK("https://my.pitchbook.com?c=251749-00T","View Company Online")</f>
        <v>View Company Online</v>
      </c>
    </row>
    <row r="5260" spans="1:18" hidden="1" x14ac:dyDescent="0.3">
      <c r="A5260" s="9" t="s">
        <v>16546</v>
      </c>
      <c r="B5260" s="9" t="s">
        <v>16547</v>
      </c>
      <c r="C5260" s="11" t="s">
        <v>28</v>
      </c>
      <c r="D5260" s="9" t="s">
        <v>16548</v>
      </c>
      <c r="E5260" s="11" t="s">
        <v>28</v>
      </c>
      <c r="F5260" s="10">
        <v>3.39</v>
      </c>
      <c r="G5260" s="10">
        <v>3.39</v>
      </c>
      <c r="H5260" s="10">
        <v>3.39</v>
      </c>
      <c r="I5260" s="11" t="s">
        <v>28</v>
      </c>
      <c r="J5260" s="11" t="s">
        <v>28</v>
      </c>
      <c r="K5260" s="11">
        <v>0.78</v>
      </c>
      <c r="L5260" s="11">
        <v>4.3600000000000003</v>
      </c>
      <c r="M5260" s="11" t="s">
        <v>28</v>
      </c>
      <c r="N5260" s="8">
        <v>44222</v>
      </c>
      <c r="O5260" s="9" t="s">
        <v>30</v>
      </c>
      <c r="P5260" s="12" t="s">
        <v>6531</v>
      </c>
      <c r="Q5260" s="9" t="s">
        <v>75</v>
      </c>
      <c r="R5260" s="14" t="str">
        <f>HYPERLINK("https://my.pitchbook.com?c=170125-30T","View Company Online")</f>
        <v>View Company Online</v>
      </c>
    </row>
    <row r="5261" spans="1:18" hidden="1" x14ac:dyDescent="0.3">
      <c r="A5261" s="15" t="s">
        <v>16549</v>
      </c>
      <c r="B5261" s="15" t="s">
        <v>7777</v>
      </c>
      <c r="C5261" s="18" t="s">
        <v>28</v>
      </c>
      <c r="D5261" s="15" t="s">
        <v>7778</v>
      </c>
      <c r="E5261" s="18" t="s">
        <v>28</v>
      </c>
      <c r="F5261" s="19" t="s">
        <v>28</v>
      </c>
      <c r="G5261" s="19">
        <v>7.53</v>
      </c>
      <c r="H5261" s="19" t="s">
        <v>28</v>
      </c>
      <c r="I5261" s="18" t="s">
        <v>28</v>
      </c>
      <c r="J5261" s="18" t="s">
        <v>28</v>
      </c>
      <c r="K5261" s="18" t="s">
        <v>28</v>
      </c>
      <c r="L5261" s="18" t="s">
        <v>28</v>
      </c>
      <c r="M5261" s="18" t="s">
        <v>28</v>
      </c>
      <c r="N5261" s="17">
        <v>44222</v>
      </c>
      <c r="O5261" s="15" t="s">
        <v>73</v>
      </c>
      <c r="P5261" s="16" t="s">
        <v>28</v>
      </c>
      <c r="Q5261" s="15" t="s">
        <v>75</v>
      </c>
      <c r="R5261" s="13" t="str">
        <f>HYPERLINK("https://my.pitchbook.com?c=286831-09T","View Company Online")</f>
        <v>View Company Online</v>
      </c>
    </row>
    <row r="5262" spans="1:18" hidden="1" x14ac:dyDescent="0.3">
      <c r="A5262" s="9" t="s">
        <v>16550</v>
      </c>
      <c r="B5262" s="9" t="s">
        <v>16551</v>
      </c>
      <c r="C5262" s="11" t="s">
        <v>28</v>
      </c>
      <c r="D5262" s="9" t="s">
        <v>16552</v>
      </c>
      <c r="E5262" s="11">
        <v>16.670000000000002</v>
      </c>
      <c r="F5262" s="10" t="s">
        <v>28</v>
      </c>
      <c r="G5262" s="10">
        <v>137.28</v>
      </c>
      <c r="H5262" s="10" t="s">
        <v>28</v>
      </c>
      <c r="I5262" s="11">
        <v>16.77</v>
      </c>
      <c r="J5262" s="11" t="s">
        <v>28</v>
      </c>
      <c r="K5262" s="11">
        <v>15.01</v>
      </c>
      <c r="L5262" s="11" t="s">
        <v>28</v>
      </c>
      <c r="M5262" s="11">
        <v>-4.04</v>
      </c>
      <c r="N5262" s="8">
        <v>44222</v>
      </c>
      <c r="O5262" s="9" t="s">
        <v>173</v>
      </c>
      <c r="P5262" s="12" t="s">
        <v>28</v>
      </c>
      <c r="Q5262" s="9" t="s">
        <v>119</v>
      </c>
      <c r="R5262" s="14" t="str">
        <f>HYPERLINK("https://my.pitchbook.com?c=224363-80T","View Company Online")</f>
        <v>View Company Online</v>
      </c>
    </row>
    <row r="5263" spans="1:18" hidden="1" x14ac:dyDescent="0.3">
      <c r="A5263" s="15" t="s">
        <v>16553</v>
      </c>
      <c r="B5263" s="15" t="s">
        <v>16554</v>
      </c>
      <c r="C5263" s="18" t="s">
        <v>28</v>
      </c>
      <c r="D5263" s="15" t="s">
        <v>16555</v>
      </c>
      <c r="E5263" s="18" t="s">
        <v>28</v>
      </c>
      <c r="F5263" s="19" t="s">
        <v>28</v>
      </c>
      <c r="G5263" s="19" t="s">
        <v>28</v>
      </c>
      <c r="H5263" s="19" t="s">
        <v>28</v>
      </c>
      <c r="I5263" s="18" t="s">
        <v>28</v>
      </c>
      <c r="J5263" s="18" t="s">
        <v>28</v>
      </c>
      <c r="K5263" s="18" t="s">
        <v>28</v>
      </c>
      <c r="L5263" s="18" t="s">
        <v>28</v>
      </c>
      <c r="M5263" s="18" t="s">
        <v>28</v>
      </c>
      <c r="N5263" s="17">
        <v>44222</v>
      </c>
      <c r="O5263" s="15" t="s">
        <v>79</v>
      </c>
      <c r="P5263" s="16" t="s">
        <v>16556</v>
      </c>
      <c r="Q5263" s="15" t="s">
        <v>43</v>
      </c>
      <c r="R5263" s="13" t="str">
        <f>HYPERLINK("https://my.pitchbook.com?c=177094-18T","View Company Online")</f>
        <v>View Company Online</v>
      </c>
    </row>
    <row r="5264" spans="1:18" hidden="1" x14ac:dyDescent="0.3">
      <c r="A5264" s="9" t="s">
        <v>16557</v>
      </c>
      <c r="B5264" s="9" t="s">
        <v>11949</v>
      </c>
      <c r="C5264" s="11" t="s">
        <v>28</v>
      </c>
      <c r="D5264" s="9" t="s">
        <v>16558</v>
      </c>
      <c r="E5264" s="11" t="s">
        <v>28</v>
      </c>
      <c r="F5264" s="10" t="s">
        <v>28</v>
      </c>
      <c r="G5264" s="10" t="s">
        <v>28</v>
      </c>
      <c r="H5264" s="10">
        <v>2.82</v>
      </c>
      <c r="I5264" s="11" t="s">
        <v>28</v>
      </c>
      <c r="J5264" s="11" t="s">
        <v>28</v>
      </c>
      <c r="K5264" s="11" t="s">
        <v>28</v>
      </c>
      <c r="L5264" s="11" t="s">
        <v>28</v>
      </c>
      <c r="M5264" s="11" t="s">
        <v>28</v>
      </c>
      <c r="N5264" s="8">
        <v>44222</v>
      </c>
      <c r="O5264" s="9" t="s">
        <v>99</v>
      </c>
      <c r="P5264" s="12" t="s">
        <v>16559</v>
      </c>
      <c r="Q5264" s="9" t="s">
        <v>7449</v>
      </c>
      <c r="R5264" s="14" t="str">
        <f>HYPERLINK("https://my.pitchbook.com?c=286835-14T","View Company Online")</f>
        <v>View Company Online</v>
      </c>
    </row>
    <row r="5265" spans="1:18" hidden="1" x14ac:dyDescent="0.3">
      <c r="A5265" s="15" t="s">
        <v>16560</v>
      </c>
      <c r="B5265" s="15" t="s">
        <v>4535</v>
      </c>
      <c r="C5265" s="18" t="s">
        <v>28</v>
      </c>
      <c r="D5265" s="15" t="s">
        <v>4536</v>
      </c>
      <c r="E5265" s="18" t="s">
        <v>28</v>
      </c>
      <c r="F5265" s="19" t="s">
        <v>28</v>
      </c>
      <c r="G5265" s="19">
        <v>0.27</v>
      </c>
      <c r="H5265" s="19">
        <v>3.87</v>
      </c>
      <c r="I5265" s="18" t="s">
        <v>28</v>
      </c>
      <c r="J5265" s="18" t="s">
        <v>28</v>
      </c>
      <c r="K5265" s="18" t="s">
        <v>28</v>
      </c>
      <c r="L5265" s="18" t="s">
        <v>28</v>
      </c>
      <c r="M5265" s="18" t="s">
        <v>28</v>
      </c>
      <c r="N5265" s="17">
        <v>44221</v>
      </c>
      <c r="O5265" s="15" t="s">
        <v>99</v>
      </c>
      <c r="P5265" s="16" t="s">
        <v>16561</v>
      </c>
      <c r="Q5265" s="15" t="s">
        <v>75</v>
      </c>
      <c r="R5265" s="13" t="str">
        <f>HYPERLINK("https://my.pitchbook.com?c=213725-89T","View Company Online")</f>
        <v>View Company Online</v>
      </c>
    </row>
    <row r="5266" spans="1:18" hidden="1" x14ac:dyDescent="0.3">
      <c r="A5266" s="9" t="s">
        <v>16562</v>
      </c>
      <c r="B5266" s="9" t="s">
        <v>12402</v>
      </c>
      <c r="C5266" s="11" t="s">
        <v>28</v>
      </c>
      <c r="D5266" s="9" t="s">
        <v>12403</v>
      </c>
      <c r="E5266" s="11" t="s">
        <v>28</v>
      </c>
      <c r="F5266" s="10" t="s">
        <v>28</v>
      </c>
      <c r="G5266" s="10" t="s">
        <v>28</v>
      </c>
      <c r="H5266" s="10" t="s">
        <v>28</v>
      </c>
      <c r="I5266" s="11" t="s">
        <v>28</v>
      </c>
      <c r="J5266" s="11" t="s">
        <v>28</v>
      </c>
      <c r="K5266" s="11" t="s">
        <v>28</v>
      </c>
      <c r="L5266" s="11" t="s">
        <v>28</v>
      </c>
      <c r="M5266" s="11" t="s">
        <v>28</v>
      </c>
      <c r="N5266" s="8">
        <v>44221</v>
      </c>
      <c r="O5266" s="9" t="s">
        <v>99</v>
      </c>
      <c r="P5266" s="12" t="s">
        <v>611</v>
      </c>
      <c r="Q5266" s="9" t="s">
        <v>43</v>
      </c>
      <c r="R5266" s="14" t="str">
        <f>HYPERLINK("https://my.pitchbook.com?c=194460-40T","View Company Online")</f>
        <v>View Company Online</v>
      </c>
    </row>
    <row r="5267" spans="1:18" hidden="1" x14ac:dyDescent="0.3">
      <c r="A5267" s="15" t="s">
        <v>16563</v>
      </c>
      <c r="B5267" s="15" t="s">
        <v>16564</v>
      </c>
      <c r="C5267" s="18" t="s">
        <v>28</v>
      </c>
      <c r="D5267" s="15" t="s">
        <v>16565</v>
      </c>
      <c r="E5267" s="18" t="s">
        <v>28</v>
      </c>
      <c r="F5267" s="19" t="s">
        <v>28</v>
      </c>
      <c r="G5267" s="19">
        <v>0.53</v>
      </c>
      <c r="H5267" s="19">
        <v>3.56</v>
      </c>
      <c r="I5267" s="18" t="s">
        <v>28</v>
      </c>
      <c r="J5267" s="18" t="s">
        <v>28</v>
      </c>
      <c r="K5267" s="18" t="s">
        <v>28</v>
      </c>
      <c r="L5267" s="18" t="s">
        <v>28</v>
      </c>
      <c r="M5267" s="18" t="s">
        <v>28</v>
      </c>
      <c r="N5267" s="17">
        <v>44221</v>
      </c>
      <c r="O5267" s="15" t="s">
        <v>79</v>
      </c>
      <c r="P5267" s="16" t="s">
        <v>16566</v>
      </c>
      <c r="Q5267" s="15" t="s">
        <v>1263</v>
      </c>
      <c r="R5267" s="13" t="str">
        <f>HYPERLINK("https://my.pitchbook.com?c=166238-11T","View Company Online")</f>
        <v>View Company Online</v>
      </c>
    </row>
    <row r="5268" spans="1:18" hidden="1" x14ac:dyDescent="0.3">
      <c r="A5268" s="9" t="s">
        <v>16567</v>
      </c>
      <c r="B5268" s="9" t="s">
        <v>16568</v>
      </c>
      <c r="C5268" s="11" t="s">
        <v>28</v>
      </c>
      <c r="D5268" s="9" t="s">
        <v>16569</v>
      </c>
      <c r="E5268" s="11" t="s">
        <v>28</v>
      </c>
      <c r="F5268" s="10" t="s">
        <v>28</v>
      </c>
      <c r="G5268" s="10" t="s">
        <v>28</v>
      </c>
      <c r="H5268" s="10" t="s">
        <v>28</v>
      </c>
      <c r="I5268" s="11" t="s">
        <v>28</v>
      </c>
      <c r="J5268" s="11" t="s">
        <v>28</v>
      </c>
      <c r="K5268" s="11" t="s">
        <v>28</v>
      </c>
      <c r="L5268" s="11" t="s">
        <v>28</v>
      </c>
      <c r="M5268" s="11" t="s">
        <v>28</v>
      </c>
      <c r="N5268" s="8">
        <v>44220</v>
      </c>
      <c r="O5268" s="9" t="s">
        <v>30</v>
      </c>
      <c r="P5268" s="12" t="s">
        <v>14388</v>
      </c>
      <c r="Q5268" s="9" t="s">
        <v>37</v>
      </c>
      <c r="R5268" s="14" t="str">
        <f>HYPERLINK("https://my.pitchbook.com?c=199442-17T","View Company Online")</f>
        <v>View Company Online</v>
      </c>
    </row>
    <row r="5269" spans="1:18" hidden="1" x14ac:dyDescent="0.3">
      <c r="A5269" s="15" t="s">
        <v>16570</v>
      </c>
      <c r="B5269" s="15" t="s">
        <v>2216</v>
      </c>
      <c r="C5269" s="18" t="s">
        <v>28</v>
      </c>
      <c r="D5269" s="15" t="s">
        <v>16571</v>
      </c>
      <c r="E5269" s="18">
        <v>65.849999999999994</v>
      </c>
      <c r="F5269" s="19" t="s">
        <v>28</v>
      </c>
      <c r="G5269" s="19">
        <v>511.68</v>
      </c>
      <c r="H5269" s="19">
        <v>2272.0500000000002</v>
      </c>
      <c r="I5269" s="18">
        <v>73.53</v>
      </c>
      <c r="J5269" s="18">
        <v>30.9</v>
      </c>
      <c r="K5269" s="18">
        <v>115.02</v>
      </c>
      <c r="L5269" s="18">
        <v>19.75</v>
      </c>
      <c r="M5269" s="18">
        <v>62.21</v>
      </c>
      <c r="N5269" s="17">
        <v>44218</v>
      </c>
      <c r="O5269" s="15" t="s">
        <v>173</v>
      </c>
      <c r="P5269" s="16" t="s">
        <v>28</v>
      </c>
      <c r="Q5269" s="15" t="s">
        <v>240</v>
      </c>
      <c r="R5269" s="13" t="str">
        <f>HYPERLINK("https://my.pitchbook.com?c=165495-43T","View Company Online")</f>
        <v>View Company Online</v>
      </c>
    </row>
    <row r="5270" spans="1:18" hidden="1" x14ac:dyDescent="0.3">
      <c r="A5270" s="9" t="s">
        <v>16572</v>
      </c>
      <c r="B5270" s="9" t="s">
        <v>11101</v>
      </c>
      <c r="C5270" s="11" t="s">
        <v>28</v>
      </c>
      <c r="D5270" s="9" t="s">
        <v>11102</v>
      </c>
      <c r="E5270" s="11" t="s">
        <v>28</v>
      </c>
      <c r="F5270" s="10" t="s">
        <v>28</v>
      </c>
      <c r="G5270" s="10" t="s">
        <v>28</v>
      </c>
      <c r="H5270" s="10" t="s">
        <v>28</v>
      </c>
      <c r="I5270" s="11" t="s">
        <v>28</v>
      </c>
      <c r="J5270" s="11" t="s">
        <v>28</v>
      </c>
      <c r="K5270" s="11" t="s">
        <v>28</v>
      </c>
      <c r="L5270" s="11" t="s">
        <v>28</v>
      </c>
      <c r="M5270" s="11" t="s">
        <v>28</v>
      </c>
      <c r="N5270" s="8">
        <v>44218</v>
      </c>
      <c r="O5270" s="9" t="s">
        <v>52</v>
      </c>
      <c r="P5270" s="12" t="s">
        <v>3375</v>
      </c>
      <c r="Q5270" s="9" t="s">
        <v>855</v>
      </c>
      <c r="R5270" s="14" t="str">
        <f>HYPERLINK("https://my.pitchbook.com?c=174488-59T","View Company Online")</f>
        <v>View Company Online</v>
      </c>
    </row>
    <row r="5271" spans="1:18" hidden="1" x14ac:dyDescent="0.3">
      <c r="A5271" s="15" t="s">
        <v>16573</v>
      </c>
      <c r="B5271" s="15" t="s">
        <v>16574</v>
      </c>
      <c r="C5271" s="18" t="s">
        <v>28</v>
      </c>
      <c r="D5271" s="15" t="s">
        <v>16575</v>
      </c>
      <c r="E5271" s="18" t="s">
        <v>28</v>
      </c>
      <c r="F5271" s="19" t="s">
        <v>28</v>
      </c>
      <c r="G5271" s="19" t="s">
        <v>28</v>
      </c>
      <c r="H5271" s="19" t="s">
        <v>28</v>
      </c>
      <c r="I5271" s="18" t="s">
        <v>28</v>
      </c>
      <c r="J5271" s="18" t="s">
        <v>28</v>
      </c>
      <c r="K5271" s="18" t="s">
        <v>28</v>
      </c>
      <c r="L5271" s="18" t="s">
        <v>28</v>
      </c>
      <c r="M5271" s="18" t="s">
        <v>28</v>
      </c>
      <c r="N5271" s="17">
        <v>44217</v>
      </c>
      <c r="O5271" s="15" t="s">
        <v>41</v>
      </c>
      <c r="P5271" s="16" t="s">
        <v>16576</v>
      </c>
      <c r="Q5271" s="15" t="s">
        <v>753</v>
      </c>
      <c r="R5271" s="13" t="str">
        <f>HYPERLINK("https://my.pitchbook.com?c=224287-30T","View Company Online")</f>
        <v>View Company Online</v>
      </c>
    </row>
    <row r="5272" spans="1:18" hidden="1" x14ac:dyDescent="0.3">
      <c r="A5272" s="9" t="s">
        <v>16577</v>
      </c>
      <c r="B5272" s="9" t="s">
        <v>16578</v>
      </c>
      <c r="C5272" s="11" t="s">
        <v>28</v>
      </c>
      <c r="D5272" s="9" t="s">
        <v>16579</v>
      </c>
      <c r="E5272" s="11" t="s">
        <v>28</v>
      </c>
      <c r="F5272" s="10">
        <v>63</v>
      </c>
      <c r="G5272" s="10">
        <v>63</v>
      </c>
      <c r="H5272" s="10">
        <v>63</v>
      </c>
      <c r="I5272" s="11" t="s">
        <v>28</v>
      </c>
      <c r="J5272" s="11" t="s">
        <v>28</v>
      </c>
      <c r="K5272" s="11" t="s">
        <v>28</v>
      </c>
      <c r="L5272" s="11" t="s">
        <v>28</v>
      </c>
      <c r="M5272" s="11" t="s">
        <v>28</v>
      </c>
      <c r="N5272" s="8">
        <v>44217</v>
      </c>
      <c r="O5272" s="9" t="s">
        <v>30</v>
      </c>
      <c r="P5272" s="12" t="s">
        <v>16580</v>
      </c>
      <c r="Q5272" s="9" t="s">
        <v>8999</v>
      </c>
      <c r="R5272" s="14" t="str">
        <f>HYPERLINK("https://my.pitchbook.com?c=213337-72T","View Company Online")</f>
        <v>View Company Online</v>
      </c>
    </row>
    <row r="5273" spans="1:18" hidden="1" x14ac:dyDescent="0.3">
      <c r="A5273" s="15" t="s">
        <v>16581</v>
      </c>
      <c r="B5273" s="15" t="s">
        <v>10704</v>
      </c>
      <c r="C5273" s="18" t="s">
        <v>28</v>
      </c>
      <c r="D5273" s="15" t="s">
        <v>10705</v>
      </c>
      <c r="E5273" s="18" t="s">
        <v>28</v>
      </c>
      <c r="F5273" s="19" t="s">
        <v>28</v>
      </c>
      <c r="G5273" s="19">
        <v>38</v>
      </c>
      <c r="H5273" s="19" t="s">
        <v>28</v>
      </c>
      <c r="I5273" s="18" t="s">
        <v>28</v>
      </c>
      <c r="J5273" s="18" t="s">
        <v>28</v>
      </c>
      <c r="K5273" s="18" t="s">
        <v>28</v>
      </c>
      <c r="L5273" s="18" t="s">
        <v>28</v>
      </c>
      <c r="M5273" s="18" t="s">
        <v>28</v>
      </c>
      <c r="N5273" s="17">
        <v>44217</v>
      </c>
      <c r="O5273" s="15" t="s">
        <v>79</v>
      </c>
      <c r="P5273" s="16" t="s">
        <v>16582</v>
      </c>
      <c r="Q5273" s="15" t="s">
        <v>114</v>
      </c>
      <c r="R5273" s="13" t="str">
        <f>HYPERLINK("https://my.pitchbook.com?c=165476-17T","View Company Online")</f>
        <v>View Company Online</v>
      </c>
    </row>
    <row r="5274" spans="1:18" hidden="1" x14ac:dyDescent="0.3">
      <c r="A5274" s="9" t="s">
        <v>16583</v>
      </c>
      <c r="B5274" s="9" t="s">
        <v>16584</v>
      </c>
      <c r="C5274" s="11" t="s">
        <v>28</v>
      </c>
      <c r="D5274" s="9" t="s">
        <v>16585</v>
      </c>
      <c r="E5274" s="11" t="s">
        <v>28</v>
      </c>
      <c r="F5274" s="10" t="s">
        <v>28</v>
      </c>
      <c r="G5274" s="10">
        <v>3.79</v>
      </c>
      <c r="H5274" s="10" t="s">
        <v>28</v>
      </c>
      <c r="I5274" s="11" t="s">
        <v>28</v>
      </c>
      <c r="J5274" s="11" t="s">
        <v>28</v>
      </c>
      <c r="K5274" s="11" t="s">
        <v>28</v>
      </c>
      <c r="L5274" s="11" t="s">
        <v>28</v>
      </c>
      <c r="M5274" s="11" t="s">
        <v>28</v>
      </c>
      <c r="N5274" s="8">
        <v>44217</v>
      </c>
      <c r="O5274" s="9" t="s">
        <v>79</v>
      </c>
      <c r="P5274" s="12" t="s">
        <v>16586</v>
      </c>
      <c r="Q5274" s="9" t="s">
        <v>263</v>
      </c>
      <c r="R5274" s="14" t="str">
        <f>HYPERLINK("https://my.pitchbook.com?c=165510-91T","View Company Online")</f>
        <v>View Company Online</v>
      </c>
    </row>
    <row r="5275" spans="1:18" hidden="1" x14ac:dyDescent="0.3">
      <c r="A5275" s="15" t="s">
        <v>16587</v>
      </c>
      <c r="B5275" s="15" t="s">
        <v>16588</v>
      </c>
      <c r="C5275" s="18" t="s">
        <v>28</v>
      </c>
      <c r="D5275" s="15" t="s">
        <v>16589</v>
      </c>
      <c r="E5275" s="18" t="s">
        <v>28</v>
      </c>
      <c r="F5275" s="19" t="s">
        <v>28</v>
      </c>
      <c r="G5275" s="19" t="s">
        <v>28</v>
      </c>
      <c r="H5275" s="19" t="s">
        <v>28</v>
      </c>
      <c r="I5275" s="18" t="s">
        <v>28</v>
      </c>
      <c r="J5275" s="18" t="s">
        <v>28</v>
      </c>
      <c r="K5275" s="18" t="s">
        <v>28</v>
      </c>
      <c r="L5275" s="18" t="s">
        <v>28</v>
      </c>
      <c r="M5275" s="18" t="s">
        <v>28</v>
      </c>
      <c r="N5275" s="17">
        <v>44217</v>
      </c>
      <c r="O5275" s="15" t="s">
        <v>30</v>
      </c>
      <c r="P5275" s="16" t="s">
        <v>16590</v>
      </c>
      <c r="Q5275" s="15" t="s">
        <v>37</v>
      </c>
      <c r="R5275" s="13" t="str">
        <f>HYPERLINK("https://my.pitchbook.com?c=211162-51T","View Company Online")</f>
        <v>View Company Online</v>
      </c>
    </row>
    <row r="5276" spans="1:18" hidden="1" x14ac:dyDescent="0.3">
      <c r="A5276" s="9" t="s">
        <v>16591</v>
      </c>
      <c r="B5276" s="9" t="s">
        <v>12635</v>
      </c>
      <c r="C5276" s="11" t="s">
        <v>28</v>
      </c>
      <c r="D5276" s="9" t="s">
        <v>12636</v>
      </c>
      <c r="E5276" s="11" t="s">
        <v>28</v>
      </c>
      <c r="F5276" s="10" t="s">
        <v>28</v>
      </c>
      <c r="G5276" s="10">
        <v>1.06</v>
      </c>
      <c r="H5276" s="10">
        <v>10.99</v>
      </c>
      <c r="I5276" s="11">
        <v>-0.39</v>
      </c>
      <c r="J5276" s="11">
        <v>-28.31</v>
      </c>
      <c r="K5276" s="11">
        <v>0.66</v>
      </c>
      <c r="L5276" s="11">
        <v>16.649999999999999</v>
      </c>
      <c r="M5276" s="11" t="s">
        <v>28</v>
      </c>
      <c r="N5276" s="8">
        <v>44216</v>
      </c>
      <c r="O5276" s="9" t="s">
        <v>379</v>
      </c>
      <c r="P5276" s="12" t="s">
        <v>16592</v>
      </c>
      <c r="Q5276" s="9" t="s">
        <v>75</v>
      </c>
      <c r="R5276" s="14" t="str">
        <f>HYPERLINK("https://my.pitchbook.com?c=165370-06T","View Company Online")</f>
        <v>View Company Online</v>
      </c>
    </row>
    <row r="5277" spans="1:18" hidden="1" x14ac:dyDescent="0.3">
      <c r="A5277" s="15" t="s">
        <v>16593</v>
      </c>
      <c r="B5277" s="15" t="s">
        <v>6148</v>
      </c>
      <c r="C5277" s="18" t="s">
        <v>28</v>
      </c>
      <c r="D5277" s="15" t="s">
        <v>6149</v>
      </c>
      <c r="E5277" s="18" t="s">
        <v>28</v>
      </c>
      <c r="F5277" s="19" t="s">
        <v>28</v>
      </c>
      <c r="G5277" s="19">
        <v>0.38</v>
      </c>
      <c r="H5277" s="19" t="s">
        <v>28</v>
      </c>
      <c r="I5277" s="18" t="s">
        <v>28</v>
      </c>
      <c r="J5277" s="18" t="s">
        <v>28</v>
      </c>
      <c r="K5277" s="18" t="s">
        <v>28</v>
      </c>
      <c r="L5277" s="18" t="s">
        <v>28</v>
      </c>
      <c r="M5277" s="18" t="s">
        <v>28</v>
      </c>
      <c r="N5277" s="17">
        <v>44216</v>
      </c>
      <c r="O5277" s="15" t="s">
        <v>73</v>
      </c>
      <c r="P5277" s="16" t="s">
        <v>6683</v>
      </c>
      <c r="Q5277" s="15" t="s">
        <v>75</v>
      </c>
      <c r="R5277" s="13" t="str">
        <f>HYPERLINK("https://my.pitchbook.com?c=165363-76T","View Company Online")</f>
        <v>View Company Online</v>
      </c>
    </row>
    <row r="5278" spans="1:18" hidden="1" x14ac:dyDescent="0.3">
      <c r="A5278" s="9" t="s">
        <v>16594</v>
      </c>
      <c r="B5278" s="9" t="s">
        <v>16595</v>
      </c>
      <c r="C5278" s="11" t="s">
        <v>28</v>
      </c>
      <c r="D5278" s="9" t="s">
        <v>28</v>
      </c>
      <c r="E5278" s="11">
        <v>0.21</v>
      </c>
      <c r="F5278" s="10" t="s">
        <v>28</v>
      </c>
      <c r="G5278" s="10" t="s">
        <v>28</v>
      </c>
      <c r="H5278" s="10" t="s">
        <v>28</v>
      </c>
      <c r="I5278" s="11">
        <v>0.21</v>
      </c>
      <c r="J5278" s="11" t="s">
        <v>28</v>
      </c>
      <c r="K5278" s="11">
        <v>0.39</v>
      </c>
      <c r="L5278" s="11" t="s">
        <v>28</v>
      </c>
      <c r="M5278" s="11">
        <v>0.21</v>
      </c>
      <c r="N5278" s="8">
        <v>44215</v>
      </c>
      <c r="O5278" s="9" t="s">
        <v>173</v>
      </c>
      <c r="P5278" s="12" t="s">
        <v>28</v>
      </c>
      <c r="Q5278" s="9" t="s">
        <v>174</v>
      </c>
      <c r="R5278" s="14" t="str">
        <f>HYPERLINK("https://my.pitchbook.com?c=224122-15T","View Company Online")</f>
        <v>View Company Online</v>
      </c>
    </row>
    <row r="5279" spans="1:18" hidden="1" x14ac:dyDescent="0.3">
      <c r="A5279" s="15" t="s">
        <v>16596</v>
      </c>
      <c r="B5279" s="15" t="s">
        <v>16597</v>
      </c>
      <c r="C5279" s="18" t="s">
        <v>28</v>
      </c>
      <c r="D5279" s="15" t="s">
        <v>16598</v>
      </c>
      <c r="E5279" s="18" t="s">
        <v>28</v>
      </c>
      <c r="F5279" s="19" t="s">
        <v>28</v>
      </c>
      <c r="G5279" s="19" t="s">
        <v>28</v>
      </c>
      <c r="H5279" s="19" t="s">
        <v>28</v>
      </c>
      <c r="I5279" s="18" t="s">
        <v>28</v>
      </c>
      <c r="J5279" s="18" t="s">
        <v>28</v>
      </c>
      <c r="K5279" s="18" t="s">
        <v>28</v>
      </c>
      <c r="L5279" s="18" t="s">
        <v>28</v>
      </c>
      <c r="M5279" s="18" t="s">
        <v>28</v>
      </c>
      <c r="N5279" s="17">
        <v>44215</v>
      </c>
      <c r="O5279" s="15" t="s">
        <v>52</v>
      </c>
      <c r="P5279" s="16" t="s">
        <v>4500</v>
      </c>
      <c r="Q5279" s="15" t="s">
        <v>43</v>
      </c>
      <c r="R5279" s="13" t="str">
        <f>HYPERLINK("https://my.pitchbook.com?c=272482-03T","View Company Online")</f>
        <v>View Company Online</v>
      </c>
    </row>
    <row r="5280" spans="1:18" hidden="1" x14ac:dyDescent="0.3">
      <c r="A5280" s="9" t="s">
        <v>16599</v>
      </c>
      <c r="B5280" s="9" t="s">
        <v>16600</v>
      </c>
      <c r="C5280" s="11" t="s">
        <v>28</v>
      </c>
      <c r="D5280" s="9" t="s">
        <v>16601</v>
      </c>
      <c r="E5280" s="11" t="s">
        <v>28</v>
      </c>
      <c r="F5280" s="10" t="s">
        <v>28</v>
      </c>
      <c r="G5280" s="10">
        <v>0.09</v>
      </c>
      <c r="H5280" s="10" t="s">
        <v>28</v>
      </c>
      <c r="I5280" s="11" t="s">
        <v>28</v>
      </c>
      <c r="J5280" s="11" t="s">
        <v>28</v>
      </c>
      <c r="K5280" s="11" t="s">
        <v>28</v>
      </c>
      <c r="L5280" s="11" t="s">
        <v>28</v>
      </c>
      <c r="M5280" s="11" t="s">
        <v>28</v>
      </c>
      <c r="N5280" s="8">
        <v>44215</v>
      </c>
      <c r="O5280" s="9" t="s">
        <v>1639</v>
      </c>
      <c r="P5280" s="12" t="s">
        <v>28</v>
      </c>
      <c r="Q5280" s="9" t="s">
        <v>136</v>
      </c>
      <c r="R5280" s="14" t="str">
        <f>HYPERLINK("https://my.pitchbook.com?c=165787-57T","View Company Online")</f>
        <v>View Company Online</v>
      </c>
    </row>
    <row r="5281" spans="1:18" hidden="1" x14ac:dyDescent="0.3">
      <c r="A5281" s="15" t="s">
        <v>16602</v>
      </c>
      <c r="B5281" s="15" t="s">
        <v>16603</v>
      </c>
      <c r="C5281" s="18" t="s">
        <v>28</v>
      </c>
      <c r="D5281" s="15" t="s">
        <v>16604</v>
      </c>
      <c r="E5281" s="18" t="s">
        <v>28</v>
      </c>
      <c r="F5281" s="19" t="s">
        <v>28</v>
      </c>
      <c r="G5281" s="19" t="s">
        <v>28</v>
      </c>
      <c r="H5281" s="19" t="s">
        <v>28</v>
      </c>
      <c r="I5281" s="18" t="s">
        <v>28</v>
      </c>
      <c r="J5281" s="18" t="s">
        <v>28</v>
      </c>
      <c r="K5281" s="18" t="s">
        <v>28</v>
      </c>
      <c r="L5281" s="18" t="s">
        <v>28</v>
      </c>
      <c r="M5281" s="18" t="s">
        <v>28</v>
      </c>
      <c r="N5281" s="17">
        <v>44214</v>
      </c>
      <c r="O5281" s="15" t="s">
        <v>41</v>
      </c>
      <c r="P5281" s="16" t="s">
        <v>16605</v>
      </c>
      <c r="Q5281" s="15" t="s">
        <v>3973</v>
      </c>
      <c r="R5281" s="13" t="str">
        <f>HYPERLINK("https://my.pitchbook.com?c=256757-95T","View Company Online")</f>
        <v>View Company Online</v>
      </c>
    </row>
    <row r="5282" spans="1:18" hidden="1" x14ac:dyDescent="0.3">
      <c r="A5282" s="9" t="s">
        <v>16606</v>
      </c>
      <c r="B5282" s="9" t="s">
        <v>11886</v>
      </c>
      <c r="C5282" s="11" t="s">
        <v>28</v>
      </c>
      <c r="D5282" s="9" t="s">
        <v>11887</v>
      </c>
      <c r="E5282" s="11" t="s">
        <v>28</v>
      </c>
      <c r="F5282" s="10" t="s">
        <v>28</v>
      </c>
      <c r="G5282" s="10">
        <v>0.67</v>
      </c>
      <c r="H5282" s="10" t="s">
        <v>28</v>
      </c>
      <c r="I5282" s="11" t="s">
        <v>28</v>
      </c>
      <c r="J5282" s="11" t="s">
        <v>28</v>
      </c>
      <c r="K5282" s="11" t="s">
        <v>28</v>
      </c>
      <c r="L5282" s="11" t="s">
        <v>28</v>
      </c>
      <c r="M5282" s="11" t="s">
        <v>28</v>
      </c>
      <c r="N5282" s="8">
        <v>44214</v>
      </c>
      <c r="O5282" s="9" t="s">
        <v>73</v>
      </c>
      <c r="P5282" s="12" t="s">
        <v>16607</v>
      </c>
      <c r="Q5282" s="9" t="s">
        <v>75</v>
      </c>
      <c r="R5282" s="14" t="str">
        <f>HYPERLINK("https://my.pitchbook.com?c=165232-36T","View Company Online")</f>
        <v>View Company Online</v>
      </c>
    </row>
    <row r="5283" spans="1:18" hidden="1" x14ac:dyDescent="0.3">
      <c r="A5283" s="15" t="s">
        <v>16608</v>
      </c>
      <c r="B5283" s="15" t="s">
        <v>14859</v>
      </c>
      <c r="C5283" s="18" t="s">
        <v>28</v>
      </c>
      <c r="D5283" s="15" t="s">
        <v>14860</v>
      </c>
      <c r="E5283" s="18" t="s">
        <v>28</v>
      </c>
      <c r="F5283" s="19" t="s">
        <v>28</v>
      </c>
      <c r="G5283" s="19" t="s">
        <v>28</v>
      </c>
      <c r="H5283" s="19" t="s">
        <v>28</v>
      </c>
      <c r="I5283" s="18" t="s">
        <v>28</v>
      </c>
      <c r="J5283" s="18" t="s">
        <v>28</v>
      </c>
      <c r="K5283" s="18" t="s">
        <v>28</v>
      </c>
      <c r="L5283" s="18" t="s">
        <v>28</v>
      </c>
      <c r="M5283" s="18" t="s">
        <v>28</v>
      </c>
      <c r="N5283" s="17">
        <v>44210</v>
      </c>
      <c r="O5283" s="15" t="s">
        <v>52</v>
      </c>
      <c r="P5283" s="16" t="s">
        <v>6543</v>
      </c>
      <c r="Q5283" s="15" t="s">
        <v>1263</v>
      </c>
      <c r="R5283" s="13" t="str">
        <f>HYPERLINK("https://my.pitchbook.com?c=243899-47T","View Company Online")</f>
        <v>View Company Online</v>
      </c>
    </row>
    <row r="5284" spans="1:18" hidden="1" x14ac:dyDescent="0.3">
      <c r="A5284" s="9" t="s">
        <v>16609</v>
      </c>
      <c r="B5284" s="9" t="s">
        <v>2646</v>
      </c>
      <c r="C5284" s="11" t="s">
        <v>28</v>
      </c>
      <c r="D5284" s="9" t="s">
        <v>2647</v>
      </c>
      <c r="E5284" s="11" t="s">
        <v>28</v>
      </c>
      <c r="F5284" s="10" t="s">
        <v>28</v>
      </c>
      <c r="G5284" s="10">
        <v>0.56999999999999995</v>
      </c>
      <c r="H5284" s="10" t="s">
        <v>28</v>
      </c>
      <c r="I5284" s="11" t="s">
        <v>28</v>
      </c>
      <c r="J5284" s="11" t="s">
        <v>28</v>
      </c>
      <c r="K5284" s="11" t="s">
        <v>28</v>
      </c>
      <c r="L5284" s="11" t="s">
        <v>28</v>
      </c>
      <c r="M5284" s="11" t="s">
        <v>28</v>
      </c>
      <c r="N5284" s="8">
        <v>44210</v>
      </c>
      <c r="O5284" s="9" t="s">
        <v>99</v>
      </c>
      <c r="P5284" s="12" t="s">
        <v>16610</v>
      </c>
      <c r="Q5284" s="9" t="s">
        <v>75</v>
      </c>
      <c r="R5284" s="14" t="str">
        <f>HYPERLINK("https://my.pitchbook.com?c=165058-39T","View Company Online")</f>
        <v>View Company Online</v>
      </c>
    </row>
    <row r="5285" spans="1:18" hidden="1" x14ac:dyDescent="0.3">
      <c r="A5285" s="15" t="s">
        <v>16611</v>
      </c>
      <c r="B5285" s="15" t="s">
        <v>5221</v>
      </c>
      <c r="C5285" s="18" t="s">
        <v>28</v>
      </c>
      <c r="D5285" s="15" t="s">
        <v>5222</v>
      </c>
      <c r="E5285" s="18" t="s">
        <v>28</v>
      </c>
      <c r="F5285" s="19" t="s">
        <v>28</v>
      </c>
      <c r="G5285" s="19">
        <v>1.5</v>
      </c>
      <c r="H5285" s="19" t="s">
        <v>28</v>
      </c>
      <c r="I5285" s="18" t="s">
        <v>28</v>
      </c>
      <c r="J5285" s="18" t="s">
        <v>28</v>
      </c>
      <c r="K5285" s="18" t="s">
        <v>28</v>
      </c>
      <c r="L5285" s="18" t="s">
        <v>28</v>
      </c>
      <c r="M5285" s="18" t="s">
        <v>28</v>
      </c>
      <c r="N5285" s="17">
        <v>44210</v>
      </c>
      <c r="O5285" s="15" t="s">
        <v>379</v>
      </c>
      <c r="P5285" s="16" t="s">
        <v>16612</v>
      </c>
      <c r="Q5285" s="15" t="s">
        <v>43</v>
      </c>
      <c r="R5285" s="13" t="str">
        <f>HYPERLINK("https://my.pitchbook.com?c=164920-60T","View Company Online")</f>
        <v>View Company Online</v>
      </c>
    </row>
    <row r="5286" spans="1:18" hidden="1" x14ac:dyDescent="0.3">
      <c r="A5286" s="9" t="s">
        <v>16613</v>
      </c>
      <c r="B5286" s="9" t="s">
        <v>16614</v>
      </c>
      <c r="C5286" s="11" t="s">
        <v>28</v>
      </c>
      <c r="D5286" s="9" t="s">
        <v>16615</v>
      </c>
      <c r="E5286" s="11" t="s">
        <v>28</v>
      </c>
      <c r="F5286" s="10" t="s">
        <v>28</v>
      </c>
      <c r="G5286" s="10" t="s">
        <v>28</v>
      </c>
      <c r="H5286" s="10" t="s">
        <v>28</v>
      </c>
      <c r="I5286" s="11" t="s">
        <v>28</v>
      </c>
      <c r="J5286" s="11" t="s">
        <v>28</v>
      </c>
      <c r="K5286" s="11" t="s">
        <v>28</v>
      </c>
      <c r="L5286" s="11" t="s">
        <v>28</v>
      </c>
      <c r="M5286" s="11" t="s">
        <v>28</v>
      </c>
      <c r="N5286" s="8">
        <v>44210</v>
      </c>
      <c r="O5286" s="9" t="s">
        <v>30</v>
      </c>
      <c r="P5286" s="12" t="s">
        <v>16616</v>
      </c>
      <c r="Q5286" s="9" t="s">
        <v>855</v>
      </c>
      <c r="R5286" s="14" t="str">
        <f>HYPERLINK("https://my.pitchbook.com?c=210965-05T","View Company Online")</f>
        <v>View Company Online</v>
      </c>
    </row>
    <row r="5287" spans="1:18" hidden="1" x14ac:dyDescent="0.3">
      <c r="A5287" s="15" t="s">
        <v>16617</v>
      </c>
      <c r="B5287" s="15" t="s">
        <v>15321</v>
      </c>
      <c r="C5287" s="18" t="s">
        <v>28</v>
      </c>
      <c r="D5287" s="15" t="s">
        <v>15322</v>
      </c>
      <c r="E5287" s="18" t="s">
        <v>28</v>
      </c>
      <c r="F5287" s="19" t="s">
        <v>28</v>
      </c>
      <c r="G5287" s="19" t="s">
        <v>28</v>
      </c>
      <c r="H5287" s="19" t="s">
        <v>28</v>
      </c>
      <c r="I5287" s="18" t="s">
        <v>28</v>
      </c>
      <c r="J5287" s="18" t="s">
        <v>28</v>
      </c>
      <c r="K5287" s="18" t="s">
        <v>28</v>
      </c>
      <c r="L5287" s="18" t="s">
        <v>28</v>
      </c>
      <c r="M5287" s="18" t="s">
        <v>28</v>
      </c>
      <c r="N5287" s="17">
        <v>44209</v>
      </c>
      <c r="O5287" s="15" t="s">
        <v>30</v>
      </c>
      <c r="P5287" s="16" t="s">
        <v>28</v>
      </c>
      <c r="Q5287" s="15" t="s">
        <v>43</v>
      </c>
      <c r="R5287" s="13" t="str">
        <f>HYPERLINK("https://my.pitchbook.com?c=157364-47T","View Company Online")</f>
        <v>View Company Online</v>
      </c>
    </row>
    <row r="5288" spans="1:18" hidden="1" x14ac:dyDescent="0.3">
      <c r="A5288" s="9" t="s">
        <v>16618</v>
      </c>
      <c r="B5288" s="9" t="s">
        <v>16619</v>
      </c>
      <c r="C5288" s="11" t="s">
        <v>28</v>
      </c>
      <c r="D5288" s="9" t="s">
        <v>16620</v>
      </c>
      <c r="E5288" s="11" t="s">
        <v>28</v>
      </c>
      <c r="F5288" s="10">
        <v>8.8000000000000007</v>
      </c>
      <c r="G5288" s="10">
        <v>4.4800000000000004</v>
      </c>
      <c r="H5288" s="10">
        <v>8.8000000000000007</v>
      </c>
      <c r="I5288" s="11" t="s">
        <v>28</v>
      </c>
      <c r="J5288" s="11" t="s">
        <v>28</v>
      </c>
      <c r="K5288" s="11" t="s">
        <v>28</v>
      </c>
      <c r="L5288" s="11" t="s">
        <v>28</v>
      </c>
      <c r="M5288" s="11" t="s">
        <v>28</v>
      </c>
      <c r="N5288" s="8">
        <v>44209</v>
      </c>
      <c r="O5288" s="9" t="s">
        <v>30</v>
      </c>
      <c r="P5288" s="12" t="s">
        <v>16621</v>
      </c>
      <c r="Q5288" s="9" t="s">
        <v>75</v>
      </c>
      <c r="R5288" s="14" t="str">
        <f>HYPERLINK("https://my.pitchbook.com?c=164885-23T","View Company Online")</f>
        <v>View Company Online</v>
      </c>
    </row>
    <row r="5289" spans="1:18" hidden="1" x14ac:dyDescent="0.3">
      <c r="A5289" s="15" t="s">
        <v>16622</v>
      </c>
      <c r="B5289" s="15" t="s">
        <v>16623</v>
      </c>
      <c r="C5289" s="18" t="s">
        <v>28</v>
      </c>
      <c r="D5289" s="15" t="s">
        <v>16624</v>
      </c>
      <c r="E5289" s="18" t="s">
        <v>28</v>
      </c>
      <c r="F5289" s="19" t="s">
        <v>28</v>
      </c>
      <c r="G5289" s="19" t="s">
        <v>28</v>
      </c>
      <c r="H5289" s="19" t="s">
        <v>28</v>
      </c>
      <c r="I5289" s="18" t="s">
        <v>28</v>
      </c>
      <c r="J5289" s="18" t="s">
        <v>28</v>
      </c>
      <c r="K5289" s="18" t="s">
        <v>28</v>
      </c>
      <c r="L5289" s="18" t="s">
        <v>28</v>
      </c>
      <c r="M5289" s="18" t="s">
        <v>28</v>
      </c>
      <c r="N5289" s="17">
        <v>44209</v>
      </c>
      <c r="O5289" s="15" t="s">
        <v>79</v>
      </c>
      <c r="P5289" s="16" t="s">
        <v>16625</v>
      </c>
      <c r="Q5289" s="15" t="s">
        <v>245</v>
      </c>
      <c r="R5289" s="13" t="str">
        <f>HYPERLINK("https://my.pitchbook.com?c=216300-97T","View Company Online")</f>
        <v>View Company Online</v>
      </c>
    </row>
    <row r="5290" spans="1:18" hidden="1" x14ac:dyDescent="0.3">
      <c r="A5290" s="9" t="s">
        <v>16626</v>
      </c>
      <c r="B5290" s="9" t="s">
        <v>16627</v>
      </c>
      <c r="C5290" s="11" t="s">
        <v>28</v>
      </c>
      <c r="D5290" s="9" t="s">
        <v>16628</v>
      </c>
      <c r="E5290" s="11" t="s">
        <v>28</v>
      </c>
      <c r="F5290" s="10" t="s">
        <v>28</v>
      </c>
      <c r="G5290" s="10" t="s">
        <v>28</v>
      </c>
      <c r="H5290" s="10" t="s">
        <v>28</v>
      </c>
      <c r="I5290" s="11" t="s">
        <v>28</v>
      </c>
      <c r="J5290" s="11" t="s">
        <v>28</v>
      </c>
      <c r="K5290" s="11" t="s">
        <v>28</v>
      </c>
      <c r="L5290" s="11" t="s">
        <v>28</v>
      </c>
      <c r="M5290" s="11" t="s">
        <v>28</v>
      </c>
      <c r="N5290" s="8">
        <v>44209</v>
      </c>
      <c r="O5290" s="9" t="s">
        <v>30</v>
      </c>
      <c r="P5290" s="12" t="s">
        <v>16629</v>
      </c>
      <c r="Q5290" s="9" t="s">
        <v>37</v>
      </c>
      <c r="R5290" s="14" t="str">
        <f>HYPERLINK("https://my.pitchbook.com?c=165431-62T","View Company Online")</f>
        <v>View Company Online</v>
      </c>
    </row>
    <row r="5291" spans="1:18" hidden="1" x14ac:dyDescent="0.3">
      <c r="A5291" s="15" t="s">
        <v>16630</v>
      </c>
      <c r="B5291" s="15" t="s">
        <v>16631</v>
      </c>
      <c r="C5291" s="18" t="s">
        <v>28</v>
      </c>
      <c r="D5291" s="15" t="s">
        <v>16632</v>
      </c>
      <c r="E5291" s="18">
        <v>6.13</v>
      </c>
      <c r="F5291" s="19" t="s">
        <v>28</v>
      </c>
      <c r="G5291" s="19" t="s">
        <v>28</v>
      </c>
      <c r="H5291" s="19" t="s">
        <v>28</v>
      </c>
      <c r="I5291" s="18">
        <v>20.82</v>
      </c>
      <c r="J5291" s="18" t="s">
        <v>28</v>
      </c>
      <c r="K5291" s="18">
        <v>194.49</v>
      </c>
      <c r="L5291" s="18" t="s">
        <v>28</v>
      </c>
      <c r="M5291" s="18">
        <v>1.73</v>
      </c>
      <c r="N5291" s="17">
        <v>44208</v>
      </c>
      <c r="O5291" s="15" t="s">
        <v>173</v>
      </c>
      <c r="P5291" s="16" t="s">
        <v>28</v>
      </c>
      <c r="Q5291" s="15" t="s">
        <v>5347</v>
      </c>
      <c r="R5291" s="13" t="str">
        <f>HYPERLINK("https://my.pitchbook.com?c=138201-67T","View Company Online")</f>
        <v>View Company Online</v>
      </c>
    </row>
    <row r="5292" spans="1:18" hidden="1" x14ac:dyDescent="0.3">
      <c r="A5292" s="9" t="s">
        <v>16633</v>
      </c>
      <c r="B5292" s="9" t="s">
        <v>16634</v>
      </c>
      <c r="C5292" s="11" t="s">
        <v>28</v>
      </c>
      <c r="D5292" s="9" t="s">
        <v>16635</v>
      </c>
      <c r="E5292" s="11" t="s">
        <v>28</v>
      </c>
      <c r="F5292" s="10" t="s">
        <v>28</v>
      </c>
      <c r="G5292" s="10" t="s">
        <v>28</v>
      </c>
      <c r="H5292" s="10" t="s">
        <v>28</v>
      </c>
      <c r="I5292" s="11" t="s">
        <v>28</v>
      </c>
      <c r="J5292" s="11" t="s">
        <v>28</v>
      </c>
      <c r="K5292" s="11" t="s">
        <v>28</v>
      </c>
      <c r="L5292" s="11" t="s">
        <v>28</v>
      </c>
      <c r="M5292" s="11" t="s">
        <v>28</v>
      </c>
      <c r="N5292" s="8">
        <v>44208</v>
      </c>
      <c r="O5292" s="9" t="s">
        <v>41</v>
      </c>
      <c r="P5292" s="12" t="s">
        <v>16636</v>
      </c>
      <c r="Q5292" s="9" t="s">
        <v>37</v>
      </c>
      <c r="R5292" s="14" t="str">
        <f>HYPERLINK("https://my.pitchbook.com?c=165036-16T","View Company Online")</f>
        <v>View Company Online</v>
      </c>
    </row>
    <row r="5293" spans="1:18" hidden="1" x14ac:dyDescent="0.3">
      <c r="A5293" s="15" t="s">
        <v>16637</v>
      </c>
      <c r="B5293" s="15" t="s">
        <v>5044</v>
      </c>
      <c r="C5293" s="18" t="s">
        <v>28</v>
      </c>
      <c r="D5293" s="15" t="s">
        <v>5045</v>
      </c>
      <c r="E5293" s="18" t="s">
        <v>28</v>
      </c>
      <c r="F5293" s="19" t="s">
        <v>28</v>
      </c>
      <c r="G5293" s="19">
        <v>1.5</v>
      </c>
      <c r="H5293" s="19" t="s">
        <v>28</v>
      </c>
      <c r="I5293" s="18" t="s">
        <v>28</v>
      </c>
      <c r="J5293" s="18" t="s">
        <v>28</v>
      </c>
      <c r="K5293" s="18" t="s">
        <v>28</v>
      </c>
      <c r="L5293" s="18" t="s">
        <v>28</v>
      </c>
      <c r="M5293" s="18" t="s">
        <v>28</v>
      </c>
      <c r="N5293" s="17">
        <v>44208</v>
      </c>
      <c r="O5293" s="15" t="s">
        <v>79</v>
      </c>
      <c r="P5293" s="16" t="s">
        <v>16638</v>
      </c>
      <c r="Q5293" s="15" t="s">
        <v>75</v>
      </c>
      <c r="R5293" s="13" t="str">
        <f>HYPERLINK("https://my.pitchbook.com?c=164965-42T","View Company Online")</f>
        <v>View Company Online</v>
      </c>
    </row>
    <row r="5294" spans="1:18" hidden="1" x14ac:dyDescent="0.3">
      <c r="A5294" s="9" t="s">
        <v>16639</v>
      </c>
      <c r="B5294" s="9" t="s">
        <v>1222</v>
      </c>
      <c r="C5294" s="11" t="s">
        <v>28</v>
      </c>
      <c r="D5294" s="9" t="s">
        <v>1223</v>
      </c>
      <c r="E5294" s="11" t="s">
        <v>28</v>
      </c>
      <c r="F5294" s="10" t="s">
        <v>28</v>
      </c>
      <c r="G5294" s="10">
        <v>0.19</v>
      </c>
      <c r="H5294" s="10" t="s">
        <v>28</v>
      </c>
      <c r="I5294" s="11" t="s">
        <v>28</v>
      </c>
      <c r="J5294" s="11" t="s">
        <v>28</v>
      </c>
      <c r="K5294" s="11" t="s">
        <v>28</v>
      </c>
      <c r="L5294" s="11" t="s">
        <v>28</v>
      </c>
      <c r="M5294" s="11" t="s">
        <v>28</v>
      </c>
      <c r="N5294" s="8">
        <v>44208</v>
      </c>
      <c r="O5294" s="9" t="s">
        <v>99</v>
      </c>
      <c r="P5294" s="12" t="s">
        <v>16640</v>
      </c>
      <c r="Q5294" s="9" t="s">
        <v>75</v>
      </c>
      <c r="R5294" s="14" t="str">
        <f>HYPERLINK("https://my.pitchbook.com?c=165025-81T","View Company Online")</f>
        <v>View Company Online</v>
      </c>
    </row>
    <row r="5295" spans="1:18" hidden="1" x14ac:dyDescent="0.3">
      <c r="A5295" s="15" t="s">
        <v>16641</v>
      </c>
      <c r="B5295" s="15" t="s">
        <v>11994</v>
      </c>
      <c r="C5295" s="18" t="s">
        <v>28</v>
      </c>
      <c r="D5295" s="15" t="s">
        <v>11995</v>
      </c>
      <c r="E5295" s="18" t="s">
        <v>28</v>
      </c>
      <c r="F5295" s="19" t="s">
        <v>28</v>
      </c>
      <c r="G5295" s="19" t="s">
        <v>28</v>
      </c>
      <c r="H5295" s="19" t="s">
        <v>28</v>
      </c>
      <c r="I5295" s="18" t="s">
        <v>28</v>
      </c>
      <c r="J5295" s="18" t="s">
        <v>28</v>
      </c>
      <c r="K5295" s="18" t="s">
        <v>28</v>
      </c>
      <c r="L5295" s="18" t="s">
        <v>28</v>
      </c>
      <c r="M5295" s="18" t="s">
        <v>28</v>
      </c>
      <c r="N5295" s="17">
        <v>44208</v>
      </c>
      <c r="O5295" s="15" t="s">
        <v>52</v>
      </c>
      <c r="P5295" s="16" t="s">
        <v>14711</v>
      </c>
      <c r="Q5295" s="15" t="s">
        <v>696</v>
      </c>
      <c r="R5295" s="13" t="str">
        <f>HYPERLINK("https://my.pitchbook.com?c=165959-65T","View Company Online")</f>
        <v>View Company Online</v>
      </c>
    </row>
    <row r="5296" spans="1:18" hidden="1" x14ac:dyDescent="0.3">
      <c r="A5296" s="9" t="s">
        <v>16642</v>
      </c>
      <c r="B5296" s="9" t="s">
        <v>16643</v>
      </c>
      <c r="C5296" s="11" t="s">
        <v>28</v>
      </c>
      <c r="D5296" s="9" t="s">
        <v>16644</v>
      </c>
      <c r="E5296" s="11" t="s">
        <v>28</v>
      </c>
      <c r="F5296" s="10">
        <v>34.479999999999997</v>
      </c>
      <c r="G5296" s="10">
        <v>34.479999999999997</v>
      </c>
      <c r="H5296" s="10">
        <v>34.479999999999997</v>
      </c>
      <c r="I5296" s="11" t="s">
        <v>28</v>
      </c>
      <c r="J5296" s="11" t="s">
        <v>28</v>
      </c>
      <c r="K5296" s="11" t="s">
        <v>28</v>
      </c>
      <c r="L5296" s="11" t="s">
        <v>28</v>
      </c>
      <c r="M5296" s="11" t="s">
        <v>28</v>
      </c>
      <c r="N5296" s="8">
        <v>44208</v>
      </c>
      <c r="O5296" s="9" t="s">
        <v>30</v>
      </c>
      <c r="P5296" s="12" t="s">
        <v>6531</v>
      </c>
      <c r="Q5296" s="9" t="s">
        <v>37</v>
      </c>
      <c r="R5296" s="14" t="str">
        <f>HYPERLINK("https://my.pitchbook.com?c=158462-38T","View Company Online")</f>
        <v>View Company Online</v>
      </c>
    </row>
    <row r="5297" spans="1:18" hidden="1" x14ac:dyDescent="0.3">
      <c r="A5297" s="15" t="s">
        <v>16645</v>
      </c>
      <c r="B5297" s="15" t="s">
        <v>2362</v>
      </c>
      <c r="C5297" s="18" t="s">
        <v>28</v>
      </c>
      <c r="D5297" s="15" t="s">
        <v>2363</v>
      </c>
      <c r="E5297" s="18" t="s">
        <v>28</v>
      </c>
      <c r="F5297" s="19" t="s">
        <v>28</v>
      </c>
      <c r="G5297" s="19" t="s">
        <v>28</v>
      </c>
      <c r="H5297" s="19" t="s">
        <v>28</v>
      </c>
      <c r="I5297" s="18" t="s">
        <v>28</v>
      </c>
      <c r="J5297" s="18" t="s">
        <v>28</v>
      </c>
      <c r="K5297" s="18" t="s">
        <v>28</v>
      </c>
      <c r="L5297" s="18" t="s">
        <v>28</v>
      </c>
      <c r="M5297" s="18" t="s">
        <v>28</v>
      </c>
      <c r="N5297" s="17">
        <v>44207</v>
      </c>
      <c r="O5297" s="15" t="s">
        <v>30</v>
      </c>
      <c r="P5297" s="16" t="s">
        <v>16646</v>
      </c>
      <c r="Q5297" s="15" t="s">
        <v>75</v>
      </c>
      <c r="R5297" s="13" t="str">
        <f>HYPERLINK("https://my.pitchbook.com?c=156923-74T","View Company Online")</f>
        <v>View Company Online</v>
      </c>
    </row>
    <row r="5298" spans="1:18" hidden="1" x14ac:dyDescent="0.3">
      <c r="A5298" s="9" t="s">
        <v>16647</v>
      </c>
      <c r="B5298" s="9" t="s">
        <v>16648</v>
      </c>
      <c r="C5298" s="11" t="s">
        <v>28</v>
      </c>
      <c r="D5298" s="9" t="s">
        <v>16649</v>
      </c>
      <c r="E5298" s="11" t="s">
        <v>28</v>
      </c>
      <c r="F5298" s="10" t="s">
        <v>28</v>
      </c>
      <c r="G5298" s="10" t="s">
        <v>28</v>
      </c>
      <c r="H5298" s="10" t="s">
        <v>28</v>
      </c>
      <c r="I5298" s="11" t="s">
        <v>28</v>
      </c>
      <c r="J5298" s="11" t="s">
        <v>28</v>
      </c>
      <c r="K5298" s="11" t="s">
        <v>28</v>
      </c>
      <c r="L5298" s="11" t="s">
        <v>28</v>
      </c>
      <c r="M5298" s="11" t="s">
        <v>28</v>
      </c>
      <c r="N5298" s="8">
        <v>44207</v>
      </c>
      <c r="O5298" s="9" t="s">
        <v>30</v>
      </c>
      <c r="P5298" s="12" t="s">
        <v>16650</v>
      </c>
      <c r="Q5298" s="9" t="s">
        <v>414</v>
      </c>
      <c r="R5298" s="14" t="str">
        <f>HYPERLINK("https://my.pitchbook.com?c=168930-19T","View Company Online")</f>
        <v>View Company Online</v>
      </c>
    </row>
    <row r="5299" spans="1:18" hidden="1" x14ac:dyDescent="0.3">
      <c r="A5299" s="15" t="s">
        <v>16651</v>
      </c>
      <c r="B5299" s="15" t="s">
        <v>5573</v>
      </c>
      <c r="C5299" s="18" t="s">
        <v>28</v>
      </c>
      <c r="D5299" s="15" t="s">
        <v>5574</v>
      </c>
      <c r="E5299" s="18" t="s">
        <v>28</v>
      </c>
      <c r="F5299" s="19" t="s">
        <v>28</v>
      </c>
      <c r="G5299" s="19" t="s">
        <v>28</v>
      </c>
      <c r="H5299" s="19" t="s">
        <v>28</v>
      </c>
      <c r="I5299" s="18" t="s">
        <v>28</v>
      </c>
      <c r="J5299" s="18" t="s">
        <v>28</v>
      </c>
      <c r="K5299" s="18" t="s">
        <v>28</v>
      </c>
      <c r="L5299" s="18" t="s">
        <v>28</v>
      </c>
      <c r="M5299" s="18" t="s">
        <v>28</v>
      </c>
      <c r="N5299" s="17">
        <v>44207</v>
      </c>
      <c r="O5299" s="15" t="s">
        <v>99</v>
      </c>
      <c r="P5299" s="16" t="s">
        <v>16652</v>
      </c>
      <c r="Q5299" s="15" t="s">
        <v>404</v>
      </c>
      <c r="R5299" s="13" t="str">
        <f>HYPERLINK("https://my.pitchbook.com?c=194844-61T","View Company Online")</f>
        <v>View Company Online</v>
      </c>
    </row>
    <row r="5300" spans="1:18" hidden="1" x14ac:dyDescent="0.3">
      <c r="A5300" s="9" t="s">
        <v>16653</v>
      </c>
      <c r="B5300" s="9" t="s">
        <v>2866</v>
      </c>
      <c r="C5300" s="11" t="s">
        <v>28</v>
      </c>
      <c r="D5300" s="9" t="s">
        <v>2867</v>
      </c>
      <c r="E5300" s="11" t="s">
        <v>28</v>
      </c>
      <c r="F5300" s="10" t="s">
        <v>28</v>
      </c>
      <c r="G5300" s="10">
        <v>1.18</v>
      </c>
      <c r="H5300" s="10" t="s">
        <v>28</v>
      </c>
      <c r="I5300" s="11" t="s">
        <v>28</v>
      </c>
      <c r="J5300" s="11" t="s">
        <v>28</v>
      </c>
      <c r="K5300" s="11" t="s">
        <v>28</v>
      </c>
      <c r="L5300" s="11" t="s">
        <v>28</v>
      </c>
      <c r="M5300" s="11" t="s">
        <v>28</v>
      </c>
      <c r="N5300" s="8">
        <v>44206</v>
      </c>
      <c r="O5300" s="9" t="s">
        <v>99</v>
      </c>
      <c r="P5300" s="12" t="s">
        <v>16654</v>
      </c>
      <c r="Q5300" s="9" t="s">
        <v>37</v>
      </c>
      <c r="R5300" s="14" t="str">
        <f>HYPERLINK("https://my.pitchbook.com?c=185295-34T","View Company Online")</f>
        <v>View Company Online</v>
      </c>
    </row>
    <row r="5301" spans="1:18" hidden="1" x14ac:dyDescent="0.3">
      <c r="A5301" s="15" t="s">
        <v>16655</v>
      </c>
      <c r="B5301" s="15" t="s">
        <v>6911</v>
      </c>
      <c r="C5301" s="18" t="s">
        <v>28</v>
      </c>
      <c r="D5301" s="15" t="s">
        <v>6912</v>
      </c>
      <c r="E5301" s="18" t="s">
        <v>28</v>
      </c>
      <c r="F5301" s="19" t="s">
        <v>28</v>
      </c>
      <c r="G5301" s="19" t="s">
        <v>28</v>
      </c>
      <c r="H5301" s="19" t="s">
        <v>28</v>
      </c>
      <c r="I5301" s="18" t="s">
        <v>28</v>
      </c>
      <c r="J5301" s="18" t="s">
        <v>28</v>
      </c>
      <c r="K5301" s="18" t="s">
        <v>28</v>
      </c>
      <c r="L5301" s="18" t="s">
        <v>28</v>
      </c>
      <c r="M5301" s="18" t="s">
        <v>28</v>
      </c>
      <c r="N5301" s="17">
        <v>44206</v>
      </c>
      <c r="O5301" s="15" t="s">
        <v>79</v>
      </c>
      <c r="P5301" s="16" t="s">
        <v>16656</v>
      </c>
      <c r="Q5301" s="15" t="s">
        <v>75</v>
      </c>
      <c r="R5301" s="13" t="str">
        <f>HYPERLINK("https://my.pitchbook.com?c=185035-51T","View Company Online")</f>
        <v>View Company Online</v>
      </c>
    </row>
    <row r="5302" spans="1:18" hidden="1" x14ac:dyDescent="0.3">
      <c r="A5302" s="9" t="s">
        <v>16657</v>
      </c>
      <c r="B5302" s="9" t="s">
        <v>16658</v>
      </c>
      <c r="C5302" s="11" t="s">
        <v>28</v>
      </c>
      <c r="D5302" s="9" t="s">
        <v>16659</v>
      </c>
      <c r="E5302" s="11" t="s">
        <v>28</v>
      </c>
      <c r="F5302" s="10" t="s">
        <v>28</v>
      </c>
      <c r="G5302" s="10" t="s">
        <v>28</v>
      </c>
      <c r="H5302" s="10" t="s">
        <v>28</v>
      </c>
      <c r="I5302" s="11" t="s">
        <v>28</v>
      </c>
      <c r="J5302" s="11" t="s">
        <v>28</v>
      </c>
      <c r="K5302" s="11">
        <v>1.88</v>
      </c>
      <c r="L5302" s="11" t="s">
        <v>28</v>
      </c>
      <c r="M5302" s="11">
        <v>1.79</v>
      </c>
      <c r="N5302" s="8">
        <v>44204</v>
      </c>
      <c r="O5302" s="9" t="s">
        <v>173</v>
      </c>
      <c r="P5302" s="12" t="s">
        <v>28</v>
      </c>
      <c r="Q5302" s="9" t="s">
        <v>174</v>
      </c>
      <c r="R5302" s="14" t="str">
        <f>HYPERLINK("https://my.pitchbook.com?c=251549-83T","View Company Online")</f>
        <v>View Company Online</v>
      </c>
    </row>
    <row r="5303" spans="1:18" hidden="1" x14ac:dyDescent="0.3">
      <c r="A5303" s="15" t="s">
        <v>16660</v>
      </c>
      <c r="B5303" s="15" t="s">
        <v>16661</v>
      </c>
      <c r="C5303" s="18" t="s">
        <v>28</v>
      </c>
      <c r="D5303" s="15" t="s">
        <v>16662</v>
      </c>
      <c r="E5303" s="18" t="s">
        <v>28</v>
      </c>
      <c r="F5303" s="19">
        <v>122</v>
      </c>
      <c r="G5303" s="19">
        <v>122</v>
      </c>
      <c r="H5303" s="19">
        <v>122</v>
      </c>
      <c r="I5303" s="18" t="s">
        <v>28</v>
      </c>
      <c r="J5303" s="18" t="s">
        <v>28</v>
      </c>
      <c r="K5303" s="18" t="s">
        <v>28</v>
      </c>
      <c r="L5303" s="18" t="s">
        <v>28</v>
      </c>
      <c r="M5303" s="18" t="s">
        <v>28</v>
      </c>
      <c r="N5303" s="17">
        <v>44203</v>
      </c>
      <c r="O5303" s="15" t="s">
        <v>30</v>
      </c>
      <c r="P5303" s="16" t="s">
        <v>14864</v>
      </c>
      <c r="Q5303" s="15" t="s">
        <v>1007</v>
      </c>
      <c r="R5303" s="13" t="str">
        <f>HYPERLINK("https://my.pitchbook.com?c=165982-60T","View Company Online")</f>
        <v>View Company Online</v>
      </c>
    </row>
    <row r="5304" spans="1:18" hidden="1" x14ac:dyDescent="0.3">
      <c r="A5304" s="9" t="s">
        <v>16663</v>
      </c>
      <c r="B5304" s="9" t="s">
        <v>16664</v>
      </c>
      <c r="C5304" s="11" t="s">
        <v>28</v>
      </c>
      <c r="D5304" s="9" t="s">
        <v>16665</v>
      </c>
      <c r="E5304" s="11" t="s">
        <v>28</v>
      </c>
      <c r="F5304" s="10">
        <v>40</v>
      </c>
      <c r="G5304" s="10">
        <v>40</v>
      </c>
      <c r="H5304" s="10">
        <v>40</v>
      </c>
      <c r="I5304" s="11" t="s">
        <v>28</v>
      </c>
      <c r="J5304" s="11" t="s">
        <v>28</v>
      </c>
      <c r="K5304" s="11" t="s">
        <v>28</v>
      </c>
      <c r="L5304" s="11" t="s">
        <v>28</v>
      </c>
      <c r="M5304" s="11" t="s">
        <v>28</v>
      </c>
      <c r="N5304" s="8">
        <v>44203</v>
      </c>
      <c r="O5304" s="9" t="s">
        <v>30</v>
      </c>
      <c r="P5304" s="12" t="s">
        <v>28</v>
      </c>
      <c r="Q5304" s="9" t="s">
        <v>37</v>
      </c>
      <c r="R5304" s="14" t="str">
        <f>HYPERLINK("https://my.pitchbook.com?c=212381-74T","View Company Online")</f>
        <v>View Company Online</v>
      </c>
    </row>
    <row r="5305" spans="1:18" hidden="1" x14ac:dyDescent="0.3">
      <c r="A5305" s="15" t="s">
        <v>16666</v>
      </c>
      <c r="B5305" s="15" t="s">
        <v>16667</v>
      </c>
      <c r="C5305" s="18" t="s">
        <v>28</v>
      </c>
      <c r="D5305" s="15" t="s">
        <v>16668</v>
      </c>
      <c r="E5305" s="18" t="s">
        <v>28</v>
      </c>
      <c r="F5305" s="19" t="s">
        <v>28</v>
      </c>
      <c r="G5305" s="19" t="s">
        <v>28</v>
      </c>
      <c r="H5305" s="19" t="s">
        <v>28</v>
      </c>
      <c r="I5305" s="18" t="s">
        <v>28</v>
      </c>
      <c r="J5305" s="18" t="s">
        <v>28</v>
      </c>
      <c r="K5305" s="18" t="s">
        <v>28</v>
      </c>
      <c r="L5305" s="18" t="s">
        <v>28</v>
      </c>
      <c r="M5305" s="18" t="s">
        <v>28</v>
      </c>
      <c r="N5305" s="17">
        <v>44203</v>
      </c>
      <c r="O5305" s="15" t="s">
        <v>30</v>
      </c>
      <c r="P5305" s="16" t="s">
        <v>4004</v>
      </c>
      <c r="Q5305" s="15" t="s">
        <v>188</v>
      </c>
      <c r="R5305" s="13" t="str">
        <f>HYPERLINK("https://my.pitchbook.com?c=213473-80T","View Company Online")</f>
        <v>View Company Online</v>
      </c>
    </row>
    <row r="5306" spans="1:18" hidden="1" x14ac:dyDescent="0.3">
      <c r="A5306" s="9" t="s">
        <v>16669</v>
      </c>
      <c r="B5306" s="9" t="s">
        <v>14354</v>
      </c>
      <c r="C5306" s="11" t="s">
        <v>28</v>
      </c>
      <c r="D5306" s="9" t="s">
        <v>14355</v>
      </c>
      <c r="E5306" s="11" t="s">
        <v>28</v>
      </c>
      <c r="F5306" s="10" t="s">
        <v>28</v>
      </c>
      <c r="G5306" s="10">
        <v>0.12</v>
      </c>
      <c r="H5306" s="10" t="s">
        <v>28</v>
      </c>
      <c r="I5306" s="11" t="s">
        <v>28</v>
      </c>
      <c r="J5306" s="11" t="s">
        <v>28</v>
      </c>
      <c r="K5306" s="11" t="s">
        <v>28</v>
      </c>
      <c r="L5306" s="11" t="s">
        <v>28</v>
      </c>
      <c r="M5306" s="11" t="s">
        <v>28</v>
      </c>
      <c r="N5306" s="8">
        <v>44203</v>
      </c>
      <c r="O5306" s="9" t="s">
        <v>99</v>
      </c>
      <c r="P5306" s="12" t="s">
        <v>16670</v>
      </c>
      <c r="Q5306" s="9" t="s">
        <v>37</v>
      </c>
      <c r="R5306" s="14" t="str">
        <f>HYPERLINK("https://my.pitchbook.com?c=188499-61T","View Company Online")</f>
        <v>View Company Online</v>
      </c>
    </row>
    <row r="5307" spans="1:18" hidden="1" x14ac:dyDescent="0.3">
      <c r="A5307" s="15" t="s">
        <v>16671</v>
      </c>
      <c r="B5307" s="15" t="s">
        <v>16672</v>
      </c>
      <c r="C5307" s="18" t="s">
        <v>28</v>
      </c>
      <c r="D5307" s="15" t="s">
        <v>16673</v>
      </c>
      <c r="E5307" s="18" t="s">
        <v>28</v>
      </c>
      <c r="F5307" s="19" t="s">
        <v>28</v>
      </c>
      <c r="G5307" s="19" t="s">
        <v>28</v>
      </c>
      <c r="H5307" s="19" t="s">
        <v>28</v>
      </c>
      <c r="I5307" s="18" t="s">
        <v>28</v>
      </c>
      <c r="J5307" s="18" t="s">
        <v>28</v>
      </c>
      <c r="K5307" s="18" t="s">
        <v>28</v>
      </c>
      <c r="L5307" s="18" t="s">
        <v>28</v>
      </c>
      <c r="M5307" s="18" t="s">
        <v>28</v>
      </c>
      <c r="N5307" s="17">
        <v>44203</v>
      </c>
      <c r="O5307" s="15" t="s">
        <v>41</v>
      </c>
      <c r="P5307" s="16" t="s">
        <v>16674</v>
      </c>
      <c r="Q5307" s="15" t="s">
        <v>692</v>
      </c>
      <c r="R5307" s="13" t="str">
        <f>HYPERLINK("https://my.pitchbook.com?c=250220-26T","View Company Online")</f>
        <v>View Company Online</v>
      </c>
    </row>
    <row r="5308" spans="1:18" hidden="1" x14ac:dyDescent="0.3">
      <c r="A5308" s="9" t="s">
        <v>16675</v>
      </c>
      <c r="B5308" s="9" t="s">
        <v>16676</v>
      </c>
      <c r="C5308" s="11" t="s">
        <v>28</v>
      </c>
      <c r="D5308" s="9" t="s">
        <v>16677</v>
      </c>
      <c r="E5308" s="11">
        <v>12.31</v>
      </c>
      <c r="F5308" s="10" t="s">
        <v>28</v>
      </c>
      <c r="G5308" s="10" t="s">
        <v>28</v>
      </c>
      <c r="H5308" s="10" t="s">
        <v>28</v>
      </c>
      <c r="I5308" s="11">
        <v>12.31</v>
      </c>
      <c r="J5308" s="11" t="s">
        <v>28</v>
      </c>
      <c r="K5308" s="11">
        <v>11.79</v>
      </c>
      <c r="L5308" s="11" t="s">
        <v>28</v>
      </c>
      <c r="M5308" s="11">
        <v>7.51</v>
      </c>
      <c r="N5308" s="8">
        <v>44202</v>
      </c>
      <c r="O5308" s="9" t="s">
        <v>173</v>
      </c>
      <c r="P5308" s="12" t="s">
        <v>28</v>
      </c>
      <c r="Q5308" s="9" t="s">
        <v>174</v>
      </c>
      <c r="R5308" s="14" t="str">
        <f>HYPERLINK("https://my.pitchbook.com?c=251679-79T","View Company Online")</f>
        <v>View Company Online</v>
      </c>
    </row>
    <row r="5309" spans="1:18" hidden="1" x14ac:dyDescent="0.3">
      <c r="A5309" s="15" t="s">
        <v>16678</v>
      </c>
      <c r="B5309" s="15" t="s">
        <v>16679</v>
      </c>
      <c r="C5309" s="18" t="s">
        <v>28</v>
      </c>
      <c r="D5309" s="15" t="s">
        <v>16680</v>
      </c>
      <c r="E5309" s="18" t="s">
        <v>28</v>
      </c>
      <c r="F5309" s="19" t="s">
        <v>28</v>
      </c>
      <c r="G5309" s="19" t="s">
        <v>28</v>
      </c>
      <c r="H5309" s="19" t="s">
        <v>28</v>
      </c>
      <c r="I5309" s="18" t="s">
        <v>28</v>
      </c>
      <c r="J5309" s="18" t="s">
        <v>28</v>
      </c>
      <c r="K5309" s="18" t="s">
        <v>28</v>
      </c>
      <c r="L5309" s="18" t="s">
        <v>28</v>
      </c>
      <c r="M5309" s="18" t="s">
        <v>28</v>
      </c>
      <c r="N5309" s="17">
        <v>44202</v>
      </c>
      <c r="O5309" s="15" t="s">
        <v>30</v>
      </c>
      <c r="P5309" s="16" t="s">
        <v>16681</v>
      </c>
      <c r="Q5309" s="15" t="s">
        <v>3912</v>
      </c>
      <c r="R5309" s="13" t="str">
        <f>HYPERLINK("https://my.pitchbook.com?c=164489-77T","View Company Online")</f>
        <v>View Company Online</v>
      </c>
    </row>
    <row r="5310" spans="1:18" hidden="1" x14ac:dyDescent="0.3">
      <c r="A5310" s="9" t="s">
        <v>16682</v>
      </c>
      <c r="B5310" s="9" t="s">
        <v>16683</v>
      </c>
      <c r="C5310" s="11" t="s">
        <v>28</v>
      </c>
      <c r="D5310" s="9" t="s">
        <v>16684</v>
      </c>
      <c r="E5310" s="11" t="s">
        <v>28</v>
      </c>
      <c r="F5310" s="10" t="s">
        <v>28</v>
      </c>
      <c r="G5310" s="10" t="s">
        <v>28</v>
      </c>
      <c r="H5310" s="10" t="s">
        <v>28</v>
      </c>
      <c r="I5310" s="11" t="s">
        <v>28</v>
      </c>
      <c r="J5310" s="11" t="s">
        <v>28</v>
      </c>
      <c r="K5310" s="11" t="s">
        <v>28</v>
      </c>
      <c r="L5310" s="11" t="s">
        <v>28</v>
      </c>
      <c r="M5310" s="11" t="s">
        <v>28</v>
      </c>
      <c r="N5310" s="8">
        <v>44201</v>
      </c>
      <c r="O5310" s="9" t="s">
        <v>173</v>
      </c>
      <c r="P5310" s="12" t="s">
        <v>28</v>
      </c>
      <c r="Q5310" s="9" t="s">
        <v>240</v>
      </c>
      <c r="R5310" s="14" t="str">
        <f>HYPERLINK("https://my.pitchbook.com?c=251093-35T","View Company Online")</f>
        <v>View Company Online</v>
      </c>
    </row>
    <row r="5311" spans="1:18" hidden="1" x14ac:dyDescent="0.3">
      <c r="A5311" s="15" t="s">
        <v>16685</v>
      </c>
      <c r="B5311" s="15" t="s">
        <v>16686</v>
      </c>
      <c r="C5311" s="18" t="s">
        <v>28</v>
      </c>
      <c r="D5311" s="15" t="s">
        <v>16687</v>
      </c>
      <c r="E5311" s="18" t="s">
        <v>28</v>
      </c>
      <c r="F5311" s="19" t="s">
        <v>28</v>
      </c>
      <c r="G5311" s="19" t="s">
        <v>28</v>
      </c>
      <c r="H5311" s="19" t="s">
        <v>28</v>
      </c>
      <c r="I5311" s="18" t="s">
        <v>28</v>
      </c>
      <c r="J5311" s="18" t="s">
        <v>28</v>
      </c>
      <c r="K5311" s="18" t="s">
        <v>28</v>
      </c>
      <c r="L5311" s="18" t="s">
        <v>28</v>
      </c>
      <c r="M5311" s="18" t="s">
        <v>28</v>
      </c>
      <c r="N5311" s="17">
        <v>44201</v>
      </c>
      <c r="O5311" s="15" t="s">
        <v>30</v>
      </c>
      <c r="P5311" s="16" t="s">
        <v>10005</v>
      </c>
      <c r="Q5311" s="15" t="s">
        <v>37</v>
      </c>
      <c r="R5311" s="13" t="str">
        <f>HYPERLINK("https://my.pitchbook.com?c=164754-55T","View Company Online")</f>
        <v>View Company Online</v>
      </c>
    </row>
    <row r="5312" spans="1:18" hidden="1" x14ac:dyDescent="0.3">
      <c r="A5312" s="9" t="s">
        <v>16688</v>
      </c>
      <c r="B5312" s="9" t="s">
        <v>16689</v>
      </c>
      <c r="C5312" s="11" t="s">
        <v>28</v>
      </c>
      <c r="D5312" s="9" t="s">
        <v>16690</v>
      </c>
      <c r="E5312" s="11" t="s">
        <v>28</v>
      </c>
      <c r="F5312" s="10" t="s">
        <v>28</v>
      </c>
      <c r="G5312" s="10" t="s">
        <v>28</v>
      </c>
      <c r="H5312" s="10" t="s">
        <v>28</v>
      </c>
      <c r="I5312" s="11" t="s">
        <v>28</v>
      </c>
      <c r="J5312" s="11" t="s">
        <v>28</v>
      </c>
      <c r="K5312" s="11" t="s">
        <v>28</v>
      </c>
      <c r="L5312" s="11" t="s">
        <v>28</v>
      </c>
      <c r="M5312" s="11" t="s">
        <v>28</v>
      </c>
      <c r="N5312" s="8">
        <v>44201</v>
      </c>
      <c r="O5312" s="9" t="s">
        <v>30</v>
      </c>
      <c r="P5312" s="12" t="s">
        <v>16691</v>
      </c>
      <c r="Q5312" s="9" t="s">
        <v>37</v>
      </c>
      <c r="R5312" s="14" t="str">
        <f>HYPERLINK("https://my.pitchbook.com?c=164419-03T","View Company Online")</f>
        <v>View Company Online</v>
      </c>
    </row>
    <row r="5313" spans="1:18" hidden="1" x14ac:dyDescent="0.3">
      <c r="A5313" s="15" t="s">
        <v>16692</v>
      </c>
      <c r="B5313" s="15" t="s">
        <v>8883</v>
      </c>
      <c r="C5313" s="18" t="s">
        <v>28</v>
      </c>
      <c r="D5313" s="15" t="s">
        <v>8884</v>
      </c>
      <c r="E5313" s="18" t="s">
        <v>28</v>
      </c>
      <c r="F5313" s="19" t="s">
        <v>28</v>
      </c>
      <c r="G5313" s="19">
        <v>7.83</v>
      </c>
      <c r="H5313" s="19" t="s">
        <v>28</v>
      </c>
      <c r="I5313" s="18" t="s">
        <v>28</v>
      </c>
      <c r="J5313" s="18" t="s">
        <v>28</v>
      </c>
      <c r="K5313" s="18">
        <v>19.41</v>
      </c>
      <c r="L5313" s="18" t="s">
        <v>28</v>
      </c>
      <c r="M5313" s="18" t="s">
        <v>28</v>
      </c>
      <c r="N5313" s="17">
        <v>44200</v>
      </c>
      <c r="O5313" s="15" t="s">
        <v>79</v>
      </c>
      <c r="P5313" s="16" t="s">
        <v>28</v>
      </c>
      <c r="Q5313" s="15" t="s">
        <v>136</v>
      </c>
      <c r="R5313" s="13" t="str">
        <f>HYPERLINK("https://my.pitchbook.com?c=164454-76T","View Company Online")</f>
        <v>View Company Online</v>
      </c>
    </row>
    <row r="5314" spans="1:18" hidden="1" x14ac:dyDescent="0.3">
      <c r="A5314" s="9" t="s">
        <v>16693</v>
      </c>
      <c r="B5314" s="9" t="s">
        <v>10285</v>
      </c>
      <c r="C5314" s="11" t="s">
        <v>28</v>
      </c>
      <c r="D5314" s="9" t="s">
        <v>10286</v>
      </c>
      <c r="E5314" s="11" t="s">
        <v>28</v>
      </c>
      <c r="F5314" s="10" t="s">
        <v>28</v>
      </c>
      <c r="G5314" s="10">
        <v>0.2</v>
      </c>
      <c r="H5314" s="10" t="s">
        <v>28</v>
      </c>
      <c r="I5314" s="11" t="s">
        <v>28</v>
      </c>
      <c r="J5314" s="11" t="s">
        <v>28</v>
      </c>
      <c r="K5314" s="11" t="s">
        <v>28</v>
      </c>
      <c r="L5314" s="11" t="s">
        <v>28</v>
      </c>
      <c r="M5314" s="11" t="s">
        <v>28</v>
      </c>
      <c r="N5314" s="8">
        <v>44198</v>
      </c>
      <c r="O5314" s="9" t="s">
        <v>379</v>
      </c>
      <c r="P5314" s="12" t="s">
        <v>5324</v>
      </c>
      <c r="Q5314" s="9" t="s">
        <v>409</v>
      </c>
      <c r="R5314" s="14" t="str">
        <f>HYPERLINK("https://my.pitchbook.com?c=196157-26T","View Company Online")</f>
        <v>View Company Online</v>
      </c>
    </row>
    <row r="5315" spans="1:18" hidden="1" x14ac:dyDescent="0.3">
      <c r="A5315" s="15" t="s">
        <v>16694</v>
      </c>
      <c r="B5315" s="15" t="s">
        <v>827</v>
      </c>
      <c r="C5315" s="18" t="s">
        <v>28</v>
      </c>
      <c r="D5315" s="15" t="s">
        <v>828</v>
      </c>
      <c r="E5315" s="18" t="s">
        <v>28</v>
      </c>
      <c r="F5315" s="19" t="s">
        <v>28</v>
      </c>
      <c r="G5315" s="19" t="s">
        <v>28</v>
      </c>
      <c r="H5315" s="19" t="s">
        <v>28</v>
      </c>
      <c r="I5315" s="18" t="s">
        <v>28</v>
      </c>
      <c r="J5315" s="18" t="s">
        <v>28</v>
      </c>
      <c r="K5315" s="18" t="s">
        <v>28</v>
      </c>
      <c r="L5315" s="18" t="s">
        <v>28</v>
      </c>
      <c r="M5315" s="18" t="s">
        <v>28</v>
      </c>
      <c r="N5315" s="17">
        <v>44197</v>
      </c>
      <c r="O5315" s="15" t="s">
        <v>73</v>
      </c>
      <c r="P5315" s="16" t="s">
        <v>16695</v>
      </c>
      <c r="Q5315" s="15" t="s">
        <v>245</v>
      </c>
      <c r="R5315" s="13" t="str">
        <f>HYPERLINK("https://my.pitchbook.com?c=165855-52T","View Company Online")</f>
        <v>View Company Online</v>
      </c>
    </row>
    <row r="5316" spans="1:18" hidden="1" x14ac:dyDescent="0.3">
      <c r="A5316" s="9" t="s">
        <v>16696</v>
      </c>
      <c r="B5316" s="9" t="s">
        <v>16697</v>
      </c>
      <c r="C5316" s="11" t="s">
        <v>28</v>
      </c>
      <c r="D5316" s="9" t="s">
        <v>16698</v>
      </c>
      <c r="E5316" s="11" t="s">
        <v>28</v>
      </c>
      <c r="F5316" s="10" t="s">
        <v>28</v>
      </c>
      <c r="G5316" s="10" t="s">
        <v>28</v>
      </c>
      <c r="H5316" s="10" t="s">
        <v>28</v>
      </c>
      <c r="I5316" s="11" t="s">
        <v>28</v>
      </c>
      <c r="J5316" s="11" t="s">
        <v>28</v>
      </c>
      <c r="K5316" s="11" t="s">
        <v>28</v>
      </c>
      <c r="L5316" s="11" t="s">
        <v>28</v>
      </c>
      <c r="M5316" s="11" t="s">
        <v>28</v>
      </c>
      <c r="N5316" s="8">
        <v>44197</v>
      </c>
      <c r="O5316" s="9" t="s">
        <v>79</v>
      </c>
      <c r="P5316" s="12" t="s">
        <v>16699</v>
      </c>
      <c r="Q5316" s="9" t="s">
        <v>75</v>
      </c>
      <c r="R5316" s="14" t="str">
        <f>HYPERLINK("https://my.pitchbook.com?c=220047-85T","View Company Online")</f>
        <v>View Company Online</v>
      </c>
    </row>
    <row r="5317" spans="1:18" hidden="1" x14ac:dyDescent="0.3">
      <c r="A5317" s="15" t="s">
        <v>16700</v>
      </c>
      <c r="B5317" s="15" t="s">
        <v>14054</v>
      </c>
      <c r="C5317" s="18" t="s">
        <v>28</v>
      </c>
      <c r="D5317" s="15" t="s">
        <v>14055</v>
      </c>
      <c r="E5317" s="18" t="s">
        <v>28</v>
      </c>
      <c r="F5317" s="19" t="s">
        <v>28</v>
      </c>
      <c r="G5317" s="19">
        <v>0.13</v>
      </c>
      <c r="H5317" s="19" t="s">
        <v>28</v>
      </c>
      <c r="I5317" s="18" t="s">
        <v>28</v>
      </c>
      <c r="J5317" s="18" t="s">
        <v>28</v>
      </c>
      <c r="K5317" s="18" t="s">
        <v>28</v>
      </c>
      <c r="L5317" s="18" t="s">
        <v>28</v>
      </c>
      <c r="M5317" s="18" t="s">
        <v>28</v>
      </c>
      <c r="N5317" s="17">
        <v>44197</v>
      </c>
      <c r="O5317" s="15" t="s">
        <v>52</v>
      </c>
      <c r="P5317" s="16" t="s">
        <v>3944</v>
      </c>
      <c r="Q5317" s="15" t="s">
        <v>235</v>
      </c>
      <c r="R5317" s="13" t="str">
        <f>HYPERLINK("https://my.pitchbook.com?c=179133-04T","View Company Online")</f>
        <v>View Company Online</v>
      </c>
    </row>
    <row r="5318" spans="1:18" hidden="1" x14ac:dyDescent="0.3">
      <c r="A5318" s="9" t="s">
        <v>16701</v>
      </c>
      <c r="B5318" s="9" t="s">
        <v>1500</v>
      </c>
      <c r="C5318" s="11" t="s">
        <v>28</v>
      </c>
      <c r="D5318" s="9" t="s">
        <v>1501</v>
      </c>
      <c r="E5318" s="11" t="s">
        <v>28</v>
      </c>
      <c r="F5318" s="10" t="s">
        <v>28</v>
      </c>
      <c r="G5318" s="10" t="s">
        <v>28</v>
      </c>
      <c r="H5318" s="10" t="s">
        <v>28</v>
      </c>
      <c r="I5318" s="11" t="s">
        <v>28</v>
      </c>
      <c r="J5318" s="11" t="s">
        <v>28</v>
      </c>
      <c r="K5318" s="11" t="s">
        <v>28</v>
      </c>
      <c r="L5318" s="11" t="s">
        <v>28</v>
      </c>
      <c r="M5318" s="11" t="s">
        <v>28</v>
      </c>
      <c r="N5318" s="8">
        <v>44197</v>
      </c>
      <c r="O5318" s="9" t="s">
        <v>99</v>
      </c>
      <c r="P5318" s="12" t="s">
        <v>28</v>
      </c>
      <c r="Q5318" s="9" t="s">
        <v>43</v>
      </c>
      <c r="R5318" s="14" t="str">
        <f>HYPERLINK("https://my.pitchbook.com?c=270455-59T","View Company Online")</f>
        <v>View Company Online</v>
      </c>
    </row>
    <row r="5319" spans="1:18" hidden="1" x14ac:dyDescent="0.3">
      <c r="A5319" s="15" t="s">
        <v>16702</v>
      </c>
      <c r="B5319" s="15" t="s">
        <v>16703</v>
      </c>
      <c r="C5319" s="18" t="s">
        <v>28</v>
      </c>
      <c r="D5319" s="15" t="s">
        <v>16704</v>
      </c>
      <c r="E5319" s="18" t="s">
        <v>28</v>
      </c>
      <c r="F5319" s="19" t="s">
        <v>28</v>
      </c>
      <c r="G5319" s="19">
        <v>0.6</v>
      </c>
      <c r="H5319" s="19" t="s">
        <v>28</v>
      </c>
      <c r="I5319" s="18" t="s">
        <v>28</v>
      </c>
      <c r="J5319" s="18" t="s">
        <v>28</v>
      </c>
      <c r="K5319" s="18" t="s">
        <v>28</v>
      </c>
      <c r="L5319" s="18" t="s">
        <v>28</v>
      </c>
      <c r="M5319" s="18" t="s">
        <v>28</v>
      </c>
      <c r="N5319" s="17">
        <v>44197</v>
      </c>
      <c r="O5319" s="15" t="s">
        <v>1639</v>
      </c>
      <c r="P5319" s="16" t="s">
        <v>28</v>
      </c>
      <c r="Q5319" s="15" t="s">
        <v>114</v>
      </c>
      <c r="R5319" s="13" t="str">
        <f>HYPERLINK("https://my.pitchbook.com?c=165497-95T","View Company Online")</f>
        <v>View Company Online</v>
      </c>
    </row>
    <row r="5320" spans="1:18" hidden="1" x14ac:dyDescent="0.3">
      <c r="A5320" s="9" t="s">
        <v>16705</v>
      </c>
      <c r="B5320" s="9" t="s">
        <v>7069</v>
      </c>
      <c r="C5320" s="11" t="s">
        <v>28</v>
      </c>
      <c r="D5320" s="9" t="s">
        <v>7070</v>
      </c>
      <c r="E5320" s="11" t="s">
        <v>28</v>
      </c>
      <c r="F5320" s="10" t="s">
        <v>28</v>
      </c>
      <c r="G5320" s="10" t="s">
        <v>28</v>
      </c>
      <c r="H5320" s="10" t="s">
        <v>28</v>
      </c>
      <c r="I5320" s="11" t="s">
        <v>28</v>
      </c>
      <c r="J5320" s="11" t="s">
        <v>28</v>
      </c>
      <c r="K5320" s="11" t="s">
        <v>28</v>
      </c>
      <c r="L5320" s="11" t="s">
        <v>28</v>
      </c>
      <c r="M5320" s="11" t="s">
        <v>28</v>
      </c>
      <c r="N5320" s="8">
        <v>44197</v>
      </c>
      <c r="O5320" s="9" t="s">
        <v>52</v>
      </c>
      <c r="P5320" s="12" t="s">
        <v>8495</v>
      </c>
      <c r="Q5320" s="9" t="s">
        <v>37</v>
      </c>
      <c r="R5320" s="14" t="str">
        <f>HYPERLINK("https://my.pitchbook.com?c=258428-71T","View Company Online")</f>
        <v>View Company Online</v>
      </c>
    </row>
    <row r="5321" spans="1:18" hidden="1" x14ac:dyDescent="0.3">
      <c r="A5321" s="15" t="s">
        <v>16706</v>
      </c>
      <c r="B5321" s="15" t="s">
        <v>16707</v>
      </c>
      <c r="C5321" s="18" t="s">
        <v>28</v>
      </c>
      <c r="D5321" s="15" t="s">
        <v>16708</v>
      </c>
      <c r="E5321" s="18" t="s">
        <v>28</v>
      </c>
      <c r="F5321" s="19" t="s">
        <v>28</v>
      </c>
      <c r="G5321" s="19" t="s">
        <v>28</v>
      </c>
      <c r="H5321" s="19" t="s">
        <v>28</v>
      </c>
      <c r="I5321" s="18" t="s">
        <v>28</v>
      </c>
      <c r="J5321" s="18" t="s">
        <v>28</v>
      </c>
      <c r="K5321" s="18" t="s">
        <v>28</v>
      </c>
      <c r="L5321" s="18" t="s">
        <v>28</v>
      </c>
      <c r="M5321" s="18" t="s">
        <v>28</v>
      </c>
      <c r="N5321" s="17">
        <v>44197</v>
      </c>
      <c r="O5321" s="15" t="s">
        <v>30</v>
      </c>
      <c r="P5321" s="16" t="s">
        <v>13334</v>
      </c>
      <c r="Q5321" s="15" t="s">
        <v>1035</v>
      </c>
      <c r="R5321" s="13" t="str">
        <f>HYPERLINK("https://my.pitchbook.com?c=257701-15T","View Company Online")</f>
        <v>View Company Online</v>
      </c>
    </row>
    <row r="5322" spans="1:18" hidden="1" x14ac:dyDescent="0.3">
      <c r="A5322" s="9" t="s">
        <v>16709</v>
      </c>
      <c r="B5322" s="9" t="s">
        <v>14144</v>
      </c>
      <c r="C5322" s="11" t="s">
        <v>28</v>
      </c>
      <c r="D5322" s="9" t="s">
        <v>16710</v>
      </c>
      <c r="E5322" s="11">
        <v>53.7</v>
      </c>
      <c r="F5322" s="10" t="s">
        <v>28</v>
      </c>
      <c r="G5322" s="10" t="s">
        <v>28</v>
      </c>
      <c r="H5322" s="10" t="s">
        <v>28</v>
      </c>
      <c r="I5322" s="11">
        <v>65.03</v>
      </c>
      <c r="J5322" s="11" t="s">
        <v>28</v>
      </c>
      <c r="K5322" s="11">
        <v>916.61</v>
      </c>
      <c r="L5322" s="11" t="s">
        <v>28</v>
      </c>
      <c r="M5322" s="11">
        <v>32.54</v>
      </c>
      <c r="N5322" s="8">
        <v>44197</v>
      </c>
      <c r="O5322" s="9" t="s">
        <v>173</v>
      </c>
      <c r="P5322" s="12" t="s">
        <v>28</v>
      </c>
      <c r="Q5322" s="9" t="s">
        <v>900</v>
      </c>
      <c r="R5322" s="14" t="str">
        <f>HYPERLINK("https://my.pitchbook.com?c=169537-33T","View Company Online")</f>
        <v>View Company Online</v>
      </c>
    </row>
    <row r="5323" spans="1:18" hidden="1" x14ac:dyDescent="0.3">
      <c r="A5323" s="15" t="s">
        <v>16711</v>
      </c>
      <c r="B5323" s="15" t="s">
        <v>1902</v>
      </c>
      <c r="C5323" s="18" t="s">
        <v>28</v>
      </c>
      <c r="D5323" s="15" t="s">
        <v>1903</v>
      </c>
      <c r="E5323" s="18" t="s">
        <v>28</v>
      </c>
      <c r="F5323" s="19" t="s">
        <v>28</v>
      </c>
      <c r="G5323" s="19" t="s">
        <v>28</v>
      </c>
      <c r="H5323" s="19" t="s">
        <v>28</v>
      </c>
      <c r="I5323" s="18" t="s">
        <v>28</v>
      </c>
      <c r="J5323" s="18" t="s">
        <v>28</v>
      </c>
      <c r="K5323" s="18" t="s">
        <v>28</v>
      </c>
      <c r="L5323" s="18" t="s">
        <v>28</v>
      </c>
      <c r="M5323" s="18" t="s">
        <v>28</v>
      </c>
      <c r="N5323" s="17">
        <v>44197</v>
      </c>
      <c r="O5323" s="15" t="s">
        <v>52</v>
      </c>
      <c r="P5323" s="16" t="s">
        <v>16712</v>
      </c>
      <c r="Q5323" s="15" t="s">
        <v>114</v>
      </c>
      <c r="R5323" s="13" t="str">
        <f>HYPERLINK("https://my.pitchbook.com?c=266330-62T","View Company Online")</f>
        <v>View Company Online</v>
      </c>
    </row>
    <row r="5324" spans="1:18" hidden="1" x14ac:dyDescent="0.3">
      <c r="A5324" s="9" t="s">
        <v>16713</v>
      </c>
      <c r="B5324" s="9" t="s">
        <v>16714</v>
      </c>
      <c r="C5324" s="11" t="s">
        <v>28</v>
      </c>
      <c r="D5324" s="9" t="s">
        <v>16715</v>
      </c>
      <c r="E5324" s="11" t="s">
        <v>28</v>
      </c>
      <c r="F5324" s="10" t="s">
        <v>28</v>
      </c>
      <c r="G5324" s="10" t="s">
        <v>28</v>
      </c>
      <c r="H5324" s="10" t="s">
        <v>28</v>
      </c>
      <c r="I5324" s="11">
        <v>8.93</v>
      </c>
      <c r="J5324" s="11" t="s">
        <v>28</v>
      </c>
      <c r="K5324" s="11">
        <v>14.17</v>
      </c>
      <c r="L5324" s="11" t="s">
        <v>28</v>
      </c>
      <c r="M5324" s="11" t="s">
        <v>28</v>
      </c>
      <c r="N5324" s="8">
        <v>44197</v>
      </c>
      <c r="O5324" s="9" t="s">
        <v>52</v>
      </c>
      <c r="P5324" s="12" t="s">
        <v>1880</v>
      </c>
      <c r="Q5324" s="9" t="s">
        <v>43</v>
      </c>
      <c r="R5324" s="14" t="str">
        <f>HYPERLINK("https://my.pitchbook.com?c=252261-28T","View Company Online")</f>
        <v>View Company Online</v>
      </c>
    </row>
    <row r="5325" spans="1:18" hidden="1" x14ac:dyDescent="0.3">
      <c r="A5325" s="15" t="s">
        <v>16716</v>
      </c>
      <c r="B5325" s="15" t="s">
        <v>16717</v>
      </c>
      <c r="C5325" s="18" t="s">
        <v>28</v>
      </c>
      <c r="D5325" s="15" t="s">
        <v>16718</v>
      </c>
      <c r="E5325" s="18" t="s">
        <v>28</v>
      </c>
      <c r="F5325" s="19" t="s">
        <v>28</v>
      </c>
      <c r="G5325" s="19">
        <v>0.08</v>
      </c>
      <c r="H5325" s="19" t="s">
        <v>28</v>
      </c>
      <c r="I5325" s="18" t="s">
        <v>28</v>
      </c>
      <c r="J5325" s="18" t="s">
        <v>28</v>
      </c>
      <c r="K5325" s="18" t="s">
        <v>28</v>
      </c>
      <c r="L5325" s="18" t="s">
        <v>28</v>
      </c>
      <c r="M5325" s="18" t="s">
        <v>28</v>
      </c>
      <c r="N5325" s="17">
        <v>44197</v>
      </c>
      <c r="O5325" s="15" t="s">
        <v>99</v>
      </c>
      <c r="P5325" s="16" t="s">
        <v>28</v>
      </c>
      <c r="Q5325" s="15" t="s">
        <v>75</v>
      </c>
      <c r="R5325" s="13" t="str">
        <f>HYPERLINK("https://my.pitchbook.com?c=243908-02T","View Company Online")</f>
        <v>View Company Online</v>
      </c>
    </row>
    <row r="5326" spans="1:18" hidden="1" x14ac:dyDescent="0.3">
      <c r="A5326" s="9" t="s">
        <v>16719</v>
      </c>
      <c r="B5326" s="9" t="s">
        <v>4468</v>
      </c>
      <c r="C5326" s="11" t="s">
        <v>28</v>
      </c>
      <c r="D5326" s="9" t="s">
        <v>16720</v>
      </c>
      <c r="E5326" s="11">
        <v>2591.38</v>
      </c>
      <c r="F5326" s="10" t="s">
        <v>28</v>
      </c>
      <c r="G5326" s="10" t="s">
        <v>28</v>
      </c>
      <c r="H5326" s="10" t="s">
        <v>28</v>
      </c>
      <c r="I5326" s="11">
        <v>3594.36</v>
      </c>
      <c r="J5326" s="11" t="s">
        <v>28</v>
      </c>
      <c r="K5326" s="11">
        <v>11331.22</v>
      </c>
      <c r="L5326" s="11" t="s">
        <v>28</v>
      </c>
      <c r="M5326" s="11">
        <v>2208.71</v>
      </c>
      <c r="N5326" s="8">
        <v>44197</v>
      </c>
      <c r="O5326" s="9" t="s">
        <v>159</v>
      </c>
      <c r="P5326" s="12" t="s">
        <v>16721</v>
      </c>
      <c r="Q5326" s="9" t="s">
        <v>105</v>
      </c>
      <c r="R5326" s="14" t="str">
        <f>HYPERLINK("https://my.pitchbook.com?c=201173-77T","View Company Online")</f>
        <v>View Company Online</v>
      </c>
    </row>
    <row r="5327" spans="1:18" hidden="1" x14ac:dyDescent="0.3">
      <c r="A5327" s="15" t="s">
        <v>16722</v>
      </c>
      <c r="B5327" s="15" t="s">
        <v>8471</v>
      </c>
      <c r="C5327" s="18" t="s">
        <v>28</v>
      </c>
      <c r="D5327" s="15" t="s">
        <v>8472</v>
      </c>
      <c r="E5327" s="18" t="s">
        <v>28</v>
      </c>
      <c r="F5327" s="19" t="s">
        <v>28</v>
      </c>
      <c r="G5327" s="19">
        <v>0.31</v>
      </c>
      <c r="H5327" s="19" t="s">
        <v>28</v>
      </c>
      <c r="I5327" s="18" t="s">
        <v>28</v>
      </c>
      <c r="J5327" s="18" t="s">
        <v>28</v>
      </c>
      <c r="K5327" s="18" t="s">
        <v>28</v>
      </c>
      <c r="L5327" s="18" t="s">
        <v>28</v>
      </c>
      <c r="M5327" s="18" t="s">
        <v>28</v>
      </c>
      <c r="N5327" s="17">
        <v>44197</v>
      </c>
      <c r="O5327" s="15" t="s">
        <v>379</v>
      </c>
      <c r="P5327" s="16" t="s">
        <v>16723</v>
      </c>
      <c r="Q5327" s="15" t="s">
        <v>119</v>
      </c>
      <c r="R5327" s="13" t="str">
        <f>HYPERLINK("https://my.pitchbook.com?c=192572-02T","View Company Online")</f>
        <v>View Company Online</v>
      </c>
    </row>
    <row r="5328" spans="1:18" hidden="1" x14ac:dyDescent="0.3">
      <c r="A5328" s="9" t="s">
        <v>16724</v>
      </c>
      <c r="B5328" s="9" t="s">
        <v>1545</v>
      </c>
      <c r="C5328" s="11" t="s">
        <v>28</v>
      </c>
      <c r="D5328" s="9" t="s">
        <v>1546</v>
      </c>
      <c r="E5328" s="11" t="s">
        <v>28</v>
      </c>
      <c r="F5328" s="10" t="s">
        <v>28</v>
      </c>
      <c r="G5328" s="10" t="s">
        <v>28</v>
      </c>
      <c r="H5328" s="10" t="s">
        <v>28</v>
      </c>
      <c r="I5328" s="11" t="s">
        <v>28</v>
      </c>
      <c r="J5328" s="11" t="s">
        <v>28</v>
      </c>
      <c r="K5328" s="11" t="s">
        <v>28</v>
      </c>
      <c r="L5328" s="11" t="s">
        <v>28</v>
      </c>
      <c r="M5328" s="11" t="s">
        <v>28</v>
      </c>
      <c r="N5328" s="8">
        <v>44197</v>
      </c>
      <c r="O5328" s="9" t="s">
        <v>99</v>
      </c>
      <c r="P5328" s="12" t="s">
        <v>11714</v>
      </c>
      <c r="Q5328" s="9" t="s">
        <v>75</v>
      </c>
      <c r="R5328" s="14" t="str">
        <f>HYPERLINK("https://my.pitchbook.com?c=269966-08T","View Company Online")</f>
        <v>View Company Online</v>
      </c>
    </row>
    <row r="5329" spans="1:18" hidden="1" x14ac:dyDescent="0.3">
      <c r="A5329" s="15" t="s">
        <v>16725</v>
      </c>
      <c r="B5329" s="15" t="s">
        <v>5651</v>
      </c>
      <c r="C5329" s="18" t="s">
        <v>28</v>
      </c>
      <c r="D5329" s="15" t="s">
        <v>5652</v>
      </c>
      <c r="E5329" s="18" t="s">
        <v>28</v>
      </c>
      <c r="F5329" s="19" t="s">
        <v>28</v>
      </c>
      <c r="G5329" s="19" t="s">
        <v>28</v>
      </c>
      <c r="H5329" s="19" t="s">
        <v>28</v>
      </c>
      <c r="I5329" s="18" t="s">
        <v>28</v>
      </c>
      <c r="J5329" s="18" t="s">
        <v>28</v>
      </c>
      <c r="K5329" s="18" t="s">
        <v>28</v>
      </c>
      <c r="L5329" s="18" t="s">
        <v>28</v>
      </c>
      <c r="M5329" s="18" t="s">
        <v>28</v>
      </c>
      <c r="N5329" s="17">
        <v>44197</v>
      </c>
      <c r="O5329" s="15" t="s">
        <v>93</v>
      </c>
      <c r="P5329" s="16" t="s">
        <v>16726</v>
      </c>
      <c r="Q5329" s="15" t="s">
        <v>226</v>
      </c>
      <c r="R5329" s="13" t="str">
        <f>HYPERLINK("https://my.pitchbook.com?c=294422-14T","View Company Online")</f>
        <v>View Company Online</v>
      </c>
    </row>
    <row r="5330" spans="1:18" hidden="1" x14ac:dyDescent="0.3">
      <c r="A5330" s="9" t="s">
        <v>16727</v>
      </c>
      <c r="B5330" s="9" t="s">
        <v>13861</v>
      </c>
      <c r="C5330" s="11" t="s">
        <v>28</v>
      </c>
      <c r="D5330" s="9" t="s">
        <v>13862</v>
      </c>
      <c r="E5330" s="11" t="s">
        <v>28</v>
      </c>
      <c r="F5330" s="10" t="s">
        <v>28</v>
      </c>
      <c r="G5330" s="10" t="s">
        <v>28</v>
      </c>
      <c r="H5330" s="10" t="s">
        <v>28</v>
      </c>
      <c r="I5330" s="11" t="s">
        <v>28</v>
      </c>
      <c r="J5330" s="11" t="s">
        <v>28</v>
      </c>
      <c r="K5330" s="11" t="s">
        <v>28</v>
      </c>
      <c r="L5330" s="11" t="s">
        <v>28</v>
      </c>
      <c r="M5330" s="11" t="s">
        <v>28</v>
      </c>
      <c r="N5330" s="8">
        <v>44197</v>
      </c>
      <c r="O5330" s="9" t="s">
        <v>52</v>
      </c>
      <c r="P5330" s="12" t="s">
        <v>16728</v>
      </c>
      <c r="Q5330" s="9" t="s">
        <v>136</v>
      </c>
      <c r="R5330" s="14" t="str">
        <f>HYPERLINK("https://my.pitchbook.com?c=286520-59T","View Company Online")</f>
        <v>View Company Online</v>
      </c>
    </row>
    <row r="5331" spans="1:18" hidden="1" x14ac:dyDescent="0.3">
      <c r="A5331" s="15" t="s">
        <v>16729</v>
      </c>
      <c r="B5331" s="15" t="s">
        <v>4080</v>
      </c>
      <c r="C5331" s="18" t="s">
        <v>28</v>
      </c>
      <c r="D5331" s="15" t="s">
        <v>4081</v>
      </c>
      <c r="E5331" s="18" t="s">
        <v>28</v>
      </c>
      <c r="F5331" s="19" t="s">
        <v>28</v>
      </c>
      <c r="G5331" s="19">
        <v>0.16</v>
      </c>
      <c r="H5331" s="19" t="s">
        <v>28</v>
      </c>
      <c r="I5331" s="18" t="s">
        <v>28</v>
      </c>
      <c r="J5331" s="18" t="s">
        <v>28</v>
      </c>
      <c r="K5331" s="18" t="s">
        <v>28</v>
      </c>
      <c r="L5331" s="18" t="s">
        <v>28</v>
      </c>
      <c r="M5331" s="18" t="s">
        <v>28</v>
      </c>
      <c r="N5331" s="17">
        <v>44197</v>
      </c>
      <c r="O5331" s="15" t="s">
        <v>379</v>
      </c>
      <c r="P5331" s="16" t="s">
        <v>28</v>
      </c>
      <c r="Q5331" s="15" t="s">
        <v>37</v>
      </c>
      <c r="R5331" s="13" t="str">
        <f>HYPERLINK("https://my.pitchbook.com?c=202794-85T","View Company Online")</f>
        <v>View Company Online</v>
      </c>
    </row>
    <row r="5332" spans="1:18" hidden="1" x14ac:dyDescent="0.3">
      <c r="A5332" s="9" t="s">
        <v>16730</v>
      </c>
      <c r="B5332" s="9" t="s">
        <v>16731</v>
      </c>
      <c r="C5332" s="11" t="s">
        <v>28</v>
      </c>
      <c r="D5332" s="9" t="s">
        <v>16732</v>
      </c>
      <c r="E5332" s="11" t="s">
        <v>28</v>
      </c>
      <c r="F5332" s="10" t="s">
        <v>28</v>
      </c>
      <c r="G5332" s="10" t="s">
        <v>28</v>
      </c>
      <c r="H5332" s="10" t="s">
        <v>28</v>
      </c>
      <c r="I5332" s="11" t="s">
        <v>28</v>
      </c>
      <c r="J5332" s="11" t="s">
        <v>28</v>
      </c>
      <c r="K5332" s="11" t="s">
        <v>28</v>
      </c>
      <c r="L5332" s="11" t="s">
        <v>28</v>
      </c>
      <c r="M5332" s="11" t="s">
        <v>28</v>
      </c>
      <c r="N5332" s="8">
        <v>44197</v>
      </c>
      <c r="O5332" s="9" t="s">
        <v>52</v>
      </c>
      <c r="P5332" s="12" t="s">
        <v>16733</v>
      </c>
      <c r="Q5332" s="9" t="s">
        <v>419</v>
      </c>
      <c r="R5332" s="14" t="str">
        <f>HYPERLINK("https://my.pitchbook.com?c=285617-71T","View Company Online")</f>
        <v>View Company Online</v>
      </c>
    </row>
    <row r="5333" spans="1:18" hidden="1" x14ac:dyDescent="0.3">
      <c r="A5333" s="15" t="s">
        <v>16734</v>
      </c>
      <c r="B5333" s="15" t="s">
        <v>11084</v>
      </c>
      <c r="C5333" s="18" t="s">
        <v>28</v>
      </c>
      <c r="D5333" s="15" t="s">
        <v>11085</v>
      </c>
      <c r="E5333" s="18" t="s">
        <v>28</v>
      </c>
      <c r="F5333" s="19" t="s">
        <v>28</v>
      </c>
      <c r="G5333" s="19">
        <v>0.18</v>
      </c>
      <c r="H5333" s="19" t="s">
        <v>28</v>
      </c>
      <c r="I5333" s="18" t="s">
        <v>28</v>
      </c>
      <c r="J5333" s="18" t="s">
        <v>28</v>
      </c>
      <c r="K5333" s="18" t="s">
        <v>28</v>
      </c>
      <c r="L5333" s="18" t="s">
        <v>28</v>
      </c>
      <c r="M5333" s="18" t="s">
        <v>28</v>
      </c>
      <c r="N5333" s="17">
        <v>44197</v>
      </c>
      <c r="O5333" s="15" t="s">
        <v>58</v>
      </c>
      <c r="P5333" s="16" t="s">
        <v>13396</v>
      </c>
      <c r="Q5333" s="15" t="s">
        <v>245</v>
      </c>
      <c r="R5333" s="13" t="str">
        <f>HYPERLINK("https://my.pitchbook.com?c=233210-89T","View Company Online")</f>
        <v>View Company Online</v>
      </c>
    </row>
    <row r="5334" spans="1:18" hidden="1" x14ac:dyDescent="0.3">
      <c r="A5334" s="9" t="s">
        <v>16735</v>
      </c>
      <c r="B5334" s="9" t="s">
        <v>16736</v>
      </c>
      <c r="C5334" s="11" t="s">
        <v>28</v>
      </c>
      <c r="D5334" s="9" t="s">
        <v>16737</v>
      </c>
      <c r="E5334" s="11" t="s">
        <v>28</v>
      </c>
      <c r="F5334" s="10" t="s">
        <v>28</v>
      </c>
      <c r="G5334" s="10" t="s">
        <v>28</v>
      </c>
      <c r="H5334" s="10" t="s">
        <v>28</v>
      </c>
      <c r="I5334" s="11" t="s">
        <v>28</v>
      </c>
      <c r="J5334" s="11" t="s">
        <v>28</v>
      </c>
      <c r="K5334" s="11" t="s">
        <v>28</v>
      </c>
      <c r="L5334" s="11" t="s">
        <v>28</v>
      </c>
      <c r="M5334" s="11" t="s">
        <v>28</v>
      </c>
      <c r="N5334" s="8">
        <v>44197</v>
      </c>
      <c r="O5334" s="9" t="s">
        <v>73</v>
      </c>
      <c r="P5334" s="12" t="s">
        <v>16738</v>
      </c>
      <c r="Q5334" s="9" t="s">
        <v>114</v>
      </c>
      <c r="R5334" s="14" t="str">
        <f>HYPERLINK("https://my.pitchbook.com?c=232690-60T","View Company Online")</f>
        <v>View Company Online</v>
      </c>
    </row>
    <row r="5335" spans="1:18" hidden="1" x14ac:dyDescent="0.3">
      <c r="A5335" s="15" t="s">
        <v>16739</v>
      </c>
      <c r="B5335" s="15" t="s">
        <v>5185</v>
      </c>
      <c r="C5335" s="18" t="s">
        <v>28</v>
      </c>
      <c r="D5335" s="15" t="s">
        <v>5186</v>
      </c>
      <c r="E5335" s="18" t="s">
        <v>28</v>
      </c>
      <c r="F5335" s="19" t="s">
        <v>28</v>
      </c>
      <c r="G5335" s="19" t="s">
        <v>28</v>
      </c>
      <c r="H5335" s="19" t="s">
        <v>28</v>
      </c>
      <c r="I5335" s="18" t="s">
        <v>28</v>
      </c>
      <c r="J5335" s="18" t="s">
        <v>28</v>
      </c>
      <c r="K5335" s="18" t="s">
        <v>28</v>
      </c>
      <c r="L5335" s="18" t="s">
        <v>28</v>
      </c>
      <c r="M5335" s="18" t="s">
        <v>28</v>
      </c>
      <c r="N5335" s="17">
        <v>44197</v>
      </c>
      <c r="O5335" s="15" t="s">
        <v>73</v>
      </c>
      <c r="P5335" s="16" t="s">
        <v>16740</v>
      </c>
      <c r="Q5335" s="15" t="s">
        <v>263</v>
      </c>
      <c r="R5335" s="13" t="str">
        <f>HYPERLINK("https://my.pitchbook.com?c=207053-92T","View Company Online")</f>
        <v>View Company Online</v>
      </c>
    </row>
    <row r="5336" spans="1:18" hidden="1" x14ac:dyDescent="0.3">
      <c r="A5336" s="9" t="s">
        <v>16741</v>
      </c>
      <c r="B5336" s="9" t="s">
        <v>16742</v>
      </c>
      <c r="C5336" s="11" t="s">
        <v>28</v>
      </c>
      <c r="D5336" s="9" t="s">
        <v>16743</v>
      </c>
      <c r="E5336" s="11" t="s">
        <v>28</v>
      </c>
      <c r="F5336" s="10" t="s">
        <v>28</v>
      </c>
      <c r="G5336" s="10" t="s">
        <v>28</v>
      </c>
      <c r="H5336" s="10" t="s">
        <v>28</v>
      </c>
      <c r="I5336" s="11" t="s">
        <v>28</v>
      </c>
      <c r="J5336" s="11" t="s">
        <v>28</v>
      </c>
      <c r="K5336" s="11" t="s">
        <v>28</v>
      </c>
      <c r="L5336" s="11" t="s">
        <v>28</v>
      </c>
      <c r="M5336" s="11" t="s">
        <v>28</v>
      </c>
      <c r="N5336" s="8">
        <v>44197</v>
      </c>
      <c r="O5336" s="9" t="s">
        <v>30</v>
      </c>
      <c r="P5336" s="12" t="s">
        <v>16744</v>
      </c>
      <c r="Q5336" s="9" t="s">
        <v>6392</v>
      </c>
      <c r="R5336" s="14" t="str">
        <f>HYPERLINK("https://my.pitchbook.com?c=181834-03T","View Company Online")</f>
        <v>View Company Online</v>
      </c>
    </row>
    <row r="5337" spans="1:18" hidden="1" x14ac:dyDescent="0.3">
      <c r="A5337" s="15" t="s">
        <v>16745</v>
      </c>
      <c r="B5337" s="15" t="s">
        <v>16746</v>
      </c>
      <c r="C5337" s="18" t="s">
        <v>28</v>
      </c>
      <c r="D5337" s="15" t="s">
        <v>16747</v>
      </c>
      <c r="E5337" s="18" t="s">
        <v>28</v>
      </c>
      <c r="F5337" s="19" t="s">
        <v>28</v>
      </c>
      <c r="G5337" s="19" t="s">
        <v>28</v>
      </c>
      <c r="H5337" s="19" t="s">
        <v>28</v>
      </c>
      <c r="I5337" s="18" t="s">
        <v>28</v>
      </c>
      <c r="J5337" s="18" t="s">
        <v>28</v>
      </c>
      <c r="K5337" s="18" t="s">
        <v>28</v>
      </c>
      <c r="L5337" s="18" t="s">
        <v>28</v>
      </c>
      <c r="M5337" s="18" t="s">
        <v>28</v>
      </c>
      <c r="N5337" s="17">
        <v>44197</v>
      </c>
      <c r="O5337" s="15" t="s">
        <v>379</v>
      </c>
      <c r="P5337" s="16" t="s">
        <v>5324</v>
      </c>
      <c r="Q5337" s="15" t="s">
        <v>95</v>
      </c>
      <c r="R5337" s="13" t="str">
        <f>HYPERLINK("https://my.pitchbook.com?c=207068-95T","View Company Online")</f>
        <v>View Company Online</v>
      </c>
    </row>
    <row r="5338" spans="1:18" hidden="1" x14ac:dyDescent="0.3">
      <c r="A5338" s="9" t="s">
        <v>16748</v>
      </c>
      <c r="B5338" s="9" t="s">
        <v>16749</v>
      </c>
      <c r="C5338" s="11" t="s">
        <v>28</v>
      </c>
      <c r="D5338" s="9" t="s">
        <v>16750</v>
      </c>
      <c r="E5338" s="11" t="s">
        <v>28</v>
      </c>
      <c r="F5338" s="10" t="s">
        <v>28</v>
      </c>
      <c r="G5338" s="10" t="s">
        <v>28</v>
      </c>
      <c r="H5338" s="10" t="s">
        <v>28</v>
      </c>
      <c r="I5338" s="11" t="s">
        <v>28</v>
      </c>
      <c r="J5338" s="11" t="s">
        <v>28</v>
      </c>
      <c r="K5338" s="11" t="s">
        <v>28</v>
      </c>
      <c r="L5338" s="11" t="s">
        <v>28</v>
      </c>
      <c r="M5338" s="11" t="s">
        <v>28</v>
      </c>
      <c r="N5338" s="8">
        <v>44197</v>
      </c>
      <c r="O5338" s="9" t="s">
        <v>41</v>
      </c>
      <c r="P5338" s="12" t="s">
        <v>16751</v>
      </c>
      <c r="Q5338" s="9" t="s">
        <v>285</v>
      </c>
      <c r="R5338" s="14" t="str">
        <f>HYPERLINK("https://my.pitchbook.com?c=245253-61T","View Company Online")</f>
        <v>View Company Online</v>
      </c>
    </row>
    <row r="5339" spans="1:18" hidden="1" x14ac:dyDescent="0.3">
      <c r="A5339" s="15" t="s">
        <v>16752</v>
      </c>
      <c r="B5339" s="15" t="s">
        <v>5205</v>
      </c>
      <c r="C5339" s="18" t="s">
        <v>28</v>
      </c>
      <c r="D5339" s="15" t="s">
        <v>16753</v>
      </c>
      <c r="E5339" s="18" t="s">
        <v>28</v>
      </c>
      <c r="F5339" s="19" t="s">
        <v>28</v>
      </c>
      <c r="G5339" s="19">
        <v>0.28999999999999998</v>
      </c>
      <c r="H5339" s="19" t="s">
        <v>28</v>
      </c>
      <c r="I5339" s="18" t="s">
        <v>28</v>
      </c>
      <c r="J5339" s="18" t="s">
        <v>28</v>
      </c>
      <c r="K5339" s="18" t="s">
        <v>28</v>
      </c>
      <c r="L5339" s="18" t="s">
        <v>28</v>
      </c>
      <c r="M5339" s="18" t="s">
        <v>28</v>
      </c>
      <c r="N5339" s="17">
        <v>44197</v>
      </c>
      <c r="O5339" s="15" t="s">
        <v>1639</v>
      </c>
      <c r="P5339" s="16" t="s">
        <v>28</v>
      </c>
      <c r="Q5339" s="15" t="s">
        <v>424</v>
      </c>
      <c r="R5339" s="13" t="str">
        <f>HYPERLINK("https://my.pitchbook.com?c=282420-73T","View Company Online")</f>
        <v>View Company Online</v>
      </c>
    </row>
    <row r="5340" spans="1:18" hidden="1" x14ac:dyDescent="0.3">
      <c r="A5340" s="9" t="s">
        <v>16754</v>
      </c>
      <c r="B5340" s="9" t="s">
        <v>10941</v>
      </c>
      <c r="C5340" s="11" t="s">
        <v>28</v>
      </c>
      <c r="D5340" s="9" t="s">
        <v>10942</v>
      </c>
      <c r="E5340" s="11" t="s">
        <v>28</v>
      </c>
      <c r="F5340" s="10" t="s">
        <v>28</v>
      </c>
      <c r="G5340" s="10">
        <v>0.09</v>
      </c>
      <c r="H5340" s="10" t="s">
        <v>28</v>
      </c>
      <c r="I5340" s="11" t="s">
        <v>28</v>
      </c>
      <c r="J5340" s="11" t="s">
        <v>28</v>
      </c>
      <c r="K5340" s="11" t="s">
        <v>28</v>
      </c>
      <c r="L5340" s="11" t="s">
        <v>28</v>
      </c>
      <c r="M5340" s="11" t="s">
        <v>28</v>
      </c>
      <c r="N5340" s="8">
        <v>44197</v>
      </c>
      <c r="O5340" s="9" t="s">
        <v>99</v>
      </c>
      <c r="P5340" s="12" t="s">
        <v>28</v>
      </c>
      <c r="Q5340" s="9" t="s">
        <v>75</v>
      </c>
      <c r="R5340" s="14" t="str">
        <f>HYPERLINK("https://my.pitchbook.com?c=213226-30T","View Company Online")</f>
        <v>View Company Online</v>
      </c>
    </row>
    <row r="5341" spans="1:18" hidden="1" x14ac:dyDescent="0.3">
      <c r="A5341" s="15" t="s">
        <v>16755</v>
      </c>
      <c r="B5341" s="15" t="s">
        <v>16756</v>
      </c>
      <c r="C5341" s="18" t="s">
        <v>28</v>
      </c>
      <c r="D5341" s="15" t="s">
        <v>16757</v>
      </c>
      <c r="E5341" s="18" t="s">
        <v>28</v>
      </c>
      <c r="F5341" s="19" t="s">
        <v>28</v>
      </c>
      <c r="G5341" s="19" t="s">
        <v>28</v>
      </c>
      <c r="H5341" s="19" t="s">
        <v>28</v>
      </c>
      <c r="I5341" s="18" t="s">
        <v>28</v>
      </c>
      <c r="J5341" s="18" t="s">
        <v>28</v>
      </c>
      <c r="K5341" s="18" t="s">
        <v>28</v>
      </c>
      <c r="L5341" s="18" t="s">
        <v>28</v>
      </c>
      <c r="M5341" s="18" t="s">
        <v>28</v>
      </c>
      <c r="N5341" s="17">
        <v>44197</v>
      </c>
      <c r="O5341" s="15" t="s">
        <v>30</v>
      </c>
      <c r="P5341" s="16" t="s">
        <v>13334</v>
      </c>
      <c r="Q5341" s="15" t="s">
        <v>1007</v>
      </c>
      <c r="R5341" s="13" t="str">
        <f>HYPERLINK("https://my.pitchbook.com?c=257703-67T","View Company Online")</f>
        <v>View Company Online</v>
      </c>
    </row>
    <row r="5342" spans="1:18" hidden="1" x14ac:dyDescent="0.3">
      <c r="A5342" s="9" t="s">
        <v>16758</v>
      </c>
      <c r="B5342" s="9" t="s">
        <v>16759</v>
      </c>
      <c r="C5342" s="11" t="s">
        <v>28</v>
      </c>
      <c r="D5342" s="9" t="s">
        <v>16760</v>
      </c>
      <c r="E5342" s="11" t="s">
        <v>28</v>
      </c>
      <c r="F5342" s="10" t="s">
        <v>28</v>
      </c>
      <c r="G5342" s="10" t="s">
        <v>28</v>
      </c>
      <c r="H5342" s="10" t="s">
        <v>28</v>
      </c>
      <c r="I5342" s="11" t="s">
        <v>28</v>
      </c>
      <c r="J5342" s="11" t="s">
        <v>28</v>
      </c>
      <c r="K5342" s="11" t="s">
        <v>28</v>
      </c>
      <c r="L5342" s="11" t="s">
        <v>28</v>
      </c>
      <c r="M5342" s="11" t="s">
        <v>28</v>
      </c>
      <c r="N5342" s="8">
        <v>44197</v>
      </c>
      <c r="O5342" s="9" t="s">
        <v>52</v>
      </c>
      <c r="P5342" s="12" t="s">
        <v>2830</v>
      </c>
      <c r="Q5342" s="9" t="s">
        <v>75</v>
      </c>
      <c r="R5342" s="14" t="str">
        <f>HYPERLINK("https://my.pitchbook.com?c=292619-08T","View Company Online")</f>
        <v>View Company Online</v>
      </c>
    </row>
    <row r="5343" spans="1:18" hidden="1" x14ac:dyDescent="0.3">
      <c r="A5343" s="15" t="s">
        <v>16761</v>
      </c>
      <c r="B5343" s="15" t="s">
        <v>16762</v>
      </c>
      <c r="C5343" s="18" t="s">
        <v>28</v>
      </c>
      <c r="D5343" s="15" t="s">
        <v>16763</v>
      </c>
      <c r="E5343" s="18" t="s">
        <v>28</v>
      </c>
      <c r="F5343" s="19" t="s">
        <v>28</v>
      </c>
      <c r="G5343" s="19" t="s">
        <v>28</v>
      </c>
      <c r="H5343" s="19" t="s">
        <v>28</v>
      </c>
      <c r="I5343" s="18" t="s">
        <v>28</v>
      </c>
      <c r="J5343" s="18" t="s">
        <v>28</v>
      </c>
      <c r="K5343" s="18" t="s">
        <v>28</v>
      </c>
      <c r="L5343" s="18" t="s">
        <v>28</v>
      </c>
      <c r="M5343" s="18" t="s">
        <v>28</v>
      </c>
      <c r="N5343" s="17">
        <v>44197</v>
      </c>
      <c r="O5343" s="15" t="s">
        <v>52</v>
      </c>
      <c r="P5343" s="16" t="s">
        <v>2830</v>
      </c>
      <c r="Q5343" s="15" t="s">
        <v>37</v>
      </c>
      <c r="R5343" s="13" t="str">
        <f>HYPERLINK("https://my.pitchbook.com?c=262013-23T","View Company Online")</f>
        <v>View Company Online</v>
      </c>
    </row>
    <row r="5344" spans="1:18" hidden="1" x14ac:dyDescent="0.3">
      <c r="A5344" s="9" t="s">
        <v>16764</v>
      </c>
      <c r="B5344" s="9" t="s">
        <v>12639</v>
      </c>
      <c r="C5344" s="11" t="s">
        <v>28</v>
      </c>
      <c r="D5344" s="9" t="s">
        <v>12640</v>
      </c>
      <c r="E5344" s="11" t="s">
        <v>28</v>
      </c>
      <c r="F5344" s="10" t="s">
        <v>28</v>
      </c>
      <c r="G5344" s="10" t="s">
        <v>28</v>
      </c>
      <c r="H5344" s="10" t="s">
        <v>28</v>
      </c>
      <c r="I5344" s="11" t="s">
        <v>28</v>
      </c>
      <c r="J5344" s="11" t="s">
        <v>28</v>
      </c>
      <c r="K5344" s="11" t="s">
        <v>28</v>
      </c>
      <c r="L5344" s="11" t="s">
        <v>28</v>
      </c>
      <c r="M5344" s="11" t="s">
        <v>28</v>
      </c>
      <c r="N5344" s="8">
        <v>44197</v>
      </c>
      <c r="O5344" s="9" t="s">
        <v>52</v>
      </c>
      <c r="P5344" s="12" t="s">
        <v>6543</v>
      </c>
      <c r="Q5344" s="9" t="s">
        <v>75</v>
      </c>
      <c r="R5344" s="14" t="str">
        <f>HYPERLINK("https://my.pitchbook.com?c=259513-84T","View Company Online")</f>
        <v>View Company Online</v>
      </c>
    </row>
    <row r="5345" spans="1:18" hidden="1" x14ac:dyDescent="0.3">
      <c r="A5345" s="15" t="s">
        <v>16765</v>
      </c>
      <c r="B5345" s="15" t="s">
        <v>16766</v>
      </c>
      <c r="C5345" s="18" t="s">
        <v>28</v>
      </c>
      <c r="D5345" s="15" t="s">
        <v>16767</v>
      </c>
      <c r="E5345" s="18" t="s">
        <v>28</v>
      </c>
      <c r="F5345" s="19" t="s">
        <v>28</v>
      </c>
      <c r="G5345" s="19" t="s">
        <v>28</v>
      </c>
      <c r="H5345" s="19" t="s">
        <v>28</v>
      </c>
      <c r="I5345" s="18" t="s">
        <v>28</v>
      </c>
      <c r="J5345" s="18" t="s">
        <v>28</v>
      </c>
      <c r="K5345" s="18" t="s">
        <v>28</v>
      </c>
      <c r="L5345" s="18" t="s">
        <v>28</v>
      </c>
      <c r="M5345" s="18" t="s">
        <v>28</v>
      </c>
      <c r="N5345" s="17">
        <v>44197</v>
      </c>
      <c r="O5345" s="15" t="s">
        <v>52</v>
      </c>
      <c r="P5345" s="16" t="s">
        <v>16768</v>
      </c>
      <c r="Q5345" s="15" t="s">
        <v>43</v>
      </c>
      <c r="R5345" s="13" t="str">
        <f>HYPERLINK("https://my.pitchbook.com?c=223167-07T","View Company Online")</f>
        <v>View Company Online</v>
      </c>
    </row>
    <row r="5346" spans="1:18" hidden="1" x14ac:dyDescent="0.3">
      <c r="A5346" s="9" t="s">
        <v>16769</v>
      </c>
      <c r="B5346" s="9" t="s">
        <v>10196</v>
      </c>
      <c r="C5346" s="11" t="s">
        <v>28</v>
      </c>
      <c r="D5346" s="9" t="s">
        <v>10197</v>
      </c>
      <c r="E5346" s="11" t="s">
        <v>28</v>
      </c>
      <c r="F5346" s="10" t="s">
        <v>28</v>
      </c>
      <c r="G5346" s="10">
        <v>0.1</v>
      </c>
      <c r="H5346" s="10" t="s">
        <v>28</v>
      </c>
      <c r="I5346" s="11" t="s">
        <v>28</v>
      </c>
      <c r="J5346" s="11" t="s">
        <v>28</v>
      </c>
      <c r="K5346" s="11" t="s">
        <v>28</v>
      </c>
      <c r="L5346" s="11" t="s">
        <v>28</v>
      </c>
      <c r="M5346" s="11" t="s">
        <v>28</v>
      </c>
      <c r="N5346" s="8">
        <v>44197</v>
      </c>
      <c r="O5346" s="9" t="s">
        <v>99</v>
      </c>
      <c r="P5346" s="12" t="s">
        <v>28</v>
      </c>
      <c r="Q5346" s="9" t="s">
        <v>136</v>
      </c>
      <c r="R5346" s="14" t="str">
        <f>HYPERLINK("https://my.pitchbook.com?c=196870-15T","View Company Online")</f>
        <v>View Company Online</v>
      </c>
    </row>
    <row r="5347" spans="1:18" hidden="1" x14ac:dyDescent="0.3">
      <c r="A5347" s="15" t="s">
        <v>16770</v>
      </c>
      <c r="B5347" s="15" t="s">
        <v>16771</v>
      </c>
      <c r="C5347" s="18" t="s">
        <v>28</v>
      </c>
      <c r="D5347" s="15" t="s">
        <v>16772</v>
      </c>
      <c r="E5347" s="18" t="s">
        <v>28</v>
      </c>
      <c r="F5347" s="19" t="s">
        <v>28</v>
      </c>
      <c r="G5347" s="19">
        <v>0.02</v>
      </c>
      <c r="H5347" s="19" t="s">
        <v>28</v>
      </c>
      <c r="I5347" s="18" t="s">
        <v>28</v>
      </c>
      <c r="J5347" s="18" t="s">
        <v>28</v>
      </c>
      <c r="K5347" s="18" t="s">
        <v>28</v>
      </c>
      <c r="L5347" s="18" t="s">
        <v>28</v>
      </c>
      <c r="M5347" s="18" t="s">
        <v>28</v>
      </c>
      <c r="N5347" s="17">
        <v>44197</v>
      </c>
      <c r="O5347" s="15" t="s">
        <v>52</v>
      </c>
      <c r="P5347" s="16" t="s">
        <v>1880</v>
      </c>
      <c r="Q5347" s="15" t="s">
        <v>566</v>
      </c>
      <c r="R5347" s="13" t="str">
        <f>HYPERLINK("https://my.pitchbook.com?c=248772-25T","View Company Online")</f>
        <v>View Company Online</v>
      </c>
    </row>
    <row r="5348" spans="1:18" hidden="1" x14ac:dyDescent="0.3">
      <c r="A5348" s="9" t="s">
        <v>16773</v>
      </c>
      <c r="B5348" s="9" t="s">
        <v>4927</v>
      </c>
      <c r="C5348" s="11" t="s">
        <v>28</v>
      </c>
      <c r="D5348" s="9" t="s">
        <v>4928</v>
      </c>
      <c r="E5348" s="11" t="s">
        <v>28</v>
      </c>
      <c r="F5348" s="10" t="s">
        <v>28</v>
      </c>
      <c r="G5348" s="10" t="s">
        <v>28</v>
      </c>
      <c r="H5348" s="10" t="s">
        <v>28</v>
      </c>
      <c r="I5348" s="11" t="s">
        <v>28</v>
      </c>
      <c r="J5348" s="11" t="s">
        <v>28</v>
      </c>
      <c r="K5348" s="11" t="s">
        <v>28</v>
      </c>
      <c r="L5348" s="11" t="s">
        <v>28</v>
      </c>
      <c r="M5348" s="11" t="s">
        <v>28</v>
      </c>
      <c r="N5348" s="8">
        <v>44197</v>
      </c>
      <c r="O5348" s="9" t="s">
        <v>173</v>
      </c>
      <c r="P5348" s="12" t="s">
        <v>28</v>
      </c>
      <c r="Q5348" s="9" t="s">
        <v>136</v>
      </c>
      <c r="R5348" s="14" t="str">
        <f>HYPERLINK("https://my.pitchbook.com?c=232306-57T","View Company Online")</f>
        <v>View Company Online</v>
      </c>
    </row>
    <row r="5349" spans="1:18" hidden="1" x14ac:dyDescent="0.3">
      <c r="A5349" s="15" t="s">
        <v>16774</v>
      </c>
      <c r="B5349" s="15" t="s">
        <v>2918</v>
      </c>
      <c r="C5349" s="18" t="s">
        <v>28</v>
      </c>
      <c r="D5349" s="15" t="s">
        <v>2919</v>
      </c>
      <c r="E5349" s="18" t="s">
        <v>28</v>
      </c>
      <c r="F5349" s="19" t="s">
        <v>28</v>
      </c>
      <c r="G5349" s="19" t="s">
        <v>28</v>
      </c>
      <c r="H5349" s="19" t="s">
        <v>28</v>
      </c>
      <c r="I5349" s="18" t="s">
        <v>28</v>
      </c>
      <c r="J5349" s="18" t="s">
        <v>28</v>
      </c>
      <c r="K5349" s="18" t="s">
        <v>28</v>
      </c>
      <c r="L5349" s="18" t="s">
        <v>28</v>
      </c>
      <c r="M5349" s="18" t="s">
        <v>28</v>
      </c>
      <c r="N5349" s="17">
        <v>44197</v>
      </c>
      <c r="O5349" s="15" t="s">
        <v>79</v>
      </c>
      <c r="P5349" s="16" t="s">
        <v>16775</v>
      </c>
      <c r="Q5349" s="15" t="s">
        <v>37</v>
      </c>
      <c r="R5349" s="13" t="str">
        <f>HYPERLINK("https://my.pitchbook.com?c=215678-35T","View Company Online")</f>
        <v>View Company Online</v>
      </c>
    </row>
    <row r="5350" spans="1:18" hidden="1" x14ac:dyDescent="0.3">
      <c r="A5350" s="9" t="s">
        <v>16776</v>
      </c>
      <c r="B5350" s="9" t="s">
        <v>10714</v>
      </c>
      <c r="C5350" s="11" t="s">
        <v>28</v>
      </c>
      <c r="D5350" s="9" t="s">
        <v>10715</v>
      </c>
      <c r="E5350" s="11" t="s">
        <v>28</v>
      </c>
      <c r="F5350" s="10" t="s">
        <v>28</v>
      </c>
      <c r="G5350" s="10" t="s">
        <v>28</v>
      </c>
      <c r="H5350" s="10" t="s">
        <v>28</v>
      </c>
      <c r="I5350" s="11" t="s">
        <v>28</v>
      </c>
      <c r="J5350" s="11" t="s">
        <v>28</v>
      </c>
      <c r="K5350" s="11" t="s">
        <v>28</v>
      </c>
      <c r="L5350" s="11" t="s">
        <v>28</v>
      </c>
      <c r="M5350" s="11" t="s">
        <v>28</v>
      </c>
      <c r="N5350" s="8">
        <v>44197</v>
      </c>
      <c r="O5350" s="9" t="s">
        <v>73</v>
      </c>
      <c r="P5350" s="12" t="s">
        <v>16777</v>
      </c>
      <c r="Q5350" s="9" t="s">
        <v>285</v>
      </c>
      <c r="R5350" s="14" t="str">
        <f>HYPERLINK("https://my.pitchbook.com?c=187376-95T","View Company Online")</f>
        <v>View Company Online</v>
      </c>
    </row>
    <row r="5351" spans="1:18" hidden="1" x14ac:dyDescent="0.3">
      <c r="A5351" s="15" t="s">
        <v>16778</v>
      </c>
      <c r="B5351" s="15" t="s">
        <v>13845</v>
      </c>
      <c r="C5351" s="18" t="s">
        <v>28</v>
      </c>
      <c r="D5351" s="15" t="s">
        <v>13846</v>
      </c>
      <c r="E5351" s="18" t="s">
        <v>28</v>
      </c>
      <c r="F5351" s="19" t="s">
        <v>28</v>
      </c>
      <c r="G5351" s="19" t="s">
        <v>28</v>
      </c>
      <c r="H5351" s="19" t="s">
        <v>28</v>
      </c>
      <c r="I5351" s="18" t="s">
        <v>28</v>
      </c>
      <c r="J5351" s="18" t="s">
        <v>28</v>
      </c>
      <c r="K5351" s="18" t="s">
        <v>28</v>
      </c>
      <c r="L5351" s="18" t="s">
        <v>28</v>
      </c>
      <c r="M5351" s="18" t="s">
        <v>28</v>
      </c>
      <c r="N5351" s="17">
        <v>44197</v>
      </c>
      <c r="O5351" s="15" t="s">
        <v>52</v>
      </c>
      <c r="P5351" s="16" t="s">
        <v>8495</v>
      </c>
      <c r="Q5351" s="15" t="s">
        <v>1336</v>
      </c>
      <c r="R5351" s="13" t="str">
        <f>HYPERLINK("https://my.pitchbook.com?c=284283-82T","View Company Online")</f>
        <v>View Company Online</v>
      </c>
    </row>
    <row r="5352" spans="1:18" hidden="1" x14ac:dyDescent="0.3">
      <c r="A5352" s="9" t="s">
        <v>16779</v>
      </c>
      <c r="B5352" s="9" t="s">
        <v>8705</v>
      </c>
      <c r="C5352" s="11" t="s">
        <v>28</v>
      </c>
      <c r="D5352" s="9" t="s">
        <v>13312</v>
      </c>
      <c r="E5352" s="11" t="s">
        <v>28</v>
      </c>
      <c r="F5352" s="10" t="s">
        <v>28</v>
      </c>
      <c r="G5352" s="10" t="s">
        <v>28</v>
      </c>
      <c r="H5352" s="10" t="s">
        <v>28</v>
      </c>
      <c r="I5352" s="11" t="s">
        <v>28</v>
      </c>
      <c r="J5352" s="11" t="s">
        <v>28</v>
      </c>
      <c r="K5352" s="11" t="s">
        <v>28</v>
      </c>
      <c r="L5352" s="11" t="s">
        <v>28</v>
      </c>
      <c r="M5352" s="11" t="s">
        <v>28</v>
      </c>
      <c r="N5352" s="8">
        <v>44197</v>
      </c>
      <c r="O5352" s="9" t="s">
        <v>93</v>
      </c>
      <c r="P5352" s="12" t="s">
        <v>16780</v>
      </c>
      <c r="Q5352" s="9" t="s">
        <v>37</v>
      </c>
      <c r="R5352" s="14" t="str">
        <f>HYPERLINK("https://my.pitchbook.com?c=185190-85T","View Company Online")</f>
        <v>View Company Online</v>
      </c>
    </row>
    <row r="5353" spans="1:18" hidden="1" x14ac:dyDescent="0.3">
      <c r="A5353" s="15" t="s">
        <v>16781</v>
      </c>
      <c r="B5353" s="15" t="s">
        <v>16782</v>
      </c>
      <c r="C5353" s="18" t="s">
        <v>28</v>
      </c>
      <c r="D5353" s="15" t="s">
        <v>16783</v>
      </c>
      <c r="E5353" s="18" t="s">
        <v>28</v>
      </c>
      <c r="F5353" s="19" t="s">
        <v>28</v>
      </c>
      <c r="G5353" s="19" t="s">
        <v>28</v>
      </c>
      <c r="H5353" s="19" t="s">
        <v>28</v>
      </c>
      <c r="I5353" s="18" t="s">
        <v>28</v>
      </c>
      <c r="J5353" s="18" t="s">
        <v>28</v>
      </c>
      <c r="K5353" s="18" t="s">
        <v>28</v>
      </c>
      <c r="L5353" s="18" t="s">
        <v>28</v>
      </c>
      <c r="M5353" s="18" t="s">
        <v>28</v>
      </c>
      <c r="N5353" s="17">
        <v>44197</v>
      </c>
      <c r="O5353" s="15" t="s">
        <v>73</v>
      </c>
      <c r="P5353" s="16" t="s">
        <v>16784</v>
      </c>
      <c r="Q5353" s="15" t="s">
        <v>109</v>
      </c>
      <c r="R5353" s="13" t="str">
        <f>HYPERLINK("https://my.pitchbook.com?c=183738-61T","View Company Online")</f>
        <v>View Company Online</v>
      </c>
    </row>
    <row r="5354" spans="1:18" hidden="1" x14ac:dyDescent="0.3">
      <c r="A5354" s="9" t="s">
        <v>16785</v>
      </c>
      <c r="B5354" s="9" t="s">
        <v>16786</v>
      </c>
      <c r="C5354" s="11" t="s">
        <v>28</v>
      </c>
      <c r="D5354" s="9" t="s">
        <v>16787</v>
      </c>
      <c r="E5354" s="11" t="s">
        <v>28</v>
      </c>
      <c r="F5354" s="10" t="s">
        <v>28</v>
      </c>
      <c r="G5354" s="10" t="s">
        <v>28</v>
      </c>
      <c r="H5354" s="10" t="s">
        <v>28</v>
      </c>
      <c r="I5354" s="11" t="s">
        <v>28</v>
      </c>
      <c r="J5354" s="11" t="s">
        <v>28</v>
      </c>
      <c r="K5354" s="11" t="s">
        <v>28</v>
      </c>
      <c r="L5354" s="11" t="s">
        <v>28</v>
      </c>
      <c r="M5354" s="11" t="s">
        <v>28</v>
      </c>
      <c r="N5354" s="8">
        <v>44197</v>
      </c>
      <c r="O5354" s="9" t="s">
        <v>52</v>
      </c>
      <c r="P5354" s="12" t="s">
        <v>12319</v>
      </c>
      <c r="Q5354" s="9" t="s">
        <v>3048</v>
      </c>
      <c r="R5354" s="14" t="str">
        <f>HYPERLINK("https://my.pitchbook.com?c=269774-11T","View Company Online")</f>
        <v>View Company Online</v>
      </c>
    </row>
    <row r="5355" spans="1:18" hidden="1" x14ac:dyDescent="0.3">
      <c r="A5355" s="15" t="s">
        <v>16788</v>
      </c>
      <c r="B5355" s="15" t="s">
        <v>7173</v>
      </c>
      <c r="C5355" s="18" t="s">
        <v>28</v>
      </c>
      <c r="D5355" s="15" t="s">
        <v>7174</v>
      </c>
      <c r="E5355" s="18" t="s">
        <v>28</v>
      </c>
      <c r="F5355" s="19" t="s">
        <v>28</v>
      </c>
      <c r="G5355" s="19" t="s">
        <v>28</v>
      </c>
      <c r="H5355" s="19" t="s">
        <v>28</v>
      </c>
      <c r="I5355" s="18" t="s">
        <v>28</v>
      </c>
      <c r="J5355" s="18" t="s">
        <v>28</v>
      </c>
      <c r="K5355" s="18" t="s">
        <v>28</v>
      </c>
      <c r="L5355" s="18" t="s">
        <v>28</v>
      </c>
      <c r="M5355" s="18" t="s">
        <v>28</v>
      </c>
      <c r="N5355" s="17">
        <v>44197</v>
      </c>
      <c r="O5355" s="15" t="s">
        <v>52</v>
      </c>
      <c r="P5355" s="16" t="s">
        <v>16789</v>
      </c>
      <c r="Q5355" s="15" t="s">
        <v>43</v>
      </c>
      <c r="R5355" s="13" t="str">
        <f>HYPERLINK("https://my.pitchbook.com?c=295705-81T","View Company Online")</f>
        <v>View Company Online</v>
      </c>
    </row>
    <row r="5356" spans="1:18" hidden="1" x14ac:dyDescent="0.3">
      <c r="A5356" s="9" t="s">
        <v>16790</v>
      </c>
      <c r="B5356" s="9" t="s">
        <v>16791</v>
      </c>
      <c r="C5356" s="11" t="s">
        <v>28</v>
      </c>
      <c r="D5356" s="9" t="s">
        <v>16792</v>
      </c>
      <c r="E5356" s="11" t="s">
        <v>28</v>
      </c>
      <c r="F5356" s="10" t="s">
        <v>28</v>
      </c>
      <c r="G5356" s="10" t="s">
        <v>28</v>
      </c>
      <c r="H5356" s="10" t="s">
        <v>28</v>
      </c>
      <c r="I5356" s="11" t="s">
        <v>28</v>
      </c>
      <c r="J5356" s="11" t="s">
        <v>28</v>
      </c>
      <c r="K5356" s="11" t="s">
        <v>28</v>
      </c>
      <c r="L5356" s="11" t="s">
        <v>28</v>
      </c>
      <c r="M5356" s="11" t="s">
        <v>28</v>
      </c>
      <c r="N5356" s="8">
        <v>44197</v>
      </c>
      <c r="O5356" s="9" t="s">
        <v>30</v>
      </c>
      <c r="P5356" s="12" t="s">
        <v>14772</v>
      </c>
      <c r="Q5356" s="9" t="s">
        <v>245</v>
      </c>
      <c r="R5356" s="14" t="str">
        <f>HYPERLINK("https://my.pitchbook.com?c=209233-90T","View Company Online")</f>
        <v>View Company Online</v>
      </c>
    </row>
    <row r="5357" spans="1:18" hidden="1" x14ac:dyDescent="0.3">
      <c r="A5357" s="15" t="s">
        <v>16793</v>
      </c>
      <c r="B5357" s="15" t="s">
        <v>8543</v>
      </c>
      <c r="C5357" s="18" t="s">
        <v>28</v>
      </c>
      <c r="D5357" s="15" t="s">
        <v>8544</v>
      </c>
      <c r="E5357" s="18" t="s">
        <v>28</v>
      </c>
      <c r="F5357" s="19" t="s">
        <v>28</v>
      </c>
      <c r="G5357" s="19">
        <v>0.11</v>
      </c>
      <c r="H5357" s="19" t="s">
        <v>28</v>
      </c>
      <c r="I5357" s="18" t="s">
        <v>28</v>
      </c>
      <c r="J5357" s="18" t="s">
        <v>28</v>
      </c>
      <c r="K5357" s="18" t="s">
        <v>28</v>
      </c>
      <c r="L5357" s="18" t="s">
        <v>28</v>
      </c>
      <c r="M5357" s="18" t="s">
        <v>28</v>
      </c>
      <c r="N5357" s="17">
        <v>44197</v>
      </c>
      <c r="O5357" s="15" t="s">
        <v>1639</v>
      </c>
      <c r="P5357" s="16" t="s">
        <v>28</v>
      </c>
      <c r="Q5357" s="15" t="s">
        <v>362</v>
      </c>
      <c r="R5357" s="13" t="str">
        <f>HYPERLINK("https://my.pitchbook.com?c=195889-15T","View Company Online")</f>
        <v>View Company Online</v>
      </c>
    </row>
    <row r="5358" spans="1:18" hidden="1" x14ac:dyDescent="0.3">
      <c r="A5358" s="9" t="s">
        <v>16794</v>
      </c>
      <c r="B5358" s="9" t="s">
        <v>16795</v>
      </c>
      <c r="C5358" s="11" t="s">
        <v>28</v>
      </c>
      <c r="D5358" s="9" t="s">
        <v>16796</v>
      </c>
      <c r="E5358" s="11" t="s">
        <v>28</v>
      </c>
      <c r="F5358" s="10" t="s">
        <v>28</v>
      </c>
      <c r="G5358" s="10" t="s">
        <v>28</v>
      </c>
      <c r="H5358" s="10" t="s">
        <v>28</v>
      </c>
      <c r="I5358" s="11" t="s">
        <v>28</v>
      </c>
      <c r="J5358" s="11" t="s">
        <v>28</v>
      </c>
      <c r="K5358" s="11" t="s">
        <v>28</v>
      </c>
      <c r="L5358" s="11" t="s">
        <v>28</v>
      </c>
      <c r="M5358" s="11" t="s">
        <v>28</v>
      </c>
      <c r="N5358" s="8">
        <v>44197</v>
      </c>
      <c r="O5358" s="9" t="s">
        <v>30</v>
      </c>
      <c r="P5358" s="12" t="s">
        <v>16797</v>
      </c>
      <c r="Q5358" s="9" t="s">
        <v>1007</v>
      </c>
      <c r="R5358" s="14" t="str">
        <f>HYPERLINK("https://my.pitchbook.com?c=272537-47T","View Company Online")</f>
        <v>View Company Online</v>
      </c>
    </row>
    <row r="5359" spans="1:18" hidden="1" x14ac:dyDescent="0.3">
      <c r="A5359" s="15" t="s">
        <v>16798</v>
      </c>
      <c r="B5359" s="15" t="s">
        <v>16799</v>
      </c>
      <c r="C5359" s="18" t="s">
        <v>28</v>
      </c>
      <c r="D5359" s="15" t="s">
        <v>16800</v>
      </c>
      <c r="E5359" s="18" t="s">
        <v>28</v>
      </c>
      <c r="F5359" s="19" t="s">
        <v>28</v>
      </c>
      <c r="G5359" s="19" t="s">
        <v>28</v>
      </c>
      <c r="H5359" s="19" t="s">
        <v>28</v>
      </c>
      <c r="I5359" s="18" t="s">
        <v>28</v>
      </c>
      <c r="J5359" s="18" t="s">
        <v>28</v>
      </c>
      <c r="K5359" s="18" t="s">
        <v>28</v>
      </c>
      <c r="L5359" s="18" t="s">
        <v>28</v>
      </c>
      <c r="M5359" s="18" t="s">
        <v>28</v>
      </c>
      <c r="N5359" s="17">
        <v>44197</v>
      </c>
      <c r="O5359" s="15" t="s">
        <v>52</v>
      </c>
      <c r="P5359" s="16" t="s">
        <v>12319</v>
      </c>
      <c r="Q5359" s="15" t="s">
        <v>285</v>
      </c>
      <c r="R5359" s="13" t="str">
        <f>HYPERLINK("https://my.pitchbook.com?c=272372-41T","View Company Online")</f>
        <v>View Company Online</v>
      </c>
    </row>
    <row r="5360" spans="1:18" hidden="1" x14ac:dyDescent="0.3">
      <c r="A5360" s="9" t="s">
        <v>16801</v>
      </c>
      <c r="B5360" s="9" t="s">
        <v>16802</v>
      </c>
      <c r="C5360" s="11" t="s">
        <v>28</v>
      </c>
      <c r="D5360" s="9" t="s">
        <v>16803</v>
      </c>
      <c r="E5360" s="11" t="s">
        <v>28</v>
      </c>
      <c r="F5360" s="10" t="s">
        <v>28</v>
      </c>
      <c r="G5360" s="10" t="s">
        <v>28</v>
      </c>
      <c r="H5360" s="10" t="s">
        <v>28</v>
      </c>
      <c r="I5360" s="11" t="s">
        <v>28</v>
      </c>
      <c r="J5360" s="11" t="s">
        <v>28</v>
      </c>
      <c r="K5360" s="11" t="s">
        <v>28</v>
      </c>
      <c r="L5360" s="11" t="s">
        <v>28</v>
      </c>
      <c r="M5360" s="11" t="s">
        <v>28</v>
      </c>
      <c r="N5360" s="8">
        <v>44197</v>
      </c>
      <c r="O5360" s="9" t="s">
        <v>73</v>
      </c>
      <c r="P5360" s="12" t="s">
        <v>6834</v>
      </c>
      <c r="Q5360" s="9" t="s">
        <v>37</v>
      </c>
      <c r="R5360" s="14" t="str">
        <f>HYPERLINK("https://my.pitchbook.com?c=215826-94T","View Company Online")</f>
        <v>View Company Online</v>
      </c>
    </row>
    <row r="5361" spans="1:18" hidden="1" x14ac:dyDescent="0.3">
      <c r="A5361" s="15" t="s">
        <v>16804</v>
      </c>
      <c r="B5361" s="15" t="s">
        <v>16805</v>
      </c>
      <c r="C5361" s="18" t="s">
        <v>28</v>
      </c>
      <c r="D5361" s="15" t="s">
        <v>16806</v>
      </c>
      <c r="E5361" s="18" t="s">
        <v>28</v>
      </c>
      <c r="F5361" s="19" t="s">
        <v>28</v>
      </c>
      <c r="G5361" s="19">
        <v>0.19</v>
      </c>
      <c r="H5361" s="19" t="s">
        <v>28</v>
      </c>
      <c r="I5361" s="18" t="s">
        <v>28</v>
      </c>
      <c r="J5361" s="18" t="s">
        <v>28</v>
      </c>
      <c r="K5361" s="18" t="s">
        <v>28</v>
      </c>
      <c r="L5361" s="18" t="s">
        <v>28</v>
      </c>
      <c r="M5361" s="18" t="s">
        <v>28</v>
      </c>
      <c r="N5361" s="17">
        <v>44197</v>
      </c>
      <c r="O5361" s="15" t="s">
        <v>58</v>
      </c>
      <c r="P5361" s="16" t="s">
        <v>28</v>
      </c>
      <c r="Q5361" s="15" t="s">
        <v>75</v>
      </c>
      <c r="R5361" s="13" t="str">
        <f>HYPERLINK("https://my.pitchbook.com?c=294791-95T","View Company Online")</f>
        <v>View Company Online</v>
      </c>
    </row>
    <row r="5362" spans="1:18" hidden="1" x14ac:dyDescent="0.3">
      <c r="A5362" s="9" t="s">
        <v>16807</v>
      </c>
      <c r="B5362" s="9" t="s">
        <v>4574</v>
      </c>
      <c r="C5362" s="11" t="s">
        <v>28</v>
      </c>
      <c r="D5362" s="9" t="s">
        <v>4575</v>
      </c>
      <c r="E5362" s="11" t="s">
        <v>28</v>
      </c>
      <c r="F5362" s="10" t="s">
        <v>28</v>
      </c>
      <c r="G5362" s="10" t="s">
        <v>28</v>
      </c>
      <c r="H5362" s="10" t="s">
        <v>28</v>
      </c>
      <c r="I5362" s="11" t="s">
        <v>28</v>
      </c>
      <c r="J5362" s="11" t="s">
        <v>28</v>
      </c>
      <c r="K5362" s="11">
        <v>0.36</v>
      </c>
      <c r="L5362" s="11" t="s">
        <v>28</v>
      </c>
      <c r="M5362" s="11" t="s">
        <v>28</v>
      </c>
      <c r="N5362" s="8">
        <v>44197</v>
      </c>
      <c r="O5362" s="9" t="s">
        <v>99</v>
      </c>
      <c r="P5362" s="12" t="s">
        <v>1140</v>
      </c>
      <c r="Q5362" s="9" t="s">
        <v>566</v>
      </c>
      <c r="R5362" s="14" t="str">
        <f>HYPERLINK("https://my.pitchbook.com?c=234252-73T","View Company Online")</f>
        <v>View Company Online</v>
      </c>
    </row>
    <row r="5363" spans="1:18" hidden="1" x14ac:dyDescent="0.3">
      <c r="A5363" s="15" t="s">
        <v>16808</v>
      </c>
      <c r="B5363" s="15" t="s">
        <v>12845</v>
      </c>
      <c r="C5363" s="18" t="s">
        <v>28</v>
      </c>
      <c r="D5363" s="15" t="s">
        <v>12846</v>
      </c>
      <c r="E5363" s="18" t="s">
        <v>28</v>
      </c>
      <c r="F5363" s="19" t="s">
        <v>28</v>
      </c>
      <c r="G5363" s="19">
        <v>0.14000000000000001</v>
      </c>
      <c r="H5363" s="19" t="s">
        <v>28</v>
      </c>
      <c r="I5363" s="18" t="s">
        <v>28</v>
      </c>
      <c r="J5363" s="18" t="s">
        <v>28</v>
      </c>
      <c r="K5363" s="18" t="s">
        <v>28</v>
      </c>
      <c r="L5363" s="18" t="s">
        <v>28</v>
      </c>
      <c r="M5363" s="18" t="s">
        <v>28</v>
      </c>
      <c r="N5363" s="17">
        <v>44197</v>
      </c>
      <c r="O5363" s="15" t="s">
        <v>52</v>
      </c>
      <c r="P5363" s="16" t="s">
        <v>16809</v>
      </c>
      <c r="Q5363" s="15" t="s">
        <v>6392</v>
      </c>
      <c r="R5363" s="13" t="str">
        <f>HYPERLINK("https://my.pitchbook.com?c=211098-70T","View Company Online")</f>
        <v>View Company Online</v>
      </c>
    </row>
    <row r="5364" spans="1:18" hidden="1" x14ac:dyDescent="0.3">
      <c r="A5364" s="9" t="s">
        <v>16810</v>
      </c>
      <c r="B5364" s="9" t="s">
        <v>6269</v>
      </c>
      <c r="C5364" s="11" t="s">
        <v>28</v>
      </c>
      <c r="D5364" s="9" t="s">
        <v>6270</v>
      </c>
      <c r="E5364" s="11" t="s">
        <v>28</v>
      </c>
      <c r="F5364" s="10" t="s">
        <v>28</v>
      </c>
      <c r="G5364" s="10">
        <v>0.15</v>
      </c>
      <c r="H5364" s="10" t="s">
        <v>28</v>
      </c>
      <c r="I5364" s="11" t="s">
        <v>28</v>
      </c>
      <c r="J5364" s="11" t="s">
        <v>28</v>
      </c>
      <c r="K5364" s="11" t="s">
        <v>28</v>
      </c>
      <c r="L5364" s="11" t="s">
        <v>28</v>
      </c>
      <c r="M5364" s="11" t="s">
        <v>28</v>
      </c>
      <c r="N5364" s="8">
        <v>44197</v>
      </c>
      <c r="O5364" s="9" t="s">
        <v>9098</v>
      </c>
      <c r="P5364" s="12" t="s">
        <v>28</v>
      </c>
      <c r="Q5364" s="9" t="s">
        <v>75</v>
      </c>
      <c r="R5364" s="14" t="str">
        <f>HYPERLINK("https://my.pitchbook.com?c=206658-10T","View Company Online")</f>
        <v>View Company Online</v>
      </c>
    </row>
    <row r="5365" spans="1:18" hidden="1" x14ac:dyDescent="0.3">
      <c r="A5365" s="15" t="s">
        <v>16811</v>
      </c>
      <c r="B5365" s="15" t="s">
        <v>9592</v>
      </c>
      <c r="C5365" s="18" t="s">
        <v>28</v>
      </c>
      <c r="D5365" s="15" t="s">
        <v>9593</v>
      </c>
      <c r="E5365" s="18" t="s">
        <v>28</v>
      </c>
      <c r="F5365" s="19" t="s">
        <v>28</v>
      </c>
      <c r="G5365" s="19">
        <v>0.12</v>
      </c>
      <c r="H5365" s="19" t="s">
        <v>28</v>
      </c>
      <c r="I5365" s="18" t="s">
        <v>28</v>
      </c>
      <c r="J5365" s="18" t="s">
        <v>28</v>
      </c>
      <c r="K5365" s="18">
        <v>0.16</v>
      </c>
      <c r="L5365" s="18" t="s">
        <v>28</v>
      </c>
      <c r="M5365" s="18" t="s">
        <v>28</v>
      </c>
      <c r="N5365" s="17">
        <v>44197</v>
      </c>
      <c r="O5365" s="15" t="s">
        <v>379</v>
      </c>
      <c r="P5365" s="16" t="s">
        <v>28</v>
      </c>
      <c r="Q5365" s="15" t="s">
        <v>583</v>
      </c>
      <c r="R5365" s="13" t="str">
        <f>HYPERLINK("https://my.pitchbook.com?c=194455-63T","View Company Online")</f>
        <v>View Company Online</v>
      </c>
    </row>
    <row r="5366" spans="1:18" hidden="1" x14ac:dyDescent="0.3">
      <c r="A5366" s="9" t="s">
        <v>16812</v>
      </c>
      <c r="B5366" s="9" t="s">
        <v>14556</v>
      </c>
      <c r="C5366" s="11" t="s">
        <v>28</v>
      </c>
      <c r="D5366" s="9" t="s">
        <v>14557</v>
      </c>
      <c r="E5366" s="11" t="s">
        <v>28</v>
      </c>
      <c r="F5366" s="10" t="s">
        <v>28</v>
      </c>
      <c r="G5366" s="10">
        <v>0.1</v>
      </c>
      <c r="H5366" s="10" t="s">
        <v>28</v>
      </c>
      <c r="I5366" s="11" t="s">
        <v>28</v>
      </c>
      <c r="J5366" s="11" t="s">
        <v>28</v>
      </c>
      <c r="K5366" s="11" t="s">
        <v>28</v>
      </c>
      <c r="L5366" s="11" t="s">
        <v>28</v>
      </c>
      <c r="M5366" s="11" t="s">
        <v>28</v>
      </c>
      <c r="N5366" s="8">
        <v>44197</v>
      </c>
      <c r="O5366" s="9" t="s">
        <v>52</v>
      </c>
      <c r="P5366" s="12" t="s">
        <v>1792</v>
      </c>
      <c r="Q5366" s="9" t="s">
        <v>75</v>
      </c>
      <c r="R5366" s="14" t="str">
        <f>HYPERLINK("https://my.pitchbook.com?c=177136-75T","View Company Online")</f>
        <v>View Company Online</v>
      </c>
    </row>
    <row r="5367" spans="1:18" hidden="1" x14ac:dyDescent="0.3">
      <c r="A5367" s="15" t="s">
        <v>16813</v>
      </c>
      <c r="B5367" s="15" t="s">
        <v>14197</v>
      </c>
      <c r="C5367" s="18" t="s">
        <v>28</v>
      </c>
      <c r="D5367" s="15" t="s">
        <v>14198</v>
      </c>
      <c r="E5367" s="18" t="s">
        <v>28</v>
      </c>
      <c r="F5367" s="19" t="s">
        <v>28</v>
      </c>
      <c r="G5367" s="19" t="s">
        <v>28</v>
      </c>
      <c r="H5367" s="19" t="s">
        <v>28</v>
      </c>
      <c r="I5367" s="18" t="s">
        <v>28</v>
      </c>
      <c r="J5367" s="18" t="s">
        <v>28</v>
      </c>
      <c r="K5367" s="18" t="s">
        <v>28</v>
      </c>
      <c r="L5367" s="18" t="s">
        <v>28</v>
      </c>
      <c r="M5367" s="18" t="s">
        <v>28</v>
      </c>
      <c r="N5367" s="17">
        <v>44197</v>
      </c>
      <c r="O5367" s="15" t="s">
        <v>79</v>
      </c>
      <c r="P5367" s="16" t="s">
        <v>16814</v>
      </c>
      <c r="Q5367" s="15" t="s">
        <v>136</v>
      </c>
      <c r="R5367" s="13" t="str">
        <f>HYPERLINK("https://my.pitchbook.com?c=189166-69T","View Company Online")</f>
        <v>View Company Online</v>
      </c>
    </row>
    <row r="5368" spans="1:18" hidden="1" x14ac:dyDescent="0.3">
      <c r="A5368" s="9" t="s">
        <v>16815</v>
      </c>
      <c r="B5368" s="9" t="s">
        <v>16816</v>
      </c>
      <c r="C5368" s="11" t="s">
        <v>28</v>
      </c>
      <c r="D5368" s="9" t="s">
        <v>16817</v>
      </c>
      <c r="E5368" s="11" t="s">
        <v>28</v>
      </c>
      <c r="F5368" s="10" t="s">
        <v>28</v>
      </c>
      <c r="G5368" s="10" t="s">
        <v>28</v>
      </c>
      <c r="H5368" s="10" t="s">
        <v>28</v>
      </c>
      <c r="I5368" s="11" t="s">
        <v>28</v>
      </c>
      <c r="J5368" s="11" t="s">
        <v>28</v>
      </c>
      <c r="K5368" s="11" t="s">
        <v>28</v>
      </c>
      <c r="L5368" s="11" t="s">
        <v>28</v>
      </c>
      <c r="M5368" s="11" t="s">
        <v>28</v>
      </c>
      <c r="N5368" s="8">
        <v>44197</v>
      </c>
      <c r="O5368" s="9" t="s">
        <v>52</v>
      </c>
      <c r="P5368" s="12" t="s">
        <v>2830</v>
      </c>
      <c r="Q5368" s="9" t="s">
        <v>855</v>
      </c>
      <c r="R5368" s="14" t="str">
        <f>HYPERLINK("https://my.pitchbook.com?c=292626-28T","View Company Online")</f>
        <v>View Company Online</v>
      </c>
    </row>
    <row r="5369" spans="1:18" hidden="1" x14ac:dyDescent="0.3">
      <c r="A5369" s="15" t="s">
        <v>16818</v>
      </c>
      <c r="B5369" s="15" t="s">
        <v>16819</v>
      </c>
      <c r="C5369" s="18" t="s">
        <v>28</v>
      </c>
      <c r="D5369" s="15" t="s">
        <v>16820</v>
      </c>
      <c r="E5369" s="18" t="s">
        <v>28</v>
      </c>
      <c r="F5369" s="19" t="s">
        <v>28</v>
      </c>
      <c r="G5369" s="19" t="s">
        <v>28</v>
      </c>
      <c r="H5369" s="19" t="s">
        <v>28</v>
      </c>
      <c r="I5369" s="18" t="s">
        <v>28</v>
      </c>
      <c r="J5369" s="18" t="s">
        <v>28</v>
      </c>
      <c r="K5369" s="18" t="s">
        <v>28</v>
      </c>
      <c r="L5369" s="18" t="s">
        <v>28</v>
      </c>
      <c r="M5369" s="18" t="s">
        <v>28</v>
      </c>
      <c r="N5369" s="17">
        <v>44197</v>
      </c>
      <c r="O5369" s="15" t="s">
        <v>41</v>
      </c>
      <c r="P5369" s="16" t="s">
        <v>16821</v>
      </c>
      <c r="Q5369" s="15" t="s">
        <v>95</v>
      </c>
      <c r="R5369" s="13" t="str">
        <f>HYPERLINK("https://my.pitchbook.com?c=207424-27T","View Company Online")</f>
        <v>View Company Online</v>
      </c>
    </row>
    <row r="5370" spans="1:18" hidden="1" x14ac:dyDescent="0.3">
      <c r="A5370" s="9" t="s">
        <v>16822</v>
      </c>
      <c r="B5370" s="9" t="s">
        <v>1207</v>
      </c>
      <c r="C5370" s="11" t="s">
        <v>28</v>
      </c>
      <c r="D5370" s="9" t="s">
        <v>1208</v>
      </c>
      <c r="E5370" s="11" t="s">
        <v>28</v>
      </c>
      <c r="F5370" s="10" t="s">
        <v>28</v>
      </c>
      <c r="G5370" s="10" t="s">
        <v>28</v>
      </c>
      <c r="H5370" s="10" t="s">
        <v>28</v>
      </c>
      <c r="I5370" s="11" t="s">
        <v>28</v>
      </c>
      <c r="J5370" s="11" t="s">
        <v>28</v>
      </c>
      <c r="K5370" s="11" t="s">
        <v>28</v>
      </c>
      <c r="L5370" s="11" t="s">
        <v>28</v>
      </c>
      <c r="M5370" s="11" t="s">
        <v>28</v>
      </c>
      <c r="N5370" s="8">
        <v>44197</v>
      </c>
      <c r="O5370" s="9" t="s">
        <v>52</v>
      </c>
      <c r="P5370" s="12" t="s">
        <v>16823</v>
      </c>
      <c r="Q5370" s="9" t="s">
        <v>95</v>
      </c>
      <c r="R5370" s="14" t="str">
        <f>HYPERLINK("https://my.pitchbook.com?c=269575-66T","View Company Online")</f>
        <v>View Company Online</v>
      </c>
    </row>
    <row r="5371" spans="1:18" hidden="1" x14ac:dyDescent="0.3">
      <c r="A5371" s="15" t="s">
        <v>16824</v>
      </c>
      <c r="B5371" s="15" t="s">
        <v>7207</v>
      </c>
      <c r="C5371" s="18" t="s">
        <v>28</v>
      </c>
      <c r="D5371" s="15" t="s">
        <v>7208</v>
      </c>
      <c r="E5371" s="18" t="s">
        <v>28</v>
      </c>
      <c r="F5371" s="19" t="s">
        <v>28</v>
      </c>
      <c r="G5371" s="19">
        <v>0.01</v>
      </c>
      <c r="H5371" s="19" t="s">
        <v>28</v>
      </c>
      <c r="I5371" s="18" t="s">
        <v>28</v>
      </c>
      <c r="J5371" s="18" t="s">
        <v>28</v>
      </c>
      <c r="K5371" s="18" t="s">
        <v>28</v>
      </c>
      <c r="L5371" s="18" t="s">
        <v>28</v>
      </c>
      <c r="M5371" s="18" t="s">
        <v>28</v>
      </c>
      <c r="N5371" s="17">
        <v>44197</v>
      </c>
      <c r="O5371" s="15" t="s">
        <v>52</v>
      </c>
      <c r="P5371" s="16" t="s">
        <v>12319</v>
      </c>
      <c r="Q5371" s="15" t="s">
        <v>7209</v>
      </c>
      <c r="R5371" s="13" t="str">
        <f>HYPERLINK("https://my.pitchbook.com?c=270013-96T","View Company Online")</f>
        <v>View Company Online</v>
      </c>
    </row>
    <row r="5372" spans="1:18" hidden="1" x14ac:dyDescent="0.3">
      <c r="A5372" s="9" t="s">
        <v>16825</v>
      </c>
      <c r="B5372" s="9" t="s">
        <v>14621</v>
      </c>
      <c r="C5372" s="11" t="s">
        <v>28</v>
      </c>
      <c r="D5372" s="9" t="s">
        <v>14622</v>
      </c>
      <c r="E5372" s="11" t="s">
        <v>28</v>
      </c>
      <c r="F5372" s="10" t="s">
        <v>28</v>
      </c>
      <c r="G5372" s="10" t="s">
        <v>28</v>
      </c>
      <c r="H5372" s="10" t="s">
        <v>28</v>
      </c>
      <c r="I5372" s="11" t="s">
        <v>28</v>
      </c>
      <c r="J5372" s="11" t="s">
        <v>28</v>
      </c>
      <c r="K5372" s="11" t="s">
        <v>28</v>
      </c>
      <c r="L5372" s="11" t="s">
        <v>28</v>
      </c>
      <c r="M5372" s="11" t="s">
        <v>28</v>
      </c>
      <c r="N5372" s="8">
        <v>44197</v>
      </c>
      <c r="O5372" s="9" t="s">
        <v>73</v>
      </c>
      <c r="P5372" s="12" t="s">
        <v>16826</v>
      </c>
      <c r="Q5372" s="9" t="s">
        <v>3912</v>
      </c>
      <c r="R5372" s="14" t="str">
        <f>HYPERLINK("https://my.pitchbook.com?c=166634-74T","View Company Online")</f>
        <v>View Company Online</v>
      </c>
    </row>
    <row r="5373" spans="1:18" hidden="1" x14ac:dyDescent="0.3">
      <c r="A5373" s="15" t="s">
        <v>16827</v>
      </c>
      <c r="B5373" s="15" t="s">
        <v>8778</v>
      </c>
      <c r="C5373" s="18" t="s">
        <v>28</v>
      </c>
      <c r="D5373" s="15" t="s">
        <v>8779</v>
      </c>
      <c r="E5373" s="18" t="s">
        <v>28</v>
      </c>
      <c r="F5373" s="19" t="s">
        <v>28</v>
      </c>
      <c r="G5373" s="19" t="s">
        <v>28</v>
      </c>
      <c r="H5373" s="19" t="s">
        <v>28</v>
      </c>
      <c r="I5373" s="18" t="s">
        <v>28</v>
      </c>
      <c r="J5373" s="18" t="s">
        <v>28</v>
      </c>
      <c r="K5373" s="18" t="s">
        <v>28</v>
      </c>
      <c r="L5373" s="18" t="s">
        <v>28</v>
      </c>
      <c r="M5373" s="18" t="s">
        <v>28</v>
      </c>
      <c r="N5373" s="17">
        <v>44197</v>
      </c>
      <c r="O5373" s="15" t="s">
        <v>79</v>
      </c>
      <c r="P5373" s="16" t="s">
        <v>16828</v>
      </c>
      <c r="Q5373" s="15" t="s">
        <v>75</v>
      </c>
      <c r="R5373" s="13" t="str">
        <f>HYPERLINK("https://my.pitchbook.com?c=210800-35T","View Company Online")</f>
        <v>View Company Online</v>
      </c>
    </row>
    <row r="5374" spans="1:18" hidden="1" x14ac:dyDescent="0.3">
      <c r="A5374" s="9" t="s">
        <v>16829</v>
      </c>
      <c r="B5374" s="9" t="s">
        <v>4931</v>
      </c>
      <c r="C5374" s="11" t="s">
        <v>28</v>
      </c>
      <c r="D5374" s="9" t="s">
        <v>4932</v>
      </c>
      <c r="E5374" s="11" t="s">
        <v>28</v>
      </c>
      <c r="F5374" s="10" t="s">
        <v>28</v>
      </c>
      <c r="G5374" s="10" t="s">
        <v>28</v>
      </c>
      <c r="H5374" s="10" t="s">
        <v>28</v>
      </c>
      <c r="I5374" s="11" t="s">
        <v>28</v>
      </c>
      <c r="J5374" s="11" t="s">
        <v>28</v>
      </c>
      <c r="K5374" s="11" t="s">
        <v>28</v>
      </c>
      <c r="L5374" s="11" t="s">
        <v>28</v>
      </c>
      <c r="M5374" s="11" t="s">
        <v>28</v>
      </c>
      <c r="N5374" s="8">
        <v>44197</v>
      </c>
      <c r="O5374" s="9" t="s">
        <v>52</v>
      </c>
      <c r="P5374" s="12" t="s">
        <v>16830</v>
      </c>
      <c r="Q5374" s="9" t="s">
        <v>75</v>
      </c>
      <c r="R5374" s="14" t="str">
        <f>HYPERLINK("https://my.pitchbook.com?c=277119-91T","View Company Online")</f>
        <v>View Company Online</v>
      </c>
    </row>
    <row r="5375" spans="1:18" hidden="1" x14ac:dyDescent="0.3">
      <c r="A5375" s="15" t="s">
        <v>16831</v>
      </c>
      <c r="B5375" s="15" t="s">
        <v>16832</v>
      </c>
      <c r="C5375" s="18" t="s">
        <v>28</v>
      </c>
      <c r="D5375" s="15" t="s">
        <v>16833</v>
      </c>
      <c r="E5375" s="18" t="s">
        <v>28</v>
      </c>
      <c r="F5375" s="19" t="s">
        <v>28</v>
      </c>
      <c r="G5375" s="19">
        <v>0.03</v>
      </c>
      <c r="H5375" s="19" t="s">
        <v>28</v>
      </c>
      <c r="I5375" s="18" t="s">
        <v>28</v>
      </c>
      <c r="J5375" s="18" t="s">
        <v>28</v>
      </c>
      <c r="K5375" s="18" t="s">
        <v>28</v>
      </c>
      <c r="L5375" s="18" t="s">
        <v>28</v>
      </c>
      <c r="M5375" s="18" t="s">
        <v>28</v>
      </c>
      <c r="N5375" s="17">
        <v>44197</v>
      </c>
      <c r="O5375" s="15" t="s">
        <v>9098</v>
      </c>
      <c r="P5375" s="16" t="s">
        <v>28</v>
      </c>
      <c r="Q5375" s="15" t="s">
        <v>583</v>
      </c>
      <c r="R5375" s="13" t="str">
        <f>HYPERLINK("https://my.pitchbook.com?c=243900-01T","View Company Online")</f>
        <v>View Company Online</v>
      </c>
    </row>
    <row r="5376" spans="1:18" hidden="1" x14ac:dyDescent="0.3">
      <c r="A5376" s="9" t="s">
        <v>16834</v>
      </c>
      <c r="B5376" s="9" t="s">
        <v>16832</v>
      </c>
      <c r="C5376" s="11" t="s">
        <v>28</v>
      </c>
      <c r="D5376" s="9" t="s">
        <v>16833</v>
      </c>
      <c r="E5376" s="11" t="s">
        <v>28</v>
      </c>
      <c r="F5376" s="10" t="s">
        <v>28</v>
      </c>
      <c r="G5376" s="10" t="s">
        <v>28</v>
      </c>
      <c r="H5376" s="10" t="s">
        <v>28</v>
      </c>
      <c r="I5376" s="11" t="s">
        <v>28</v>
      </c>
      <c r="J5376" s="11" t="s">
        <v>28</v>
      </c>
      <c r="K5376" s="11" t="s">
        <v>28</v>
      </c>
      <c r="L5376" s="11" t="s">
        <v>28</v>
      </c>
      <c r="M5376" s="11" t="s">
        <v>28</v>
      </c>
      <c r="N5376" s="8">
        <v>44197</v>
      </c>
      <c r="O5376" s="9" t="s">
        <v>52</v>
      </c>
      <c r="P5376" s="12" t="s">
        <v>6543</v>
      </c>
      <c r="Q5376" s="9" t="s">
        <v>583</v>
      </c>
      <c r="R5376" s="14" t="str">
        <f>HYPERLINK("https://my.pitchbook.com?c=243900-64T","View Company Online")</f>
        <v>View Company Online</v>
      </c>
    </row>
    <row r="5377" spans="1:18" hidden="1" x14ac:dyDescent="0.3">
      <c r="A5377" s="15" t="s">
        <v>16835</v>
      </c>
      <c r="B5377" s="15" t="s">
        <v>5524</v>
      </c>
      <c r="C5377" s="18" t="s">
        <v>28</v>
      </c>
      <c r="D5377" s="15" t="s">
        <v>5525</v>
      </c>
      <c r="E5377" s="18" t="s">
        <v>28</v>
      </c>
      <c r="F5377" s="19" t="s">
        <v>28</v>
      </c>
      <c r="G5377" s="19" t="s">
        <v>28</v>
      </c>
      <c r="H5377" s="19" t="s">
        <v>28</v>
      </c>
      <c r="I5377" s="18" t="s">
        <v>28</v>
      </c>
      <c r="J5377" s="18" t="s">
        <v>28</v>
      </c>
      <c r="K5377" s="18" t="s">
        <v>28</v>
      </c>
      <c r="L5377" s="18" t="s">
        <v>28</v>
      </c>
      <c r="M5377" s="18" t="s">
        <v>28</v>
      </c>
      <c r="N5377" s="17">
        <v>44197</v>
      </c>
      <c r="O5377" s="15" t="s">
        <v>52</v>
      </c>
      <c r="P5377" s="16" t="s">
        <v>16836</v>
      </c>
      <c r="Q5377" s="15" t="s">
        <v>566</v>
      </c>
      <c r="R5377" s="13" t="str">
        <f>HYPERLINK("https://my.pitchbook.com?c=288634-87T","View Company Online")</f>
        <v>View Company Online</v>
      </c>
    </row>
    <row r="5378" spans="1:18" hidden="1" x14ac:dyDescent="0.3">
      <c r="A5378" s="9" t="s">
        <v>16837</v>
      </c>
      <c r="B5378" s="9" t="s">
        <v>7231</v>
      </c>
      <c r="C5378" s="11" t="s">
        <v>28</v>
      </c>
      <c r="D5378" s="9" t="s">
        <v>7232</v>
      </c>
      <c r="E5378" s="11" t="s">
        <v>28</v>
      </c>
      <c r="F5378" s="10" t="s">
        <v>28</v>
      </c>
      <c r="G5378" s="10" t="s">
        <v>28</v>
      </c>
      <c r="H5378" s="10" t="s">
        <v>28</v>
      </c>
      <c r="I5378" s="11" t="s">
        <v>28</v>
      </c>
      <c r="J5378" s="11" t="s">
        <v>28</v>
      </c>
      <c r="K5378" s="11" t="s">
        <v>28</v>
      </c>
      <c r="L5378" s="11" t="s">
        <v>28</v>
      </c>
      <c r="M5378" s="11" t="s">
        <v>28</v>
      </c>
      <c r="N5378" s="8">
        <v>44197</v>
      </c>
      <c r="O5378" s="9" t="s">
        <v>52</v>
      </c>
      <c r="P5378" s="12" t="s">
        <v>16838</v>
      </c>
      <c r="Q5378" s="9" t="s">
        <v>114</v>
      </c>
      <c r="R5378" s="14" t="str">
        <f>HYPERLINK("https://my.pitchbook.com?c=264219-22T","View Company Online")</f>
        <v>View Company Online</v>
      </c>
    </row>
    <row r="5379" spans="1:18" hidden="1" x14ac:dyDescent="0.3">
      <c r="A5379" s="15" t="s">
        <v>16839</v>
      </c>
      <c r="B5379" s="15" t="s">
        <v>4038</v>
      </c>
      <c r="C5379" s="18" t="s">
        <v>28</v>
      </c>
      <c r="D5379" s="15" t="s">
        <v>4039</v>
      </c>
      <c r="E5379" s="18" t="s">
        <v>28</v>
      </c>
      <c r="F5379" s="19" t="s">
        <v>28</v>
      </c>
      <c r="G5379" s="19" t="s">
        <v>28</v>
      </c>
      <c r="H5379" s="19" t="s">
        <v>28</v>
      </c>
      <c r="I5379" s="18" t="s">
        <v>28</v>
      </c>
      <c r="J5379" s="18" t="s">
        <v>28</v>
      </c>
      <c r="K5379" s="18" t="s">
        <v>28</v>
      </c>
      <c r="L5379" s="18" t="s">
        <v>28</v>
      </c>
      <c r="M5379" s="18" t="s">
        <v>28</v>
      </c>
      <c r="N5379" s="17">
        <v>44197</v>
      </c>
      <c r="O5379" s="15" t="s">
        <v>99</v>
      </c>
      <c r="P5379" s="16" t="s">
        <v>28</v>
      </c>
      <c r="Q5379" s="15" t="s">
        <v>37</v>
      </c>
      <c r="R5379" s="13" t="str">
        <f>HYPERLINK("https://my.pitchbook.com?c=248320-90T","View Company Online")</f>
        <v>View Company Online</v>
      </c>
    </row>
    <row r="5380" spans="1:18" hidden="1" x14ac:dyDescent="0.3">
      <c r="A5380" s="9" t="s">
        <v>16840</v>
      </c>
      <c r="B5380" s="9" t="s">
        <v>16841</v>
      </c>
      <c r="C5380" s="11" t="s">
        <v>28</v>
      </c>
      <c r="D5380" s="9" t="s">
        <v>16842</v>
      </c>
      <c r="E5380" s="11" t="s">
        <v>28</v>
      </c>
      <c r="F5380" s="10" t="s">
        <v>28</v>
      </c>
      <c r="G5380" s="10" t="s">
        <v>28</v>
      </c>
      <c r="H5380" s="10" t="s">
        <v>28</v>
      </c>
      <c r="I5380" s="11" t="s">
        <v>28</v>
      </c>
      <c r="J5380" s="11" t="s">
        <v>28</v>
      </c>
      <c r="K5380" s="11" t="s">
        <v>28</v>
      </c>
      <c r="L5380" s="11" t="s">
        <v>28</v>
      </c>
      <c r="M5380" s="11" t="s">
        <v>28</v>
      </c>
      <c r="N5380" s="8">
        <v>44197</v>
      </c>
      <c r="O5380" s="9" t="s">
        <v>30</v>
      </c>
      <c r="P5380" s="12" t="s">
        <v>16843</v>
      </c>
      <c r="Q5380" s="9" t="s">
        <v>263</v>
      </c>
      <c r="R5380" s="14" t="str">
        <f>HYPERLINK("https://my.pitchbook.com?c=186254-74T","View Company Online")</f>
        <v>View Company Online</v>
      </c>
    </row>
    <row r="5381" spans="1:18" hidden="1" x14ac:dyDescent="0.3">
      <c r="A5381" s="15" t="s">
        <v>16844</v>
      </c>
      <c r="B5381" s="15" t="s">
        <v>11749</v>
      </c>
      <c r="C5381" s="18" t="s">
        <v>28</v>
      </c>
      <c r="D5381" s="15" t="s">
        <v>11750</v>
      </c>
      <c r="E5381" s="18" t="s">
        <v>28</v>
      </c>
      <c r="F5381" s="19" t="s">
        <v>28</v>
      </c>
      <c r="G5381" s="19">
        <v>0.19</v>
      </c>
      <c r="H5381" s="19">
        <v>6.48</v>
      </c>
      <c r="I5381" s="18" t="s">
        <v>28</v>
      </c>
      <c r="J5381" s="18" t="s">
        <v>28</v>
      </c>
      <c r="K5381" s="18" t="s">
        <v>28</v>
      </c>
      <c r="L5381" s="18" t="s">
        <v>28</v>
      </c>
      <c r="M5381" s="18" t="s">
        <v>28</v>
      </c>
      <c r="N5381" s="17">
        <v>44197</v>
      </c>
      <c r="O5381" s="15" t="s">
        <v>52</v>
      </c>
      <c r="P5381" s="16" t="s">
        <v>3869</v>
      </c>
      <c r="Q5381" s="15" t="s">
        <v>37</v>
      </c>
      <c r="R5381" s="13" t="str">
        <f>HYPERLINK("https://my.pitchbook.com?c=218656-81T","View Company Online")</f>
        <v>View Company Online</v>
      </c>
    </row>
    <row r="5382" spans="1:18" hidden="1" x14ac:dyDescent="0.3">
      <c r="A5382" s="9" t="s">
        <v>16845</v>
      </c>
      <c r="B5382" s="9" t="s">
        <v>9310</v>
      </c>
      <c r="C5382" s="11" t="s">
        <v>28</v>
      </c>
      <c r="D5382" s="9" t="s">
        <v>9311</v>
      </c>
      <c r="E5382" s="11" t="s">
        <v>28</v>
      </c>
      <c r="F5382" s="10" t="s">
        <v>28</v>
      </c>
      <c r="G5382" s="10" t="s">
        <v>28</v>
      </c>
      <c r="H5382" s="10" t="s">
        <v>28</v>
      </c>
      <c r="I5382" s="11" t="s">
        <v>28</v>
      </c>
      <c r="J5382" s="11" t="s">
        <v>28</v>
      </c>
      <c r="K5382" s="11" t="s">
        <v>28</v>
      </c>
      <c r="L5382" s="11" t="s">
        <v>28</v>
      </c>
      <c r="M5382" s="11" t="s">
        <v>28</v>
      </c>
      <c r="N5382" s="8">
        <v>44197</v>
      </c>
      <c r="O5382" s="9" t="s">
        <v>79</v>
      </c>
      <c r="P5382" s="12" t="s">
        <v>28</v>
      </c>
      <c r="Q5382" s="9" t="s">
        <v>8999</v>
      </c>
      <c r="R5382" s="14" t="str">
        <f>HYPERLINK("https://my.pitchbook.com?c=191791-45T","View Company Online")</f>
        <v>View Company Online</v>
      </c>
    </row>
    <row r="5383" spans="1:18" hidden="1" x14ac:dyDescent="0.3">
      <c r="A5383" s="15" t="s">
        <v>16846</v>
      </c>
      <c r="B5383" s="15" t="s">
        <v>16847</v>
      </c>
      <c r="C5383" s="18" t="s">
        <v>28</v>
      </c>
      <c r="D5383" s="15" t="s">
        <v>16848</v>
      </c>
      <c r="E5383" s="18" t="s">
        <v>28</v>
      </c>
      <c r="F5383" s="19" t="s">
        <v>28</v>
      </c>
      <c r="G5383" s="19" t="s">
        <v>28</v>
      </c>
      <c r="H5383" s="19" t="s">
        <v>28</v>
      </c>
      <c r="I5383" s="18" t="s">
        <v>28</v>
      </c>
      <c r="J5383" s="18" t="s">
        <v>28</v>
      </c>
      <c r="K5383" s="18" t="s">
        <v>28</v>
      </c>
      <c r="L5383" s="18" t="s">
        <v>28</v>
      </c>
      <c r="M5383" s="18" t="s">
        <v>28</v>
      </c>
      <c r="N5383" s="17">
        <v>44197</v>
      </c>
      <c r="O5383" s="15" t="s">
        <v>73</v>
      </c>
      <c r="P5383" s="16" t="s">
        <v>8116</v>
      </c>
      <c r="Q5383" s="15" t="s">
        <v>696</v>
      </c>
      <c r="R5383" s="13" t="str">
        <f>HYPERLINK("https://my.pitchbook.com?c=179121-34T","View Company Online")</f>
        <v>View Company Online</v>
      </c>
    </row>
    <row r="5384" spans="1:18" hidden="1" x14ac:dyDescent="0.3">
      <c r="A5384" s="9" t="s">
        <v>16849</v>
      </c>
      <c r="B5384" s="9" t="s">
        <v>16850</v>
      </c>
      <c r="C5384" s="11" t="s">
        <v>28</v>
      </c>
      <c r="D5384" s="9" t="s">
        <v>16851</v>
      </c>
      <c r="E5384" s="11" t="s">
        <v>28</v>
      </c>
      <c r="F5384" s="10" t="s">
        <v>28</v>
      </c>
      <c r="G5384" s="10" t="s">
        <v>28</v>
      </c>
      <c r="H5384" s="10" t="s">
        <v>28</v>
      </c>
      <c r="I5384" s="11" t="s">
        <v>28</v>
      </c>
      <c r="J5384" s="11" t="s">
        <v>28</v>
      </c>
      <c r="K5384" s="11" t="s">
        <v>28</v>
      </c>
      <c r="L5384" s="11" t="s">
        <v>28</v>
      </c>
      <c r="M5384" s="11" t="s">
        <v>28</v>
      </c>
      <c r="N5384" s="8">
        <v>44197</v>
      </c>
      <c r="O5384" s="9" t="s">
        <v>73</v>
      </c>
      <c r="P5384" s="12" t="s">
        <v>16852</v>
      </c>
      <c r="Q5384" s="9" t="s">
        <v>95</v>
      </c>
      <c r="R5384" s="14" t="str">
        <f>HYPERLINK("https://my.pitchbook.com?c=216081-37T","View Company Online")</f>
        <v>View Company Online</v>
      </c>
    </row>
    <row r="5385" spans="1:18" hidden="1" x14ac:dyDescent="0.3">
      <c r="A5385" s="15" t="s">
        <v>16853</v>
      </c>
      <c r="B5385" s="15" t="s">
        <v>3626</v>
      </c>
      <c r="C5385" s="18" t="s">
        <v>28</v>
      </c>
      <c r="D5385" s="15" t="s">
        <v>3627</v>
      </c>
      <c r="E5385" s="18" t="s">
        <v>28</v>
      </c>
      <c r="F5385" s="19" t="s">
        <v>28</v>
      </c>
      <c r="G5385" s="19" t="s">
        <v>28</v>
      </c>
      <c r="H5385" s="19" t="s">
        <v>28</v>
      </c>
      <c r="I5385" s="18" t="s">
        <v>28</v>
      </c>
      <c r="J5385" s="18" t="s">
        <v>28</v>
      </c>
      <c r="K5385" s="18" t="s">
        <v>28</v>
      </c>
      <c r="L5385" s="18" t="s">
        <v>28</v>
      </c>
      <c r="M5385" s="18" t="s">
        <v>28</v>
      </c>
      <c r="N5385" s="17">
        <v>44197</v>
      </c>
      <c r="O5385" s="15" t="s">
        <v>52</v>
      </c>
      <c r="P5385" s="16" t="s">
        <v>6543</v>
      </c>
      <c r="Q5385" s="15" t="s">
        <v>75</v>
      </c>
      <c r="R5385" s="13" t="str">
        <f>HYPERLINK("https://my.pitchbook.com?c=301459-15T","View Company Online")</f>
        <v>View Company Online</v>
      </c>
    </row>
    <row r="5386" spans="1:18" hidden="1" x14ac:dyDescent="0.3">
      <c r="A5386" s="9" t="s">
        <v>16854</v>
      </c>
      <c r="B5386" s="9" t="s">
        <v>16855</v>
      </c>
      <c r="C5386" s="11" t="s">
        <v>28</v>
      </c>
      <c r="D5386" s="9" t="s">
        <v>16856</v>
      </c>
      <c r="E5386" s="11" t="s">
        <v>28</v>
      </c>
      <c r="F5386" s="10">
        <v>1.33</v>
      </c>
      <c r="G5386" s="10">
        <v>1</v>
      </c>
      <c r="H5386" s="10">
        <v>1.33</v>
      </c>
      <c r="I5386" s="11" t="s">
        <v>28</v>
      </c>
      <c r="J5386" s="11" t="s">
        <v>28</v>
      </c>
      <c r="K5386" s="11" t="s">
        <v>28</v>
      </c>
      <c r="L5386" s="11" t="s">
        <v>28</v>
      </c>
      <c r="M5386" s="11" t="s">
        <v>28</v>
      </c>
      <c r="N5386" s="8">
        <v>44197</v>
      </c>
      <c r="O5386" s="9" t="s">
        <v>30</v>
      </c>
      <c r="P5386" s="12" t="s">
        <v>16857</v>
      </c>
      <c r="Q5386" s="9" t="s">
        <v>75</v>
      </c>
      <c r="R5386" s="14" t="str">
        <f>HYPERLINK("https://my.pitchbook.com?c=184023-64T","View Company Online")</f>
        <v>View Company Online</v>
      </c>
    </row>
    <row r="5387" spans="1:18" hidden="1" x14ac:dyDescent="0.3">
      <c r="A5387" s="15" t="s">
        <v>16858</v>
      </c>
      <c r="B5387" s="15" t="s">
        <v>4207</v>
      </c>
      <c r="C5387" s="18" t="s">
        <v>28</v>
      </c>
      <c r="D5387" s="15" t="s">
        <v>4208</v>
      </c>
      <c r="E5387" s="18" t="s">
        <v>28</v>
      </c>
      <c r="F5387" s="19" t="s">
        <v>28</v>
      </c>
      <c r="G5387" s="19" t="s">
        <v>28</v>
      </c>
      <c r="H5387" s="19" t="s">
        <v>28</v>
      </c>
      <c r="I5387" s="18" t="s">
        <v>28</v>
      </c>
      <c r="J5387" s="18" t="s">
        <v>28</v>
      </c>
      <c r="K5387" s="18" t="s">
        <v>28</v>
      </c>
      <c r="L5387" s="18" t="s">
        <v>28</v>
      </c>
      <c r="M5387" s="18" t="s">
        <v>28</v>
      </c>
      <c r="N5387" s="17">
        <v>44197</v>
      </c>
      <c r="O5387" s="15" t="s">
        <v>79</v>
      </c>
      <c r="P5387" s="16" t="s">
        <v>12404</v>
      </c>
      <c r="Q5387" s="15" t="s">
        <v>43</v>
      </c>
      <c r="R5387" s="13" t="str">
        <f>HYPERLINK("https://my.pitchbook.com?c=221094-19T","View Company Online")</f>
        <v>View Company Online</v>
      </c>
    </row>
    <row r="5388" spans="1:18" hidden="1" x14ac:dyDescent="0.3">
      <c r="A5388" s="9" t="s">
        <v>16859</v>
      </c>
      <c r="B5388" s="9" t="s">
        <v>16860</v>
      </c>
      <c r="C5388" s="11" t="s">
        <v>28</v>
      </c>
      <c r="D5388" s="9" t="s">
        <v>16861</v>
      </c>
      <c r="E5388" s="11" t="s">
        <v>28</v>
      </c>
      <c r="F5388" s="10" t="s">
        <v>28</v>
      </c>
      <c r="G5388" s="10" t="s">
        <v>28</v>
      </c>
      <c r="H5388" s="10" t="s">
        <v>28</v>
      </c>
      <c r="I5388" s="11" t="s">
        <v>28</v>
      </c>
      <c r="J5388" s="11" t="s">
        <v>28</v>
      </c>
      <c r="K5388" s="11" t="s">
        <v>28</v>
      </c>
      <c r="L5388" s="11" t="s">
        <v>28</v>
      </c>
      <c r="M5388" s="11" t="s">
        <v>28</v>
      </c>
      <c r="N5388" s="8">
        <v>44197</v>
      </c>
      <c r="O5388" s="9" t="s">
        <v>30</v>
      </c>
      <c r="P5388" s="12" t="s">
        <v>16862</v>
      </c>
      <c r="Q5388" s="9" t="s">
        <v>114</v>
      </c>
      <c r="R5388" s="14" t="str">
        <f>HYPERLINK("https://my.pitchbook.com?c=210820-15T","View Company Online")</f>
        <v>View Company Online</v>
      </c>
    </row>
    <row r="5389" spans="1:18" hidden="1" x14ac:dyDescent="0.3">
      <c r="A5389" s="15" t="s">
        <v>16863</v>
      </c>
      <c r="B5389" s="15" t="s">
        <v>16864</v>
      </c>
      <c r="C5389" s="18" t="s">
        <v>28</v>
      </c>
      <c r="D5389" s="15" t="s">
        <v>16865</v>
      </c>
      <c r="E5389" s="18" t="s">
        <v>28</v>
      </c>
      <c r="F5389" s="19" t="s">
        <v>28</v>
      </c>
      <c r="G5389" s="19" t="s">
        <v>28</v>
      </c>
      <c r="H5389" s="19" t="s">
        <v>28</v>
      </c>
      <c r="I5389" s="18" t="s">
        <v>28</v>
      </c>
      <c r="J5389" s="18" t="s">
        <v>28</v>
      </c>
      <c r="K5389" s="18" t="s">
        <v>28</v>
      </c>
      <c r="L5389" s="18" t="s">
        <v>28</v>
      </c>
      <c r="M5389" s="18" t="s">
        <v>28</v>
      </c>
      <c r="N5389" s="17">
        <v>44197</v>
      </c>
      <c r="O5389" s="15" t="s">
        <v>52</v>
      </c>
      <c r="P5389" s="16" t="s">
        <v>16866</v>
      </c>
      <c r="Q5389" s="15" t="s">
        <v>37</v>
      </c>
      <c r="R5389" s="13" t="str">
        <f>HYPERLINK("https://my.pitchbook.com?c=245887-30T","View Company Online")</f>
        <v>View Company Online</v>
      </c>
    </row>
    <row r="5390" spans="1:18" hidden="1" x14ac:dyDescent="0.3">
      <c r="A5390" s="9" t="s">
        <v>16867</v>
      </c>
      <c r="B5390" s="9" t="s">
        <v>7962</v>
      </c>
      <c r="C5390" s="11" t="s">
        <v>28</v>
      </c>
      <c r="D5390" s="9" t="s">
        <v>7963</v>
      </c>
      <c r="E5390" s="11" t="s">
        <v>28</v>
      </c>
      <c r="F5390" s="10" t="s">
        <v>28</v>
      </c>
      <c r="G5390" s="10" t="s">
        <v>28</v>
      </c>
      <c r="H5390" s="10" t="s">
        <v>28</v>
      </c>
      <c r="I5390" s="11" t="s">
        <v>28</v>
      </c>
      <c r="J5390" s="11" t="s">
        <v>28</v>
      </c>
      <c r="K5390" s="11" t="s">
        <v>28</v>
      </c>
      <c r="L5390" s="11" t="s">
        <v>28</v>
      </c>
      <c r="M5390" s="11" t="s">
        <v>28</v>
      </c>
      <c r="N5390" s="8">
        <v>44197</v>
      </c>
      <c r="O5390" s="9" t="s">
        <v>379</v>
      </c>
      <c r="P5390" s="12" t="s">
        <v>16868</v>
      </c>
      <c r="Q5390" s="9" t="s">
        <v>5628</v>
      </c>
      <c r="R5390" s="14" t="str">
        <f>HYPERLINK("https://my.pitchbook.com?c=200510-65T","View Company Online")</f>
        <v>View Company Online</v>
      </c>
    </row>
    <row r="5391" spans="1:18" hidden="1" x14ac:dyDescent="0.3">
      <c r="A5391" s="15" t="s">
        <v>16869</v>
      </c>
      <c r="B5391" s="15" t="s">
        <v>16870</v>
      </c>
      <c r="C5391" s="18" t="s">
        <v>28</v>
      </c>
      <c r="D5391" s="15" t="s">
        <v>16871</v>
      </c>
      <c r="E5391" s="18" t="s">
        <v>28</v>
      </c>
      <c r="F5391" s="19" t="s">
        <v>28</v>
      </c>
      <c r="G5391" s="19" t="s">
        <v>28</v>
      </c>
      <c r="H5391" s="19" t="s">
        <v>28</v>
      </c>
      <c r="I5391" s="18" t="s">
        <v>28</v>
      </c>
      <c r="J5391" s="18" t="s">
        <v>28</v>
      </c>
      <c r="K5391" s="18" t="s">
        <v>28</v>
      </c>
      <c r="L5391" s="18" t="s">
        <v>28</v>
      </c>
      <c r="M5391" s="18" t="s">
        <v>28</v>
      </c>
      <c r="N5391" s="17">
        <v>44197</v>
      </c>
      <c r="O5391" s="15" t="s">
        <v>79</v>
      </c>
      <c r="P5391" s="16" t="s">
        <v>16872</v>
      </c>
      <c r="Q5391" s="15" t="s">
        <v>105</v>
      </c>
      <c r="R5391" s="13" t="str">
        <f>HYPERLINK("https://my.pitchbook.com?c=201126-43T","View Company Online")</f>
        <v>View Company Online</v>
      </c>
    </row>
    <row r="5392" spans="1:18" hidden="1" x14ac:dyDescent="0.3">
      <c r="A5392" s="9" t="s">
        <v>16873</v>
      </c>
      <c r="B5392" s="9" t="s">
        <v>10807</v>
      </c>
      <c r="C5392" s="11" t="s">
        <v>28</v>
      </c>
      <c r="D5392" s="9" t="s">
        <v>10808</v>
      </c>
      <c r="E5392" s="11" t="s">
        <v>28</v>
      </c>
      <c r="F5392" s="10" t="s">
        <v>28</v>
      </c>
      <c r="G5392" s="10" t="s">
        <v>28</v>
      </c>
      <c r="H5392" s="10" t="s">
        <v>28</v>
      </c>
      <c r="I5392" s="11" t="s">
        <v>28</v>
      </c>
      <c r="J5392" s="11" t="s">
        <v>28</v>
      </c>
      <c r="K5392" s="11" t="s">
        <v>28</v>
      </c>
      <c r="L5392" s="11" t="s">
        <v>28</v>
      </c>
      <c r="M5392" s="11" t="s">
        <v>28</v>
      </c>
      <c r="N5392" s="8">
        <v>44197</v>
      </c>
      <c r="O5392" s="9" t="s">
        <v>52</v>
      </c>
      <c r="P5392" s="12" t="s">
        <v>2830</v>
      </c>
      <c r="Q5392" s="9" t="s">
        <v>85</v>
      </c>
      <c r="R5392" s="14" t="str">
        <f>HYPERLINK("https://my.pitchbook.com?c=262019-44T","View Company Online")</f>
        <v>View Company Online</v>
      </c>
    </row>
    <row r="5393" spans="1:18" hidden="1" x14ac:dyDescent="0.3">
      <c r="A5393" s="15" t="s">
        <v>16874</v>
      </c>
      <c r="B5393" s="15" t="s">
        <v>272</v>
      </c>
      <c r="C5393" s="18" t="s">
        <v>28</v>
      </c>
      <c r="D5393" s="15" t="s">
        <v>13086</v>
      </c>
      <c r="E5393" s="18" t="s">
        <v>28</v>
      </c>
      <c r="F5393" s="19" t="s">
        <v>28</v>
      </c>
      <c r="G5393" s="19">
        <v>0.13</v>
      </c>
      <c r="H5393" s="19" t="s">
        <v>28</v>
      </c>
      <c r="I5393" s="18" t="s">
        <v>28</v>
      </c>
      <c r="J5393" s="18" t="s">
        <v>28</v>
      </c>
      <c r="K5393" s="18" t="s">
        <v>28</v>
      </c>
      <c r="L5393" s="18" t="s">
        <v>28</v>
      </c>
      <c r="M5393" s="18" t="s">
        <v>28</v>
      </c>
      <c r="N5393" s="17">
        <v>44197</v>
      </c>
      <c r="O5393" s="15" t="s">
        <v>52</v>
      </c>
      <c r="P5393" s="16" t="s">
        <v>3944</v>
      </c>
      <c r="Q5393" s="15" t="s">
        <v>37</v>
      </c>
      <c r="R5393" s="13" t="str">
        <f>HYPERLINK("https://my.pitchbook.com?c=183575-89T","View Company Online")</f>
        <v>View Company Online</v>
      </c>
    </row>
    <row r="5394" spans="1:18" hidden="1" x14ac:dyDescent="0.3">
      <c r="A5394" s="9" t="s">
        <v>16875</v>
      </c>
      <c r="B5394" s="9" t="s">
        <v>9188</v>
      </c>
      <c r="C5394" s="11" t="s">
        <v>28</v>
      </c>
      <c r="D5394" s="9" t="s">
        <v>9189</v>
      </c>
      <c r="E5394" s="11" t="s">
        <v>28</v>
      </c>
      <c r="F5394" s="10" t="s">
        <v>28</v>
      </c>
      <c r="G5394" s="10">
        <v>0.06</v>
      </c>
      <c r="H5394" s="10" t="s">
        <v>28</v>
      </c>
      <c r="I5394" s="11" t="s">
        <v>28</v>
      </c>
      <c r="J5394" s="11" t="s">
        <v>28</v>
      </c>
      <c r="K5394" s="11" t="s">
        <v>28</v>
      </c>
      <c r="L5394" s="11" t="s">
        <v>28</v>
      </c>
      <c r="M5394" s="11" t="s">
        <v>28</v>
      </c>
      <c r="N5394" s="8">
        <v>44197</v>
      </c>
      <c r="O5394" s="9" t="s">
        <v>379</v>
      </c>
      <c r="P5394" s="12" t="s">
        <v>28</v>
      </c>
      <c r="Q5394" s="9" t="s">
        <v>114</v>
      </c>
      <c r="R5394" s="14" t="str">
        <f>HYPERLINK("https://my.pitchbook.com?c=204652-45T","View Company Online")</f>
        <v>View Company Online</v>
      </c>
    </row>
    <row r="5395" spans="1:18" hidden="1" x14ac:dyDescent="0.3">
      <c r="A5395" s="15" t="s">
        <v>16876</v>
      </c>
      <c r="B5395" s="15" t="s">
        <v>12631</v>
      </c>
      <c r="C5395" s="18" t="s">
        <v>28</v>
      </c>
      <c r="D5395" s="15" t="s">
        <v>12632</v>
      </c>
      <c r="E5395" s="18" t="s">
        <v>28</v>
      </c>
      <c r="F5395" s="19" t="s">
        <v>28</v>
      </c>
      <c r="G5395" s="19">
        <v>0.26</v>
      </c>
      <c r="H5395" s="19" t="s">
        <v>28</v>
      </c>
      <c r="I5395" s="18" t="s">
        <v>28</v>
      </c>
      <c r="J5395" s="18" t="s">
        <v>28</v>
      </c>
      <c r="K5395" s="18" t="s">
        <v>28</v>
      </c>
      <c r="L5395" s="18" t="s">
        <v>28</v>
      </c>
      <c r="M5395" s="18" t="s">
        <v>28</v>
      </c>
      <c r="N5395" s="17">
        <v>44197</v>
      </c>
      <c r="O5395" s="15" t="s">
        <v>1639</v>
      </c>
      <c r="P5395" s="16" t="s">
        <v>28</v>
      </c>
      <c r="Q5395" s="15" t="s">
        <v>75</v>
      </c>
      <c r="R5395" s="13" t="str">
        <f>HYPERLINK("https://my.pitchbook.com?c=185413-51T","View Company Online")</f>
        <v>View Company Online</v>
      </c>
    </row>
    <row r="5396" spans="1:18" hidden="1" x14ac:dyDescent="0.3">
      <c r="A5396" s="9" t="s">
        <v>16877</v>
      </c>
      <c r="B5396" s="9" t="s">
        <v>12631</v>
      </c>
      <c r="C5396" s="11" t="s">
        <v>28</v>
      </c>
      <c r="D5396" s="9" t="s">
        <v>12632</v>
      </c>
      <c r="E5396" s="11" t="s">
        <v>28</v>
      </c>
      <c r="F5396" s="10" t="s">
        <v>28</v>
      </c>
      <c r="G5396" s="10" t="s">
        <v>28</v>
      </c>
      <c r="H5396" s="10" t="s">
        <v>28</v>
      </c>
      <c r="I5396" s="11" t="s">
        <v>28</v>
      </c>
      <c r="J5396" s="11" t="s">
        <v>28</v>
      </c>
      <c r="K5396" s="11" t="s">
        <v>28</v>
      </c>
      <c r="L5396" s="11" t="s">
        <v>28</v>
      </c>
      <c r="M5396" s="11" t="s">
        <v>28</v>
      </c>
      <c r="N5396" s="8">
        <v>44197</v>
      </c>
      <c r="O5396" s="9" t="s">
        <v>1639</v>
      </c>
      <c r="P5396" s="12" t="s">
        <v>28</v>
      </c>
      <c r="Q5396" s="9" t="s">
        <v>75</v>
      </c>
      <c r="R5396" s="14" t="str">
        <f>HYPERLINK("https://my.pitchbook.com?c=185413-60T","View Company Online")</f>
        <v>View Company Online</v>
      </c>
    </row>
    <row r="5397" spans="1:18" hidden="1" x14ac:dyDescent="0.3">
      <c r="A5397" s="15" t="s">
        <v>16878</v>
      </c>
      <c r="B5397" s="15" t="s">
        <v>16879</v>
      </c>
      <c r="C5397" s="18" t="s">
        <v>28</v>
      </c>
      <c r="D5397" s="15" t="s">
        <v>16880</v>
      </c>
      <c r="E5397" s="18" t="s">
        <v>28</v>
      </c>
      <c r="F5397" s="19" t="s">
        <v>28</v>
      </c>
      <c r="G5397" s="19" t="s">
        <v>28</v>
      </c>
      <c r="H5397" s="19" t="s">
        <v>28</v>
      </c>
      <c r="I5397" s="18" t="s">
        <v>28</v>
      </c>
      <c r="J5397" s="18" t="s">
        <v>28</v>
      </c>
      <c r="K5397" s="18" t="s">
        <v>28</v>
      </c>
      <c r="L5397" s="18" t="s">
        <v>28</v>
      </c>
      <c r="M5397" s="18" t="s">
        <v>28</v>
      </c>
      <c r="N5397" s="17">
        <v>44197</v>
      </c>
      <c r="O5397" s="15" t="s">
        <v>41</v>
      </c>
      <c r="P5397" s="16" t="s">
        <v>16881</v>
      </c>
      <c r="Q5397" s="15" t="s">
        <v>880</v>
      </c>
      <c r="R5397" s="13" t="str">
        <f>HYPERLINK("https://my.pitchbook.com?c=218941-39T","View Company Online")</f>
        <v>View Company Online</v>
      </c>
    </row>
    <row r="5398" spans="1:18" hidden="1" x14ac:dyDescent="0.3">
      <c r="A5398" s="9" t="s">
        <v>16882</v>
      </c>
      <c r="B5398" s="9" t="s">
        <v>16883</v>
      </c>
      <c r="C5398" s="11" t="s">
        <v>28</v>
      </c>
      <c r="D5398" s="9" t="s">
        <v>16884</v>
      </c>
      <c r="E5398" s="11" t="s">
        <v>28</v>
      </c>
      <c r="F5398" s="10" t="s">
        <v>28</v>
      </c>
      <c r="G5398" s="10" t="s">
        <v>28</v>
      </c>
      <c r="H5398" s="10" t="s">
        <v>28</v>
      </c>
      <c r="I5398" s="11" t="s">
        <v>28</v>
      </c>
      <c r="J5398" s="11" t="s">
        <v>28</v>
      </c>
      <c r="K5398" s="11" t="s">
        <v>28</v>
      </c>
      <c r="L5398" s="11" t="s">
        <v>28</v>
      </c>
      <c r="M5398" s="11" t="s">
        <v>28</v>
      </c>
      <c r="N5398" s="8">
        <v>44197</v>
      </c>
      <c r="O5398" s="9" t="s">
        <v>52</v>
      </c>
      <c r="P5398" s="12" t="s">
        <v>12319</v>
      </c>
      <c r="Q5398" s="9" t="s">
        <v>75</v>
      </c>
      <c r="R5398" s="14" t="str">
        <f>HYPERLINK("https://my.pitchbook.com?c=270012-88T","View Company Online")</f>
        <v>View Company Online</v>
      </c>
    </row>
    <row r="5399" spans="1:18" hidden="1" x14ac:dyDescent="0.3">
      <c r="A5399" s="15" t="s">
        <v>16885</v>
      </c>
      <c r="B5399" s="15" t="s">
        <v>8317</v>
      </c>
      <c r="C5399" s="18" t="s">
        <v>28</v>
      </c>
      <c r="D5399" s="15" t="s">
        <v>8318</v>
      </c>
      <c r="E5399" s="18" t="s">
        <v>28</v>
      </c>
      <c r="F5399" s="19" t="s">
        <v>28</v>
      </c>
      <c r="G5399" s="19" t="s">
        <v>28</v>
      </c>
      <c r="H5399" s="19" t="s">
        <v>28</v>
      </c>
      <c r="I5399" s="18" t="s">
        <v>28</v>
      </c>
      <c r="J5399" s="18" t="s">
        <v>28</v>
      </c>
      <c r="K5399" s="18" t="s">
        <v>28</v>
      </c>
      <c r="L5399" s="18" t="s">
        <v>28</v>
      </c>
      <c r="M5399" s="18" t="s">
        <v>28</v>
      </c>
      <c r="N5399" s="17">
        <v>44197</v>
      </c>
      <c r="O5399" s="15" t="s">
        <v>41</v>
      </c>
      <c r="P5399" s="16" t="s">
        <v>16886</v>
      </c>
      <c r="Q5399" s="15" t="s">
        <v>409</v>
      </c>
      <c r="R5399" s="13" t="str">
        <f>HYPERLINK("https://my.pitchbook.com?c=212029-66T","View Company Online")</f>
        <v>View Company Online</v>
      </c>
    </row>
    <row r="5400" spans="1:18" hidden="1" x14ac:dyDescent="0.3">
      <c r="A5400" s="9" t="s">
        <v>16887</v>
      </c>
      <c r="B5400" s="9" t="s">
        <v>4795</v>
      </c>
      <c r="C5400" s="11" t="s">
        <v>28</v>
      </c>
      <c r="D5400" s="9" t="s">
        <v>4796</v>
      </c>
      <c r="E5400" s="11" t="s">
        <v>28</v>
      </c>
      <c r="F5400" s="10" t="s">
        <v>28</v>
      </c>
      <c r="G5400" s="10">
        <v>0.06</v>
      </c>
      <c r="H5400" s="10" t="s">
        <v>28</v>
      </c>
      <c r="I5400" s="11" t="s">
        <v>28</v>
      </c>
      <c r="J5400" s="11" t="s">
        <v>28</v>
      </c>
      <c r="K5400" s="11" t="s">
        <v>28</v>
      </c>
      <c r="L5400" s="11" t="s">
        <v>28</v>
      </c>
      <c r="M5400" s="11" t="s">
        <v>28</v>
      </c>
      <c r="N5400" s="8">
        <v>44197</v>
      </c>
      <c r="O5400" s="9" t="s">
        <v>52</v>
      </c>
      <c r="P5400" s="12" t="s">
        <v>221</v>
      </c>
      <c r="Q5400" s="9" t="s">
        <v>316</v>
      </c>
      <c r="R5400" s="14" t="str">
        <f>HYPERLINK("https://my.pitchbook.com?c=215414-29T","View Company Online")</f>
        <v>View Company Online</v>
      </c>
    </row>
    <row r="5401" spans="1:18" hidden="1" x14ac:dyDescent="0.3">
      <c r="A5401" s="15" t="s">
        <v>16888</v>
      </c>
      <c r="B5401" s="15" t="s">
        <v>10365</v>
      </c>
      <c r="C5401" s="18" t="s">
        <v>28</v>
      </c>
      <c r="D5401" s="15" t="s">
        <v>10366</v>
      </c>
      <c r="E5401" s="18" t="s">
        <v>28</v>
      </c>
      <c r="F5401" s="19" t="s">
        <v>28</v>
      </c>
      <c r="G5401" s="19" t="s">
        <v>28</v>
      </c>
      <c r="H5401" s="19" t="s">
        <v>28</v>
      </c>
      <c r="I5401" s="18" t="s">
        <v>28</v>
      </c>
      <c r="J5401" s="18" t="s">
        <v>28</v>
      </c>
      <c r="K5401" s="18" t="s">
        <v>28</v>
      </c>
      <c r="L5401" s="18" t="s">
        <v>28</v>
      </c>
      <c r="M5401" s="18" t="s">
        <v>28</v>
      </c>
      <c r="N5401" s="17">
        <v>44197</v>
      </c>
      <c r="O5401" s="15" t="s">
        <v>79</v>
      </c>
      <c r="P5401" s="16" t="s">
        <v>16889</v>
      </c>
      <c r="Q5401" s="15" t="s">
        <v>75</v>
      </c>
      <c r="R5401" s="13" t="str">
        <f>HYPERLINK("https://my.pitchbook.com?c=215618-14T","View Company Online")</f>
        <v>View Company Online</v>
      </c>
    </row>
    <row r="5402" spans="1:18" hidden="1" x14ac:dyDescent="0.3">
      <c r="A5402" s="9" t="s">
        <v>16890</v>
      </c>
      <c r="B5402" s="9" t="s">
        <v>13441</v>
      </c>
      <c r="C5402" s="11" t="s">
        <v>28</v>
      </c>
      <c r="D5402" s="9" t="s">
        <v>13442</v>
      </c>
      <c r="E5402" s="11" t="s">
        <v>28</v>
      </c>
      <c r="F5402" s="10" t="s">
        <v>28</v>
      </c>
      <c r="G5402" s="10">
        <v>0.01</v>
      </c>
      <c r="H5402" s="10" t="s">
        <v>28</v>
      </c>
      <c r="I5402" s="11" t="s">
        <v>28</v>
      </c>
      <c r="J5402" s="11" t="s">
        <v>28</v>
      </c>
      <c r="K5402" s="11">
        <v>0.01</v>
      </c>
      <c r="L5402" s="11" t="s">
        <v>28</v>
      </c>
      <c r="M5402" s="11" t="s">
        <v>28</v>
      </c>
      <c r="N5402" s="8">
        <v>44197</v>
      </c>
      <c r="O5402" s="9" t="s">
        <v>52</v>
      </c>
      <c r="P5402" s="12" t="s">
        <v>28</v>
      </c>
      <c r="Q5402" s="9" t="s">
        <v>855</v>
      </c>
      <c r="R5402" s="14" t="str">
        <f>HYPERLINK("https://my.pitchbook.com?c=181984-87T","View Company Online")</f>
        <v>View Company Online</v>
      </c>
    </row>
    <row r="5403" spans="1:18" hidden="1" x14ac:dyDescent="0.3">
      <c r="A5403" s="15" t="s">
        <v>16891</v>
      </c>
      <c r="B5403" s="15" t="s">
        <v>16892</v>
      </c>
      <c r="C5403" s="18" t="s">
        <v>28</v>
      </c>
      <c r="D5403" s="15" t="s">
        <v>16893</v>
      </c>
      <c r="E5403" s="18" t="s">
        <v>28</v>
      </c>
      <c r="F5403" s="19" t="s">
        <v>28</v>
      </c>
      <c r="G5403" s="19">
        <v>2</v>
      </c>
      <c r="H5403" s="19" t="s">
        <v>28</v>
      </c>
      <c r="I5403" s="18" t="s">
        <v>28</v>
      </c>
      <c r="J5403" s="18" t="s">
        <v>28</v>
      </c>
      <c r="K5403" s="18" t="s">
        <v>28</v>
      </c>
      <c r="L5403" s="18" t="s">
        <v>28</v>
      </c>
      <c r="M5403" s="18" t="s">
        <v>28</v>
      </c>
      <c r="N5403" s="17">
        <v>44197</v>
      </c>
      <c r="O5403" s="15" t="s">
        <v>73</v>
      </c>
      <c r="P5403" s="16" t="s">
        <v>16894</v>
      </c>
      <c r="Q5403" s="15" t="s">
        <v>75</v>
      </c>
      <c r="R5403" s="13" t="str">
        <f>HYPERLINK("https://my.pitchbook.com?c=215586-10T","View Company Online")</f>
        <v>View Company Online</v>
      </c>
    </row>
    <row r="5404" spans="1:18" hidden="1" x14ac:dyDescent="0.3">
      <c r="A5404" s="9" t="s">
        <v>16895</v>
      </c>
      <c r="B5404" s="9" t="s">
        <v>2444</v>
      </c>
      <c r="C5404" s="11" t="s">
        <v>28</v>
      </c>
      <c r="D5404" s="9" t="s">
        <v>2445</v>
      </c>
      <c r="E5404" s="11" t="s">
        <v>28</v>
      </c>
      <c r="F5404" s="10" t="s">
        <v>28</v>
      </c>
      <c r="G5404" s="10">
        <v>0.4</v>
      </c>
      <c r="H5404" s="10" t="s">
        <v>28</v>
      </c>
      <c r="I5404" s="11" t="s">
        <v>28</v>
      </c>
      <c r="J5404" s="11" t="s">
        <v>28</v>
      </c>
      <c r="K5404" s="11" t="s">
        <v>28</v>
      </c>
      <c r="L5404" s="11" t="s">
        <v>28</v>
      </c>
      <c r="M5404" s="11" t="s">
        <v>28</v>
      </c>
      <c r="N5404" s="8">
        <v>44197</v>
      </c>
      <c r="O5404" s="9" t="s">
        <v>99</v>
      </c>
      <c r="P5404" s="12" t="s">
        <v>11193</v>
      </c>
      <c r="Q5404" s="9" t="s">
        <v>37</v>
      </c>
      <c r="R5404" s="14" t="str">
        <f>HYPERLINK("https://my.pitchbook.com?c=201530-71T","View Company Online")</f>
        <v>View Company Online</v>
      </c>
    </row>
    <row r="5405" spans="1:18" hidden="1" x14ac:dyDescent="0.3">
      <c r="A5405" s="15" t="s">
        <v>16896</v>
      </c>
      <c r="B5405" s="15" t="s">
        <v>16897</v>
      </c>
      <c r="C5405" s="18" t="s">
        <v>28</v>
      </c>
      <c r="D5405" s="15" t="s">
        <v>16898</v>
      </c>
      <c r="E5405" s="18" t="s">
        <v>28</v>
      </c>
      <c r="F5405" s="19" t="s">
        <v>28</v>
      </c>
      <c r="G5405" s="19">
        <v>0.17</v>
      </c>
      <c r="H5405" s="19" t="s">
        <v>28</v>
      </c>
      <c r="I5405" s="18" t="s">
        <v>28</v>
      </c>
      <c r="J5405" s="18" t="s">
        <v>28</v>
      </c>
      <c r="K5405" s="18" t="s">
        <v>28</v>
      </c>
      <c r="L5405" s="18" t="s">
        <v>28</v>
      </c>
      <c r="M5405" s="18" t="s">
        <v>28</v>
      </c>
      <c r="N5405" s="17">
        <v>44197</v>
      </c>
      <c r="O5405" s="15" t="s">
        <v>1639</v>
      </c>
      <c r="P5405" s="16" t="s">
        <v>28</v>
      </c>
      <c r="Q5405" s="15" t="s">
        <v>75</v>
      </c>
      <c r="R5405" s="13" t="str">
        <f>HYPERLINK("https://my.pitchbook.com?c=221427-19T","View Company Online")</f>
        <v>View Company Online</v>
      </c>
    </row>
    <row r="5406" spans="1:18" hidden="1" x14ac:dyDescent="0.3">
      <c r="A5406" s="9" t="s">
        <v>16899</v>
      </c>
      <c r="B5406" s="9" t="s">
        <v>9987</v>
      </c>
      <c r="C5406" s="11" t="s">
        <v>28</v>
      </c>
      <c r="D5406" s="9" t="s">
        <v>9988</v>
      </c>
      <c r="E5406" s="11" t="s">
        <v>28</v>
      </c>
      <c r="F5406" s="10" t="s">
        <v>28</v>
      </c>
      <c r="G5406" s="10" t="s">
        <v>28</v>
      </c>
      <c r="H5406" s="10" t="s">
        <v>28</v>
      </c>
      <c r="I5406" s="11" t="s">
        <v>28</v>
      </c>
      <c r="J5406" s="11" t="s">
        <v>28</v>
      </c>
      <c r="K5406" s="11" t="s">
        <v>28</v>
      </c>
      <c r="L5406" s="11" t="s">
        <v>28</v>
      </c>
      <c r="M5406" s="11" t="s">
        <v>28</v>
      </c>
      <c r="N5406" s="8">
        <v>44197</v>
      </c>
      <c r="O5406" s="9" t="s">
        <v>52</v>
      </c>
      <c r="P5406" s="12" t="s">
        <v>2442</v>
      </c>
      <c r="Q5406" s="9" t="s">
        <v>75</v>
      </c>
      <c r="R5406" s="14" t="str">
        <f>HYPERLINK("https://my.pitchbook.com?c=265137-76T","View Company Online")</f>
        <v>View Company Online</v>
      </c>
    </row>
    <row r="5407" spans="1:18" hidden="1" x14ac:dyDescent="0.3">
      <c r="A5407" s="15" t="s">
        <v>16900</v>
      </c>
      <c r="B5407" s="15" t="s">
        <v>16901</v>
      </c>
      <c r="C5407" s="18" t="s">
        <v>28</v>
      </c>
      <c r="D5407" s="15" t="s">
        <v>16902</v>
      </c>
      <c r="E5407" s="18" t="s">
        <v>28</v>
      </c>
      <c r="F5407" s="19" t="s">
        <v>28</v>
      </c>
      <c r="G5407" s="19" t="s">
        <v>28</v>
      </c>
      <c r="H5407" s="19" t="s">
        <v>28</v>
      </c>
      <c r="I5407" s="18" t="s">
        <v>28</v>
      </c>
      <c r="J5407" s="18" t="s">
        <v>28</v>
      </c>
      <c r="K5407" s="18" t="s">
        <v>28</v>
      </c>
      <c r="L5407" s="18" t="s">
        <v>28</v>
      </c>
      <c r="M5407" s="18" t="s">
        <v>28</v>
      </c>
      <c r="N5407" s="17">
        <v>44197</v>
      </c>
      <c r="O5407" s="15" t="s">
        <v>30</v>
      </c>
      <c r="P5407" s="16" t="s">
        <v>28</v>
      </c>
      <c r="Q5407" s="15" t="s">
        <v>386</v>
      </c>
      <c r="R5407" s="13" t="str">
        <f>HYPERLINK("https://my.pitchbook.com?c=192959-56T","View Company Online")</f>
        <v>View Company Online</v>
      </c>
    </row>
    <row r="5408" spans="1:18" hidden="1" x14ac:dyDescent="0.3">
      <c r="A5408" s="9" t="s">
        <v>16903</v>
      </c>
      <c r="B5408" s="9" t="s">
        <v>12795</v>
      </c>
      <c r="C5408" s="11" t="s">
        <v>28</v>
      </c>
      <c r="D5408" s="9" t="s">
        <v>12796</v>
      </c>
      <c r="E5408" s="11" t="s">
        <v>28</v>
      </c>
      <c r="F5408" s="10" t="s">
        <v>28</v>
      </c>
      <c r="G5408" s="10" t="s">
        <v>28</v>
      </c>
      <c r="H5408" s="10" t="s">
        <v>28</v>
      </c>
      <c r="I5408" s="11" t="s">
        <v>28</v>
      </c>
      <c r="J5408" s="11" t="s">
        <v>28</v>
      </c>
      <c r="K5408" s="11" t="s">
        <v>28</v>
      </c>
      <c r="L5408" s="11" t="s">
        <v>28</v>
      </c>
      <c r="M5408" s="11" t="s">
        <v>28</v>
      </c>
      <c r="N5408" s="8">
        <v>44197</v>
      </c>
      <c r="O5408" s="9" t="s">
        <v>58</v>
      </c>
      <c r="P5408" s="12" t="s">
        <v>28</v>
      </c>
      <c r="Q5408" s="9" t="s">
        <v>105</v>
      </c>
      <c r="R5408" s="14" t="str">
        <f>HYPERLINK("https://my.pitchbook.com?c=188431-30T","View Company Online")</f>
        <v>View Company Online</v>
      </c>
    </row>
    <row r="5409" spans="1:18" hidden="1" x14ac:dyDescent="0.3">
      <c r="A5409" s="15" t="s">
        <v>16904</v>
      </c>
      <c r="B5409" s="15" t="s">
        <v>16905</v>
      </c>
      <c r="C5409" s="18" t="s">
        <v>28</v>
      </c>
      <c r="D5409" s="15" t="s">
        <v>16906</v>
      </c>
      <c r="E5409" s="18" t="s">
        <v>28</v>
      </c>
      <c r="F5409" s="19" t="s">
        <v>28</v>
      </c>
      <c r="G5409" s="19" t="s">
        <v>28</v>
      </c>
      <c r="H5409" s="19" t="s">
        <v>28</v>
      </c>
      <c r="I5409" s="18" t="s">
        <v>28</v>
      </c>
      <c r="J5409" s="18" t="s">
        <v>28</v>
      </c>
      <c r="K5409" s="18" t="s">
        <v>28</v>
      </c>
      <c r="L5409" s="18" t="s">
        <v>28</v>
      </c>
      <c r="M5409" s="18" t="s">
        <v>28</v>
      </c>
      <c r="N5409" s="17">
        <v>44197</v>
      </c>
      <c r="O5409" s="15" t="s">
        <v>30</v>
      </c>
      <c r="P5409" s="16" t="s">
        <v>16907</v>
      </c>
      <c r="Q5409" s="15" t="s">
        <v>409</v>
      </c>
      <c r="R5409" s="13" t="str">
        <f>HYPERLINK("https://my.pitchbook.com?c=207460-99T","View Company Online")</f>
        <v>View Company Online</v>
      </c>
    </row>
    <row r="5410" spans="1:18" hidden="1" x14ac:dyDescent="0.3">
      <c r="A5410" s="9" t="s">
        <v>16908</v>
      </c>
      <c r="B5410" s="9" t="s">
        <v>8383</v>
      </c>
      <c r="C5410" s="11" t="s">
        <v>28</v>
      </c>
      <c r="D5410" s="9" t="s">
        <v>8384</v>
      </c>
      <c r="E5410" s="11" t="s">
        <v>28</v>
      </c>
      <c r="F5410" s="10" t="s">
        <v>28</v>
      </c>
      <c r="G5410" s="10" t="s">
        <v>28</v>
      </c>
      <c r="H5410" s="10" t="s">
        <v>28</v>
      </c>
      <c r="I5410" s="11" t="s">
        <v>28</v>
      </c>
      <c r="J5410" s="11" t="s">
        <v>28</v>
      </c>
      <c r="K5410" s="11" t="s">
        <v>28</v>
      </c>
      <c r="L5410" s="11" t="s">
        <v>28</v>
      </c>
      <c r="M5410" s="11" t="s">
        <v>28</v>
      </c>
      <c r="N5410" s="8">
        <v>44197</v>
      </c>
      <c r="O5410" s="9" t="s">
        <v>73</v>
      </c>
      <c r="P5410" s="12" t="s">
        <v>16909</v>
      </c>
      <c r="Q5410" s="9" t="s">
        <v>37</v>
      </c>
      <c r="R5410" s="14" t="str">
        <f>HYPERLINK("https://my.pitchbook.com?c=190118-26T","View Company Online")</f>
        <v>View Company Online</v>
      </c>
    </row>
    <row r="5411" spans="1:18" hidden="1" x14ac:dyDescent="0.3">
      <c r="A5411" s="15" t="s">
        <v>16910</v>
      </c>
      <c r="B5411" s="15" t="s">
        <v>16911</v>
      </c>
      <c r="C5411" s="18" t="s">
        <v>28</v>
      </c>
      <c r="D5411" s="15" t="s">
        <v>16912</v>
      </c>
      <c r="E5411" s="18" t="s">
        <v>28</v>
      </c>
      <c r="F5411" s="19" t="s">
        <v>28</v>
      </c>
      <c r="G5411" s="19" t="s">
        <v>28</v>
      </c>
      <c r="H5411" s="19" t="s">
        <v>28</v>
      </c>
      <c r="I5411" s="18" t="s">
        <v>28</v>
      </c>
      <c r="J5411" s="18" t="s">
        <v>28</v>
      </c>
      <c r="K5411" s="18" t="s">
        <v>28</v>
      </c>
      <c r="L5411" s="18" t="s">
        <v>28</v>
      </c>
      <c r="M5411" s="18" t="s">
        <v>28</v>
      </c>
      <c r="N5411" s="17">
        <v>44197</v>
      </c>
      <c r="O5411" s="15" t="s">
        <v>30</v>
      </c>
      <c r="P5411" s="16" t="s">
        <v>28</v>
      </c>
      <c r="Q5411" s="15" t="s">
        <v>119</v>
      </c>
      <c r="R5411" s="13" t="str">
        <f>HYPERLINK("https://my.pitchbook.com?c=179765-83T","View Company Online")</f>
        <v>View Company Online</v>
      </c>
    </row>
    <row r="5412" spans="1:18" hidden="1" x14ac:dyDescent="0.3">
      <c r="A5412" s="9" t="s">
        <v>16913</v>
      </c>
      <c r="B5412" s="9" t="s">
        <v>16914</v>
      </c>
      <c r="C5412" s="11" t="s">
        <v>28</v>
      </c>
      <c r="D5412" s="9" t="s">
        <v>16915</v>
      </c>
      <c r="E5412" s="11" t="s">
        <v>28</v>
      </c>
      <c r="F5412" s="10" t="s">
        <v>28</v>
      </c>
      <c r="G5412" s="10" t="s">
        <v>28</v>
      </c>
      <c r="H5412" s="10" t="s">
        <v>28</v>
      </c>
      <c r="I5412" s="11" t="s">
        <v>28</v>
      </c>
      <c r="J5412" s="11" t="s">
        <v>28</v>
      </c>
      <c r="K5412" s="11" t="s">
        <v>28</v>
      </c>
      <c r="L5412" s="11" t="s">
        <v>28</v>
      </c>
      <c r="M5412" s="11" t="s">
        <v>28</v>
      </c>
      <c r="N5412" s="8">
        <v>44197</v>
      </c>
      <c r="O5412" s="9" t="s">
        <v>30</v>
      </c>
      <c r="P5412" s="12" t="s">
        <v>6926</v>
      </c>
      <c r="Q5412" s="9" t="s">
        <v>607</v>
      </c>
      <c r="R5412" s="14" t="str">
        <f>HYPERLINK("https://my.pitchbook.com?c=212306-86T","View Company Online")</f>
        <v>View Company Online</v>
      </c>
    </row>
    <row r="5413" spans="1:18" hidden="1" x14ac:dyDescent="0.3">
      <c r="A5413" s="15" t="s">
        <v>16916</v>
      </c>
      <c r="B5413" s="15" t="s">
        <v>16917</v>
      </c>
      <c r="C5413" s="18" t="s">
        <v>28</v>
      </c>
      <c r="D5413" s="15" t="s">
        <v>16918</v>
      </c>
      <c r="E5413" s="18" t="s">
        <v>28</v>
      </c>
      <c r="F5413" s="19" t="s">
        <v>28</v>
      </c>
      <c r="G5413" s="19" t="s">
        <v>28</v>
      </c>
      <c r="H5413" s="19" t="s">
        <v>28</v>
      </c>
      <c r="I5413" s="18" t="s">
        <v>28</v>
      </c>
      <c r="J5413" s="18" t="s">
        <v>28</v>
      </c>
      <c r="K5413" s="18" t="s">
        <v>28</v>
      </c>
      <c r="L5413" s="18" t="s">
        <v>28</v>
      </c>
      <c r="M5413" s="18" t="s">
        <v>28</v>
      </c>
      <c r="N5413" s="17">
        <v>44197</v>
      </c>
      <c r="O5413" s="15" t="s">
        <v>52</v>
      </c>
      <c r="P5413" s="16" t="s">
        <v>2442</v>
      </c>
      <c r="Q5413" s="15" t="s">
        <v>75</v>
      </c>
      <c r="R5413" s="13" t="str">
        <f>HYPERLINK("https://my.pitchbook.com?c=266754-07T","View Company Online")</f>
        <v>View Company Online</v>
      </c>
    </row>
    <row r="5414" spans="1:18" hidden="1" x14ac:dyDescent="0.3">
      <c r="A5414" s="9" t="s">
        <v>16919</v>
      </c>
      <c r="B5414" s="9" t="s">
        <v>16920</v>
      </c>
      <c r="C5414" s="11" t="s">
        <v>28</v>
      </c>
      <c r="D5414" s="9" t="s">
        <v>16921</v>
      </c>
      <c r="E5414" s="11" t="s">
        <v>28</v>
      </c>
      <c r="F5414" s="10" t="s">
        <v>28</v>
      </c>
      <c r="G5414" s="10" t="s">
        <v>28</v>
      </c>
      <c r="H5414" s="10" t="s">
        <v>28</v>
      </c>
      <c r="I5414" s="11" t="s">
        <v>28</v>
      </c>
      <c r="J5414" s="11" t="s">
        <v>28</v>
      </c>
      <c r="K5414" s="11" t="s">
        <v>28</v>
      </c>
      <c r="L5414" s="11" t="s">
        <v>28</v>
      </c>
      <c r="M5414" s="11" t="s">
        <v>28</v>
      </c>
      <c r="N5414" s="8">
        <v>44197</v>
      </c>
      <c r="O5414" s="9" t="s">
        <v>30</v>
      </c>
      <c r="P5414" s="12" t="s">
        <v>16922</v>
      </c>
      <c r="Q5414" s="9" t="s">
        <v>1007</v>
      </c>
      <c r="R5414" s="14" t="str">
        <f>HYPERLINK("https://my.pitchbook.com?c=257504-68T","View Company Online")</f>
        <v>View Company Online</v>
      </c>
    </row>
    <row r="5415" spans="1:18" hidden="1" x14ac:dyDescent="0.3">
      <c r="A5415" s="15" t="s">
        <v>16923</v>
      </c>
      <c r="B5415" s="15" t="s">
        <v>3403</v>
      </c>
      <c r="C5415" s="18" t="s">
        <v>28</v>
      </c>
      <c r="D5415" s="15" t="s">
        <v>3404</v>
      </c>
      <c r="E5415" s="18" t="s">
        <v>28</v>
      </c>
      <c r="F5415" s="19" t="s">
        <v>28</v>
      </c>
      <c r="G5415" s="19" t="s">
        <v>28</v>
      </c>
      <c r="H5415" s="19" t="s">
        <v>28</v>
      </c>
      <c r="I5415" s="18" t="s">
        <v>28</v>
      </c>
      <c r="J5415" s="18" t="s">
        <v>28</v>
      </c>
      <c r="K5415" s="18" t="s">
        <v>28</v>
      </c>
      <c r="L5415" s="18" t="s">
        <v>28</v>
      </c>
      <c r="M5415" s="18" t="s">
        <v>28</v>
      </c>
      <c r="N5415" s="17">
        <v>44197</v>
      </c>
      <c r="O5415" s="15" t="s">
        <v>52</v>
      </c>
      <c r="P5415" s="16" t="s">
        <v>16924</v>
      </c>
      <c r="Q5415" s="15" t="s">
        <v>37</v>
      </c>
      <c r="R5415" s="13" t="str">
        <f>HYPERLINK("https://my.pitchbook.com?c=284387-68T","View Company Online")</f>
        <v>View Company Online</v>
      </c>
    </row>
    <row r="5416" spans="1:18" hidden="1" x14ac:dyDescent="0.3">
      <c r="A5416" s="9" t="s">
        <v>16925</v>
      </c>
      <c r="B5416" s="9" t="s">
        <v>8530</v>
      </c>
      <c r="C5416" s="11" t="s">
        <v>28</v>
      </c>
      <c r="D5416" s="9" t="s">
        <v>8531</v>
      </c>
      <c r="E5416" s="11" t="s">
        <v>28</v>
      </c>
      <c r="F5416" s="10" t="s">
        <v>28</v>
      </c>
      <c r="G5416" s="10" t="s">
        <v>28</v>
      </c>
      <c r="H5416" s="10" t="s">
        <v>28</v>
      </c>
      <c r="I5416" s="11" t="s">
        <v>28</v>
      </c>
      <c r="J5416" s="11" t="s">
        <v>28</v>
      </c>
      <c r="K5416" s="11" t="s">
        <v>28</v>
      </c>
      <c r="L5416" s="11" t="s">
        <v>28</v>
      </c>
      <c r="M5416" s="11" t="s">
        <v>28</v>
      </c>
      <c r="N5416" s="8">
        <v>44197</v>
      </c>
      <c r="O5416" s="9" t="s">
        <v>79</v>
      </c>
      <c r="P5416" s="12" t="s">
        <v>16926</v>
      </c>
      <c r="Q5416" s="9" t="s">
        <v>95</v>
      </c>
      <c r="R5416" s="14" t="str">
        <f>HYPERLINK("https://my.pitchbook.com?c=216037-72T","View Company Online")</f>
        <v>View Company Online</v>
      </c>
    </row>
    <row r="5417" spans="1:18" hidden="1" x14ac:dyDescent="0.3">
      <c r="A5417" s="15" t="s">
        <v>16927</v>
      </c>
      <c r="B5417" s="15" t="s">
        <v>401</v>
      </c>
      <c r="C5417" s="18" t="s">
        <v>28</v>
      </c>
      <c r="D5417" s="15" t="s">
        <v>402</v>
      </c>
      <c r="E5417" s="18" t="s">
        <v>28</v>
      </c>
      <c r="F5417" s="19" t="s">
        <v>28</v>
      </c>
      <c r="G5417" s="19" t="s">
        <v>28</v>
      </c>
      <c r="H5417" s="19" t="s">
        <v>28</v>
      </c>
      <c r="I5417" s="18" t="s">
        <v>28</v>
      </c>
      <c r="J5417" s="18" t="s">
        <v>28</v>
      </c>
      <c r="K5417" s="18" t="s">
        <v>28</v>
      </c>
      <c r="L5417" s="18" t="s">
        <v>28</v>
      </c>
      <c r="M5417" s="18" t="s">
        <v>28</v>
      </c>
      <c r="N5417" s="17">
        <v>44197</v>
      </c>
      <c r="O5417" s="15" t="s">
        <v>52</v>
      </c>
      <c r="P5417" s="16" t="s">
        <v>16928</v>
      </c>
      <c r="Q5417" s="15" t="s">
        <v>404</v>
      </c>
      <c r="R5417" s="13" t="str">
        <f>HYPERLINK("https://my.pitchbook.com?c=284450-32T","View Company Online")</f>
        <v>View Company Online</v>
      </c>
    </row>
    <row r="5418" spans="1:18" hidden="1" x14ac:dyDescent="0.3">
      <c r="A5418" s="9" t="s">
        <v>16929</v>
      </c>
      <c r="B5418" s="9" t="s">
        <v>16930</v>
      </c>
      <c r="C5418" s="11" t="s">
        <v>28</v>
      </c>
      <c r="D5418" s="9" t="s">
        <v>16931</v>
      </c>
      <c r="E5418" s="11" t="s">
        <v>28</v>
      </c>
      <c r="F5418" s="10" t="s">
        <v>28</v>
      </c>
      <c r="G5418" s="10" t="s">
        <v>28</v>
      </c>
      <c r="H5418" s="10" t="s">
        <v>28</v>
      </c>
      <c r="I5418" s="11" t="s">
        <v>28</v>
      </c>
      <c r="J5418" s="11" t="s">
        <v>28</v>
      </c>
      <c r="K5418" s="11" t="s">
        <v>28</v>
      </c>
      <c r="L5418" s="11" t="s">
        <v>28</v>
      </c>
      <c r="M5418" s="11" t="s">
        <v>28</v>
      </c>
      <c r="N5418" s="8">
        <v>44197</v>
      </c>
      <c r="O5418" s="9" t="s">
        <v>93</v>
      </c>
      <c r="P5418" s="12" t="s">
        <v>16932</v>
      </c>
      <c r="Q5418" s="9" t="s">
        <v>16933</v>
      </c>
      <c r="R5418" s="14" t="str">
        <f>HYPERLINK("https://my.pitchbook.com?c=168600-07T","View Company Online")</f>
        <v>View Company Online</v>
      </c>
    </row>
    <row r="5419" spans="1:18" hidden="1" x14ac:dyDescent="0.3">
      <c r="A5419" s="15" t="s">
        <v>16934</v>
      </c>
      <c r="B5419" s="15" t="s">
        <v>16935</v>
      </c>
      <c r="C5419" s="18" t="s">
        <v>28</v>
      </c>
      <c r="D5419" s="15" t="s">
        <v>16936</v>
      </c>
      <c r="E5419" s="18" t="s">
        <v>28</v>
      </c>
      <c r="F5419" s="19" t="s">
        <v>28</v>
      </c>
      <c r="G5419" s="19" t="s">
        <v>28</v>
      </c>
      <c r="H5419" s="19" t="s">
        <v>28</v>
      </c>
      <c r="I5419" s="18" t="s">
        <v>28</v>
      </c>
      <c r="J5419" s="18" t="s">
        <v>28</v>
      </c>
      <c r="K5419" s="18" t="s">
        <v>28</v>
      </c>
      <c r="L5419" s="18" t="s">
        <v>28</v>
      </c>
      <c r="M5419" s="18" t="s">
        <v>28</v>
      </c>
      <c r="N5419" s="17">
        <v>44197</v>
      </c>
      <c r="O5419" s="15" t="s">
        <v>52</v>
      </c>
      <c r="P5419" s="16" t="s">
        <v>221</v>
      </c>
      <c r="Q5419" s="15" t="s">
        <v>75</v>
      </c>
      <c r="R5419" s="13" t="str">
        <f>HYPERLINK("https://my.pitchbook.com?c=215444-26T","View Company Online")</f>
        <v>View Company Online</v>
      </c>
    </row>
    <row r="5420" spans="1:18" hidden="1" x14ac:dyDescent="0.3">
      <c r="A5420" s="9" t="s">
        <v>16937</v>
      </c>
      <c r="B5420" s="9" t="s">
        <v>16938</v>
      </c>
      <c r="C5420" s="11" t="s">
        <v>28</v>
      </c>
      <c r="D5420" s="9" t="s">
        <v>16939</v>
      </c>
      <c r="E5420" s="11" t="s">
        <v>28</v>
      </c>
      <c r="F5420" s="10" t="s">
        <v>28</v>
      </c>
      <c r="G5420" s="10" t="s">
        <v>28</v>
      </c>
      <c r="H5420" s="10" t="s">
        <v>28</v>
      </c>
      <c r="I5420" s="11" t="s">
        <v>28</v>
      </c>
      <c r="J5420" s="11" t="s">
        <v>28</v>
      </c>
      <c r="K5420" s="11" t="s">
        <v>28</v>
      </c>
      <c r="L5420" s="11" t="s">
        <v>28</v>
      </c>
      <c r="M5420" s="11" t="s">
        <v>28</v>
      </c>
      <c r="N5420" s="8">
        <v>44197</v>
      </c>
      <c r="O5420" s="9" t="s">
        <v>41</v>
      </c>
      <c r="P5420" s="12" t="s">
        <v>14778</v>
      </c>
      <c r="Q5420" s="9" t="s">
        <v>75</v>
      </c>
      <c r="R5420" s="14" t="str">
        <f>HYPERLINK("https://my.pitchbook.com?c=212187-43T","View Company Online")</f>
        <v>View Company Online</v>
      </c>
    </row>
    <row r="5421" spans="1:18" hidden="1" x14ac:dyDescent="0.3">
      <c r="A5421" s="15" t="s">
        <v>16940</v>
      </c>
      <c r="B5421" s="15" t="s">
        <v>2557</v>
      </c>
      <c r="C5421" s="18" t="s">
        <v>28</v>
      </c>
      <c r="D5421" s="15" t="s">
        <v>2558</v>
      </c>
      <c r="E5421" s="18" t="s">
        <v>28</v>
      </c>
      <c r="F5421" s="19" t="s">
        <v>28</v>
      </c>
      <c r="G5421" s="19">
        <v>0.19</v>
      </c>
      <c r="H5421" s="19" t="s">
        <v>28</v>
      </c>
      <c r="I5421" s="18" t="s">
        <v>28</v>
      </c>
      <c r="J5421" s="18" t="s">
        <v>28</v>
      </c>
      <c r="K5421" s="18" t="s">
        <v>28</v>
      </c>
      <c r="L5421" s="18" t="s">
        <v>28</v>
      </c>
      <c r="M5421" s="18" t="s">
        <v>28</v>
      </c>
      <c r="N5421" s="17">
        <v>44197</v>
      </c>
      <c r="O5421" s="15" t="s">
        <v>379</v>
      </c>
      <c r="P5421" s="16" t="s">
        <v>16941</v>
      </c>
      <c r="Q5421" s="15" t="s">
        <v>105</v>
      </c>
      <c r="R5421" s="13" t="str">
        <f>HYPERLINK("https://my.pitchbook.com?c=258529-96T","View Company Online")</f>
        <v>View Company Online</v>
      </c>
    </row>
    <row r="5422" spans="1:18" hidden="1" x14ac:dyDescent="0.3">
      <c r="A5422" s="9" t="s">
        <v>16942</v>
      </c>
      <c r="B5422" s="9" t="s">
        <v>16943</v>
      </c>
      <c r="C5422" s="11" t="s">
        <v>28</v>
      </c>
      <c r="D5422" s="9" t="s">
        <v>16944</v>
      </c>
      <c r="E5422" s="11" t="s">
        <v>28</v>
      </c>
      <c r="F5422" s="10" t="s">
        <v>28</v>
      </c>
      <c r="G5422" s="10" t="s">
        <v>28</v>
      </c>
      <c r="H5422" s="10" t="s">
        <v>28</v>
      </c>
      <c r="I5422" s="11" t="s">
        <v>28</v>
      </c>
      <c r="J5422" s="11" t="s">
        <v>28</v>
      </c>
      <c r="K5422" s="11" t="s">
        <v>28</v>
      </c>
      <c r="L5422" s="11" t="s">
        <v>28</v>
      </c>
      <c r="M5422" s="11" t="s">
        <v>28</v>
      </c>
      <c r="N5422" s="8">
        <v>44197</v>
      </c>
      <c r="O5422" s="9" t="s">
        <v>52</v>
      </c>
      <c r="P5422" s="12" t="s">
        <v>2830</v>
      </c>
      <c r="Q5422" s="9" t="s">
        <v>75</v>
      </c>
      <c r="R5422" s="14" t="str">
        <f>HYPERLINK("https://my.pitchbook.com?c=292625-11T","View Company Online")</f>
        <v>View Company Online</v>
      </c>
    </row>
    <row r="5423" spans="1:18" hidden="1" x14ac:dyDescent="0.3">
      <c r="A5423" s="15" t="s">
        <v>16945</v>
      </c>
      <c r="B5423" s="15" t="s">
        <v>16946</v>
      </c>
      <c r="C5423" s="18" t="s">
        <v>28</v>
      </c>
      <c r="D5423" s="15" t="s">
        <v>16947</v>
      </c>
      <c r="E5423" s="18" t="s">
        <v>28</v>
      </c>
      <c r="F5423" s="19" t="s">
        <v>28</v>
      </c>
      <c r="G5423" s="19" t="s">
        <v>28</v>
      </c>
      <c r="H5423" s="19" t="s">
        <v>28</v>
      </c>
      <c r="I5423" s="18" t="s">
        <v>28</v>
      </c>
      <c r="J5423" s="18" t="s">
        <v>28</v>
      </c>
      <c r="K5423" s="18" t="s">
        <v>28</v>
      </c>
      <c r="L5423" s="18" t="s">
        <v>28</v>
      </c>
      <c r="M5423" s="18" t="s">
        <v>28</v>
      </c>
      <c r="N5423" s="17">
        <v>44197</v>
      </c>
      <c r="O5423" s="15" t="s">
        <v>99</v>
      </c>
      <c r="P5423" s="16" t="s">
        <v>16948</v>
      </c>
      <c r="Q5423" s="15" t="s">
        <v>75</v>
      </c>
      <c r="R5423" s="13" t="str">
        <f>HYPERLINK("https://my.pitchbook.com?c=215923-24T","View Company Online")</f>
        <v>View Company Online</v>
      </c>
    </row>
    <row r="5424" spans="1:18" hidden="1" x14ac:dyDescent="0.3">
      <c r="A5424" s="9" t="s">
        <v>16949</v>
      </c>
      <c r="B5424" s="9" t="s">
        <v>16950</v>
      </c>
      <c r="C5424" s="11" t="s">
        <v>28</v>
      </c>
      <c r="D5424" s="9" t="s">
        <v>16951</v>
      </c>
      <c r="E5424" s="11" t="s">
        <v>28</v>
      </c>
      <c r="F5424" s="10" t="s">
        <v>28</v>
      </c>
      <c r="G5424" s="10" t="s">
        <v>28</v>
      </c>
      <c r="H5424" s="10" t="s">
        <v>28</v>
      </c>
      <c r="I5424" s="11" t="s">
        <v>28</v>
      </c>
      <c r="J5424" s="11" t="s">
        <v>28</v>
      </c>
      <c r="K5424" s="11" t="s">
        <v>28</v>
      </c>
      <c r="L5424" s="11" t="s">
        <v>28</v>
      </c>
      <c r="M5424" s="11" t="s">
        <v>28</v>
      </c>
      <c r="N5424" s="8">
        <v>44197</v>
      </c>
      <c r="O5424" s="9" t="s">
        <v>52</v>
      </c>
      <c r="P5424" s="12" t="s">
        <v>1880</v>
      </c>
      <c r="Q5424" s="9" t="s">
        <v>386</v>
      </c>
      <c r="R5424" s="14" t="str">
        <f>HYPERLINK("https://my.pitchbook.com?c=274787-02T","View Company Online")</f>
        <v>View Company Online</v>
      </c>
    </row>
    <row r="5425" spans="1:18" hidden="1" x14ac:dyDescent="0.3">
      <c r="A5425" s="15" t="s">
        <v>16952</v>
      </c>
      <c r="B5425" s="15" t="s">
        <v>16950</v>
      </c>
      <c r="C5425" s="18" t="s">
        <v>28</v>
      </c>
      <c r="D5425" s="15" t="s">
        <v>16951</v>
      </c>
      <c r="E5425" s="18" t="s">
        <v>28</v>
      </c>
      <c r="F5425" s="19" t="s">
        <v>28</v>
      </c>
      <c r="G5425" s="19" t="s">
        <v>28</v>
      </c>
      <c r="H5425" s="19" t="s">
        <v>28</v>
      </c>
      <c r="I5425" s="18" t="s">
        <v>28</v>
      </c>
      <c r="J5425" s="18" t="s">
        <v>28</v>
      </c>
      <c r="K5425" s="18" t="s">
        <v>28</v>
      </c>
      <c r="L5425" s="18" t="s">
        <v>28</v>
      </c>
      <c r="M5425" s="18" t="s">
        <v>28</v>
      </c>
      <c r="N5425" s="17">
        <v>44197</v>
      </c>
      <c r="O5425" s="15" t="s">
        <v>52</v>
      </c>
      <c r="P5425" s="16" t="s">
        <v>16953</v>
      </c>
      <c r="Q5425" s="15" t="s">
        <v>386</v>
      </c>
      <c r="R5425" s="13" t="str">
        <f>HYPERLINK("https://my.pitchbook.com?c=274790-53T","View Company Online")</f>
        <v>View Company Online</v>
      </c>
    </row>
    <row r="5426" spans="1:18" hidden="1" x14ac:dyDescent="0.3">
      <c r="A5426" s="9" t="s">
        <v>16954</v>
      </c>
      <c r="B5426" s="9" t="s">
        <v>3163</v>
      </c>
      <c r="C5426" s="11" t="s">
        <v>28</v>
      </c>
      <c r="D5426" s="9" t="s">
        <v>3164</v>
      </c>
      <c r="E5426" s="11" t="s">
        <v>28</v>
      </c>
      <c r="F5426" s="10" t="s">
        <v>28</v>
      </c>
      <c r="G5426" s="10" t="s">
        <v>28</v>
      </c>
      <c r="H5426" s="10" t="s">
        <v>28</v>
      </c>
      <c r="I5426" s="11" t="s">
        <v>28</v>
      </c>
      <c r="J5426" s="11" t="s">
        <v>28</v>
      </c>
      <c r="K5426" s="11" t="s">
        <v>28</v>
      </c>
      <c r="L5426" s="11" t="s">
        <v>28</v>
      </c>
      <c r="M5426" s="11" t="s">
        <v>28</v>
      </c>
      <c r="N5426" s="8">
        <v>44197</v>
      </c>
      <c r="O5426" s="9" t="s">
        <v>58</v>
      </c>
      <c r="P5426" s="12" t="s">
        <v>343</v>
      </c>
      <c r="Q5426" s="9" t="s">
        <v>240</v>
      </c>
      <c r="R5426" s="14" t="str">
        <f>HYPERLINK("https://my.pitchbook.com?c=258321-79T","View Company Online")</f>
        <v>View Company Online</v>
      </c>
    </row>
    <row r="5427" spans="1:18" hidden="1" x14ac:dyDescent="0.3">
      <c r="A5427" s="15" t="s">
        <v>16955</v>
      </c>
      <c r="B5427" s="15" t="s">
        <v>12445</v>
      </c>
      <c r="C5427" s="18" t="s">
        <v>28</v>
      </c>
      <c r="D5427" s="15" t="s">
        <v>12446</v>
      </c>
      <c r="E5427" s="18" t="s">
        <v>28</v>
      </c>
      <c r="F5427" s="19" t="s">
        <v>28</v>
      </c>
      <c r="G5427" s="19" t="s">
        <v>28</v>
      </c>
      <c r="H5427" s="19" t="s">
        <v>28</v>
      </c>
      <c r="I5427" s="18" t="s">
        <v>28</v>
      </c>
      <c r="J5427" s="18" t="s">
        <v>28</v>
      </c>
      <c r="K5427" s="18" t="s">
        <v>28</v>
      </c>
      <c r="L5427" s="18" t="s">
        <v>28</v>
      </c>
      <c r="M5427" s="18" t="s">
        <v>28</v>
      </c>
      <c r="N5427" s="17">
        <v>44197</v>
      </c>
      <c r="O5427" s="15" t="s">
        <v>52</v>
      </c>
      <c r="P5427" s="16" t="s">
        <v>16956</v>
      </c>
      <c r="Q5427" s="15" t="s">
        <v>75</v>
      </c>
      <c r="R5427" s="13" t="str">
        <f>HYPERLINK("https://my.pitchbook.com?c=267686-20T","View Company Online")</f>
        <v>View Company Online</v>
      </c>
    </row>
    <row r="5428" spans="1:18" hidden="1" x14ac:dyDescent="0.3">
      <c r="A5428" s="9" t="s">
        <v>16957</v>
      </c>
      <c r="B5428" s="9" t="s">
        <v>16958</v>
      </c>
      <c r="C5428" s="11" t="s">
        <v>28</v>
      </c>
      <c r="D5428" s="9" t="s">
        <v>16959</v>
      </c>
      <c r="E5428" s="11" t="s">
        <v>28</v>
      </c>
      <c r="F5428" s="10" t="s">
        <v>28</v>
      </c>
      <c r="G5428" s="10" t="s">
        <v>28</v>
      </c>
      <c r="H5428" s="10" t="s">
        <v>28</v>
      </c>
      <c r="I5428" s="11" t="s">
        <v>28</v>
      </c>
      <c r="J5428" s="11" t="s">
        <v>28</v>
      </c>
      <c r="K5428" s="11" t="s">
        <v>28</v>
      </c>
      <c r="L5428" s="11" t="s">
        <v>28</v>
      </c>
      <c r="M5428" s="11" t="s">
        <v>28</v>
      </c>
      <c r="N5428" s="8">
        <v>44197</v>
      </c>
      <c r="O5428" s="9" t="s">
        <v>52</v>
      </c>
      <c r="P5428" s="12" t="s">
        <v>4500</v>
      </c>
      <c r="Q5428" s="9" t="s">
        <v>119</v>
      </c>
      <c r="R5428" s="14" t="str">
        <f>HYPERLINK("https://my.pitchbook.com?c=276768-28T","View Company Online")</f>
        <v>View Company Online</v>
      </c>
    </row>
    <row r="5429" spans="1:18" hidden="1" x14ac:dyDescent="0.3">
      <c r="A5429" s="15" t="s">
        <v>16960</v>
      </c>
      <c r="B5429" s="15" t="s">
        <v>4838</v>
      </c>
      <c r="C5429" s="18" t="s">
        <v>28</v>
      </c>
      <c r="D5429" s="15" t="s">
        <v>4839</v>
      </c>
      <c r="E5429" s="18" t="s">
        <v>28</v>
      </c>
      <c r="F5429" s="19" t="s">
        <v>28</v>
      </c>
      <c r="G5429" s="19" t="s">
        <v>28</v>
      </c>
      <c r="H5429" s="19" t="s">
        <v>28</v>
      </c>
      <c r="I5429" s="18" t="s">
        <v>28</v>
      </c>
      <c r="J5429" s="18" t="s">
        <v>28</v>
      </c>
      <c r="K5429" s="18" t="s">
        <v>28</v>
      </c>
      <c r="L5429" s="18" t="s">
        <v>28</v>
      </c>
      <c r="M5429" s="18" t="s">
        <v>28</v>
      </c>
      <c r="N5429" s="17">
        <v>44197</v>
      </c>
      <c r="O5429" s="15" t="s">
        <v>79</v>
      </c>
      <c r="P5429" s="16" t="s">
        <v>6834</v>
      </c>
      <c r="Q5429" s="15" t="s">
        <v>37</v>
      </c>
      <c r="R5429" s="13" t="str">
        <f>HYPERLINK("https://my.pitchbook.com?c=215831-71T","View Company Online")</f>
        <v>View Company Online</v>
      </c>
    </row>
    <row r="5430" spans="1:18" hidden="1" x14ac:dyDescent="0.3">
      <c r="A5430" s="9" t="s">
        <v>16961</v>
      </c>
      <c r="B5430" s="9" t="s">
        <v>8140</v>
      </c>
      <c r="C5430" s="11" t="s">
        <v>28</v>
      </c>
      <c r="D5430" s="9" t="s">
        <v>8141</v>
      </c>
      <c r="E5430" s="11" t="s">
        <v>28</v>
      </c>
      <c r="F5430" s="10" t="s">
        <v>28</v>
      </c>
      <c r="G5430" s="10" t="s">
        <v>28</v>
      </c>
      <c r="H5430" s="10" t="s">
        <v>28</v>
      </c>
      <c r="I5430" s="11" t="s">
        <v>28</v>
      </c>
      <c r="J5430" s="11" t="s">
        <v>28</v>
      </c>
      <c r="K5430" s="11" t="s">
        <v>28</v>
      </c>
      <c r="L5430" s="11" t="s">
        <v>28</v>
      </c>
      <c r="M5430" s="11" t="s">
        <v>28</v>
      </c>
      <c r="N5430" s="8">
        <v>44197</v>
      </c>
      <c r="O5430" s="9" t="s">
        <v>99</v>
      </c>
      <c r="P5430" s="12" t="s">
        <v>16962</v>
      </c>
      <c r="Q5430" s="9" t="s">
        <v>3912</v>
      </c>
      <c r="R5430" s="14" t="str">
        <f>HYPERLINK("https://my.pitchbook.com?c=202400-92T","View Company Online")</f>
        <v>View Company Online</v>
      </c>
    </row>
    <row r="5431" spans="1:18" hidden="1" x14ac:dyDescent="0.3">
      <c r="A5431" s="15" t="s">
        <v>16963</v>
      </c>
      <c r="B5431" s="15" t="s">
        <v>14213</v>
      </c>
      <c r="C5431" s="18" t="s">
        <v>28</v>
      </c>
      <c r="D5431" s="15" t="s">
        <v>14214</v>
      </c>
      <c r="E5431" s="18" t="s">
        <v>28</v>
      </c>
      <c r="F5431" s="19" t="s">
        <v>28</v>
      </c>
      <c r="G5431" s="19">
        <v>0.06</v>
      </c>
      <c r="H5431" s="19">
        <v>0.57999999999999996</v>
      </c>
      <c r="I5431" s="18" t="s">
        <v>28</v>
      </c>
      <c r="J5431" s="18" t="s">
        <v>28</v>
      </c>
      <c r="K5431" s="18" t="s">
        <v>28</v>
      </c>
      <c r="L5431" s="18" t="s">
        <v>28</v>
      </c>
      <c r="M5431" s="18" t="s">
        <v>28</v>
      </c>
      <c r="N5431" s="17">
        <v>44197</v>
      </c>
      <c r="O5431" s="15" t="s">
        <v>379</v>
      </c>
      <c r="P5431" s="16" t="s">
        <v>16964</v>
      </c>
      <c r="Q5431" s="15" t="s">
        <v>75</v>
      </c>
      <c r="R5431" s="13" t="str">
        <f>HYPERLINK("https://my.pitchbook.com?c=178859-80T","View Company Online")</f>
        <v>View Company Online</v>
      </c>
    </row>
    <row r="5432" spans="1:18" hidden="1" x14ac:dyDescent="0.3">
      <c r="A5432" s="9" t="s">
        <v>16965</v>
      </c>
      <c r="B5432" s="9" t="s">
        <v>1592</v>
      </c>
      <c r="C5432" s="11" t="s">
        <v>28</v>
      </c>
      <c r="D5432" s="9" t="s">
        <v>1593</v>
      </c>
      <c r="E5432" s="11" t="s">
        <v>28</v>
      </c>
      <c r="F5432" s="10" t="s">
        <v>28</v>
      </c>
      <c r="G5432" s="10">
        <v>0.06</v>
      </c>
      <c r="H5432" s="10" t="s">
        <v>28</v>
      </c>
      <c r="I5432" s="11" t="s">
        <v>28</v>
      </c>
      <c r="J5432" s="11" t="s">
        <v>28</v>
      </c>
      <c r="K5432" s="11" t="s">
        <v>28</v>
      </c>
      <c r="L5432" s="11" t="s">
        <v>28</v>
      </c>
      <c r="M5432" s="11" t="s">
        <v>28</v>
      </c>
      <c r="N5432" s="8">
        <v>44197</v>
      </c>
      <c r="O5432" s="9" t="s">
        <v>52</v>
      </c>
      <c r="P5432" s="12" t="s">
        <v>2864</v>
      </c>
      <c r="Q5432" s="9" t="s">
        <v>75</v>
      </c>
      <c r="R5432" s="14" t="str">
        <f>HYPERLINK("https://my.pitchbook.com?c=202271-50T","View Company Online")</f>
        <v>View Company Online</v>
      </c>
    </row>
    <row r="5433" spans="1:18" hidden="1" x14ac:dyDescent="0.3">
      <c r="A5433" s="15" t="s">
        <v>16966</v>
      </c>
      <c r="B5433" s="15" t="s">
        <v>6008</v>
      </c>
      <c r="C5433" s="18" t="s">
        <v>28</v>
      </c>
      <c r="D5433" s="15" t="s">
        <v>6009</v>
      </c>
      <c r="E5433" s="18" t="s">
        <v>28</v>
      </c>
      <c r="F5433" s="19" t="s">
        <v>28</v>
      </c>
      <c r="G5433" s="19" t="s">
        <v>28</v>
      </c>
      <c r="H5433" s="19" t="s">
        <v>28</v>
      </c>
      <c r="I5433" s="18" t="s">
        <v>28</v>
      </c>
      <c r="J5433" s="18" t="s">
        <v>28</v>
      </c>
      <c r="K5433" s="18" t="s">
        <v>28</v>
      </c>
      <c r="L5433" s="18" t="s">
        <v>28</v>
      </c>
      <c r="M5433" s="18" t="s">
        <v>28</v>
      </c>
      <c r="N5433" s="17">
        <v>44197</v>
      </c>
      <c r="O5433" s="15" t="s">
        <v>99</v>
      </c>
      <c r="P5433" s="16" t="s">
        <v>16967</v>
      </c>
      <c r="Q5433" s="15" t="s">
        <v>136</v>
      </c>
      <c r="R5433" s="13" t="str">
        <f>HYPERLINK("https://my.pitchbook.com?c=202537-45T","View Company Online")</f>
        <v>View Company Online</v>
      </c>
    </row>
    <row r="5434" spans="1:18" hidden="1" x14ac:dyDescent="0.3">
      <c r="A5434" s="9" t="s">
        <v>16968</v>
      </c>
      <c r="B5434" s="9" t="s">
        <v>11436</v>
      </c>
      <c r="C5434" s="11" t="s">
        <v>28</v>
      </c>
      <c r="D5434" s="9" t="s">
        <v>11437</v>
      </c>
      <c r="E5434" s="11" t="s">
        <v>28</v>
      </c>
      <c r="F5434" s="10" t="s">
        <v>28</v>
      </c>
      <c r="G5434" s="10">
        <v>0.13</v>
      </c>
      <c r="H5434" s="10">
        <v>1.79</v>
      </c>
      <c r="I5434" s="11" t="s">
        <v>28</v>
      </c>
      <c r="J5434" s="11" t="s">
        <v>28</v>
      </c>
      <c r="K5434" s="11" t="s">
        <v>28</v>
      </c>
      <c r="L5434" s="11" t="s">
        <v>28</v>
      </c>
      <c r="M5434" s="11" t="s">
        <v>28</v>
      </c>
      <c r="N5434" s="8">
        <v>44197</v>
      </c>
      <c r="O5434" s="9" t="s">
        <v>52</v>
      </c>
      <c r="P5434" s="12" t="s">
        <v>3944</v>
      </c>
      <c r="Q5434" s="9" t="s">
        <v>95</v>
      </c>
      <c r="R5434" s="14" t="str">
        <f>HYPERLINK("https://my.pitchbook.com?c=209212-93T","View Company Online")</f>
        <v>View Company Online</v>
      </c>
    </row>
    <row r="5435" spans="1:18" hidden="1" x14ac:dyDescent="0.3">
      <c r="A5435" s="15" t="s">
        <v>16969</v>
      </c>
      <c r="B5435" s="15" t="s">
        <v>16970</v>
      </c>
      <c r="C5435" s="18" t="s">
        <v>28</v>
      </c>
      <c r="D5435" s="15" t="s">
        <v>16971</v>
      </c>
      <c r="E5435" s="18" t="s">
        <v>28</v>
      </c>
      <c r="F5435" s="19" t="s">
        <v>28</v>
      </c>
      <c r="G5435" s="19" t="s">
        <v>28</v>
      </c>
      <c r="H5435" s="19" t="s">
        <v>28</v>
      </c>
      <c r="I5435" s="18" t="s">
        <v>28</v>
      </c>
      <c r="J5435" s="18" t="s">
        <v>28</v>
      </c>
      <c r="K5435" s="18" t="s">
        <v>28</v>
      </c>
      <c r="L5435" s="18" t="s">
        <v>28</v>
      </c>
      <c r="M5435" s="18" t="s">
        <v>28</v>
      </c>
      <c r="N5435" s="17">
        <v>44197</v>
      </c>
      <c r="O5435" s="15" t="s">
        <v>52</v>
      </c>
      <c r="P5435" s="16" t="s">
        <v>1970</v>
      </c>
      <c r="Q5435" s="15" t="s">
        <v>75</v>
      </c>
      <c r="R5435" s="13" t="str">
        <f>HYPERLINK("https://my.pitchbook.com?c=295344-46T","View Company Online")</f>
        <v>View Company Online</v>
      </c>
    </row>
    <row r="5436" spans="1:18" hidden="1" x14ac:dyDescent="0.3">
      <c r="A5436" s="9" t="s">
        <v>16972</v>
      </c>
      <c r="B5436" s="9" t="s">
        <v>9125</v>
      </c>
      <c r="C5436" s="11" t="s">
        <v>28</v>
      </c>
      <c r="D5436" s="9" t="s">
        <v>9126</v>
      </c>
      <c r="E5436" s="11" t="s">
        <v>28</v>
      </c>
      <c r="F5436" s="10" t="s">
        <v>28</v>
      </c>
      <c r="G5436" s="10" t="s">
        <v>28</v>
      </c>
      <c r="H5436" s="10" t="s">
        <v>28</v>
      </c>
      <c r="I5436" s="11" t="s">
        <v>28</v>
      </c>
      <c r="J5436" s="11" t="s">
        <v>28</v>
      </c>
      <c r="K5436" s="11" t="s">
        <v>28</v>
      </c>
      <c r="L5436" s="11" t="s">
        <v>28</v>
      </c>
      <c r="M5436" s="11" t="s">
        <v>28</v>
      </c>
      <c r="N5436" s="8">
        <v>44197</v>
      </c>
      <c r="O5436" s="9" t="s">
        <v>58</v>
      </c>
      <c r="P5436" s="12" t="s">
        <v>5105</v>
      </c>
      <c r="Q5436" s="9" t="s">
        <v>54</v>
      </c>
      <c r="R5436" s="14" t="str">
        <f>HYPERLINK("https://my.pitchbook.com?c=204787-36T","View Company Online")</f>
        <v>View Company Online</v>
      </c>
    </row>
    <row r="5437" spans="1:18" hidden="1" x14ac:dyDescent="0.3">
      <c r="A5437" s="15" t="s">
        <v>16973</v>
      </c>
      <c r="B5437" s="15" t="s">
        <v>15039</v>
      </c>
      <c r="C5437" s="18" t="s">
        <v>28</v>
      </c>
      <c r="D5437" s="15" t="s">
        <v>15040</v>
      </c>
      <c r="E5437" s="18" t="s">
        <v>28</v>
      </c>
      <c r="F5437" s="19" t="s">
        <v>28</v>
      </c>
      <c r="G5437" s="19" t="s">
        <v>28</v>
      </c>
      <c r="H5437" s="19" t="s">
        <v>28</v>
      </c>
      <c r="I5437" s="18" t="s">
        <v>28</v>
      </c>
      <c r="J5437" s="18" t="s">
        <v>28</v>
      </c>
      <c r="K5437" s="18" t="s">
        <v>28</v>
      </c>
      <c r="L5437" s="18" t="s">
        <v>28</v>
      </c>
      <c r="M5437" s="18" t="s">
        <v>28</v>
      </c>
      <c r="N5437" s="17">
        <v>44197</v>
      </c>
      <c r="O5437" s="15" t="s">
        <v>52</v>
      </c>
      <c r="P5437" s="16" t="s">
        <v>16809</v>
      </c>
      <c r="Q5437" s="15" t="s">
        <v>37</v>
      </c>
      <c r="R5437" s="13" t="str">
        <f>HYPERLINK("https://my.pitchbook.com?c=174632-59T","View Company Online")</f>
        <v>View Company Online</v>
      </c>
    </row>
    <row r="5438" spans="1:18" hidden="1" x14ac:dyDescent="0.3">
      <c r="A5438" s="9" t="s">
        <v>16974</v>
      </c>
      <c r="B5438" s="9" t="s">
        <v>7359</v>
      </c>
      <c r="C5438" s="11" t="s">
        <v>28</v>
      </c>
      <c r="D5438" s="9" t="s">
        <v>7360</v>
      </c>
      <c r="E5438" s="11" t="s">
        <v>28</v>
      </c>
      <c r="F5438" s="10" t="s">
        <v>28</v>
      </c>
      <c r="G5438" s="10" t="s">
        <v>28</v>
      </c>
      <c r="H5438" s="10" t="s">
        <v>28</v>
      </c>
      <c r="I5438" s="11" t="s">
        <v>28</v>
      </c>
      <c r="J5438" s="11" t="s">
        <v>28</v>
      </c>
      <c r="K5438" s="11" t="s">
        <v>28</v>
      </c>
      <c r="L5438" s="11" t="s">
        <v>28</v>
      </c>
      <c r="M5438" s="11" t="s">
        <v>28</v>
      </c>
      <c r="N5438" s="8">
        <v>44197</v>
      </c>
      <c r="O5438" s="9" t="s">
        <v>52</v>
      </c>
      <c r="P5438" s="12" t="s">
        <v>2830</v>
      </c>
      <c r="Q5438" s="9" t="s">
        <v>235</v>
      </c>
      <c r="R5438" s="14" t="str">
        <f>HYPERLINK("https://my.pitchbook.com?c=264289-87T","View Company Online")</f>
        <v>View Company Online</v>
      </c>
    </row>
    <row r="5439" spans="1:18" hidden="1" x14ac:dyDescent="0.3">
      <c r="A5439" s="15" t="s">
        <v>16975</v>
      </c>
      <c r="B5439" s="15" t="s">
        <v>16976</v>
      </c>
      <c r="C5439" s="18" t="s">
        <v>28</v>
      </c>
      <c r="D5439" s="15" t="s">
        <v>16977</v>
      </c>
      <c r="E5439" s="18" t="s">
        <v>28</v>
      </c>
      <c r="F5439" s="19" t="s">
        <v>28</v>
      </c>
      <c r="G5439" s="19" t="s">
        <v>28</v>
      </c>
      <c r="H5439" s="19" t="s">
        <v>28</v>
      </c>
      <c r="I5439" s="18" t="s">
        <v>28</v>
      </c>
      <c r="J5439" s="18" t="s">
        <v>28</v>
      </c>
      <c r="K5439" s="18" t="s">
        <v>28</v>
      </c>
      <c r="L5439" s="18" t="s">
        <v>28</v>
      </c>
      <c r="M5439" s="18" t="s">
        <v>28</v>
      </c>
      <c r="N5439" s="17">
        <v>44197</v>
      </c>
      <c r="O5439" s="15" t="s">
        <v>79</v>
      </c>
      <c r="P5439" s="16" t="s">
        <v>12867</v>
      </c>
      <c r="Q5439" s="15" t="s">
        <v>240</v>
      </c>
      <c r="R5439" s="13" t="str">
        <f>HYPERLINK("https://my.pitchbook.com?c=289202-77T","View Company Online")</f>
        <v>View Company Online</v>
      </c>
    </row>
    <row r="5440" spans="1:18" hidden="1" x14ac:dyDescent="0.3">
      <c r="A5440" s="9" t="s">
        <v>16978</v>
      </c>
      <c r="B5440" s="9" t="s">
        <v>16033</v>
      </c>
      <c r="C5440" s="11" t="s">
        <v>28</v>
      </c>
      <c r="D5440" s="9" t="s">
        <v>16034</v>
      </c>
      <c r="E5440" s="11" t="s">
        <v>28</v>
      </c>
      <c r="F5440" s="10" t="s">
        <v>28</v>
      </c>
      <c r="G5440" s="10" t="s">
        <v>28</v>
      </c>
      <c r="H5440" s="10" t="s">
        <v>28</v>
      </c>
      <c r="I5440" s="11" t="s">
        <v>28</v>
      </c>
      <c r="J5440" s="11" t="s">
        <v>28</v>
      </c>
      <c r="K5440" s="11" t="s">
        <v>28</v>
      </c>
      <c r="L5440" s="11" t="s">
        <v>28</v>
      </c>
      <c r="M5440" s="11" t="s">
        <v>28</v>
      </c>
      <c r="N5440" s="8">
        <v>44197</v>
      </c>
      <c r="O5440" s="9" t="s">
        <v>52</v>
      </c>
      <c r="P5440" s="12" t="s">
        <v>798</v>
      </c>
      <c r="Q5440" s="9" t="s">
        <v>263</v>
      </c>
      <c r="R5440" s="14" t="str">
        <f>HYPERLINK("https://my.pitchbook.com?c=298002-70T","View Company Online")</f>
        <v>View Company Online</v>
      </c>
    </row>
    <row r="5441" spans="1:18" hidden="1" x14ac:dyDescent="0.3">
      <c r="A5441" s="15" t="s">
        <v>16979</v>
      </c>
      <c r="B5441" s="15" t="s">
        <v>10442</v>
      </c>
      <c r="C5441" s="18" t="s">
        <v>28</v>
      </c>
      <c r="D5441" s="15" t="s">
        <v>10443</v>
      </c>
      <c r="E5441" s="18" t="s">
        <v>28</v>
      </c>
      <c r="F5441" s="19" t="s">
        <v>28</v>
      </c>
      <c r="G5441" s="19" t="s">
        <v>28</v>
      </c>
      <c r="H5441" s="19" t="s">
        <v>28</v>
      </c>
      <c r="I5441" s="18" t="s">
        <v>28</v>
      </c>
      <c r="J5441" s="18" t="s">
        <v>28</v>
      </c>
      <c r="K5441" s="18" t="s">
        <v>28</v>
      </c>
      <c r="L5441" s="18" t="s">
        <v>28</v>
      </c>
      <c r="M5441" s="18" t="s">
        <v>28</v>
      </c>
      <c r="N5441" s="17">
        <v>44197</v>
      </c>
      <c r="O5441" s="15" t="s">
        <v>52</v>
      </c>
      <c r="P5441" s="16" t="s">
        <v>16980</v>
      </c>
      <c r="Q5441" s="15" t="s">
        <v>95</v>
      </c>
      <c r="R5441" s="13" t="str">
        <f>HYPERLINK("https://my.pitchbook.com?c=296065-72T","View Company Online")</f>
        <v>View Company Online</v>
      </c>
    </row>
    <row r="5442" spans="1:18" hidden="1" x14ac:dyDescent="0.3">
      <c r="A5442" s="9" t="s">
        <v>16981</v>
      </c>
      <c r="B5442" s="9" t="s">
        <v>16982</v>
      </c>
      <c r="C5442" s="11" t="s">
        <v>28</v>
      </c>
      <c r="D5442" s="9" t="s">
        <v>16983</v>
      </c>
      <c r="E5442" s="11" t="s">
        <v>28</v>
      </c>
      <c r="F5442" s="10" t="s">
        <v>28</v>
      </c>
      <c r="G5442" s="10" t="s">
        <v>28</v>
      </c>
      <c r="H5442" s="10" t="s">
        <v>28</v>
      </c>
      <c r="I5442" s="11" t="s">
        <v>28</v>
      </c>
      <c r="J5442" s="11" t="s">
        <v>28</v>
      </c>
      <c r="K5442" s="11" t="s">
        <v>28</v>
      </c>
      <c r="L5442" s="11" t="s">
        <v>28</v>
      </c>
      <c r="M5442" s="11" t="s">
        <v>28</v>
      </c>
      <c r="N5442" s="8">
        <v>44197</v>
      </c>
      <c r="O5442" s="9" t="s">
        <v>52</v>
      </c>
      <c r="P5442" s="12" t="s">
        <v>6543</v>
      </c>
      <c r="Q5442" s="9" t="s">
        <v>386</v>
      </c>
      <c r="R5442" s="14" t="str">
        <f>HYPERLINK("https://my.pitchbook.com?c=243898-21T","View Company Online")</f>
        <v>View Company Online</v>
      </c>
    </row>
    <row r="5443" spans="1:18" hidden="1" x14ac:dyDescent="0.3">
      <c r="A5443" s="15" t="s">
        <v>16984</v>
      </c>
      <c r="B5443" s="15" t="s">
        <v>5362</v>
      </c>
      <c r="C5443" s="18" t="s">
        <v>28</v>
      </c>
      <c r="D5443" s="15" t="s">
        <v>5363</v>
      </c>
      <c r="E5443" s="18" t="s">
        <v>28</v>
      </c>
      <c r="F5443" s="19" t="s">
        <v>28</v>
      </c>
      <c r="G5443" s="19" t="s">
        <v>28</v>
      </c>
      <c r="H5443" s="19" t="s">
        <v>28</v>
      </c>
      <c r="I5443" s="18" t="s">
        <v>28</v>
      </c>
      <c r="J5443" s="18" t="s">
        <v>28</v>
      </c>
      <c r="K5443" s="18" t="s">
        <v>28</v>
      </c>
      <c r="L5443" s="18" t="s">
        <v>28</v>
      </c>
      <c r="M5443" s="18" t="s">
        <v>28</v>
      </c>
      <c r="N5443" s="17">
        <v>44197</v>
      </c>
      <c r="O5443" s="15" t="s">
        <v>41</v>
      </c>
      <c r="P5443" s="16" t="s">
        <v>16985</v>
      </c>
      <c r="Q5443" s="15" t="s">
        <v>245</v>
      </c>
      <c r="R5443" s="13" t="str">
        <f>HYPERLINK("https://my.pitchbook.com?c=214702-30T","View Company Online")</f>
        <v>View Company Online</v>
      </c>
    </row>
    <row r="5444" spans="1:18" hidden="1" x14ac:dyDescent="0.3">
      <c r="A5444" s="9" t="s">
        <v>16986</v>
      </c>
      <c r="B5444" s="9" t="s">
        <v>16987</v>
      </c>
      <c r="C5444" s="11" t="s">
        <v>28</v>
      </c>
      <c r="D5444" s="9" t="s">
        <v>16988</v>
      </c>
      <c r="E5444" s="11" t="s">
        <v>28</v>
      </c>
      <c r="F5444" s="10" t="s">
        <v>28</v>
      </c>
      <c r="G5444" s="10" t="s">
        <v>28</v>
      </c>
      <c r="H5444" s="10" t="s">
        <v>28</v>
      </c>
      <c r="I5444" s="11" t="s">
        <v>28</v>
      </c>
      <c r="J5444" s="11" t="s">
        <v>28</v>
      </c>
      <c r="K5444" s="11" t="s">
        <v>28</v>
      </c>
      <c r="L5444" s="11" t="s">
        <v>28</v>
      </c>
      <c r="M5444" s="11" t="s">
        <v>28</v>
      </c>
      <c r="N5444" s="8">
        <v>44197</v>
      </c>
      <c r="O5444" s="9" t="s">
        <v>73</v>
      </c>
      <c r="P5444" s="12" t="s">
        <v>16989</v>
      </c>
      <c r="Q5444" s="9" t="s">
        <v>404</v>
      </c>
      <c r="R5444" s="14" t="str">
        <f>HYPERLINK("https://my.pitchbook.com?c=191854-09T","View Company Online")</f>
        <v>View Company Online</v>
      </c>
    </row>
    <row r="5445" spans="1:18" hidden="1" x14ac:dyDescent="0.3">
      <c r="A5445" s="15" t="s">
        <v>16990</v>
      </c>
      <c r="B5445" s="15" t="s">
        <v>16987</v>
      </c>
      <c r="C5445" s="18" t="s">
        <v>28</v>
      </c>
      <c r="D5445" s="15" t="s">
        <v>16988</v>
      </c>
      <c r="E5445" s="18" t="s">
        <v>28</v>
      </c>
      <c r="F5445" s="19" t="s">
        <v>28</v>
      </c>
      <c r="G5445" s="19" t="s">
        <v>28</v>
      </c>
      <c r="H5445" s="19" t="s">
        <v>28</v>
      </c>
      <c r="I5445" s="18" t="s">
        <v>28</v>
      </c>
      <c r="J5445" s="18" t="s">
        <v>28</v>
      </c>
      <c r="K5445" s="18" t="s">
        <v>28</v>
      </c>
      <c r="L5445" s="18" t="s">
        <v>28</v>
      </c>
      <c r="M5445" s="18" t="s">
        <v>28</v>
      </c>
      <c r="N5445" s="17">
        <v>44197</v>
      </c>
      <c r="O5445" s="15" t="s">
        <v>30</v>
      </c>
      <c r="P5445" s="16" t="s">
        <v>7229</v>
      </c>
      <c r="Q5445" s="15" t="s">
        <v>404</v>
      </c>
      <c r="R5445" s="13" t="str">
        <f>HYPERLINK("https://my.pitchbook.com?c=232567-21T","View Company Online")</f>
        <v>View Company Online</v>
      </c>
    </row>
    <row r="5446" spans="1:18" hidden="1" x14ac:dyDescent="0.3">
      <c r="A5446" s="9" t="s">
        <v>16991</v>
      </c>
      <c r="B5446" s="9" t="s">
        <v>3703</v>
      </c>
      <c r="C5446" s="11" t="s">
        <v>28</v>
      </c>
      <c r="D5446" s="9" t="s">
        <v>3704</v>
      </c>
      <c r="E5446" s="11" t="s">
        <v>28</v>
      </c>
      <c r="F5446" s="10" t="s">
        <v>28</v>
      </c>
      <c r="G5446" s="10">
        <v>0.28999999999999998</v>
      </c>
      <c r="H5446" s="10" t="s">
        <v>28</v>
      </c>
      <c r="I5446" s="11" t="s">
        <v>28</v>
      </c>
      <c r="J5446" s="11" t="s">
        <v>28</v>
      </c>
      <c r="K5446" s="11" t="s">
        <v>28</v>
      </c>
      <c r="L5446" s="11" t="s">
        <v>28</v>
      </c>
      <c r="M5446" s="11" t="s">
        <v>28</v>
      </c>
      <c r="N5446" s="8">
        <v>44197</v>
      </c>
      <c r="O5446" s="9" t="s">
        <v>52</v>
      </c>
      <c r="P5446" s="12" t="s">
        <v>221</v>
      </c>
      <c r="Q5446" s="9" t="s">
        <v>37</v>
      </c>
      <c r="R5446" s="14" t="str">
        <f>HYPERLINK("https://my.pitchbook.com?c=201689-83T","View Company Online")</f>
        <v>View Company Online</v>
      </c>
    </row>
    <row r="5447" spans="1:18" hidden="1" x14ac:dyDescent="0.3">
      <c r="A5447" s="15" t="s">
        <v>16992</v>
      </c>
      <c r="B5447" s="15" t="s">
        <v>6441</v>
      </c>
      <c r="C5447" s="18" t="s">
        <v>28</v>
      </c>
      <c r="D5447" s="15" t="s">
        <v>6442</v>
      </c>
      <c r="E5447" s="18" t="s">
        <v>28</v>
      </c>
      <c r="F5447" s="19" t="s">
        <v>28</v>
      </c>
      <c r="G5447" s="19">
        <v>0.13</v>
      </c>
      <c r="H5447" s="19">
        <v>1.78</v>
      </c>
      <c r="I5447" s="18" t="s">
        <v>28</v>
      </c>
      <c r="J5447" s="18" t="s">
        <v>28</v>
      </c>
      <c r="K5447" s="18" t="s">
        <v>28</v>
      </c>
      <c r="L5447" s="18" t="s">
        <v>28</v>
      </c>
      <c r="M5447" s="18" t="s">
        <v>28</v>
      </c>
      <c r="N5447" s="17">
        <v>44197</v>
      </c>
      <c r="O5447" s="15" t="s">
        <v>52</v>
      </c>
      <c r="P5447" s="16" t="s">
        <v>3944</v>
      </c>
      <c r="Q5447" s="15" t="s">
        <v>37</v>
      </c>
      <c r="R5447" s="13" t="str">
        <f>HYPERLINK("https://my.pitchbook.com?c=169123-69T","View Company Online")</f>
        <v>View Company Online</v>
      </c>
    </row>
    <row r="5448" spans="1:18" hidden="1" x14ac:dyDescent="0.3">
      <c r="A5448" s="9" t="s">
        <v>16993</v>
      </c>
      <c r="B5448" s="9" t="s">
        <v>929</v>
      </c>
      <c r="C5448" s="11" t="s">
        <v>28</v>
      </c>
      <c r="D5448" s="9" t="s">
        <v>930</v>
      </c>
      <c r="E5448" s="11" t="s">
        <v>28</v>
      </c>
      <c r="F5448" s="10" t="s">
        <v>28</v>
      </c>
      <c r="G5448" s="10" t="s">
        <v>28</v>
      </c>
      <c r="H5448" s="10" t="s">
        <v>28</v>
      </c>
      <c r="I5448" s="11" t="s">
        <v>28</v>
      </c>
      <c r="J5448" s="11" t="s">
        <v>28</v>
      </c>
      <c r="K5448" s="11" t="s">
        <v>28</v>
      </c>
      <c r="L5448" s="11" t="s">
        <v>28</v>
      </c>
      <c r="M5448" s="11" t="s">
        <v>28</v>
      </c>
      <c r="N5448" s="8">
        <v>44197</v>
      </c>
      <c r="O5448" s="9" t="s">
        <v>30</v>
      </c>
      <c r="P5448" s="12" t="s">
        <v>16994</v>
      </c>
      <c r="Q5448" s="9" t="s">
        <v>136</v>
      </c>
      <c r="R5448" s="14" t="str">
        <f>HYPERLINK("https://my.pitchbook.com?c=274804-03T","View Company Online")</f>
        <v>View Company Online</v>
      </c>
    </row>
    <row r="5449" spans="1:18" hidden="1" x14ac:dyDescent="0.3">
      <c r="A5449" s="15" t="s">
        <v>16995</v>
      </c>
      <c r="B5449" s="15" t="s">
        <v>16996</v>
      </c>
      <c r="C5449" s="18" t="s">
        <v>28</v>
      </c>
      <c r="D5449" s="15" t="s">
        <v>16997</v>
      </c>
      <c r="E5449" s="18" t="s">
        <v>28</v>
      </c>
      <c r="F5449" s="19" t="s">
        <v>28</v>
      </c>
      <c r="G5449" s="19" t="s">
        <v>28</v>
      </c>
      <c r="H5449" s="19" t="s">
        <v>28</v>
      </c>
      <c r="I5449" s="18" t="s">
        <v>28</v>
      </c>
      <c r="J5449" s="18" t="s">
        <v>28</v>
      </c>
      <c r="K5449" s="18" t="s">
        <v>28</v>
      </c>
      <c r="L5449" s="18" t="s">
        <v>28</v>
      </c>
      <c r="M5449" s="18" t="s">
        <v>28</v>
      </c>
      <c r="N5449" s="17">
        <v>44197</v>
      </c>
      <c r="O5449" s="15" t="s">
        <v>52</v>
      </c>
      <c r="P5449" s="16" t="s">
        <v>408</v>
      </c>
      <c r="Q5449" s="15" t="s">
        <v>566</v>
      </c>
      <c r="R5449" s="13" t="str">
        <f>HYPERLINK("https://my.pitchbook.com?c=252627-31T","View Company Online")</f>
        <v>View Company Online</v>
      </c>
    </row>
    <row r="5450" spans="1:18" hidden="1" x14ac:dyDescent="0.3">
      <c r="A5450" s="9" t="s">
        <v>16998</v>
      </c>
      <c r="B5450" s="9" t="s">
        <v>16999</v>
      </c>
      <c r="C5450" s="11" t="s">
        <v>28</v>
      </c>
      <c r="D5450" s="9" t="s">
        <v>17000</v>
      </c>
      <c r="E5450" s="11" t="s">
        <v>28</v>
      </c>
      <c r="F5450" s="10" t="s">
        <v>28</v>
      </c>
      <c r="G5450" s="10" t="s">
        <v>28</v>
      </c>
      <c r="H5450" s="10" t="s">
        <v>28</v>
      </c>
      <c r="I5450" s="11" t="s">
        <v>28</v>
      </c>
      <c r="J5450" s="11" t="s">
        <v>28</v>
      </c>
      <c r="K5450" s="11" t="s">
        <v>28</v>
      </c>
      <c r="L5450" s="11" t="s">
        <v>28</v>
      </c>
      <c r="M5450" s="11" t="s">
        <v>28</v>
      </c>
      <c r="N5450" s="8">
        <v>44196</v>
      </c>
      <c r="O5450" s="9" t="s">
        <v>52</v>
      </c>
      <c r="P5450" s="12" t="s">
        <v>2830</v>
      </c>
      <c r="Q5450" s="9" t="s">
        <v>75</v>
      </c>
      <c r="R5450" s="14" t="str">
        <f>HYPERLINK("https://my.pitchbook.com?c=261612-46T","View Company Online")</f>
        <v>View Company Online</v>
      </c>
    </row>
    <row r="5451" spans="1:18" hidden="1" x14ac:dyDescent="0.3">
      <c r="A5451" s="15" t="s">
        <v>17001</v>
      </c>
      <c r="B5451" s="15" t="s">
        <v>17002</v>
      </c>
      <c r="C5451" s="18" t="s">
        <v>28</v>
      </c>
      <c r="D5451" s="15" t="s">
        <v>17003</v>
      </c>
      <c r="E5451" s="18" t="s">
        <v>28</v>
      </c>
      <c r="F5451" s="19" t="s">
        <v>28</v>
      </c>
      <c r="G5451" s="19" t="s">
        <v>28</v>
      </c>
      <c r="H5451" s="19" t="s">
        <v>28</v>
      </c>
      <c r="I5451" s="18" t="s">
        <v>28</v>
      </c>
      <c r="J5451" s="18" t="s">
        <v>28</v>
      </c>
      <c r="K5451" s="18" t="s">
        <v>28</v>
      </c>
      <c r="L5451" s="18" t="s">
        <v>28</v>
      </c>
      <c r="M5451" s="18" t="s">
        <v>28</v>
      </c>
      <c r="N5451" s="17">
        <v>44196</v>
      </c>
      <c r="O5451" s="15" t="s">
        <v>30</v>
      </c>
      <c r="P5451" s="16" t="s">
        <v>17004</v>
      </c>
      <c r="Q5451" s="15" t="s">
        <v>75</v>
      </c>
      <c r="R5451" s="13" t="str">
        <f>HYPERLINK("https://my.pitchbook.com?c=164736-28T","View Company Online")</f>
        <v>View Company Online</v>
      </c>
    </row>
    <row r="5452" spans="1:18" hidden="1" x14ac:dyDescent="0.3">
      <c r="A5452" s="9" t="s">
        <v>17005</v>
      </c>
      <c r="B5452" s="9" t="s">
        <v>17006</v>
      </c>
      <c r="C5452" s="11" t="s">
        <v>28</v>
      </c>
      <c r="D5452" s="9" t="s">
        <v>17007</v>
      </c>
      <c r="E5452" s="11" t="s">
        <v>28</v>
      </c>
      <c r="F5452" s="10" t="s">
        <v>28</v>
      </c>
      <c r="G5452" s="10" t="s">
        <v>28</v>
      </c>
      <c r="H5452" s="10" t="s">
        <v>28</v>
      </c>
      <c r="I5452" s="11">
        <v>30</v>
      </c>
      <c r="J5452" s="11" t="s">
        <v>28</v>
      </c>
      <c r="K5452" s="11">
        <v>190</v>
      </c>
      <c r="L5452" s="11" t="s">
        <v>28</v>
      </c>
      <c r="M5452" s="11" t="s">
        <v>28</v>
      </c>
      <c r="N5452" s="8">
        <v>44196</v>
      </c>
      <c r="O5452" s="9" t="s">
        <v>41</v>
      </c>
      <c r="P5452" s="12" t="s">
        <v>16605</v>
      </c>
      <c r="Q5452" s="9" t="s">
        <v>2181</v>
      </c>
      <c r="R5452" s="14" t="str">
        <f>HYPERLINK("https://my.pitchbook.com?c=224144-92T","View Company Online")</f>
        <v>View Company Online</v>
      </c>
    </row>
    <row r="5453" spans="1:18" hidden="1" x14ac:dyDescent="0.3">
      <c r="A5453" s="15" t="s">
        <v>17008</v>
      </c>
      <c r="B5453" s="15" t="s">
        <v>17009</v>
      </c>
      <c r="C5453" s="18" t="s">
        <v>28</v>
      </c>
      <c r="D5453" s="15" t="s">
        <v>17010</v>
      </c>
      <c r="E5453" s="18" t="s">
        <v>28</v>
      </c>
      <c r="F5453" s="19" t="s">
        <v>28</v>
      </c>
      <c r="G5453" s="19">
        <v>0.1</v>
      </c>
      <c r="H5453" s="19">
        <v>1.5</v>
      </c>
      <c r="I5453" s="18" t="s">
        <v>28</v>
      </c>
      <c r="J5453" s="18" t="s">
        <v>28</v>
      </c>
      <c r="K5453" s="18" t="s">
        <v>28</v>
      </c>
      <c r="L5453" s="18" t="s">
        <v>28</v>
      </c>
      <c r="M5453" s="18" t="s">
        <v>28</v>
      </c>
      <c r="N5453" s="17">
        <v>44195</v>
      </c>
      <c r="O5453" s="15" t="s">
        <v>73</v>
      </c>
      <c r="P5453" s="16" t="s">
        <v>17011</v>
      </c>
      <c r="Q5453" s="15" t="s">
        <v>75</v>
      </c>
      <c r="R5453" s="13" t="str">
        <f>HYPERLINK("https://my.pitchbook.com?c=224219-62T","View Company Online")</f>
        <v>View Company Online</v>
      </c>
    </row>
    <row r="5454" spans="1:18" hidden="1" x14ac:dyDescent="0.3">
      <c r="A5454" s="9" t="s">
        <v>17012</v>
      </c>
      <c r="B5454" s="9" t="s">
        <v>17013</v>
      </c>
      <c r="C5454" s="11" t="s">
        <v>28</v>
      </c>
      <c r="D5454" s="9" t="s">
        <v>17014</v>
      </c>
      <c r="E5454" s="11" t="s">
        <v>28</v>
      </c>
      <c r="F5454" s="10" t="s">
        <v>28</v>
      </c>
      <c r="G5454" s="10" t="s">
        <v>28</v>
      </c>
      <c r="H5454" s="10" t="s">
        <v>28</v>
      </c>
      <c r="I5454" s="11" t="s">
        <v>28</v>
      </c>
      <c r="J5454" s="11" t="s">
        <v>28</v>
      </c>
      <c r="K5454" s="11" t="s">
        <v>28</v>
      </c>
      <c r="L5454" s="11" t="s">
        <v>28</v>
      </c>
      <c r="M5454" s="11" t="s">
        <v>28</v>
      </c>
      <c r="N5454" s="8">
        <v>44195</v>
      </c>
      <c r="O5454" s="9" t="s">
        <v>30</v>
      </c>
      <c r="P5454" s="12" t="s">
        <v>16691</v>
      </c>
      <c r="Q5454" s="9" t="s">
        <v>832</v>
      </c>
      <c r="R5454" s="14" t="str">
        <f>HYPERLINK("https://my.pitchbook.com?c=164751-85T","View Company Online")</f>
        <v>View Company Online</v>
      </c>
    </row>
    <row r="5455" spans="1:18" hidden="1" x14ac:dyDescent="0.3">
      <c r="A5455" s="15" t="s">
        <v>17015</v>
      </c>
      <c r="B5455" s="15" t="s">
        <v>17016</v>
      </c>
      <c r="C5455" s="18" t="s">
        <v>28</v>
      </c>
      <c r="D5455" s="15" t="s">
        <v>17017</v>
      </c>
      <c r="E5455" s="18" t="s">
        <v>28</v>
      </c>
      <c r="F5455" s="19" t="s">
        <v>28</v>
      </c>
      <c r="G5455" s="19" t="s">
        <v>28</v>
      </c>
      <c r="H5455" s="19">
        <v>30</v>
      </c>
      <c r="I5455" s="18" t="s">
        <v>28</v>
      </c>
      <c r="J5455" s="18" t="s">
        <v>28</v>
      </c>
      <c r="K5455" s="18" t="s">
        <v>28</v>
      </c>
      <c r="L5455" s="18" t="s">
        <v>28</v>
      </c>
      <c r="M5455" s="18" t="s">
        <v>28</v>
      </c>
      <c r="N5455" s="17">
        <v>44195</v>
      </c>
      <c r="O5455" s="15" t="s">
        <v>73</v>
      </c>
      <c r="P5455" s="16" t="s">
        <v>17018</v>
      </c>
      <c r="Q5455" s="15" t="s">
        <v>85</v>
      </c>
      <c r="R5455" s="13" t="str">
        <f>HYPERLINK("https://my.pitchbook.com?c=167424-49T","View Company Online")</f>
        <v>View Company Online</v>
      </c>
    </row>
    <row r="5456" spans="1:18" hidden="1" x14ac:dyDescent="0.3">
      <c r="A5456" s="9" t="s">
        <v>17019</v>
      </c>
      <c r="B5456" s="9" t="s">
        <v>16397</v>
      </c>
      <c r="C5456" s="11" t="s">
        <v>28</v>
      </c>
      <c r="D5456" s="9" t="s">
        <v>16398</v>
      </c>
      <c r="E5456" s="11" t="s">
        <v>28</v>
      </c>
      <c r="F5456" s="10" t="s">
        <v>28</v>
      </c>
      <c r="G5456" s="10" t="s">
        <v>28</v>
      </c>
      <c r="H5456" s="10" t="s">
        <v>28</v>
      </c>
      <c r="I5456" s="11" t="s">
        <v>28</v>
      </c>
      <c r="J5456" s="11" t="s">
        <v>28</v>
      </c>
      <c r="K5456" s="11" t="s">
        <v>28</v>
      </c>
      <c r="L5456" s="11" t="s">
        <v>28</v>
      </c>
      <c r="M5456" s="11" t="s">
        <v>28</v>
      </c>
      <c r="N5456" s="8">
        <v>44195</v>
      </c>
      <c r="O5456" s="9" t="s">
        <v>52</v>
      </c>
      <c r="P5456" s="12" t="s">
        <v>12362</v>
      </c>
      <c r="Q5456" s="9" t="s">
        <v>75</v>
      </c>
      <c r="R5456" s="14" t="str">
        <f>HYPERLINK("https://my.pitchbook.com?c=284286-43T","View Company Online")</f>
        <v>View Company Online</v>
      </c>
    </row>
    <row r="5457" spans="1:18" hidden="1" x14ac:dyDescent="0.3">
      <c r="A5457" s="15" t="s">
        <v>17020</v>
      </c>
      <c r="B5457" s="15" t="s">
        <v>17021</v>
      </c>
      <c r="C5457" s="18" t="s">
        <v>28</v>
      </c>
      <c r="D5457" s="15" t="s">
        <v>17022</v>
      </c>
      <c r="E5457" s="18" t="s">
        <v>28</v>
      </c>
      <c r="F5457" s="19" t="s">
        <v>28</v>
      </c>
      <c r="G5457" s="19">
        <v>1.34</v>
      </c>
      <c r="H5457" s="19" t="s">
        <v>28</v>
      </c>
      <c r="I5457" s="18" t="s">
        <v>28</v>
      </c>
      <c r="J5457" s="18" t="s">
        <v>28</v>
      </c>
      <c r="K5457" s="18" t="s">
        <v>28</v>
      </c>
      <c r="L5457" s="18" t="s">
        <v>28</v>
      </c>
      <c r="M5457" s="18" t="s">
        <v>28</v>
      </c>
      <c r="N5457" s="17">
        <v>44195</v>
      </c>
      <c r="O5457" s="15" t="s">
        <v>99</v>
      </c>
      <c r="P5457" s="16" t="s">
        <v>17023</v>
      </c>
      <c r="Q5457" s="15" t="s">
        <v>37</v>
      </c>
      <c r="R5457" s="13" t="str">
        <f>HYPERLINK("https://my.pitchbook.com?c=164412-10T","View Company Online")</f>
        <v>View Company Online</v>
      </c>
    </row>
    <row r="5458" spans="1:18" hidden="1" x14ac:dyDescent="0.3">
      <c r="A5458" s="9" t="s">
        <v>17024</v>
      </c>
      <c r="B5458" s="9" t="s">
        <v>17025</v>
      </c>
      <c r="C5458" s="11" t="s">
        <v>28</v>
      </c>
      <c r="D5458" s="9" t="s">
        <v>17026</v>
      </c>
      <c r="E5458" s="11" t="s">
        <v>28</v>
      </c>
      <c r="F5458" s="10" t="s">
        <v>28</v>
      </c>
      <c r="G5458" s="10" t="s">
        <v>28</v>
      </c>
      <c r="H5458" s="10" t="s">
        <v>28</v>
      </c>
      <c r="I5458" s="11" t="s">
        <v>28</v>
      </c>
      <c r="J5458" s="11" t="s">
        <v>28</v>
      </c>
      <c r="K5458" s="11" t="s">
        <v>28</v>
      </c>
      <c r="L5458" s="11" t="s">
        <v>28</v>
      </c>
      <c r="M5458" s="11" t="s">
        <v>28</v>
      </c>
      <c r="N5458" s="8">
        <v>44195</v>
      </c>
      <c r="O5458" s="9" t="s">
        <v>58</v>
      </c>
      <c r="P5458" s="12" t="s">
        <v>12762</v>
      </c>
      <c r="Q5458" s="9" t="s">
        <v>75</v>
      </c>
      <c r="R5458" s="14" t="str">
        <f>HYPERLINK("https://my.pitchbook.com?c=164969-02T","View Company Online")</f>
        <v>View Company Online</v>
      </c>
    </row>
    <row r="5459" spans="1:18" hidden="1" x14ac:dyDescent="0.3">
      <c r="A5459" s="15" t="s">
        <v>17027</v>
      </c>
      <c r="B5459" s="15" t="s">
        <v>17028</v>
      </c>
      <c r="C5459" s="18" t="s">
        <v>28</v>
      </c>
      <c r="D5459" s="15" t="s">
        <v>17029</v>
      </c>
      <c r="E5459" s="18" t="s">
        <v>28</v>
      </c>
      <c r="F5459" s="19" t="s">
        <v>28</v>
      </c>
      <c r="G5459" s="19" t="s">
        <v>28</v>
      </c>
      <c r="H5459" s="19" t="s">
        <v>28</v>
      </c>
      <c r="I5459" s="18" t="s">
        <v>28</v>
      </c>
      <c r="J5459" s="18" t="s">
        <v>28</v>
      </c>
      <c r="K5459" s="18" t="s">
        <v>28</v>
      </c>
      <c r="L5459" s="18" t="s">
        <v>28</v>
      </c>
      <c r="M5459" s="18" t="s">
        <v>28</v>
      </c>
      <c r="N5459" s="17">
        <v>44195</v>
      </c>
      <c r="O5459" s="15" t="s">
        <v>41</v>
      </c>
      <c r="P5459" s="16" t="s">
        <v>17030</v>
      </c>
      <c r="Q5459" s="15" t="s">
        <v>1793</v>
      </c>
      <c r="R5459" s="13" t="str">
        <f>HYPERLINK("https://my.pitchbook.com?c=224346-52T","View Company Online")</f>
        <v>View Company Online</v>
      </c>
    </row>
    <row r="5460" spans="1:18" hidden="1" x14ac:dyDescent="0.3">
      <c r="A5460" s="9" t="s">
        <v>17031</v>
      </c>
      <c r="B5460" s="9" t="s">
        <v>17032</v>
      </c>
      <c r="C5460" s="11" t="s">
        <v>28</v>
      </c>
      <c r="D5460" s="9" t="s">
        <v>17033</v>
      </c>
      <c r="E5460" s="11" t="s">
        <v>28</v>
      </c>
      <c r="F5460" s="10" t="s">
        <v>28</v>
      </c>
      <c r="G5460" s="10" t="s">
        <v>28</v>
      </c>
      <c r="H5460" s="10" t="s">
        <v>28</v>
      </c>
      <c r="I5460" s="11" t="s">
        <v>28</v>
      </c>
      <c r="J5460" s="11" t="s">
        <v>28</v>
      </c>
      <c r="K5460" s="11" t="s">
        <v>28</v>
      </c>
      <c r="L5460" s="11" t="s">
        <v>28</v>
      </c>
      <c r="M5460" s="11" t="s">
        <v>28</v>
      </c>
      <c r="N5460" s="8">
        <v>44195</v>
      </c>
      <c r="O5460" s="9" t="s">
        <v>30</v>
      </c>
      <c r="P5460" s="12" t="s">
        <v>16691</v>
      </c>
      <c r="Q5460" s="9" t="s">
        <v>37</v>
      </c>
      <c r="R5460" s="14" t="str">
        <f>HYPERLINK("https://my.pitchbook.com?c=164749-60T","View Company Online")</f>
        <v>View Company Online</v>
      </c>
    </row>
    <row r="5461" spans="1:18" hidden="1" x14ac:dyDescent="0.3">
      <c r="A5461" s="15" t="s">
        <v>17034</v>
      </c>
      <c r="B5461" s="15" t="s">
        <v>17035</v>
      </c>
      <c r="C5461" s="18" t="s">
        <v>28</v>
      </c>
      <c r="D5461" s="15" t="s">
        <v>17036</v>
      </c>
      <c r="E5461" s="18" t="s">
        <v>28</v>
      </c>
      <c r="F5461" s="19" t="s">
        <v>28</v>
      </c>
      <c r="G5461" s="19">
        <v>4.4400000000000004</v>
      </c>
      <c r="H5461" s="19">
        <v>4.4400000000000004</v>
      </c>
      <c r="I5461" s="18" t="s">
        <v>28</v>
      </c>
      <c r="J5461" s="18" t="s">
        <v>28</v>
      </c>
      <c r="K5461" s="18" t="s">
        <v>28</v>
      </c>
      <c r="L5461" s="18" t="s">
        <v>28</v>
      </c>
      <c r="M5461" s="18" t="s">
        <v>28</v>
      </c>
      <c r="N5461" s="17">
        <v>44194</v>
      </c>
      <c r="O5461" s="15" t="s">
        <v>30</v>
      </c>
      <c r="P5461" s="16" t="s">
        <v>17037</v>
      </c>
      <c r="Q5461" s="15" t="s">
        <v>188</v>
      </c>
      <c r="R5461" s="13" t="str">
        <f>HYPERLINK("https://my.pitchbook.com?c=164319-22T","View Company Online")</f>
        <v>View Company Online</v>
      </c>
    </row>
    <row r="5462" spans="1:18" hidden="1" x14ac:dyDescent="0.3">
      <c r="A5462" s="9" t="s">
        <v>17038</v>
      </c>
      <c r="B5462" s="9" t="s">
        <v>17039</v>
      </c>
      <c r="C5462" s="11" t="s">
        <v>28</v>
      </c>
      <c r="D5462" s="9" t="s">
        <v>17040</v>
      </c>
      <c r="E5462" s="11" t="s">
        <v>28</v>
      </c>
      <c r="F5462" s="10" t="s">
        <v>28</v>
      </c>
      <c r="G5462" s="10" t="s">
        <v>28</v>
      </c>
      <c r="H5462" s="10" t="s">
        <v>28</v>
      </c>
      <c r="I5462" s="11" t="s">
        <v>28</v>
      </c>
      <c r="J5462" s="11" t="s">
        <v>28</v>
      </c>
      <c r="K5462" s="11" t="s">
        <v>28</v>
      </c>
      <c r="L5462" s="11" t="s">
        <v>28</v>
      </c>
      <c r="M5462" s="11" t="s">
        <v>28</v>
      </c>
      <c r="N5462" s="8">
        <v>44193</v>
      </c>
      <c r="O5462" s="9" t="s">
        <v>30</v>
      </c>
      <c r="P5462" s="12" t="s">
        <v>16459</v>
      </c>
      <c r="Q5462" s="9" t="s">
        <v>43</v>
      </c>
      <c r="R5462" s="14" t="str">
        <f>HYPERLINK("https://my.pitchbook.com?c=156273-22T","View Company Online")</f>
        <v>View Company Online</v>
      </c>
    </row>
    <row r="5463" spans="1:18" hidden="1" x14ac:dyDescent="0.3">
      <c r="A5463" s="15" t="s">
        <v>17041</v>
      </c>
      <c r="B5463" s="15" t="s">
        <v>17042</v>
      </c>
      <c r="C5463" s="18" t="s">
        <v>28</v>
      </c>
      <c r="D5463" s="15" t="s">
        <v>17043</v>
      </c>
      <c r="E5463" s="18" t="s">
        <v>28</v>
      </c>
      <c r="F5463" s="19" t="s">
        <v>28</v>
      </c>
      <c r="G5463" s="19" t="s">
        <v>28</v>
      </c>
      <c r="H5463" s="19" t="s">
        <v>28</v>
      </c>
      <c r="I5463" s="18" t="s">
        <v>28</v>
      </c>
      <c r="J5463" s="18" t="s">
        <v>28</v>
      </c>
      <c r="K5463" s="18" t="s">
        <v>28</v>
      </c>
      <c r="L5463" s="18" t="s">
        <v>28</v>
      </c>
      <c r="M5463" s="18" t="s">
        <v>28</v>
      </c>
      <c r="N5463" s="17">
        <v>44193</v>
      </c>
      <c r="O5463" s="15" t="s">
        <v>30</v>
      </c>
      <c r="P5463" s="16" t="s">
        <v>3768</v>
      </c>
      <c r="Q5463" s="15" t="s">
        <v>75</v>
      </c>
      <c r="R5463" s="13" t="str">
        <f>HYPERLINK("https://my.pitchbook.com?c=213472-63T","View Company Online")</f>
        <v>View Company Online</v>
      </c>
    </row>
    <row r="5464" spans="1:18" hidden="1" x14ac:dyDescent="0.3">
      <c r="A5464" s="9" t="s">
        <v>17044</v>
      </c>
      <c r="B5464" s="9" t="s">
        <v>17045</v>
      </c>
      <c r="C5464" s="11" t="s">
        <v>28</v>
      </c>
      <c r="D5464" s="9" t="s">
        <v>17046</v>
      </c>
      <c r="E5464" s="11" t="s">
        <v>28</v>
      </c>
      <c r="F5464" s="10" t="s">
        <v>28</v>
      </c>
      <c r="G5464" s="10" t="s">
        <v>28</v>
      </c>
      <c r="H5464" s="10" t="s">
        <v>28</v>
      </c>
      <c r="I5464" s="11" t="s">
        <v>28</v>
      </c>
      <c r="J5464" s="11" t="s">
        <v>28</v>
      </c>
      <c r="K5464" s="11" t="s">
        <v>28</v>
      </c>
      <c r="L5464" s="11" t="s">
        <v>28</v>
      </c>
      <c r="M5464" s="11" t="s">
        <v>28</v>
      </c>
      <c r="N5464" s="8">
        <v>44193</v>
      </c>
      <c r="O5464" s="9" t="s">
        <v>173</v>
      </c>
      <c r="P5464" s="12" t="s">
        <v>28</v>
      </c>
      <c r="Q5464" s="9" t="s">
        <v>174</v>
      </c>
      <c r="R5464" s="14" t="str">
        <f>HYPERLINK("https://my.pitchbook.com?c=251575-21T","View Company Online")</f>
        <v>View Company Online</v>
      </c>
    </row>
    <row r="5465" spans="1:18" hidden="1" x14ac:dyDescent="0.3">
      <c r="A5465" s="15" t="s">
        <v>17047</v>
      </c>
      <c r="B5465" s="15" t="s">
        <v>17048</v>
      </c>
      <c r="C5465" s="18" t="s">
        <v>28</v>
      </c>
      <c r="D5465" s="15" t="s">
        <v>17049</v>
      </c>
      <c r="E5465" s="18" t="s">
        <v>28</v>
      </c>
      <c r="F5465" s="19" t="s">
        <v>28</v>
      </c>
      <c r="G5465" s="19" t="s">
        <v>28</v>
      </c>
      <c r="H5465" s="19" t="s">
        <v>28</v>
      </c>
      <c r="I5465" s="18" t="s">
        <v>28</v>
      </c>
      <c r="J5465" s="18" t="s">
        <v>28</v>
      </c>
      <c r="K5465" s="18" t="s">
        <v>28</v>
      </c>
      <c r="L5465" s="18" t="s">
        <v>28</v>
      </c>
      <c r="M5465" s="18" t="s">
        <v>28</v>
      </c>
      <c r="N5465" s="17">
        <v>44193</v>
      </c>
      <c r="O5465" s="15" t="s">
        <v>173</v>
      </c>
      <c r="P5465" s="16" t="s">
        <v>28</v>
      </c>
      <c r="Q5465" s="15" t="s">
        <v>174</v>
      </c>
      <c r="R5465" s="13" t="str">
        <f>HYPERLINK("https://my.pitchbook.com?c=251546-68T","View Company Online")</f>
        <v>View Company Online</v>
      </c>
    </row>
    <row r="5466" spans="1:18" hidden="1" x14ac:dyDescent="0.3">
      <c r="A5466" s="9" t="s">
        <v>17050</v>
      </c>
      <c r="B5466" s="9" t="s">
        <v>17051</v>
      </c>
      <c r="C5466" s="11" t="s">
        <v>28</v>
      </c>
      <c r="D5466" s="9" t="s">
        <v>17052</v>
      </c>
      <c r="E5466" s="11" t="s">
        <v>28</v>
      </c>
      <c r="F5466" s="10" t="s">
        <v>28</v>
      </c>
      <c r="G5466" s="10" t="s">
        <v>28</v>
      </c>
      <c r="H5466" s="10" t="s">
        <v>28</v>
      </c>
      <c r="I5466" s="11" t="s">
        <v>28</v>
      </c>
      <c r="J5466" s="11" t="s">
        <v>28</v>
      </c>
      <c r="K5466" s="11" t="s">
        <v>28</v>
      </c>
      <c r="L5466" s="11" t="s">
        <v>28</v>
      </c>
      <c r="M5466" s="11" t="s">
        <v>28</v>
      </c>
      <c r="N5466" s="8">
        <v>44191</v>
      </c>
      <c r="O5466" s="9" t="s">
        <v>41</v>
      </c>
      <c r="P5466" s="12" t="s">
        <v>17053</v>
      </c>
      <c r="Q5466" s="9" t="s">
        <v>362</v>
      </c>
      <c r="R5466" s="14" t="str">
        <f>HYPERLINK("https://my.pitchbook.com?c=175523-95T","View Company Online")</f>
        <v>View Company Online</v>
      </c>
    </row>
    <row r="5467" spans="1:18" hidden="1" x14ac:dyDescent="0.3">
      <c r="A5467" s="15" t="s">
        <v>17054</v>
      </c>
      <c r="B5467" s="15" t="s">
        <v>17055</v>
      </c>
      <c r="C5467" s="18" t="s">
        <v>28</v>
      </c>
      <c r="D5467" s="15" t="s">
        <v>17056</v>
      </c>
      <c r="E5467" s="18" t="s">
        <v>28</v>
      </c>
      <c r="F5467" s="19" t="s">
        <v>28</v>
      </c>
      <c r="G5467" s="19">
        <v>3.52</v>
      </c>
      <c r="H5467" s="19" t="s">
        <v>28</v>
      </c>
      <c r="I5467" s="18" t="s">
        <v>28</v>
      </c>
      <c r="J5467" s="18" t="s">
        <v>28</v>
      </c>
      <c r="K5467" s="18">
        <v>12.62</v>
      </c>
      <c r="L5467" s="18" t="s">
        <v>28</v>
      </c>
      <c r="M5467" s="18" t="s">
        <v>28</v>
      </c>
      <c r="N5467" s="17">
        <v>44188</v>
      </c>
      <c r="O5467" s="15" t="s">
        <v>79</v>
      </c>
      <c r="P5467" s="16" t="s">
        <v>28</v>
      </c>
      <c r="Q5467" s="15" t="s">
        <v>371</v>
      </c>
      <c r="R5467" s="13" t="str">
        <f>HYPERLINK("https://my.pitchbook.com?c=164336-86T","View Company Online")</f>
        <v>View Company Online</v>
      </c>
    </row>
    <row r="5468" spans="1:18" hidden="1" x14ac:dyDescent="0.3">
      <c r="A5468" s="9" t="s">
        <v>17057</v>
      </c>
      <c r="B5468" s="9" t="s">
        <v>17058</v>
      </c>
      <c r="C5468" s="11" t="s">
        <v>28</v>
      </c>
      <c r="D5468" s="9" t="s">
        <v>17059</v>
      </c>
      <c r="E5468" s="11" t="s">
        <v>28</v>
      </c>
      <c r="F5468" s="10" t="s">
        <v>28</v>
      </c>
      <c r="G5468" s="10">
        <v>237.61</v>
      </c>
      <c r="H5468" s="10">
        <v>489.92</v>
      </c>
      <c r="I5468" s="11" t="s">
        <v>28</v>
      </c>
      <c r="J5468" s="11" t="s">
        <v>28</v>
      </c>
      <c r="K5468" s="11" t="s">
        <v>28</v>
      </c>
      <c r="L5468" s="11" t="s">
        <v>28</v>
      </c>
      <c r="M5468" s="11" t="s">
        <v>28</v>
      </c>
      <c r="N5468" s="8">
        <v>44188</v>
      </c>
      <c r="O5468" s="9" t="s">
        <v>58</v>
      </c>
      <c r="P5468" s="12" t="s">
        <v>17060</v>
      </c>
      <c r="Q5468" s="9" t="s">
        <v>4901</v>
      </c>
      <c r="R5468" s="14" t="str">
        <f>HYPERLINK("https://my.pitchbook.com?c=127320-94T","View Company Online")</f>
        <v>View Company Online</v>
      </c>
    </row>
    <row r="5469" spans="1:18" hidden="1" x14ac:dyDescent="0.3">
      <c r="A5469" s="15" t="s">
        <v>17061</v>
      </c>
      <c r="B5469" s="15" t="s">
        <v>10807</v>
      </c>
      <c r="C5469" s="18" t="s">
        <v>28</v>
      </c>
      <c r="D5469" s="15" t="s">
        <v>10808</v>
      </c>
      <c r="E5469" s="18" t="s">
        <v>28</v>
      </c>
      <c r="F5469" s="19" t="s">
        <v>28</v>
      </c>
      <c r="G5469" s="19">
        <v>0.19</v>
      </c>
      <c r="H5469" s="19">
        <v>1.29</v>
      </c>
      <c r="I5469" s="18" t="s">
        <v>28</v>
      </c>
      <c r="J5469" s="18" t="s">
        <v>28</v>
      </c>
      <c r="K5469" s="18" t="s">
        <v>28</v>
      </c>
      <c r="L5469" s="18" t="s">
        <v>28</v>
      </c>
      <c r="M5469" s="18" t="s">
        <v>28</v>
      </c>
      <c r="N5469" s="17">
        <v>44188</v>
      </c>
      <c r="O5469" s="15" t="s">
        <v>99</v>
      </c>
      <c r="P5469" s="16" t="s">
        <v>17062</v>
      </c>
      <c r="Q5469" s="15" t="s">
        <v>85</v>
      </c>
      <c r="R5469" s="13" t="str">
        <f>HYPERLINK("https://my.pitchbook.com?c=194844-97T","View Company Online")</f>
        <v>View Company Online</v>
      </c>
    </row>
    <row r="5470" spans="1:18" hidden="1" x14ac:dyDescent="0.3">
      <c r="A5470" s="9" t="s">
        <v>17063</v>
      </c>
      <c r="B5470" s="9" t="s">
        <v>12420</v>
      </c>
      <c r="C5470" s="11" t="s">
        <v>28</v>
      </c>
      <c r="D5470" s="9" t="s">
        <v>12421</v>
      </c>
      <c r="E5470" s="11" t="s">
        <v>28</v>
      </c>
      <c r="F5470" s="10" t="s">
        <v>28</v>
      </c>
      <c r="G5470" s="10" t="s">
        <v>28</v>
      </c>
      <c r="H5470" s="10" t="s">
        <v>28</v>
      </c>
      <c r="I5470" s="11" t="s">
        <v>28</v>
      </c>
      <c r="J5470" s="11" t="s">
        <v>28</v>
      </c>
      <c r="K5470" s="11">
        <v>32.61</v>
      </c>
      <c r="L5470" s="11" t="s">
        <v>28</v>
      </c>
      <c r="M5470" s="11" t="s">
        <v>28</v>
      </c>
      <c r="N5470" s="8">
        <v>44188</v>
      </c>
      <c r="O5470" s="9" t="s">
        <v>79</v>
      </c>
      <c r="P5470" s="12" t="s">
        <v>17064</v>
      </c>
      <c r="Q5470" s="9" t="s">
        <v>37</v>
      </c>
      <c r="R5470" s="14" t="str">
        <f>HYPERLINK("https://my.pitchbook.com?c=294381-01T","View Company Online")</f>
        <v>View Company Online</v>
      </c>
    </row>
    <row r="5471" spans="1:18" hidden="1" x14ac:dyDescent="0.3">
      <c r="A5471" s="15" t="s">
        <v>17065</v>
      </c>
      <c r="B5471" s="15" t="s">
        <v>17066</v>
      </c>
      <c r="C5471" s="18" t="s">
        <v>28</v>
      </c>
      <c r="D5471" s="15" t="s">
        <v>6419</v>
      </c>
      <c r="E5471" s="18" t="s">
        <v>28</v>
      </c>
      <c r="F5471" s="19" t="s">
        <v>28</v>
      </c>
      <c r="G5471" s="19" t="s">
        <v>28</v>
      </c>
      <c r="H5471" s="19" t="s">
        <v>28</v>
      </c>
      <c r="I5471" s="18" t="s">
        <v>28</v>
      </c>
      <c r="J5471" s="18" t="s">
        <v>28</v>
      </c>
      <c r="K5471" s="18" t="s">
        <v>28</v>
      </c>
      <c r="L5471" s="18" t="s">
        <v>28</v>
      </c>
      <c r="M5471" s="18" t="s">
        <v>28</v>
      </c>
      <c r="N5471" s="17">
        <v>44188</v>
      </c>
      <c r="O5471" s="15" t="s">
        <v>30</v>
      </c>
      <c r="P5471" s="16" t="s">
        <v>421</v>
      </c>
      <c r="Q5471" s="15" t="s">
        <v>240</v>
      </c>
      <c r="R5471" s="13" t="str">
        <f>HYPERLINK("https://my.pitchbook.com?c=219627-10T","View Company Online")</f>
        <v>View Company Online</v>
      </c>
    </row>
    <row r="5472" spans="1:18" hidden="1" x14ac:dyDescent="0.3">
      <c r="A5472" s="9" t="s">
        <v>17067</v>
      </c>
      <c r="B5472" s="9" t="s">
        <v>11359</v>
      </c>
      <c r="C5472" s="11" t="s">
        <v>28</v>
      </c>
      <c r="D5472" s="9" t="s">
        <v>11360</v>
      </c>
      <c r="E5472" s="11" t="s">
        <v>28</v>
      </c>
      <c r="F5472" s="10" t="s">
        <v>28</v>
      </c>
      <c r="G5472" s="10" t="s">
        <v>28</v>
      </c>
      <c r="H5472" s="10" t="s">
        <v>28</v>
      </c>
      <c r="I5472" s="11" t="s">
        <v>28</v>
      </c>
      <c r="J5472" s="11" t="s">
        <v>28</v>
      </c>
      <c r="K5472" s="11" t="s">
        <v>28</v>
      </c>
      <c r="L5472" s="11" t="s">
        <v>28</v>
      </c>
      <c r="M5472" s="11" t="s">
        <v>28</v>
      </c>
      <c r="N5472" s="8">
        <v>44188</v>
      </c>
      <c r="O5472" s="9" t="s">
        <v>30</v>
      </c>
      <c r="P5472" s="12" t="s">
        <v>28</v>
      </c>
      <c r="Q5472" s="9" t="s">
        <v>1144</v>
      </c>
      <c r="R5472" s="14" t="str">
        <f>HYPERLINK("https://my.pitchbook.com?c=164383-93T","View Company Online")</f>
        <v>View Company Online</v>
      </c>
    </row>
    <row r="5473" spans="1:18" hidden="1" x14ac:dyDescent="0.3">
      <c r="A5473" s="15" t="s">
        <v>17068</v>
      </c>
      <c r="B5473" s="15" t="s">
        <v>11570</v>
      </c>
      <c r="C5473" s="18" t="s">
        <v>28</v>
      </c>
      <c r="D5473" s="15" t="s">
        <v>11571</v>
      </c>
      <c r="E5473" s="18" t="s">
        <v>28</v>
      </c>
      <c r="F5473" s="19" t="s">
        <v>28</v>
      </c>
      <c r="G5473" s="19">
        <v>12.02</v>
      </c>
      <c r="H5473" s="19" t="s">
        <v>28</v>
      </c>
      <c r="I5473" s="18" t="s">
        <v>28</v>
      </c>
      <c r="J5473" s="18" t="s">
        <v>28</v>
      </c>
      <c r="K5473" s="18" t="s">
        <v>28</v>
      </c>
      <c r="L5473" s="18" t="s">
        <v>28</v>
      </c>
      <c r="M5473" s="18" t="s">
        <v>28</v>
      </c>
      <c r="N5473" s="17">
        <v>44187</v>
      </c>
      <c r="O5473" s="15" t="s">
        <v>73</v>
      </c>
      <c r="P5473" s="16" t="s">
        <v>17069</v>
      </c>
      <c r="Q5473" s="15" t="s">
        <v>740</v>
      </c>
      <c r="R5473" s="13" t="str">
        <f>HYPERLINK("https://my.pitchbook.com?c=123272-74T","View Company Online")</f>
        <v>View Company Online</v>
      </c>
    </row>
    <row r="5474" spans="1:18" hidden="1" x14ac:dyDescent="0.3">
      <c r="A5474" s="9" t="s">
        <v>17070</v>
      </c>
      <c r="B5474" s="9" t="s">
        <v>17071</v>
      </c>
      <c r="C5474" s="11" t="s">
        <v>28</v>
      </c>
      <c r="D5474" s="9" t="s">
        <v>17072</v>
      </c>
      <c r="E5474" s="11" t="s">
        <v>28</v>
      </c>
      <c r="F5474" s="10" t="s">
        <v>28</v>
      </c>
      <c r="G5474" s="10" t="s">
        <v>28</v>
      </c>
      <c r="H5474" s="10" t="s">
        <v>28</v>
      </c>
      <c r="I5474" s="11" t="s">
        <v>28</v>
      </c>
      <c r="J5474" s="11" t="s">
        <v>28</v>
      </c>
      <c r="K5474" s="11" t="s">
        <v>28</v>
      </c>
      <c r="L5474" s="11" t="s">
        <v>28</v>
      </c>
      <c r="M5474" s="11" t="s">
        <v>28</v>
      </c>
      <c r="N5474" s="8">
        <v>44187</v>
      </c>
      <c r="O5474" s="9" t="s">
        <v>41</v>
      </c>
      <c r="P5474" s="12" t="s">
        <v>17073</v>
      </c>
      <c r="Q5474" s="9" t="s">
        <v>583</v>
      </c>
      <c r="R5474" s="14" t="str">
        <f>HYPERLINK("https://my.pitchbook.com?c=215336-08T","View Company Online")</f>
        <v>View Company Online</v>
      </c>
    </row>
    <row r="5475" spans="1:18" hidden="1" x14ac:dyDescent="0.3">
      <c r="A5475" s="15" t="s">
        <v>17074</v>
      </c>
      <c r="B5475" s="15" t="s">
        <v>17075</v>
      </c>
      <c r="C5475" s="18" t="s">
        <v>28</v>
      </c>
      <c r="D5475" s="15" t="s">
        <v>17076</v>
      </c>
      <c r="E5475" s="18" t="s">
        <v>28</v>
      </c>
      <c r="F5475" s="19" t="s">
        <v>28</v>
      </c>
      <c r="G5475" s="19">
        <v>0.57999999999999996</v>
      </c>
      <c r="H5475" s="19" t="s">
        <v>28</v>
      </c>
      <c r="I5475" s="18" t="s">
        <v>28</v>
      </c>
      <c r="J5475" s="18" t="s">
        <v>28</v>
      </c>
      <c r="K5475" s="18" t="s">
        <v>28</v>
      </c>
      <c r="L5475" s="18" t="s">
        <v>28</v>
      </c>
      <c r="M5475" s="18" t="s">
        <v>28</v>
      </c>
      <c r="N5475" s="17">
        <v>44187</v>
      </c>
      <c r="O5475" s="15" t="s">
        <v>73</v>
      </c>
      <c r="P5475" s="16" t="s">
        <v>17077</v>
      </c>
      <c r="Q5475" s="15" t="s">
        <v>5132</v>
      </c>
      <c r="R5475" s="13" t="str">
        <f>HYPERLINK("https://my.pitchbook.com?c=203575-60T","View Company Online")</f>
        <v>View Company Online</v>
      </c>
    </row>
    <row r="5476" spans="1:18" hidden="1" x14ac:dyDescent="0.3">
      <c r="A5476" s="9" t="s">
        <v>17078</v>
      </c>
      <c r="B5476" s="9" t="s">
        <v>17079</v>
      </c>
      <c r="C5476" s="11" t="s">
        <v>28</v>
      </c>
      <c r="D5476" s="9" t="s">
        <v>17080</v>
      </c>
      <c r="E5476" s="11" t="s">
        <v>28</v>
      </c>
      <c r="F5476" s="10" t="s">
        <v>28</v>
      </c>
      <c r="G5476" s="10" t="s">
        <v>28</v>
      </c>
      <c r="H5476" s="10" t="s">
        <v>28</v>
      </c>
      <c r="I5476" s="11" t="s">
        <v>28</v>
      </c>
      <c r="J5476" s="11" t="s">
        <v>28</v>
      </c>
      <c r="K5476" s="11" t="s">
        <v>28</v>
      </c>
      <c r="L5476" s="11" t="s">
        <v>28</v>
      </c>
      <c r="M5476" s="11" t="s">
        <v>28</v>
      </c>
      <c r="N5476" s="8">
        <v>44186</v>
      </c>
      <c r="O5476" s="9" t="s">
        <v>173</v>
      </c>
      <c r="P5476" s="12" t="s">
        <v>28</v>
      </c>
      <c r="Q5476" s="9" t="s">
        <v>174</v>
      </c>
      <c r="R5476" s="14" t="str">
        <f>HYPERLINK("https://my.pitchbook.com?c=251351-20T","View Company Online")</f>
        <v>View Company Online</v>
      </c>
    </row>
    <row r="5477" spans="1:18" hidden="1" x14ac:dyDescent="0.3">
      <c r="A5477" s="15" t="s">
        <v>17081</v>
      </c>
      <c r="B5477" s="15" t="s">
        <v>17082</v>
      </c>
      <c r="C5477" s="18" t="s">
        <v>28</v>
      </c>
      <c r="D5477" s="15" t="s">
        <v>17083</v>
      </c>
      <c r="E5477" s="18" t="s">
        <v>28</v>
      </c>
      <c r="F5477" s="19" t="s">
        <v>28</v>
      </c>
      <c r="G5477" s="19" t="s">
        <v>28</v>
      </c>
      <c r="H5477" s="19" t="s">
        <v>28</v>
      </c>
      <c r="I5477" s="18" t="s">
        <v>28</v>
      </c>
      <c r="J5477" s="18" t="s">
        <v>28</v>
      </c>
      <c r="K5477" s="18" t="s">
        <v>28</v>
      </c>
      <c r="L5477" s="18" t="s">
        <v>28</v>
      </c>
      <c r="M5477" s="18" t="s">
        <v>28</v>
      </c>
      <c r="N5477" s="17">
        <v>44186</v>
      </c>
      <c r="O5477" s="15" t="s">
        <v>41</v>
      </c>
      <c r="P5477" s="16" t="s">
        <v>17084</v>
      </c>
      <c r="Q5477" s="15" t="s">
        <v>245</v>
      </c>
      <c r="R5477" s="13" t="str">
        <f>HYPERLINK("https://my.pitchbook.com?c=216160-03T","View Company Online")</f>
        <v>View Company Online</v>
      </c>
    </row>
    <row r="5478" spans="1:18" hidden="1" x14ac:dyDescent="0.3">
      <c r="A5478" s="9" t="s">
        <v>17085</v>
      </c>
      <c r="B5478" s="9" t="s">
        <v>13083</v>
      </c>
      <c r="C5478" s="11" t="s">
        <v>28</v>
      </c>
      <c r="D5478" s="9" t="s">
        <v>13084</v>
      </c>
      <c r="E5478" s="11" t="s">
        <v>28</v>
      </c>
      <c r="F5478" s="10" t="s">
        <v>28</v>
      </c>
      <c r="G5478" s="10">
        <v>2.31</v>
      </c>
      <c r="H5478" s="10" t="s">
        <v>28</v>
      </c>
      <c r="I5478" s="11" t="s">
        <v>28</v>
      </c>
      <c r="J5478" s="11" t="s">
        <v>28</v>
      </c>
      <c r="K5478" s="11" t="s">
        <v>28</v>
      </c>
      <c r="L5478" s="11" t="s">
        <v>28</v>
      </c>
      <c r="M5478" s="11" t="s">
        <v>28</v>
      </c>
      <c r="N5478" s="8">
        <v>44186</v>
      </c>
      <c r="O5478" s="9" t="s">
        <v>73</v>
      </c>
      <c r="P5478" s="12" t="s">
        <v>17086</v>
      </c>
      <c r="Q5478" s="9" t="s">
        <v>37</v>
      </c>
      <c r="R5478" s="14" t="str">
        <f>HYPERLINK("https://my.pitchbook.com?c=164388-97T","View Company Online")</f>
        <v>View Company Online</v>
      </c>
    </row>
    <row r="5479" spans="1:18" hidden="1" x14ac:dyDescent="0.3">
      <c r="A5479" s="15" t="s">
        <v>17087</v>
      </c>
      <c r="B5479" s="15" t="s">
        <v>17088</v>
      </c>
      <c r="C5479" s="18" t="s">
        <v>28</v>
      </c>
      <c r="D5479" s="15" t="s">
        <v>17089</v>
      </c>
      <c r="E5479" s="18" t="s">
        <v>28</v>
      </c>
      <c r="F5479" s="19">
        <v>40.409999999999997</v>
      </c>
      <c r="G5479" s="19">
        <v>40.409999999999997</v>
      </c>
      <c r="H5479" s="19">
        <v>40.409999999999997</v>
      </c>
      <c r="I5479" s="18" t="s">
        <v>28</v>
      </c>
      <c r="J5479" s="18" t="s">
        <v>28</v>
      </c>
      <c r="K5479" s="18" t="s">
        <v>28</v>
      </c>
      <c r="L5479" s="18" t="s">
        <v>28</v>
      </c>
      <c r="M5479" s="18" t="s">
        <v>28</v>
      </c>
      <c r="N5479" s="17">
        <v>44185</v>
      </c>
      <c r="O5479" s="15" t="s">
        <v>30</v>
      </c>
      <c r="P5479" s="16" t="s">
        <v>16459</v>
      </c>
      <c r="Q5479" s="15" t="s">
        <v>43</v>
      </c>
      <c r="R5479" s="13" t="str">
        <f>HYPERLINK("https://my.pitchbook.com?c=213486-04T","View Company Online")</f>
        <v>View Company Online</v>
      </c>
    </row>
    <row r="5480" spans="1:18" hidden="1" x14ac:dyDescent="0.3">
      <c r="A5480" s="9" t="s">
        <v>17090</v>
      </c>
      <c r="B5480" s="9" t="s">
        <v>17091</v>
      </c>
      <c r="C5480" s="11" t="s">
        <v>28</v>
      </c>
      <c r="D5480" s="9" t="s">
        <v>17092</v>
      </c>
      <c r="E5480" s="11" t="s">
        <v>28</v>
      </c>
      <c r="F5480" s="10">
        <v>40.409999999999997</v>
      </c>
      <c r="G5480" s="10">
        <v>40.409999999999997</v>
      </c>
      <c r="H5480" s="10">
        <v>40.409999999999997</v>
      </c>
      <c r="I5480" s="11" t="s">
        <v>28</v>
      </c>
      <c r="J5480" s="11" t="s">
        <v>28</v>
      </c>
      <c r="K5480" s="11">
        <v>8.15</v>
      </c>
      <c r="L5480" s="11">
        <v>4.96</v>
      </c>
      <c r="M5480" s="11" t="s">
        <v>28</v>
      </c>
      <c r="N5480" s="8">
        <v>44185</v>
      </c>
      <c r="O5480" s="9" t="s">
        <v>30</v>
      </c>
      <c r="P5480" s="12" t="s">
        <v>13906</v>
      </c>
      <c r="Q5480" s="9" t="s">
        <v>43</v>
      </c>
      <c r="R5480" s="14" t="str">
        <f>HYPERLINK("https://my.pitchbook.com?c=211760-38T","View Company Online")</f>
        <v>View Company Online</v>
      </c>
    </row>
    <row r="5481" spans="1:18" hidden="1" x14ac:dyDescent="0.3">
      <c r="A5481" s="15" t="s">
        <v>17093</v>
      </c>
      <c r="B5481" s="15" t="s">
        <v>17094</v>
      </c>
      <c r="C5481" s="18" t="s">
        <v>28</v>
      </c>
      <c r="D5481" s="15" t="s">
        <v>17095</v>
      </c>
      <c r="E5481" s="18" t="s">
        <v>28</v>
      </c>
      <c r="F5481" s="19">
        <v>6.15</v>
      </c>
      <c r="G5481" s="19">
        <v>6.15</v>
      </c>
      <c r="H5481" s="19">
        <v>6.15</v>
      </c>
      <c r="I5481" s="18" t="s">
        <v>28</v>
      </c>
      <c r="J5481" s="18" t="s">
        <v>28</v>
      </c>
      <c r="K5481" s="18">
        <v>2.33</v>
      </c>
      <c r="L5481" s="18">
        <v>2.64</v>
      </c>
      <c r="M5481" s="18" t="s">
        <v>28</v>
      </c>
      <c r="N5481" s="17">
        <v>44184</v>
      </c>
      <c r="O5481" s="15" t="s">
        <v>30</v>
      </c>
      <c r="P5481" s="16" t="s">
        <v>4262</v>
      </c>
      <c r="Q5481" s="15" t="s">
        <v>880</v>
      </c>
      <c r="R5481" s="13" t="str">
        <f>HYPERLINK("https://my.pitchbook.com?c=166163-95T","View Company Online")</f>
        <v>View Company Online</v>
      </c>
    </row>
    <row r="5482" spans="1:18" hidden="1" x14ac:dyDescent="0.3">
      <c r="A5482" s="9" t="s">
        <v>17096</v>
      </c>
      <c r="B5482" s="9" t="s">
        <v>1148</v>
      </c>
      <c r="C5482" s="11" t="s">
        <v>28</v>
      </c>
      <c r="D5482" s="9" t="s">
        <v>5149</v>
      </c>
      <c r="E5482" s="11">
        <v>-3.16</v>
      </c>
      <c r="F5482" s="10" t="s">
        <v>28</v>
      </c>
      <c r="G5482" s="10">
        <v>8.2799999999999994</v>
      </c>
      <c r="H5482" s="10" t="s">
        <v>28</v>
      </c>
      <c r="I5482" s="11">
        <v>-2.77</v>
      </c>
      <c r="J5482" s="11" t="s">
        <v>28</v>
      </c>
      <c r="K5482" s="11">
        <v>3.41</v>
      </c>
      <c r="L5482" s="11" t="s">
        <v>28</v>
      </c>
      <c r="M5482" s="11">
        <v>-6.68</v>
      </c>
      <c r="N5482" s="8">
        <v>44183</v>
      </c>
      <c r="O5482" s="9" t="s">
        <v>159</v>
      </c>
      <c r="P5482" s="12" t="s">
        <v>17097</v>
      </c>
      <c r="Q5482" s="9" t="s">
        <v>299</v>
      </c>
      <c r="R5482" s="14" t="str">
        <f>HYPERLINK("https://my.pitchbook.com?c=234818-29T","View Company Online")</f>
        <v>View Company Online</v>
      </c>
    </row>
    <row r="5483" spans="1:18" hidden="1" x14ac:dyDescent="0.3">
      <c r="A5483" s="15" t="s">
        <v>17098</v>
      </c>
      <c r="B5483" s="15" t="s">
        <v>17099</v>
      </c>
      <c r="C5483" s="18" t="s">
        <v>28</v>
      </c>
      <c r="D5483" s="15" t="s">
        <v>17100</v>
      </c>
      <c r="E5483" s="18" t="s">
        <v>28</v>
      </c>
      <c r="F5483" s="19" t="s">
        <v>28</v>
      </c>
      <c r="G5483" s="19" t="s">
        <v>28</v>
      </c>
      <c r="H5483" s="19" t="s">
        <v>28</v>
      </c>
      <c r="I5483" s="18" t="s">
        <v>28</v>
      </c>
      <c r="J5483" s="18" t="s">
        <v>28</v>
      </c>
      <c r="K5483" s="18" t="s">
        <v>28</v>
      </c>
      <c r="L5483" s="18" t="s">
        <v>28</v>
      </c>
      <c r="M5483" s="18" t="s">
        <v>28</v>
      </c>
      <c r="N5483" s="17">
        <v>44183</v>
      </c>
      <c r="O5483" s="15" t="s">
        <v>30</v>
      </c>
      <c r="P5483" s="16" t="s">
        <v>13906</v>
      </c>
      <c r="Q5483" s="15" t="s">
        <v>583</v>
      </c>
      <c r="R5483" s="13" t="str">
        <f>HYPERLINK("https://my.pitchbook.com?c=210311-74T","View Company Online")</f>
        <v>View Company Online</v>
      </c>
    </row>
    <row r="5484" spans="1:18" hidden="1" x14ac:dyDescent="0.3">
      <c r="A5484" s="9" t="s">
        <v>17101</v>
      </c>
      <c r="B5484" s="9" t="s">
        <v>17102</v>
      </c>
      <c r="C5484" s="11" t="s">
        <v>28</v>
      </c>
      <c r="D5484" s="9" t="s">
        <v>17103</v>
      </c>
      <c r="E5484" s="11" t="s">
        <v>28</v>
      </c>
      <c r="F5484" s="10" t="s">
        <v>28</v>
      </c>
      <c r="G5484" s="10" t="s">
        <v>28</v>
      </c>
      <c r="H5484" s="10" t="s">
        <v>28</v>
      </c>
      <c r="I5484" s="11" t="s">
        <v>28</v>
      </c>
      <c r="J5484" s="11" t="s">
        <v>28</v>
      </c>
      <c r="K5484" s="11" t="s">
        <v>28</v>
      </c>
      <c r="L5484" s="11" t="s">
        <v>28</v>
      </c>
      <c r="M5484" s="11" t="s">
        <v>28</v>
      </c>
      <c r="N5484" s="8">
        <v>44183</v>
      </c>
      <c r="O5484" s="9" t="s">
        <v>30</v>
      </c>
      <c r="P5484" s="12" t="s">
        <v>17104</v>
      </c>
      <c r="Q5484" s="9" t="s">
        <v>136</v>
      </c>
      <c r="R5484" s="14" t="str">
        <f>HYPERLINK("https://my.pitchbook.com?c=243190-81T","View Company Online")</f>
        <v>View Company Online</v>
      </c>
    </row>
    <row r="5485" spans="1:18" hidden="1" x14ac:dyDescent="0.3">
      <c r="A5485" s="15" t="s">
        <v>17105</v>
      </c>
      <c r="B5485" s="15" t="s">
        <v>10973</v>
      </c>
      <c r="C5485" s="18" t="s">
        <v>28</v>
      </c>
      <c r="D5485" s="15" t="s">
        <v>10974</v>
      </c>
      <c r="E5485" s="18" t="s">
        <v>28</v>
      </c>
      <c r="F5485" s="19" t="s">
        <v>28</v>
      </c>
      <c r="G5485" s="19">
        <v>2</v>
      </c>
      <c r="H5485" s="19" t="s">
        <v>28</v>
      </c>
      <c r="I5485" s="18" t="s">
        <v>28</v>
      </c>
      <c r="J5485" s="18" t="s">
        <v>28</v>
      </c>
      <c r="K5485" s="18" t="s">
        <v>28</v>
      </c>
      <c r="L5485" s="18" t="s">
        <v>28</v>
      </c>
      <c r="M5485" s="18" t="s">
        <v>28</v>
      </c>
      <c r="N5485" s="17">
        <v>44183</v>
      </c>
      <c r="O5485" s="15" t="s">
        <v>99</v>
      </c>
      <c r="P5485" s="16" t="s">
        <v>140</v>
      </c>
      <c r="Q5485" s="15" t="s">
        <v>386</v>
      </c>
      <c r="R5485" s="13" t="str">
        <f>HYPERLINK("https://my.pitchbook.com?c=226831-42T","View Company Online")</f>
        <v>View Company Online</v>
      </c>
    </row>
    <row r="5486" spans="1:18" hidden="1" x14ac:dyDescent="0.3">
      <c r="A5486" s="9" t="s">
        <v>17106</v>
      </c>
      <c r="B5486" s="9" t="s">
        <v>10005</v>
      </c>
      <c r="C5486" s="11" t="s">
        <v>28</v>
      </c>
      <c r="D5486" s="9" t="s">
        <v>10006</v>
      </c>
      <c r="E5486" s="11" t="s">
        <v>28</v>
      </c>
      <c r="F5486" s="10" t="s">
        <v>28</v>
      </c>
      <c r="G5486" s="10">
        <v>255</v>
      </c>
      <c r="H5486" s="10">
        <v>1750</v>
      </c>
      <c r="I5486" s="11" t="s">
        <v>28</v>
      </c>
      <c r="J5486" s="11" t="s">
        <v>28</v>
      </c>
      <c r="K5486" s="11">
        <v>60.07</v>
      </c>
      <c r="L5486" s="11">
        <v>29.13</v>
      </c>
      <c r="M5486" s="11" t="s">
        <v>28</v>
      </c>
      <c r="N5486" s="8">
        <v>44183</v>
      </c>
      <c r="O5486" s="9" t="s">
        <v>79</v>
      </c>
      <c r="P5486" s="12" t="s">
        <v>17107</v>
      </c>
      <c r="Q5486" s="9" t="s">
        <v>696</v>
      </c>
      <c r="R5486" s="14" t="str">
        <f>HYPERLINK("https://my.pitchbook.com?c=161860-24T","View Company Online")</f>
        <v>View Company Online</v>
      </c>
    </row>
    <row r="5487" spans="1:18" hidden="1" x14ac:dyDescent="0.3">
      <c r="A5487" s="15" t="s">
        <v>17108</v>
      </c>
      <c r="B5487" s="15" t="s">
        <v>1553</v>
      </c>
      <c r="C5487" s="18" t="s">
        <v>28</v>
      </c>
      <c r="D5487" s="15" t="s">
        <v>1554</v>
      </c>
      <c r="E5487" s="18" t="s">
        <v>28</v>
      </c>
      <c r="F5487" s="19" t="s">
        <v>28</v>
      </c>
      <c r="G5487" s="19">
        <v>0.02</v>
      </c>
      <c r="H5487" s="19" t="s">
        <v>28</v>
      </c>
      <c r="I5487" s="18" t="s">
        <v>28</v>
      </c>
      <c r="J5487" s="18" t="s">
        <v>28</v>
      </c>
      <c r="K5487" s="18" t="s">
        <v>28</v>
      </c>
      <c r="L5487" s="18" t="s">
        <v>28</v>
      </c>
      <c r="M5487" s="18" t="s">
        <v>28</v>
      </c>
      <c r="N5487" s="17">
        <v>44183</v>
      </c>
      <c r="O5487" s="15" t="s">
        <v>47</v>
      </c>
      <c r="P5487" s="16" t="s">
        <v>3097</v>
      </c>
      <c r="Q5487" s="15" t="s">
        <v>43</v>
      </c>
      <c r="R5487" s="13" t="str">
        <f>HYPERLINK("https://my.pitchbook.com?c=191928-25T","View Company Online")</f>
        <v>View Company Online</v>
      </c>
    </row>
    <row r="5488" spans="1:18" hidden="1" x14ac:dyDescent="0.3">
      <c r="A5488" s="9" t="s">
        <v>17109</v>
      </c>
      <c r="B5488" s="9" t="s">
        <v>17110</v>
      </c>
      <c r="C5488" s="11" t="s">
        <v>28</v>
      </c>
      <c r="D5488" s="9" t="s">
        <v>17111</v>
      </c>
      <c r="E5488" s="11" t="s">
        <v>28</v>
      </c>
      <c r="F5488" s="10" t="s">
        <v>28</v>
      </c>
      <c r="G5488" s="10" t="s">
        <v>28</v>
      </c>
      <c r="H5488" s="10" t="s">
        <v>28</v>
      </c>
      <c r="I5488" s="11" t="s">
        <v>28</v>
      </c>
      <c r="J5488" s="11" t="s">
        <v>28</v>
      </c>
      <c r="K5488" s="11" t="s">
        <v>28</v>
      </c>
      <c r="L5488" s="11" t="s">
        <v>28</v>
      </c>
      <c r="M5488" s="11" t="s">
        <v>28</v>
      </c>
      <c r="N5488" s="8">
        <v>44181</v>
      </c>
      <c r="O5488" s="9" t="s">
        <v>30</v>
      </c>
      <c r="P5488" s="12" t="s">
        <v>28</v>
      </c>
      <c r="Q5488" s="9" t="s">
        <v>37</v>
      </c>
      <c r="R5488" s="14" t="str">
        <f>HYPERLINK("https://my.pitchbook.com?c=164020-42T","View Company Online")</f>
        <v>View Company Online</v>
      </c>
    </row>
    <row r="5489" spans="1:18" hidden="1" x14ac:dyDescent="0.3">
      <c r="A5489" s="15" t="s">
        <v>17112</v>
      </c>
      <c r="B5489" s="15" t="s">
        <v>7338</v>
      </c>
      <c r="C5489" s="18" t="s">
        <v>28</v>
      </c>
      <c r="D5489" s="15" t="s">
        <v>7339</v>
      </c>
      <c r="E5489" s="18" t="s">
        <v>28</v>
      </c>
      <c r="F5489" s="19" t="s">
        <v>28</v>
      </c>
      <c r="G5489" s="19">
        <v>0.14000000000000001</v>
      </c>
      <c r="H5489" s="19" t="s">
        <v>28</v>
      </c>
      <c r="I5489" s="18" t="s">
        <v>28</v>
      </c>
      <c r="J5489" s="18" t="s">
        <v>28</v>
      </c>
      <c r="K5489" s="18" t="s">
        <v>28</v>
      </c>
      <c r="L5489" s="18" t="s">
        <v>28</v>
      </c>
      <c r="M5489" s="18" t="s">
        <v>28</v>
      </c>
      <c r="N5489" s="17">
        <v>44181</v>
      </c>
      <c r="O5489" s="15" t="s">
        <v>379</v>
      </c>
      <c r="P5489" s="16" t="s">
        <v>28</v>
      </c>
      <c r="Q5489" s="15" t="s">
        <v>136</v>
      </c>
      <c r="R5489" s="13" t="str">
        <f>HYPERLINK("https://my.pitchbook.com?c=166161-43T","View Company Online")</f>
        <v>View Company Online</v>
      </c>
    </row>
    <row r="5490" spans="1:18" hidden="1" x14ac:dyDescent="0.3">
      <c r="A5490" s="9" t="s">
        <v>17113</v>
      </c>
      <c r="B5490" s="9" t="s">
        <v>13910</v>
      </c>
      <c r="C5490" s="11" t="s">
        <v>28</v>
      </c>
      <c r="D5490" s="9" t="s">
        <v>13911</v>
      </c>
      <c r="E5490" s="11" t="s">
        <v>28</v>
      </c>
      <c r="F5490" s="10" t="s">
        <v>28</v>
      </c>
      <c r="G5490" s="10">
        <v>0.13</v>
      </c>
      <c r="H5490" s="10">
        <v>1.91</v>
      </c>
      <c r="I5490" s="11" t="s">
        <v>28</v>
      </c>
      <c r="J5490" s="11" t="s">
        <v>28</v>
      </c>
      <c r="K5490" s="11">
        <v>0.01</v>
      </c>
      <c r="L5490" s="11">
        <v>516.70000000000005</v>
      </c>
      <c r="M5490" s="11" t="s">
        <v>28</v>
      </c>
      <c r="N5490" s="8">
        <v>44180</v>
      </c>
      <c r="O5490" s="9" t="s">
        <v>73</v>
      </c>
      <c r="P5490" s="12" t="s">
        <v>7098</v>
      </c>
      <c r="Q5490" s="9" t="s">
        <v>37</v>
      </c>
      <c r="R5490" s="14" t="str">
        <f>HYPERLINK("https://my.pitchbook.com?c=158419-54T","View Company Online")</f>
        <v>View Company Online</v>
      </c>
    </row>
    <row r="5491" spans="1:18" hidden="1" x14ac:dyDescent="0.3">
      <c r="A5491" s="15" t="s">
        <v>17114</v>
      </c>
      <c r="B5491" s="15" t="s">
        <v>17115</v>
      </c>
      <c r="C5491" s="18" t="s">
        <v>28</v>
      </c>
      <c r="D5491" s="15" t="s">
        <v>17116</v>
      </c>
      <c r="E5491" s="18" t="s">
        <v>28</v>
      </c>
      <c r="F5491" s="19" t="s">
        <v>28</v>
      </c>
      <c r="G5491" s="19" t="s">
        <v>28</v>
      </c>
      <c r="H5491" s="19" t="s">
        <v>28</v>
      </c>
      <c r="I5491" s="18" t="s">
        <v>28</v>
      </c>
      <c r="J5491" s="18" t="s">
        <v>28</v>
      </c>
      <c r="K5491" s="18" t="s">
        <v>28</v>
      </c>
      <c r="L5491" s="18" t="s">
        <v>28</v>
      </c>
      <c r="M5491" s="18" t="s">
        <v>28</v>
      </c>
      <c r="N5491" s="17">
        <v>44180</v>
      </c>
      <c r="O5491" s="15" t="s">
        <v>173</v>
      </c>
      <c r="P5491" s="16" t="s">
        <v>28</v>
      </c>
      <c r="Q5491" s="15" t="s">
        <v>174</v>
      </c>
      <c r="R5491" s="13" t="str">
        <f>HYPERLINK("https://my.pitchbook.com?c=251358-04T","View Company Online")</f>
        <v>View Company Online</v>
      </c>
    </row>
    <row r="5492" spans="1:18" hidden="1" x14ac:dyDescent="0.3">
      <c r="A5492" s="9" t="s">
        <v>17117</v>
      </c>
      <c r="B5492" s="9" t="s">
        <v>17118</v>
      </c>
      <c r="C5492" s="11" t="s">
        <v>28</v>
      </c>
      <c r="D5492" s="9" t="s">
        <v>17119</v>
      </c>
      <c r="E5492" s="11" t="s">
        <v>28</v>
      </c>
      <c r="F5492" s="10" t="s">
        <v>28</v>
      </c>
      <c r="G5492" s="10">
        <v>52.4</v>
      </c>
      <c r="H5492" s="10" t="s">
        <v>28</v>
      </c>
      <c r="I5492" s="11" t="s">
        <v>28</v>
      </c>
      <c r="J5492" s="11" t="s">
        <v>28</v>
      </c>
      <c r="K5492" s="11" t="s">
        <v>28</v>
      </c>
      <c r="L5492" s="11" t="s">
        <v>28</v>
      </c>
      <c r="M5492" s="11" t="s">
        <v>28</v>
      </c>
      <c r="N5492" s="8">
        <v>44180</v>
      </c>
      <c r="O5492" s="9" t="s">
        <v>93</v>
      </c>
      <c r="P5492" s="12" t="s">
        <v>13582</v>
      </c>
      <c r="Q5492" s="9" t="s">
        <v>119</v>
      </c>
      <c r="R5492" s="14" t="str">
        <f>HYPERLINK("https://my.pitchbook.com?c=163997-02T","View Company Online")</f>
        <v>View Company Online</v>
      </c>
    </row>
    <row r="5493" spans="1:18" hidden="1" x14ac:dyDescent="0.3">
      <c r="A5493" s="15" t="s">
        <v>17120</v>
      </c>
      <c r="B5493" s="15" t="s">
        <v>13951</v>
      </c>
      <c r="C5493" s="18" t="s">
        <v>28</v>
      </c>
      <c r="D5493" s="15" t="s">
        <v>13952</v>
      </c>
      <c r="E5493" s="18" t="s">
        <v>28</v>
      </c>
      <c r="F5493" s="19" t="s">
        <v>28</v>
      </c>
      <c r="G5493" s="19">
        <v>0.01</v>
      </c>
      <c r="H5493" s="19" t="s">
        <v>28</v>
      </c>
      <c r="I5493" s="18" t="s">
        <v>28</v>
      </c>
      <c r="J5493" s="18" t="s">
        <v>28</v>
      </c>
      <c r="K5493" s="18" t="s">
        <v>28</v>
      </c>
      <c r="L5493" s="18" t="s">
        <v>28</v>
      </c>
      <c r="M5493" s="18" t="s">
        <v>28</v>
      </c>
      <c r="N5493" s="17">
        <v>44180</v>
      </c>
      <c r="O5493" s="15" t="s">
        <v>52</v>
      </c>
      <c r="P5493" s="16" t="s">
        <v>17121</v>
      </c>
      <c r="Q5493" s="15" t="s">
        <v>37</v>
      </c>
      <c r="R5493" s="13" t="str">
        <f>HYPERLINK("https://my.pitchbook.com?c=173033-29T","View Company Online")</f>
        <v>View Company Online</v>
      </c>
    </row>
    <row r="5494" spans="1:18" hidden="1" x14ac:dyDescent="0.3">
      <c r="A5494" s="9" t="s">
        <v>17122</v>
      </c>
      <c r="B5494" s="9" t="s">
        <v>17123</v>
      </c>
      <c r="C5494" s="11" t="s">
        <v>28</v>
      </c>
      <c r="D5494" s="9" t="s">
        <v>17124</v>
      </c>
      <c r="E5494" s="11" t="s">
        <v>28</v>
      </c>
      <c r="F5494" s="10">
        <v>15.78</v>
      </c>
      <c r="G5494" s="10">
        <v>15.78</v>
      </c>
      <c r="H5494" s="10">
        <v>15.78</v>
      </c>
      <c r="I5494" s="11" t="s">
        <v>28</v>
      </c>
      <c r="J5494" s="11" t="s">
        <v>28</v>
      </c>
      <c r="K5494" s="11">
        <v>0.42</v>
      </c>
      <c r="L5494" s="11">
        <v>38</v>
      </c>
      <c r="M5494" s="11" t="s">
        <v>28</v>
      </c>
      <c r="N5494" s="8">
        <v>44179</v>
      </c>
      <c r="O5494" s="9" t="s">
        <v>30</v>
      </c>
      <c r="P5494" s="12" t="s">
        <v>6531</v>
      </c>
      <c r="Q5494" s="9" t="s">
        <v>5347</v>
      </c>
      <c r="R5494" s="14" t="str">
        <f>HYPERLINK("https://my.pitchbook.com?c=161013-43T","View Company Online")</f>
        <v>View Company Online</v>
      </c>
    </row>
    <row r="5495" spans="1:18" hidden="1" x14ac:dyDescent="0.3">
      <c r="A5495" s="15" t="s">
        <v>17125</v>
      </c>
      <c r="B5495" s="15" t="s">
        <v>17126</v>
      </c>
      <c r="C5495" s="18" t="s">
        <v>28</v>
      </c>
      <c r="D5495" s="15" t="s">
        <v>17127</v>
      </c>
      <c r="E5495" s="18" t="s">
        <v>28</v>
      </c>
      <c r="F5495" s="19">
        <v>11.41</v>
      </c>
      <c r="G5495" s="19">
        <v>11.41</v>
      </c>
      <c r="H5495" s="19">
        <v>11.41</v>
      </c>
      <c r="I5495" s="18" t="s">
        <v>28</v>
      </c>
      <c r="J5495" s="18" t="s">
        <v>28</v>
      </c>
      <c r="K5495" s="18" t="s">
        <v>28</v>
      </c>
      <c r="L5495" s="18" t="s">
        <v>28</v>
      </c>
      <c r="M5495" s="18" t="s">
        <v>28</v>
      </c>
      <c r="N5495" s="17">
        <v>44179</v>
      </c>
      <c r="O5495" s="15" t="s">
        <v>30</v>
      </c>
      <c r="P5495" s="16" t="s">
        <v>8381</v>
      </c>
      <c r="Q5495" s="15" t="s">
        <v>160</v>
      </c>
      <c r="R5495" s="13" t="str">
        <f>HYPERLINK("https://my.pitchbook.com?c=203801-41T","View Company Online")</f>
        <v>View Company Online</v>
      </c>
    </row>
    <row r="5496" spans="1:18" x14ac:dyDescent="0.3">
      <c r="A5496" s="9" t="s">
        <v>17128</v>
      </c>
      <c r="B5496" s="9" t="s">
        <v>864</v>
      </c>
      <c r="C5496" s="11" t="s">
        <v>28</v>
      </c>
      <c r="D5496" s="9" t="s">
        <v>865</v>
      </c>
      <c r="E5496" s="11">
        <v>-1710.67</v>
      </c>
      <c r="F5496" s="10">
        <v>2218.02</v>
      </c>
      <c r="G5496" s="10">
        <v>3293.08</v>
      </c>
      <c r="H5496" s="10">
        <v>3293.08</v>
      </c>
      <c r="I5496" s="11">
        <v>-1282.44</v>
      </c>
      <c r="J5496" s="11">
        <v>-2.57</v>
      </c>
      <c r="K5496" s="11">
        <v>1455.55</v>
      </c>
      <c r="L5496" s="11">
        <v>2.2599999999999998</v>
      </c>
      <c r="M5496" s="11">
        <v>-3022.04</v>
      </c>
      <c r="N5496" s="8">
        <v>44179</v>
      </c>
      <c r="O5496" s="9" t="s">
        <v>30</v>
      </c>
      <c r="P5496" s="12" t="s">
        <v>17129</v>
      </c>
      <c r="Q5496" s="9" t="s">
        <v>692</v>
      </c>
      <c r="R5496" s="14" t="str">
        <f>HYPERLINK("https://my.pitchbook.com?c=164180-26T","View Company Online")</f>
        <v>View Company Online</v>
      </c>
    </row>
    <row r="5497" spans="1:18" hidden="1" x14ac:dyDescent="0.3">
      <c r="A5497" s="15" t="s">
        <v>17130</v>
      </c>
      <c r="B5497" s="15" t="s">
        <v>17131</v>
      </c>
      <c r="C5497" s="18" t="s">
        <v>28</v>
      </c>
      <c r="D5497" s="15" t="s">
        <v>17132</v>
      </c>
      <c r="E5497" s="18" t="s">
        <v>28</v>
      </c>
      <c r="F5497" s="19" t="s">
        <v>28</v>
      </c>
      <c r="G5497" s="19" t="s">
        <v>28</v>
      </c>
      <c r="H5497" s="19" t="s">
        <v>28</v>
      </c>
      <c r="I5497" s="18" t="s">
        <v>28</v>
      </c>
      <c r="J5497" s="18" t="s">
        <v>28</v>
      </c>
      <c r="K5497" s="18" t="s">
        <v>28</v>
      </c>
      <c r="L5497" s="18" t="s">
        <v>28</v>
      </c>
      <c r="M5497" s="18" t="s">
        <v>28</v>
      </c>
      <c r="N5497" s="17">
        <v>44176</v>
      </c>
      <c r="O5497" s="15" t="s">
        <v>41</v>
      </c>
      <c r="P5497" s="16" t="s">
        <v>5804</v>
      </c>
      <c r="Q5497" s="15" t="s">
        <v>75</v>
      </c>
      <c r="R5497" s="13" t="str">
        <f>HYPERLINK("https://my.pitchbook.com?c=167486-32T","View Company Online")</f>
        <v>View Company Online</v>
      </c>
    </row>
    <row r="5498" spans="1:18" hidden="1" x14ac:dyDescent="0.3">
      <c r="A5498" s="9" t="s">
        <v>17133</v>
      </c>
      <c r="B5498" s="9" t="s">
        <v>5218</v>
      </c>
      <c r="C5498" s="11" t="s">
        <v>28</v>
      </c>
      <c r="D5498" s="9" t="s">
        <v>5219</v>
      </c>
      <c r="E5498" s="11" t="s">
        <v>28</v>
      </c>
      <c r="F5498" s="10" t="s">
        <v>28</v>
      </c>
      <c r="G5498" s="10">
        <v>1</v>
      </c>
      <c r="H5498" s="10" t="s">
        <v>28</v>
      </c>
      <c r="I5498" s="11" t="s">
        <v>28</v>
      </c>
      <c r="J5498" s="11" t="s">
        <v>28</v>
      </c>
      <c r="K5498" s="11" t="s">
        <v>28</v>
      </c>
      <c r="L5498" s="11" t="s">
        <v>28</v>
      </c>
      <c r="M5498" s="11" t="s">
        <v>28</v>
      </c>
      <c r="N5498" s="8">
        <v>44175</v>
      </c>
      <c r="O5498" s="9" t="s">
        <v>99</v>
      </c>
      <c r="P5498" s="12" t="s">
        <v>17134</v>
      </c>
      <c r="Q5498" s="9" t="s">
        <v>75</v>
      </c>
      <c r="R5498" s="14" t="str">
        <f>HYPERLINK("https://my.pitchbook.com?c=160874-74T","View Company Online")</f>
        <v>View Company Online</v>
      </c>
    </row>
    <row r="5499" spans="1:18" hidden="1" x14ac:dyDescent="0.3">
      <c r="A5499" s="15" t="s">
        <v>17135</v>
      </c>
      <c r="B5499" s="15" t="s">
        <v>16568</v>
      </c>
      <c r="C5499" s="18" t="s">
        <v>28</v>
      </c>
      <c r="D5499" s="15" t="s">
        <v>16569</v>
      </c>
      <c r="E5499" s="18" t="s">
        <v>28</v>
      </c>
      <c r="F5499" s="19" t="s">
        <v>28</v>
      </c>
      <c r="G5499" s="19" t="s">
        <v>28</v>
      </c>
      <c r="H5499" s="19" t="s">
        <v>28</v>
      </c>
      <c r="I5499" s="18" t="s">
        <v>28</v>
      </c>
      <c r="J5499" s="18" t="s">
        <v>28</v>
      </c>
      <c r="K5499" s="18" t="s">
        <v>28</v>
      </c>
      <c r="L5499" s="18" t="s">
        <v>28</v>
      </c>
      <c r="M5499" s="18" t="s">
        <v>28</v>
      </c>
      <c r="N5499" s="17">
        <v>44175</v>
      </c>
      <c r="O5499" s="15" t="s">
        <v>52</v>
      </c>
      <c r="P5499" s="16" t="s">
        <v>14384</v>
      </c>
      <c r="Q5499" s="15" t="s">
        <v>37</v>
      </c>
      <c r="R5499" s="13" t="str">
        <f>HYPERLINK("https://my.pitchbook.com?c=265215-43T","View Company Online")</f>
        <v>View Company Online</v>
      </c>
    </row>
    <row r="5500" spans="1:18" hidden="1" x14ac:dyDescent="0.3">
      <c r="A5500" s="9" t="s">
        <v>17136</v>
      </c>
      <c r="B5500" s="9" t="s">
        <v>17137</v>
      </c>
      <c r="C5500" s="11" t="s">
        <v>28</v>
      </c>
      <c r="D5500" s="9" t="s">
        <v>17138</v>
      </c>
      <c r="E5500" s="11" t="s">
        <v>28</v>
      </c>
      <c r="F5500" s="10" t="s">
        <v>28</v>
      </c>
      <c r="G5500" s="10" t="s">
        <v>28</v>
      </c>
      <c r="H5500" s="10" t="s">
        <v>28</v>
      </c>
      <c r="I5500" s="11" t="s">
        <v>28</v>
      </c>
      <c r="J5500" s="11" t="s">
        <v>28</v>
      </c>
      <c r="K5500" s="11" t="s">
        <v>28</v>
      </c>
      <c r="L5500" s="11" t="s">
        <v>28</v>
      </c>
      <c r="M5500" s="11" t="s">
        <v>28</v>
      </c>
      <c r="N5500" s="8">
        <v>44175</v>
      </c>
      <c r="O5500" s="9" t="s">
        <v>30</v>
      </c>
      <c r="P5500" s="12" t="s">
        <v>17139</v>
      </c>
      <c r="Q5500" s="9" t="s">
        <v>1035</v>
      </c>
      <c r="R5500" s="14" t="str">
        <f>HYPERLINK("https://my.pitchbook.com?c=168088-24T","View Company Online")</f>
        <v>View Company Online</v>
      </c>
    </row>
    <row r="5501" spans="1:18" hidden="1" x14ac:dyDescent="0.3">
      <c r="A5501" s="15" t="s">
        <v>17140</v>
      </c>
      <c r="B5501" s="15" t="s">
        <v>1347</v>
      </c>
      <c r="C5501" s="18" t="s">
        <v>28</v>
      </c>
      <c r="D5501" s="15" t="s">
        <v>1348</v>
      </c>
      <c r="E5501" s="18" t="s">
        <v>28</v>
      </c>
      <c r="F5501" s="19" t="s">
        <v>28</v>
      </c>
      <c r="G5501" s="19">
        <v>0.05</v>
      </c>
      <c r="H5501" s="19" t="s">
        <v>28</v>
      </c>
      <c r="I5501" s="18" t="s">
        <v>28</v>
      </c>
      <c r="J5501" s="18" t="s">
        <v>28</v>
      </c>
      <c r="K5501" s="18" t="s">
        <v>28</v>
      </c>
      <c r="L5501" s="18" t="s">
        <v>28</v>
      </c>
      <c r="M5501" s="18" t="s">
        <v>28</v>
      </c>
      <c r="N5501" s="17">
        <v>44175</v>
      </c>
      <c r="O5501" s="15" t="s">
        <v>47</v>
      </c>
      <c r="P5501" s="16" t="s">
        <v>17141</v>
      </c>
      <c r="Q5501" s="15" t="s">
        <v>583</v>
      </c>
      <c r="R5501" s="13" t="str">
        <f>HYPERLINK("https://my.pitchbook.com?c=271402-93T","View Company Online")</f>
        <v>View Company Online</v>
      </c>
    </row>
    <row r="5502" spans="1:18" hidden="1" x14ac:dyDescent="0.3">
      <c r="A5502" s="9" t="s">
        <v>17142</v>
      </c>
      <c r="B5502" s="9" t="s">
        <v>5573</v>
      </c>
      <c r="C5502" s="11" t="s">
        <v>28</v>
      </c>
      <c r="D5502" s="9" t="s">
        <v>5574</v>
      </c>
      <c r="E5502" s="11" t="s">
        <v>28</v>
      </c>
      <c r="F5502" s="10" t="s">
        <v>28</v>
      </c>
      <c r="G5502" s="10">
        <v>0.19</v>
      </c>
      <c r="H5502" s="10" t="s">
        <v>28</v>
      </c>
      <c r="I5502" s="11" t="s">
        <v>28</v>
      </c>
      <c r="J5502" s="11" t="s">
        <v>28</v>
      </c>
      <c r="K5502" s="11" t="s">
        <v>28</v>
      </c>
      <c r="L5502" s="11" t="s">
        <v>28</v>
      </c>
      <c r="M5502" s="11" t="s">
        <v>28</v>
      </c>
      <c r="N5502" s="8">
        <v>44175</v>
      </c>
      <c r="O5502" s="9" t="s">
        <v>47</v>
      </c>
      <c r="P5502" s="12" t="s">
        <v>13703</v>
      </c>
      <c r="Q5502" s="9" t="s">
        <v>404</v>
      </c>
      <c r="R5502" s="14" t="str">
        <f>HYPERLINK("https://my.pitchbook.com?c=211946-68T","View Company Online")</f>
        <v>View Company Online</v>
      </c>
    </row>
    <row r="5503" spans="1:18" hidden="1" x14ac:dyDescent="0.3">
      <c r="A5503" s="15" t="s">
        <v>17143</v>
      </c>
      <c r="B5503" s="15" t="s">
        <v>17144</v>
      </c>
      <c r="C5503" s="18" t="s">
        <v>28</v>
      </c>
      <c r="D5503" s="15" t="s">
        <v>17145</v>
      </c>
      <c r="E5503" s="18" t="s">
        <v>28</v>
      </c>
      <c r="F5503" s="19" t="s">
        <v>28</v>
      </c>
      <c r="G5503" s="19" t="s">
        <v>28</v>
      </c>
      <c r="H5503" s="19" t="s">
        <v>28</v>
      </c>
      <c r="I5503" s="18" t="s">
        <v>28</v>
      </c>
      <c r="J5503" s="18" t="s">
        <v>28</v>
      </c>
      <c r="K5503" s="18" t="s">
        <v>28</v>
      </c>
      <c r="L5503" s="18" t="s">
        <v>28</v>
      </c>
      <c r="M5503" s="18" t="s">
        <v>28</v>
      </c>
      <c r="N5503" s="17">
        <v>44174</v>
      </c>
      <c r="O5503" s="15" t="s">
        <v>30</v>
      </c>
      <c r="P5503" s="16" t="s">
        <v>17146</v>
      </c>
      <c r="Q5503" s="15" t="s">
        <v>37</v>
      </c>
      <c r="R5503" s="13" t="str">
        <f>HYPERLINK("https://my.pitchbook.com?c=166733-29T","View Company Online")</f>
        <v>View Company Online</v>
      </c>
    </row>
    <row r="5504" spans="1:18" hidden="1" x14ac:dyDescent="0.3">
      <c r="A5504" s="9" t="s">
        <v>17147</v>
      </c>
      <c r="B5504" s="9" t="s">
        <v>8758</v>
      </c>
      <c r="C5504" s="11" t="s">
        <v>28</v>
      </c>
      <c r="D5504" s="9" t="s">
        <v>8759</v>
      </c>
      <c r="E5504" s="11" t="s">
        <v>28</v>
      </c>
      <c r="F5504" s="10" t="s">
        <v>28</v>
      </c>
      <c r="G5504" s="10">
        <v>1.4</v>
      </c>
      <c r="H5504" s="10" t="s">
        <v>28</v>
      </c>
      <c r="I5504" s="11" t="s">
        <v>28</v>
      </c>
      <c r="J5504" s="11" t="s">
        <v>28</v>
      </c>
      <c r="K5504" s="11" t="s">
        <v>28</v>
      </c>
      <c r="L5504" s="11" t="s">
        <v>28</v>
      </c>
      <c r="M5504" s="11" t="s">
        <v>28</v>
      </c>
      <c r="N5504" s="8">
        <v>44174</v>
      </c>
      <c r="O5504" s="9" t="s">
        <v>99</v>
      </c>
      <c r="P5504" s="12" t="s">
        <v>17148</v>
      </c>
      <c r="Q5504" s="9" t="s">
        <v>75</v>
      </c>
      <c r="R5504" s="14" t="str">
        <f>HYPERLINK("https://my.pitchbook.com?c=166165-03T","View Company Online")</f>
        <v>View Company Online</v>
      </c>
    </row>
    <row r="5505" spans="1:18" hidden="1" x14ac:dyDescent="0.3">
      <c r="A5505" s="15" t="s">
        <v>17149</v>
      </c>
      <c r="B5505" s="15" t="s">
        <v>10645</v>
      </c>
      <c r="C5505" s="18" t="s">
        <v>28</v>
      </c>
      <c r="D5505" s="15" t="s">
        <v>10646</v>
      </c>
      <c r="E5505" s="18" t="s">
        <v>28</v>
      </c>
      <c r="F5505" s="19" t="s">
        <v>28</v>
      </c>
      <c r="G5505" s="19">
        <v>20</v>
      </c>
      <c r="H5505" s="19" t="s">
        <v>28</v>
      </c>
      <c r="I5505" s="18" t="s">
        <v>28</v>
      </c>
      <c r="J5505" s="18" t="s">
        <v>28</v>
      </c>
      <c r="K5505" s="18">
        <v>54.35</v>
      </c>
      <c r="L5505" s="18" t="s">
        <v>28</v>
      </c>
      <c r="M5505" s="18" t="s">
        <v>28</v>
      </c>
      <c r="N5505" s="17">
        <v>44174</v>
      </c>
      <c r="O5505" s="15" t="s">
        <v>93</v>
      </c>
      <c r="P5505" s="16" t="s">
        <v>17150</v>
      </c>
      <c r="Q5505" s="15" t="s">
        <v>37</v>
      </c>
      <c r="R5505" s="13" t="str">
        <f>HYPERLINK("https://my.pitchbook.com?c=160799-68T","View Company Online")</f>
        <v>View Company Online</v>
      </c>
    </row>
    <row r="5506" spans="1:18" hidden="1" x14ac:dyDescent="0.3">
      <c r="A5506" s="9" t="s">
        <v>17151</v>
      </c>
      <c r="B5506" s="9" t="s">
        <v>17152</v>
      </c>
      <c r="C5506" s="11" t="s">
        <v>28</v>
      </c>
      <c r="D5506" s="9" t="s">
        <v>17153</v>
      </c>
      <c r="E5506" s="11" t="s">
        <v>28</v>
      </c>
      <c r="F5506" s="10" t="s">
        <v>28</v>
      </c>
      <c r="G5506" s="10" t="s">
        <v>28</v>
      </c>
      <c r="H5506" s="10" t="s">
        <v>28</v>
      </c>
      <c r="I5506" s="11" t="s">
        <v>28</v>
      </c>
      <c r="J5506" s="11" t="s">
        <v>28</v>
      </c>
      <c r="K5506" s="11" t="s">
        <v>28</v>
      </c>
      <c r="L5506" s="11" t="s">
        <v>28</v>
      </c>
      <c r="M5506" s="11" t="s">
        <v>28</v>
      </c>
      <c r="N5506" s="8">
        <v>44174</v>
      </c>
      <c r="O5506" s="9" t="s">
        <v>52</v>
      </c>
      <c r="P5506" s="12" t="s">
        <v>10367</v>
      </c>
      <c r="Q5506" s="9" t="s">
        <v>75</v>
      </c>
      <c r="R5506" s="14" t="str">
        <f>HYPERLINK("https://my.pitchbook.com?c=284559-58T","View Company Online")</f>
        <v>View Company Online</v>
      </c>
    </row>
    <row r="5507" spans="1:18" hidden="1" x14ac:dyDescent="0.3">
      <c r="A5507" s="15" t="s">
        <v>17154</v>
      </c>
      <c r="B5507" s="15" t="s">
        <v>63</v>
      </c>
      <c r="C5507" s="18" t="s">
        <v>28</v>
      </c>
      <c r="D5507" s="15" t="s">
        <v>2618</v>
      </c>
      <c r="E5507" s="18">
        <v>5409</v>
      </c>
      <c r="F5507" s="19" t="s">
        <v>28</v>
      </c>
      <c r="G5507" s="19">
        <v>225.61</v>
      </c>
      <c r="H5507" s="19" t="s">
        <v>28</v>
      </c>
      <c r="I5507" s="18">
        <v>8600</v>
      </c>
      <c r="J5507" s="18" t="s">
        <v>28</v>
      </c>
      <c r="K5507" s="18">
        <v>34192</v>
      </c>
      <c r="L5507" s="18" t="s">
        <v>28</v>
      </c>
      <c r="M5507" s="18">
        <v>2580</v>
      </c>
      <c r="N5507" s="17">
        <v>44174</v>
      </c>
      <c r="O5507" s="15" t="s">
        <v>159</v>
      </c>
      <c r="P5507" s="16" t="s">
        <v>28</v>
      </c>
      <c r="Q5507" s="15" t="s">
        <v>2620</v>
      </c>
      <c r="R5507" s="13" t="str">
        <f>HYPERLINK("https://my.pitchbook.com?c=218873-89T","View Company Online")</f>
        <v>View Company Online</v>
      </c>
    </row>
    <row r="5508" spans="1:18" hidden="1" x14ac:dyDescent="0.3">
      <c r="A5508" s="9" t="s">
        <v>17155</v>
      </c>
      <c r="B5508" s="9" t="s">
        <v>17156</v>
      </c>
      <c r="C5508" s="11" t="s">
        <v>28</v>
      </c>
      <c r="D5508" s="9" t="s">
        <v>17157</v>
      </c>
      <c r="E5508" s="11" t="s">
        <v>28</v>
      </c>
      <c r="F5508" s="10" t="s">
        <v>28</v>
      </c>
      <c r="G5508" s="10">
        <v>2.44</v>
      </c>
      <c r="H5508" s="10" t="s">
        <v>28</v>
      </c>
      <c r="I5508" s="11" t="s">
        <v>28</v>
      </c>
      <c r="J5508" s="11" t="s">
        <v>28</v>
      </c>
      <c r="K5508" s="11" t="s">
        <v>28</v>
      </c>
      <c r="L5508" s="11" t="s">
        <v>28</v>
      </c>
      <c r="M5508" s="11" t="s">
        <v>28</v>
      </c>
      <c r="N5508" s="8">
        <v>44173</v>
      </c>
      <c r="O5508" s="9" t="s">
        <v>79</v>
      </c>
      <c r="P5508" s="12" t="s">
        <v>17158</v>
      </c>
      <c r="Q5508" s="9" t="s">
        <v>75</v>
      </c>
      <c r="R5508" s="14" t="str">
        <f>HYPERLINK("https://my.pitchbook.com?c=195789-16T","View Company Online")</f>
        <v>View Company Online</v>
      </c>
    </row>
    <row r="5509" spans="1:18" hidden="1" x14ac:dyDescent="0.3">
      <c r="A5509" s="15" t="s">
        <v>17159</v>
      </c>
      <c r="B5509" s="15" t="s">
        <v>17160</v>
      </c>
      <c r="C5509" s="18" t="s">
        <v>28</v>
      </c>
      <c r="D5509" s="15" t="s">
        <v>17161</v>
      </c>
      <c r="E5509" s="18" t="s">
        <v>28</v>
      </c>
      <c r="F5509" s="19" t="s">
        <v>28</v>
      </c>
      <c r="G5509" s="19">
        <v>32</v>
      </c>
      <c r="H5509" s="19" t="s">
        <v>28</v>
      </c>
      <c r="I5509" s="18" t="s">
        <v>28</v>
      </c>
      <c r="J5509" s="18" t="s">
        <v>28</v>
      </c>
      <c r="K5509" s="18" t="s">
        <v>28</v>
      </c>
      <c r="L5509" s="18" t="s">
        <v>28</v>
      </c>
      <c r="M5509" s="18" t="s">
        <v>28</v>
      </c>
      <c r="N5509" s="17">
        <v>44173</v>
      </c>
      <c r="O5509" s="15" t="s">
        <v>79</v>
      </c>
      <c r="P5509" s="16" t="s">
        <v>17162</v>
      </c>
      <c r="Q5509" s="15" t="s">
        <v>75</v>
      </c>
      <c r="R5509" s="13" t="str">
        <f>HYPERLINK("https://my.pitchbook.com?c=160739-11T","View Company Online")</f>
        <v>View Company Online</v>
      </c>
    </row>
    <row r="5510" spans="1:18" hidden="1" x14ac:dyDescent="0.3">
      <c r="A5510" s="9" t="s">
        <v>17163</v>
      </c>
      <c r="B5510" s="9" t="s">
        <v>17164</v>
      </c>
      <c r="C5510" s="11" t="s">
        <v>28</v>
      </c>
      <c r="D5510" s="9" t="s">
        <v>17165</v>
      </c>
      <c r="E5510" s="11" t="s">
        <v>28</v>
      </c>
      <c r="F5510" s="10" t="s">
        <v>28</v>
      </c>
      <c r="G5510" s="10" t="s">
        <v>28</v>
      </c>
      <c r="H5510" s="10" t="s">
        <v>28</v>
      </c>
      <c r="I5510" s="11" t="s">
        <v>28</v>
      </c>
      <c r="J5510" s="11" t="s">
        <v>28</v>
      </c>
      <c r="K5510" s="11" t="s">
        <v>28</v>
      </c>
      <c r="L5510" s="11" t="s">
        <v>28</v>
      </c>
      <c r="M5510" s="11" t="s">
        <v>28</v>
      </c>
      <c r="N5510" s="8">
        <v>44172</v>
      </c>
      <c r="O5510" s="9" t="s">
        <v>30</v>
      </c>
      <c r="P5510" s="12" t="s">
        <v>17166</v>
      </c>
      <c r="Q5510" s="9" t="s">
        <v>855</v>
      </c>
      <c r="R5510" s="14" t="str">
        <f>HYPERLINK("https://my.pitchbook.com?c=213522-49T","View Company Online")</f>
        <v>View Company Online</v>
      </c>
    </row>
    <row r="5511" spans="1:18" hidden="1" x14ac:dyDescent="0.3">
      <c r="A5511" s="15" t="s">
        <v>17167</v>
      </c>
      <c r="B5511" s="15" t="s">
        <v>17168</v>
      </c>
      <c r="C5511" s="18" t="s">
        <v>28</v>
      </c>
      <c r="D5511" s="15" t="s">
        <v>17169</v>
      </c>
      <c r="E5511" s="18" t="s">
        <v>28</v>
      </c>
      <c r="F5511" s="19" t="s">
        <v>28</v>
      </c>
      <c r="G5511" s="19" t="s">
        <v>28</v>
      </c>
      <c r="H5511" s="19" t="s">
        <v>28</v>
      </c>
      <c r="I5511" s="18" t="s">
        <v>28</v>
      </c>
      <c r="J5511" s="18" t="s">
        <v>28</v>
      </c>
      <c r="K5511" s="18" t="s">
        <v>28</v>
      </c>
      <c r="L5511" s="18" t="s">
        <v>28</v>
      </c>
      <c r="M5511" s="18" t="s">
        <v>28</v>
      </c>
      <c r="N5511" s="17">
        <v>44172</v>
      </c>
      <c r="O5511" s="15" t="s">
        <v>30</v>
      </c>
      <c r="P5511" s="16" t="s">
        <v>15577</v>
      </c>
      <c r="Q5511" s="15" t="s">
        <v>37</v>
      </c>
      <c r="R5511" s="13" t="str">
        <f>HYPERLINK("https://my.pitchbook.com?c=160758-64T","View Company Online")</f>
        <v>View Company Online</v>
      </c>
    </row>
    <row r="5512" spans="1:18" hidden="1" x14ac:dyDescent="0.3">
      <c r="A5512" s="9" t="s">
        <v>17170</v>
      </c>
      <c r="B5512" s="9" t="s">
        <v>17171</v>
      </c>
      <c r="C5512" s="11" t="s">
        <v>28</v>
      </c>
      <c r="D5512" s="9" t="s">
        <v>17172</v>
      </c>
      <c r="E5512" s="11" t="s">
        <v>28</v>
      </c>
      <c r="F5512" s="10" t="s">
        <v>28</v>
      </c>
      <c r="G5512" s="10">
        <v>2.81</v>
      </c>
      <c r="H5512" s="10" t="s">
        <v>28</v>
      </c>
      <c r="I5512" s="11" t="s">
        <v>28</v>
      </c>
      <c r="J5512" s="11" t="s">
        <v>28</v>
      </c>
      <c r="K5512" s="11" t="s">
        <v>28</v>
      </c>
      <c r="L5512" s="11" t="s">
        <v>28</v>
      </c>
      <c r="M5512" s="11" t="s">
        <v>28</v>
      </c>
      <c r="N5512" s="8">
        <v>44172</v>
      </c>
      <c r="O5512" s="9" t="s">
        <v>73</v>
      </c>
      <c r="P5512" s="12" t="s">
        <v>17173</v>
      </c>
      <c r="Q5512" s="9" t="s">
        <v>85</v>
      </c>
      <c r="R5512" s="14" t="str">
        <f>HYPERLINK("https://my.pitchbook.com?c=139239-91T","View Company Online")</f>
        <v>View Company Online</v>
      </c>
    </row>
    <row r="5513" spans="1:18" hidden="1" x14ac:dyDescent="0.3">
      <c r="A5513" s="15" t="s">
        <v>17174</v>
      </c>
      <c r="B5513" s="15" t="s">
        <v>17175</v>
      </c>
      <c r="C5513" s="18" t="s">
        <v>28</v>
      </c>
      <c r="D5513" s="15" t="s">
        <v>17176</v>
      </c>
      <c r="E5513" s="18" t="s">
        <v>28</v>
      </c>
      <c r="F5513" s="19" t="s">
        <v>28</v>
      </c>
      <c r="G5513" s="19" t="s">
        <v>28</v>
      </c>
      <c r="H5513" s="19" t="s">
        <v>28</v>
      </c>
      <c r="I5513" s="18" t="s">
        <v>28</v>
      </c>
      <c r="J5513" s="18" t="s">
        <v>28</v>
      </c>
      <c r="K5513" s="18" t="s">
        <v>28</v>
      </c>
      <c r="L5513" s="18" t="s">
        <v>28</v>
      </c>
      <c r="M5513" s="18" t="s">
        <v>28</v>
      </c>
      <c r="N5513" s="17">
        <v>44172</v>
      </c>
      <c r="O5513" s="15" t="s">
        <v>30</v>
      </c>
      <c r="P5513" s="16" t="s">
        <v>14027</v>
      </c>
      <c r="Q5513" s="15" t="s">
        <v>75</v>
      </c>
      <c r="R5513" s="13" t="str">
        <f>HYPERLINK("https://my.pitchbook.com?c=164168-74T","View Company Online")</f>
        <v>View Company Online</v>
      </c>
    </row>
    <row r="5514" spans="1:18" hidden="1" x14ac:dyDescent="0.3">
      <c r="A5514" s="9" t="s">
        <v>17177</v>
      </c>
      <c r="B5514" s="9" t="s">
        <v>10361</v>
      </c>
      <c r="C5514" s="11" t="s">
        <v>28</v>
      </c>
      <c r="D5514" s="9" t="s">
        <v>10362</v>
      </c>
      <c r="E5514" s="11" t="s">
        <v>28</v>
      </c>
      <c r="F5514" s="10" t="s">
        <v>28</v>
      </c>
      <c r="G5514" s="10" t="s">
        <v>28</v>
      </c>
      <c r="H5514" s="10" t="s">
        <v>28</v>
      </c>
      <c r="I5514" s="11">
        <v>180.12</v>
      </c>
      <c r="J5514" s="11" t="s">
        <v>28</v>
      </c>
      <c r="K5514" s="11">
        <v>4833.03</v>
      </c>
      <c r="L5514" s="11" t="s">
        <v>28</v>
      </c>
      <c r="M5514" s="11" t="s">
        <v>28</v>
      </c>
      <c r="N5514" s="8">
        <v>44172</v>
      </c>
      <c r="O5514" s="9" t="s">
        <v>173</v>
      </c>
      <c r="P5514" s="12" t="s">
        <v>28</v>
      </c>
      <c r="Q5514" s="9" t="s">
        <v>109</v>
      </c>
      <c r="R5514" s="14" t="str">
        <f>HYPERLINK("https://my.pitchbook.com?c=169072-39T","View Company Online")</f>
        <v>View Company Online</v>
      </c>
    </row>
    <row r="5515" spans="1:18" hidden="1" x14ac:dyDescent="0.3">
      <c r="A5515" s="15" t="s">
        <v>17178</v>
      </c>
      <c r="B5515" s="15" t="s">
        <v>17179</v>
      </c>
      <c r="C5515" s="18" t="s">
        <v>28</v>
      </c>
      <c r="D5515" s="15" t="s">
        <v>17180</v>
      </c>
      <c r="E5515" s="18" t="s">
        <v>28</v>
      </c>
      <c r="F5515" s="19" t="s">
        <v>28</v>
      </c>
      <c r="G5515" s="19" t="s">
        <v>28</v>
      </c>
      <c r="H5515" s="19" t="s">
        <v>28</v>
      </c>
      <c r="I5515" s="18" t="s">
        <v>28</v>
      </c>
      <c r="J5515" s="18" t="s">
        <v>28</v>
      </c>
      <c r="K5515" s="18" t="s">
        <v>28</v>
      </c>
      <c r="L5515" s="18" t="s">
        <v>28</v>
      </c>
      <c r="M5515" s="18" t="s">
        <v>28</v>
      </c>
      <c r="N5515" s="17">
        <v>44171</v>
      </c>
      <c r="O5515" s="15" t="s">
        <v>30</v>
      </c>
      <c r="P5515" s="16" t="s">
        <v>17181</v>
      </c>
      <c r="Q5515" s="15" t="s">
        <v>75</v>
      </c>
      <c r="R5515" s="13" t="str">
        <f>HYPERLINK("https://my.pitchbook.com?c=163942-30T","View Company Online")</f>
        <v>View Company Online</v>
      </c>
    </row>
    <row r="5516" spans="1:18" x14ac:dyDescent="0.3">
      <c r="A5516" s="9" t="s">
        <v>17182</v>
      </c>
      <c r="B5516" s="9" t="s">
        <v>17183</v>
      </c>
      <c r="C5516" s="11">
        <v>15.71</v>
      </c>
      <c r="D5516" s="9" t="s">
        <v>17184</v>
      </c>
      <c r="E5516" s="11">
        <v>27.95</v>
      </c>
      <c r="F5516" s="10">
        <v>439.07</v>
      </c>
      <c r="G5516" s="10">
        <v>467.21</v>
      </c>
      <c r="H5516" s="10">
        <v>467.21</v>
      </c>
      <c r="I5516" s="11">
        <v>27.95</v>
      </c>
      <c r="J5516" s="11">
        <v>16.72</v>
      </c>
      <c r="K5516" s="11">
        <v>53.31</v>
      </c>
      <c r="L5516" s="11">
        <v>8.76</v>
      </c>
      <c r="M5516" s="11">
        <v>14.35</v>
      </c>
      <c r="N5516" s="8">
        <v>44169</v>
      </c>
      <c r="O5516" s="9" t="s">
        <v>30</v>
      </c>
      <c r="P5516" s="12" t="s">
        <v>17185</v>
      </c>
      <c r="Q5516" s="9" t="s">
        <v>348</v>
      </c>
      <c r="R5516" s="14" t="str">
        <f>HYPERLINK("https://my.pitchbook.com?c=156745-90T","View Company Online")</f>
        <v>View Company Online</v>
      </c>
    </row>
    <row r="5517" spans="1:18" hidden="1" x14ac:dyDescent="0.3">
      <c r="A5517" s="15" t="s">
        <v>17186</v>
      </c>
      <c r="B5517" s="15" t="s">
        <v>17187</v>
      </c>
      <c r="C5517" s="18" t="s">
        <v>28</v>
      </c>
      <c r="D5517" s="15" t="s">
        <v>17188</v>
      </c>
      <c r="E5517" s="18" t="s">
        <v>28</v>
      </c>
      <c r="F5517" s="19" t="s">
        <v>28</v>
      </c>
      <c r="G5517" s="19">
        <v>1.1499999999999999</v>
      </c>
      <c r="H5517" s="19" t="s">
        <v>28</v>
      </c>
      <c r="I5517" s="18" t="s">
        <v>28</v>
      </c>
      <c r="J5517" s="18" t="s">
        <v>28</v>
      </c>
      <c r="K5517" s="18" t="s">
        <v>28</v>
      </c>
      <c r="L5517" s="18" t="s">
        <v>28</v>
      </c>
      <c r="M5517" s="18" t="s">
        <v>28</v>
      </c>
      <c r="N5517" s="17">
        <v>44169</v>
      </c>
      <c r="O5517" s="15" t="s">
        <v>79</v>
      </c>
      <c r="P5517" s="16" t="s">
        <v>11495</v>
      </c>
      <c r="Q5517" s="15" t="s">
        <v>75</v>
      </c>
      <c r="R5517" s="13" t="str">
        <f>HYPERLINK("https://my.pitchbook.com?c=194616-91T","View Company Online")</f>
        <v>View Company Online</v>
      </c>
    </row>
    <row r="5518" spans="1:18" hidden="1" x14ac:dyDescent="0.3">
      <c r="A5518" s="9" t="s">
        <v>17189</v>
      </c>
      <c r="B5518" s="9" t="s">
        <v>17190</v>
      </c>
      <c r="C5518" s="11" t="s">
        <v>28</v>
      </c>
      <c r="D5518" s="9" t="s">
        <v>17191</v>
      </c>
      <c r="E5518" s="11" t="s">
        <v>28</v>
      </c>
      <c r="F5518" s="10" t="s">
        <v>28</v>
      </c>
      <c r="G5518" s="10" t="s">
        <v>28</v>
      </c>
      <c r="H5518" s="10" t="s">
        <v>28</v>
      </c>
      <c r="I5518" s="11" t="s">
        <v>28</v>
      </c>
      <c r="J5518" s="11" t="s">
        <v>28</v>
      </c>
      <c r="K5518" s="11" t="s">
        <v>28</v>
      </c>
      <c r="L5518" s="11" t="s">
        <v>28</v>
      </c>
      <c r="M5518" s="11" t="s">
        <v>28</v>
      </c>
      <c r="N5518" s="8">
        <v>44169</v>
      </c>
      <c r="O5518" s="9" t="s">
        <v>30</v>
      </c>
      <c r="P5518" s="12" t="s">
        <v>14717</v>
      </c>
      <c r="Q5518" s="9" t="s">
        <v>362</v>
      </c>
      <c r="R5518" s="14" t="str">
        <f>HYPERLINK("https://my.pitchbook.com?c=160635-34T","View Company Online")</f>
        <v>View Company Online</v>
      </c>
    </row>
    <row r="5519" spans="1:18" hidden="1" x14ac:dyDescent="0.3">
      <c r="A5519" s="15" t="s">
        <v>17192</v>
      </c>
      <c r="B5519" s="15" t="s">
        <v>5533</v>
      </c>
      <c r="C5519" s="18" t="s">
        <v>28</v>
      </c>
      <c r="D5519" s="15" t="s">
        <v>5534</v>
      </c>
      <c r="E5519" s="18" t="s">
        <v>28</v>
      </c>
      <c r="F5519" s="19" t="s">
        <v>28</v>
      </c>
      <c r="G5519" s="19">
        <v>5.81</v>
      </c>
      <c r="H5519" s="19">
        <v>81.81</v>
      </c>
      <c r="I5519" s="18" t="s">
        <v>28</v>
      </c>
      <c r="J5519" s="18" t="s">
        <v>28</v>
      </c>
      <c r="K5519" s="18" t="s">
        <v>28</v>
      </c>
      <c r="L5519" s="18" t="s">
        <v>28</v>
      </c>
      <c r="M5519" s="18">
        <v>38.659999999999997</v>
      </c>
      <c r="N5519" s="17">
        <v>44169</v>
      </c>
      <c r="O5519" s="15" t="s">
        <v>79</v>
      </c>
      <c r="P5519" s="16" t="s">
        <v>17193</v>
      </c>
      <c r="Q5519" s="15" t="s">
        <v>409</v>
      </c>
      <c r="R5519" s="13" t="str">
        <f>HYPERLINK("https://my.pitchbook.com?c=156785-77T","View Company Online")</f>
        <v>View Company Online</v>
      </c>
    </row>
    <row r="5520" spans="1:18" hidden="1" x14ac:dyDescent="0.3">
      <c r="A5520" s="9" t="s">
        <v>17194</v>
      </c>
      <c r="B5520" s="9" t="s">
        <v>421</v>
      </c>
      <c r="C5520" s="11" t="s">
        <v>28</v>
      </c>
      <c r="D5520" s="9" t="s">
        <v>422</v>
      </c>
      <c r="E5520" s="11">
        <v>485.09</v>
      </c>
      <c r="F5520" s="10" t="s">
        <v>28</v>
      </c>
      <c r="G5520" s="10">
        <v>1234.54</v>
      </c>
      <c r="H5520" s="10" t="s">
        <v>28</v>
      </c>
      <c r="I5520" s="11">
        <v>512.89</v>
      </c>
      <c r="J5520" s="11" t="s">
        <v>28</v>
      </c>
      <c r="K5520" s="11">
        <v>983.39</v>
      </c>
      <c r="L5520" s="11" t="s">
        <v>28</v>
      </c>
      <c r="M5520" s="11">
        <v>386.09</v>
      </c>
      <c r="N5520" s="8">
        <v>44169</v>
      </c>
      <c r="O5520" s="9" t="s">
        <v>423</v>
      </c>
      <c r="P5520" s="12" t="s">
        <v>28</v>
      </c>
      <c r="Q5520" s="9" t="s">
        <v>424</v>
      </c>
      <c r="R5520" s="14" t="str">
        <f>HYPERLINK("https://my.pitchbook.com?c=160279-12T","View Company Online")</f>
        <v>View Company Online</v>
      </c>
    </row>
    <row r="5521" spans="1:18" hidden="1" x14ac:dyDescent="0.3">
      <c r="A5521" s="15" t="s">
        <v>17195</v>
      </c>
      <c r="B5521" s="15" t="s">
        <v>5134</v>
      </c>
      <c r="C5521" s="18" t="s">
        <v>28</v>
      </c>
      <c r="D5521" s="15" t="s">
        <v>5135</v>
      </c>
      <c r="E5521" s="18" t="s">
        <v>28</v>
      </c>
      <c r="F5521" s="19" t="s">
        <v>28</v>
      </c>
      <c r="G5521" s="19">
        <v>240.6</v>
      </c>
      <c r="H5521" s="19">
        <v>2091.35</v>
      </c>
      <c r="I5521" s="18" t="s">
        <v>28</v>
      </c>
      <c r="J5521" s="18" t="s">
        <v>28</v>
      </c>
      <c r="K5521" s="18" t="s">
        <v>28</v>
      </c>
      <c r="L5521" s="18" t="s">
        <v>28</v>
      </c>
      <c r="M5521" s="18">
        <v>-117.82</v>
      </c>
      <c r="N5521" s="17">
        <v>44168</v>
      </c>
      <c r="O5521" s="15" t="s">
        <v>58</v>
      </c>
      <c r="P5521" s="16" t="s">
        <v>28</v>
      </c>
      <c r="Q5521" s="15" t="s">
        <v>1213</v>
      </c>
      <c r="R5521" s="13" t="str">
        <f>HYPERLINK("https://my.pitchbook.com?c=166678-39T","View Company Online")</f>
        <v>View Company Online</v>
      </c>
    </row>
    <row r="5522" spans="1:18" hidden="1" x14ac:dyDescent="0.3">
      <c r="A5522" s="9" t="s">
        <v>17196</v>
      </c>
      <c r="B5522" s="9" t="s">
        <v>17197</v>
      </c>
      <c r="C5522" s="11" t="s">
        <v>28</v>
      </c>
      <c r="D5522" s="9" t="s">
        <v>17198</v>
      </c>
      <c r="E5522" s="11" t="s">
        <v>28</v>
      </c>
      <c r="F5522" s="10" t="s">
        <v>28</v>
      </c>
      <c r="G5522" s="10" t="s">
        <v>28</v>
      </c>
      <c r="H5522" s="10" t="s">
        <v>28</v>
      </c>
      <c r="I5522" s="11" t="s">
        <v>28</v>
      </c>
      <c r="J5522" s="11" t="s">
        <v>28</v>
      </c>
      <c r="K5522" s="11">
        <v>19.38</v>
      </c>
      <c r="L5522" s="11" t="s">
        <v>28</v>
      </c>
      <c r="M5522" s="11" t="s">
        <v>28</v>
      </c>
      <c r="N5522" s="8">
        <v>44168</v>
      </c>
      <c r="O5522" s="9" t="s">
        <v>30</v>
      </c>
      <c r="P5522" s="12" t="s">
        <v>17199</v>
      </c>
      <c r="Q5522" s="9" t="s">
        <v>280</v>
      </c>
      <c r="R5522" s="14" t="str">
        <f>HYPERLINK("https://my.pitchbook.com?c=161084-89T","View Company Online")</f>
        <v>View Company Online</v>
      </c>
    </row>
    <row r="5523" spans="1:18" hidden="1" x14ac:dyDescent="0.3">
      <c r="A5523" s="15" t="s">
        <v>17200</v>
      </c>
      <c r="B5523" s="15" t="s">
        <v>14918</v>
      </c>
      <c r="C5523" s="18" t="s">
        <v>28</v>
      </c>
      <c r="D5523" s="15" t="s">
        <v>14919</v>
      </c>
      <c r="E5523" s="18" t="s">
        <v>28</v>
      </c>
      <c r="F5523" s="19" t="s">
        <v>28</v>
      </c>
      <c r="G5523" s="19" t="s">
        <v>28</v>
      </c>
      <c r="H5523" s="19" t="s">
        <v>28</v>
      </c>
      <c r="I5523" s="18" t="s">
        <v>28</v>
      </c>
      <c r="J5523" s="18" t="s">
        <v>28</v>
      </c>
      <c r="K5523" s="18">
        <v>0.08</v>
      </c>
      <c r="L5523" s="18" t="s">
        <v>28</v>
      </c>
      <c r="M5523" s="18" t="s">
        <v>28</v>
      </c>
      <c r="N5523" s="17">
        <v>44168</v>
      </c>
      <c r="O5523" s="15" t="s">
        <v>52</v>
      </c>
      <c r="P5523" s="16" t="s">
        <v>68</v>
      </c>
      <c r="Q5523" s="15" t="s">
        <v>37</v>
      </c>
      <c r="R5523" s="13" t="str">
        <f>HYPERLINK("https://my.pitchbook.com?c=270043-48T","View Company Online")</f>
        <v>View Company Online</v>
      </c>
    </row>
    <row r="5524" spans="1:18" hidden="1" x14ac:dyDescent="0.3">
      <c r="A5524" s="9" t="s">
        <v>17201</v>
      </c>
      <c r="B5524" s="9" t="s">
        <v>10938</v>
      </c>
      <c r="C5524" s="11" t="s">
        <v>28</v>
      </c>
      <c r="D5524" s="9" t="s">
        <v>10939</v>
      </c>
      <c r="E5524" s="11" t="s">
        <v>28</v>
      </c>
      <c r="F5524" s="10" t="s">
        <v>28</v>
      </c>
      <c r="G5524" s="10" t="s">
        <v>28</v>
      </c>
      <c r="H5524" s="10" t="s">
        <v>28</v>
      </c>
      <c r="I5524" s="11" t="s">
        <v>28</v>
      </c>
      <c r="J5524" s="11" t="s">
        <v>28</v>
      </c>
      <c r="K5524" s="11">
        <v>22.4</v>
      </c>
      <c r="L5524" s="11" t="s">
        <v>28</v>
      </c>
      <c r="M5524" s="11" t="s">
        <v>28</v>
      </c>
      <c r="N5524" s="8">
        <v>44168</v>
      </c>
      <c r="O5524" s="9" t="s">
        <v>379</v>
      </c>
      <c r="P5524" s="12" t="s">
        <v>1770</v>
      </c>
      <c r="Q5524" s="9" t="s">
        <v>75</v>
      </c>
      <c r="R5524" s="14" t="str">
        <f>HYPERLINK("https://my.pitchbook.com?c=166986-19T","View Company Online")</f>
        <v>View Company Online</v>
      </c>
    </row>
    <row r="5525" spans="1:18" hidden="1" x14ac:dyDescent="0.3">
      <c r="A5525" s="15" t="s">
        <v>17202</v>
      </c>
      <c r="B5525" s="15" t="s">
        <v>3373</v>
      </c>
      <c r="C5525" s="18" t="s">
        <v>28</v>
      </c>
      <c r="D5525" s="15" t="s">
        <v>3374</v>
      </c>
      <c r="E5525" s="18" t="s">
        <v>28</v>
      </c>
      <c r="F5525" s="19" t="s">
        <v>28</v>
      </c>
      <c r="G5525" s="19">
        <v>0.74</v>
      </c>
      <c r="H5525" s="19" t="s">
        <v>28</v>
      </c>
      <c r="I5525" s="18" t="s">
        <v>28</v>
      </c>
      <c r="J5525" s="18" t="s">
        <v>28</v>
      </c>
      <c r="K5525" s="18" t="s">
        <v>28</v>
      </c>
      <c r="L5525" s="18" t="s">
        <v>28</v>
      </c>
      <c r="M5525" s="18" t="s">
        <v>28</v>
      </c>
      <c r="N5525" s="17">
        <v>44167</v>
      </c>
      <c r="O5525" s="15" t="s">
        <v>99</v>
      </c>
      <c r="P5525" s="16" t="s">
        <v>17203</v>
      </c>
      <c r="Q5525" s="15" t="s">
        <v>774</v>
      </c>
      <c r="R5525" s="13" t="str">
        <f>HYPERLINK("https://my.pitchbook.com?c=168028-57T","View Company Online")</f>
        <v>View Company Online</v>
      </c>
    </row>
    <row r="5526" spans="1:18" hidden="1" x14ac:dyDescent="0.3">
      <c r="A5526" s="9" t="s">
        <v>17204</v>
      </c>
      <c r="B5526" s="9" t="s">
        <v>17205</v>
      </c>
      <c r="C5526" s="11" t="s">
        <v>28</v>
      </c>
      <c r="D5526" s="9" t="s">
        <v>17206</v>
      </c>
      <c r="E5526" s="11" t="s">
        <v>28</v>
      </c>
      <c r="F5526" s="10" t="s">
        <v>28</v>
      </c>
      <c r="G5526" s="10" t="s">
        <v>28</v>
      </c>
      <c r="H5526" s="10" t="s">
        <v>28</v>
      </c>
      <c r="I5526" s="11" t="s">
        <v>28</v>
      </c>
      <c r="J5526" s="11" t="s">
        <v>28</v>
      </c>
      <c r="K5526" s="11" t="s">
        <v>28</v>
      </c>
      <c r="L5526" s="11" t="s">
        <v>28</v>
      </c>
      <c r="M5526" s="11" t="s">
        <v>28</v>
      </c>
      <c r="N5526" s="8">
        <v>44167</v>
      </c>
      <c r="O5526" s="9" t="s">
        <v>41</v>
      </c>
      <c r="P5526" s="12" t="s">
        <v>17207</v>
      </c>
      <c r="Q5526" s="9" t="s">
        <v>4710</v>
      </c>
      <c r="R5526" s="14" t="str">
        <f>HYPERLINK("https://my.pitchbook.com?c=219061-72T","View Company Online")</f>
        <v>View Company Online</v>
      </c>
    </row>
    <row r="5527" spans="1:18" hidden="1" x14ac:dyDescent="0.3">
      <c r="A5527" s="15" t="s">
        <v>17208</v>
      </c>
      <c r="B5527" s="15" t="s">
        <v>17209</v>
      </c>
      <c r="C5527" s="18" t="s">
        <v>28</v>
      </c>
      <c r="D5527" s="15" t="s">
        <v>17210</v>
      </c>
      <c r="E5527" s="18" t="s">
        <v>28</v>
      </c>
      <c r="F5527" s="19">
        <v>88.55</v>
      </c>
      <c r="G5527" s="19">
        <v>53.13</v>
      </c>
      <c r="H5527" s="19">
        <v>88.55</v>
      </c>
      <c r="I5527" s="18" t="s">
        <v>28</v>
      </c>
      <c r="J5527" s="18" t="s">
        <v>28</v>
      </c>
      <c r="K5527" s="18">
        <v>58.23</v>
      </c>
      <c r="L5527" s="18">
        <v>1.52</v>
      </c>
      <c r="M5527" s="18" t="s">
        <v>28</v>
      </c>
      <c r="N5527" s="17">
        <v>44167</v>
      </c>
      <c r="O5527" s="15" t="s">
        <v>30</v>
      </c>
      <c r="P5527" s="16" t="s">
        <v>9043</v>
      </c>
      <c r="Q5527" s="15" t="s">
        <v>43</v>
      </c>
      <c r="R5527" s="13" t="str">
        <f>HYPERLINK("https://my.pitchbook.com?c=178296-94T","View Company Online")</f>
        <v>View Company Online</v>
      </c>
    </row>
    <row r="5528" spans="1:18" hidden="1" x14ac:dyDescent="0.3">
      <c r="A5528" s="9" t="s">
        <v>17211</v>
      </c>
      <c r="B5528" s="9" t="s">
        <v>2037</v>
      </c>
      <c r="C5528" s="11" t="s">
        <v>28</v>
      </c>
      <c r="D5528" s="9" t="s">
        <v>2038</v>
      </c>
      <c r="E5528" s="11" t="s">
        <v>28</v>
      </c>
      <c r="F5528" s="10" t="s">
        <v>28</v>
      </c>
      <c r="G5528" s="10">
        <v>2.77</v>
      </c>
      <c r="H5528" s="10" t="s">
        <v>28</v>
      </c>
      <c r="I5528" s="11" t="s">
        <v>28</v>
      </c>
      <c r="J5528" s="11" t="s">
        <v>28</v>
      </c>
      <c r="K5528" s="11" t="s">
        <v>28</v>
      </c>
      <c r="L5528" s="11" t="s">
        <v>28</v>
      </c>
      <c r="M5528" s="11" t="s">
        <v>28</v>
      </c>
      <c r="N5528" s="8">
        <v>44167</v>
      </c>
      <c r="O5528" s="9" t="s">
        <v>73</v>
      </c>
      <c r="P5528" s="12" t="s">
        <v>17212</v>
      </c>
      <c r="Q5528" s="9" t="s">
        <v>37</v>
      </c>
      <c r="R5528" s="14" t="str">
        <f>HYPERLINK("https://my.pitchbook.com?c=165234-97T","View Company Online")</f>
        <v>View Company Online</v>
      </c>
    </row>
    <row r="5529" spans="1:18" hidden="1" x14ac:dyDescent="0.3">
      <c r="A5529" s="15" t="s">
        <v>17213</v>
      </c>
      <c r="B5529" s="15" t="s">
        <v>17214</v>
      </c>
      <c r="C5529" s="18" t="s">
        <v>28</v>
      </c>
      <c r="D5529" s="15" t="s">
        <v>17215</v>
      </c>
      <c r="E5529" s="18" t="s">
        <v>28</v>
      </c>
      <c r="F5529" s="19">
        <v>294.06</v>
      </c>
      <c r="G5529" s="19">
        <v>294.06</v>
      </c>
      <c r="H5529" s="19">
        <v>294.06</v>
      </c>
      <c r="I5529" s="18" t="s">
        <v>28</v>
      </c>
      <c r="J5529" s="18" t="s">
        <v>28</v>
      </c>
      <c r="K5529" s="18" t="s">
        <v>28</v>
      </c>
      <c r="L5529" s="18" t="s">
        <v>28</v>
      </c>
      <c r="M5529" s="18" t="s">
        <v>28</v>
      </c>
      <c r="N5529" s="17">
        <v>44167</v>
      </c>
      <c r="O5529" s="15" t="s">
        <v>30</v>
      </c>
      <c r="P5529" s="16" t="s">
        <v>17216</v>
      </c>
      <c r="Q5529" s="15" t="s">
        <v>1144</v>
      </c>
      <c r="R5529" s="13" t="str">
        <f>HYPERLINK("https://my.pitchbook.com?c=163985-50T","View Company Online")</f>
        <v>View Company Online</v>
      </c>
    </row>
    <row r="5530" spans="1:18" hidden="1" x14ac:dyDescent="0.3">
      <c r="A5530" s="9" t="s">
        <v>17217</v>
      </c>
      <c r="B5530" s="9" t="s">
        <v>17218</v>
      </c>
      <c r="C5530" s="11" t="s">
        <v>28</v>
      </c>
      <c r="D5530" s="9" t="s">
        <v>17219</v>
      </c>
      <c r="E5530" s="11" t="s">
        <v>28</v>
      </c>
      <c r="F5530" s="10" t="s">
        <v>28</v>
      </c>
      <c r="G5530" s="10">
        <v>0.18</v>
      </c>
      <c r="H5530" s="10" t="s">
        <v>28</v>
      </c>
      <c r="I5530" s="11" t="s">
        <v>28</v>
      </c>
      <c r="J5530" s="11" t="s">
        <v>28</v>
      </c>
      <c r="K5530" s="11" t="s">
        <v>28</v>
      </c>
      <c r="L5530" s="11" t="s">
        <v>28</v>
      </c>
      <c r="M5530" s="11" t="s">
        <v>28</v>
      </c>
      <c r="N5530" s="8">
        <v>44167</v>
      </c>
      <c r="O5530" s="9" t="s">
        <v>99</v>
      </c>
      <c r="P5530" s="12" t="s">
        <v>17220</v>
      </c>
      <c r="Q5530" s="9" t="s">
        <v>75</v>
      </c>
      <c r="R5530" s="14" t="str">
        <f>HYPERLINK("https://my.pitchbook.com?c=166488-85T","View Company Online")</f>
        <v>View Company Online</v>
      </c>
    </row>
    <row r="5531" spans="1:18" hidden="1" x14ac:dyDescent="0.3">
      <c r="A5531" s="15" t="s">
        <v>17221</v>
      </c>
      <c r="B5531" s="15" t="s">
        <v>17222</v>
      </c>
      <c r="C5531" s="18" t="s">
        <v>28</v>
      </c>
      <c r="D5531" s="15" t="s">
        <v>17223</v>
      </c>
      <c r="E5531" s="18" t="s">
        <v>28</v>
      </c>
      <c r="F5531" s="19" t="s">
        <v>28</v>
      </c>
      <c r="G5531" s="19">
        <v>0.75</v>
      </c>
      <c r="H5531" s="19" t="s">
        <v>28</v>
      </c>
      <c r="I5531" s="18" t="s">
        <v>28</v>
      </c>
      <c r="J5531" s="18" t="s">
        <v>28</v>
      </c>
      <c r="K5531" s="18" t="s">
        <v>28</v>
      </c>
      <c r="L5531" s="18" t="s">
        <v>28</v>
      </c>
      <c r="M5531" s="18" t="s">
        <v>28</v>
      </c>
      <c r="N5531" s="17">
        <v>44166</v>
      </c>
      <c r="O5531" s="15" t="s">
        <v>99</v>
      </c>
      <c r="P5531" s="16" t="s">
        <v>12080</v>
      </c>
      <c r="Q5531" s="15" t="s">
        <v>399</v>
      </c>
      <c r="R5531" s="13" t="str">
        <f>HYPERLINK("https://my.pitchbook.com?c=207135-01T","View Company Online")</f>
        <v>View Company Online</v>
      </c>
    </row>
    <row r="5532" spans="1:18" hidden="1" x14ac:dyDescent="0.3">
      <c r="A5532" s="9" t="s">
        <v>17224</v>
      </c>
      <c r="B5532" s="9" t="s">
        <v>1846</v>
      </c>
      <c r="C5532" s="11" t="s">
        <v>28</v>
      </c>
      <c r="D5532" s="9" t="s">
        <v>1847</v>
      </c>
      <c r="E5532" s="11" t="s">
        <v>28</v>
      </c>
      <c r="F5532" s="10" t="s">
        <v>28</v>
      </c>
      <c r="G5532" s="10" t="s">
        <v>28</v>
      </c>
      <c r="H5532" s="10" t="s">
        <v>28</v>
      </c>
      <c r="I5532" s="11" t="s">
        <v>28</v>
      </c>
      <c r="J5532" s="11" t="s">
        <v>28</v>
      </c>
      <c r="K5532" s="11" t="s">
        <v>28</v>
      </c>
      <c r="L5532" s="11" t="s">
        <v>28</v>
      </c>
      <c r="M5532" s="11" t="s">
        <v>28</v>
      </c>
      <c r="N5532" s="8">
        <v>44166</v>
      </c>
      <c r="O5532" s="9" t="s">
        <v>73</v>
      </c>
      <c r="P5532" s="12" t="s">
        <v>611</v>
      </c>
      <c r="Q5532" s="9" t="s">
        <v>75</v>
      </c>
      <c r="R5532" s="14" t="str">
        <f>HYPERLINK("https://my.pitchbook.com?c=194455-45T","View Company Online")</f>
        <v>View Company Online</v>
      </c>
    </row>
    <row r="5533" spans="1:18" hidden="1" x14ac:dyDescent="0.3">
      <c r="A5533" s="15" t="s">
        <v>17225</v>
      </c>
      <c r="B5533" s="15" t="s">
        <v>17226</v>
      </c>
      <c r="C5533" s="18" t="s">
        <v>28</v>
      </c>
      <c r="D5533" s="15" t="s">
        <v>17227</v>
      </c>
      <c r="E5533" s="18" t="s">
        <v>28</v>
      </c>
      <c r="F5533" s="19" t="s">
        <v>28</v>
      </c>
      <c r="G5533" s="19">
        <v>0.37</v>
      </c>
      <c r="H5533" s="19" t="s">
        <v>28</v>
      </c>
      <c r="I5533" s="18" t="s">
        <v>28</v>
      </c>
      <c r="J5533" s="18" t="s">
        <v>28</v>
      </c>
      <c r="K5533" s="18" t="s">
        <v>28</v>
      </c>
      <c r="L5533" s="18" t="s">
        <v>28</v>
      </c>
      <c r="M5533" s="18" t="s">
        <v>28</v>
      </c>
      <c r="N5533" s="17">
        <v>44166</v>
      </c>
      <c r="O5533" s="15" t="s">
        <v>1639</v>
      </c>
      <c r="P5533" s="16" t="s">
        <v>28</v>
      </c>
      <c r="Q5533" s="15" t="s">
        <v>75</v>
      </c>
      <c r="R5533" s="13" t="str">
        <f>HYPERLINK("https://my.pitchbook.com?c=165793-15T","View Company Online")</f>
        <v>View Company Online</v>
      </c>
    </row>
    <row r="5534" spans="1:18" hidden="1" x14ac:dyDescent="0.3">
      <c r="A5534" s="9" t="s">
        <v>17228</v>
      </c>
      <c r="B5534" s="9" t="s">
        <v>17229</v>
      </c>
      <c r="C5534" s="11" t="s">
        <v>28</v>
      </c>
      <c r="D5534" s="9" t="s">
        <v>17230</v>
      </c>
      <c r="E5534" s="11" t="s">
        <v>28</v>
      </c>
      <c r="F5534" s="10" t="s">
        <v>28</v>
      </c>
      <c r="G5534" s="10" t="s">
        <v>28</v>
      </c>
      <c r="H5534" s="10" t="s">
        <v>28</v>
      </c>
      <c r="I5534" s="11" t="s">
        <v>28</v>
      </c>
      <c r="J5534" s="11" t="s">
        <v>28</v>
      </c>
      <c r="K5534" s="11" t="s">
        <v>28</v>
      </c>
      <c r="L5534" s="11" t="s">
        <v>28</v>
      </c>
      <c r="M5534" s="11" t="s">
        <v>28</v>
      </c>
      <c r="N5534" s="8">
        <v>44166</v>
      </c>
      <c r="O5534" s="9" t="s">
        <v>30</v>
      </c>
      <c r="P5534" s="12" t="s">
        <v>17231</v>
      </c>
      <c r="Q5534" s="9" t="s">
        <v>1035</v>
      </c>
      <c r="R5534" s="14" t="str">
        <f>HYPERLINK("https://my.pitchbook.com?c=211678-84T","View Company Online")</f>
        <v>View Company Online</v>
      </c>
    </row>
    <row r="5535" spans="1:18" hidden="1" x14ac:dyDescent="0.3">
      <c r="A5535" s="15" t="s">
        <v>17232</v>
      </c>
      <c r="B5535" s="15" t="s">
        <v>7238</v>
      </c>
      <c r="C5535" s="18" t="s">
        <v>28</v>
      </c>
      <c r="D5535" s="15" t="s">
        <v>7239</v>
      </c>
      <c r="E5535" s="18" t="s">
        <v>28</v>
      </c>
      <c r="F5535" s="19" t="s">
        <v>28</v>
      </c>
      <c r="G5535" s="19">
        <v>0.04</v>
      </c>
      <c r="H5535" s="19" t="s">
        <v>28</v>
      </c>
      <c r="I5535" s="18" t="s">
        <v>28</v>
      </c>
      <c r="J5535" s="18" t="s">
        <v>28</v>
      </c>
      <c r="K5535" s="18" t="s">
        <v>28</v>
      </c>
      <c r="L5535" s="18" t="s">
        <v>28</v>
      </c>
      <c r="M5535" s="18" t="s">
        <v>28</v>
      </c>
      <c r="N5535" s="17">
        <v>44166</v>
      </c>
      <c r="O5535" s="15" t="s">
        <v>379</v>
      </c>
      <c r="P5535" s="16" t="s">
        <v>17233</v>
      </c>
      <c r="Q5535" s="15" t="s">
        <v>583</v>
      </c>
      <c r="R5535" s="13" t="str">
        <f>HYPERLINK("https://my.pitchbook.com?c=165934-45T","View Company Online")</f>
        <v>View Company Online</v>
      </c>
    </row>
    <row r="5536" spans="1:18" hidden="1" x14ac:dyDescent="0.3">
      <c r="A5536" s="9" t="s">
        <v>17234</v>
      </c>
      <c r="B5536" s="9" t="s">
        <v>6353</v>
      </c>
      <c r="C5536" s="11" t="s">
        <v>28</v>
      </c>
      <c r="D5536" s="9" t="s">
        <v>6354</v>
      </c>
      <c r="E5536" s="11" t="s">
        <v>28</v>
      </c>
      <c r="F5536" s="10" t="s">
        <v>28</v>
      </c>
      <c r="G5536" s="10" t="s">
        <v>28</v>
      </c>
      <c r="H5536" s="10" t="s">
        <v>28</v>
      </c>
      <c r="I5536" s="11" t="s">
        <v>28</v>
      </c>
      <c r="J5536" s="11" t="s">
        <v>28</v>
      </c>
      <c r="K5536" s="11" t="s">
        <v>28</v>
      </c>
      <c r="L5536" s="11" t="s">
        <v>28</v>
      </c>
      <c r="M5536" s="11" t="s">
        <v>28</v>
      </c>
      <c r="N5536" s="8">
        <v>44166</v>
      </c>
      <c r="O5536" s="9" t="s">
        <v>99</v>
      </c>
      <c r="P5536" s="12" t="s">
        <v>17235</v>
      </c>
      <c r="Q5536" s="9" t="s">
        <v>6356</v>
      </c>
      <c r="R5536" s="14" t="str">
        <f>HYPERLINK("https://my.pitchbook.com?c=224092-72T","View Company Online")</f>
        <v>View Company Online</v>
      </c>
    </row>
    <row r="5537" spans="1:18" hidden="1" x14ac:dyDescent="0.3">
      <c r="A5537" s="15" t="s">
        <v>17236</v>
      </c>
      <c r="B5537" s="15" t="s">
        <v>4340</v>
      </c>
      <c r="C5537" s="18" t="s">
        <v>28</v>
      </c>
      <c r="D5537" s="15" t="s">
        <v>4341</v>
      </c>
      <c r="E5537" s="18" t="s">
        <v>28</v>
      </c>
      <c r="F5537" s="19" t="s">
        <v>28</v>
      </c>
      <c r="G5537" s="19">
        <v>0.37</v>
      </c>
      <c r="H5537" s="19" t="s">
        <v>28</v>
      </c>
      <c r="I5537" s="18" t="s">
        <v>28</v>
      </c>
      <c r="J5537" s="18" t="s">
        <v>28</v>
      </c>
      <c r="K5537" s="18" t="s">
        <v>28</v>
      </c>
      <c r="L5537" s="18" t="s">
        <v>28</v>
      </c>
      <c r="M5537" s="18" t="s">
        <v>28</v>
      </c>
      <c r="N5537" s="17">
        <v>44166</v>
      </c>
      <c r="O5537" s="15" t="s">
        <v>73</v>
      </c>
      <c r="P5537" s="16" t="s">
        <v>17237</v>
      </c>
      <c r="Q5537" s="15" t="s">
        <v>75</v>
      </c>
      <c r="R5537" s="13" t="str">
        <f>HYPERLINK("https://my.pitchbook.com?c=165815-65T","View Company Online")</f>
        <v>View Company Online</v>
      </c>
    </row>
    <row r="5538" spans="1:18" hidden="1" x14ac:dyDescent="0.3">
      <c r="A5538" s="9" t="s">
        <v>17238</v>
      </c>
      <c r="B5538" s="9" t="s">
        <v>17239</v>
      </c>
      <c r="C5538" s="11" t="s">
        <v>28</v>
      </c>
      <c r="D5538" s="9" t="s">
        <v>17240</v>
      </c>
      <c r="E5538" s="11" t="s">
        <v>28</v>
      </c>
      <c r="F5538" s="10" t="s">
        <v>28</v>
      </c>
      <c r="G5538" s="10" t="s">
        <v>28</v>
      </c>
      <c r="H5538" s="10" t="s">
        <v>28</v>
      </c>
      <c r="I5538" s="11" t="s">
        <v>28</v>
      </c>
      <c r="J5538" s="11" t="s">
        <v>28</v>
      </c>
      <c r="K5538" s="11" t="s">
        <v>28</v>
      </c>
      <c r="L5538" s="11" t="s">
        <v>28</v>
      </c>
      <c r="M5538" s="11" t="s">
        <v>28</v>
      </c>
      <c r="N5538" s="8">
        <v>44166</v>
      </c>
      <c r="O5538" s="9" t="s">
        <v>30</v>
      </c>
      <c r="P5538" s="12" t="s">
        <v>4004</v>
      </c>
      <c r="Q5538" s="9" t="s">
        <v>6356</v>
      </c>
      <c r="R5538" s="14" t="str">
        <f>HYPERLINK("https://my.pitchbook.com?c=242452-81T","View Company Online")</f>
        <v>View Company Online</v>
      </c>
    </row>
    <row r="5539" spans="1:18" hidden="1" x14ac:dyDescent="0.3">
      <c r="A5539" s="15" t="s">
        <v>17241</v>
      </c>
      <c r="B5539" s="15" t="s">
        <v>17242</v>
      </c>
      <c r="C5539" s="18" t="s">
        <v>28</v>
      </c>
      <c r="D5539" s="15" t="s">
        <v>17243</v>
      </c>
      <c r="E5539" s="18" t="s">
        <v>28</v>
      </c>
      <c r="F5539" s="19" t="s">
        <v>28</v>
      </c>
      <c r="G5539" s="19" t="s">
        <v>28</v>
      </c>
      <c r="H5539" s="19" t="s">
        <v>28</v>
      </c>
      <c r="I5539" s="18" t="s">
        <v>28</v>
      </c>
      <c r="J5539" s="18" t="s">
        <v>28</v>
      </c>
      <c r="K5539" s="18" t="s">
        <v>28</v>
      </c>
      <c r="L5539" s="18" t="s">
        <v>28</v>
      </c>
      <c r="M5539" s="18" t="s">
        <v>28</v>
      </c>
      <c r="N5539" s="17">
        <v>44166</v>
      </c>
      <c r="O5539" s="15" t="s">
        <v>73</v>
      </c>
      <c r="P5539" s="16" t="s">
        <v>5429</v>
      </c>
      <c r="Q5539" s="15" t="s">
        <v>75</v>
      </c>
      <c r="R5539" s="13" t="str">
        <f>HYPERLINK("https://my.pitchbook.com?c=215704-54T","View Company Online")</f>
        <v>View Company Online</v>
      </c>
    </row>
    <row r="5540" spans="1:18" hidden="1" x14ac:dyDescent="0.3">
      <c r="A5540" s="9" t="s">
        <v>17244</v>
      </c>
      <c r="B5540" s="9" t="s">
        <v>4624</v>
      </c>
      <c r="C5540" s="11" t="s">
        <v>28</v>
      </c>
      <c r="D5540" s="9" t="s">
        <v>4625</v>
      </c>
      <c r="E5540" s="11" t="s">
        <v>28</v>
      </c>
      <c r="F5540" s="10" t="s">
        <v>28</v>
      </c>
      <c r="G5540" s="10" t="s">
        <v>28</v>
      </c>
      <c r="H5540" s="10" t="s">
        <v>28</v>
      </c>
      <c r="I5540" s="11" t="s">
        <v>28</v>
      </c>
      <c r="J5540" s="11" t="s">
        <v>28</v>
      </c>
      <c r="K5540" s="11">
        <v>0.39</v>
      </c>
      <c r="L5540" s="11" t="s">
        <v>28</v>
      </c>
      <c r="M5540" s="11" t="s">
        <v>28</v>
      </c>
      <c r="N5540" s="8">
        <v>44165</v>
      </c>
      <c r="O5540" s="9" t="s">
        <v>73</v>
      </c>
      <c r="P5540" s="12" t="s">
        <v>17245</v>
      </c>
      <c r="Q5540" s="9" t="s">
        <v>43</v>
      </c>
      <c r="R5540" s="14" t="str">
        <f>HYPERLINK("https://my.pitchbook.com?c=205079-86T","View Company Online")</f>
        <v>View Company Online</v>
      </c>
    </row>
    <row r="5541" spans="1:18" hidden="1" x14ac:dyDescent="0.3">
      <c r="A5541" s="15" t="s">
        <v>17246</v>
      </c>
      <c r="B5541" s="15" t="s">
        <v>17247</v>
      </c>
      <c r="C5541" s="18" t="s">
        <v>28</v>
      </c>
      <c r="D5541" s="15" t="s">
        <v>17248</v>
      </c>
      <c r="E5541" s="18" t="s">
        <v>28</v>
      </c>
      <c r="F5541" s="19" t="s">
        <v>28</v>
      </c>
      <c r="G5541" s="19" t="s">
        <v>28</v>
      </c>
      <c r="H5541" s="19" t="s">
        <v>28</v>
      </c>
      <c r="I5541" s="18" t="s">
        <v>28</v>
      </c>
      <c r="J5541" s="18" t="s">
        <v>28</v>
      </c>
      <c r="K5541" s="18" t="s">
        <v>28</v>
      </c>
      <c r="L5541" s="18" t="s">
        <v>28</v>
      </c>
      <c r="M5541" s="18" t="s">
        <v>28</v>
      </c>
      <c r="N5541" s="17">
        <v>44165</v>
      </c>
      <c r="O5541" s="15" t="s">
        <v>30</v>
      </c>
      <c r="P5541" s="16" t="s">
        <v>17249</v>
      </c>
      <c r="Q5541" s="15" t="s">
        <v>658</v>
      </c>
      <c r="R5541" s="13" t="str">
        <f>HYPERLINK("https://my.pitchbook.com?c=205853-68T","View Company Online")</f>
        <v>View Company Online</v>
      </c>
    </row>
    <row r="5542" spans="1:18" hidden="1" x14ac:dyDescent="0.3">
      <c r="A5542" s="9" t="s">
        <v>17250</v>
      </c>
      <c r="B5542" s="9" t="s">
        <v>1098</v>
      </c>
      <c r="C5542" s="11" t="s">
        <v>28</v>
      </c>
      <c r="D5542" s="9" t="s">
        <v>1099</v>
      </c>
      <c r="E5542" s="11" t="s">
        <v>28</v>
      </c>
      <c r="F5542" s="10" t="s">
        <v>28</v>
      </c>
      <c r="G5542" s="10">
        <v>3.55</v>
      </c>
      <c r="H5542" s="10" t="s">
        <v>28</v>
      </c>
      <c r="I5542" s="11" t="s">
        <v>28</v>
      </c>
      <c r="J5542" s="11" t="s">
        <v>28</v>
      </c>
      <c r="K5542" s="11" t="s">
        <v>28</v>
      </c>
      <c r="L5542" s="11" t="s">
        <v>28</v>
      </c>
      <c r="M5542" s="11" t="s">
        <v>28</v>
      </c>
      <c r="N5542" s="8">
        <v>44165</v>
      </c>
      <c r="O5542" s="9" t="s">
        <v>99</v>
      </c>
      <c r="P5542" s="12" t="s">
        <v>17251</v>
      </c>
      <c r="Q5542" s="9" t="s">
        <v>37</v>
      </c>
      <c r="R5542" s="14" t="str">
        <f>HYPERLINK("https://my.pitchbook.com?c=139425-04T","View Company Online")</f>
        <v>View Company Online</v>
      </c>
    </row>
    <row r="5543" spans="1:18" hidden="1" x14ac:dyDescent="0.3">
      <c r="A5543" s="15" t="s">
        <v>17252</v>
      </c>
      <c r="B5543" s="15" t="s">
        <v>17253</v>
      </c>
      <c r="C5543" s="18" t="s">
        <v>28</v>
      </c>
      <c r="D5543" s="15" t="s">
        <v>17254</v>
      </c>
      <c r="E5543" s="18" t="s">
        <v>28</v>
      </c>
      <c r="F5543" s="19" t="s">
        <v>28</v>
      </c>
      <c r="G5543" s="19">
        <v>0.6</v>
      </c>
      <c r="H5543" s="19" t="s">
        <v>28</v>
      </c>
      <c r="I5543" s="18" t="s">
        <v>28</v>
      </c>
      <c r="J5543" s="18" t="s">
        <v>28</v>
      </c>
      <c r="K5543" s="18" t="s">
        <v>28</v>
      </c>
      <c r="L5543" s="18" t="s">
        <v>28</v>
      </c>
      <c r="M5543" s="18" t="s">
        <v>28</v>
      </c>
      <c r="N5543" s="17">
        <v>44165</v>
      </c>
      <c r="O5543" s="15" t="s">
        <v>99</v>
      </c>
      <c r="P5543" s="16" t="s">
        <v>17255</v>
      </c>
      <c r="Q5543" s="15" t="s">
        <v>114</v>
      </c>
      <c r="R5543" s="13" t="str">
        <f>HYPERLINK("https://my.pitchbook.com?c=167495-77T","View Company Online")</f>
        <v>View Company Online</v>
      </c>
    </row>
    <row r="5544" spans="1:18" hidden="1" x14ac:dyDescent="0.3">
      <c r="A5544" s="9" t="s">
        <v>17256</v>
      </c>
      <c r="B5544" s="9" t="s">
        <v>17257</v>
      </c>
      <c r="C5544" s="11" t="s">
        <v>28</v>
      </c>
      <c r="D5544" s="9" t="s">
        <v>17258</v>
      </c>
      <c r="E5544" s="11" t="s">
        <v>28</v>
      </c>
      <c r="F5544" s="10">
        <v>110.49</v>
      </c>
      <c r="G5544" s="10">
        <v>86.19</v>
      </c>
      <c r="H5544" s="10">
        <v>110.49</v>
      </c>
      <c r="I5544" s="11" t="s">
        <v>28</v>
      </c>
      <c r="J5544" s="11" t="s">
        <v>28</v>
      </c>
      <c r="K5544" s="11" t="s">
        <v>28</v>
      </c>
      <c r="L5544" s="11" t="s">
        <v>28</v>
      </c>
      <c r="M5544" s="11" t="s">
        <v>28</v>
      </c>
      <c r="N5544" s="8">
        <v>44165</v>
      </c>
      <c r="O5544" s="9" t="s">
        <v>30</v>
      </c>
      <c r="P5544" s="12" t="s">
        <v>17259</v>
      </c>
      <c r="Q5544" s="9" t="s">
        <v>226</v>
      </c>
      <c r="R5544" s="14" t="str">
        <f>HYPERLINK("https://my.pitchbook.com?c=256849-75T","View Company Online")</f>
        <v>View Company Online</v>
      </c>
    </row>
    <row r="5545" spans="1:18" hidden="1" x14ac:dyDescent="0.3">
      <c r="A5545" s="15" t="s">
        <v>17260</v>
      </c>
      <c r="B5545" s="15" t="s">
        <v>6977</v>
      </c>
      <c r="C5545" s="18" t="s">
        <v>28</v>
      </c>
      <c r="D5545" s="15" t="s">
        <v>17261</v>
      </c>
      <c r="E5545" s="18" t="s">
        <v>28</v>
      </c>
      <c r="F5545" s="19" t="s">
        <v>28</v>
      </c>
      <c r="G5545" s="19" t="s">
        <v>28</v>
      </c>
      <c r="H5545" s="19" t="s">
        <v>28</v>
      </c>
      <c r="I5545" s="18" t="s">
        <v>28</v>
      </c>
      <c r="J5545" s="18" t="s">
        <v>28</v>
      </c>
      <c r="K5545" s="18" t="s">
        <v>28</v>
      </c>
      <c r="L5545" s="18" t="s">
        <v>28</v>
      </c>
      <c r="M5545" s="18" t="s">
        <v>28</v>
      </c>
      <c r="N5545" s="17">
        <v>44163</v>
      </c>
      <c r="O5545" s="15" t="s">
        <v>30</v>
      </c>
      <c r="P5545" s="16" t="s">
        <v>13168</v>
      </c>
      <c r="Q5545" s="15" t="s">
        <v>95</v>
      </c>
      <c r="R5545" s="13" t="str">
        <f>HYPERLINK("https://my.pitchbook.com?c=160237-99T","View Company Online")</f>
        <v>View Company Online</v>
      </c>
    </row>
    <row r="5546" spans="1:18" hidden="1" x14ac:dyDescent="0.3">
      <c r="A5546" s="9" t="s">
        <v>17262</v>
      </c>
      <c r="B5546" s="9" t="s">
        <v>17263</v>
      </c>
      <c r="C5546" s="11" t="s">
        <v>28</v>
      </c>
      <c r="D5546" s="9" t="s">
        <v>17264</v>
      </c>
      <c r="E5546" s="11" t="s">
        <v>28</v>
      </c>
      <c r="F5546" s="10" t="s">
        <v>28</v>
      </c>
      <c r="G5546" s="10" t="s">
        <v>28</v>
      </c>
      <c r="H5546" s="10" t="s">
        <v>28</v>
      </c>
      <c r="I5546" s="11" t="s">
        <v>28</v>
      </c>
      <c r="J5546" s="11" t="s">
        <v>28</v>
      </c>
      <c r="K5546" s="11" t="s">
        <v>28</v>
      </c>
      <c r="L5546" s="11" t="s">
        <v>28</v>
      </c>
      <c r="M5546" s="11" t="s">
        <v>28</v>
      </c>
      <c r="N5546" s="8">
        <v>44162</v>
      </c>
      <c r="O5546" s="9" t="s">
        <v>30</v>
      </c>
      <c r="P5546" s="12" t="s">
        <v>4655</v>
      </c>
      <c r="Q5546" s="9" t="s">
        <v>9705</v>
      </c>
      <c r="R5546" s="14" t="str">
        <f>HYPERLINK("https://my.pitchbook.com?c=161034-76T","View Company Online")</f>
        <v>View Company Online</v>
      </c>
    </row>
    <row r="5547" spans="1:18" hidden="1" x14ac:dyDescent="0.3">
      <c r="A5547" s="15" t="s">
        <v>17265</v>
      </c>
      <c r="B5547" s="15" t="s">
        <v>17266</v>
      </c>
      <c r="C5547" s="18" t="s">
        <v>28</v>
      </c>
      <c r="D5547" s="15" t="s">
        <v>17267</v>
      </c>
      <c r="E5547" s="18" t="s">
        <v>28</v>
      </c>
      <c r="F5547" s="19" t="s">
        <v>28</v>
      </c>
      <c r="G5547" s="19">
        <v>25.42</v>
      </c>
      <c r="H5547" s="19" t="s">
        <v>28</v>
      </c>
      <c r="I5547" s="18" t="s">
        <v>28</v>
      </c>
      <c r="J5547" s="18" t="s">
        <v>28</v>
      </c>
      <c r="K5547" s="18" t="s">
        <v>28</v>
      </c>
      <c r="L5547" s="18" t="s">
        <v>28</v>
      </c>
      <c r="M5547" s="18" t="s">
        <v>28</v>
      </c>
      <c r="N5547" s="17">
        <v>44161</v>
      </c>
      <c r="O5547" s="15" t="s">
        <v>93</v>
      </c>
      <c r="P5547" s="16" t="s">
        <v>17268</v>
      </c>
      <c r="Q5547" s="15" t="s">
        <v>362</v>
      </c>
      <c r="R5547" s="13" t="str">
        <f>HYPERLINK("https://my.pitchbook.com?c=224367-58T","View Company Online")</f>
        <v>View Company Online</v>
      </c>
    </row>
    <row r="5548" spans="1:18" hidden="1" x14ac:dyDescent="0.3">
      <c r="A5548" s="9" t="s">
        <v>17269</v>
      </c>
      <c r="B5548" s="9" t="s">
        <v>6996</v>
      </c>
      <c r="C5548" s="11" t="s">
        <v>28</v>
      </c>
      <c r="D5548" s="9" t="s">
        <v>17270</v>
      </c>
      <c r="E5548" s="11" t="s">
        <v>28</v>
      </c>
      <c r="F5548" s="10" t="s">
        <v>28</v>
      </c>
      <c r="G5548" s="10">
        <v>99.85</v>
      </c>
      <c r="H5548" s="10">
        <v>526.46</v>
      </c>
      <c r="I5548" s="11" t="s">
        <v>28</v>
      </c>
      <c r="J5548" s="11" t="s">
        <v>28</v>
      </c>
      <c r="K5548" s="11" t="s">
        <v>28</v>
      </c>
      <c r="L5548" s="11" t="s">
        <v>28</v>
      </c>
      <c r="M5548" s="11" t="s">
        <v>28</v>
      </c>
      <c r="N5548" s="8">
        <v>44161</v>
      </c>
      <c r="O5548" s="9" t="s">
        <v>79</v>
      </c>
      <c r="P5548" s="12" t="s">
        <v>17271</v>
      </c>
      <c r="Q5548" s="9" t="s">
        <v>37</v>
      </c>
      <c r="R5548" s="14" t="str">
        <f>HYPERLINK("https://my.pitchbook.com?c=160212-43T","View Company Online")</f>
        <v>View Company Online</v>
      </c>
    </row>
    <row r="5549" spans="1:18" hidden="1" x14ac:dyDescent="0.3">
      <c r="A5549" s="15" t="s">
        <v>17272</v>
      </c>
      <c r="B5549" s="15" t="s">
        <v>17273</v>
      </c>
      <c r="C5549" s="18" t="s">
        <v>28</v>
      </c>
      <c r="D5549" s="15" t="s">
        <v>17274</v>
      </c>
      <c r="E5549" s="18" t="s">
        <v>28</v>
      </c>
      <c r="F5549" s="19">
        <v>182.81</v>
      </c>
      <c r="G5549" s="19">
        <v>182.81</v>
      </c>
      <c r="H5549" s="19">
        <v>182.81</v>
      </c>
      <c r="I5549" s="18" t="s">
        <v>28</v>
      </c>
      <c r="J5549" s="18" t="s">
        <v>28</v>
      </c>
      <c r="K5549" s="18" t="s">
        <v>28</v>
      </c>
      <c r="L5549" s="18" t="s">
        <v>28</v>
      </c>
      <c r="M5549" s="18" t="s">
        <v>28</v>
      </c>
      <c r="N5549" s="17">
        <v>44161</v>
      </c>
      <c r="O5549" s="15" t="s">
        <v>41</v>
      </c>
      <c r="P5549" s="16" t="s">
        <v>17275</v>
      </c>
      <c r="Q5549" s="15" t="s">
        <v>4670</v>
      </c>
      <c r="R5549" s="13" t="str">
        <f>HYPERLINK("https://my.pitchbook.com?c=219208-06T","View Company Online")</f>
        <v>View Company Online</v>
      </c>
    </row>
    <row r="5550" spans="1:18" hidden="1" x14ac:dyDescent="0.3">
      <c r="A5550" s="9" t="s">
        <v>17276</v>
      </c>
      <c r="B5550" s="9" t="s">
        <v>3026</v>
      </c>
      <c r="C5550" s="11" t="s">
        <v>28</v>
      </c>
      <c r="D5550" s="9" t="s">
        <v>3027</v>
      </c>
      <c r="E5550" s="11" t="s">
        <v>28</v>
      </c>
      <c r="F5550" s="10" t="s">
        <v>28</v>
      </c>
      <c r="G5550" s="10">
        <v>0.31</v>
      </c>
      <c r="H5550" s="10" t="s">
        <v>28</v>
      </c>
      <c r="I5550" s="11" t="s">
        <v>28</v>
      </c>
      <c r="J5550" s="11" t="s">
        <v>28</v>
      </c>
      <c r="K5550" s="11" t="s">
        <v>28</v>
      </c>
      <c r="L5550" s="11" t="s">
        <v>28</v>
      </c>
      <c r="M5550" s="11" t="s">
        <v>28</v>
      </c>
      <c r="N5550" s="8">
        <v>44161</v>
      </c>
      <c r="O5550" s="9" t="s">
        <v>99</v>
      </c>
      <c r="P5550" s="12" t="s">
        <v>17277</v>
      </c>
      <c r="Q5550" s="9" t="s">
        <v>95</v>
      </c>
      <c r="R5550" s="14" t="str">
        <f>HYPERLINK("https://my.pitchbook.com?c=184322-44T","View Company Online")</f>
        <v>View Company Online</v>
      </c>
    </row>
    <row r="5551" spans="1:18" hidden="1" x14ac:dyDescent="0.3">
      <c r="A5551" s="15" t="s">
        <v>17278</v>
      </c>
      <c r="B5551" s="15" t="s">
        <v>17279</v>
      </c>
      <c r="C5551" s="18" t="s">
        <v>28</v>
      </c>
      <c r="D5551" s="15" t="s">
        <v>17280</v>
      </c>
      <c r="E5551" s="18" t="s">
        <v>28</v>
      </c>
      <c r="F5551" s="19">
        <v>4.9800000000000004</v>
      </c>
      <c r="G5551" s="19">
        <v>4.9800000000000004</v>
      </c>
      <c r="H5551" s="19">
        <v>4.9800000000000004</v>
      </c>
      <c r="I5551" s="18" t="s">
        <v>28</v>
      </c>
      <c r="J5551" s="18" t="s">
        <v>28</v>
      </c>
      <c r="K5551" s="18">
        <v>1.82</v>
      </c>
      <c r="L5551" s="18">
        <v>2.73</v>
      </c>
      <c r="M5551" s="18" t="s">
        <v>28</v>
      </c>
      <c r="N5551" s="17">
        <v>44160</v>
      </c>
      <c r="O5551" s="15" t="s">
        <v>30</v>
      </c>
      <c r="P5551" s="16" t="s">
        <v>4616</v>
      </c>
      <c r="Q5551" s="15" t="s">
        <v>37</v>
      </c>
      <c r="R5551" s="13" t="str">
        <f>HYPERLINK("https://my.pitchbook.com?c=224309-89T","View Company Online")</f>
        <v>View Company Online</v>
      </c>
    </row>
    <row r="5552" spans="1:18" hidden="1" x14ac:dyDescent="0.3">
      <c r="A5552" s="9" t="s">
        <v>17281</v>
      </c>
      <c r="B5552" s="9" t="s">
        <v>17282</v>
      </c>
      <c r="C5552" s="11" t="s">
        <v>28</v>
      </c>
      <c r="D5552" s="9" t="s">
        <v>17283</v>
      </c>
      <c r="E5552" s="11" t="s">
        <v>28</v>
      </c>
      <c r="F5552" s="10" t="s">
        <v>28</v>
      </c>
      <c r="G5552" s="10" t="s">
        <v>28</v>
      </c>
      <c r="H5552" s="10" t="s">
        <v>28</v>
      </c>
      <c r="I5552" s="11" t="s">
        <v>28</v>
      </c>
      <c r="J5552" s="11" t="s">
        <v>28</v>
      </c>
      <c r="K5552" s="11" t="s">
        <v>28</v>
      </c>
      <c r="L5552" s="11" t="s">
        <v>28</v>
      </c>
      <c r="M5552" s="11" t="s">
        <v>28</v>
      </c>
      <c r="N5552" s="8">
        <v>44160</v>
      </c>
      <c r="O5552" s="9" t="s">
        <v>93</v>
      </c>
      <c r="P5552" s="12" t="s">
        <v>17284</v>
      </c>
      <c r="Q5552" s="9" t="s">
        <v>105</v>
      </c>
      <c r="R5552" s="14" t="str">
        <f>HYPERLINK("https://my.pitchbook.com?c=181907-47T","View Company Online")</f>
        <v>View Company Online</v>
      </c>
    </row>
    <row r="5553" spans="1:18" hidden="1" x14ac:dyDescent="0.3">
      <c r="A5553" s="15" t="s">
        <v>17285</v>
      </c>
      <c r="B5553" s="15" t="s">
        <v>17286</v>
      </c>
      <c r="C5553" s="18" t="s">
        <v>28</v>
      </c>
      <c r="D5553" s="15" t="s">
        <v>17287</v>
      </c>
      <c r="E5553" s="18" t="s">
        <v>28</v>
      </c>
      <c r="F5553" s="19" t="s">
        <v>28</v>
      </c>
      <c r="G5553" s="19" t="s">
        <v>28</v>
      </c>
      <c r="H5553" s="19" t="s">
        <v>28</v>
      </c>
      <c r="I5553" s="18" t="s">
        <v>28</v>
      </c>
      <c r="J5553" s="18" t="s">
        <v>28</v>
      </c>
      <c r="K5553" s="18" t="s">
        <v>28</v>
      </c>
      <c r="L5553" s="18" t="s">
        <v>28</v>
      </c>
      <c r="M5553" s="18" t="s">
        <v>28</v>
      </c>
      <c r="N5553" s="17">
        <v>44160</v>
      </c>
      <c r="O5553" s="15" t="s">
        <v>173</v>
      </c>
      <c r="P5553" s="16" t="s">
        <v>28</v>
      </c>
      <c r="Q5553" s="15" t="s">
        <v>174</v>
      </c>
      <c r="R5553" s="13" t="str">
        <f>HYPERLINK("https://my.pitchbook.com?c=251580-16T","View Company Online")</f>
        <v>View Company Online</v>
      </c>
    </row>
    <row r="5554" spans="1:18" hidden="1" x14ac:dyDescent="0.3">
      <c r="A5554" s="9" t="s">
        <v>17288</v>
      </c>
      <c r="B5554" s="9" t="s">
        <v>17289</v>
      </c>
      <c r="C5554" s="11" t="s">
        <v>28</v>
      </c>
      <c r="D5554" s="9" t="s">
        <v>17290</v>
      </c>
      <c r="E5554" s="11" t="s">
        <v>28</v>
      </c>
      <c r="F5554" s="10" t="s">
        <v>28</v>
      </c>
      <c r="G5554" s="10">
        <v>0.18</v>
      </c>
      <c r="H5554" s="10" t="s">
        <v>28</v>
      </c>
      <c r="I5554" s="11" t="s">
        <v>28</v>
      </c>
      <c r="J5554" s="11" t="s">
        <v>28</v>
      </c>
      <c r="K5554" s="11" t="s">
        <v>28</v>
      </c>
      <c r="L5554" s="11" t="s">
        <v>28</v>
      </c>
      <c r="M5554" s="11" t="s">
        <v>28</v>
      </c>
      <c r="N5554" s="8">
        <v>44160</v>
      </c>
      <c r="O5554" s="9" t="s">
        <v>99</v>
      </c>
      <c r="P5554" s="12" t="s">
        <v>17291</v>
      </c>
      <c r="Q5554" s="9" t="s">
        <v>37</v>
      </c>
      <c r="R5554" s="14" t="str">
        <f>HYPERLINK("https://my.pitchbook.com?c=166513-15T","View Company Online")</f>
        <v>View Company Online</v>
      </c>
    </row>
    <row r="5555" spans="1:18" hidden="1" x14ac:dyDescent="0.3">
      <c r="A5555" s="15" t="s">
        <v>17292</v>
      </c>
      <c r="B5555" s="15" t="s">
        <v>2344</v>
      </c>
      <c r="C5555" s="18" t="s">
        <v>28</v>
      </c>
      <c r="D5555" s="15" t="s">
        <v>2345</v>
      </c>
      <c r="E5555" s="18">
        <v>9.2200000000000006</v>
      </c>
      <c r="F5555" s="19" t="s">
        <v>28</v>
      </c>
      <c r="G5555" s="19" t="s">
        <v>28</v>
      </c>
      <c r="H5555" s="19" t="s">
        <v>28</v>
      </c>
      <c r="I5555" s="18">
        <v>13.44</v>
      </c>
      <c r="J5555" s="18" t="s">
        <v>28</v>
      </c>
      <c r="K5555" s="18">
        <v>32.43</v>
      </c>
      <c r="L5555" s="18" t="s">
        <v>28</v>
      </c>
      <c r="M5555" s="18">
        <v>5.21</v>
      </c>
      <c r="N5555" s="17">
        <v>44159</v>
      </c>
      <c r="O5555" s="15" t="s">
        <v>41</v>
      </c>
      <c r="P5555" s="16" t="s">
        <v>16389</v>
      </c>
      <c r="Q5555" s="15" t="s">
        <v>692</v>
      </c>
      <c r="R5555" s="13" t="str">
        <f>HYPERLINK("https://my.pitchbook.com?c=160706-62T","View Company Online")</f>
        <v>View Company Online</v>
      </c>
    </row>
    <row r="5556" spans="1:18" hidden="1" x14ac:dyDescent="0.3">
      <c r="A5556" s="9" t="s">
        <v>17293</v>
      </c>
      <c r="B5556" s="9" t="s">
        <v>14153</v>
      </c>
      <c r="C5556" s="11" t="s">
        <v>28</v>
      </c>
      <c r="D5556" s="9" t="s">
        <v>14154</v>
      </c>
      <c r="E5556" s="11" t="s">
        <v>28</v>
      </c>
      <c r="F5556" s="10" t="s">
        <v>28</v>
      </c>
      <c r="G5556" s="10" t="s">
        <v>28</v>
      </c>
      <c r="H5556" s="10" t="s">
        <v>28</v>
      </c>
      <c r="I5556" s="11" t="s">
        <v>28</v>
      </c>
      <c r="J5556" s="11" t="s">
        <v>28</v>
      </c>
      <c r="K5556" s="11" t="s">
        <v>28</v>
      </c>
      <c r="L5556" s="11" t="s">
        <v>28</v>
      </c>
      <c r="M5556" s="11" t="s">
        <v>28</v>
      </c>
      <c r="N5556" s="8">
        <v>44159</v>
      </c>
      <c r="O5556" s="9" t="s">
        <v>41</v>
      </c>
      <c r="P5556" s="12" t="s">
        <v>17294</v>
      </c>
      <c r="Q5556" s="9" t="s">
        <v>692</v>
      </c>
      <c r="R5556" s="14" t="str">
        <f>HYPERLINK("https://my.pitchbook.com?c=160622-11T","View Company Online")</f>
        <v>View Company Online</v>
      </c>
    </row>
    <row r="5557" spans="1:18" hidden="1" x14ac:dyDescent="0.3">
      <c r="A5557" s="15" t="s">
        <v>17295</v>
      </c>
      <c r="B5557" s="15" t="s">
        <v>17296</v>
      </c>
      <c r="C5557" s="18" t="s">
        <v>28</v>
      </c>
      <c r="D5557" s="15" t="s">
        <v>17297</v>
      </c>
      <c r="E5557" s="18" t="s">
        <v>28</v>
      </c>
      <c r="F5557" s="19">
        <v>2.4900000000000002</v>
      </c>
      <c r="G5557" s="19">
        <v>2.4900000000000002</v>
      </c>
      <c r="H5557" s="19">
        <v>2.4900000000000002</v>
      </c>
      <c r="I5557" s="18" t="s">
        <v>28</v>
      </c>
      <c r="J5557" s="18" t="s">
        <v>28</v>
      </c>
      <c r="K5557" s="18" t="s">
        <v>28</v>
      </c>
      <c r="L5557" s="18" t="s">
        <v>28</v>
      </c>
      <c r="M5557" s="18" t="s">
        <v>28</v>
      </c>
      <c r="N5557" s="17">
        <v>44159</v>
      </c>
      <c r="O5557" s="15" t="s">
        <v>30</v>
      </c>
      <c r="P5557" s="16" t="s">
        <v>17298</v>
      </c>
      <c r="Q5557" s="15" t="s">
        <v>75</v>
      </c>
      <c r="R5557" s="13" t="str">
        <f>HYPERLINK("https://my.pitchbook.com?c=211789-00T","View Company Online")</f>
        <v>View Company Online</v>
      </c>
    </row>
    <row r="5558" spans="1:18" hidden="1" x14ac:dyDescent="0.3">
      <c r="A5558" s="9" t="s">
        <v>17299</v>
      </c>
      <c r="B5558" s="9" t="s">
        <v>17300</v>
      </c>
      <c r="C5558" s="11" t="s">
        <v>28</v>
      </c>
      <c r="D5558" s="9" t="s">
        <v>17301</v>
      </c>
      <c r="E5558" s="11" t="s">
        <v>28</v>
      </c>
      <c r="F5558" s="10" t="s">
        <v>28</v>
      </c>
      <c r="G5558" s="10" t="s">
        <v>28</v>
      </c>
      <c r="H5558" s="10" t="s">
        <v>28</v>
      </c>
      <c r="I5558" s="11" t="s">
        <v>28</v>
      </c>
      <c r="J5558" s="11" t="s">
        <v>28</v>
      </c>
      <c r="K5558" s="11" t="s">
        <v>28</v>
      </c>
      <c r="L5558" s="11" t="s">
        <v>28</v>
      </c>
      <c r="M5558" s="11" t="s">
        <v>28</v>
      </c>
      <c r="N5558" s="8">
        <v>44159</v>
      </c>
      <c r="O5558" s="9" t="s">
        <v>41</v>
      </c>
      <c r="P5558" s="12" t="s">
        <v>17302</v>
      </c>
      <c r="Q5558" s="9" t="s">
        <v>37</v>
      </c>
      <c r="R5558" s="14" t="str">
        <f>HYPERLINK("https://my.pitchbook.com?c=160093-81T","View Company Online")</f>
        <v>View Company Online</v>
      </c>
    </row>
    <row r="5559" spans="1:18" hidden="1" x14ac:dyDescent="0.3">
      <c r="A5559" s="15" t="s">
        <v>17303</v>
      </c>
      <c r="B5559" s="15" t="s">
        <v>17304</v>
      </c>
      <c r="C5559" s="18" t="s">
        <v>28</v>
      </c>
      <c r="D5559" s="15" t="s">
        <v>17305</v>
      </c>
      <c r="E5559" s="18" t="s">
        <v>28</v>
      </c>
      <c r="F5559" s="19" t="s">
        <v>28</v>
      </c>
      <c r="G5559" s="19" t="s">
        <v>28</v>
      </c>
      <c r="H5559" s="19" t="s">
        <v>28</v>
      </c>
      <c r="I5559" s="18" t="s">
        <v>28</v>
      </c>
      <c r="J5559" s="18" t="s">
        <v>28</v>
      </c>
      <c r="K5559" s="18" t="s">
        <v>28</v>
      </c>
      <c r="L5559" s="18" t="s">
        <v>28</v>
      </c>
      <c r="M5559" s="18" t="s">
        <v>28</v>
      </c>
      <c r="N5559" s="17">
        <v>44158</v>
      </c>
      <c r="O5559" s="15" t="s">
        <v>30</v>
      </c>
      <c r="P5559" s="16" t="s">
        <v>17306</v>
      </c>
      <c r="Q5559" s="15" t="s">
        <v>95</v>
      </c>
      <c r="R5559" s="13" t="str">
        <f>HYPERLINK("https://my.pitchbook.com?c=213787-09T","View Company Online")</f>
        <v>View Company Online</v>
      </c>
    </row>
    <row r="5560" spans="1:18" hidden="1" x14ac:dyDescent="0.3">
      <c r="A5560" s="9" t="s">
        <v>17307</v>
      </c>
      <c r="B5560" s="9" t="s">
        <v>3343</v>
      </c>
      <c r="C5560" s="11" t="s">
        <v>28</v>
      </c>
      <c r="D5560" s="9" t="s">
        <v>3344</v>
      </c>
      <c r="E5560" s="11" t="s">
        <v>28</v>
      </c>
      <c r="F5560" s="10" t="s">
        <v>28</v>
      </c>
      <c r="G5560" s="10">
        <v>2.5</v>
      </c>
      <c r="H5560" s="10">
        <v>11.9</v>
      </c>
      <c r="I5560" s="11" t="s">
        <v>28</v>
      </c>
      <c r="J5560" s="11" t="s">
        <v>28</v>
      </c>
      <c r="K5560" s="11" t="s">
        <v>28</v>
      </c>
      <c r="L5560" s="11" t="s">
        <v>28</v>
      </c>
      <c r="M5560" s="11" t="s">
        <v>28</v>
      </c>
      <c r="N5560" s="8">
        <v>44157</v>
      </c>
      <c r="O5560" s="9" t="s">
        <v>99</v>
      </c>
      <c r="P5560" s="12" t="s">
        <v>17308</v>
      </c>
      <c r="Q5560" s="9" t="s">
        <v>37</v>
      </c>
      <c r="R5560" s="14" t="str">
        <f>HYPERLINK("https://my.pitchbook.com?c=158965-39T","View Company Online")</f>
        <v>View Company Online</v>
      </c>
    </row>
    <row r="5561" spans="1:18" hidden="1" x14ac:dyDescent="0.3">
      <c r="A5561" s="15" t="s">
        <v>17309</v>
      </c>
      <c r="B5561" s="15" t="s">
        <v>17310</v>
      </c>
      <c r="C5561" s="18" t="s">
        <v>28</v>
      </c>
      <c r="D5561" s="15" t="s">
        <v>17311</v>
      </c>
      <c r="E5561" s="18" t="s">
        <v>28</v>
      </c>
      <c r="F5561" s="19" t="s">
        <v>28</v>
      </c>
      <c r="G5561" s="19" t="s">
        <v>28</v>
      </c>
      <c r="H5561" s="19" t="s">
        <v>28</v>
      </c>
      <c r="I5561" s="18" t="s">
        <v>28</v>
      </c>
      <c r="J5561" s="18" t="s">
        <v>28</v>
      </c>
      <c r="K5561" s="18" t="s">
        <v>28</v>
      </c>
      <c r="L5561" s="18" t="s">
        <v>28</v>
      </c>
      <c r="M5561" s="18" t="s">
        <v>28</v>
      </c>
      <c r="N5561" s="17">
        <v>44155</v>
      </c>
      <c r="O5561" s="15" t="s">
        <v>52</v>
      </c>
      <c r="P5561" s="16" t="s">
        <v>1880</v>
      </c>
      <c r="Q5561" s="15" t="s">
        <v>419</v>
      </c>
      <c r="R5561" s="13" t="str">
        <f>HYPERLINK("https://my.pitchbook.com?c=199934-74T","View Company Online")</f>
        <v>View Company Online</v>
      </c>
    </row>
    <row r="5562" spans="1:18" hidden="1" x14ac:dyDescent="0.3">
      <c r="A5562" s="9" t="s">
        <v>17312</v>
      </c>
      <c r="B5562" s="9" t="s">
        <v>17313</v>
      </c>
      <c r="C5562" s="11" t="s">
        <v>28</v>
      </c>
      <c r="D5562" s="9" t="s">
        <v>17314</v>
      </c>
      <c r="E5562" s="11" t="s">
        <v>28</v>
      </c>
      <c r="F5562" s="10">
        <v>1.35</v>
      </c>
      <c r="G5562" s="10">
        <v>1.35</v>
      </c>
      <c r="H5562" s="10">
        <v>1.35</v>
      </c>
      <c r="I5562" s="11" t="s">
        <v>28</v>
      </c>
      <c r="J5562" s="11" t="s">
        <v>28</v>
      </c>
      <c r="K5562" s="11" t="s">
        <v>28</v>
      </c>
      <c r="L5562" s="11" t="s">
        <v>28</v>
      </c>
      <c r="M5562" s="11" t="s">
        <v>28</v>
      </c>
      <c r="N5562" s="8">
        <v>44155</v>
      </c>
      <c r="O5562" s="9" t="s">
        <v>30</v>
      </c>
      <c r="P5562" s="12" t="s">
        <v>17315</v>
      </c>
      <c r="Q5562" s="9" t="s">
        <v>75</v>
      </c>
      <c r="R5562" s="14" t="str">
        <f>HYPERLINK("https://my.pitchbook.com?c=160931-26T","View Company Online")</f>
        <v>View Company Online</v>
      </c>
    </row>
    <row r="5563" spans="1:18" hidden="1" x14ac:dyDescent="0.3">
      <c r="A5563" s="15" t="s">
        <v>17316</v>
      </c>
      <c r="B5563" s="15" t="s">
        <v>17317</v>
      </c>
      <c r="C5563" s="18" t="s">
        <v>28</v>
      </c>
      <c r="D5563" s="15" t="s">
        <v>17318</v>
      </c>
      <c r="E5563" s="18" t="s">
        <v>28</v>
      </c>
      <c r="F5563" s="19" t="s">
        <v>28</v>
      </c>
      <c r="G5563" s="19" t="s">
        <v>28</v>
      </c>
      <c r="H5563" s="19" t="s">
        <v>28</v>
      </c>
      <c r="I5563" s="18" t="s">
        <v>28</v>
      </c>
      <c r="J5563" s="18" t="s">
        <v>28</v>
      </c>
      <c r="K5563" s="18" t="s">
        <v>28</v>
      </c>
      <c r="L5563" s="18" t="s">
        <v>28</v>
      </c>
      <c r="M5563" s="18" t="s">
        <v>28</v>
      </c>
      <c r="N5563" s="17">
        <v>44155</v>
      </c>
      <c r="O5563" s="15" t="s">
        <v>379</v>
      </c>
      <c r="P5563" s="16" t="s">
        <v>28</v>
      </c>
      <c r="Q5563" s="15" t="s">
        <v>136</v>
      </c>
      <c r="R5563" s="13" t="str">
        <f>HYPERLINK("https://my.pitchbook.com?c=160868-53T","View Company Online")</f>
        <v>View Company Online</v>
      </c>
    </row>
    <row r="5564" spans="1:18" hidden="1" x14ac:dyDescent="0.3">
      <c r="A5564" s="9" t="s">
        <v>17319</v>
      </c>
      <c r="B5564" s="9" t="s">
        <v>17320</v>
      </c>
      <c r="C5564" s="11" t="s">
        <v>28</v>
      </c>
      <c r="D5564" s="9" t="s">
        <v>17321</v>
      </c>
      <c r="E5564" s="11" t="s">
        <v>28</v>
      </c>
      <c r="F5564" s="10" t="s">
        <v>28</v>
      </c>
      <c r="G5564" s="10" t="s">
        <v>28</v>
      </c>
      <c r="H5564" s="10" t="s">
        <v>28</v>
      </c>
      <c r="I5564" s="11" t="s">
        <v>28</v>
      </c>
      <c r="J5564" s="11" t="s">
        <v>28</v>
      </c>
      <c r="K5564" s="11" t="s">
        <v>28</v>
      </c>
      <c r="L5564" s="11" t="s">
        <v>28</v>
      </c>
      <c r="M5564" s="11" t="s">
        <v>28</v>
      </c>
      <c r="N5564" s="8">
        <v>44155</v>
      </c>
      <c r="O5564" s="9" t="s">
        <v>52</v>
      </c>
      <c r="P5564" s="12" t="s">
        <v>1880</v>
      </c>
      <c r="Q5564" s="9" t="s">
        <v>75</v>
      </c>
      <c r="R5564" s="14" t="str">
        <f>HYPERLINK("https://my.pitchbook.com?c=251987-50T","View Company Online")</f>
        <v>View Company Online</v>
      </c>
    </row>
    <row r="5565" spans="1:18" hidden="1" x14ac:dyDescent="0.3">
      <c r="A5565" s="15" t="s">
        <v>17322</v>
      </c>
      <c r="B5565" s="15" t="s">
        <v>17323</v>
      </c>
      <c r="C5565" s="18" t="s">
        <v>28</v>
      </c>
      <c r="D5565" s="15" t="s">
        <v>17324</v>
      </c>
      <c r="E5565" s="18" t="s">
        <v>28</v>
      </c>
      <c r="F5565" s="19" t="s">
        <v>28</v>
      </c>
      <c r="G5565" s="19" t="s">
        <v>28</v>
      </c>
      <c r="H5565" s="19" t="s">
        <v>28</v>
      </c>
      <c r="I5565" s="18" t="s">
        <v>28</v>
      </c>
      <c r="J5565" s="18" t="s">
        <v>28</v>
      </c>
      <c r="K5565" s="18" t="s">
        <v>28</v>
      </c>
      <c r="L5565" s="18" t="s">
        <v>28</v>
      </c>
      <c r="M5565" s="18" t="s">
        <v>28</v>
      </c>
      <c r="N5565" s="17">
        <v>44154</v>
      </c>
      <c r="O5565" s="15" t="s">
        <v>41</v>
      </c>
      <c r="P5565" s="16" t="s">
        <v>17325</v>
      </c>
      <c r="Q5565" s="15" t="s">
        <v>240</v>
      </c>
      <c r="R5565" s="13" t="str">
        <f>HYPERLINK("https://my.pitchbook.com?c=158308-12T","View Company Online")</f>
        <v>View Company Online</v>
      </c>
    </row>
    <row r="5566" spans="1:18" hidden="1" x14ac:dyDescent="0.3">
      <c r="A5566" s="9" t="s">
        <v>17326</v>
      </c>
      <c r="B5566" s="9" t="s">
        <v>17327</v>
      </c>
      <c r="C5566" s="11" t="s">
        <v>28</v>
      </c>
      <c r="D5566" s="9" t="s">
        <v>17328</v>
      </c>
      <c r="E5566" s="11" t="s">
        <v>28</v>
      </c>
      <c r="F5566" s="10" t="s">
        <v>28</v>
      </c>
      <c r="G5566" s="10" t="s">
        <v>28</v>
      </c>
      <c r="H5566" s="10" t="s">
        <v>28</v>
      </c>
      <c r="I5566" s="11" t="s">
        <v>28</v>
      </c>
      <c r="J5566" s="11" t="s">
        <v>28</v>
      </c>
      <c r="K5566" s="11" t="s">
        <v>28</v>
      </c>
      <c r="L5566" s="11" t="s">
        <v>28</v>
      </c>
      <c r="M5566" s="11" t="s">
        <v>28</v>
      </c>
      <c r="N5566" s="8">
        <v>44154</v>
      </c>
      <c r="O5566" s="9" t="s">
        <v>30</v>
      </c>
      <c r="P5566" s="12" t="s">
        <v>13327</v>
      </c>
      <c r="Q5566" s="9" t="s">
        <v>692</v>
      </c>
      <c r="R5566" s="14" t="str">
        <f>HYPERLINK("https://my.pitchbook.com?c=159883-57T","View Company Online")</f>
        <v>View Company Online</v>
      </c>
    </row>
    <row r="5567" spans="1:18" hidden="1" x14ac:dyDescent="0.3">
      <c r="A5567" s="15" t="s">
        <v>17329</v>
      </c>
      <c r="B5567" s="15" t="s">
        <v>5384</v>
      </c>
      <c r="C5567" s="18" t="s">
        <v>28</v>
      </c>
      <c r="D5567" s="15" t="s">
        <v>5385</v>
      </c>
      <c r="E5567" s="18" t="s">
        <v>28</v>
      </c>
      <c r="F5567" s="19" t="s">
        <v>28</v>
      </c>
      <c r="G5567" s="19">
        <v>190</v>
      </c>
      <c r="H5567" s="19" t="s">
        <v>28</v>
      </c>
      <c r="I5567" s="18" t="s">
        <v>28</v>
      </c>
      <c r="J5567" s="18" t="s">
        <v>28</v>
      </c>
      <c r="K5567" s="18" t="s">
        <v>28</v>
      </c>
      <c r="L5567" s="18" t="s">
        <v>28</v>
      </c>
      <c r="M5567" s="18" t="s">
        <v>28</v>
      </c>
      <c r="N5567" s="17">
        <v>44154</v>
      </c>
      <c r="O5567" s="15" t="s">
        <v>79</v>
      </c>
      <c r="P5567" s="16" t="s">
        <v>17330</v>
      </c>
      <c r="Q5567" s="15" t="s">
        <v>37</v>
      </c>
      <c r="R5567" s="13" t="str">
        <f>HYPERLINK("https://my.pitchbook.com?c=160737-67T","View Company Online")</f>
        <v>View Company Online</v>
      </c>
    </row>
    <row r="5568" spans="1:18" hidden="1" x14ac:dyDescent="0.3">
      <c r="A5568" s="9" t="s">
        <v>17331</v>
      </c>
      <c r="B5568" s="9" t="s">
        <v>17332</v>
      </c>
      <c r="C5568" s="11" t="s">
        <v>28</v>
      </c>
      <c r="D5568" s="9" t="s">
        <v>17333</v>
      </c>
      <c r="E5568" s="11" t="s">
        <v>28</v>
      </c>
      <c r="F5568" s="10" t="s">
        <v>28</v>
      </c>
      <c r="G5568" s="10" t="s">
        <v>28</v>
      </c>
      <c r="H5568" s="10" t="s">
        <v>28</v>
      </c>
      <c r="I5568" s="11" t="s">
        <v>28</v>
      </c>
      <c r="J5568" s="11" t="s">
        <v>28</v>
      </c>
      <c r="K5568" s="11" t="s">
        <v>28</v>
      </c>
      <c r="L5568" s="11" t="s">
        <v>28</v>
      </c>
      <c r="M5568" s="11" t="s">
        <v>28</v>
      </c>
      <c r="N5568" s="8">
        <v>44154</v>
      </c>
      <c r="O5568" s="9" t="s">
        <v>30</v>
      </c>
      <c r="P5568" s="12" t="s">
        <v>17334</v>
      </c>
      <c r="Q5568" s="9" t="s">
        <v>114</v>
      </c>
      <c r="R5568" s="14" t="str">
        <f>HYPERLINK("https://my.pitchbook.com?c=208094-05T","View Company Online")</f>
        <v>View Company Online</v>
      </c>
    </row>
    <row r="5569" spans="1:18" hidden="1" x14ac:dyDescent="0.3">
      <c r="A5569" s="15" t="s">
        <v>17335</v>
      </c>
      <c r="B5569" s="15" t="s">
        <v>17336</v>
      </c>
      <c r="C5569" s="18" t="s">
        <v>28</v>
      </c>
      <c r="D5569" s="15" t="s">
        <v>17337</v>
      </c>
      <c r="E5569" s="18" t="s">
        <v>28</v>
      </c>
      <c r="F5569" s="19" t="s">
        <v>28</v>
      </c>
      <c r="G5569" s="19" t="s">
        <v>28</v>
      </c>
      <c r="H5569" s="19" t="s">
        <v>28</v>
      </c>
      <c r="I5569" s="18" t="s">
        <v>28</v>
      </c>
      <c r="J5569" s="18" t="s">
        <v>28</v>
      </c>
      <c r="K5569" s="18">
        <v>0.44</v>
      </c>
      <c r="L5569" s="18" t="s">
        <v>28</v>
      </c>
      <c r="M5569" s="18">
        <v>0.38</v>
      </c>
      <c r="N5569" s="17">
        <v>44154</v>
      </c>
      <c r="O5569" s="15" t="s">
        <v>173</v>
      </c>
      <c r="P5569" s="16" t="s">
        <v>28</v>
      </c>
      <c r="Q5569" s="15" t="s">
        <v>174</v>
      </c>
      <c r="R5569" s="13" t="str">
        <f>HYPERLINK("https://my.pitchbook.com?c=251673-49T","View Company Online")</f>
        <v>View Company Online</v>
      </c>
    </row>
    <row r="5570" spans="1:18" hidden="1" x14ac:dyDescent="0.3">
      <c r="A5570" s="9" t="s">
        <v>17338</v>
      </c>
      <c r="B5570" s="9" t="s">
        <v>17339</v>
      </c>
      <c r="C5570" s="11" t="s">
        <v>28</v>
      </c>
      <c r="D5570" s="9" t="s">
        <v>17340</v>
      </c>
      <c r="E5570" s="11" t="s">
        <v>28</v>
      </c>
      <c r="F5570" s="10" t="s">
        <v>28</v>
      </c>
      <c r="G5570" s="10" t="s">
        <v>28</v>
      </c>
      <c r="H5570" s="10" t="s">
        <v>28</v>
      </c>
      <c r="I5570" s="11" t="s">
        <v>28</v>
      </c>
      <c r="J5570" s="11" t="s">
        <v>28</v>
      </c>
      <c r="K5570" s="11" t="s">
        <v>28</v>
      </c>
      <c r="L5570" s="11" t="s">
        <v>28</v>
      </c>
      <c r="M5570" s="11" t="s">
        <v>28</v>
      </c>
      <c r="N5570" s="8">
        <v>44154</v>
      </c>
      <c r="O5570" s="9" t="s">
        <v>30</v>
      </c>
      <c r="P5570" s="12" t="s">
        <v>17341</v>
      </c>
      <c r="Q5570" s="9" t="s">
        <v>226</v>
      </c>
      <c r="R5570" s="14" t="str">
        <f>HYPERLINK("https://my.pitchbook.com?c=189916-48T","View Company Online")</f>
        <v>View Company Online</v>
      </c>
    </row>
    <row r="5571" spans="1:18" hidden="1" x14ac:dyDescent="0.3">
      <c r="A5571" s="15" t="s">
        <v>17342</v>
      </c>
      <c r="B5571" s="15" t="s">
        <v>17343</v>
      </c>
      <c r="C5571" s="18" t="s">
        <v>28</v>
      </c>
      <c r="D5571" s="15" t="s">
        <v>17344</v>
      </c>
      <c r="E5571" s="18" t="s">
        <v>28</v>
      </c>
      <c r="F5571" s="19" t="s">
        <v>28</v>
      </c>
      <c r="G5571" s="19" t="s">
        <v>28</v>
      </c>
      <c r="H5571" s="19" t="s">
        <v>28</v>
      </c>
      <c r="I5571" s="18" t="s">
        <v>28</v>
      </c>
      <c r="J5571" s="18" t="s">
        <v>28</v>
      </c>
      <c r="K5571" s="18" t="s">
        <v>28</v>
      </c>
      <c r="L5571" s="18" t="s">
        <v>28</v>
      </c>
      <c r="M5571" s="18" t="s">
        <v>28</v>
      </c>
      <c r="N5571" s="17">
        <v>44154</v>
      </c>
      <c r="O5571" s="15" t="s">
        <v>30</v>
      </c>
      <c r="P5571" s="16" t="s">
        <v>17345</v>
      </c>
      <c r="Q5571" s="15" t="s">
        <v>583</v>
      </c>
      <c r="R5571" s="13" t="str">
        <f>HYPERLINK("https://my.pitchbook.com?c=209994-94T","View Company Online")</f>
        <v>View Company Online</v>
      </c>
    </row>
    <row r="5572" spans="1:18" hidden="1" x14ac:dyDescent="0.3">
      <c r="A5572" s="9" t="s">
        <v>17346</v>
      </c>
      <c r="B5572" s="9" t="s">
        <v>17347</v>
      </c>
      <c r="C5572" s="11" t="s">
        <v>28</v>
      </c>
      <c r="D5572" s="9" t="s">
        <v>17348</v>
      </c>
      <c r="E5572" s="11" t="s">
        <v>28</v>
      </c>
      <c r="F5572" s="10" t="s">
        <v>28</v>
      </c>
      <c r="G5572" s="10" t="s">
        <v>28</v>
      </c>
      <c r="H5572" s="10" t="s">
        <v>28</v>
      </c>
      <c r="I5572" s="11" t="s">
        <v>28</v>
      </c>
      <c r="J5572" s="11" t="s">
        <v>28</v>
      </c>
      <c r="K5572" s="11" t="s">
        <v>28</v>
      </c>
      <c r="L5572" s="11" t="s">
        <v>28</v>
      </c>
      <c r="M5572" s="11" t="s">
        <v>28</v>
      </c>
      <c r="N5572" s="8">
        <v>44154</v>
      </c>
      <c r="O5572" s="9" t="s">
        <v>79</v>
      </c>
      <c r="P5572" s="12" t="s">
        <v>17349</v>
      </c>
      <c r="Q5572" s="9" t="s">
        <v>75</v>
      </c>
      <c r="R5572" s="14" t="str">
        <f>HYPERLINK("https://my.pitchbook.com?c=171637-48T","View Company Online")</f>
        <v>View Company Online</v>
      </c>
    </row>
    <row r="5573" spans="1:18" hidden="1" x14ac:dyDescent="0.3">
      <c r="A5573" s="15" t="s">
        <v>17350</v>
      </c>
      <c r="B5573" s="15" t="s">
        <v>15301</v>
      </c>
      <c r="C5573" s="18" t="s">
        <v>28</v>
      </c>
      <c r="D5573" s="15" t="s">
        <v>15302</v>
      </c>
      <c r="E5573" s="18" t="s">
        <v>28</v>
      </c>
      <c r="F5573" s="19" t="s">
        <v>28</v>
      </c>
      <c r="G5573" s="19" t="s">
        <v>28</v>
      </c>
      <c r="H5573" s="19" t="s">
        <v>28</v>
      </c>
      <c r="I5573" s="18" t="s">
        <v>28</v>
      </c>
      <c r="J5573" s="18" t="s">
        <v>28</v>
      </c>
      <c r="K5573" s="18" t="s">
        <v>28</v>
      </c>
      <c r="L5573" s="18" t="s">
        <v>28</v>
      </c>
      <c r="M5573" s="18" t="s">
        <v>28</v>
      </c>
      <c r="N5573" s="17">
        <v>44154</v>
      </c>
      <c r="O5573" s="15" t="s">
        <v>79</v>
      </c>
      <c r="P5573" s="16" t="s">
        <v>611</v>
      </c>
      <c r="Q5573" s="15" t="s">
        <v>75</v>
      </c>
      <c r="R5573" s="13" t="str">
        <f>HYPERLINK("https://my.pitchbook.com?c=212007-43T","View Company Online")</f>
        <v>View Company Online</v>
      </c>
    </row>
    <row r="5574" spans="1:18" hidden="1" x14ac:dyDescent="0.3">
      <c r="A5574" s="9" t="s">
        <v>17351</v>
      </c>
      <c r="B5574" s="9" t="s">
        <v>1626</v>
      </c>
      <c r="C5574" s="11" t="s">
        <v>28</v>
      </c>
      <c r="D5574" s="9" t="s">
        <v>1627</v>
      </c>
      <c r="E5574" s="11" t="s">
        <v>28</v>
      </c>
      <c r="F5574" s="10" t="s">
        <v>28</v>
      </c>
      <c r="G5574" s="10">
        <v>5</v>
      </c>
      <c r="H5574" s="10" t="s">
        <v>28</v>
      </c>
      <c r="I5574" s="11" t="s">
        <v>28</v>
      </c>
      <c r="J5574" s="11" t="s">
        <v>28</v>
      </c>
      <c r="K5574" s="11" t="s">
        <v>28</v>
      </c>
      <c r="L5574" s="11" t="s">
        <v>28</v>
      </c>
      <c r="M5574" s="11" t="s">
        <v>28</v>
      </c>
      <c r="N5574" s="8">
        <v>44153</v>
      </c>
      <c r="O5574" s="9" t="s">
        <v>73</v>
      </c>
      <c r="P5574" s="12" t="s">
        <v>17352</v>
      </c>
      <c r="Q5574" s="9" t="s">
        <v>37</v>
      </c>
      <c r="R5574" s="14" t="str">
        <f>HYPERLINK("https://my.pitchbook.com?c=159764-23T","View Company Online")</f>
        <v>View Company Online</v>
      </c>
    </row>
    <row r="5575" spans="1:18" hidden="1" x14ac:dyDescent="0.3">
      <c r="A5575" s="15" t="s">
        <v>17353</v>
      </c>
      <c r="B5575" s="15" t="s">
        <v>14102</v>
      </c>
      <c r="C5575" s="18" t="s">
        <v>28</v>
      </c>
      <c r="D5575" s="15" t="s">
        <v>17354</v>
      </c>
      <c r="E5575" s="18" t="s">
        <v>28</v>
      </c>
      <c r="F5575" s="19" t="s">
        <v>28</v>
      </c>
      <c r="G5575" s="19" t="s">
        <v>28</v>
      </c>
      <c r="H5575" s="19" t="s">
        <v>28</v>
      </c>
      <c r="I5575" s="18" t="s">
        <v>28</v>
      </c>
      <c r="J5575" s="18" t="s">
        <v>28</v>
      </c>
      <c r="K5575" s="18" t="s">
        <v>28</v>
      </c>
      <c r="L5575" s="18" t="s">
        <v>28</v>
      </c>
      <c r="M5575" s="18" t="s">
        <v>28</v>
      </c>
      <c r="N5575" s="17">
        <v>44153</v>
      </c>
      <c r="O5575" s="15" t="s">
        <v>99</v>
      </c>
      <c r="P5575" s="16" t="s">
        <v>611</v>
      </c>
      <c r="Q5575" s="15" t="s">
        <v>3912</v>
      </c>
      <c r="R5575" s="13" t="str">
        <f>HYPERLINK("https://my.pitchbook.com?c=194457-34T","View Company Online")</f>
        <v>View Company Online</v>
      </c>
    </row>
    <row r="5576" spans="1:18" hidden="1" x14ac:dyDescent="0.3">
      <c r="A5576" s="9" t="s">
        <v>17355</v>
      </c>
      <c r="B5576" s="9" t="s">
        <v>17356</v>
      </c>
      <c r="C5576" s="11" t="s">
        <v>28</v>
      </c>
      <c r="D5576" s="9" t="s">
        <v>17357</v>
      </c>
      <c r="E5576" s="11" t="s">
        <v>28</v>
      </c>
      <c r="F5576" s="10" t="s">
        <v>28</v>
      </c>
      <c r="G5576" s="10" t="s">
        <v>28</v>
      </c>
      <c r="H5576" s="10" t="s">
        <v>28</v>
      </c>
      <c r="I5576" s="11" t="s">
        <v>28</v>
      </c>
      <c r="J5576" s="11" t="s">
        <v>28</v>
      </c>
      <c r="K5576" s="11" t="s">
        <v>28</v>
      </c>
      <c r="L5576" s="11" t="s">
        <v>28</v>
      </c>
      <c r="M5576" s="11" t="s">
        <v>28</v>
      </c>
      <c r="N5576" s="8">
        <v>44153</v>
      </c>
      <c r="O5576" s="9" t="s">
        <v>30</v>
      </c>
      <c r="P5576" s="12" t="s">
        <v>17358</v>
      </c>
      <c r="Q5576" s="9" t="s">
        <v>409</v>
      </c>
      <c r="R5576" s="14" t="str">
        <f>HYPERLINK("https://my.pitchbook.com?c=159904-81T","View Company Online")</f>
        <v>View Company Online</v>
      </c>
    </row>
    <row r="5577" spans="1:18" hidden="1" x14ac:dyDescent="0.3">
      <c r="A5577" s="15" t="s">
        <v>17359</v>
      </c>
      <c r="B5577" s="15" t="s">
        <v>15651</v>
      </c>
      <c r="C5577" s="18" t="s">
        <v>28</v>
      </c>
      <c r="D5577" s="15" t="s">
        <v>15652</v>
      </c>
      <c r="E5577" s="18" t="s">
        <v>28</v>
      </c>
      <c r="F5577" s="19" t="s">
        <v>28</v>
      </c>
      <c r="G5577" s="19" t="s">
        <v>28</v>
      </c>
      <c r="H5577" s="19" t="s">
        <v>28</v>
      </c>
      <c r="I5577" s="18" t="s">
        <v>28</v>
      </c>
      <c r="J5577" s="18" t="s">
        <v>28</v>
      </c>
      <c r="K5577" s="18" t="s">
        <v>28</v>
      </c>
      <c r="L5577" s="18" t="s">
        <v>28</v>
      </c>
      <c r="M5577" s="18" t="s">
        <v>28</v>
      </c>
      <c r="N5577" s="17">
        <v>44152</v>
      </c>
      <c r="O5577" s="15" t="s">
        <v>99</v>
      </c>
      <c r="P5577" s="16" t="s">
        <v>104</v>
      </c>
      <c r="Q5577" s="15" t="s">
        <v>75</v>
      </c>
      <c r="R5577" s="13" t="str">
        <f>HYPERLINK("https://my.pitchbook.com?c=171331-84T","View Company Online")</f>
        <v>View Company Online</v>
      </c>
    </row>
    <row r="5578" spans="1:18" hidden="1" x14ac:dyDescent="0.3">
      <c r="A5578" s="9" t="s">
        <v>17360</v>
      </c>
      <c r="B5578" s="9" t="s">
        <v>17361</v>
      </c>
      <c r="C5578" s="11" t="s">
        <v>28</v>
      </c>
      <c r="D5578" s="9" t="s">
        <v>17362</v>
      </c>
      <c r="E5578" s="11" t="s">
        <v>28</v>
      </c>
      <c r="F5578" s="10" t="s">
        <v>28</v>
      </c>
      <c r="G5578" s="10">
        <v>0.03</v>
      </c>
      <c r="H5578" s="10" t="s">
        <v>28</v>
      </c>
      <c r="I5578" s="11" t="s">
        <v>28</v>
      </c>
      <c r="J5578" s="11" t="s">
        <v>28</v>
      </c>
      <c r="K5578" s="11" t="s">
        <v>28</v>
      </c>
      <c r="L5578" s="11" t="s">
        <v>28</v>
      </c>
      <c r="M5578" s="11" t="s">
        <v>28</v>
      </c>
      <c r="N5578" s="8">
        <v>44152</v>
      </c>
      <c r="O5578" s="9" t="s">
        <v>379</v>
      </c>
      <c r="P5578" s="12" t="s">
        <v>28</v>
      </c>
      <c r="Q5578" s="9" t="s">
        <v>114</v>
      </c>
      <c r="R5578" s="14" t="str">
        <f>HYPERLINK("https://my.pitchbook.com?c=166105-81T","View Company Online")</f>
        <v>View Company Online</v>
      </c>
    </row>
    <row r="5579" spans="1:18" hidden="1" x14ac:dyDescent="0.3">
      <c r="A5579" s="15" t="s">
        <v>17363</v>
      </c>
      <c r="B5579" s="15" t="s">
        <v>17364</v>
      </c>
      <c r="C5579" s="18" t="s">
        <v>28</v>
      </c>
      <c r="D5579" s="15" t="s">
        <v>17365</v>
      </c>
      <c r="E5579" s="18">
        <v>-0.09</v>
      </c>
      <c r="F5579" s="19" t="s">
        <v>28</v>
      </c>
      <c r="G5579" s="19" t="s">
        <v>28</v>
      </c>
      <c r="H5579" s="19" t="s">
        <v>28</v>
      </c>
      <c r="I5579" s="18">
        <v>-0.09</v>
      </c>
      <c r="J5579" s="18" t="s">
        <v>28</v>
      </c>
      <c r="K5579" s="18">
        <v>0.32</v>
      </c>
      <c r="L5579" s="18" t="s">
        <v>28</v>
      </c>
      <c r="M5579" s="18">
        <v>-0.09</v>
      </c>
      <c r="N5579" s="17">
        <v>44152</v>
      </c>
      <c r="O5579" s="15" t="s">
        <v>173</v>
      </c>
      <c r="P5579" s="16" t="s">
        <v>28</v>
      </c>
      <c r="Q5579" s="15" t="s">
        <v>174</v>
      </c>
      <c r="R5579" s="13" t="str">
        <f>HYPERLINK("https://my.pitchbook.com?c=251571-70T","View Company Online")</f>
        <v>View Company Online</v>
      </c>
    </row>
    <row r="5580" spans="1:18" hidden="1" x14ac:dyDescent="0.3">
      <c r="A5580" s="9" t="s">
        <v>17366</v>
      </c>
      <c r="B5580" s="9" t="s">
        <v>15566</v>
      </c>
      <c r="C5580" s="11" t="s">
        <v>28</v>
      </c>
      <c r="D5580" s="9" t="s">
        <v>15567</v>
      </c>
      <c r="E5580" s="11" t="s">
        <v>28</v>
      </c>
      <c r="F5580" s="10" t="s">
        <v>28</v>
      </c>
      <c r="G5580" s="10" t="s">
        <v>28</v>
      </c>
      <c r="H5580" s="10" t="s">
        <v>28</v>
      </c>
      <c r="I5580" s="11" t="s">
        <v>28</v>
      </c>
      <c r="J5580" s="11" t="s">
        <v>28</v>
      </c>
      <c r="K5580" s="11" t="s">
        <v>28</v>
      </c>
      <c r="L5580" s="11" t="s">
        <v>28</v>
      </c>
      <c r="M5580" s="11" t="s">
        <v>28</v>
      </c>
      <c r="N5580" s="8">
        <v>44152</v>
      </c>
      <c r="O5580" s="9" t="s">
        <v>79</v>
      </c>
      <c r="P5580" s="12" t="s">
        <v>17367</v>
      </c>
      <c r="Q5580" s="9" t="s">
        <v>95</v>
      </c>
      <c r="R5580" s="14" t="str">
        <f>HYPERLINK("https://my.pitchbook.com?c=176569-93T","View Company Online")</f>
        <v>View Company Online</v>
      </c>
    </row>
    <row r="5581" spans="1:18" hidden="1" x14ac:dyDescent="0.3">
      <c r="A5581" s="15" t="s">
        <v>17368</v>
      </c>
      <c r="B5581" s="15" t="s">
        <v>17369</v>
      </c>
      <c r="C5581" s="18" t="s">
        <v>28</v>
      </c>
      <c r="D5581" s="15" t="s">
        <v>17370</v>
      </c>
      <c r="E5581" s="18" t="s">
        <v>28</v>
      </c>
      <c r="F5581" s="19" t="s">
        <v>28</v>
      </c>
      <c r="G5581" s="19">
        <v>36.24</v>
      </c>
      <c r="H5581" s="19">
        <v>48.33</v>
      </c>
      <c r="I5581" s="18" t="s">
        <v>28</v>
      </c>
      <c r="J5581" s="18" t="s">
        <v>28</v>
      </c>
      <c r="K5581" s="18" t="s">
        <v>28</v>
      </c>
      <c r="L5581" s="18" t="s">
        <v>28</v>
      </c>
      <c r="M5581" s="18" t="s">
        <v>28</v>
      </c>
      <c r="N5581" s="17">
        <v>44152</v>
      </c>
      <c r="O5581" s="15" t="s">
        <v>30</v>
      </c>
      <c r="P5581" s="16" t="s">
        <v>17371</v>
      </c>
      <c r="Q5581" s="15" t="s">
        <v>188</v>
      </c>
      <c r="R5581" s="13" t="str">
        <f>HYPERLINK("https://my.pitchbook.com?c=213432-31T","View Company Online")</f>
        <v>View Company Online</v>
      </c>
    </row>
    <row r="5582" spans="1:18" hidden="1" x14ac:dyDescent="0.3">
      <c r="A5582" s="9" t="s">
        <v>17372</v>
      </c>
      <c r="B5582" s="9" t="s">
        <v>3369</v>
      </c>
      <c r="C5582" s="11" t="s">
        <v>28</v>
      </c>
      <c r="D5582" s="9" t="s">
        <v>3370</v>
      </c>
      <c r="E5582" s="11">
        <v>-49.75</v>
      </c>
      <c r="F5582" s="10" t="s">
        <v>28</v>
      </c>
      <c r="G5582" s="10">
        <v>91.34</v>
      </c>
      <c r="H5582" s="10" t="s">
        <v>28</v>
      </c>
      <c r="I5582" s="11">
        <v>14.77</v>
      </c>
      <c r="J5582" s="11" t="s">
        <v>28</v>
      </c>
      <c r="K5582" s="11">
        <v>469.66</v>
      </c>
      <c r="L5582" s="11" t="s">
        <v>28</v>
      </c>
      <c r="M5582" s="11">
        <v>-63.59</v>
      </c>
      <c r="N5582" s="8">
        <v>44152</v>
      </c>
      <c r="O5582" s="9" t="s">
        <v>423</v>
      </c>
      <c r="P5582" s="12" t="s">
        <v>28</v>
      </c>
      <c r="Q5582" s="9" t="s">
        <v>169</v>
      </c>
      <c r="R5582" s="14" t="str">
        <f>HYPERLINK("https://my.pitchbook.com?c=161120-80T","View Company Online")</f>
        <v>View Company Online</v>
      </c>
    </row>
    <row r="5583" spans="1:18" hidden="1" x14ac:dyDescent="0.3">
      <c r="A5583" s="15" t="s">
        <v>17373</v>
      </c>
      <c r="B5583" s="15" t="s">
        <v>8633</v>
      </c>
      <c r="C5583" s="18" t="s">
        <v>28</v>
      </c>
      <c r="D5583" s="15" t="s">
        <v>8634</v>
      </c>
      <c r="E5583" s="18" t="s">
        <v>28</v>
      </c>
      <c r="F5583" s="19" t="s">
        <v>28</v>
      </c>
      <c r="G5583" s="19">
        <v>0.45</v>
      </c>
      <c r="H5583" s="19" t="s">
        <v>28</v>
      </c>
      <c r="I5583" s="18" t="s">
        <v>28</v>
      </c>
      <c r="J5583" s="18" t="s">
        <v>28</v>
      </c>
      <c r="K5583" s="18" t="s">
        <v>28</v>
      </c>
      <c r="L5583" s="18" t="s">
        <v>28</v>
      </c>
      <c r="M5583" s="18" t="s">
        <v>28</v>
      </c>
      <c r="N5583" s="17">
        <v>44151</v>
      </c>
      <c r="O5583" s="15" t="s">
        <v>1639</v>
      </c>
      <c r="P5583" s="16" t="s">
        <v>28</v>
      </c>
      <c r="Q5583" s="15" t="s">
        <v>2168</v>
      </c>
      <c r="R5583" s="13" t="str">
        <f>HYPERLINK("https://my.pitchbook.com?c=166780-99T","View Company Online")</f>
        <v>View Company Online</v>
      </c>
    </row>
    <row r="5584" spans="1:18" hidden="1" x14ac:dyDescent="0.3">
      <c r="A5584" s="9" t="s">
        <v>17374</v>
      </c>
      <c r="B5584" s="9" t="s">
        <v>17375</v>
      </c>
      <c r="C5584" s="11" t="s">
        <v>28</v>
      </c>
      <c r="D5584" s="9" t="s">
        <v>17376</v>
      </c>
      <c r="E5584" s="11" t="s">
        <v>28</v>
      </c>
      <c r="F5584" s="10" t="s">
        <v>28</v>
      </c>
      <c r="G5584" s="10">
        <v>0.02</v>
      </c>
      <c r="H5584" s="10" t="s">
        <v>28</v>
      </c>
      <c r="I5584" s="11" t="s">
        <v>28</v>
      </c>
      <c r="J5584" s="11" t="s">
        <v>28</v>
      </c>
      <c r="K5584" s="11" t="s">
        <v>28</v>
      </c>
      <c r="L5584" s="11" t="s">
        <v>28</v>
      </c>
      <c r="M5584" s="11" t="s">
        <v>28</v>
      </c>
      <c r="N5584" s="8">
        <v>44151</v>
      </c>
      <c r="O5584" s="9" t="s">
        <v>99</v>
      </c>
      <c r="P5584" s="12" t="s">
        <v>28</v>
      </c>
      <c r="Q5584" s="9" t="s">
        <v>37</v>
      </c>
      <c r="R5584" s="14" t="str">
        <f>HYPERLINK("https://my.pitchbook.com?c=211068-19T","View Company Online")</f>
        <v>View Company Online</v>
      </c>
    </row>
    <row r="5585" spans="1:18" hidden="1" x14ac:dyDescent="0.3">
      <c r="A5585" s="15" t="s">
        <v>17377</v>
      </c>
      <c r="B5585" s="15" t="s">
        <v>17378</v>
      </c>
      <c r="C5585" s="18" t="s">
        <v>28</v>
      </c>
      <c r="D5585" s="15" t="s">
        <v>17379</v>
      </c>
      <c r="E5585" s="18" t="s">
        <v>28</v>
      </c>
      <c r="F5585" s="19">
        <v>178.78</v>
      </c>
      <c r="G5585" s="19">
        <v>98.33</v>
      </c>
      <c r="H5585" s="19">
        <v>178.78</v>
      </c>
      <c r="I5585" s="18" t="s">
        <v>28</v>
      </c>
      <c r="J5585" s="18" t="s">
        <v>28</v>
      </c>
      <c r="K5585" s="18">
        <v>155.28</v>
      </c>
      <c r="L5585" s="18">
        <v>1.1499999999999999</v>
      </c>
      <c r="M5585" s="18" t="s">
        <v>28</v>
      </c>
      <c r="N5585" s="17">
        <v>44151</v>
      </c>
      <c r="O5585" s="15" t="s">
        <v>41</v>
      </c>
      <c r="P5585" s="16" t="s">
        <v>4766</v>
      </c>
      <c r="Q5585" s="15" t="s">
        <v>409</v>
      </c>
      <c r="R5585" s="13" t="str">
        <f>HYPERLINK("https://my.pitchbook.com?c=159902-20T","View Company Online")</f>
        <v>View Company Online</v>
      </c>
    </row>
    <row r="5586" spans="1:18" hidden="1" x14ac:dyDescent="0.3">
      <c r="A5586" s="9" t="s">
        <v>17380</v>
      </c>
      <c r="B5586" s="9" t="s">
        <v>17381</v>
      </c>
      <c r="C5586" s="11" t="s">
        <v>28</v>
      </c>
      <c r="D5586" s="9" t="s">
        <v>17382</v>
      </c>
      <c r="E5586" s="11" t="s">
        <v>28</v>
      </c>
      <c r="F5586" s="10" t="s">
        <v>28</v>
      </c>
      <c r="G5586" s="10" t="s">
        <v>28</v>
      </c>
      <c r="H5586" s="10" t="s">
        <v>28</v>
      </c>
      <c r="I5586" s="11" t="s">
        <v>28</v>
      </c>
      <c r="J5586" s="11" t="s">
        <v>28</v>
      </c>
      <c r="K5586" s="11" t="s">
        <v>28</v>
      </c>
      <c r="L5586" s="11" t="s">
        <v>28</v>
      </c>
      <c r="M5586" s="11" t="s">
        <v>28</v>
      </c>
      <c r="N5586" s="8">
        <v>44151</v>
      </c>
      <c r="O5586" s="9" t="s">
        <v>30</v>
      </c>
      <c r="P5586" s="12" t="s">
        <v>14320</v>
      </c>
      <c r="Q5586" s="9" t="s">
        <v>2988</v>
      </c>
      <c r="R5586" s="14" t="str">
        <f>HYPERLINK("https://my.pitchbook.com?c=213422-05T","View Company Online")</f>
        <v>View Company Online</v>
      </c>
    </row>
    <row r="5587" spans="1:18" hidden="1" x14ac:dyDescent="0.3">
      <c r="A5587" s="15" t="s">
        <v>17383</v>
      </c>
      <c r="B5587" s="15" t="s">
        <v>223</v>
      </c>
      <c r="C5587" s="18" t="s">
        <v>28</v>
      </c>
      <c r="D5587" s="15" t="s">
        <v>224</v>
      </c>
      <c r="E5587" s="18">
        <v>-46.53</v>
      </c>
      <c r="F5587" s="19" t="s">
        <v>28</v>
      </c>
      <c r="G5587" s="19">
        <v>106.98</v>
      </c>
      <c r="H5587" s="19">
        <v>393.99</v>
      </c>
      <c r="I5587" s="18">
        <v>-39.619999999999997</v>
      </c>
      <c r="J5587" s="18">
        <v>-9.94</v>
      </c>
      <c r="K5587" s="18">
        <v>39.65</v>
      </c>
      <c r="L5587" s="18">
        <v>9.94</v>
      </c>
      <c r="M5587" s="18">
        <v>-50.32</v>
      </c>
      <c r="N5587" s="17">
        <v>44148</v>
      </c>
      <c r="O5587" s="15" t="s">
        <v>173</v>
      </c>
      <c r="P5587" s="16" t="s">
        <v>28</v>
      </c>
      <c r="Q5587" s="15" t="s">
        <v>226</v>
      </c>
      <c r="R5587" s="13" t="str">
        <f>HYPERLINK("https://my.pitchbook.com?c=159926-41T","View Company Online")</f>
        <v>View Company Online</v>
      </c>
    </row>
    <row r="5588" spans="1:18" hidden="1" x14ac:dyDescent="0.3">
      <c r="A5588" s="9" t="s">
        <v>17384</v>
      </c>
      <c r="B5588" s="9" t="s">
        <v>14121</v>
      </c>
      <c r="C5588" s="11" t="s">
        <v>28</v>
      </c>
      <c r="D5588" s="9" t="s">
        <v>14122</v>
      </c>
      <c r="E5588" s="11" t="s">
        <v>28</v>
      </c>
      <c r="F5588" s="10">
        <v>184.6</v>
      </c>
      <c r="G5588" s="10">
        <v>184.6</v>
      </c>
      <c r="H5588" s="10">
        <v>184.6</v>
      </c>
      <c r="I5588" s="11" t="s">
        <v>28</v>
      </c>
      <c r="J5588" s="11" t="s">
        <v>28</v>
      </c>
      <c r="K5588" s="11" t="s">
        <v>28</v>
      </c>
      <c r="L5588" s="11" t="s">
        <v>28</v>
      </c>
      <c r="M5588" s="11" t="s">
        <v>28</v>
      </c>
      <c r="N5588" s="8">
        <v>44148</v>
      </c>
      <c r="O5588" s="9" t="s">
        <v>41</v>
      </c>
      <c r="P5588" s="12" t="s">
        <v>17385</v>
      </c>
      <c r="Q5588" s="9" t="s">
        <v>316</v>
      </c>
      <c r="R5588" s="14" t="str">
        <f>HYPERLINK("https://my.pitchbook.com?c=159860-89T","View Company Online")</f>
        <v>View Company Online</v>
      </c>
    </row>
    <row r="5589" spans="1:18" hidden="1" x14ac:dyDescent="0.3">
      <c r="A5589" s="15" t="s">
        <v>17386</v>
      </c>
      <c r="B5589" s="15" t="s">
        <v>17387</v>
      </c>
      <c r="C5589" s="18" t="s">
        <v>28</v>
      </c>
      <c r="D5589" s="15" t="s">
        <v>17388</v>
      </c>
      <c r="E5589" s="18" t="s">
        <v>28</v>
      </c>
      <c r="F5589" s="19">
        <v>1.87</v>
      </c>
      <c r="G5589" s="19">
        <v>1.87</v>
      </c>
      <c r="H5589" s="19">
        <v>1.87</v>
      </c>
      <c r="I5589" s="18" t="s">
        <v>28</v>
      </c>
      <c r="J5589" s="18" t="s">
        <v>28</v>
      </c>
      <c r="K5589" s="18" t="s">
        <v>28</v>
      </c>
      <c r="L5589" s="18" t="s">
        <v>28</v>
      </c>
      <c r="M5589" s="18" t="s">
        <v>28</v>
      </c>
      <c r="N5589" s="17">
        <v>44148</v>
      </c>
      <c r="O5589" s="15" t="s">
        <v>30</v>
      </c>
      <c r="P5589" s="16" t="s">
        <v>10279</v>
      </c>
      <c r="Q5589" s="15" t="s">
        <v>75</v>
      </c>
      <c r="R5589" s="13" t="str">
        <f>HYPERLINK("https://my.pitchbook.com?c=188794-54T","View Company Online")</f>
        <v>View Company Online</v>
      </c>
    </row>
    <row r="5590" spans="1:18" hidden="1" x14ac:dyDescent="0.3">
      <c r="A5590" s="9" t="s">
        <v>17389</v>
      </c>
      <c r="B5590" s="9" t="s">
        <v>17390</v>
      </c>
      <c r="C5590" s="11" t="s">
        <v>28</v>
      </c>
      <c r="D5590" s="9" t="s">
        <v>17391</v>
      </c>
      <c r="E5590" s="11" t="s">
        <v>28</v>
      </c>
      <c r="F5590" s="10" t="s">
        <v>28</v>
      </c>
      <c r="G5590" s="10" t="s">
        <v>28</v>
      </c>
      <c r="H5590" s="10" t="s">
        <v>28</v>
      </c>
      <c r="I5590" s="11" t="s">
        <v>28</v>
      </c>
      <c r="J5590" s="11" t="s">
        <v>28</v>
      </c>
      <c r="K5590" s="11" t="s">
        <v>28</v>
      </c>
      <c r="L5590" s="11" t="s">
        <v>28</v>
      </c>
      <c r="M5590" s="11" t="s">
        <v>28</v>
      </c>
      <c r="N5590" s="8">
        <v>44148</v>
      </c>
      <c r="O5590" s="9" t="s">
        <v>30</v>
      </c>
      <c r="P5590" s="12" t="s">
        <v>17392</v>
      </c>
      <c r="Q5590" s="9" t="s">
        <v>740</v>
      </c>
      <c r="R5590" s="14" t="str">
        <f>HYPERLINK("https://my.pitchbook.com?c=208527-76T","View Company Online")</f>
        <v>View Company Online</v>
      </c>
    </row>
    <row r="5591" spans="1:18" hidden="1" x14ac:dyDescent="0.3">
      <c r="A5591" s="15" t="s">
        <v>17393</v>
      </c>
      <c r="B5591" s="15" t="s">
        <v>16697</v>
      </c>
      <c r="C5591" s="18" t="s">
        <v>28</v>
      </c>
      <c r="D5591" s="15" t="s">
        <v>16698</v>
      </c>
      <c r="E5591" s="18" t="s">
        <v>28</v>
      </c>
      <c r="F5591" s="19" t="s">
        <v>28</v>
      </c>
      <c r="G5591" s="19">
        <v>0.1</v>
      </c>
      <c r="H5591" s="19" t="s">
        <v>28</v>
      </c>
      <c r="I5591" s="18" t="s">
        <v>28</v>
      </c>
      <c r="J5591" s="18" t="s">
        <v>28</v>
      </c>
      <c r="K5591" s="18" t="s">
        <v>28</v>
      </c>
      <c r="L5591" s="18" t="s">
        <v>28</v>
      </c>
      <c r="M5591" s="18" t="s">
        <v>28</v>
      </c>
      <c r="N5591" s="17">
        <v>44147</v>
      </c>
      <c r="O5591" s="15" t="s">
        <v>52</v>
      </c>
      <c r="P5591" s="16" t="s">
        <v>17394</v>
      </c>
      <c r="Q5591" s="15" t="s">
        <v>75</v>
      </c>
      <c r="R5591" s="13" t="str">
        <f>HYPERLINK("https://my.pitchbook.com?c=166949-11T","View Company Online")</f>
        <v>View Company Online</v>
      </c>
    </row>
    <row r="5592" spans="1:18" hidden="1" x14ac:dyDescent="0.3">
      <c r="A5592" s="9" t="s">
        <v>17395</v>
      </c>
      <c r="B5592" s="9" t="s">
        <v>401</v>
      </c>
      <c r="C5592" s="11" t="s">
        <v>28</v>
      </c>
      <c r="D5592" s="9" t="s">
        <v>402</v>
      </c>
      <c r="E5592" s="11" t="s">
        <v>28</v>
      </c>
      <c r="F5592" s="10" t="s">
        <v>28</v>
      </c>
      <c r="G5592" s="10">
        <v>0.5</v>
      </c>
      <c r="H5592" s="10">
        <v>4</v>
      </c>
      <c r="I5592" s="11" t="s">
        <v>28</v>
      </c>
      <c r="J5592" s="11" t="s">
        <v>28</v>
      </c>
      <c r="K5592" s="11" t="s">
        <v>28</v>
      </c>
      <c r="L5592" s="11" t="s">
        <v>28</v>
      </c>
      <c r="M5592" s="11" t="s">
        <v>28</v>
      </c>
      <c r="N5592" s="8">
        <v>44147</v>
      </c>
      <c r="O5592" s="9" t="s">
        <v>99</v>
      </c>
      <c r="P5592" s="12" t="s">
        <v>17396</v>
      </c>
      <c r="Q5592" s="9" t="s">
        <v>404</v>
      </c>
      <c r="R5592" s="14" t="str">
        <f>HYPERLINK("https://my.pitchbook.com?c=158285-89T","View Company Online")</f>
        <v>View Company Online</v>
      </c>
    </row>
    <row r="5593" spans="1:18" hidden="1" x14ac:dyDescent="0.3">
      <c r="A5593" s="15" t="s">
        <v>17397</v>
      </c>
      <c r="B5593" s="15" t="s">
        <v>17398</v>
      </c>
      <c r="C5593" s="18" t="s">
        <v>28</v>
      </c>
      <c r="D5593" s="15" t="s">
        <v>17399</v>
      </c>
      <c r="E5593" s="18" t="s">
        <v>28</v>
      </c>
      <c r="F5593" s="19" t="s">
        <v>28</v>
      </c>
      <c r="G5593" s="19" t="s">
        <v>28</v>
      </c>
      <c r="H5593" s="19" t="s">
        <v>28</v>
      </c>
      <c r="I5593" s="18" t="s">
        <v>28</v>
      </c>
      <c r="J5593" s="18" t="s">
        <v>28</v>
      </c>
      <c r="K5593" s="18" t="s">
        <v>28</v>
      </c>
      <c r="L5593" s="18" t="s">
        <v>28</v>
      </c>
      <c r="M5593" s="18" t="s">
        <v>28</v>
      </c>
      <c r="N5593" s="17">
        <v>44147</v>
      </c>
      <c r="O5593" s="15" t="s">
        <v>79</v>
      </c>
      <c r="P5593" s="16" t="s">
        <v>11808</v>
      </c>
      <c r="Q5593" s="15" t="s">
        <v>75</v>
      </c>
      <c r="R5593" s="13" t="str">
        <f>HYPERLINK("https://my.pitchbook.com?c=133041-61T","View Company Online")</f>
        <v>View Company Online</v>
      </c>
    </row>
    <row r="5594" spans="1:18" hidden="1" x14ac:dyDescent="0.3">
      <c r="A5594" s="9" t="s">
        <v>17400</v>
      </c>
      <c r="B5594" s="9" t="s">
        <v>17401</v>
      </c>
      <c r="C5594" s="11" t="s">
        <v>28</v>
      </c>
      <c r="D5594" s="9" t="s">
        <v>17402</v>
      </c>
      <c r="E5594" s="11" t="s">
        <v>28</v>
      </c>
      <c r="F5594" s="10" t="s">
        <v>28</v>
      </c>
      <c r="G5594" s="10">
        <v>0.05</v>
      </c>
      <c r="H5594" s="10" t="s">
        <v>28</v>
      </c>
      <c r="I5594" s="11" t="s">
        <v>28</v>
      </c>
      <c r="J5594" s="11" t="s">
        <v>28</v>
      </c>
      <c r="K5594" s="11" t="s">
        <v>28</v>
      </c>
      <c r="L5594" s="11" t="s">
        <v>28</v>
      </c>
      <c r="M5594" s="11" t="s">
        <v>28</v>
      </c>
      <c r="N5594" s="8">
        <v>44146</v>
      </c>
      <c r="O5594" s="9" t="s">
        <v>52</v>
      </c>
      <c r="P5594" s="12" t="s">
        <v>6574</v>
      </c>
      <c r="Q5594" s="9" t="s">
        <v>249</v>
      </c>
      <c r="R5594" s="14" t="str">
        <f>HYPERLINK("https://my.pitchbook.com?c=188728-03T","View Company Online")</f>
        <v>View Company Online</v>
      </c>
    </row>
    <row r="5595" spans="1:18" hidden="1" x14ac:dyDescent="0.3">
      <c r="A5595" s="15" t="s">
        <v>17403</v>
      </c>
      <c r="B5595" s="15" t="s">
        <v>17404</v>
      </c>
      <c r="C5595" s="18" t="s">
        <v>28</v>
      </c>
      <c r="D5595" s="15" t="s">
        <v>17405</v>
      </c>
      <c r="E5595" s="18">
        <v>39.880000000000003</v>
      </c>
      <c r="F5595" s="19" t="s">
        <v>28</v>
      </c>
      <c r="G5595" s="19">
        <v>174.82</v>
      </c>
      <c r="H5595" s="19">
        <v>608.52</v>
      </c>
      <c r="I5595" s="18">
        <v>44.46</v>
      </c>
      <c r="J5595" s="18">
        <v>13.69</v>
      </c>
      <c r="K5595" s="18">
        <v>428.7</v>
      </c>
      <c r="L5595" s="18">
        <v>1.42</v>
      </c>
      <c r="M5595" s="18">
        <v>21.97</v>
      </c>
      <c r="N5595" s="17">
        <v>44146</v>
      </c>
      <c r="O5595" s="15" t="s">
        <v>173</v>
      </c>
      <c r="P5595" s="16" t="s">
        <v>28</v>
      </c>
      <c r="Q5595" s="15" t="s">
        <v>371</v>
      </c>
      <c r="R5595" s="13" t="str">
        <f>HYPERLINK("https://my.pitchbook.com?c=161119-63T","View Company Online")</f>
        <v>View Company Online</v>
      </c>
    </row>
    <row r="5596" spans="1:18" hidden="1" x14ac:dyDescent="0.3">
      <c r="A5596" s="9" t="s">
        <v>17406</v>
      </c>
      <c r="B5596" s="9" t="s">
        <v>17407</v>
      </c>
      <c r="C5596" s="11" t="s">
        <v>28</v>
      </c>
      <c r="D5596" s="9" t="s">
        <v>17408</v>
      </c>
      <c r="E5596" s="11" t="s">
        <v>28</v>
      </c>
      <c r="F5596" s="10" t="s">
        <v>28</v>
      </c>
      <c r="G5596" s="10" t="s">
        <v>28</v>
      </c>
      <c r="H5596" s="10" t="s">
        <v>28</v>
      </c>
      <c r="I5596" s="11" t="s">
        <v>28</v>
      </c>
      <c r="J5596" s="11" t="s">
        <v>28</v>
      </c>
      <c r="K5596" s="11" t="s">
        <v>28</v>
      </c>
      <c r="L5596" s="11" t="s">
        <v>28</v>
      </c>
      <c r="M5596" s="11" t="s">
        <v>28</v>
      </c>
      <c r="N5596" s="8">
        <v>44146</v>
      </c>
      <c r="O5596" s="9" t="s">
        <v>52</v>
      </c>
      <c r="P5596" s="12" t="s">
        <v>2830</v>
      </c>
      <c r="Q5596" s="9" t="s">
        <v>75</v>
      </c>
      <c r="R5596" s="14" t="str">
        <f>HYPERLINK("https://my.pitchbook.com?c=266570-56T","View Company Online")</f>
        <v>View Company Online</v>
      </c>
    </row>
    <row r="5597" spans="1:18" hidden="1" x14ac:dyDescent="0.3">
      <c r="A5597" s="15" t="s">
        <v>17409</v>
      </c>
      <c r="B5597" s="15" t="s">
        <v>1510</v>
      </c>
      <c r="C5597" s="18" t="s">
        <v>28</v>
      </c>
      <c r="D5597" s="15" t="s">
        <v>1511</v>
      </c>
      <c r="E5597" s="18" t="s">
        <v>28</v>
      </c>
      <c r="F5597" s="19" t="s">
        <v>28</v>
      </c>
      <c r="G5597" s="19" t="s">
        <v>28</v>
      </c>
      <c r="H5597" s="19" t="s">
        <v>28</v>
      </c>
      <c r="I5597" s="18" t="s">
        <v>28</v>
      </c>
      <c r="J5597" s="18" t="s">
        <v>28</v>
      </c>
      <c r="K5597" s="18" t="s">
        <v>28</v>
      </c>
      <c r="L5597" s="18" t="s">
        <v>28</v>
      </c>
      <c r="M5597" s="18" t="s">
        <v>28</v>
      </c>
      <c r="N5597" s="17">
        <v>44146</v>
      </c>
      <c r="O5597" s="15" t="s">
        <v>52</v>
      </c>
      <c r="P5597" s="16" t="s">
        <v>2830</v>
      </c>
      <c r="Q5597" s="15" t="s">
        <v>75</v>
      </c>
      <c r="R5597" s="13" t="str">
        <f>HYPERLINK("https://my.pitchbook.com?c=264285-91T","View Company Online")</f>
        <v>View Company Online</v>
      </c>
    </row>
    <row r="5598" spans="1:18" hidden="1" x14ac:dyDescent="0.3">
      <c r="A5598" s="9" t="s">
        <v>17410</v>
      </c>
      <c r="B5598" s="9" t="s">
        <v>14533</v>
      </c>
      <c r="C5598" s="11" t="s">
        <v>28</v>
      </c>
      <c r="D5598" s="9" t="s">
        <v>14534</v>
      </c>
      <c r="E5598" s="11" t="s">
        <v>28</v>
      </c>
      <c r="F5598" s="10" t="s">
        <v>28</v>
      </c>
      <c r="G5598" s="10" t="s">
        <v>28</v>
      </c>
      <c r="H5598" s="10" t="s">
        <v>28</v>
      </c>
      <c r="I5598" s="11" t="s">
        <v>28</v>
      </c>
      <c r="J5598" s="11" t="s">
        <v>28</v>
      </c>
      <c r="K5598" s="11" t="s">
        <v>28</v>
      </c>
      <c r="L5598" s="11" t="s">
        <v>28</v>
      </c>
      <c r="M5598" s="11" t="s">
        <v>28</v>
      </c>
      <c r="N5598" s="8">
        <v>44146</v>
      </c>
      <c r="O5598" s="9" t="s">
        <v>52</v>
      </c>
      <c r="P5598" s="12" t="s">
        <v>2830</v>
      </c>
      <c r="Q5598" s="9" t="s">
        <v>75</v>
      </c>
      <c r="R5598" s="14" t="str">
        <f>HYPERLINK("https://my.pitchbook.com?c=264282-22T","View Company Online")</f>
        <v>View Company Online</v>
      </c>
    </row>
    <row r="5599" spans="1:18" hidden="1" x14ac:dyDescent="0.3">
      <c r="A5599" s="15" t="s">
        <v>17411</v>
      </c>
      <c r="B5599" s="15" t="s">
        <v>17412</v>
      </c>
      <c r="C5599" s="18" t="s">
        <v>28</v>
      </c>
      <c r="D5599" s="15" t="s">
        <v>17413</v>
      </c>
      <c r="E5599" s="18" t="s">
        <v>28</v>
      </c>
      <c r="F5599" s="19" t="s">
        <v>28</v>
      </c>
      <c r="G5599" s="19" t="s">
        <v>28</v>
      </c>
      <c r="H5599" s="19" t="s">
        <v>28</v>
      </c>
      <c r="I5599" s="18" t="s">
        <v>28</v>
      </c>
      <c r="J5599" s="18" t="s">
        <v>28</v>
      </c>
      <c r="K5599" s="18" t="s">
        <v>28</v>
      </c>
      <c r="L5599" s="18" t="s">
        <v>28</v>
      </c>
      <c r="M5599" s="18" t="s">
        <v>28</v>
      </c>
      <c r="N5599" s="17">
        <v>44145</v>
      </c>
      <c r="O5599" s="15" t="s">
        <v>30</v>
      </c>
      <c r="P5599" s="16" t="s">
        <v>17414</v>
      </c>
      <c r="Q5599" s="15" t="s">
        <v>75</v>
      </c>
      <c r="R5599" s="13" t="str">
        <f>HYPERLINK("https://my.pitchbook.com?c=218574-73T","View Company Online")</f>
        <v>View Company Online</v>
      </c>
    </row>
    <row r="5600" spans="1:18" hidden="1" x14ac:dyDescent="0.3">
      <c r="A5600" s="9" t="s">
        <v>17415</v>
      </c>
      <c r="B5600" s="9" t="s">
        <v>4659</v>
      </c>
      <c r="C5600" s="11" t="s">
        <v>28</v>
      </c>
      <c r="D5600" s="9" t="s">
        <v>4660</v>
      </c>
      <c r="E5600" s="11" t="s">
        <v>28</v>
      </c>
      <c r="F5600" s="10" t="s">
        <v>28</v>
      </c>
      <c r="G5600" s="10">
        <v>4.9800000000000004</v>
      </c>
      <c r="H5600" s="10" t="s">
        <v>28</v>
      </c>
      <c r="I5600" s="11" t="s">
        <v>28</v>
      </c>
      <c r="J5600" s="11" t="s">
        <v>28</v>
      </c>
      <c r="K5600" s="11" t="s">
        <v>28</v>
      </c>
      <c r="L5600" s="11" t="s">
        <v>28</v>
      </c>
      <c r="M5600" s="11" t="s">
        <v>28</v>
      </c>
      <c r="N5600" s="8">
        <v>44145</v>
      </c>
      <c r="O5600" s="9" t="s">
        <v>73</v>
      </c>
      <c r="P5600" s="12" t="s">
        <v>17416</v>
      </c>
      <c r="Q5600" s="9" t="s">
        <v>169</v>
      </c>
      <c r="R5600" s="14" t="str">
        <f>HYPERLINK("https://my.pitchbook.com?c=164167-30T","View Company Online")</f>
        <v>View Company Online</v>
      </c>
    </row>
    <row r="5601" spans="1:18" hidden="1" x14ac:dyDescent="0.3">
      <c r="A5601" s="15" t="s">
        <v>17417</v>
      </c>
      <c r="B5601" s="15" t="s">
        <v>13747</v>
      </c>
      <c r="C5601" s="18" t="s">
        <v>28</v>
      </c>
      <c r="D5601" s="15" t="s">
        <v>13748</v>
      </c>
      <c r="E5601" s="18">
        <v>-5.26</v>
      </c>
      <c r="F5601" s="19" t="s">
        <v>28</v>
      </c>
      <c r="G5601" s="19">
        <v>200.79</v>
      </c>
      <c r="H5601" s="19" t="s">
        <v>28</v>
      </c>
      <c r="I5601" s="18">
        <v>-3.94</v>
      </c>
      <c r="J5601" s="18" t="s">
        <v>28</v>
      </c>
      <c r="K5601" s="18">
        <v>15.45</v>
      </c>
      <c r="L5601" s="18" t="s">
        <v>28</v>
      </c>
      <c r="M5601" s="18">
        <v>-6.04</v>
      </c>
      <c r="N5601" s="17">
        <v>44144</v>
      </c>
      <c r="O5601" s="15" t="s">
        <v>173</v>
      </c>
      <c r="P5601" s="16" t="s">
        <v>28</v>
      </c>
      <c r="Q5601" s="15" t="s">
        <v>740</v>
      </c>
      <c r="R5601" s="13" t="str">
        <f>HYPERLINK("https://my.pitchbook.com?c=158925-97T","View Company Online")</f>
        <v>View Company Online</v>
      </c>
    </row>
    <row r="5602" spans="1:18" hidden="1" x14ac:dyDescent="0.3">
      <c r="A5602" s="9" t="s">
        <v>17418</v>
      </c>
      <c r="B5602" s="9" t="s">
        <v>17419</v>
      </c>
      <c r="C5602" s="11" t="s">
        <v>28</v>
      </c>
      <c r="D5602" s="9" t="s">
        <v>17420</v>
      </c>
      <c r="E5602" s="11" t="s">
        <v>28</v>
      </c>
      <c r="F5602" s="10">
        <v>26.65</v>
      </c>
      <c r="G5602" s="10">
        <v>26.65</v>
      </c>
      <c r="H5602" s="10">
        <v>26.65</v>
      </c>
      <c r="I5602" s="11" t="s">
        <v>28</v>
      </c>
      <c r="J5602" s="11" t="s">
        <v>28</v>
      </c>
      <c r="K5602" s="11" t="s">
        <v>28</v>
      </c>
      <c r="L5602" s="11" t="s">
        <v>28</v>
      </c>
      <c r="M5602" s="11" t="s">
        <v>28</v>
      </c>
      <c r="N5602" s="8">
        <v>44144</v>
      </c>
      <c r="O5602" s="9" t="s">
        <v>30</v>
      </c>
      <c r="P5602" s="12" t="s">
        <v>9050</v>
      </c>
      <c r="Q5602" s="9" t="s">
        <v>17421</v>
      </c>
      <c r="R5602" s="14" t="str">
        <f>HYPERLINK("https://my.pitchbook.com?c=211715-92T","View Company Online")</f>
        <v>View Company Online</v>
      </c>
    </row>
    <row r="5603" spans="1:18" hidden="1" x14ac:dyDescent="0.3">
      <c r="A5603" s="15" t="s">
        <v>17422</v>
      </c>
      <c r="B5603" s="15" t="s">
        <v>17423</v>
      </c>
      <c r="C5603" s="18" t="s">
        <v>28</v>
      </c>
      <c r="D5603" s="15" t="s">
        <v>17424</v>
      </c>
      <c r="E5603" s="18" t="s">
        <v>28</v>
      </c>
      <c r="F5603" s="19" t="s">
        <v>28</v>
      </c>
      <c r="G5603" s="19">
        <v>3.01</v>
      </c>
      <c r="H5603" s="19">
        <v>3.01</v>
      </c>
      <c r="I5603" s="18" t="s">
        <v>28</v>
      </c>
      <c r="J5603" s="18" t="s">
        <v>28</v>
      </c>
      <c r="K5603" s="18" t="s">
        <v>28</v>
      </c>
      <c r="L5603" s="18" t="s">
        <v>28</v>
      </c>
      <c r="M5603" s="18" t="s">
        <v>28</v>
      </c>
      <c r="N5603" s="17">
        <v>44141</v>
      </c>
      <c r="O5603" s="15" t="s">
        <v>30</v>
      </c>
      <c r="P5603" s="16" t="s">
        <v>421</v>
      </c>
      <c r="Q5603" s="15" t="s">
        <v>188</v>
      </c>
      <c r="R5603" s="13" t="str">
        <f>HYPERLINK("https://my.pitchbook.com?c=159893-11T","View Company Online")</f>
        <v>View Company Online</v>
      </c>
    </row>
    <row r="5604" spans="1:18" hidden="1" x14ac:dyDescent="0.3">
      <c r="A5604" s="9" t="s">
        <v>17425</v>
      </c>
      <c r="B5604" s="9" t="s">
        <v>17426</v>
      </c>
      <c r="C5604" s="11" t="s">
        <v>28</v>
      </c>
      <c r="D5604" s="9" t="s">
        <v>17427</v>
      </c>
      <c r="E5604" s="11" t="s">
        <v>28</v>
      </c>
      <c r="F5604" s="10" t="s">
        <v>28</v>
      </c>
      <c r="G5604" s="10">
        <v>75.34</v>
      </c>
      <c r="H5604" s="10" t="s">
        <v>28</v>
      </c>
      <c r="I5604" s="11" t="s">
        <v>28</v>
      </c>
      <c r="J5604" s="11" t="s">
        <v>28</v>
      </c>
      <c r="K5604" s="11">
        <v>38.82</v>
      </c>
      <c r="L5604" s="11" t="s">
        <v>28</v>
      </c>
      <c r="M5604" s="11" t="s">
        <v>28</v>
      </c>
      <c r="N5604" s="8">
        <v>44141</v>
      </c>
      <c r="O5604" s="9" t="s">
        <v>93</v>
      </c>
      <c r="P5604" s="12" t="s">
        <v>17428</v>
      </c>
      <c r="Q5604" s="9" t="s">
        <v>75</v>
      </c>
      <c r="R5604" s="14" t="str">
        <f>HYPERLINK("https://my.pitchbook.com?c=165912-40T","View Company Online")</f>
        <v>View Company Online</v>
      </c>
    </row>
    <row r="5605" spans="1:18" hidden="1" x14ac:dyDescent="0.3">
      <c r="A5605" s="15" t="s">
        <v>17429</v>
      </c>
      <c r="B5605" s="15" t="s">
        <v>17430</v>
      </c>
      <c r="C5605" s="18" t="s">
        <v>28</v>
      </c>
      <c r="D5605" s="15" t="s">
        <v>17431</v>
      </c>
      <c r="E5605" s="18" t="s">
        <v>28</v>
      </c>
      <c r="F5605" s="19" t="s">
        <v>28</v>
      </c>
      <c r="G5605" s="19">
        <v>0.35</v>
      </c>
      <c r="H5605" s="19" t="s">
        <v>28</v>
      </c>
      <c r="I5605" s="18" t="s">
        <v>28</v>
      </c>
      <c r="J5605" s="18" t="s">
        <v>28</v>
      </c>
      <c r="K5605" s="18" t="s">
        <v>28</v>
      </c>
      <c r="L5605" s="18" t="s">
        <v>28</v>
      </c>
      <c r="M5605" s="18" t="s">
        <v>28</v>
      </c>
      <c r="N5605" s="17">
        <v>44141</v>
      </c>
      <c r="O5605" s="15" t="s">
        <v>79</v>
      </c>
      <c r="P5605" s="16" t="s">
        <v>17432</v>
      </c>
      <c r="Q5605" s="15" t="s">
        <v>404</v>
      </c>
      <c r="R5605" s="13" t="str">
        <f>HYPERLINK("https://my.pitchbook.com?c=156674-35T","View Company Online")</f>
        <v>View Company Online</v>
      </c>
    </row>
    <row r="5606" spans="1:18" hidden="1" x14ac:dyDescent="0.3">
      <c r="A5606" s="9" t="s">
        <v>17433</v>
      </c>
      <c r="B5606" s="9" t="s">
        <v>17434</v>
      </c>
      <c r="C5606" s="11" t="s">
        <v>28</v>
      </c>
      <c r="D5606" s="9" t="s">
        <v>17435</v>
      </c>
      <c r="E5606" s="11" t="s">
        <v>28</v>
      </c>
      <c r="F5606" s="10">
        <v>1.1299999999999999</v>
      </c>
      <c r="G5606" s="10">
        <v>1.1299999999999999</v>
      </c>
      <c r="H5606" s="10">
        <v>1.1299999999999999</v>
      </c>
      <c r="I5606" s="11" t="s">
        <v>28</v>
      </c>
      <c r="J5606" s="11" t="s">
        <v>28</v>
      </c>
      <c r="K5606" s="11" t="s">
        <v>28</v>
      </c>
      <c r="L5606" s="11" t="s">
        <v>28</v>
      </c>
      <c r="M5606" s="11" t="s">
        <v>28</v>
      </c>
      <c r="N5606" s="8">
        <v>44140</v>
      </c>
      <c r="O5606" s="9" t="s">
        <v>30</v>
      </c>
      <c r="P5606" s="12" t="s">
        <v>2005</v>
      </c>
      <c r="Q5606" s="9" t="s">
        <v>855</v>
      </c>
      <c r="R5606" s="14" t="str">
        <f>HYPERLINK("https://my.pitchbook.com?c=210738-43T","View Company Online")</f>
        <v>View Company Online</v>
      </c>
    </row>
    <row r="5607" spans="1:18" hidden="1" x14ac:dyDescent="0.3">
      <c r="A5607" s="15" t="s">
        <v>17436</v>
      </c>
      <c r="B5607" s="15" t="s">
        <v>2679</v>
      </c>
      <c r="C5607" s="18" t="s">
        <v>28</v>
      </c>
      <c r="D5607" s="15" t="s">
        <v>17437</v>
      </c>
      <c r="E5607" s="18">
        <v>5.66</v>
      </c>
      <c r="F5607" s="19" t="s">
        <v>28</v>
      </c>
      <c r="G5607" s="19">
        <v>111.53</v>
      </c>
      <c r="H5607" s="19" t="s">
        <v>28</v>
      </c>
      <c r="I5607" s="18">
        <v>6</v>
      </c>
      <c r="J5607" s="18" t="s">
        <v>28</v>
      </c>
      <c r="K5607" s="18">
        <v>24.34</v>
      </c>
      <c r="L5607" s="18" t="s">
        <v>28</v>
      </c>
      <c r="M5607" s="18">
        <v>3.83</v>
      </c>
      <c r="N5607" s="17">
        <v>44140</v>
      </c>
      <c r="O5607" s="15" t="s">
        <v>173</v>
      </c>
      <c r="P5607" s="16" t="s">
        <v>28</v>
      </c>
      <c r="Q5607" s="15" t="s">
        <v>37</v>
      </c>
      <c r="R5607" s="13" t="str">
        <f>HYPERLINK("https://my.pitchbook.com?c=158700-79T","View Company Online")</f>
        <v>View Company Online</v>
      </c>
    </row>
    <row r="5608" spans="1:18" hidden="1" x14ac:dyDescent="0.3">
      <c r="A5608" s="9" t="s">
        <v>17438</v>
      </c>
      <c r="B5608" s="9" t="s">
        <v>17439</v>
      </c>
      <c r="C5608" s="11" t="s">
        <v>28</v>
      </c>
      <c r="D5608" s="9" t="s">
        <v>17440</v>
      </c>
      <c r="E5608" s="11" t="s">
        <v>28</v>
      </c>
      <c r="F5608" s="10" t="s">
        <v>28</v>
      </c>
      <c r="G5608" s="10">
        <v>0.27</v>
      </c>
      <c r="H5608" s="10" t="s">
        <v>28</v>
      </c>
      <c r="I5608" s="11" t="s">
        <v>28</v>
      </c>
      <c r="J5608" s="11" t="s">
        <v>28</v>
      </c>
      <c r="K5608" s="11" t="s">
        <v>28</v>
      </c>
      <c r="L5608" s="11" t="s">
        <v>28</v>
      </c>
      <c r="M5608" s="11" t="s">
        <v>28</v>
      </c>
      <c r="N5608" s="8">
        <v>44140</v>
      </c>
      <c r="O5608" s="9" t="s">
        <v>73</v>
      </c>
      <c r="P5608" s="12" t="s">
        <v>11495</v>
      </c>
      <c r="Q5608" s="9" t="s">
        <v>75</v>
      </c>
      <c r="R5608" s="14" t="str">
        <f>HYPERLINK("https://my.pitchbook.com?c=175520-89T","View Company Online")</f>
        <v>View Company Online</v>
      </c>
    </row>
    <row r="5609" spans="1:18" hidden="1" x14ac:dyDescent="0.3">
      <c r="A5609" s="15" t="s">
        <v>17441</v>
      </c>
      <c r="B5609" s="15" t="s">
        <v>17442</v>
      </c>
      <c r="C5609" s="18" t="s">
        <v>28</v>
      </c>
      <c r="D5609" s="15" t="s">
        <v>17443</v>
      </c>
      <c r="E5609" s="18" t="s">
        <v>28</v>
      </c>
      <c r="F5609" s="19" t="s">
        <v>28</v>
      </c>
      <c r="G5609" s="19" t="s">
        <v>28</v>
      </c>
      <c r="H5609" s="19" t="s">
        <v>28</v>
      </c>
      <c r="I5609" s="18" t="s">
        <v>28</v>
      </c>
      <c r="J5609" s="18" t="s">
        <v>28</v>
      </c>
      <c r="K5609" s="18" t="s">
        <v>28</v>
      </c>
      <c r="L5609" s="18" t="s">
        <v>28</v>
      </c>
      <c r="M5609" s="18" t="s">
        <v>28</v>
      </c>
      <c r="N5609" s="17">
        <v>44140</v>
      </c>
      <c r="O5609" s="15" t="s">
        <v>30</v>
      </c>
      <c r="P5609" s="16" t="s">
        <v>11193</v>
      </c>
      <c r="Q5609" s="15" t="s">
        <v>75</v>
      </c>
      <c r="R5609" s="13" t="str">
        <f>HYPERLINK("https://my.pitchbook.com?c=211756-24T","View Company Online")</f>
        <v>View Company Online</v>
      </c>
    </row>
    <row r="5610" spans="1:18" hidden="1" x14ac:dyDescent="0.3">
      <c r="A5610" s="9" t="s">
        <v>17444</v>
      </c>
      <c r="B5610" s="9" t="s">
        <v>11101</v>
      </c>
      <c r="C5610" s="11" t="s">
        <v>28</v>
      </c>
      <c r="D5610" s="9" t="s">
        <v>11102</v>
      </c>
      <c r="E5610" s="11" t="s">
        <v>28</v>
      </c>
      <c r="F5610" s="10" t="s">
        <v>28</v>
      </c>
      <c r="G5610" s="10" t="s">
        <v>28</v>
      </c>
      <c r="H5610" s="10" t="s">
        <v>28</v>
      </c>
      <c r="I5610" s="11" t="s">
        <v>28</v>
      </c>
      <c r="J5610" s="11" t="s">
        <v>28</v>
      </c>
      <c r="K5610" s="11" t="s">
        <v>28</v>
      </c>
      <c r="L5610" s="11" t="s">
        <v>28</v>
      </c>
      <c r="M5610" s="11" t="s">
        <v>28</v>
      </c>
      <c r="N5610" s="8">
        <v>44140</v>
      </c>
      <c r="O5610" s="9" t="s">
        <v>52</v>
      </c>
      <c r="P5610" s="12" t="s">
        <v>10628</v>
      </c>
      <c r="Q5610" s="9" t="s">
        <v>855</v>
      </c>
      <c r="R5610" s="14" t="str">
        <f>HYPERLINK("https://my.pitchbook.com?c=174488-41T","View Company Online")</f>
        <v>View Company Online</v>
      </c>
    </row>
    <row r="5611" spans="1:18" hidden="1" x14ac:dyDescent="0.3">
      <c r="A5611" s="15" t="s">
        <v>17445</v>
      </c>
      <c r="B5611" s="15" t="s">
        <v>7362</v>
      </c>
      <c r="C5611" s="18" t="s">
        <v>28</v>
      </c>
      <c r="D5611" s="15" t="s">
        <v>7363</v>
      </c>
      <c r="E5611" s="18" t="s">
        <v>28</v>
      </c>
      <c r="F5611" s="19" t="s">
        <v>28</v>
      </c>
      <c r="G5611" s="19">
        <v>0.12</v>
      </c>
      <c r="H5611" s="19" t="s">
        <v>28</v>
      </c>
      <c r="I5611" s="18" t="s">
        <v>28</v>
      </c>
      <c r="J5611" s="18" t="s">
        <v>28</v>
      </c>
      <c r="K5611" s="18" t="s">
        <v>28</v>
      </c>
      <c r="L5611" s="18" t="s">
        <v>28</v>
      </c>
      <c r="M5611" s="18" t="s">
        <v>28</v>
      </c>
      <c r="N5611" s="17">
        <v>44140</v>
      </c>
      <c r="O5611" s="15" t="s">
        <v>73</v>
      </c>
      <c r="P5611" s="16" t="s">
        <v>17446</v>
      </c>
      <c r="Q5611" s="15" t="s">
        <v>583</v>
      </c>
      <c r="R5611" s="13" t="str">
        <f>HYPERLINK("https://my.pitchbook.com?c=160882-84T","View Company Online")</f>
        <v>View Company Online</v>
      </c>
    </row>
    <row r="5612" spans="1:18" hidden="1" x14ac:dyDescent="0.3">
      <c r="A5612" s="9" t="s">
        <v>17447</v>
      </c>
      <c r="B5612" s="9" t="s">
        <v>11407</v>
      </c>
      <c r="C5612" s="11" t="s">
        <v>28</v>
      </c>
      <c r="D5612" s="9" t="s">
        <v>11408</v>
      </c>
      <c r="E5612" s="11" t="s">
        <v>28</v>
      </c>
      <c r="F5612" s="10" t="s">
        <v>28</v>
      </c>
      <c r="G5612" s="10">
        <v>0.21</v>
      </c>
      <c r="H5612" s="10" t="s">
        <v>28</v>
      </c>
      <c r="I5612" s="11" t="s">
        <v>28</v>
      </c>
      <c r="J5612" s="11" t="s">
        <v>28</v>
      </c>
      <c r="K5612" s="11" t="s">
        <v>28</v>
      </c>
      <c r="L5612" s="11" t="s">
        <v>28</v>
      </c>
      <c r="M5612" s="11" t="s">
        <v>28</v>
      </c>
      <c r="N5612" s="8">
        <v>44140</v>
      </c>
      <c r="O5612" s="9" t="s">
        <v>1639</v>
      </c>
      <c r="P5612" s="12" t="s">
        <v>28</v>
      </c>
      <c r="Q5612" s="9" t="s">
        <v>37</v>
      </c>
      <c r="R5612" s="14" t="str">
        <f>HYPERLINK("https://my.pitchbook.com?c=190143-64T","View Company Online")</f>
        <v>View Company Online</v>
      </c>
    </row>
    <row r="5613" spans="1:18" hidden="1" x14ac:dyDescent="0.3">
      <c r="A5613" s="15" t="s">
        <v>17448</v>
      </c>
      <c r="B5613" s="15" t="s">
        <v>17449</v>
      </c>
      <c r="C5613" s="18" t="s">
        <v>28</v>
      </c>
      <c r="D5613" s="15" t="s">
        <v>17450</v>
      </c>
      <c r="E5613" s="18" t="s">
        <v>28</v>
      </c>
      <c r="F5613" s="19" t="s">
        <v>28</v>
      </c>
      <c r="G5613" s="19" t="s">
        <v>28</v>
      </c>
      <c r="H5613" s="19" t="s">
        <v>28</v>
      </c>
      <c r="I5613" s="18" t="s">
        <v>28</v>
      </c>
      <c r="J5613" s="18" t="s">
        <v>28</v>
      </c>
      <c r="K5613" s="18" t="s">
        <v>28</v>
      </c>
      <c r="L5613" s="18" t="s">
        <v>28</v>
      </c>
      <c r="M5613" s="18" t="s">
        <v>28</v>
      </c>
      <c r="N5613" s="17">
        <v>44139</v>
      </c>
      <c r="O5613" s="15" t="s">
        <v>30</v>
      </c>
      <c r="P5613" s="16" t="s">
        <v>17451</v>
      </c>
      <c r="Q5613" s="15" t="s">
        <v>583</v>
      </c>
      <c r="R5613" s="13" t="str">
        <f>HYPERLINK("https://my.pitchbook.com?c=164165-41T","View Company Online")</f>
        <v>View Company Online</v>
      </c>
    </row>
    <row r="5614" spans="1:18" hidden="1" x14ac:dyDescent="0.3">
      <c r="A5614" s="9" t="s">
        <v>17452</v>
      </c>
      <c r="B5614" s="9" t="s">
        <v>17453</v>
      </c>
      <c r="C5614" s="11" t="s">
        <v>28</v>
      </c>
      <c r="D5614" s="9" t="s">
        <v>17454</v>
      </c>
      <c r="E5614" s="11" t="s">
        <v>28</v>
      </c>
      <c r="F5614" s="10">
        <v>70.92</v>
      </c>
      <c r="G5614" s="10">
        <v>70.92</v>
      </c>
      <c r="H5614" s="10">
        <v>70.92</v>
      </c>
      <c r="I5614" s="11" t="s">
        <v>28</v>
      </c>
      <c r="J5614" s="11" t="s">
        <v>28</v>
      </c>
      <c r="K5614" s="11" t="s">
        <v>28</v>
      </c>
      <c r="L5614" s="11" t="s">
        <v>28</v>
      </c>
      <c r="M5614" s="11" t="s">
        <v>28</v>
      </c>
      <c r="N5614" s="8">
        <v>44139</v>
      </c>
      <c r="O5614" s="9" t="s">
        <v>30</v>
      </c>
      <c r="P5614" s="12" t="s">
        <v>14313</v>
      </c>
      <c r="Q5614" s="9" t="s">
        <v>37</v>
      </c>
      <c r="R5614" s="14" t="str">
        <f>HYPERLINK("https://my.pitchbook.com?c=155882-98T","View Company Online")</f>
        <v>View Company Online</v>
      </c>
    </row>
    <row r="5615" spans="1:18" hidden="1" x14ac:dyDescent="0.3">
      <c r="A5615" s="15" t="s">
        <v>17455</v>
      </c>
      <c r="B5615" s="15" t="s">
        <v>17456</v>
      </c>
      <c r="C5615" s="18" t="s">
        <v>28</v>
      </c>
      <c r="D5615" s="15" t="s">
        <v>17457</v>
      </c>
      <c r="E5615" s="18" t="s">
        <v>28</v>
      </c>
      <c r="F5615" s="19" t="s">
        <v>28</v>
      </c>
      <c r="G5615" s="19">
        <v>0.27</v>
      </c>
      <c r="H5615" s="19" t="s">
        <v>28</v>
      </c>
      <c r="I5615" s="18" t="s">
        <v>28</v>
      </c>
      <c r="J5615" s="18" t="s">
        <v>28</v>
      </c>
      <c r="K5615" s="18">
        <v>3.5</v>
      </c>
      <c r="L5615" s="18" t="s">
        <v>28</v>
      </c>
      <c r="M5615" s="18" t="s">
        <v>28</v>
      </c>
      <c r="N5615" s="17">
        <v>44138</v>
      </c>
      <c r="O5615" s="15" t="s">
        <v>73</v>
      </c>
      <c r="P5615" s="16" t="s">
        <v>8935</v>
      </c>
      <c r="Q5615" s="15" t="s">
        <v>75</v>
      </c>
      <c r="R5615" s="13" t="str">
        <f>HYPERLINK("https://my.pitchbook.com?c=183482-20T","View Company Online")</f>
        <v>View Company Online</v>
      </c>
    </row>
    <row r="5616" spans="1:18" hidden="1" x14ac:dyDescent="0.3">
      <c r="A5616" s="9" t="s">
        <v>17458</v>
      </c>
      <c r="B5616" s="9" t="s">
        <v>17459</v>
      </c>
      <c r="C5616" s="11" t="s">
        <v>28</v>
      </c>
      <c r="D5616" s="9" t="s">
        <v>17460</v>
      </c>
      <c r="E5616" s="11" t="s">
        <v>28</v>
      </c>
      <c r="F5616" s="10" t="s">
        <v>28</v>
      </c>
      <c r="G5616" s="10" t="s">
        <v>28</v>
      </c>
      <c r="H5616" s="10" t="s">
        <v>28</v>
      </c>
      <c r="I5616" s="11" t="s">
        <v>28</v>
      </c>
      <c r="J5616" s="11" t="s">
        <v>28</v>
      </c>
      <c r="K5616" s="11" t="s">
        <v>28</v>
      </c>
      <c r="L5616" s="11" t="s">
        <v>28</v>
      </c>
      <c r="M5616" s="11" t="s">
        <v>28</v>
      </c>
      <c r="N5616" s="8">
        <v>44138</v>
      </c>
      <c r="O5616" s="9" t="s">
        <v>173</v>
      </c>
      <c r="P5616" s="12" t="s">
        <v>28</v>
      </c>
      <c r="Q5616" s="9" t="s">
        <v>174</v>
      </c>
      <c r="R5616" s="14" t="str">
        <f>HYPERLINK("https://my.pitchbook.com?c=252225-91T","View Company Online")</f>
        <v>View Company Online</v>
      </c>
    </row>
    <row r="5617" spans="1:18" hidden="1" x14ac:dyDescent="0.3">
      <c r="A5617" s="15" t="s">
        <v>17461</v>
      </c>
      <c r="B5617" s="15" t="s">
        <v>15315</v>
      </c>
      <c r="C5617" s="18" t="s">
        <v>28</v>
      </c>
      <c r="D5617" s="15" t="s">
        <v>15316</v>
      </c>
      <c r="E5617" s="18" t="s">
        <v>28</v>
      </c>
      <c r="F5617" s="19">
        <v>234.5</v>
      </c>
      <c r="G5617" s="19">
        <v>234.5</v>
      </c>
      <c r="H5617" s="19">
        <v>234.5</v>
      </c>
      <c r="I5617" s="18" t="s">
        <v>28</v>
      </c>
      <c r="J5617" s="18" t="s">
        <v>28</v>
      </c>
      <c r="K5617" s="18" t="s">
        <v>28</v>
      </c>
      <c r="L5617" s="18" t="s">
        <v>28</v>
      </c>
      <c r="M5617" s="18" t="s">
        <v>28</v>
      </c>
      <c r="N5617" s="17">
        <v>44137</v>
      </c>
      <c r="O5617" s="15" t="s">
        <v>30</v>
      </c>
      <c r="P5617" s="16" t="s">
        <v>28</v>
      </c>
      <c r="Q5617" s="15" t="s">
        <v>43</v>
      </c>
      <c r="R5617" s="13" t="str">
        <f>HYPERLINK("https://my.pitchbook.com?c=186137-65T","View Company Online")</f>
        <v>View Company Online</v>
      </c>
    </row>
    <row r="5618" spans="1:18" hidden="1" x14ac:dyDescent="0.3">
      <c r="A5618" s="9" t="s">
        <v>17462</v>
      </c>
      <c r="B5618" s="9" t="s">
        <v>15318</v>
      </c>
      <c r="C5618" s="11" t="s">
        <v>28</v>
      </c>
      <c r="D5618" s="9" t="s">
        <v>15319</v>
      </c>
      <c r="E5618" s="11" t="s">
        <v>28</v>
      </c>
      <c r="F5618" s="10" t="s">
        <v>28</v>
      </c>
      <c r="G5618" s="10" t="s">
        <v>28</v>
      </c>
      <c r="H5618" s="10" t="s">
        <v>28</v>
      </c>
      <c r="I5618" s="11" t="s">
        <v>28</v>
      </c>
      <c r="J5618" s="11" t="s">
        <v>28</v>
      </c>
      <c r="K5618" s="11" t="s">
        <v>28</v>
      </c>
      <c r="L5618" s="11" t="s">
        <v>28</v>
      </c>
      <c r="M5618" s="11" t="s">
        <v>28</v>
      </c>
      <c r="N5618" s="8">
        <v>44137</v>
      </c>
      <c r="O5618" s="9" t="s">
        <v>30</v>
      </c>
      <c r="P5618" s="12" t="s">
        <v>28</v>
      </c>
      <c r="Q5618" s="9" t="s">
        <v>43</v>
      </c>
      <c r="R5618" s="14" t="str">
        <f>HYPERLINK("https://my.pitchbook.com?c=156176-11T","View Company Online")</f>
        <v>View Company Online</v>
      </c>
    </row>
    <row r="5619" spans="1:18" hidden="1" x14ac:dyDescent="0.3">
      <c r="A5619" s="15" t="s">
        <v>17463</v>
      </c>
      <c r="B5619" s="15" t="s">
        <v>15481</v>
      </c>
      <c r="C5619" s="18" t="s">
        <v>28</v>
      </c>
      <c r="D5619" s="15" t="s">
        <v>15482</v>
      </c>
      <c r="E5619" s="18" t="s">
        <v>28</v>
      </c>
      <c r="F5619" s="19" t="s">
        <v>28</v>
      </c>
      <c r="G5619" s="19" t="s">
        <v>28</v>
      </c>
      <c r="H5619" s="19" t="s">
        <v>28</v>
      </c>
      <c r="I5619" s="18" t="s">
        <v>28</v>
      </c>
      <c r="J5619" s="18" t="s">
        <v>28</v>
      </c>
      <c r="K5619" s="18" t="s">
        <v>28</v>
      </c>
      <c r="L5619" s="18" t="s">
        <v>28</v>
      </c>
      <c r="M5619" s="18" t="s">
        <v>28</v>
      </c>
      <c r="N5619" s="17">
        <v>44137</v>
      </c>
      <c r="O5619" s="15" t="s">
        <v>30</v>
      </c>
      <c r="P5619" s="16" t="s">
        <v>28</v>
      </c>
      <c r="Q5619" s="15" t="s">
        <v>43</v>
      </c>
      <c r="R5619" s="13" t="str">
        <f>HYPERLINK("https://my.pitchbook.com?c=156179-89T","View Company Online")</f>
        <v>View Company Online</v>
      </c>
    </row>
    <row r="5620" spans="1:18" hidden="1" x14ac:dyDescent="0.3">
      <c r="A5620" s="9" t="s">
        <v>17464</v>
      </c>
      <c r="B5620" s="9" t="s">
        <v>15329</v>
      </c>
      <c r="C5620" s="11" t="s">
        <v>28</v>
      </c>
      <c r="D5620" s="9" t="s">
        <v>15330</v>
      </c>
      <c r="E5620" s="11" t="s">
        <v>28</v>
      </c>
      <c r="F5620" s="10" t="s">
        <v>28</v>
      </c>
      <c r="G5620" s="10" t="s">
        <v>28</v>
      </c>
      <c r="H5620" s="10" t="s">
        <v>28</v>
      </c>
      <c r="I5620" s="11" t="s">
        <v>28</v>
      </c>
      <c r="J5620" s="11" t="s">
        <v>28</v>
      </c>
      <c r="K5620" s="11" t="s">
        <v>28</v>
      </c>
      <c r="L5620" s="11" t="s">
        <v>28</v>
      </c>
      <c r="M5620" s="11" t="s">
        <v>28</v>
      </c>
      <c r="N5620" s="8">
        <v>44137</v>
      </c>
      <c r="O5620" s="9" t="s">
        <v>30</v>
      </c>
      <c r="P5620" s="12" t="s">
        <v>28</v>
      </c>
      <c r="Q5620" s="9" t="s">
        <v>43</v>
      </c>
      <c r="R5620" s="14" t="str">
        <f>HYPERLINK("https://my.pitchbook.com?c=156178-18T","View Company Online")</f>
        <v>View Company Online</v>
      </c>
    </row>
    <row r="5621" spans="1:18" hidden="1" x14ac:dyDescent="0.3">
      <c r="A5621" s="15" t="s">
        <v>17465</v>
      </c>
      <c r="B5621" s="15" t="s">
        <v>15347</v>
      </c>
      <c r="C5621" s="18" t="s">
        <v>28</v>
      </c>
      <c r="D5621" s="15" t="s">
        <v>15348</v>
      </c>
      <c r="E5621" s="18" t="s">
        <v>28</v>
      </c>
      <c r="F5621" s="19" t="s">
        <v>28</v>
      </c>
      <c r="G5621" s="19" t="s">
        <v>28</v>
      </c>
      <c r="H5621" s="19" t="s">
        <v>28</v>
      </c>
      <c r="I5621" s="18" t="s">
        <v>28</v>
      </c>
      <c r="J5621" s="18" t="s">
        <v>28</v>
      </c>
      <c r="K5621" s="18" t="s">
        <v>28</v>
      </c>
      <c r="L5621" s="18" t="s">
        <v>28</v>
      </c>
      <c r="M5621" s="18" t="s">
        <v>28</v>
      </c>
      <c r="N5621" s="17">
        <v>44137</v>
      </c>
      <c r="O5621" s="15" t="s">
        <v>30</v>
      </c>
      <c r="P5621" s="16" t="s">
        <v>28</v>
      </c>
      <c r="Q5621" s="15" t="s">
        <v>43</v>
      </c>
      <c r="R5621" s="13" t="str">
        <f>HYPERLINK("https://my.pitchbook.com?c=156178-99T","View Company Online")</f>
        <v>View Company Online</v>
      </c>
    </row>
    <row r="5622" spans="1:18" hidden="1" x14ac:dyDescent="0.3">
      <c r="A5622" s="9" t="s">
        <v>17466</v>
      </c>
      <c r="B5622" s="9" t="s">
        <v>15350</v>
      </c>
      <c r="C5622" s="11" t="s">
        <v>28</v>
      </c>
      <c r="D5622" s="9" t="s">
        <v>15351</v>
      </c>
      <c r="E5622" s="11" t="s">
        <v>28</v>
      </c>
      <c r="F5622" s="10" t="s">
        <v>28</v>
      </c>
      <c r="G5622" s="10" t="s">
        <v>28</v>
      </c>
      <c r="H5622" s="10" t="s">
        <v>28</v>
      </c>
      <c r="I5622" s="11" t="s">
        <v>28</v>
      </c>
      <c r="J5622" s="11" t="s">
        <v>28</v>
      </c>
      <c r="K5622" s="11" t="s">
        <v>28</v>
      </c>
      <c r="L5622" s="11" t="s">
        <v>28</v>
      </c>
      <c r="M5622" s="11" t="s">
        <v>28</v>
      </c>
      <c r="N5622" s="8">
        <v>44137</v>
      </c>
      <c r="O5622" s="9" t="s">
        <v>30</v>
      </c>
      <c r="P5622" s="12" t="s">
        <v>28</v>
      </c>
      <c r="Q5622" s="9" t="s">
        <v>43</v>
      </c>
      <c r="R5622" s="14" t="str">
        <f>HYPERLINK("https://my.pitchbook.com?c=156179-53T","View Company Online")</f>
        <v>View Company Online</v>
      </c>
    </row>
    <row r="5623" spans="1:18" hidden="1" x14ac:dyDescent="0.3">
      <c r="A5623" s="15" t="s">
        <v>17467</v>
      </c>
      <c r="B5623" s="15" t="s">
        <v>15353</v>
      </c>
      <c r="C5623" s="18" t="s">
        <v>28</v>
      </c>
      <c r="D5623" s="15" t="s">
        <v>15354</v>
      </c>
      <c r="E5623" s="18" t="s">
        <v>28</v>
      </c>
      <c r="F5623" s="19" t="s">
        <v>28</v>
      </c>
      <c r="G5623" s="19" t="s">
        <v>28</v>
      </c>
      <c r="H5623" s="19" t="s">
        <v>28</v>
      </c>
      <c r="I5623" s="18" t="s">
        <v>28</v>
      </c>
      <c r="J5623" s="18" t="s">
        <v>28</v>
      </c>
      <c r="K5623" s="18" t="s">
        <v>28</v>
      </c>
      <c r="L5623" s="18" t="s">
        <v>28</v>
      </c>
      <c r="M5623" s="18" t="s">
        <v>28</v>
      </c>
      <c r="N5623" s="17">
        <v>44137</v>
      </c>
      <c r="O5623" s="15" t="s">
        <v>30</v>
      </c>
      <c r="P5623" s="16" t="s">
        <v>28</v>
      </c>
      <c r="Q5623" s="15" t="s">
        <v>43</v>
      </c>
      <c r="R5623" s="13" t="str">
        <f>HYPERLINK("https://my.pitchbook.com?c=156181-42T","View Company Online")</f>
        <v>View Company Online</v>
      </c>
    </row>
    <row r="5624" spans="1:18" hidden="1" x14ac:dyDescent="0.3">
      <c r="A5624" s="9" t="s">
        <v>17468</v>
      </c>
      <c r="B5624" s="9" t="s">
        <v>17469</v>
      </c>
      <c r="C5624" s="11" t="s">
        <v>28</v>
      </c>
      <c r="D5624" s="9" t="s">
        <v>17470</v>
      </c>
      <c r="E5624" s="11" t="s">
        <v>28</v>
      </c>
      <c r="F5624" s="10" t="s">
        <v>28</v>
      </c>
      <c r="G5624" s="10" t="s">
        <v>28</v>
      </c>
      <c r="H5624" s="10" t="s">
        <v>28</v>
      </c>
      <c r="I5624" s="11" t="s">
        <v>28</v>
      </c>
      <c r="J5624" s="11" t="s">
        <v>28</v>
      </c>
      <c r="K5624" s="11" t="s">
        <v>28</v>
      </c>
      <c r="L5624" s="11" t="s">
        <v>28</v>
      </c>
      <c r="M5624" s="11" t="s">
        <v>28</v>
      </c>
      <c r="N5624" s="8">
        <v>44136</v>
      </c>
      <c r="O5624" s="9" t="s">
        <v>30</v>
      </c>
      <c r="P5624" s="12" t="s">
        <v>17471</v>
      </c>
      <c r="Q5624" s="9" t="s">
        <v>69</v>
      </c>
      <c r="R5624" s="14" t="str">
        <f>HYPERLINK("https://my.pitchbook.com?c=165819-07T","View Company Online")</f>
        <v>View Company Online</v>
      </c>
    </row>
    <row r="5625" spans="1:18" hidden="1" x14ac:dyDescent="0.3">
      <c r="A5625" s="15" t="s">
        <v>17472</v>
      </c>
      <c r="B5625" s="15" t="s">
        <v>7601</v>
      </c>
      <c r="C5625" s="18" t="s">
        <v>28</v>
      </c>
      <c r="D5625" s="15" t="s">
        <v>7602</v>
      </c>
      <c r="E5625" s="18" t="s">
        <v>28</v>
      </c>
      <c r="F5625" s="19" t="s">
        <v>28</v>
      </c>
      <c r="G5625" s="19" t="s">
        <v>28</v>
      </c>
      <c r="H5625" s="19" t="s">
        <v>28</v>
      </c>
      <c r="I5625" s="18" t="s">
        <v>28</v>
      </c>
      <c r="J5625" s="18" t="s">
        <v>28</v>
      </c>
      <c r="K5625" s="18" t="s">
        <v>28</v>
      </c>
      <c r="L5625" s="18" t="s">
        <v>28</v>
      </c>
      <c r="M5625" s="18" t="s">
        <v>28</v>
      </c>
      <c r="N5625" s="17">
        <v>44136</v>
      </c>
      <c r="O5625" s="15" t="s">
        <v>79</v>
      </c>
      <c r="P5625" s="16" t="s">
        <v>611</v>
      </c>
      <c r="Q5625" s="15" t="s">
        <v>75</v>
      </c>
      <c r="R5625" s="13" t="str">
        <f>HYPERLINK("https://my.pitchbook.com?c=159972-67T","View Company Online")</f>
        <v>View Company Online</v>
      </c>
    </row>
    <row r="5626" spans="1:18" hidden="1" x14ac:dyDescent="0.3">
      <c r="A5626" s="9" t="s">
        <v>17473</v>
      </c>
      <c r="B5626" s="9" t="s">
        <v>17474</v>
      </c>
      <c r="C5626" s="11" t="s">
        <v>28</v>
      </c>
      <c r="D5626" s="9" t="s">
        <v>17475</v>
      </c>
      <c r="E5626" s="11" t="s">
        <v>28</v>
      </c>
      <c r="F5626" s="10" t="s">
        <v>28</v>
      </c>
      <c r="G5626" s="10" t="s">
        <v>28</v>
      </c>
      <c r="H5626" s="10" t="s">
        <v>28</v>
      </c>
      <c r="I5626" s="11" t="s">
        <v>28</v>
      </c>
      <c r="J5626" s="11" t="s">
        <v>28</v>
      </c>
      <c r="K5626" s="11" t="s">
        <v>28</v>
      </c>
      <c r="L5626" s="11" t="s">
        <v>28</v>
      </c>
      <c r="M5626" s="11" t="s">
        <v>28</v>
      </c>
      <c r="N5626" s="8">
        <v>44136</v>
      </c>
      <c r="O5626" s="9" t="s">
        <v>41</v>
      </c>
      <c r="P5626" s="12" t="s">
        <v>17476</v>
      </c>
      <c r="Q5626" s="9" t="s">
        <v>2181</v>
      </c>
      <c r="R5626" s="14" t="str">
        <f>HYPERLINK("https://my.pitchbook.com?c=215580-34T","View Company Online")</f>
        <v>View Company Online</v>
      </c>
    </row>
    <row r="5627" spans="1:18" hidden="1" x14ac:dyDescent="0.3">
      <c r="A5627" s="15" t="s">
        <v>17477</v>
      </c>
      <c r="B5627" s="15" t="s">
        <v>12729</v>
      </c>
      <c r="C5627" s="18" t="s">
        <v>28</v>
      </c>
      <c r="D5627" s="15" t="s">
        <v>12730</v>
      </c>
      <c r="E5627" s="18" t="s">
        <v>28</v>
      </c>
      <c r="F5627" s="19" t="s">
        <v>28</v>
      </c>
      <c r="G5627" s="19">
        <v>0.62</v>
      </c>
      <c r="H5627" s="19" t="s">
        <v>28</v>
      </c>
      <c r="I5627" s="18" t="s">
        <v>28</v>
      </c>
      <c r="J5627" s="18" t="s">
        <v>28</v>
      </c>
      <c r="K5627" s="18" t="s">
        <v>28</v>
      </c>
      <c r="L5627" s="18" t="s">
        <v>28</v>
      </c>
      <c r="M5627" s="18" t="s">
        <v>28</v>
      </c>
      <c r="N5627" s="17">
        <v>44136</v>
      </c>
      <c r="O5627" s="15" t="s">
        <v>47</v>
      </c>
      <c r="P5627" s="16" t="s">
        <v>17478</v>
      </c>
      <c r="Q5627" s="15" t="s">
        <v>566</v>
      </c>
      <c r="R5627" s="13" t="str">
        <f>HYPERLINK("https://my.pitchbook.com?c=217360-54T","View Company Online")</f>
        <v>View Company Online</v>
      </c>
    </row>
    <row r="5628" spans="1:18" hidden="1" x14ac:dyDescent="0.3">
      <c r="A5628" s="9" t="s">
        <v>17479</v>
      </c>
      <c r="B5628" s="9" t="s">
        <v>5349</v>
      </c>
      <c r="C5628" s="11" t="s">
        <v>28</v>
      </c>
      <c r="D5628" s="9" t="s">
        <v>5350</v>
      </c>
      <c r="E5628" s="11" t="s">
        <v>28</v>
      </c>
      <c r="F5628" s="10" t="s">
        <v>28</v>
      </c>
      <c r="G5628" s="10" t="s">
        <v>28</v>
      </c>
      <c r="H5628" s="10" t="s">
        <v>28</v>
      </c>
      <c r="I5628" s="11" t="s">
        <v>28</v>
      </c>
      <c r="J5628" s="11" t="s">
        <v>28</v>
      </c>
      <c r="K5628" s="11" t="s">
        <v>28</v>
      </c>
      <c r="L5628" s="11" t="s">
        <v>28</v>
      </c>
      <c r="M5628" s="11" t="s">
        <v>28</v>
      </c>
      <c r="N5628" s="8">
        <v>44136</v>
      </c>
      <c r="O5628" s="9" t="s">
        <v>41</v>
      </c>
      <c r="P5628" s="12" t="s">
        <v>15580</v>
      </c>
      <c r="Q5628" s="9" t="s">
        <v>692</v>
      </c>
      <c r="R5628" s="14" t="str">
        <f>HYPERLINK("https://my.pitchbook.com?c=241647-04T","View Company Online")</f>
        <v>View Company Online</v>
      </c>
    </row>
    <row r="5629" spans="1:18" hidden="1" x14ac:dyDescent="0.3">
      <c r="A5629" s="15" t="s">
        <v>17480</v>
      </c>
      <c r="B5629" s="15" t="s">
        <v>519</v>
      </c>
      <c r="C5629" s="18" t="s">
        <v>28</v>
      </c>
      <c r="D5629" s="15" t="s">
        <v>520</v>
      </c>
      <c r="E5629" s="18" t="s">
        <v>28</v>
      </c>
      <c r="F5629" s="19" t="s">
        <v>28</v>
      </c>
      <c r="G5629" s="19">
        <v>0.18</v>
      </c>
      <c r="H5629" s="19">
        <v>1.18</v>
      </c>
      <c r="I5629" s="18" t="s">
        <v>28</v>
      </c>
      <c r="J5629" s="18" t="s">
        <v>28</v>
      </c>
      <c r="K5629" s="18" t="s">
        <v>28</v>
      </c>
      <c r="L5629" s="18" t="s">
        <v>28</v>
      </c>
      <c r="M5629" s="18" t="s">
        <v>28</v>
      </c>
      <c r="N5629" s="17">
        <v>44136</v>
      </c>
      <c r="O5629" s="15" t="s">
        <v>99</v>
      </c>
      <c r="P5629" s="16" t="s">
        <v>5949</v>
      </c>
      <c r="Q5629" s="15" t="s">
        <v>522</v>
      </c>
      <c r="R5629" s="13" t="str">
        <f>HYPERLINK("https://my.pitchbook.com?c=160660-90T","View Company Online")</f>
        <v>View Company Online</v>
      </c>
    </row>
    <row r="5630" spans="1:18" hidden="1" x14ac:dyDescent="0.3">
      <c r="A5630" s="9" t="s">
        <v>17481</v>
      </c>
      <c r="B5630" s="9" t="s">
        <v>7428</v>
      </c>
      <c r="C5630" s="11" t="s">
        <v>28</v>
      </c>
      <c r="D5630" s="9" t="s">
        <v>7429</v>
      </c>
      <c r="E5630" s="11" t="s">
        <v>28</v>
      </c>
      <c r="F5630" s="10" t="s">
        <v>28</v>
      </c>
      <c r="G5630" s="10">
        <v>1.6</v>
      </c>
      <c r="H5630" s="10" t="s">
        <v>28</v>
      </c>
      <c r="I5630" s="11" t="s">
        <v>28</v>
      </c>
      <c r="J5630" s="11" t="s">
        <v>28</v>
      </c>
      <c r="K5630" s="11" t="s">
        <v>28</v>
      </c>
      <c r="L5630" s="11" t="s">
        <v>28</v>
      </c>
      <c r="M5630" s="11" t="s">
        <v>28</v>
      </c>
      <c r="N5630" s="8">
        <v>44136</v>
      </c>
      <c r="O5630" s="9" t="s">
        <v>99</v>
      </c>
      <c r="P5630" s="12" t="s">
        <v>17482</v>
      </c>
      <c r="Q5630" s="9" t="s">
        <v>114</v>
      </c>
      <c r="R5630" s="14" t="str">
        <f>HYPERLINK("https://my.pitchbook.com?c=169068-07T","View Company Online")</f>
        <v>View Company Online</v>
      </c>
    </row>
    <row r="5631" spans="1:18" hidden="1" x14ac:dyDescent="0.3">
      <c r="A5631" s="15" t="s">
        <v>17483</v>
      </c>
      <c r="B5631" s="15" t="s">
        <v>2976</v>
      </c>
      <c r="C5631" s="18" t="s">
        <v>28</v>
      </c>
      <c r="D5631" s="15" t="s">
        <v>2977</v>
      </c>
      <c r="E5631" s="18" t="s">
        <v>28</v>
      </c>
      <c r="F5631" s="19" t="s">
        <v>28</v>
      </c>
      <c r="G5631" s="19" t="s">
        <v>28</v>
      </c>
      <c r="H5631" s="19" t="s">
        <v>28</v>
      </c>
      <c r="I5631" s="18" t="s">
        <v>28</v>
      </c>
      <c r="J5631" s="18" t="s">
        <v>28</v>
      </c>
      <c r="K5631" s="18" t="s">
        <v>28</v>
      </c>
      <c r="L5631" s="18" t="s">
        <v>28</v>
      </c>
      <c r="M5631" s="18" t="s">
        <v>28</v>
      </c>
      <c r="N5631" s="17">
        <v>44136</v>
      </c>
      <c r="O5631" s="15" t="s">
        <v>52</v>
      </c>
      <c r="P5631" s="16" t="s">
        <v>16924</v>
      </c>
      <c r="Q5631" s="15" t="s">
        <v>404</v>
      </c>
      <c r="R5631" s="13" t="str">
        <f>HYPERLINK("https://my.pitchbook.com?c=250714-36T","View Company Online")</f>
        <v>View Company Online</v>
      </c>
    </row>
    <row r="5632" spans="1:18" hidden="1" x14ac:dyDescent="0.3">
      <c r="A5632" s="9" t="s">
        <v>17484</v>
      </c>
      <c r="B5632" s="9" t="s">
        <v>13971</v>
      </c>
      <c r="C5632" s="11" t="s">
        <v>28</v>
      </c>
      <c r="D5632" s="9" t="s">
        <v>13972</v>
      </c>
      <c r="E5632" s="11" t="s">
        <v>28</v>
      </c>
      <c r="F5632" s="10" t="s">
        <v>28</v>
      </c>
      <c r="G5632" s="10" t="s">
        <v>28</v>
      </c>
      <c r="H5632" s="10" t="s">
        <v>28</v>
      </c>
      <c r="I5632" s="11" t="s">
        <v>28</v>
      </c>
      <c r="J5632" s="11" t="s">
        <v>28</v>
      </c>
      <c r="K5632" s="11" t="s">
        <v>28</v>
      </c>
      <c r="L5632" s="11" t="s">
        <v>28</v>
      </c>
      <c r="M5632" s="11" t="s">
        <v>28</v>
      </c>
      <c r="N5632" s="8">
        <v>44136</v>
      </c>
      <c r="O5632" s="9" t="s">
        <v>379</v>
      </c>
      <c r="P5632" s="12" t="s">
        <v>17485</v>
      </c>
      <c r="Q5632" s="9" t="s">
        <v>3912</v>
      </c>
      <c r="R5632" s="14" t="str">
        <f>HYPERLINK("https://my.pitchbook.com?c=180090-64T","View Company Online")</f>
        <v>View Company Online</v>
      </c>
    </row>
    <row r="5633" spans="1:18" hidden="1" x14ac:dyDescent="0.3">
      <c r="A5633" s="15" t="s">
        <v>17486</v>
      </c>
      <c r="B5633" s="15" t="s">
        <v>17487</v>
      </c>
      <c r="C5633" s="18" t="s">
        <v>28</v>
      </c>
      <c r="D5633" s="15" t="s">
        <v>17488</v>
      </c>
      <c r="E5633" s="18" t="s">
        <v>28</v>
      </c>
      <c r="F5633" s="19" t="s">
        <v>28</v>
      </c>
      <c r="G5633" s="19" t="s">
        <v>28</v>
      </c>
      <c r="H5633" s="19" t="s">
        <v>28</v>
      </c>
      <c r="I5633" s="18" t="s">
        <v>28</v>
      </c>
      <c r="J5633" s="18" t="s">
        <v>28</v>
      </c>
      <c r="K5633" s="18" t="s">
        <v>28</v>
      </c>
      <c r="L5633" s="18" t="s">
        <v>28</v>
      </c>
      <c r="M5633" s="18" t="s">
        <v>28</v>
      </c>
      <c r="N5633" s="17">
        <v>44136</v>
      </c>
      <c r="O5633" s="15" t="s">
        <v>52</v>
      </c>
      <c r="P5633" s="16" t="s">
        <v>4500</v>
      </c>
      <c r="Q5633" s="15" t="s">
        <v>855</v>
      </c>
      <c r="R5633" s="13" t="str">
        <f>HYPERLINK("https://my.pitchbook.com?c=277303-15T","View Company Online")</f>
        <v>View Company Online</v>
      </c>
    </row>
    <row r="5634" spans="1:18" hidden="1" x14ac:dyDescent="0.3">
      <c r="A5634" s="9" t="s">
        <v>17489</v>
      </c>
      <c r="B5634" s="9" t="s">
        <v>17490</v>
      </c>
      <c r="C5634" s="11" t="s">
        <v>28</v>
      </c>
      <c r="D5634" s="9" t="s">
        <v>17491</v>
      </c>
      <c r="E5634" s="11" t="s">
        <v>28</v>
      </c>
      <c r="F5634" s="10" t="s">
        <v>28</v>
      </c>
      <c r="G5634" s="10" t="s">
        <v>28</v>
      </c>
      <c r="H5634" s="10" t="s">
        <v>28</v>
      </c>
      <c r="I5634" s="11" t="s">
        <v>28</v>
      </c>
      <c r="J5634" s="11" t="s">
        <v>28</v>
      </c>
      <c r="K5634" s="11" t="s">
        <v>28</v>
      </c>
      <c r="L5634" s="11" t="s">
        <v>28</v>
      </c>
      <c r="M5634" s="11" t="s">
        <v>28</v>
      </c>
      <c r="N5634" s="8">
        <v>44135</v>
      </c>
      <c r="O5634" s="9" t="s">
        <v>30</v>
      </c>
      <c r="P5634" s="12" t="s">
        <v>17492</v>
      </c>
      <c r="Q5634" s="9" t="s">
        <v>566</v>
      </c>
      <c r="R5634" s="14" t="str">
        <f>HYPERLINK("https://my.pitchbook.com?c=258065-11T","View Company Online")</f>
        <v>View Company Online</v>
      </c>
    </row>
    <row r="5635" spans="1:18" hidden="1" x14ac:dyDescent="0.3">
      <c r="A5635" s="15" t="s">
        <v>17493</v>
      </c>
      <c r="B5635" s="15" t="s">
        <v>17494</v>
      </c>
      <c r="C5635" s="18" t="s">
        <v>28</v>
      </c>
      <c r="D5635" s="15" t="s">
        <v>17495</v>
      </c>
      <c r="E5635" s="18" t="s">
        <v>28</v>
      </c>
      <c r="F5635" s="19" t="s">
        <v>28</v>
      </c>
      <c r="G5635" s="19" t="s">
        <v>28</v>
      </c>
      <c r="H5635" s="19" t="s">
        <v>28</v>
      </c>
      <c r="I5635" s="18" t="s">
        <v>28</v>
      </c>
      <c r="J5635" s="18" t="s">
        <v>28</v>
      </c>
      <c r="K5635" s="18" t="s">
        <v>28</v>
      </c>
      <c r="L5635" s="18" t="s">
        <v>28</v>
      </c>
      <c r="M5635" s="18" t="s">
        <v>28</v>
      </c>
      <c r="N5635" s="17">
        <v>44134</v>
      </c>
      <c r="O5635" s="15" t="s">
        <v>30</v>
      </c>
      <c r="P5635" s="16" t="s">
        <v>28</v>
      </c>
      <c r="Q5635" s="15" t="s">
        <v>331</v>
      </c>
      <c r="R5635" s="13" t="str">
        <f>HYPERLINK("https://my.pitchbook.com?c=158652-01T","View Company Online")</f>
        <v>View Company Online</v>
      </c>
    </row>
    <row r="5636" spans="1:18" hidden="1" x14ac:dyDescent="0.3">
      <c r="A5636" s="9" t="s">
        <v>17496</v>
      </c>
      <c r="B5636" s="9" t="s">
        <v>10645</v>
      </c>
      <c r="C5636" s="11" t="s">
        <v>28</v>
      </c>
      <c r="D5636" s="9" t="s">
        <v>10646</v>
      </c>
      <c r="E5636" s="11" t="s">
        <v>28</v>
      </c>
      <c r="F5636" s="10" t="s">
        <v>28</v>
      </c>
      <c r="G5636" s="10">
        <v>150</v>
      </c>
      <c r="H5636" s="10" t="s">
        <v>28</v>
      </c>
      <c r="I5636" s="11" t="s">
        <v>28</v>
      </c>
      <c r="J5636" s="11" t="s">
        <v>28</v>
      </c>
      <c r="K5636" s="11">
        <v>54.35</v>
      </c>
      <c r="L5636" s="11" t="s">
        <v>28</v>
      </c>
      <c r="M5636" s="11" t="s">
        <v>28</v>
      </c>
      <c r="N5636" s="8">
        <v>44134</v>
      </c>
      <c r="O5636" s="9" t="s">
        <v>93</v>
      </c>
      <c r="P5636" s="12" t="s">
        <v>17497</v>
      </c>
      <c r="Q5636" s="9" t="s">
        <v>37</v>
      </c>
      <c r="R5636" s="14" t="str">
        <f>HYPERLINK("https://my.pitchbook.com?c=158484-52T","View Company Online")</f>
        <v>View Company Online</v>
      </c>
    </row>
    <row r="5637" spans="1:18" hidden="1" x14ac:dyDescent="0.3">
      <c r="A5637" s="15" t="s">
        <v>17498</v>
      </c>
      <c r="B5637" s="15" t="s">
        <v>784</v>
      </c>
      <c r="C5637" s="18" t="s">
        <v>28</v>
      </c>
      <c r="D5637" s="15" t="s">
        <v>785</v>
      </c>
      <c r="E5637" s="18" t="s">
        <v>28</v>
      </c>
      <c r="F5637" s="19" t="s">
        <v>28</v>
      </c>
      <c r="G5637" s="19" t="s">
        <v>28</v>
      </c>
      <c r="H5637" s="19" t="s">
        <v>28</v>
      </c>
      <c r="I5637" s="18" t="s">
        <v>28</v>
      </c>
      <c r="J5637" s="18" t="s">
        <v>28</v>
      </c>
      <c r="K5637" s="18" t="s">
        <v>28</v>
      </c>
      <c r="L5637" s="18" t="s">
        <v>28</v>
      </c>
      <c r="M5637" s="18" t="s">
        <v>28</v>
      </c>
      <c r="N5637" s="17">
        <v>44134</v>
      </c>
      <c r="O5637" s="15" t="s">
        <v>52</v>
      </c>
      <c r="P5637" s="16" t="s">
        <v>1880</v>
      </c>
      <c r="Q5637" s="15" t="s">
        <v>285</v>
      </c>
      <c r="R5637" s="13" t="str">
        <f>HYPERLINK("https://my.pitchbook.com?c=261380-89T","View Company Online")</f>
        <v>View Company Online</v>
      </c>
    </row>
    <row r="5638" spans="1:18" hidden="1" x14ac:dyDescent="0.3">
      <c r="A5638" s="9" t="s">
        <v>17499</v>
      </c>
      <c r="B5638" s="9" t="s">
        <v>10811</v>
      </c>
      <c r="C5638" s="11" t="s">
        <v>28</v>
      </c>
      <c r="D5638" s="9" t="s">
        <v>10812</v>
      </c>
      <c r="E5638" s="11" t="s">
        <v>28</v>
      </c>
      <c r="F5638" s="10" t="s">
        <v>28</v>
      </c>
      <c r="G5638" s="10">
        <v>0.62</v>
      </c>
      <c r="H5638" s="10" t="s">
        <v>28</v>
      </c>
      <c r="I5638" s="11" t="s">
        <v>28</v>
      </c>
      <c r="J5638" s="11" t="s">
        <v>28</v>
      </c>
      <c r="K5638" s="11" t="s">
        <v>28</v>
      </c>
      <c r="L5638" s="11" t="s">
        <v>28</v>
      </c>
      <c r="M5638" s="11" t="s">
        <v>28</v>
      </c>
      <c r="N5638" s="8">
        <v>44134</v>
      </c>
      <c r="O5638" s="9" t="s">
        <v>99</v>
      </c>
      <c r="P5638" s="12" t="s">
        <v>28</v>
      </c>
      <c r="Q5638" s="9" t="s">
        <v>75</v>
      </c>
      <c r="R5638" s="14" t="str">
        <f>HYPERLINK("https://my.pitchbook.com?c=160889-50T","View Company Online")</f>
        <v>View Company Online</v>
      </c>
    </row>
    <row r="5639" spans="1:18" hidden="1" x14ac:dyDescent="0.3">
      <c r="A5639" s="15" t="s">
        <v>17500</v>
      </c>
      <c r="B5639" s="15" t="s">
        <v>13734</v>
      </c>
      <c r="C5639" s="18" t="s">
        <v>28</v>
      </c>
      <c r="D5639" s="15" t="s">
        <v>13735</v>
      </c>
      <c r="E5639" s="18" t="s">
        <v>28</v>
      </c>
      <c r="F5639" s="19" t="s">
        <v>28</v>
      </c>
      <c r="G5639" s="19">
        <v>6.8</v>
      </c>
      <c r="H5639" s="19">
        <v>43</v>
      </c>
      <c r="I5639" s="18" t="s">
        <v>28</v>
      </c>
      <c r="J5639" s="18" t="s">
        <v>28</v>
      </c>
      <c r="K5639" s="18" t="s">
        <v>28</v>
      </c>
      <c r="L5639" s="18" t="s">
        <v>28</v>
      </c>
      <c r="M5639" s="18" t="s">
        <v>28</v>
      </c>
      <c r="N5639" s="17">
        <v>44134</v>
      </c>
      <c r="O5639" s="15" t="s">
        <v>99</v>
      </c>
      <c r="P5639" s="16" t="s">
        <v>28</v>
      </c>
      <c r="Q5639" s="15" t="s">
        <v>114</v>
      </c>
      <c r="R5639" s="13" t="str">
        <f>HYPERLINK("https://my.pitchbook.com?c=190818-91T","View Company Online")</f>
        <v>View Company Online</v>
      </c>
    </row>
    <row r="5640" spans="1:18" hidden="1" x14ac:dyDescent="0.3">
      <c r="A5640" s="9" t="s">
        <v>17501</v>
      </c>
      <c r="B5640" s="9" t="s">
        <v>17502</v>
      </c>
      <c r="C5640" s="11" t="s">
        <v>28</v>
      </c>
      <c r="D5640" s="9" t="s">
        <v>17503</v>
      </c>
      <c r="E5640" s="11" t="s">
        <v>28</v>
      </c>
      <c r="F5640" s="10" t="s">
        <v>28</v>
      </c>
      <c r="G5640" s="10" t="s">
        <v>28</v>
      </c>
      <c r="H5640" s="10" t="s">
        <v>28</v>
      </c>
      <c r="I5640" s="11" t="s">
        <v>28</v>
      </c>
      <c r="J5640" s="11" t="s">
        <v>28</v>
      </c>
      <c r="K5640" s="11" t="s">
        <v>28</v>
      </c>
      <c r="L5640" s="11" t="s">
        <v>28</v>
      </c>
      <c r="M5640" s="11" t="s">
        <v>28</v>
      </c>
      <c r="N5640" s="8">
        <v>44133</v>
      </c>
      <c r="O5640" s="9" t="s">
        <v>52</v>
      </c>
      <c r="P5640" s="12" t="s">
        <v>1880</v>
      </c>
      <c r="Q5640" s="9" t="s">
        <v>285</v>
      </c>
      <c r="R5640" s="14" t="str">
        <f>HYPERLINK("https://my.pitchbook.com?c=285080-32T","View Company Online")</f>
        <v>View Company Online</v>
      </c>
    </row>
    <row r="5641" spans="1:18" hidden="1" x14ac:dyDescent="0.3">
      <c r="A5641" s="15" t="s">
        <v>17504</v>
      </c>
      <c r="B5641" s="15" t="s">
        <v>8728</v>
      </c>
      <c r="C5641" s="18" t="s">
        <v>28</v>
      </c>
      <c r="D5641" s="15" t="s">
        <v>8729</v>
      </c>
      <c r="E5641" s="18" t="s">
        <v>28</v>
      </c>
      <c r="F5641" s="19" t="s">
        <v>28</v>
      </c>
      <c r="G5641" s="19" t="s">
        <v>28</v>
      </c>
      <c r="H5641" s="19" t="s">
        <v>28</v>
      </c>
      <c r="I5641" s="18" t="s">
        <v>28</v>
      </c>
      <c r="J5641" s="18" t="s">
        <v>28</v>
      </c>
      <c r="K5641" s="18" t="s">
        <v>28</v>
      </c>
      <c r="L5641" s="18" t="s">
        <v>28</v>
      </c>
      <c r="M5641" s="18" t="s">
        <v>28</v>
      </c>
      <c r="N5641" s="17">
        <v>44133</v>
      </c>
      <c r="O5641" s="15" t="s">
        <v>73</v>
      </c>
      <c r="P5641" s="16" t="s">
        <v>17505</v>
      </c>
      <c r="Q5641" s="15" t="s">
        <v>37</v>
      </c>
      <c r="R5641" s="13" t="str">
        <f>HYPERLINK("https://my.pitchbook.com?c=223860-07T","View Company Online")</f>
        <v>View Company Online</v>
      </c>
    </row>
    <row r="5642" spans="1:18" hidden="1" x14ac:dyDescent="0.3">
      <c r="A5642" s="9" t="s">
        <v>17506</v>
      </c>
      <c r="B5642" s="9" t="s">
        <v>17507</v>
      </c>
      <c r="C5642" s="11" t="s">
        <v>28</v>
      </c>
      <c r="D5642" s="9" t="s">
        <v>17508</v>
      </c>
      <c r="E5642" s="11" t="s">
        <v>28</v>
      </c>
      <c r="F5642" s="10" t="s">
        <v>28</v>
      </c>
      <c r="G5642" s="10" t="s">
        <v>28</v>
      </c>
      <c r="H5642" s="10" t="s">
        <v>28</v>
      </c>
      <c r="I5642" s="11" t="s">
        <v>28</v>
      </c>
      <c r="J5642" s="11" t="s">
        <v>28</v>
      </c>
      <c r="K5642" s="11" t="s">
        <v>28</v>
      </c>
      <c r="L5642" s="11" t="s">
        <v>28</v>
      </c>
      <c r="M5642" s="11" t="s">
        <v>28</v>
      </c>
      <c r="N5642" s="8">
        <v>44133</v>
      </c>
      <c r="O5642" s="9" t="s">
        <v>30</v>
      </c>
      <c r="P5642" s="12" t="s">
        <v>17509</v>
      </c>
      <c r="Q5642" s="9" t="s">
        <v>75</v>
      </c>
      <c r="R5642" s="14" t="str">
        <f>HYPERLINK("https://my.pitchbook.com?c=213860-08T","View Company Online")</f>
        <v>View Company Online</v>
      </c>
    </row>
    <row r="5643" spans="1:18" hidden="1" x14ac:dyDescent="0.3">
      <c r="A5643" s="15" t="s">
        <v>17510</v>
      </c>
      <c r="B5643" s="15" t="s">
        <v>4802</v>
      </c>
      <c r="C5643" s="18" t="s">
        <v>28</v>
      </c>
      <c r="D5643" s="15" t="s">
        <v>4803</v>
      </c>
      <c r="E5643" s="18" t="s">
        <v>28</v>
      </c>
      <c r="F5643" s="19" t="s">
        <v>28</v>
      </c>
      <c r="G5643" s="19" t="s">
        <v>28</v>
      </c>
      <c r="H5643" s="19" t="s">
        <v>28</v>
      </c>
      <c r="I5643" s="18" t="s">
        <v>28</v>
      </c>
      <c r="J5643" s="18" t="s">
        <v>28</v>
      </c>
      <c r="K5643" s="18" t="s">
        <v>28</v>
      </c>
      <c r="L5643" s="18" t="s">
        <v>28</v>
      </c>
      <c r="M5643" s="18" t="s">
        <v>28</v>
      </c>
      <c r="N5643" s="17">
        <v>44133</v>
      </c>
      <c r="O5643" s="15" t="s">
        <v>52</v>
      </c>
      <c r="P5643" s="16" t="s">
        <v>1880</v>
      </c>
      <c r="Q5643" s="15" t="s">
        <v>285</v>
      </c>
      <c r="R5643" s="13" t="str">
        <f>HYPERLINK("https://my.pitchbook.com?c=255482-02T","View Company Online")</f>
        <v>View Company Online</v>
      </c>
    </row>
    <row r="5644" spans="1:18" hidden="1" x14ac:dyDescent="0.3">
      <c r="A5644" s="9" t="s">
        <v>17511</v>
      </c>
      <c r="B5644" s="9" t="s">
        <v>17512</v>
      </c>
      <c r="C5644" s="11" t="s">
        <v>28</v>
      </c>
      <c r="D5644" s="9" t="s">
        <v>17513</v>
      </c>
      <c r="E5644" s="11" t="s">
        <v>28</v>
      </c>
      <c r="F5644" s="10" t="s">
        <v>28</v>
      </c>
      <c r="G5644" s="10" t="s">
        <v>28</v>
      </c>
      <c r="H5644" s="10" t="s">
        <v>28</v>
      </c>
      <c r="I5644" s="11" t="s">
        <v>28</v>
      </c>
      <c r="J5644" s="11" t="s">
        <v>28</v>
      </c>
      <c r="K5644" s="11" t="s">
        <v>28</v>
      </c>
      <c r="L5644" s="11" t="s">
        <v>28</v>
      </c>
      <c r="M5644" s="11" t="s">
        <v>28</v>
      </c>
      <c r="N5644" s="8">
        <v>44132</v>
      </c>
      <c r="O5644" s="9" t="s">
        <v>30</v>
      </c>
      <c r="P5644" s="12" t="s">
        <v>17514</v>
      </c>
      <c r="Q5644" s="9" t="s">
        <v>285</v>
      </c>
      <c r="R5644" s="14" t="str">
        <f>HYPERLINK("https://my.pitchbook.com?c=213106-15T","View Company Online")</f>
        <v>View Company Online</v>
      </c>
    </row>
    <row r="5645" spans="1:18" hidden="1" x14ac:dyDescent="0.3">
      <c r="A5645" s="15" t="s">
        <v>17515</v>
      </c>
      <c r="B5645" s="15" t="s">
        <v>17516</v>
      </c>
      <c r="C5645" s="18" t="s">
        <v>28</v>
      </c>
      <c r="D5645" s="15" t="s">
        <v>17517</v>
      </c>
      <c r="E5645" s="18" t="s">
        <v>28</v>
      </c>
      <c r="F5645" s="19" t="s">
        <v>28</v>
      </c>
      <c r="G5645" s="19" t="s">
        <v>28</v>
      </c>
      <c r="H5645" s="19" t="s">
        <v>28</v>
      </c>
      <c r="I5645" s="18" t="s">
        <v>28</v>
      </c>
      <c r="J5645" s="18" t="s">
        <v>28</v>
      </c>
      <c r="K5645" s="18" t="s">
        <v>28</v>
      </c>
      <c r="L5645" s="18" t="s">
        <v>28</v>
      </c>
      <c r="M5645" s="18" t="s">
        <v>28</v>
      </c>
      <c r="N5645" s="17">
        <v>44132</v>
      </c>
      <c r="O5645" s="15" t="s">
        <v>41</v>
      </c>
      <c r="P5645" s="16" t="s">
        <v>11053</v>
      </c>
      <c r="Q5645" s="15" t="s">
        <v>69</v>
      </c>
      <c r="R5645" s="13" t="str">
        <f>HYPERLINK("https://my.pitchbook.com?c=190688-41T","View Company Online")</f>
        <v>View Company Online</v>
      </c>
    </row>
    <row r="5646" spans="1:18" hidden="1" x14ac:dyDescent="0.3">
      <c r="A5646" s="9" t="s">
        <v>17518</v>
      </c>
      <c r="B5646" s="9" t="s">
        <v>17519</v>
      </c>
      <c r="C5646" s="11" t="s">
        <v>28</v>
      </c>
      <c r="D5646" s="9" t="s">
        <v>17520</v>
      </c>
      <c r="E5646" s="11" t="s">
        <v>28</v>
      </c>
      <c r="F5646" s="10">
        <v>218</v>
      </c>
      <c r="G5646" s="10">
        <v>218</v>
      </c>
      <c r="H5646" s="10">
        <v>218</v>
      </c>
      <c r="I5646" s="11" t="s">
        <v>28</v>
      </c>
      <c r="J5646" s="11" t="s">
        <v>28</v>
      </c>
      <c r="K5646" s="11" t="s">
        <v>28</v>
      </c>
      <c r="L5646" s="11" t="s">
        <v>28</v>
      </c>
      <c r="M5646" s="11" t="s">
        <v>28</v>
      </c>
      <c r="N5646" s="8">
        <v>44131</v>
      </c>
      <c r="O5646" s="9" t="s">
        <v>30</v>
      </c>
      <c r="P5646" s="12" t="s">
        <v>17521</v>
      </c>
      <c r="Q5646" s="9" t="s">
        <v>316</v>
      </c>
      <c r="R5646" s="14" t="str">
        <f>HYPERLINK("https://my.pitchbook.com?c=211868-92T","View Company Online")</f>
        <v>View Company Online</v>
      </c>
    </row>
    <row r="5647" spans="1:18" hidden="1" x14ac:dyDescent="0.3">
      <c r="A5647" s="15" t="s">
        <v>17522</v>
      </c>
      <c r="B5647" s="15" t="s">
        <v>17523</v>
      </c>
      <c r="C5647" s="18" t="s">
        <v>28</v>
      </c>
      <c r="D5647" s="15" t="s">
        <v>17524</v>
      </c>
      <c r="E5647" s="18" t="s">
        <v>28</v>
      </c>
      <c r="F5647" s="19" t="s">
        <v>28</v>
      </c>
      <c r="G5647" s="19" t="s">
        <v>28</v>
      </c>
      <c r="H5647" s="19" t="s">
        <v>28</v>
      </c>
      <c r="I5647" s="18" t="s">
        <v>28</v>
      </c>
      <c r="J5647" s="18" t="s">
        <v>28</v>
      </c>
      <c r="K5647" s="18" t="s">
        <v>28</v>
      </c>
      <c r="L5647" s="18" t="s">
        <v>28</v>
      </c>
      <c r="M5647" s="18" t="s">
        <v>28</v>
      </c>
      <c r="N5647" s="17">
        <v>44131</v>
      </c>
      <c r="O5647" s="15" t="s">
        <v>30</v>
      </c>
      <c r="P5647" s="16" t="s">
        <v>17525</v>
      </c>
      <c r="Q5647" s="15" t="s">
        <v>95</v>
      </c>
      <c r="R5647" s="13" t="str">
        <f>HYPERLINK("https://my.pitchbook.com?c=164022-22T","View Company Online")</f>
        <v>View Company Online</v>
      </c>
    </row>
    <row r="5648" spans="1:18" hidden="1" x14ac:dyDescent="0.3">
      <c r="A5648" s="9" t="s">
        <v>17526</v>
      </c>
      <c r="B5648" s="9" t="s">
        <v>17527</v>
      </c>
      <c r="C5648" s="11" t="s">
        <v>28</v>
      </c>
      <c r="D5648" s="9" t="s">
        <v>17528</v>
      </c>
      <c r="E5648" s="11" t="s">
        <v>28</v>
      </c>
      <c r="F5648" s="10" t="s">
        <v>28</v>
      </c>
      <c r="G5648" s="10">
        <v>0.32</v>
      </c>
      <c r="H5648" s="10" t="s">
        <v>28</v>
      </c>
      <c r="I5648" s="11" t="s">
        <v>28</v>
      </c>
      <c r="J5648" s="11" t="s">
        <v>28</v>
      </c>
      <c r="K5648" s="11" t="s">
        <v>28</v>
      </c>
      <c r="L5648" s="11" t="s">
        <v>28</v>
      </c>
      <c r="M5648" s="11" t="s">
        <v>28</v>
      </c>
      <c r="N5648" s="8">
        <v>44130</v>
      </c>
      <c r="O5648" s="9" t="s">
        <v>52</v>
      </c>
      <c r="P5648" s="12" t="s">
        <v>17529</v>
      </c>
      <c r="Q5648" s="9" t="s">
        <v>386</v>
      </c>
      <c r="R5648" s="14" t="str">
        <f>HYPERLINK("https://my.pitchbook.com?c=207092-89T","View Company Online")</f>
        <v>View Company Online</v>
      </c>
    </row>
    <row r="5649" spans="1:18" hidden="1" x14ac:dyDescent="0.3">
      <c r="A5649" s="15" t="s">
        <v>17530</v>
      </c>
      <c r="B5649" s="15" t="s">
        <v>17531</v>
      </c>
      <c r="C5649" s="18" t="s">
        <v>28</v>
      </c>
      <c r="D5649" s="15" t="s">
        <v>17532</v>
      </c>
      <c r="E5649" s="18" t="s">
        <v>28</v>
      </c>
      <c r="F5649" s="19" t="s">
        <v>28</v>
      </c>
      <c r="G5649" s="19">
        <v>0.05</v>
      </c>
      <c r="H5649" s="19">
        <v>0.16</v>
      </c>
      <c r="I5649" s="18" t="s">
        <v>28</v>
      </c>
      <c r="J5649" s="18" t="s">
        <v>28</v>
      </c>
      <c r="K5649" s="18" t="s">
        <v>28</v>
      </c>
      <c r="L5649" s="18" t="s">
        <v>28</v>
      </c>
      <c r="M5649" s="18" t="s">
        <v>28</v>
      </c>
      <c r="N5649" s="17">
        <v>44130</v>
      </c>
      <c r="O5649" s="15" t="s">
        <v>379</v>
      </c>
      <c r="P5649" s="16" t="s">
        <v>17533</v>
      </c>
      <c r="Q5649" s="15" t="s">
        <v>1191</v>
      </c>
      <c r="R5649" s="13" t="str">
        <f>HYPERLINK("https://my.pitchbook.com?c=248879-71T","View Company Online")</f>
        <v>View Company Online</v>
      </c>
    </row>
    <row r="5650" spans="1:18" hidden="1" x14ac:dyDescent="0.3">
      <c r="A5650" s="9" t="s">
        <v>17534</v>
      </c>
      <c r="B5650" s="9" t="s">
        <v>17535</v>
      </c>
      <c r="C5650" s="11" t="s">
        <v>28</v>
      </c>
      <c r="D5650" s="9" t="s">
        <v>17536</v>
      </c>
      <c r="E5650" s="11" t="s">
        <v>28</v>
      </c>
      <c r="F5650" s="10" t="s">
        <v>28</v>
      </c>
      <c r="G5650" s="10" t="s">
        <v>28</v>
      </c>
      <c r="H5650" s="10" t="s">
        <v>28</v>
      </c>
      <c r="I5650" s="11" t="s">
        <v>28</v>
      </c>
      <c r="J5650" s="11" t="s">
        <v>28</v>
      </c>
      <c r="K5650" s="11" t="s">
        <v>28</v>
      </c>
      <c r="L5650" s="11" t="s">
        <v>28</v>
      </c>
      <c r="M5650" s="11" t="s">
        <v>28</v>
      </c>
      <c r="N5650" s="8">
        <v>44130</v>
      </c>
      <c r="O5650" s="9" t="s">
        <v>41</v>
      </c>
      <c r="P5650" s="12" t="s">
        <v>17537</v>
      </c>
      <c r="Q5650" s="9" t="s">
        <v>95</v>
      </c>
      <c r="R5650" s="14" t="str">
        <f>HYPERLINK("https://my.pitchbook.com?c=158170-06T","View Company Online")</f>
        <v>View Company Online</v>
      </c>
    </row>
    <row r="5651" spans="1:18" hidden="1" x14ac:dyDescent="0.3">
      <c r="A5651" s="15" t="s">
        <v>17538</v>
      </c>
      <c r="B5651" s="15" t="s">
        <v>17539</v>
      </c>
      <c r="C5651" s="18" t="s">
        <v>28</v>
      </c>
      <c r="D5651" s="15" t="s">
        <v>17540</v>
      </c>
      <c r="E5651" s="18">
        <v>8.4</v>
      </c>
      <c r="F5651" s="19" t="s">
        <v>28</v>
      </c>
      <c r="G5651" s="19" t="s">
        <v>28</v>
      </c>
      <c r="H5651" s="19" t="s">
        <v>28</v>
      </c>
      <c r="I5651" s="18">
        <v>10.56</v>
      </c>
      <c r="J5651" s="18" t="s">
        <v>28</v>
      </c>
      <c r="K5651" s="18">
        <v>51.89</v>
      </c>
      <c r="L5651" s="18" t="s">
        <v>28</v>
      </c>
      <c r="M5651" s="18">
        <v>5.01</v>
      </c>
      <c r="N5651" s="17">
        <v>44130</v>
      </c>
      <c r="O5651" s="15" t="s">
        <v>173</v>
      </c>
      <c r="P5651" s="16" t="s">
        <v>28</v>
      </c>
      <c r="Q5651" s="15" t="s">
        <v>607</v>
      </c>
      <c r="R5651" s="13" t="str">
        <f>HYPERLINK("https://my.pitchbook.com?c=227412-28T","View Company Online")</f>
        <v>View Company Online</v>
      </c>
    </row>
    <row r="5652" spans="1:18" hidden="1" x14ac:dyDescent="0.3">
      <c r="A5652" s="9" t="s">
        <v>17541</v>
      </c>
      <c r="B5652" s="9" t="s">
        <v>5770</v>
      </c>
      <c r="C5652" s="11" t="s">
        <v>28</v>
      </c>
      <c r="D5652" s="9" t="s">
        <v>5771</v>
      </c>
      <c r="E5652" s="11" t="s">
        <v>28</v>
      </c>
      <c r="F5652" s="10" t="s">
        <v>28</v>
      </c>
      <c r="G5652" s="10">
        <v>15</v>
      </c>
      <c r="H5652" s="10" t="s">
        <v>28</v>
      </c>
      <c r="I5652" s="11" t="s">
        <v>28</v>
      </c>
      <c r="J5652" s="11" t="s">
        <v>28</v>
      </c>
      <c r="K5652" s="11">
        <v>0.31</v>
      </c>
      <c r="L5652" s="11" t="s">
        <v>28</v>
      </c>
      <c r="M5652" s="11">
        <v>-0.65</v>
      </c>
      <c r="N5652" s="8">
        <v>44127</v>
      </c>
      <c r="O5652" s="9" t="s">
        <v>73</v>
      </c>
      <c r="P5652" s="12" t="s">
        <v>17542</v>
      </c>
      <c r="Q5652" s="9" t="s">
        <v>1336</v>
      </c>
      <c r="R5652" s="14" t="str">
        <f>HYPERLINK("https://my.pitchbook.com?c=138241-27T","View Company Online")</f>
        <v>View Company Online</v>
      </c>
    </row>
    <row r="5653" spans="1:18" hidden="1" x14ac:dyDescent="0.3">
      <c r="A5653" s="15" t="s">
        <v>17543</v>
      </c>
      <c r="B5653" s="15" t="s">
        <v>17544</v>
      </c>
      <c r="C5653" s="18" t="s">
        <v>28</v>
      </c>
      <c r="D5653" s="15" t="s">
        <v>17545</v>
      </c>
      <c r="E5653" s="18" t="s">
        <v>28</v>
      </c>
      <c r="F5653" s="19" t="s">
        <v>28</v>
      </c>
      <c r="G5653" s="19" t="s">
        <v>28</v>
      </c>
      <c r="H5653" s="19" t="s">
        <v>28</v>
      </c>
      <c r="I5653" s="18" t="s">
        <v>28</v>
      </c>
      <c r="J5653" s="18" t="s">
        <v>28</v>
      </c>
      <c r="K5653" s="18">
        <v>0.31</v>
      </c>
      <c r="L5653" s="18" t="s">
        <v>28</v>
      </c>
      <c r="M5653" s="18">
        <v>0.27</v>
      </c>
      <c r="N5653" s="17">
        <v>44127</v>
      </c>
      <c r="O5653" s="15" t="s">
        <v>173</v>
      </c>
      <c r="P5653" s="16" t="s">
        <v>28</v>
      </c>
      <c r="Q5653" s="15" t="s">
        <v>174</v>
      </c>
      <c r="R5653" s="13" t="str">
        <f>HYPERLINK("https://my.pitchbook.com?c=251637-31T","View Company Online")</f>
        <v>View Company Online</v>
      </c>
    </row>
    <row r="5654" spans="1:18" hidden="1" x14ac:dyDescent="0.3">
      <c r="A5654" s="9" t="s">
        <v>17546</v>
      </c>
      <c r="B5654" s="9" t="s">
        <v>17547</v>
      </c>
      <c r="C5654" s="11" t="s">
        <v>28</v>
      </c>
      <c r="D5654" s="9" t="s">
        <v>17548</v>
      </c>
      <c r="E5654" s="11" t="s">
        <v>28</v>
      </c>
      <c r="F5654" s="10" t="s">
        <v>28</v>
      </c>
      <c r="G5654" s="10" t="s">
        <v>28</v>
      </c>
      <c r="H5654" s="10" t="s">
        <v>28</v>
      </c>
      <c r="I5654" s="11" t="s">
        <v>28</v>
      </c>
      <c r="J5654" s="11" t="s">
        <v>28</v>
      </c>
      <c r="K5654" s="11" t="s">
        <v>28</v>
      </c>
      <c r="L5654" s="11" t="s">
        <v>28</v>
      </c>
      <c r="M5654" s="11" t="s">
        <v>28</v>
      </c>
      <c r="N5654" s="8">
        <v>44127</v>
      </c>
      <c r="O5654" s="9" t="s">
        <v>52</v>
      </c>
      <c r="P5654" s="12" t="s">
        <v>17549</v>
      </c>
      <c r="Q5654" s="9" t="s">
        <v>43</v>
      </c>
      <c r="R5654" s="14" t="str">
        <f>HYPERLINK("https://my.pitchbook.com?c=284442-40T","View Company Online")</f>
        <v>View Company Online</v>
      </c>
    </row>
    <row r="5655" spans="1:18" hidden="1" x14ac:dyDescent="0.3">
      <c r="A5655" s="15" t="s">
        <v>17550</v>
      </c>
      <c r="B5655" s="15" t="s">
        <v>17551</v>
      </c>
      <c r="C5655" s="18" t="s">
        <v>28</v>
      </c>
      <c r="D5655" s="15" t="s">
        <v>17552</v>
      </c>
      <c r="E5655" s="18" t="s">
        <v>28</v>
      </c>
      <c r="F5655" s="19">
        <v>127.71</v>
      </c>
      <c r="G5655" s="19">
        <v>127.71</v>
      </c>
      <c r="H5655" s="19">
        <v>127.71</v>
      </c>
      <c r="I5655" s="18" t="s">
        <v>28</v>
      </c>
      <c r="J5655" s="18" t="s">
        <v>28</v>
      </c>
      <c r="K5655" s="18" t="s">
        <v>28</v>
      </c>
      <c r="L5655" s="18" t="s">
        <v>28</v>
      </c>
      <c r="M5655" s="18" t="s">
        <v>28</v>
      </c>
      <c r="N5655" s="17">
        <v>44127</v>
      </c>
      <c r="O5655" s="15" t="s">
        <v>30</v>
      </c>
      <c r="P5655" s="16" t="s">
        <v>6926</v>
      </c>
      <c r="Q5655" s="15" t="s">
        <v>409</v>
      </c>
      <c r="R5655" s="13" t="str">
        <f>HYPERLINK("https://my.pitchbook.com?c=158808-43T","View Company Online")</f>
        <v>View Company Online</v>
      </c>
    </row>
    <row r="5656" spans="1:18" hidden="1" x14ac:dyDescent="0.3">
      <c r="A5656" s="9" t="s">
        <v>17553</v>
      </c>
      <c r="B5656" s="9" t="s">
        <v>11637</v>
      </c>
      <c r="C5656" s="11" t="s">
        <v>28</v>
      </c>
      <c r="D5656" s="9" t="s">
        <v>11638</v>
      </c>
      <c r="E5656" s="11" t="s">
        <v>28</v>
      </c>
      <c r="F5656" s="10" t="s">
        <v>28</v>
      </c>
      <c r="G5656" s="10">
        <v>1.44</v>
      </c>
      <c r="H5656" s="10" t="s">
        <v>28</v>
      </c>
      <c r="I5656" s="11" t="s">
        <v>28</v>
      </c>
      <c r="J5656" s="11" t="s">
        <v>28</v>
      </c>
      <c r="K5656" s="11">
        <v>2.14</v>
      </c>
      <c r="L5656" s="11" t="s">
        <v>28</v>
      </c>
      <c r="M5656" s="11" t="s">
        <v>28</v>
      </c>
      <c r="N5656" s="8">
        <v>44126</v>
      </c>
      <c r="O5656" s="9" t="s">
        <v>73</v>
      </c>
      <c r="P5656" s="12" t="s">
        <v>17554</v>
      </c>
      <c r="Q5656" s="9" t="s">
        <v>75</v>
      </c>
      <c r="R5656" s="14" t="str">
        <f>HYPERLINK("https://my.pitchbook.com?c=158103-46T","View Company Online")</f>
        <v>View Company Online</v>
      </c>
    </row>
    <row r="5657" spans="1:18" hidden="1" x14ac:dyDescent="0.3">
      <c r="A5657" s="15" t="s">
        <v>17555</v>
      </c>
      <c r="B5657" s="15" t="s">
        <v>17556</v>
      </c>
      <c r="C5657" s="18" t="s">
        <v>28</v>
      </c>
      <c r="D5657" s="15" t="s">
        <v>17557</v>
      </c>
      <c r="E5657" s="18" t="s">
        <v>28</v>
      </c>
      <c r="F5657" s="19" t="s">
        <v>28</v>
      </c>
      <c r="G5657" s="19">
        <v>0.71</v>
      </c>
      <c r="H5657" s="19" t="s">
        <v>28</v>
      </c>
      <c r="I5657" s="18" t="s">
        <v>28</v>
      </c>
      <c r="J5657" s="18" t="s">
        <v>28</v>
      </c>
      <c r="K5657" s="18" t="s">
        <v>28</v>
      </c>
      <c r="L5657" s="18" t="s">
        <v>28</v>
      </c>
      <c r="M5657" s="18" t="s">
        <v>28</v>
      </c>
      <c r="N5657" s="17">
        <v>44126</v>
      </c>
      <c r="O5657" s="15" t="s">
        <v>99</v>
      </c>
      <c r="P5657" s="16" t="s">
        <v>6217</v>
      </c>
      <c r="Q5657" s="15" t="s">
        <v>75</v>
      </c>
      <c r="R5657" s="13" t="str">
        <f>HYPERLINK("https://my.pitchbook.com?c=158314-33T","View Company Online")</f>
        <v>View Company Online</v>
      </c>
    </row>
    <row r="5658" spans="1:18" hidden="1" x14ac:dyDescent="0.3">
      <c r="A5658" s="9" t="s">
        <v>17558</v>
      </c>
      <c r="B5658" s="9" t="s">
        <v>17559</v>
      </c>
      <c r="C5658" s="11" t="s">
        <v>28</v>
      </c>
      <c r="D5658" s="9" t="s">
        <v>17560</v>
      </c>
      <c r="E5658" s="11" t="s">
        <v>28</v>
      </c>
      <c r="F5658" s="10" t="s">
        <v>28</v>
      </c>
      <c r="G5658" s="10">
        <v>0.18</v>
      </c>
      <c r="H5658" s="10" t="s">
        <v>28</v>
      </c>
      <c r="I5658" s="11" t="s">
        <v>28</v>
      </c>
      <c r="J5658" s="11" t="s">
        <v>28</v>
      </c>
      <c r="K5658" s="11" t="s">
        <v>28</v>
      </c>
      <c r="L5658" s="11" t="s">
        <v>28</v>
      </c>
      <c r="M5658" s="11" t="s">
        <v>28</v>
      </c>
      <c r="N5658" s="8">
        <v>44126</v>
      </c>
      <c r="O5658" s="9" t="s">
        <v>99</v>
      </c>
      <c r="P5658" s="12" t="s">
        <v>17561</v>
      </c>
      <c r="Q5658" s="9" t="s">
        <v>75</v>
      </c>
      <c r="R5658" s="14" t="str">
        <f>HYPERLINK("https://my.pitchbook.com?c=165814-93T","View Company Online")</f>
        <v>View Company Online</v>
      </c>
    </row>
    <row r="5659" spans="1:18" hidden="1" x14ac:dyDescent="0.3">
      <c r="A5659" s="15" t="s">
        <v>17562</v>
      </c>
      <c r="B5659" s="15" t="s">
        <v>11780</v>
      </c>
      <c r="C5659" s="18" t="s">
        <v>28</v>
      </c>
      <c r="D5659" s="15" t="s">
        <v>11781</v>
      </c>
      <c r="E5659" s="18" t="s">
        <v>28</v>
      </c>
      <c r="F5659" s="19" t="s">
        <v>28</v>
      </c>
      <c r="G5659" s="19">
        <v>2.85</v>
      </c>
      <c r="H5659" s="19" t="s">
        <v>28</v>
      </c>
      <c r="I5659" s="18" t="s">
        <v>28</v>
      </c>
      <c r="J5659" s="18" t="s">
        <v>28</v>
      </c>
      <c r="K5659" s="18" t="s">
        <v>28</v>
      </c>
      <c r="L5659" s="18" t="s">
        <v>28</v>
      </c>
      <c r="M5659" s="18" t="s">
        <v>28</v>
      </c>
      <c r="N5659" s="17">
        <v>44125</v>
      </c>
      <c r="O5659" s="15" t="s">
        <v>99</v>
      </c>
      <c r="P5659" s="16" t="s">
        <v>140</v>
      </c>
      <c r="Q5659" s="15" t="s">
        <v>1341</v>
      </c>
      <c r="R5659" s="13" t="str">
        <f>HYPERLINK("https://my.pitchbook.com?c=226697-77T","View Company Online")</f>
        <v>View Company Online</v>
      </c>
    </row>
    <row r="5660" spans="1:18" hidden="1" x14ac:dyDescent="0.3">
      <c r="A5660" s="9" t="s">
        <v>17563</v>
      </c>
      <c r="B5660" s="9" t="s">
        <v>17564</v>
      </c>
      <c r="C5660" s="11" t="s">
        <v>28</v>
      </c>
      <c r="D5660" s="9" t="s">
        <v>17565</v>
      </c>
      <c r="E5660" s="11" t="s">
        <v>28</v>
      </c>
      <c r="F5660" s="10" t="s">
        <v>28</v>
      </c>
      <c r="G5660" s="10">
        <v>7.16</v>
      </c>
      <c r="H5660" s="10">
        <v>28.63</v>
      </c>
      <c r="I5660" s="11" t="s">
        <v>28</v>
      </c>
      <c r="J5660" s="11" t="s">
        <v>28</v>
      </c>
      <c r="K5660" s="11" t="s">
        <v>28</v>
      </c>
      <c r="L5660" s="11" t="s">
        <v>28</v>
      </c>
      <c r="M5660" s="11" t="s">
        <v>28</v>
      </c>
      <c r="N5660" s="8">
        <v>44125</v>
      </c>
      <c r="O5660" s="9" t="s">
        <v>79</v>
      </c>
      <c r="P5660" s="12" t="s">
        <v>17566</v>
      </c>
      <c r="Q5660" s="9" t="s">
        <v>114</v>
      </c>
      <c r="R5660" s="14" t="str">
        <f>HYPERLINK("https://my.pitchbook.com?c=158489-11T","View Company Online")</f>
        <v>View Company Online</v>
      </c>
    </row>
    <row r="5661" spans="1:18" hidden="1" x14ac:dyDescent="0.3">
      <c r="A5661" s="15" t="s">
        <v>17567</v>
      </c>
      <c r="B5661" s="15" t="s">
        <v>7238</v>
      </c>
      <c r="C5661" s="18" t="s">
        <v>28</v>
      </c>
      <c r="D5661" s="15" t="s">
        <v>7239</v>
      </c>
      <c r="E5661" s="18" t="s">
        <v>28</v>
      </c>
      <c r="F5661" s="19" t="s">
        <v>28</v>
      </c>
      <c r="G5661" s="19">
        <v>0.18</v>
      </c>
      <c r="H5661" s="19" t="s">
        <v>28</v>
      </c>
      <c r="I5661" s="18" t="s">
        <v>28</v>
      </c>
      <c r="J5661" s="18" t="s">
        <v>28</v>
      </c>
      <c r="K5661" s="18" t="s">
        <v>28</v>
      </c>
      <c r="L5661" s="18" t="s">
        <v>28</v>
      </c>
      <c r="M5661" s="18" t="s">
        <v>28</v>
      </c>
      <c r="N5661" s="17">
        <v>44124</v>
      </c>
      <c r="O5661" s="15" t="s">
        <v>99</v>
      </c>
      <c r="P5661" s="16" t="s">
        <v>17568</v>
      </c>
      <c r="Q5661" s="15" t="s">
        <v>583</v>
      </c>
      <c r="R5661" s="13" t="str">
        <f>HYPERLINK("https://my.pitchbook.com?c=165804-04T","View Company Online")</f>
        <v>View Company Online</v>
      </c>
    </row>
    <row r="5662" spans="1:18" hidden="1" x14ac:dyDescent="0.3">
      <c r="A5662" s="9" t="s">
        <v>17569</v>
      </c>
      <c r="B5662" s="9" t="s">
        <v>11621</v>
      </c>
      <c r="C5662" s="11" t="s">
        <v>28</v>
      </c>
      <c r="D5662" s="9" t="s">
        <v>11622</v>
      </c>
      <c r="E5662" s="11" t="s">
        <v>28</v>
      </c>
      <c r="F5662" s="10" t="s">
        <v>28</v>
      </c>
      <c r="G5662" s="10">
        <v>6</v>
      </c>
      <c r="H5662" s="10" t="s">
        <v>28</v>
      </c>
      <c r="I5662" s="11" t="s">
        <v>28</v>
      </c>
      <c r="J5662" s="11" t="s">
        <v>28</v>
      </c>
      <c r="K5662" s="11" t="s">
        <v>28</v>
      </c>
      <c r="L5662" s="11" t="s">
        <v>28</v>
      </c>
      <c r="M5662" s="11" t="s">
        <v>28</v>
      </c>
      <c r="N5662" s="8">
        <v>44124</v>
      </c>
      <c r="O5662" s="9" t="s">
        <v>379</v>
      </c>
      <c r="P5662" s="12" t="s">
        <v>28</v>
      </c>
      <c r="Q5662" s="9" t="s">
        <v>6513</v>
      </c>
      <c r="R5662" s="14" t="str">
        <f>HYPERLINK("https://my.pitchbook.com?c=157640-77T","View Company Online")</f>
        <v>View Company Online</v>
      </c>
    </row>
    <row r="5663" spans="1:18" hidden="1" x14ac:dyDescent="0.3">
      <c r="A5663" s="15" t="s">
        <v>17570</v>
      </c>
      <c r="B5663" s="15" t="s">
        <v>17571</v>
      </c>
      <c r="C5663" s="18" t="s">
        <v>28</v>
      </c>
      <c r="D5663" s="15" t="s">
        <v>17572</v>
      </c>
      <c r="E5663" s="18" t="s">
        <v>28</v>
      </c>
      <c r="F5663" s="19" t="s">
        <v>28</v>
      </c>
      <c r="G5663" s="19" t="s">
        <v>28</v>
      </c>
      <c r="H5663" s="19" t="s">
        <v>28</v>
      </c>
      <c r="I5663" s="18" t="s">
        <v>28</v>
      </c>
      <c r="J5663" s="18" t="s">
        <v>28</v>
      </c>
      <c r="K5663" s="18">
        <v>1.44</v>
      </c>
      <c r="L5663" s="18" t="s">
        <v>28</v>
      </c>
      <c r="M5663" s="18">
        <v>1.33</v>
      </c>
      <c r="N5663" s="17">
        <v>44124</v>
      </c>
      <c r="O5663" s="15" t="s">
        <v>173</v>
      </c>
      <c r="P5663" s="16" t="s">
        <v>28</v>
      </c>
      <c r="Q5663" s="15" t="s">
        <v>174</v>
      </c>
      <c r="R5663" s="13" t="str">
        <f>HYPERLINK("https://my.pitchbook.com?c=251579-53T","View Company Online")</f>
        <v>View Company Online</v>
      </c>
    </row>
    <row r="5664" spans="1:18" hidden="1" x14ac:dyDescent="0.3">
      <c r="A5664" s="9" t="s">
        <v>17573</v>
      </c>
      <c r="B5664" s="9" t="s">
        <v>9924</v>
      </c>
      <c r="C5664" s="11" t="s">
        <v>28</v>
      </c>
      <c r="D5664" s="9" t="s">
        <v>17574</v>
      </c>
      <c r="E5664" s="11" t="s">
        <v>28</v>
      </c>
      <c r="F5664" s="10" t="s">
        <v>28</v>
      </c>
      <c r="G5664" s="10" t="s">
        <v>28</v>
      </c>
      <c r="H5664" s="10" t="s">
        <v>28</v>
      </c>
      <c r="I5664" s="11" t="s">
        <v>28</v>
      </c>
      <c r="J5664" s="11" t="s">
        <v>28</v>
      </c>
      <c r="K5664" s="11" t="s">
        <v>28</v>
      </c>
      <c r="L5664" s="11" t="s">
        <v>28</v>
      </c>
      <c r="M5664" s="11" t="s">
        <v>28</v>
      </c>
      <c r="N5664" s="8">
        <v>44122</v>
      </c>
      <c r="O5664" s="9" t="s">
        <v>73</v>
      </c>
      <c r="P5664" s="12" t="s">
        <v>17575</v>
      </c>
      <c r="Q5664" s="9" t="s">
        <v>1068</v>
      </c>
      <c r="R5664" s="14" t="str">
        <f>HYPERLINK("https://my.pitchbook.com?c=165019-33T","View Company Online")</f>
        <v>View Company Online</v>
      </c>
    </row>
    <row r="5665" spans="1:18" hidden="1" x14ac:dyDescent="0.3">
      <c r="A5665" s="15" t="s">
        <v>17576</v>
      </c>
      <c r="B5665" s="15" t="s">
        <v>17577</v>
      </c>
      <c r="C5665" s="18" t="s">
        <v>28</v>
      </c>
      <c r="D5665" s="15" t="s">
        <v>17578</v>
      </c>
      <c r="E5665" s="18" t="s">
        <v>28</v>
      </c>
      <c r="F5665" s="19" t="s">
        <v>28</v>
      </c>
      <c r="G5665" s="19">
        <v>0.9</v>
      </c>
      <c r="H5665" s="19">
        <v>9.9</v>
      </c>
      <c r="I5665" s="18" t="s">
        <v>28</v>
      </c>
      <c r="J5665" s="18" t="s">
        <v>28</v>
      </c>
      <c r="K5665" s="18">
        <v>1.55</v>
      </c>
      <c r="L5665" s="18">
        <v>6.38</v>
      </c>
      <c r="M5665" s="18" t="s">
        <v>28</v>
      </c>
      <c r="N5665" s="17">
        <v>44122</v>
      </c>
      <c r="O5665" s="15" t="s">
        <v>73</v>
      </c>
      <c r="P5665" s="16" t="s">
        <v>17579</v>
      </c>
      <c r="Q5665" s="15" t="s">
        <v>105</v>
      </c>
      <c r="R5665" s="13" t="str">
        <f>HYPERLINK("https://my.pitchbook.com?c=158248-99T","View Company Online")</f>
        <v>View Company Online</v>
      </c>
    </row>
    <row r="5666" spans="1:18" hidden="1" x14ac:dyDescent="0.3">
      <c r="A5666" s="9" t="s">
        <v>17580</v>
      </c>
      <c r="B5666" s="9" t="s">
        <v>16322</v>
      </c>
      <c r="C5666" s="11" t="s">
        <v>28</v>
      </c>
      <c r="D5666" s="9" t="s">
        <v>16323</v>
      </c>
      <c r="E5666" s="11" t="s">
        <v>28</v>
      </c>
      <c r="F5666" s="10" t="s">
        <v>28</v>
      </c>
      <c r="G5666" s="10">
        <v>0.15</v>
      </c>
      <c r="H5666" s="10" t="s">
        <v>28</v>
      </c>
      <c r="I5666" s="11" t="s">
        <v>28</v>
      </c>
      <c r="J5666" s="11" t="s">
        <v>28</v>
      </c>
      <c r="K5666" s="11" t="s">
        <v>28</v>
      </c>
      <c r="L5666" s="11" t="s">
        <v>28</v>
      </c>
      <c r="M5666" s="11" t="s">
        <v>28</v>
      </c>
      <c r="N5666" s="8">
        <v>44121</v>
      </c>
      <c r="O5666" s="9" t="s">
        <v>52</v>
      </c>
      <c r="P5666" s="12" t="s">
        <v>17581</v>
      </c>
      <c r="Q5666" s="9" t="s">
        <v>37</v>
      </c>
      <c r="R5666" s="14" t="str">
        <f>HYPERLINK("https://my.pitchbook.com?c=174938-50T","View Company Online")</f>
        <v>View Company Online</v>
      </c>
    </row>
    <row r="5667" spans="1:18" hidden="1" x14ac:dyDescent="0.3">
      <c r="A5667" s="15" t="s">
        <v>17582</v>
      </c>
      <c r="B5667" s="15" t="s">
        <v>10730</v>
      </c>
      <c r="C5667" s="18" t="s">
        <v>28</v>
      </c>
      <c r="D5667" s="15" t="s">
        <v>10731</v>
      </c>
      <c r="E5667" s="18" t="s">
        <v>28</v>
      </c>
      <c r="F5667" s="19" t="s">
        <v>28</v>
      </c>
      <c r="G5667" s="19" t="s">
        <v>28</v>
      </c>
      <c r="H5667" s="19" t="s">
        <v>28</v>
      </c>
      <c r="I5667" s="18" t="s">
        <v>28</v>
      </c>
      <c r="J5667" s="18" t="s">
        <v>28</v>
      </c>
      <c r="K5667" s="18">
        <v>31.84</v>
      </c>
      <c r="L5667" s="18" t="s">
        <v>28</v>
      </c>
      <c r="M5667" s="18">
        <v>3.18</v>
      </c>
      <c r="N5667" s="17">
        <v>44120</v>
      </c>
      <c r="O5667" s="15" t="s">
        <v>93</v>
      </c>
      <c r="P5667" s="16" t="s">
        <v>17583</v>
      </c>
      <c r="Q5667" s="15" t="s">
        <v>7449</v>
      </c>
      <c r="R5667" s="13" t="str">
        <f>HYPERLINK("https://my.pitchbook.com?c=138773-26T","View Company Online")</f>
        <v>View Company Online</v>
      </c>
    </row>
    <row r="5668" spans="1:18" hidden="1" x14ac:dyDescent="0.3">
      <c r="A5668" s="9" t="s">
        <v>17584</v>
      </c>
      <c r="B5668" s="9" t="s">
        <v>15828</v>
      </c>
      <c r="C5668" s="11" t="s">
        <v>28</v>
      </c>
      <c r="D5668" s="9" t="s">
        <v>15829</v>
      </c>
      <c r="E5668" s="11" t="s">
        <v>28</v>
      </c>
      <c r="F5668" s="10" t="s">
        <v>28</v>
      </c>
      <c r="G5668" s="10">
        <v>0.01</v>
      </c>
      <c r="H5668" s="10" t="s">
        <v>28</v>
      </c>
      <c r="I5668" s="11" t="s">
        <v>28</v>
      </c>
      <c r="J5668" s="11" t="s">
        <v>28</v>
      </c>
      <c r="K5668" s="11" t="s">
        <v>28</v>
      </c>
      <c r="L5668" s="11" t="s">
        <v>28</v>
      </c>
      <c r="M5668" s="11" t="s">
        <v>28</v>
      </c>
      <c r="N5668" s="8">
        <v>44120</v>
      </c>
      <c r="O5668" s="9" t="s">
        <v>47</v>
      </c>
      <c r="P5668" s="12" t="s">
        <v>17585</v>
      </c>
      <c r="Q5668" s="9" t="s">
        <v>69</v>
      </c>
      <c r="R5668" s="14" t="str">
        <f>HYPERLINK("https://my.pitchbook.com?c=174216-25T","View Company Online")</f>
        <v>View Company Online</v>
      </c>
    </row>
    <row r="5669" spans="1:18" hidden="1" x14ac:dyDescent="0.3">
      <c r="A5669" s="15" t="s">
        <v>17586</v>
      </c>
      <c r="B5669" s="15" t="s">
        <v>14621</v>
      </c>
      <c r="C5669" s="18" t="s">
        <v>28</v>
      </c>
      <c r="D5669" s="15" t="s">
        <v>14622</v>
      </c>
      <c r="E5669" s="18" t="s">
        <v>28</v>
      </c>
      <c r="F5669" s="19" t="s">
        <v>28</v>
      </c>
      <c r="G5669" s="19">
        <v>2.1</v>
      </c>
      <c r="H5669" s="19" t="s">
        <v>28</v>
      </c>
      <c r="I5669" s="18" t="s">
        <v>28</v>
      </c>
      <c r="J5669" s="18" t="s">
        <v>28</v>
      </c>
      <c r="K5669" s="18" t="s">
        <v>28</v>
      </c>
      <c r="L5669" s="18" t="s">
        <v>28</v>
      </c>
      <c r="M5669" s="18" t="s">
        <v>28</v>
      </c>
      <c r="N5669" s="17">
        <v>44120</v>
      </c>
      <c r="O5669" s="15" t="s">
        <v>99</v>
      </c>
      <c r="P5669" s="16" t="s">
        <v>17587</v>
      </c>
      <c r="Q5669" s="15" t="s">
        <v>3912</v>
      </c>
      <c r="R5669" s="13" t="str">
        <f>HYPERLINK("https://my.pitchbook.com?c=159767-92T","View Company Online")</f>
        <v>View Company Online</v>
      </c>
    </row>
    <row r="5670" spans="1:18" hidden="1" x14ac:dyDescent="0.3">
      <c r="A5670" s="9" t="s">
        <v>17588</v>
      </c>
      <c r="B5670" s="9" t="s">
        <v>3526</v>
      </c>
      <c r="C5670" s="11" t="s">
        <v>28</v>
      </c>
      <c r="D5670" s="9" t="s">
        <v>3527</v>
      </c>
      <c r="E5670" s="11" t="s">
        <v>28</v>
      </c>
      <c r="F5670" s="10" t="s">
        <v>28</v>
      </c>
      <c r="G5670" s="10">
        <v>18.079999999999998</v>
      </c>
      <c r="H5670" s="10" t="s">
        <v>28</v>
      </c>
      <c r="I5670" s="11" t="s">
        <v>28</v>
      </c>
      <c r="J5670" s="11" t="s">
        <v>28</v>
      </c>
      <c r="K5670" s="11" t="s">
        <v>28</v>
      </c>
      <c r="L5670" s="11" t="s">
        <v>28</v>
      </c>
      <c r="M5670" s="11" t="s">
        <v>28</v>
      </c>
      <c r="N5670" s="8">
        <v>44120</v>
      </c>
      <c r="O5670" s="9" t="s">
        <v>73</v>
      </c>
      <c r="P5670" s="12" t="s">
        <v>17589</v>
      </c>
      <c r="Q5670" s="9" t="s">
        <v>424</v>
      </c>
      <c r="R5670" s="14" t="str">
        <f>HYPERLINK("https://my.pitchbook.com?c=164252-80T","View Company Online")</f>
        <v>View Company Online</v>
      </c>
    </row>
    <row r="5671" spans="1:18" hidden="1" x14ac:dyDescent="0.3">
      <c r="A5671" s="15" t="s">
        <v>17590</v>
      </c>
      <c r="B5671" s="15" t="s">
        <v>17591</v>
      </c>
      <c r="C5671" s="18" t="s">
        <v>28</v>
      </c>
      <c r="D5671" s="15" t="s">
        <v>17592</v>
      </c>
      <c r="E5671" s="18" t="s">
        <v>28</v>
      </c>
      <c r="F5671" s="19">
        <v>1.44</v>
      </c>
      <c r="G5671" s="19">
        <v>0.83</v>
      </c>
      <c r="H5671" s="19">
        <v>1.44</v>
      </c>
      <c r="I5671" s="18" t="s">
        <v>28</v>
      </c>
      <c r="J5671" s="18" t="s">
        <v>28</v>
      </c>
      <c r="K5671" s="18">
        <v>7.09</v>
      </c>
      <c r="L5671" s="18">
        <v>0.2</v>
      </c>
      <c r="M5671" s="18" t="s">
        <v>28</v>
      </c>
      <c r="N5671" s="17">
        <v>44119</v>
      </c>
      <c r="O5671" s="15" t="s">
        <v>30</v>
      </c>
      <c r="P5671" s="16" t="s">
        <v>17593</v>
      </c>
      <c r="Q5671" s="15" t="s">
        <v>245</v>
      </c>
      <c r="R5671" s="13" t="str">
        <f>HYPERLINK("https://my.pitchbook.com?c=166909-51T","View Company Online")</f>
        <v>View Company Online</v>
      </c>
    </row>
    <row r="5672" spans="1:18" hidden="1" x14ac:dyDescent="0.3">
      <c r="A5672" s="9" t="s">
        <v>17594</v>
      </c>
      <c r="B5672" s="9" t="s">
        <v>8567</v>
      </c>
      <c r="C5672" s="11" t="s">
        <v>28</v>
      </c>
      <c r="D5672" s="9" t="s">
        <v>8568</v>
      </c>
      <c r="E5672" s="11" t="s">
        <v>28</v>
      </c>
      <c r="F5672" s="10" t="s">
        <v>28</v>
      </c>
      <c r="G5672" s="10">
        <v>0.25</v>
      </c>
      <c r="H5672" s="10" t="s">
        <v>28</v>
      </c>
      <c r="I5672" s="11" t="s">
        <v>28</v>
      </c>
      <c r="J5672" s="11" t="s">
        <v>28</v>
      </c>
      <c r="K5672" s="11" t="s">
        <v>28</v>
      </c>
      <c r="L5672" s="11" t="s">
        <v>28</v>
      </c>
      <c r="M5672" s="11" t="s">
        <v>28</v>
      </c>
      <c r="N5672" s="8">
        <v>44119</v>
      </c>
      <c r="O5672" s="9" t="s">
        <v>99</v>
      </c>
      <c r="P5672" s="12" t="s">
        <v>497</v>
      </c>
      <c r="Q5672" s="9" t="s">
        <v>37</v>
      </c>
      <c r="R5672" s="14" t="str">
        <f>HYPERLINK("https://my.pitchbook.com?c=185301-19T","View Company Online")</f>
        <v>View Company Online</v>
      </c>
    </row>
    <row r="5673" spans="1:18" hidden="1" x14ac:dyDescent="0.3">
      <c r="A5673" s="15" t="s">
        <v>17595</v>
      </c>
      <c r="B5673" s="15" t="s">
        <v>8368</v>
      </c>
      <c r="C5673" s="18" t="s">
        <v>28</v>
      </c>
      <c r="D5673" s="15" t="s">
        <v>8369</v>
      </c>
      <c r="E5673" s="18" t="s">
        <v>28</v>
      </c>
      <c r="F5673" s="19" t="s">
        <v>28</v>
      </c>
      <c r="G5673" s="19">
        <v>0.02</v>
      </c>
      <c r="H5673" s="19" t="s">
        <v>28</v>
      </c>
      <c r="I5673" s="18" t="s">
        <v>28</v>
      </c>
      <c r="J5673" s="18" t="s">
        <v>28</v>
      </c>
      <c r="K5673" s="18" t="s">
        <v>28</v>
      </c>
      <c r="L5673" s="18" t="s">
        <v>28</v>
      </c>
      <c r="M5673" s="18" t="s">
        <v>28</v>
      </c>
      <c r="N5673" s="17">
        <v>44119</v>
      </c>
      <c r="O5673" s="15" t="s">
        <v>47</v>
      </c>
      <c r="P5673" s="16" t="s">
        <v>17596</v>
      </c>
      <c r="Q5673" s="15" t="s">
        <v>37</v>
      </c>
      <c r="R5673" s="13" t="str">
        <f>HYPERLINK("https://my.pitchbook.com?c=167391-46T","View Company Online")</f>
        <v>View Company Online</v>
      </c>
    </row>
    <row r="5674" spans="1:18" hidden="1" x14ac:dyDescent="0.3">
      <c r="A5674" s="9" t="s">
        <v>17597</v>
      </c>
      <c r="B5674" s="9" t="s">
        <v>7845</v>
      </c>
      <c r="C5674" s="11" t="s">
        <v>28</v>
      </c>
      <c r="D5674" s="9" t="s">
        <v>7846</v>
      </c>
      <c r="E5674" s="11" t="s">
        <v>28</v>
      </c>
      <c r="F5674" s="10" t="s">
        <v>28</v>
      </c>
      <c r="G5674" s="10">
        <v>0.1</v>
      </c>
      <c r="H5674" s="10" t="s">
        <v>28</v>
      </c>
      <c r="I5674" s="11" t="s">
        <v>28</v>
      </c>
      <c r="J5674" s="11" t="s">
        <v>28</v>
      </c>
      <c r="K5674" s="11" t="s">
        <v>28</v>
      </c>
      <c r="L5674" s="11" t="s">
        <v>28</v>
      </c>
      <c r="M5674" s="11" t="s">
        <v>28</v>
      </c>
      <c r="N5674" s="8">
        <v>44118</v>
      </c>
      <c r="O5674" s="9" t="s">
        <v>1639</v>
      </c>
      <c r="P5674" s="12" t="s">
        <v>28</v>
      </c>
      <c r="Q5674" s="9" t="s">
        <v>583</v>
      </c>
      <c r="R5674" s="14" t="str">
        <f>HYPERLINK("https://my.pitchbook.com?c=285699-25T","View Company Online")</f>
        <v>View Company Online</v>
      </c>
    </row>
    <row r="5675" spans="1:18" hidden="1" x14ac:dyDescent="0.3">
      <c r="A5675" s="15" t="s">
        <v>17598</v>
      </c>
      <c r="B5675" s="15" t="s">
        <v>17599</v>
      </c>
      <c r="C5675" s="18" t="s">
        <v>28</v>
      </c>
      <c r="D5675" s="15" t="s">
        <v>17600</v>
      </c>
      <c r="E5675" s="18" t="s">
        <v>28</v>
      </c>
      <c r="F5675" s="19">
        <v>59.91</v>
      </c>
      <c r="G5675" s="19">
        <v>59.91</v>
      </c>
      <c r="H5675" s="19">
        <v>59.91</v>
      </c>
      <c r="I5675" s="18" t="s">
        <v>28</v>
      </c>
      <c r="J5675" s="18" t="s">
        <v>28</v>
      </c>
      <c r="K5675" s="18" t="s">
        <v>28</v>
      </c>
      <c r="L5675" s="18" t="s">
        <v>28</v>
      </c>
      <c r="M5675" s="18" t="s">
        <v>28</v>
      </c>
      <c r="N5675" s="17">
        <v>44118</v>
      </c>
      <c r="O5675" s="15" t="s">
        <v>30</v>
      </c>
      <c r="P5675" s="16" t="s">
        <v>17601</v>
      </c>
      <c r="Q5675" s="15" t="s">
        <v>2939</v>
      </c>
      <c r="R5675" s="13" t="str">
        <f>HYPERLINK("https://my.pitchbook.com?c=134221-78T","View Company Online")</f>
        <v>View Company Online</v>
      </c>
    </row>
    <row r="5676" spans="1:18" hidden="1" x14ac:dyDescent="0.3">
      <c r="A5676" s="9" t="s">
        <v>17602</v>
      </c>
      <c r="B5676" s="9" t="s">
        <v>17603</v>
      </c>
      <c r="C5676" s="11" t="s">
        <v>28</v>
      </c>
      <c r="D5676" s="9" t="s">
        <v>17604</v>
      </c>
      <c r="E5676" s="11" t="s">
        <v>28</v>
      </c>
      <c r="F5676" s="10" t="s">
        <v>28</v>
      </c>
      <c r="G5676" s="10" t="s">
        <v>28</v>
      </c>
      <c r="H5676" s="10" t="s">
        <v>28</v>
      </c>
      <c r="I5676" s="11" t="s">
        <v>28</v>
      </c>
      <c r="J5676" s="11" t="s">
        <v>28</v>
      </c>
      <c r="K5676" s="11" t="s">
        <v>28</v>
      </c>
      <c r="L5676" s="11" t="s">
        <v>28</v>
      </c>
      <c r="M5676" s="11" t="s">
        <v>28</v>
      </c>
      <c r="N5676" s="8">
        <v>44118</v>
      </c>
      <c r="O5676" s="9" t="s">
        <v>173</v>
      </c>
      <c r="P5676" s="12" t="s">
        <v>28</v>
      </c>
      <c r="Q5676" s="9" t="s">
        <v>174</v>
      </c>
      <c r="R5676" s="14" t="str">
        <f>HYPERLINK("https://my.pitchbook.com?c=251374-33T","View Company Online")</f>
        <v>View Company Online</v>
      </c>
    </row>
    <row r="5677" spans="1:18" hidden="1" x14ac:dyDescent="0.3">
      <c r="A5677" s="15" t="s">
        <v>17605</v>
      </c>
      <c r="B5677" s="15" t="s">
        <v>16360</v>
      </c>
      <c r="C5677" s="18" t="s">
        <v>28</v>
      </c>
      <c r="D5677" s="15" t="s">
        <v>17606</v>
      </c>
      <c r="E5677" s="18" t="s">
        <v>28</v>
      </c>
      <c r="F5677" s="19" t="s">
        <v>28</v>
      </c>
      <c r="G5677" s="19" t="s">
        <v>28</v>
      </c>
      <c r="H5677" s="19" t="s">
        <v>28</v>
      </c>
      <c r="I5677" s="18" t="s">
        <v>28</v>
      </c>
      <c r="J5677" s="18" t="s">
        <v>28</v>
      </c>
      <c r="K5677" s="18" t="s">
        <v>28</v>
      </c>
      <c r="L5677" s="18" t="s">
        <v>28</v>
      </c>
      <c r="M5677" s="18" t="s">
        <v>28</v>
      </c>
      <c r="N5677" s="17">
        <v>44117</v>
      </c>
      <c r="O5677" s="15" t="s">
        <v>52</v>
      </c>
      <c r="P5677" s="16" t="s">
        <v>1880</v>
      </c>
      <c r="Q5677" s="15" t="s">
        <v>414</v>
      </c>
      <c r="R5677" s="13" t="str">
        <f>HYPERLINK("https://my.pitchbook.com?c=195664-69T","View Company Online")</f>
        <v>View Company Online</v>
      </c>
    </row>
    <row r="5678" spans="1:18" hidden="1" x14ac:dyDescent="0.3">
      <c r="A5678" s="9" t="s">
        <v>17607</v>
      </c>
      <c r="B5678" s="9" t="s">
        <v>17608</v>
      </c>
      <c r="C5678" s="11" t="s">
        <v>28</v>
      </c>
      <c r="D5678" s="9" t="s">
        <v>17609</v>
      </c>
      <c r="E5678" s="11" t="s">
        <v>28</v>
      </c>
      <c r="F5678" s="10" t="s">
        <v>28</v>
      </c>
      <c r="G5678" s="10" t="s">
        <v>28</v>
      </c>
      <c r="H5678" s="10" t="s">
        <v>28</v>
      </c>
      <c r="I5678" s="11" t="s">
        <v>28</v>
      </c>
      <c r="J5678" s="11" t="s">
        <v>28</v>
      </c>
      <c r="K5678" s="11" t="s">
        <v>28</v>
      </c>
      <c r="L5678" s="11" t="s">
        <v>28</v>
      </c>
      <c r="M5678" s="11" t="s">
        <v>28</v>
      </c>
      <c r="N5678" s="8">
        <v>44117</v>
      </c>
      <c r="O5678" s="9" t="s">
        <v>41</v>
      </c>
      <c r="P5678" s="12" t="s">
        <v>17610</v>
      </c>
      <c r="Q5678" s="9" t="s">
        <v>409</v>
      </c>
      <c r="R5678" s="14" t="str">
        <f>HYPERLINK("https://my.pitchbook.com?c=155973-79T","View Company Online")</f>
        <v>View Company Online</v>
      </c>
    </row>
    <row r="5679" spans="1:18" hidden="1" x14ac:dyDescent="0.3">
      <c r="A5679" s="15" t="s">
        <v>17611</v>
      </c>
      <c r="B5679" s="15" t="s">
        <v>17612</v>
      </c>
      <c r="C5679" s="18" t="s">
        <v>28</v>
      </c>
      <c r="D5679" s="15" t="s">
        <v>17613</v>
      </c>
      <c r="E5679" s="18">
        <v>147.41</v>
      </c>
      <c r="F5679" s="19" t="s">
        <v>28</v>
      </c>
      <c r="G5679" s="19">
        <v>756.71</v>
      </c>
      <c r="H5679" s="19">
        <v>3603.47</v>
      </c>
      <c r="I5679" s="18">
        <v>184.68</v>
      </c>
      <c r="J5679" s="18">
        <v>19.510000000000002</v>
      </c>
      <c r="K5679" s="18">
        <v>2406.23</v>
      </c>
      <c r="L5679" s="18">
        <v>1.5</v>
      </c>
      <c r="M5679" s="18">
        <v>140.88</v>
      </c>
      <c r="N5679" s="17">
        <v>44117</v>
      </c>
      <c r="O5679" s="15" t="s">
        <v>173</v>
      </c>
      <c r="P5679" s="16" t="s">
        <v>28</v>
      </c>
      <c r="Q5679" s="15" t="s">
        <v>109</v>
      </c>
      <c r="R5679" s="13" t="str">
        <f>HYPERLINK("https://my.pitchbook.com?c=180248-77T","View Company Online")</f>
        <v>View Company Online</v>
      </c>
    </row>
    <row r="5680" spans="1:18" hidden="1" x14ac:dyDescent="0.3">
      <c r="A5680" s="9" t="s">
        <v>17614</v>
      </c>
      <c r="B5680" s="9" t="s">
        <v>4002</v>
      </c>
      <c r="C5680" s="11" t="s">
        <v>28</v>
      </c>
      <c r="D5680" s="9" t="s">
        <v>17615</v>
      </c>
      <c r="E5680" s="11" t="s">
        <v>28</v>
      </c>
      <c r="F5680" s="10" t="s">
        <v>28</v>
      </c>
      <c r="G5680" s="10" t="s">
        <v>28</v>
      </c>
      <c r="H5680" s="10" t="s">
        <v>28</v>
      </c>
      <c r="I5680" s="11" t="s">
        <v>28</v>
      </c>
      <c r="J5680" s="11" t="s">
        <v>28</v>
      </c>
      <c r="K5680" s="11" t="s">
        <v>28</v>
      </c>
      <c r="L5680" s="11" t="s">
        <v>28</v>
      </c>
      <c r="M5680" s="11" t="s">
        <v>28</v>
      </c>
      <c r="N5680" s="8">
        <v>44117</v>
      </c>
      <c r="O5680" s="9" t="s">
        <v>41</v>
      </c>
      <c r="P5680" s="12" t="s">
        <v>28</v>
      </c>
      <c r="Q5680" s="9" t="s">
        <v>160</v>
      </c>
      <c r="R5680" s="14" t="str">
        <f>HYPERLINK("https://my.pitchbook.com?c=157407-94T","View Company Online")</f>
        <v>View Company Online</v>
      </c>
    </row>
    <row r="5681" spans="1:18" hidden="1" x14ac:dyDescent="0.3">
      <c r="A5681" s="15" t="s">
        <v>17616</v>
      </c>
      <c r="B5681" s="15" t="s">
        <v>5097</v>
      </c>
      <c r="C5681" s="18" t="s">
        <v>28</v>
      </c>
      <c r="D5681" s="15" t="s">
        <v>5098</v>
      </c>
      <c r="E5681" s="18" t="s">
        <v>28</v>
      </c>
      <c r="F5681" s="19" t="s">
        <v>28</v>
      </c>
      <c r="G5681" s="19" t="s">
        <v>28</v>
      </c>
      <c r="H5681" s="19" t="s">
        <v>28</v>
      </c>
      <c r="I5681" s="18" t="s">
        <v>28</v>
      </c>
      <c r="J5681" s="18" t="s">
        <v>28</v>
      </c>
      <c r="K5681" s="18" t="s">
        <v>28</v>
      </c>
      <c r="L5681" s="18" t="s">
        <v>28</v>
      </c>
      <c r="M5681" s="18" t="s">
        <v>28</v>
      </c>
      <c r="N5681" s="17">
        <v>44117</v>
      </c>
      <c r="O5681" s="15" t="s">
        <v>52</v>
      </c>
      <c r="P5681" s="16" t="s">
        <v>1880</v>
      </c>
      <c r="Q5681" s="15" t="s">
        <v>37</v>
      </c>
      <c r="R5681" s="13" t="str">
        <f>HYPERLINK("https://my.pitchbook.com?c=195489-91T","View Company Online")</f>
        <v>View Company Online</v>
      </c>
    </row>
    <row r="5682" spans="1:18" hidden="1" x14ac:dyDescent="0.3">
      <c r="A5682" s="9" t="s">
        <v>17617</v>
      </c>
      <c r="B5682" s="9" t="s">
        <v>17618</v>
      </c>
      <c r="C5682" s="11" t="s">
        <v>28</v>
      </c>
      <c r="D5682" s="9" t="s">
        <v>17619</v>
      </c>
      <c r="E5682" s="11" t="s">
        <v>28</v>
      </c>
      <c r="F5682" s="10" t="s">
        <v>28</v>
      </c>
      <c r="G5682" s="10" t="s">
        <v>28</v>
      </c>
      <c r="H5682" s="10" t="s">
        <v>28</v>
      </c>
      <c r="I5682" s="11" t="s">
        <v>28</v>
      </c>
      <c r="J5682" s="11" t="s">
        <v>28</v>
      </c>
      <c r="K5682" s="11" t="s">
        <v>28</v>
      </c>
      <c r="L5682" s="11" t="s">
        <v>28</v>
      </c>
      <c r="M5682" s="11" t="s">
        <v>28</v>
      </c>
      <c r="N5682" s="8">
        <v>44117</v>
      </c>
      <c r="O5682" s="9" t="s">
        <v>52</v>
      </c>
      <c r="P5682" s="12" t="s">
        <v>1880</v>
      </c>
      <c r="Q5682" s="9" t="s">
        <v>386</v>
      </c>
      <c r="R5682" s="14" t="str">
        <f>HYPERLINK("https://my.pitchbook.com?c=164624-68T","View Company Online")</f>
        <v>View Company Online</v>
      </c>
    </row>
    <row r="5683" spans="1:18" hidden="1" x14ac:dyDescent="0.3">
      <c r="A5683" s="15" t="s">
        <v>17620</v>
      </c>
      <c r="B5683" s="15" t="s">
        <v>10365</v>
      </c>
      <c r="C5683" s="18" t="s">
        <v>28</v>
      </c>
      <c r="D5683" s="15" t="s">
        <v>10366</v>
      </c>
      <c r="E5683" s="18" t="s">
        <v>28</v>
      </c>
      <c r="F5683" s="19" t="s">
        <v>28</v>
      </c>
      <c r="G5683" s="19" t="s">
        <v>28</v>
      </c>
      <c r="H5683" s="19" t="s">
        <v>28</v>
      </c>
      <c r="I5683" s="18" t="s">
        <v>28</v>
      </c>
      <c r="J5683" s="18" t="s">
        <v>28</v>
      </c>
      <c r="K5683" s="18" t="s">
        <v>28</v>
      </c>
      <c r="L5683" s="18" t="s">
        <v>28</v>
      </c>
      <c r="M5683" s="18" t="s">
        <v>28</v>
      </c>
      <c r="N5683" s="17">
        <v>44117</v>
      </c>
      <c r="O5683" s="15" t="s">
        <v>52</v>
      </c>
      <c r="P5683" s="16" t="s">
        <v>1880</v>
      </c>
      <c r="Q5683" s="15" t="s">
        <v>75</v>
      </c>
      <c r="R5683" s="13" t="str">
        <f>HYPERLINK("https://my.pitchbook.com?c=199815-76T","View Company Online")</f>
        <v>View Company Online</v>
      </c>
    </row>
    <row r="5684" spans="1:18" hidden="1" x14ac:dyDescent="0.3">
      <c r="A5684" s="9" t="s">
        <v>17621</v>
      </c>
      <c r="B5684" s="9" t="s">
        <v>13444</v>
      </c>
      <c r="C5684" s="11" t="s">
        <v>28</v>
      </c>
      <c r="D5684" s="9" t="s">
        <v>13445</v>
      </c>
      <c r="E5684" s="11" t="s">
        <v>28</v>
      </c>
      <c r="F5684" s="10" t="s">
        <v>28</v>
      </c>
      <c r="G5684" s="10" t="s">
        <v>28</v>
      </c>
      <c r="H5684" s="10" t="s">
        <v>28</v>
      </c>
      <c r="I5684" s="11" t="s">
        <v>28</v>
      </c>
      <c r="J5684" s="11" t="s">
        <v>28</v>
      </c>
      <c r="K5684" s="11" t="s">
        <v>28</v>
      </c>
      <c r="L5684" s="11" t="s">
        <v>28</v>
      </c>
      <c r="M5684" s="11" t="s">
        <v>28</v>
      </c>
      <c r="N5684" s="8">
        <v>44117</v>
      </c>
      <c r="O5684" s="9" t="s">
        <v>52</v>
      </c>
      <c r="P5684" s="12" t="s">
        <v>1880</v>
      </c>
      <c r="Q5684" s="9" t="s">
        <v>583</v>
      </c>
      <c r="R5684" s="14" t="str">
        <f>HYPERLINK("https://my.pitchbook.com?c=164625-22T","View Company Online")</f>
        <v>View Company Online</v>
      </c>
    </row>
    <row r="5685" spans="1:18" hidden="1" x14ac:dyDescent="0.3">
      <c r="A5685" s="15" t="s">
        <v>17622</v>
      </c>
      <c r="B5685" s="15" t="s">
        <v>17623</v>
      </c>
      <c r="C5685" s="18" t="s">
        <v>28</v>
      </c>
      <c r="D5685" s="15" t="s">
        <v>17624</v>
      </c>
      <c r="E5685" s="18" t="s">
        <v>28</v>
      </c>
      <c r="F5685" s="19" t="s">
        <v>28</v>
      </c>
      <c r="G5685" s="19" t="s">
        <v>28</v>
      </c>
      <c r="H5685" s="19" t="s">
        <v>28</v>
      </c>
      <c r="I5685" s="18" t="s">
        <v>28</v>
      </c>
      <c r="J5685" s="18" t="s">
        <v>28</v>
      </c>
      <c r="K5685" s="18" t="s">
        <v>28</v>
      </c>
      <c r="L5685" s="18" t="s">
        <v>28</v>
      </c>
      <c r="M5685" s="18" t="s">
        <v>28</v>
      </c>
      <c r="N5685" s="17">
        <v>44117</v>
      </c>
      <c r="O5685" s="15" t="s">
        <v>52</v>
      </c>
      <c r="P5685" s="16" t="s">
        <v>1880</v>
      </c>
      <c r="Q5685" s="15" t="s">
        <v>75</v>
      </c>
      <c r="R5685" s="13" t="str">
        <f>HYPERLINK("https://my.pitchbook.com?c=164625-85T","View Company Online")</f>
        <v>View Company Online</v>
      </c>
    </row>
    <row r="5686" spans="1:18" hidden="1" x14ac:dyDescent="0.3">
      <c r="A5686" s="9" t="s">
        <v>17625</v>
      </c>
      <c r="B5686" s="9" t="s">
        <v>3744</v>
      </c>
      <c r="C5686" s="11" t="s">
        <v>28</v>
      </c>
      <c r="D5686" s="9" t="s">
        <v>3745</v>
      </c>
      <c r="E5686" s="11" t="s">
        <v>28</v>
      </c>
      <c r="F5686" s="10" t="s">
        <v>28</v>
      </c>
      <c r="G5686" s="10" t="s">
        <v>28</v>
      </c>
      <c r="H5686" s="10" t="s">
        <v>28</v>
      </c>
      <c r="I5686" s="11" t="s">
        <v>28</v>
      </c>
      <c r="J5686" s="11" t="s">
        <v>28</v>
      </c>
      <c r="K5686" s="11">
        <v>19.41</v>
      </c>
      <c r="L5686" s="11" t="s">
        <v>28</v>
      </c>
      <c r="M5686" s="11" t="s">
        <v>28</v>
      </c>
      <c r="N5686" s="8">
        <v>44117</v>
      </c>
      <c r="O5686" s="9" t="s">
        <v>52</v>
      </c>
      <c r="P5686" s="12" t="s">
        <v>1880</v>
      </c>
      <c r="Q5686" s="9" t="s">
        <v>85</v>
      </c>
      <c r="R5686" s="14" t="str">
        <f>HYPERLINK("https://my.pitchbook.com?c=195664-60T","View Company Online")</f>
        <v>View Company Online</v>
      </c>
    </row>
    <row r="5687" spans="1:18" hidden="1" x14ac:dyDescent="0.3">
      <c r="A5687" s="15" t="s">
        <v>17626</v>
      </c>
      <c r="B5687" s="15" t="s">
        <v>17627</v>
      </c>
      <c r="C5687" s="18" t="s">
        <v>28</v>
      </c>
      <c r="D5687" s="15" t="s">
        <v>17628</v>
      </c>
      <c r="E5687" s="18" t="s">
        <v>28</v>
      </c>
      <c r="F5687" s="19" t="s">
        <v>28</v>
      </c>
      <c r="G5687" s="19">
        <v>0.05</v>
      </c>
      <c r="H5687" s="19" t="s">
        <v>28</v>
      </c>
      <c r="I5687" s="18" t="s">
        <v>28</v>
      </c>
      <c r="J5687" s="18" t="s">
        <v>28</v>
      </c>
      <c r="K5687" s="18" t="s">
        <v>28</v>
      </c>
      <c r="L5687" s="18" t="s">
        <v>28</v>
      </c>
      <c r="M5687" s="18" t="s">
        <v>28</v>
      </c>
      <c r="N5687" s="17">
        <v>44117</v>
      </c>
      <c r="O5687" s="15" t="s">
        <v>52</v>
      </c>
      <c r="P5687" s="16" t="s">
        <v>1880</v>
      </c>
      <c r="Q5687" s="15" t="s">
        <v>1793</v>
      </c>
      <c r="R5687" s="13" t="str">
        <f>HYPERLINK("https://my.pitchbook.com?c=195664-78T","View Company Online")</f>
        <v>View Company Online</v>
      </c>
    </row>
    <row r="5688" spans="1:18" hidden="1" x14ac:dyDescent="0.3">
      <c r="A5688" s="9" t="s">
        <v>17629</v>
      </c>
      <c r="B5688" s="9" t="s">
        <v>3403</v>
      </c>
      <c r="C5688" s="11" t="s">
        <v>28</v>
      </c>
      <c r="D5688" s="9" t="s">
        <v>3404</v>
      </c>
      <c r="E5688" s="11" t="s">
        <v>28</v>
      </c>
      <c r="F5688" s="10" t="s">
        <v>28</v>
      </c>
      <c r="G5688" s="10" t="s">
        <v>28</v>
      </c>
      <c r="H5688" s="10" t="s">
        <v>28</v>
      </c>
      <c r="I5688" s="11" t="s">
        <v>28</v>
      </c>
      <c r="J5688" s="11" t="s">
        <v>28</v>
      </c>
      <c r="K5688" s="11" t="s">
        <v>28</v>
      </c>
      <c r="L5688" s="11" t="s">
        <v>28</v>
      </c>
      <c r="M5688" s="11" t="s">
        <v>28</v>
      </c>
      <c r="N5688" s="8">
        <v>44115</v>
      </c>
      <c r="O5688" s="9" t="s">
        <v>52</v>
      </c>
      <c r="P5688" s="12" t="s">
        <v>17630</v>
      </c>
      <c r="Q5688" s="9" t="s">
        <v>37</v>
      </c>
      <c r="R5688" s="14" t="str">
        <f>HYPERLINK("https://my.pitchbook.com?c=259610-14T","View Company Online")</f>
        <v>View Company Online</v>
      </c>
    </row>
    <row r="5689" spans="1:18" hidden="1" x14ac:dyDescent="0.3">
      <c r="A5689" s="15" t="s">
        <v>17631</v>
      </c>
      <c r="B5689" s="15" t="s">
        <v>11382</v>
      </c>
      <c r="C5689" s="18" t="s">
        <v>28</v>
      </c>
      <c r="D5689" s="15" t="s">
        <v>11383</v>
      </c>
      <c r="E5689" s="18" t="s">
        <v>28</v>
      </c>
      <c r="F5689" s="19" t="s">
        <v>28</v>
      </c>
      <c r="G5689" s="19" t="s">
        <v>28</v>
      </c>
      <c r="H5689" s="19" t="s">
        <v>28</v>
      </c>
      <c r="I5689" s="18" t="s">
        <v>28</v>
      </c>
      <c r="J5689" s="18" t="s">
        <v>28</v>
      </c>
      <c r="K5689" s="18" t="s">
        <v>28</v>
      </c>
      <c r="L5689" s="18" t="s">
        <v>28</v>
      </c>
      <c r="M5689" s="18" t="s">
        <v>28</v>
      </c>
      <c r="N5689" s="17">
        <v>44115</v>
      </c>
      <c r="O5689" s="15" t="s">
        <v>99</v>
      </c>
      <c r="P5689" s="16" t="s">
        <v>17632</v>
      </c>
      <c r="Q5689" s="15" t="s">
        <v>362</v>
      </c>
      <c r="R5689" s="13" t="str">
        <f>HYPERLINK("https://my.pitchbook.com?c=169068-34T","View Company Online")</f>
        <v>View Company Online</v>
      </c>
    </row>
    <row r="5690" spans="1:18" hidden="1" x14ac:dyDescent="0.3">
      <c r="A5690" s="9" t="s">
        <v>17633</v>
      </c>
      <c r="B5690" s="9" t="s">
        <v>3137</v>
      </c>
      <c r="C5690" s="11" t="s">
        <v>28</v>
      </c>
      <c r="D5690" s="9" t="s">
        <v>3138</v>
      </c>
      <c r="E5690" s="11" t="s">
        <v>28</v>
      </c>
      <c r="F5690" s="10" t="s">
        <v>28</v>
      </c>
      <c r="G5690" s="10">
        <v>0.54</v>
      </c>
      <c r="H5690" s="10" t="s">
        <v>28</v>
      </c>
      <c r="I5690" s="11" t="s">
        <v>28</v>
      </c>
      <c r="J5690" s="11" t="s">
        <v>28</v>
      </c>
      <c r="K5690" s="11" t="s">
        <v>28</v>
      </c>
      <c r="L5690" s="11" t="s">
        <v>28</v>
      </c>
      <c r="M5690" s="11" t="s">
        <v>28</v>
      </c>
      <c r="N5690" s="8">
        <v>44113</v>
      </c>
      <c r="O5690" s="9" t="s">
        <v>99</v>
      </c>
      <c r="P5690" s="12" t="s">
        <v>17634</v>
      </c>
      <c r="Q5690" s="9" t="s">
        <v>75</v>
      </c>
      <c r="R5690" s="14" t="str">
        <f>HYPERLINK("https://my.pitchbook.com?c=160684-39T","View Company Online")</f>
        <v>View Company Online</v>
      </c>
    </row>
    <row r="5691" spans="1:18" hidden="1" x14ac:dyDescent="0.3">
      <c r="A5691" s="15" t="s">
        <v>17635</v>
      </c>
      <c r="B5691" s="15" t="s">
        <v>17636</v>
      </c>
      <c r="C5691" s="18" t="s">
        <v>28</v>
      </c>
      <c r="D5691" s="15" t="s">
        <v>17637</v>
      </c>
      <c r="E5691" s="18" t="s">
        <v>28</v>
      </c>
      <c r="F5691" s="19" t="s">
        <v>28</v>
      </c>
      <c r="G5691" s="19">
        <v>1.46</v>
      </c>
      <c r="H5691" s="19" t="s">
        <v>28</v>
      </c>
      <c r="I5691" s="18" t="s">
        <v>28</v>
      </c>
      <c r="J5691" s="18" t="s">
        <v>28</v>
      </c>
      <c r="K5691" s="18" t="s">
        <v>28</v>
      </c>
      <c r="L5691" s="18" t="s">
        <v>28</v>
      </c>
      <c r="M5691" s="18" t="s">
        <v>28</v>
      </c>
      <c r="N5691" s="17">
        <v>44113</v>
      </c>
      <c r="O5691" s="15" t="s">
        <v>79</v>
      </c>
      <c r="P5691" s="16" t="s">
        <v>15891</v>
      </c>
      <c r="Q5691" s="15" t="s">
        <v>37</v>
      </c>
      <c r="R5691" s="13" t="str">
        <f>HYPERLINK("https://my.pitchbook.com?c=160183-72T","View Company Online")</f>
        <v>View Company Online</v>
      </c>
    </row>
    <row r="5692" spans="1:18" hidden="1" x14ac:dyDescent="0.3">
      <c r="A5692" s="9" t="s">
        <v>17638</v>
      </c>
      <c r="B5692" s="9" t="s">
        <v>1288</v>
      </c>
      <c r="C5692" s="11" t="s">
        <v>28</v>
      </c>
      <c r="D5692" s="9" t="s">
        <v>1289</v>
      </c>
      <c r="E5692" s="11" t="s">
        <v>28</v>
      </c>
      <c r="F5692" s="10" t="s">
        <v>28</v>
      </c>
      <c r="G5692" s="10">
        <v>0.52</v>
      </c>
      <c r="H5692" s="10" t="s">
        <v>28</v>
      </c>
      <c r="I5692" s="11" t="s">
        <v>28</v>
      </c>
      <c r="J5692" s="11" t="s">
        <v>28</v>
      </c>
      <c r="K5692" s="11" t="s">
        <v>28</v>
      </c>
      <c r="L5692" s="11" t="s">
        <v>28</v>
      </c>
      <c r="M5692" s="11" t="s">
        <v>28</v>
      </c>
      <c r="N5692" s="8">
        <v>44113</v>
      </c>
      <c r="O5692" s="9" t="s">
        <v>99</v>
      </c>
      <c r="P5692" s="12" t="s">
        <v>17639</v>
      </c>
      <c r="Q5692" s="9" t="s">
        <v>75</v>
      </c>
      <c r="R5692" s="14" t="str">
        <f>HYPERLINK("https://my.pitchbook.com?c=226830-16T","View Company Online")</f>
        <v>View Company Online</v>
      </c>
    </row>
    <row r="5693" spans="1:18" hidden="1" x14ac:dyDescent="0.3">
      <c r="A5693" s="15" t="s">
        <v>17640</v>
      </c>
      <c r="B5693" s="15" t="s">
        <v>17641</v>
      </c>
      <c r="C5693" s="18" t="s">
        <v>28</v>
      </c>
      <c r="D5693" s="15" t="s">
        <v>17642</v>
      </c>
      <c r="E5693" s="18" t="s">
        <v>28</v>
      </c>
      <c r="F5693" s="19" t="s">
        <v>28</v>
      </c>
      <c r="G5693" s="19">
        <v>0.27</v>
      </c>
      <c r="H5693" s="19" t="s">
        <v>28</v>
      </c>
      <c r="I5693" s="18" t="s">
        <v>28</v>
      </c>
      <c r="J5693" s="18" t="s">
        <v>28</v>
      </c>
      <c r="K5693" s="18" t="s">
        <v>28</v>
      </c>
      <c r="L5693" s="18" t="s">
        <v>28</v>
      </c>
      <c r="M5693" s="18" t="s">
        <v>28</v>
      </c>
      <c r="N5693" s="17">
        <v>44112</v>
      </c>
      <c r="O5693" s="15" t="s">
        <v>79</v>
      </c>
      <c r="P5693" s="16" t="s">
        <v>17643</v>
      </c>
      <c r="Q5693" s="15" t="s">
        <v>75</v>
      </c>
      <c r="R5693" s="13" t="str">
        <f>HYPERLINK("https://my.pitchbook.com?c=165086-92T","View Company Online")</f>
        <v>View Company Online</v>
      </c>
    </row>
    <row r="5694" spans="1:18" hidden="1" x14ac:dyDescent="0.3">
      <c r="A5694" s="9" t="s">
        <v>17644</v>
      </c>
      <c r="B5694" s="9" t="s">
        <v>17645</v>
      </c>
      <c r="C5694" s="11" t="s">
        <v>28</v>
      </c>
      <c r="D5694" s="9" t="s">
        <v>17646</v>
      </c>
      <c r="E5694" s="11">
        <v>-58.65</v>
      </c>
      <c r="F5694" s="10" t="s">
        <v>28</v>
      </c>
      <c r="G5694" s="10" t="s">
        <v>28</v>
      </c>
      <c r="H5694" s="10" t="s">
        <v>28</v>
      </c>
      <c r="I5694" s="11">
        <v>-52.29</v>
      </c>
      <c r="J5694" s="11" t="s">
        <v>28</v>
      </c>
      <c r="K5694" s="11">
        <v>34.979999999999997</v>
      </c>
      <c r="L5694" s="11" t="s">
        <v>28</v>
      </c>
      <c r="M5694" s="11">
        <v>-59.53</v>
      </c>
      <c r="N5694" s="8">
        <v>44112</v>
      </c>
      <c r="O5694" s="9" t="s">
        <v>173</v>
      </c>
      <c r="P5694" s="12" t="s">
        <v>28</v>
      </c>
      <c r="Q5694" s="9" t="s">
        <v>119</v>
      </c>
      <c r="R5694" s="14" t="str">
        <f>HYPERLINK("https://my.pitchbook.com?c=165924-19T","View Company Online")</f>
        <v>View Company Online</v>
      </c>
    </row>
    <row r="5695" spans="1:18" hidden="1" x14ac:dyDescent="0.3">
      <c r="A5695" s="15" t="s">
        <v>17647</v>
      </c>
      <c r="B5695" s="15" t="s">
        <v>5251</v>
      </c>
      <c r="C5695" s="18" t="s">
        <v>28</v>
      </c>
      <c r="D5695" s="15" t="s">
        <v>5252</v>
      </c>
      <c r="E5695" s="18">
        <v>28.48</v>
      </c>
      <c r="F5695" s="19" t="s">
        <v>28</v>
      </c>
      <c r="G5695" s="19">
        <v>105</v>
      </c>
      <c r="H5695" s="19" t="s">
        <v>28</v>
      </c>
      <c r="I5695" s="18">
        <v>32.5</v>
      </c>
      <c r="J5695" s="18" t="s">
        <v>28</v>
      </c>
      <c r="K5695" s="18">
        <v>175.53</v>
      </c>
      <c r="L5695" s="18" t="s">
        <v>28</v>
      </c>
      <c r="M5695" s="18">
        <v>24.43</v>
      </c>
      <c r="N5695" s="17">
        <v>44112</v>
      </c>
      <c r="O5695" s="15" t="s">
        <v>159</v>
      </c>
      <c r="P5695" s="16" t="s">
        <v>28</v>
      </c>
      <c r="Q5695" s="15" t="s">
        <v>299</v>
      </c>
      <c r="R5695" s="13" t="str">
        <f>HYPERLINK("https://my.pitchbook.com?c=213984-28T","View Company Online")</f>
        <v>View Company Online</v>
      </c>
    </row>
    <row r="5696" spans="1:18" hidden="1" x14ac:dyDescent="0.3">
      <c r="A5696" s="9" t="s">
        <v>17648</v>
      </c>
      <c r="B5696" s="9" t="s">
        <v>17649</v>
      </c>
      <c r="C5696" s="11" t="s">
        <v>28</v>
      </c>
      <c r="D5696" s="9" t="s">
        <v>17650</v>
      </c>
      <c r="E5696" s="11" t="s">
        <v>28</v>
      </c>
      <c r="F5696" s="10" t="s">
        <v>28</v>
      </c>
      <c r="G5696" s="10" t="s">
        <v>28</v>
      </c>
      <c r="H5696" s="10" t="s">
        <v>28</v>
      </c>
      <c r="I5696" s="11" t="s">
        <v>28</v>
      </c>
      <c r="J5696" s="11" t="s">
        <v>28</v>
      </c>
      <c r="K5696" s="11" t="s">
        <v>28</v>
      </c>
      <c r="L5696" s="11" t="s">
        <v>28</v>
      </c>
      <c r="M5696" s="11" t="s">
        <v>28</v>
      </c>
      <c r="N5696" s="8">
        <v>44112</v>
      </c>
      <c r="O5696" s="9" t="s">
        <v>30</v>
      </c>
      <c r="P5696" s="12" t="s">
        <v>17651</v>
      </c>
      <c r="Q5696" s="9" t="s">
        <v>245</v>
      </c>
      <c r="R5696" s="14" t="str">
        <f>HYPERLINK("https://my.pitchbook.com?c=168427-18T","View Company Online")</f>
        <v>View Company Online</v>
      </c>
    </row>
    <row r="5697" spans="1:18" hidden="1" x14ac:dyDescent="0.3">
      <c r="A5697" s="15" t="s">
        <v>17652</v>
      </c>
      <c r="B5697" s="15" t="s">
        <v>17653</v>
      </c>
      <c r="C5697" s="18" t="s">
        <v>28</v>
      </c>
      <c r="D5697" s="15" t="s">
        <v>17654</v>
      </c>
      <c r="E5697" s="18" t="s">
        <v>28</v>
      </c>
      <c r="F5697" s="19" t="s">
        <v>28</v>
      </c>
      <c r="G5697" s="19">
        <v>0.55000000000000004</v>
      </c>
      <c r="H5697" s="19" t="s">
        <v>28</v>
      </c>
      <c r="I5697" s="18" t="s">
        <v>28</v>
      </c>
      <c r="J5697" s="18" t="s">
        <v>28</v>
      </c>
      <c r="K5697" s="18" t="s">
        <v>28</v>
      </c>
      <c r="L5697" s="18" t="s">
        <v>28</v>
      </c>
      <c r="M5697" s="18" t="s">
        <v>28</v>
      </c>
      <c r="N5697" s="17">
        <v>44112</v>
      </c>
      <c r="O5697" s="15" t="s">
        <v>99</v>
      </c>
      <c r="P5697" s="16" t="s">
        <v>28</v>
      </c>
      <c r="Q5697" s="15" t="s">
        <v>381</v>
      </c>
      <c r="R5697" s="13" t="str">
        <f>HYPERLINK("https://my.pitchbook.com?c=159548-05T","View Company Online")</f>
        <v>View Company Online</v>
      </c>
    </row>
    <row r="5698" spans="1:18" hidden="1" x14ac:dyDescent="0.3">
      <c r="A5698" s="9" t="s">
        <v>17655</v>
      </c>
      <c r="B5698" s="9" t="s">
        <v>17656</v>
      </c>
      <c r="C5698" s="11" t="s">
        <v>28</v>
      </c>
      <c r="D5698" s="9" t="s">
        <v>17657</v>
      </c>
      <c r="E5698" s="11" t="s">
        <v>28</v>
      </c>
      <c r="F5698" s="10" t="s">
        <v>28</v>
      </c>
      <c r="G5698" s="10" t="s">
        <v>28</v>
      </c>
      <c r="H5698" s="10" t="s">
        <v>28</v>
      </c>
      <c r="I5698" s="11" t="s">
        <v>28</v>
      </c>
      <c r="J5698" s="11" t="s">
        <v>28</v>
      </c>
      <c r="K5698" s="11" t="s">
        <v>28</v>
      </c>
      <c r="L5698" s="11" t="s">
        <v>28</v>
      </c>
      <c r="M5698" s="11" t="s">
        <v>28</v>
      </c>
      <c r="N5698" s="8">
        <v>44111</v>
      </c>
      <c r="O5698" s="9" t="s">
        <v>30</v>
      </c>
      <c r="P5698" s="12" t="s">
        <v>4961</v>
      </c>
      <c r="Q5698" s="9" t="s">
        <v>240</v>
      </c>
      <c r="R5698" s="14" t="str">
        <f>HYPERLINK("https://my.pitchbook.com?c=224472-79T","View Company Online")</f>
        <v>View Company Online</v>
      </c>
    </row>
    <row r="5699" spans="1:18" hidden="1" x14ac:dyDescent="0.3">
      <c r="A5699" s="15" t="s">
        <v>17658</v>
      </c>
      <c r="B5699" s="15" t="s">
        <v>618</v>
      </c>
      <c r="C5699" s="18" t="s">
        <v>28</v>
      </c>
      <c r="D5699" s="15" t="s">
        <v>619</v>
      </c>
      <c r="E5699" s="18" t="s">
        <v>28</v>
      </c>
      <c r="F5699" s="19" t="s">
        <v>28</v>
      </c>
      <c r="G5699" s="19">
        <v>100</v>
      </c>
      <c r="H5699" s="19" t="s">
        <v>28</v>
      </c>
      <c r="I5699" s="18" t="s">
        <v>28</v>
      </c>
      <c r="J5699" s="18" t="s">
        <v>28</v>
      </c>
      <c r="K5699" s="18">
        <v>40</v>
      </c>
      <c r="L5699" s="18" t="s">
        <v>28</v>
      </c>
      <c r="M5699" s="18" t="s">
        <v>28</v>
      </c>
      <c r="N5699" s="17">
        <v>44111</v>
      </c>
      <c r="O5699" s="15" t="s">
        <v>93</v>
      </c>
      <c r="P5699" s="16" t="s">
        <v>17659</v>
      </c>
      <c r="Q5699" s="15" t="s">
        <v>263</v>
      </c>
      <c r="R5699" s="13" t="str">
        <f>HYPERLINK("https://my.pitchbook.com?c=157280-68T","View Company Online")</f>
        <v>View Company Online</v>
      </c>
    </row>
    <row r="5700" spans="1:18" hidden="1" x14ac:dyDescent="0.3">
      <c r="A5700" s="9" t="s">
        <v>17660</v>
      </c>
      <c r="B5700" s="9" t="s">
        <v>17661</v>
      </c>
      <c r="C5700" s="11" t="s">
        <v>28</v>
      </c>
      <c r="D5700" s="9" t="s">
        <v>17662</v>
      </c>
      <c r="E5700" s="11" t="s">
        <v>28</v>
      </c>
      <c r="F5700" s="10" t="s">
        <v>28</v>
      </c>
      <c r="G5700" s="10" t="s">
        <v>28</v>
      </c>
      <c r="H5700" s="10" t="s">
        <v>28</v>
      </c>
      <c r="I5700" s="11" t="s">
        <v>28</v>
      </c>
      <c r="J5700" s="11" t="s">
        <v>28</v>
      </c>
      <c r="K5700" s="11" t="s">
        <v>28</v>
      </c>
      <c r="L5700" s="11" t="s">
        <v>28</v>
      </c>
      <c r="M5700" s="11" t="s">
        <v>28</v>
      </c>
      <c r="N5700" s="8">
        <v>44111</v>
      </c>
      <c r="O5700" s="9" t="s">
        <v>30</v>
      </c>
      <c r="P5700" s="12" t="s">
        <v>17663</v>
      </c>
      <c r="Q5700" s="9" t="s">
        <v>692</v>
      </c>
      <c r="R5700" s="14" t="str">
        <f>HYPERLINK("https://my.pitchbook.com?c=158184-19T","View Company Online")</f>
        <v>View Company Online</v>
      </c>
    </row>
    <row r="5701" spans="1:18" hidden="1" x14ac:dyDescent="0.3">
      <c r="A5701" s="15" t="s">
        <v>17664</v>
      </c>
      <c r="B5701" s="15" t="s">
        <v>13067</v>
      </c>
      <c r="C5701" s="18" t="s">
        <v>28</v>
      </c>
      <c r="D5701" s="15" t="s">
        <v>13068</v>
      </c>
      <c r="E5701" s="18" t="s">
        <v>28</v>
      </c>
      <c r="F5701" s="19" t="s">
        <v>28</v>
      </c>
      <c r="G5701" s="19" t="s">
        <v>28</v>
      </c>
      <c r="H5701" s="19" t="s">
        <v>28</v>
      </c>
      <c r="I5701" s="18" t="s">
        <v>28</v>
      </c>
      <c r="J5701" s="18" t="s">
        <v>28</v>
      </c>
      <c r="K5701" s="18" t="s">
        <v>28</v>
      </c>
      <c r="L5701" s="18" t="s">
        <v>28</v>
      </c>
      <c r="M5701" s="18" t="s">
        <v>28</v>
      </c>
      <c r="N5701" s="17">
        <v>44111</v>
      </c>
      <c r="O5701" s="15" t="s">
        <v>52</v>
      </c>
      <c r="P5701" s="16" t="s">
        <v>3955</v>
      </c>
      <c r="Q5701" s="15" t="s">
        <v>37</v>
      </c>
      <c r="R5701" s="13" t="str">
        <f>HYPERLINK("https://my.pitchbook.com?c=288476-92T","View Company Online")</f>
        <v>View Company Online</v>
      </c>
    </row>
    <row r="5702" spans="1:18" hidden="1" x14ac:dyDescent="0.3">
      <c r="A5702" s="9" t="s">
        <v>17665</v>
      </c>
      <c r="B5702" s="9" t="s">
        <v>9217</v>
      </c>
      <c r="C5702" s="11" t="s">
        <v>28</v>
      </c>
      <c r="D5702" s="9" t="s">
        <v>9218</v>
      </c>
      <c r="E5702" s="11">
        <v>8.8699999999999992</v>
      </c>
      <c r="F5702" s="10" t="s">
        <v>28</v>
      </c>
      <c r="G5702" s="10">
        <v>183.54</v>
      </c>
      <c r="H5702" s="10" t="s">
        <v>28</v>
      </c>
      <c r="I5702" s="11">
        <v>22.94</v>
      </c>
      <c r="J5702" s="11" t="s">
        <v>28</v>
      </c>
      <c r="K5702" s="11">
        <v>193.73</v>
      </c>
      <c r="L5702" s="11" t="s">
        <v>28</v>
      </c>
      <c r="M5702" s="11">
        <v>1.36</v>
      </c>
      <c r="N5702" s="8">
        <v>44111</v>
      </c>
      <c r="O5702" s="9" t="s">
        <v>173</v>
      </c>
      <c r="P5702" s="12" t="s">
        <v>28</v>
      </c>
      <c r="Q5702" s="9" t="s">
        <v>5347</v>
      </c>
      <c r="R5702" s="14" t="str">
        <f>HYPERLINK("https://my.pitchbook.com?c=160318-09T","View Company Online")</f>
        <v>View Company Online</v>
      </c>
    </row>
    <row r="5703" spans="1:18" hidden="1" x14ac:dyDescent="0.3">
      <c r="A5703" s="15" t="s">
        <v>17666</v>
      </c>
      <c r="B5703" s="15" t="s">
        <v>17667</v>
      </c>
      <c r="C5703" s="18" t="s">
        <v>28</v>
      </c>
      <c r="D5703" s="15" t="s">
        <v>17668</v>
      </c>
      <c r="E5703" s="18" t="s">
        <v>28</v>
      </c>
      <c r="F5703" s="19">
        <v>18.39</v>
      </c>
      <c r="G5703" s="19">
        <v>18.39</v>
      </c>
      <c r="H5703" s="19">
        <v>18.39</v>
      </c>
      <c r="I5703" s="18" t="s">
        <v>28</v>
      </c>
      <c r="J5703" s="18" t="s">
        <v>28</v>
      </c>
      <c r="K5703" s="18" t="s">
        <v>28</v>
      </c>
      <c r="L5703" s="18" t="s">
        <v>28</v>
      </c>
      <c r="M5703" s="18" t="s">
        <v>28</v>
      </c>
      <c r="N5703" s="17">
        <v>44110</v>
      </c>
      <c r="O5703" s="15" t="s">
        <v>30</v>
      </c>
      <c r="P5703" s="16" t="s">
        <v>17669</v>
      </c>
      <c r="Q5703" s="15" t="s">
        <v>75</v>
      </c>
      <c r="R5703" s="13" t="str">
        <f>HYPERLINK("https://my.pitchbook.com?c=157411-09T","View Company Online")</f>
        <v>View Company Online</v>
      </c>
    </row>
    <row r="5704" spans="1:18" hidden="1" x14ac:dyDescent="0.3">
      <c r="A5704" s="9" t="s">
        <v>17670</v>
      </c>
      <c r="B5704" s="9" t="s">
        <v>17671</v>
      </c>
      <c r="C5704" s="11" t="s">
        <v>28</v>
      </c>
      <c r="D5704" s="9" t="s">
        <v>17672</v>
      </c>
      <c r="E5704" s="11" t="s">
        <v>28</v>
      </c>
      <c r="F5704" s="10" t="s">
        <v>28</v>
      </c>
      <c r="G5704" s="10" t="s">
        <v>28</v>
      </c>
      <c r="H5704" s="10" t="s">
        <v>28</v>
      </c>
      <c r="I5704" s="11" t="s">
        <v>28</v>
      </c>
      <c r="J5704" s="11" t="s">
        <v>28</v>
      </c>
      <c r="K5704" s="11" t="s">
        <v>28</v>
      </c>
      <c r="L5704" s="11" t="s">
        <v>28</v>
      </c>
      <c r="M5704" s="11" t="s">
        <v>28</v>
      </c>
      <c r="N5704" s="8">
        <v>44110</v>
      </c>
      <c r="O5704" s="9" t="s">
        <v>30</v>
      </c>
      <c r="P5704" s="12" t="s">
        <v>8550</v>
      </c>
      <c r="Q5704" s="9" t="s">
        <v>362</v>
      </c>
      <c r="R5704" s="14" t="str">
        <f>HYPERLINK("https://my.pitchbook.com?c=213477-31T","View Company Online")</f>
        <v>View Company Online</v>
      </c>
    </row>
    <row r="5705" spans="1:18" hidden="1" x14ac:dyDescent="0.3">
      <c r="A5705" s="15" t="s">
        <v>17673</v>
      </c>
      <c r="B5705" s="15" t="s">
        <v>9021</v>
      </c>
      <c r="C5705" s="18" t="s">
        <v>28</v>
      </c>
      <c r="D5705" s="15" t="s">
        <v>9022</v>
      </c>
      <c r="E5705" s="18" t="s">
        <v>28</v>
      </c>
      <c r="F5705" s="19" t="s">
        <v>28</v>
      </c>
      <c r="G5705" s="19">
        <v>1.1100000000000001</v>
      </c>
      <c r="H5705" s="19" t="s">
        <v>28</v>
      </c>
      <c r="I5705" s="18" t="s">
        <v>28</v>
      </c>
      <c r="J5705" s="18" t="s">
        <v>28</v>
      </c>
      <c r="K5705" s="18">
        <v>0.97</v>
      </c>
      <c r="L5705" s="18" t="s">
        <v>28</v>
      </c>
      <c r="M5705" s="18" t="s">
        <v>28</v>
      </c>
      <c r="N5705" s="17">
        <v>44109</v>
      </c>
      <c r="O5705" s="15" t="s">
        <v>79</v>
      </c>
      <c r="P5705" s="16" t="s">
        <v>17674</v>
      </c>
      <c r="Q5705" s="15" t="s">
        <v>362</v>
      </c>
      <c r="R5705" s="13" t="str">
        <f>HYPERLINK("https://my.pitchbook.com?c=157496-23T","View Company Online")</f>
        <v>View Company Online</v>
      </c>
    </row>
    <row r="5706" spans="1:18" hidden="1" x14ac:dyDescent="0.3">
      <c r="A5706" s="9" t="s">
        <v>17675</v>
      </c>
      <c r="B5706" s="9" t="s">
        <v>17676</v>
      </c>
      <c r="C5706" s="11" t="s">
        <v>28</v>
      </c>
      <c r="D5706" s="9" t="s">
        <v>17677</v>
      </c>
      <c r="E5706" s="11" t="s">
        <v>28</v>
      </c>
      <c r="F5706" s="10" t="s">
        <v>28</v>
      </c>
      <c r="G5706" s="10" t="s">
        <v>28</v>
      </c>
      <c r="H5706" s="10" t="s">
        <v>28</v>
      </c>
      <c r="I5706" s="11" t="s">
        <v>28</v>
      </c>
      <c r="J5706" s="11" t="s">
        <v>28</v>
      </c>
      <c r="K5706" s="11" t="s">
        <v>28</v>
      </c>
      <c r="L5706" s="11" t="s">
        <v>28</v>
      </c>
      <c r="M5706" s="11" t="s">
        <v>28</v>
      </c>
      <c r="N5706" s="8">
        <v>44109</v>
      </c>
      <c r="O5706" s="9" t="s">
        <v>173</v>
      </c>
      <c r="P5706" s="12" t="s">
        <v>28</v>
      </c>
      <c r="Q5706" s="9" t="s">
        <v>174</v>
      </c>
      <c r="R5706" s="14" t="str">
        <f>HYPERLINK("https://my.pitchbook.com?c=251052-04T","View Company Online")</f>
        <v>View Company Online</v>
      </c>
    </row>
    <row r="5707" spans="1:18" hidden="1" x14ac:dyDescent="0.3">
      <c r="A5707" s="15" t="s">
        <v>17678</v>
      </c>
      <c r="B5707" s="15" t="s">
        <v>17679</v>
      </c>
      <c r="C5707" s="18" t="s">
        <v>28</v>
      </c>
      <c r="D5707" s="15" t="s">
        <v>17680</v>
      </c>
      <c r="E5707" s="18" t="s">
        <v>28</v>
      </c>
      <c r="F5707" s="19" t="s">
        <v>28</v>
      </c>
      <c r="G5707" s="19" t="s">
        <v>28</v>
      </c>
      <c r="H5707" s="19" t="s">
        <v>28</v>
      </c>
      <c r="I5707" s="18" t="s">
        <v>28</v>
      </c>
      <c r="J5707" s="18" t="s">
        <v>28</v>
      </c>
      <c r="K5707" s="18" t="s">
        <v>28</v>
      </c>
      <c r="L5707" s="18" t="s">
        <v>28</v>
      </c>
      <c r="M5707" s="18" t="s">
        <v>28</v>
      </c>
      <c r="N5707" s="17">
        <v>44109</v>
      </c>
      <c r="O5707" s="15" t="s">
        <v>79</v>
      </c>
      <c r="P5707" s="16" t="s">
        <v>11495</v>
      </c>
      <c r="Q5707" s="15" t="s">
        <v>75</v>
      </c>
      <c r="R5707" s="13" t="str">
        <f>HYPERLINK("https://my.pitchbook.com?c=190859-86T","View Company Online")</f>
        <v>View Company Online</v>
      </c>
    </row>
    <row r="5708" spans="1:18" hidden="1" x14ac:dyDescent="0.3">
      <c r="A5708" s="9" t="s">
        <v>17681</v>
      </c>
      <c r="B5708" s="9" t="s">
        <v>15669</v>
      </c>
      <c r="C5708" s="11" t="s">
        <v>28</v>
      </c>
      <c r="D5708" s="9" t="s">
        <v>15670</v>
      </c>
      <c r="E5708" s="11" t="s">
        <v>28</v>
      </c>
      <c r="F5708" s="10" t="s">
        <v>28</v>
      </c>
      <c r="G5708" s="10" t="s">
        <v>28</v>
      </c>
      <c r="H5708" s="10" t="s">
        <v>28</v>
      </c>
      <c r="I5708" s="11" t="s">
        <v>28</v>
      </c>
      <c r="J5708" s="11" t="s">
        <v>28</v>
      </c>
      <c r="K5708" s="11" t="s">
        <v>28</v>
      </c>
      <c r="L5708" s="11" t="s">
        <v>28</v>
      </c>
      <c r="M5708" s="11" t="s">
        <v>28</v>
      </c>
      <c r="N5708" s="8">
        <v>44109</v>
      </c>
      <c r="O5708" s="9" t="s">
        <v>52</v>
      </c>
      <c r="P5708" s="12" t="s">
        <v>1880</v>
      </c>
      <c r="Q5708" s="9" t="s">
        <v>362</v>
      </c>
      <c r="R5708" s="14" t="str">
        <f>HYPERLINK("https://my.pitchbook.com?c=262385-65T","View Company Online")</f>
        <v>View Company Online</v>
      </c>
    </row>
    <row r="5709" spans="1:18" hidden="1" x14ac:dyDescent="0.3">
      <c r="A5709" s="15" t="s">
        <v>17682</v>
      </c>
      <c r="B5709" s="15" t="s">
        <v>17683</v>
      </c>
      <c r="C5709" s="18" t="s">
        <v>28</v>
      </c>
      <c r="D5709" s="15" t="s">
        <v>17684</v>
      </c>
      <c r="E5709" s="18" t="s">
        <v>28</v>
      </c>
      <c r="F5709" s="19">
        <v>1.05</v>
      </c>
      <c r="G5709" s="19">
        <v>1.05</v>
      </c>
      <c r="H5709" s="19">
        <v>1.05</v>
      </c>
      <c r="I5709" s="18" t="s">
        <v>28</v>
      </c>
      <c r="J5709" s="18" t="s">
        <v>28</v>
      </c>
      <c r="K5709" s="18">
        <v>0.49</v>
      </c>
      <c r="L5709" s="18">
        <v>2.13</v>
      </c>
      <c r="M5709" s="18" t="s">
        <v>28</v>
      </c>
      <c r="N5709" s="17">
        <v>44109</v>
      </c>
      <c r="O5709" s="15" t="s">
        <v>30</v>
      </c>
      <c r="P5709" s="16" t="s">
        <v>4616</v>
      </c>
      <c r="Q5709" s="15" t="s">
        <v>245</v>
      </c>
      <c r="R5709" s="13" t="str">
        <f>HYPERLINK("https://my.pitchbook.com?c=160184-98T","View Company Online")</f>
        <v>View Company Online</v>
      </c>
    </row>
    <row r="5710" spans="1:18" hidden="1" x14ac:dyDescent="0.3">
      <c r="A5710" s="9" t="s">
        <v>17685</v>
      </c>
      <c r="B5710" s="9" t="s">
        <v>2170</v>
      </c>
      <c r="C5710" s="11" t="s">
        <v>28</v>
      </c>
      <c r="D5710" s="9" t="s">
        <v>2171</v>
      </c>
      <c r="E5710" s="11" t="s">
        <v>28</v>
      </c>
      <c r="F5710" s="10" t="s">
        <v>28</v>
      </c>
      <c r="G5710" s="10">
        <v>2</v>
      </c>
      <c r="H5710" s="10" t="s">
        <v>28</v>
      </c>
      <c r="I5710" s="11" t="s">
        <v>28</v>
      </c>
      <c r="J5710" s="11" t="s">
        <v>28</v>
      </c>
      <c r="K5710" s="11" t="s">
        <v>28</v>
      </c>
      <c r="L5710" s="11" t="s">
        <v>28</v>
      </c>
      <c r="M5710" s="11" t="s">
        <v>28</v>
      </c>
      <c r="N5710" s="8">
        <v>44106</v>
      </c>
      <c r="O5710" s="9" t="s">
        <v>73</v>
      </c>
      <c r="P5710" s="12" t="s">
        <v>7467</v>
      </c>
      <c r="Q5710" s="9" t="s">
        <v>1336</v>
      </c>
      <c r="R5710" s="14" t="str">
        <f>HYPERLINK("https://my.pitchbook.com?c=171529-66T","View Company Online")</f>
        <v>View Company Online</v>
      </c>
    </row>
    <row r="5711" spans="1:18" hidden="1" x14ac:dyDescent="0.3">
      <c r="A5711" s="15" t="s">
        <v>17686</v>
      </c>
      <c r="B5711" s="15" t="s">
        <v>17687</v>
      </c>
      <c r="C5711" s="18" t="s">
        <v>28</v>
      </c>
      <c r="D5711" s="15" t="s">
        <v>17688</v>
      </c>
      <c r="E5711" s="18" t="s">
        <v>28</v>
      </c>
      <c r="F5711" s="19" t="s">
        <v>28</v>
      </c>
      <c r="G5711" s="19" t="s">
        <v>28</v>
      </c>
      <c r="H5711" s="19" t="s">
        <v>28</v>
      </c>
      <c r="I5711" s="18" t="s">
        <v>28</v>
      </c>
      <c r="J5711" s="18" t="s">
        <v>28</v>
      </c>
      <c r="K5711" s="18" t="s">
        <v>28</v>
      </c>
      <c r="L5711" s="18" t="s">
        <v>28</v>
      </c>
      <c r="M5711" s="18" t="s">
        <v>28</v>
      </c>
      <c r="N5711" s="17">
        <v>44106</v>
      </c>
      <c r="O5711" s="15" t="s">
        <v>30</v>
      </c>
      <c r="P5711" s="16" t="s">
        <v>17689</v>
      </c>
      <c r="Q5711" s="15" t="s">
        <v>692</v>
      </c>
      <c r="R5711" s="13" t="str">
        <f>HYPERLINK("https://my.pitchbook.com?c=133841-80T","View Company Online")</f>
        <v>View Company Online</v>
      </c>
    </row>
    <row r="5712" spans="1:18" hidden="1" x14ac:dyDescent="0.3">
      <c r="A5712" s="9" t="s">
        <v>17690</v>
      </c>
      <c r="B5712" s="9" t="s">
        <v>17691</v>
      </c>
      <c r="C5712" s="11" t="s">
        <v>28</v>
      </c>
      <c r="D5712" s="9" t="s">
        <v>17692</v>
      </c>
      <c r="E5712" s="11" t="s">
        <v>28</v>
      </c>
      <c r="F5712" s="10" t="s">
        <v>28</v>
      </c>
      <c r="G5712" s="10" t="s">
        <v>28</v>
      </c>
      <c r="H5712" s="10" t="s">
        <v>28</v>
      </c>
      <c r="I5712" s="11" t="s">
        <v>28</v>
      </c>
      <c r="J5712" s="11" t="s">
        <v>28</v>
      </c>
      <c r="K5712" s="11" t="s">
        <v>28</v>
      </c>
      <c r="L5712" s="11" t="s">
        <v>28</v>
      </c>
      <c r="M5712" s="11" t="s">
        <v>28</v>
      </c>
      <c r="N5712" s="8">
        <v>44106</v>
      </c>
      <c r="O5712" s="9" t="s">
        <v>58</v>
      </c>
      <c r="P5712" s="12" t="s">
        <v>28</v>
      </c>
      <c r="Q5712" s="9" t="s">
        <v>245</v>
      </c>
      <c r="R5712" s="14" t="str">
        <f>HYPERLINK("https://my.pitchbook.com?c=211207-87T","View Company Online")</f>
        <v>View Company Online</v>
      </c>
    </row>
    <row r="5713" spans="1:18" hidden="1" x14ac:dyDescent="0.3">
      <c r="A5713" s="15" t="s">
        <v>17693</v>
      </c>
      <c r="B5713" s="15" t="s">
        <v>13242</v>
      </c>
      <c r="C5713" s="18" t="s">
        <v>28</v>
      </c>
      <c r="D5713" s="15" t="s">
        <v>13243</v>
      </c>
      <c r="E5713" s="18" t="s">
        <v>28</v>
      </c>
      <c r="F5713" s="19" t="s">
        <v>28</v>
      </c>
      <c r="G5713" s="19">
        <v>0.1</v>
      </c>
      <c r="H5713" s="19" t="s">
        <v>28</v>
      </c>
      <c r="I5713" s="18" t="s">
        <v>28</v>
      </c>
      <c r="J5713" s="18" t="s">
        <v>28</v>
      </c>
      <c r="K5713" s="18" t="s">
        <v>28</v>
      </c>
      <c r="L5713" s="18" t="s">
        <v>28</v>
      </c>
      <c r="M5713" s="18" t="s">
        <v>28</v>
      </c>
      <c r="N5713" s="17">
        <v>44106</v>
      </c>
      <c r="O5713" s="15" t="s">
        <v>52</v>
      </c>
      <c r="P5713" s="16" t="s">
        <v>17694</v>
      </c>
      <c r="Q5713" s="15" t="s">
        <v>75</v>
      </c>
      <c r="R5713" s="13" t="str">
        <f>HYPERLINK("https://my.pitchbook.com?c=160008-40T","View Company Online")</f>
        <v>View Company Online</v>
      </c>
    </row>
    <row r="5714" spans="1:18" hidden="1" x14ac:dyDescent="0.3">
      <c r="A5714" s="9" t="s">
        <v>17695</v>
      </c>
      <c r="B5714" s="9" t="s">
        <v>17696</v>
      </c>
      <c r="C5714" s="11" t="s">
        <v>28</v>
      </c>
      <c r="D5714" s="9" t="s">
        <v>17697</v>
      </c>
      <c r="E5714" s="11" t="s">
        <v>28</v>
      </c>
      <c r="F5714" s="10" t="s">
        <v>28</v>
      </c>
      <c r="G5714" s="10">
        <v>0.74</v>
      </c>
      <c r="H5714" s="10" t="s">
        <v>28</v>
      </c>
      <c r="I5714" s="11" t="s">
        <v>28</v>
      </c>
      <c r="J5714" s="11" t="s">
        <v>28</v>
      </c>
      <c r="K5714" s="11" t="s">
        <v>28</v>
      </c>
      <c r="L5714" s="11" t="s">
        <v>28</v>
      </c>
      <c r="M5714" s="11" t="s">
        <v>28</v>
      </c>
      <c r="N5714" s="8">
        <v>44106</v>
      </c>
      <c r="O5714" s="9" t="s">
        <v>79</v>
      </c>
      <c r="P5714" s="12" t="s">
        <v>17698</v>
      </c>
      <c r="Q5714" s="9" t="s">
        <v>75</v>
      </c>
      <c r="R5714" s="14" t="str">
        <f>HYPERLINK("https://my.pitchbook.com?c=158321-71T","View Company Online")</f>
        <v>View Company Online</v>
      </c>
    </row>
    <row r="5715" spans="1:18" hidden="1" x14ac:dyDescent="0.3">
      <c r="A5715" s="15" t="s">
        <v>17699</v>
      </c>
      <c r="B5715" s="15" t="s">
        <v>9155</v>
      </c>
      <c r="C5715" s="18" t="s">
        <v>28</v>
      </c>
      <c r="D5715" s="15" t="s">
        <v>9156</v>
      </c>
      <c r="E5715" s="18" t="s">
        <v>28</v>
      </c>
      <c r="F5715" s="19" t="s">
        <v>28</v>
      </c>
      <c r="G5715" s="19">
        <v>30.79</v>
      </c>
      <c r="H5715" s="19" t="s">
        <v>28</v>
      </c>
      <c r="I5715" s="18" t="s">
        <v>28</v>
      </c>
      <c r="J5715" s="18" t="s">
        <v>28</v>
      </c>
      <c r="K5715" s="18" t="s">
        <v>28</v>
      </c>
      <c r="L5715" s="18" t="s">
        <v>28</v>
      </c>
      <c r="M5715" s="18" t="s">
        <v>28</v>
      </c>
      <c r="N5715" s="17">
        <v>44106</v>
      </c>
      <c r="O5715" s="15" t="s">
        <v>79</v>
      </c>
      <c r="P5715" s="16" t="s">
        <v>17700</v>
      </c>
      <c r="Q5715" s="15" t="s">
        <v>75</v>
      </c>
      <c r="R5715" s="13" t="str">
        <f>HYPERLINK("https://my.pitchbook.com?c=129537-73T","View Company Online")</f>
        <v>View Company Online</v>
      </c>
    </row>
    <row r="5716" spans="1:18" hidden="1" x14ac:dyDescent="0.3">
      <c r="A5716" s="9" t="s">
        <v>17701</v>
      </c>
      <c r="B5716" s="9" t="s">
        <v>11043</v>
      </c>
      <c r="C5716" s="11" t="s">
        <v>28</v>
      </c>
      <c r="D5716" s="9" t="s">
        <v>11044</v>
      </c>
      <c r="E5716" s="11" t="s">
        <v>28</v>
      </c>
      <c r="F5716" s="10" t="s">
        <v>28</v>
      </c>
      <c r="G5716" s="10">
        <v>2.2000000000000002</v>
      </c>
      <c r="H5716" s="10" t="s">
        <v>28</v>
      </c>
      <c r="I5716" s="11" t="s">
        <v>28</v>
      </c>
      <c r="J5716" s="11" t="s">
        <v>28</v>
      </c>
      <c r="K5716" s="11" t="s">
        <v>28</v>
      </c>
      <c r="L5716" s="11" t="s">
        <v>28</v>
      </c>
      <c r="M5716" s="11" t="s">
        <v>28</v>
      </c>
      <c r="N5716" s="8">
        <v>44106</v>
      </c>
      <c r="O5716" s="9" t="s">
        <v>99</v>
      </c>
      <c r="P5716" s="12" t="s">
        <v>17702</v>
      </c>
      <c r="Q5716" s="9" t="s">
        <v>75</v>
      </c>
      <c r="R5716" s="14" t="str">
        <f>HYPERLINK("https://my.pitchbook.com?c=160885-18T","View Company Online")</f>
        <v>View Company Online</v>
      </c>
    </row>
    <row r="5717" spans="1:18" hidden="1" x14ac:dyDescent="0.3">
      <c r="A5717" s="15" t="s">
        <v>17703</v>
      </c>
      <c r="B5717" s="15" t="s">
        <v>5936</v>
      </c>
      <c r="C5717" s="18" t="s">
        <v>28</v>
      </c>
      <c r="D5717" s="15" t="s">
        <v>17704</v>
      </c>
      <c r="E5717" s="18">
        <v>-4218.72</v>
      </c>
      <c r="F5717" s="19" t="s">
        <v>28</v>
      </c>
      <c r="G5717" s="19">
        <v>1280.98</v>
      </c>
      <c r="H5717" s="19" t="s">
        <v>28</v>
      </c>
      <c r="I5717" s="18">
        <v>-2808.63</v>
      </c>
      <c r="J5717" s="18" t="s">
        <v>28</v>
      </c>
      <c r="K5717" s="18">
        <v>6109.28</v>
      </c>
      <c r="L5717" s="18" t="s">
        <v>28</v>
      </c>
      <c r="M5717" s="18">
        <v>-3203.77</v>
      </c>
      <c r="N5717" s="17">
        <v>44106</v>
      </c>
      <c r="O5717" s="15" t="s">
        <v>423</v>
      </c>
      <c r="P5717" s="16" t="s">
        <v>28</v>
      </c>
      <c r="Q5717" s="15" t="s">
        <v>5937</v>
      </c>
      <c r="R5717" s="13" t="str">
        <f>HYPERLINK("https://my.pitchbook.com?c=158148-28T","View Company Online")</f>
        <v>View Company Online</v>
      </c>
    </row>
    <row r="5718" spans="1:18" hidden="1" x14ac:dyDescent="0.3">
      <c r="A5718" s="9" t="s">
        <v>17705</v>
      </c>
      <c r="B5718" s="9" t="s">
        <v>10168</v>
      </c>
      <c r="C5718" s="11" t="s">
        <v>28</v>
      </c>
      <c r="D5718" s="9" t="s">
        <v>10169</v>
      </c>
      <c r="E5718" s="11" t="s">
        <v>28</v>
      </c>
      <c r="F5718" s="10" t="s">
        <v>28</v>
      </c>
      <c r="G5718" s="10">
        <v>2.3199999999999998</v>
      </c>
      <c r="H5718" s="10" t="s">
        <v>28</v>
      </c>
      <c r="I5718" s="11" t="s">
        <v>28</v>
      </c>
      <c r="J5718" s="11" t="s">
        <v>28</v>
      </c>
      <c r="K5718" s="11" t="s">
        <v>28</v>
      </c>
      <c r="L5718" s="11" t="s">
        <v>28</v>
      </c>
      <c r="M5718" s="11" t="s">
        <v>28</v>
      </c>
      <c r="N5718" s="8">
        <v>44105</v>
      </c>
      <c r="O5718" s="9" t="s">
        <v>73</v>
      </c>
      <c r="P5718" s="12" t="s">
        <v>17706</v>
      </c>
      <c r="Q5718" s="9" t="s">
        <v>9051</v>
      </c>
      <c r="R5718" s="14" t="str">
        <f>HYPERLINK("https://my.pitchbook.com?c=174651-31T","View Company Online")</f>
        <v>View Company Online</v>
      </c>
    </row>
    <row r="5719" spans="1:18" hidden="1" x14ac:dyDescent="0.3">
      <c r="A5719" s="15" t="s">
        <v>17707</v>
      </c>
      <c r="B5719" s="15" t="s">
        <v>14447</v>
      </c>
      <c r="C5719" s="18" t="s">
        <v>28</v>
      </c>
      <c r="D5719" s="15" t="s">
        <v>14448</v>
      </c>
      <c r="E5719" s="18" t="s">
        <v>28</v>
      </c>
      <c r="F5719" s="19" t="s">
        <v>28</v>
      </c>
      <c r="G5719" s="19" t="s">
        <v>28</v>
      </c>
      <c r="H5719" s="19" t="s">
        <v>28</v>
      </c>
      <c r="I5719" s="18" t="s">
        <v>28</v>
      </c>
      <c r="J5719" s="18" t="s">
        <v>28</v>
      </c>
      <c r="K5719" s="18" t="s">
        <v>28</v>
      </c>
      <c r="L5719" s="18" t="s">
        <v>28</v>
      </c>
      <c r="M5719" s="18" t="s">
        <v>28</v>
      </c>
      <c r="N5719" s="17">
        <v>44105</v>
      </c>
      <c r="O5719" s="15" t="s">
        <v>73</v>
      </c>
      <c r="P5719" s="16" t="s">
        <v>3473</v>
      </c>
      <c r="Q5719" s="15" t="s">
        <v>75</v>
      </c>
      <c r="R5719" s="13" t="str">
        <f>HYPERLINK("https://my.pitchbook.com?c=165156-13T","View Company Online")</f>
        <v>View Company Online</v>
      </c>
    </row>
    <row r="5720" spans="1:18" hidden="1" x14ac:dyDescent="0.3">
      <c r="A5720" s="9" t="s">
        <v>17708</v>
      </c>
      <c r="B5720" s="9" t="s">
        <v>17709</v>
      </c>
      <c r="C5720" s="11" t="s">
        <v>28</v>
      </c>
      <c r="D5720" s="9" t="s">
        <v>17710</v>
      </c>
      <c r="E5720" s="11" t="s">
        <v>28</v>
      </c>
      <c r="F5720" s="10" t="s">
        <v>28</v>
      </c>
      <c r="G5720" s="10" t="s">
        <v>28</v>
      </c>
      <c r="H5720" s="10" t="s">
        <v>28</v>
      </c>
      <c r="I5720" s="11" t="s">
        <v>28</v>
      </c>
      <c r="J5720" s="11" t="s">
        <v>28</v>
      </c>
      <c r="K5720" s="11" t="s">
        <v>28</v>
      </c>
      <c r="L5720" s="11" t="s">
        <v>28</v>
      </c>
      <c r="M5720" s="11" t="s">
        <v>28</v>
      </c>
      <c r="N5720" s="8">
        <v>44105</v>
      </c>
      <c r="O5720" s="9" t="s">
        <v>379</v>
      </c>
      <c r="P5720" s="12" t="s">
        <v>17711</v>
      </c>
      <c r="Q5720" s="9" t="s">
        <v>75</v>
      </c>
      <c r="R5720" s="14" t="str">
        <f>HYPERLINK("https://my.pitchbook.com?c=207049-06T","View Company Online")</f>
        <v>View Company Online</v>
      </c>
    </row>
    <row r="5721" spans="1:18" hidden="1" x14ac:dyDescent="0.3">
      <c r="A5721" s="15" t="s">
        <v>17712</v>
      </c>
      <c r="B5721" s="15" t="s">
        <v>17713</v>
      </c>
      <c r="C5721" s="18" t="s">
        <v>28</v>
      </c>
      <c r="D5721" s="15" t="s">
        <v>17714</v>
      </c>
      <c r="E5721" s="18" t="s">
        <v>28</v>
      </c>
      <c r="F5721" s="19" t="s">
        <v>28</v>
      </c>
      <c r="G5721" s="19" t="s">
        <v>28</v>
      </c>
      <c r="H5721" s="19" t="s">
        <v>28</v>
      </c>
      <c r="I5721" s="18" t="s">
        <v>28</v>
      </c>
      <c r="J5721" s="18" t="s">
        <v>28</v>
      </c>
      <c r="K5721" s="18" t="s">
        <v>28</v>
      </c>
      <c r="L5721" s="18" t="s">
        <v>28</v>
      </c>
      <c r="M5721" s="18" t="s">
        <v>28</v>
      </c>
      <c r="N5721" s="17">
        <v>44105</v>
      </c>
      <c r="O5721" s="15" t="s">
        <v>41</v>
      </c>
      <c r="P5721" s="16" t="s">
        <v>17715</v>
      </c>
      <c r="Q5721" s="15" t="s">
        <v>136</v>
      </c>
      <c r="R5721" s="13" t="str">
        <f>HYPERLINK("https://my.pitchbook.com?c=160255-36T","View Company Online")</f>
        <v>View Company Online</v>
      </c>
    </row>
    <row r="5722" spans="1:18" hidden="1" x14ac:dyDescent="0.3">
      <c r="A5722" s="9" t="s">
        <v>17716</v>
      </c>
      <c r="B5722" s="9" t="s">
        <v>17717</v>
      </c>
      <c r="C5722" s="11" t="s">
        <v>28</v>
      </c>
      <c r="D5722" s="9" t="s">
        <v>17718</v>
      </c>
      <c r="E5722" s="11" t="s">
        <v>28</v>
      </c>
      <c r="F5722" s="10" t="s">
        <v>28</v>
      </c>
      <c r="G5722" s="10" t="s">
        <v>28</v>
      </c>
      <c r="H5722" s="10" t="s">
        <v>28</v>
      </c>
      <c r="I5722" s="11" t="s">
        <v>28</v>
      </c>
      <c r="J5722" s="11" t="s">
        <v>28</v>
      </c>
      <c r="K5722" s="11" t="s">
        <v>28</v>
      </c>
      <c r="L5722" s="11" t="s">
        <v>28</v>
      </c>
      <c r="M5722" s="11" t="s">
        <v>28</v>
      </c>
      <c r="N5722" s="8">
        <v>44105</v>
      </c>
      <c r="O5722" s="9" t="s">
        <v>93</v>
      </c>
      <c r="P5722" s="12" t="s">
        <v>8788</v>
      </c>
      <c r="Q5722" s="9" t="s">
        <v>75</v>
      </c>
      <c r="R5722" s="14" t="str">
        <f>HYPERLINK("https://my.pitchbook.com?c=158132-98T","View Company Online")</f>
        <v>View Company Online</v>
      </c>
    </row>
    <row r="5723" spans="1:18" hidden="1" x14ac:dyDescent="0.3">
      <c r="A5723" s="15" t="s">
        <v>17719</v>
      </c>
      <c r="B5723" s="15" t="s">
        <v>3242</v>
      </c>
      <c r="C5723" s="18" t="s">
        <v>28</v>
      </c>
      <c r="D5723" s="15" t="s">
        <v>3243</v>
      </c>
      <c r="E5723" s="18" t="s">
        <v>28</v>
      </c>
      <c r="F5723" s="19" t="s">
        <v>28</v>
      </c>
      <c r="G5723" s="19" t="s">
        <v>28</v>
      </c>
      <c r="H5723" s="19" t="s">
        <v>28</v>
      </c>
      <c r="I5723" s="18" t="s">
        <v>28</v>
      </c>
      <c r="J5723" s="18" t="s">
        <v>28</v>
      </c>
      <c r="K5723" s="18">
        <v>291.14999999999998</v>
      </c>
      <c r="L5723" s="18" t="s">
        <v>28</v>
      </c>
      <c r="M5723" s="18" t="s">
        <v>28</v>
      </c>
      <c r="N5723" s="17">
        <v>44105</v>
      </c>
      <c r="O5723" s="15" t="s">
        <v>41</v>
      </c>
      <c r="P5723" s="16" t="s">
        <v>17720</v>
      </c>
      <c r="Q5723" s="15" t="s">
        <v>136</v>
      </c>
      <c r="R5723" s="13" t="str">
        <f>HYPERLINK("https://my.pitchbook.com?c=157214-53T","View Company Online")</f>
        <v>View Company Online</v>
      </c>
    </row>
    <row r="5724" spans="1:18" hidden="1" x14ac:dyDescent="0.3">
      <c r="A5724" s="9" t="s">
        <v>17721</v>
      </c>
      <c r="B5724" s="9" t="s">
        <v>17722</v>
      </c>
      <c r="C5724" s="11" t="s">
        <v>28</v>
      </c>
      <c r="D5724" s="9" t="s">
        <v>17723</v>
      </c>
      <c r="E5724" s="11" t="s">
        <v>28</v>
      </c>
      <c r="F5724" s="10">
        <v>538.41999999999996</v>
      </c>
      <c r="G5724" s="10">
        <v>538.41999999999996</v>
      </c>
      <c r="H5724" s="10">
        <v>538.41999999999996</v>
      </c>
      <c r="I5724" s="11" t="s">
        <v>28</v>
      </c>
      <c r="J5724" s="11" t="s">
        <v>28</v>
      </c>
      <c r="K5724" s="11" t="s">
        <v>28</v>
      </c>
      <c r="L5724" s="11" t="s">
        <v>28</v>
      </c>
      <c r="M5724" s="11" t="s">
        <v>28</v>
      </c>
      <c r="N5724" s="8">
        <v>44105</v>
      </c>
      <c r="O5724" s="9" t="s">
        <v>30</v>
      </c>
      <c r="P5724" s="12" t="s">
        <v>11493</v>
      </c>
      <c r="Q5724" s="9" t="s">
        <v>119</v>
      </c>
      <c r="R5724" s="14" t="str">
        <f>HYPERLINK("https://my.pitchbook.com?c=133011-46T","View Company Online")</f>
        <v>View Company Online</v>
      </c>
    </row>
    <row r="5725" spans="1:18" hidden="1" x14ac:dyDescent="0.3">
      <c r="A5725" s="15" t="s">
        <v>17724</v>
      </c>
      <c r="B5725" s="15" t="s">
        <v>12159</v>
      </c>
      <c r="C5725" s="18" t="s">
        <v>28</v>
      </c>
      <c r="D5725" s="15" t="s">
        <v>12160</v>
      </c>
      <c r="E5725" s="18" t="s">
        <v>28</v>
      </c>
      <c r="F5725" s="19" t="s">
        <v>28</v>
      </c>
      <c r="G5725" s="19">
        <v>0.38</v>
      </c>
      <c r="H5725" s="19">
        <v>1.86</v>
      </c>
      <c r="I5725" s="18" t="s">
        <v>28</v>
      </c>
      <c r="J5725" s="18" t="s">
        <v>28</v>
      </c>
      <c r="K5725" s="18" t="s">
        <v>28</v>
      </c>
      <c r="L5725" s="18" t="s">
        <v>28</v>
      </c>
      <c r="M5725" s="18" t="s">
        <v>28</v>
      </c>
      <c r="N5725" s="17">
        <v>44105</v>
      </c>
      <c r="O5725" s="15" t="s">
        <v>379</v>
      </c>
      <c r="P5725" s="16" t="s">
        <v>17725</v>
      </c>
      <c r="Q5725" s="15" t="s">
        <v>409</v>
      </c>
      <c r="R5725" s="13" t="str">
        <f>HYPERLINK("https://my.pitchbook.com?c=188348-41T","View Company Online")</f>
        <v>View Company Online</v>
      </c>
    </row>
    <row r="5726" spans="1:18" hidden="1" x14ac:dyDescent="0.3">
      <c r="A5726" s="9" t="s">
        <v>17726</v>
      </c>
      <c r="B5726" s="9" t="s">
        <v>9351</v>
      </c>
      <c r="C5726" s="11" t="s">
        <v>28</v>
      </c>
      <c r="D5726" s="9" t="s">
        <v>9352</v>
      </c>
      <c r="E5726" s="11">
        <v>-389.82</v>
      </c>
      <c r="F5726" s="10" t="s">
        <v>28</v>
      </c>
      <c r="G5726" s="10">
        <v>764.18</v>
      </c>
      <c r="H5726" s="10" t="s">
        <v>28</v>
      </c>
      <c r="I5726" s="11">
        <v>-389.82</v>
      </c>
      <c r="J5726" s="11" t="s">
        <v>28</v>
      </c>
      <c r="K5726" s="11">
        <v>1042.08</v>
      </c>
      <c r="L5726" s="11" t="s">
        <v>28</v>
      </c>
      <c r="M5726" s="11">
        <v>-37.869999999999997</v>
      </c>
      <c r="N5726" s="8">
        <v>44105</v>
      </c>
      <c r="O5726" s="9" t="s">
        <v>159</v>
      </c>
      <c r="P5726" s="12" t="s">
        <v>28</v>
      </c>
      <c r="Q5726" s="9" t="s">
        <v>9353</v>
      </c>
      <c r="R5726" s="14" t="str">
        <f>HYPERLINK("https://my.pitchbook.com?c=158298-22T","View Company Online")</f>
        <v>View Company Online</v>
      </c>
    </row>
    <row r="5727" spans="1:18" hidden="1" x14ac:dyDescent="0.3">
      <c r="A5727" s="15" t="s">
        <v>17727</v>
      </c>
      <c r="B5727" s="15" t="s">
        <v>17728</v>
      </c>
      <c r="C5727" s="18" t="s">
        <v>28</v>
      </c>
      <c r="D5727" s="15" t="s">
        <v>17729</v>
      </c>
      <c r="E5727" s="18" t="s">
        <v>28</v>
      </c>
      <c r="F5727" s="19" t="s">
        <v>28</v>
      </c>
      <c r="G5727" s="19">
        <v>0.13</v>
      </c>
      <c r="H5727" s="19" t="s">
        <v>28</v>
      </c>
      <c r="I5727" s="18" t="s">
        <v>28</v>
      </c>
      <c r="J5727" s="18" t="s">
        <v>28</v>
      </c>
      <c r="K5727" s="18" t="s">
        <v>28</v>
      </c>
      <c r="L5727" s="18" t="s">
        <v>28</v>
      </c>
      <c r="M5727" s="18" t="s">
        <v>28</v>
      </c>
      <c r="N5727" s="17">
        <v>44105</v>
      </c>
      <c r="O5727" s="15" t="s">
        <v>99</v>
      </c>
      <c r="P5727" s="16" t="s">
        <v>11714</v>
      </c>
      <c r="Q5727" s="15" t="s">
        <v>75</v>
      </c>
      <c r="R5727" s="13" t="str">
        <f>HYPERLINK("https://my.pitchbook.com?c=213335-47T","View Company Online")</f>
        <v>View Company Online</v>
      </c>
    </row>
    <row r="5728" spans="1:18" hidden="1" x14ac:dyDescent="0.3">
      <c r="A5728" s="9" t="s">
        <v>17730</v>
      </c>
      <c r="B5728" s="9" t="s">
        <v>11986</v>
      </c>
      <c r="C5728" s="11" t="s">
        <v>28</v>
      </c>
      <c r="D5728" s="9" t="s">
        <v>11987</v>
      </c>
      <c r="E5728" s="11" t="s">
        <v>28</v>
      </c>
      <c r="F5728" s="10" t="s">
        <v>28</v>
      </c>
      <c r="G5728" s="10">
        <v>0.95</v>
      </c>
      <c r="H5728" s="10" t="s">
        <v>28</v>
      </c>
      <c r="I5728" s="11" t="s">
        <v>28</v>
      </c>
      <c r="J5728" s="11" t="s">
        <v>28</v>
      </c>
      <c r="K5728" s="11" t="s">
        <v>28</v>
      </c>
      <c r="L5728" s="11" t="s">
        <v>28</v>
      </c>
      <c r="M5728" s="11" t="s">
        <v>28</v>
      </c>
      <c r="N5728" s="8">
        <v>44105</v>
      </c>
      <c r="O5728" s="9" t="s">
        <v>79</v>
      </c>
      <c r="P5728" s="12" t="s">
        <v>17731</v>
      </c>
      <c r="Q5728" s="9" t="s">
        <v>75</v>
      </c>
      <c r="R5728" s="14" t="str">
        <f>HYPERLINK("https://my.pitchbook.com?c=207680-77T","View Company Online")</f>
        <v>View Company Online</v>
      </c>
    </row>
    <row r="5729" spans="1:18" hidden="1" x14ac:dyDescent="0.3">
      <c r="A5729" s="15" t="s">
        <v>17732</v>
      </c>
      <c r="B5729" s="15" t="s">
        <v>16922</v>
      </c>
      <c r="C5729" s="18" t="s">
        <v>28</v>
      </c>
      <c r="D5729" s="15" t="s">
        <v>17733</v>
      </c>
      <c r="E5729" s="18" t="s">
        <v>28</v>
      </c>
      <c r="F5729" s="19" t="s">
        <v>28</v>
      </c>
      <c r="G5729" s="19" t="s">
        <v>28</v>
      </c>
      <c r="H5729" s="19" t="s">
        <v>28</v>
      </c>
      <c r="I5729" s="18" t="s">
        <v>28</v>
      </c>
      <c r="J5729" s="18" t="s">
        <v>28</v>
      </c>
      <c r="K5729" s="18">
        <v>65.22</v>
      </c>
      <c r="L5729" s="18" t="s">
        <v>28</v>
      </c>
      <c r="M5729" s="18" t="s">
        <v>28</v>
      </c>
      <c r="N5729" s="17">
        <v>44105</v>
      </c>
      <c r="O5729" s="15" t="s">
        <v>30</v>
      </c>
      <c r="P5729" s="16" t="s">
        <v>28</v>
      </c>
      <c r="Q5729" s="15" t="s">
        <v>280</v>
      </c>
      <c r="R5729" s="13" t="str">
        <f>HYPERLINK("https://my.pitchbook.com?c=179002-99T","View Company Online")</f>
        <v>View Company Online</v>
      </c>
    </row>
    <row r="5730" spans="1:18" hidden="1" x14ac:dyDescent="0.3">
      <c r="A5730" s="9" t="s">
        <v>17734</v>
      </c>
      <c r="B5730" s="9" t="s">
        <v>4476</v>
      </c>
      <c r="C5730" s="11" t="s">
        <v>28</v>
      </c>
      <c r="D5730" s="9" t="s">
        <v>4477</v>
      </c>
      <c r="E5730" s="11" t="s">
        <v>28</v>
      </c>
      <c r="F5730" s="10" t="s">
        <v>28</v>
      </c>
      <c r="G5730" s="10">
        <v>0.37</v>
      </c>
      <c r="H5730" s="10" t="s">
        <v>28</v>
      </c>
      <c r="I5730" s="11" t="s">
        <v>28</v>
      </c>
      <c r="J5730" s="11" t="s">
        <v>28</v>
      </c>
      <c r="K5730" s="11" t="s">
        <v>28</v>
      </c>
      <c r="L5730" s="11" t="s">
        <v>28</v>
      </c>
      <c r="M5730" s="11" t="s">
        <v>28</v>
      </c>
      <c r="N5730" s="8">
        <v>44105</v>
      </c>
      <c r="O5730" s="9" t="s">
        <v>379</v>
      </c>
      <c r="P5730" s="12" t="s">
        <v>28</v>
      </c>
      <c r="Q5730" s="9" t="s">
        <v>105</v>
      </c>
      <c r="R5730" s="14" t="str">
        <f>HYPERLINK("https://my.pitchbook.com?c=178942-69T","View Company Online")</f>
        <v>View Company Online</v>
      </c>
    </row>
    <row r="5731" spans="1:18" hidden="1" x14ac:dyDescent="0.3">
      <c r="A5731" s="15" t="s">
        <v>17735</v>
      </c>
      <c r="B5731" s="15" t="s">
        <v>10050</v>
      </c>
      <c r="C5731" s="18" t="s">
        <v>28</v>
      </c>
      <c r="D5731" s="15" t="s">
        <v>10051</v>
      </c>
      <c r="E5731" s="18" t="s">
        <v>28</v>
      </c>
      <c r="F5731" s="19" t="s">
        <v>28</v>
      </c>
      <c r="G5731" s="19">
        <v>1.3</v>
      </c>
      <c r="H5731" s="19" t="s">
        <v>28</v>
      </c>
      <c r="I5731" s="18" t="s">
        <v>28</v>
      </c>
      <c r="J5731" s="18" t="s">
        <v>28</v>
      </c>
      <c r="K5731" s="18" t="s">
        <v>28</v>
      </c>
      <c r="L5731" s="18" t="s">
        <v>28</v>
      </c>
      <c r="M5731" s="18" t="s">
        <v>28</v>
      </c>
      <c r="N5731" s="17">
        <v>44105</v>
      </c>
      <c r="O5731" s="15" t="s">
        <v>73</v>
      </c>
      <c r="P5731" s="16" t="s">
        <v>17736</v>
      </c>
      <c r="Q5731" s="15" t="s">
        <v>37</v>
      </c>
      <c r="R5731" s="13" t="str">
        <f>HYPERLINK("https://my.pitchbook.com?c=157246-03T","View Company Online")</f>
        <v>View Company Online</v>
      </c>
    </row>
    <row r="5732" spans="1:18" hidden="1" x14ac:dyDescent="0.3">
      <c r="A5732" s="9" t="s">
        <v>17737</v>
      </c>
      <c r="B5732" s="9" t="s">
        <v>6641</v>
      </c>
      <c r="C5732" s="11" t="s">
        <v>28</v>
      </c>
      <c r="D5732" s="9" t="s">
        <v>6642</v>
      </c>
      <c r="E5732" s="11" t="s">
        <v>28</v>
      </c>
      <c r="F5732" s="10" t="s">
        <v>28</v>
      </c>
      <c r="G5732" s="10" t="s">
        <v>28</v>
      </c>
      <c r="H5732" s="10" t="s">
        <v>28</v>
      </c>
      <c r="I5732" s="11" t="s">
        <v>28</v>
      </c>
      <c r="J5732" s="11" t="s">
        <v>28</v>
      </c>
      <c r="K5732" s="11" t="s">
        <v>28</v>
      </c>
      <c r="L5732" s="11" t="s">
        <v>28</v>
      </c>
      <c r="M5732" s="11" t="s">
        <v>28</v>
      </c>
      <c r="N5732" s="8">
        <v>44105</v>
      </c>
      <c r="O5732" s="9" t="s">
        <v>73</v>
      </c>
      <c r="P5732" s="12" t="s">
        <v>17738</v>
      </c>
      <c r="Q5732" s="9" t="s">
        <v>409</v>
      </c>
      <c r="R5732" s="14" t="str">
        <f>HYPERLINK("https://my.pitchbook.com?c=130322-17T","View Company Online")</f>
        <v>View Company Online</v>
      </c>
    </row>
    <row r="5733" spans="1:18" hidden="1" x14ac:dyDescent="0.3">
      <c r="A5733" s="15" t="s">
        <v>17739</v>
      </c>
      <c r="B5733" s="15" t="s">
        <v>8412</v>
      </c>
      <c r="C5733" s="18" t="s">
        <v>28</v>
      </c>
      <c r="D5733" s="15" t="s">
        <v>17740</v>
      </c>
      <c r="E5733" s="18" t="s">
        <v>28</v>
      </c>
      <c r="F5733" s="19" t="s">
        <v>28</v>
      </c>
      <c r="G5733" s="19" t="s">
        <v>28</v>
      </c>
      <c r="H5733" s="19" t="s">
        <v>28</v>
      </c>
      <c r="I5733" s="18" t="s">
        <v>28</v>
      </c>
      <c r="J5733" s="18" t="s">
        <v>28</v>
      </c>
      <c r="K5733" s="18" t="s">
        <v>28</v>
      </c>
      <c r="L5733" s="18" t="s">
        <v>28</v>
      </c>
      <c r="M5733" s="18" t="s">
        <v>28</v>
      </c>
      <c r="N5733" s="17">
        <v>44105</v>
      </c>
      <c r="O5733" s="15" t="s">
        <v>93</v>
      </c>
      <c r="P5733" s="16" t="s">
        <v>4766</v>
      </c>
      <c r="Q5733" s="15" t="s">
        <v>43</v>
      </c>
      <c r="R5733" s="13" t="str">
        <f>HYPERLINK("https://my.pitchbook.com?c=214788-70T","View Company Online")</f>
        <v>View Company Online</v>
      </c>
    </row>
    <row r="5734" spans="1:18" hidden="1" x14ac:dyDescent="0.3">
      <c r="A5734" s="9" t="s">
        <v>17741</v>
      </c>
      <c r="B5734" s="9" t="s">
        <v>9469</v>
      </c>
      <c r="C5734" s="11" t="s">
        <v>28</v>
      </c>
      <c r="D5734" s="9" t="s">
        <v>17742</v>
      </c>
      <c r="E5734" s="11" t="s">
        <v>28</v>
      </c>
      <c r="F5734" s="10" t="s">
        <v>28</v>
      </c>
      <c r="G5734" s="10" t="s">
        <v>28</v>
      </c>
      <c r="H5734" s="10" t="s">
        <v>28</v>
      </c>
      <c r="I5734" s="11" t="s">
        <v>28</v>
      </c>
      <c r="J5734" s="11" t="s">
        <v>28</v>
      </c>
      <c r="K5734" s="11" t="s">
        <v>28</v>
      </c>
      <c r="L5734" s="11" t="s">
        <v>28</v>
      </c>
      <c r="M5734" s="11" t="s">
        <v>28</v>
      </c>
      <c r="N5734" s="8">
        <v>44105</v>
      </c>
      <c r="O5734" s="9" t="s">
        <v>58</v>
      </c>
      <c r="P5734" s="12" t="s">
        <v>17743</v>
      </c>
      <c r="Q5734" s="9" t="s">
        <v>37</v>
      </c>
      <c r="R5734" s="14" t="str">
        <f>HYPERLINK("https://my.pitchbook.com?c=211754-53T","View Company Online")</f>
        <v>View Company Online</v>
      </c>
    </row>
    <row r="5735" spans="1:18" hidden="1" x14ac:dyDescent="0.3">
      <c r="A5735" s="15" t="s">
        <v>17744</v>
      </c>
      <c r="B5735" s="15" t="s">
        <v>13276</v>
      </c>
      <c r="C5735" s="18" t="s">
        <v>28</v>
      </c>
      <c r="D5735" s="15" t="s">
        <v>13277</v>
      </c>
      <c r="E5735" s="18" t="s">
        <v>28</v>
      </c>
      <c r="F5735" s="19" t="s">
        <v>28</v>
      </c>
      <c r="G5735" s="19">
        <v>2.04</v>
      </c>
      <c r="H5735" s="19" t="s">
        <v>28</v>
      </c>
      <c r="I5735" s="18" t="s">
        <v>28</v>
      </c>
      <c r="J5735" s="18" t="s">
        <v>28</v>
      </c>
      <c r="K5735" s="18" t="s">
        <v>28</v>
      </c>
      <c r="L5735" s="18" t="s">
        <v>28</v>
      </c>
      <c r="M5735" s="18" t="s">
        <v>28</v>
      </c>
      <c r="N5735" s="17">
        <v>44105</v>
      </c>
      <c r="O5735" s="15" t="s">
        <v>79</v>
      </c>
      <c r="P5735" s="16" t="s">
        <v>17745</v>
      </c>
      <c r="Q5735" s="15" t="s">
        <v>583</v>
      </c>
      <c r="R5735" s="13" t="str">
        <f>HYPERLINK("https://my.pitchbook.com?c=165021-40T","View Company Online")</f>
        <v>View Company Online</v>
      </c>
    </row>
    <row r="5736" spans="1:18" hidden="1" x14ac:dyDescent="0.3">
      <c r="A5736" s="9" t="s">
        <v>17746</v>
      </c>
      <c r="B5736" s="9" t="s">
        <v>215</v>
      </c>
      <c r="C5736" s="11" t="s">
        <v>28</v>
      </c>
      <c r="D5736" s="9" t="s">
        <v>216</v>
      </c>
      <c r="E5736" s="11" t="s">
        <v>28</v>
      </c>
      <c r="F5736" s="10" t="s">
        <v>28</v>
      </c>
      <c r="G5736" s="10">
        <v>0.56000000000000005</v>
      </c>
      <c r="H5736" s="10" t="s">
        <v>28</v>
      </c>
      <c r="I5736" s="11" t="s">
        <v>28</v>
      </c>
      <c r="J5736" s="11" t="s">
        <v>28</v>
      </c>
      <c r="K5736" s="11" t="s">
        <v>28</v>
      </c>
      <c r="L5736" s="11" t="s">
        <v>28</v>
      </c>
      <c r="M5736" s="11" t="s">
        <v>28</v>
      </c>
      <c r="N5736" s="8">
        <v>44105</v>
      </c>
      <c r="O5736" s="9" t="s">
        <v>99</v>
      </c>
      <c r="P5736" s="12" t="s">
        <v>17747</v>
      </c>
      <c r="Q5736" s="9" t="s">
        <v>37</v>
      </c>
      <c r="R5736" s="14" t="str">
        <f>HYPERLINK("https://my.pitchbook.com?c=165825-28T","View Company Online")</f>
        <v>View Company Online</v>
      </c>
    </row>
    <row r="5737" spans="1:18" hidden="1" x14ac:dyDescent="0.3">
      <c r="A5737" s="15" t="s">
        <v>17748</v>
      </c>
      <c r="B5737" s="15" t="s">
        <v>2858</v>
      </c>
      <c r="C5737" s="18" t="s">
        <v>28</v>
      </c>
      <c r="D5737" s="15" t="s">
        <v>2859</v>
      </c>
      <c r="E5737" s="18" t="s">
        <v>28</v>
      </c>
      <c r="F5737" s="19" t="s">
        <v>28</v>
      </c>
      <c r="G5737" s="19" t="s">
        <v>28</v>
      </c>
      <c r="H5737" s="19" t="s">
        <v>28</v>
      </c>
      <c r="I5737" s="18" t="s">
        <v>28</v>
      </c>
      <c r="J5737" s="18" t="s">
        <v>28</v>
      </c>
      <c r="K5737" s="18">
        <v>0.57999999999999996</v>
      </c>
      <c r="L5737" s="18" t="s">
        <v>28</v>
      </c>
      <c r="M5737" s="18" t="s">
        <v>28</v>
      </c>
      <c r="N5737" s="17">
        <v>44105</v>
      </c>
      <c r="O5737" s="15" t="s">
        <v>99</v>
      </c>
      <c r="P5737" s="16" t="s">
        <v>28</v>
      </c>
      <c r="Q5737" s="15" t="s">
        <v>696</v>
      </c>
      <c r="R5737" s="13" t="str">
        <f>HYPERLINK("https://my.pitchbook.com?c=191289-61T","View Company Online")</f>
        <v>View Company Online</v>
      </c>
    </row>
    <row r="5738" spans="1:18" hidden="1" x14ac:dyDescent="0.3">
      <c r="A5738" s="9" t="s">
        <v>17749</v>
      </c>
      <c r="B5738" s="9" t="s">
        <v>17750</v>
      </c>
      <c r="C5738" s="11" t="s">
        <v>28</v>
      </c>
      <c r="D5738" s="9" t="s">
        <v>17751</v>
      </c>
      <c r="E5738" s="11" t="s">
        <v>28</v>
      </c>
      <c r="F5738" s="10" t="s">
        <v>28</v>
      </c>
      <c r="G5738" s="10">
        <v>0.35</v>
      </c>
      <c r="H5738" s="10">
        <v>2</v>
      </c>
      <c r="I5738" s="11" t="s">
        <v>28</v>
      </c>
      <c r="J5738" s="11" t="s">
        <v>28</v>
      </c>
      <c r="K5738" s="11">
        <v>0.01</v>
      </c>
      <c r="L5738" s="11">
        <v>515.21</v>
      </c>
      <c r="M5738" s="11" t="s">
        <v>28</v>
      </c>
      <c r="N5738" s="8">
        <v>44104</v>
      </c>
      <c r="O5738" s="9" t="s">
        <v>73</v>
      </c>
      <c r="P5738" s="12" t="s">
        <v>17752</v>
      </c>
      <c r="Q5738" s="9" t="s">
        <v>583</v>
      </c>
      <c r="R5738" s="14" t="str">
        <f>HYPERLINK("https://my.pitchbook.com?c=175674-88T","View Company Online")</f>
        <v>View Company Online</v>
      </c>
    </row>
    <row r="5739" spans="1:18" hidden="1" x14ac:dyDescent="0.3">
      <c r="A5739" s="15" t="s">
        <v>17753</v>
      </c>
      <c r="B5739" s="15" t="s">
        <v>17754</v>
      </c>
      <c r="C5739" s="18" t="s">
        <v>28</v>
      </c>
      <c r="D5739" s="15" t="s">
        <v>17755</v>
      </c>
      <c r="E5739" s="18" t="s">
        <v>28</v>
      </c>
      <c r="F5739" s="19" t="s">
        <v>28</v>
      </c>
      <c r="G5739" s="19">
        <v>39.72</v>
      </c>
      <c r="H5739" s="19" t="s">
        <v>28</v>
      </c>
      <c r="I5739" s="18" t="s">
        <v>28</v>
      </c>
      <c r="J5739" s="18" t="s">
        <v>28</v>
      </c>
      <c r="K5739" s="18" t="s">
        <v>28</v>
      </c>
      <c r="L5739" s="18" t="s">
        <v>28</v>
      </c>
      <c r="M5739" s="18" t="s">
        <v>28</v>
      </c>
      <c r="N5739" s="17">
        <v>44104</v>
      </c>
      <c r="O5739" s="15" t="s">
        <v>79</v>
      </c>
      <c r="P5739" s="16" t="s">
        <v>17756</v>
      </c>
      <c r="Q5739" s="15" t="s">
        <v>331</v>
      </c>
      <c r="R5739" s="13" t="str">
        <f>HYPERLINK("https://my.pitchbook.com?c=157950-10T","View Company Online")</f>
        <v>View Company Online</v>
      </c>
    </row>
    <row r="5740" spans="1:18" hidden="1" x14ac:dyDescent="0.3">
      <c r="A5740" s="9" t="s">
        <v>17757</v>
      </c>
      <c r="B5740" s="9" t="s">
        <v>17758</v>
      </c>
      <c r="C5740" s="11" t="s">
        <v>28</v>
      </c>
      <c r="D5740" s="9" t="s">
        <v>17759</v>
      </c>
      <c r="E5740" s="11" t="s">
        <v>28</v>
      </c>
      <c r="F5740" s="10" t="s">
        <v>28</v>
      </c>
      <c r="G5740" s="10" t="s">
        <v>28</v>
      </c>
      <c r="H5740" s="10" t="s">
        <v>28</v>
      </c>
      <c r="I5740" s="11" t="s">
        <v>28</v>
      </c>
      <c r="J5740" s="11" t="s">
        <v>28</v>
      </c>
      <c r="K5740" s="11" t="s">
        <v>28</v>
      </c>
      <c r="L5740" s="11" t="s">
        <v>28</v>
      </c>
      <c r="M5740" s="11" t="s">
        <v>28</v>
      </c>
      <c r="N5740" s="8">
        <v>44104</v>
      </c>
      <c r="O5740" s="9" t="s">
        <v>30</v>
      </c>
      <c r="P5740" s="12" t="s">
        <v>12294</v>
      </c>
      <c r="Q5740" s="9" t="s">
        <v>566</v>
      </c>
      <c r="R5740" s="14" t="str">
        <f>HYPERLINK("https://my.pitchbook.com?c=160186-33T","View Company Online")</f>
        <v>View Company Online</v>
      </c>
    </row>
    <row r="5741" spans="1:18" hidden="1" x14ac:dyDescent="0.3">
      <c r="A5741" s="15" t="s">
        <v>17760</v>
      </c>
      <c r="B5741" s="15" t="s">
        <v>17761</v>
      </c>
      <c r="C5741" s="18" t="s">
        <v>28</v>
      </c>
      <c r="D5741" s="15" t="s">
        <v>17762</v>
      </c>
      <c r="E5741" s="18" t="s">
        <v>28</v>
      </c>
      <c r="F5741" s="19" t="s">
        <v>28</v>
      </c>
      <c r="G5741" s="19" t="s">
        <v>28</v>
      </c>
      <c r="H5741" s="19" t="s">
        <v>28</v>
      </c>
      <c r="I5741" s="18" t="s">
        <v>28</v>
      </c>
      <c r="J5741" s="18" t="s">
        <v>28</v>
      </c>
      <c r="K5741" s="18" t="s">
        <v>28</v>
      </c>
      <c r="L5741" s="18" t="s">
        <v>28</v>
      </c>
      <c r="M5741" s="18" t="s">
        <v>28</v>
      </c>
      <c r="N5741" s="17">
        <v>44104</v>
      </c>
      <c r="O5741" s="15" t="s">
        <v>173</v>
      </c>
      <c r="P5741" s="16" t="s">
        <v>28</v>
      </c>
      <c r="Q5741" s="15" t="s">
        <v>174</v>
      </c>
      <c r="R5741" s="13" t="str">
        <f>HYPERLINK("https://my.pitchbook.com?c=232193-08T","View Company Online")</f>
        <v>View Company Online</v>
      </c>
    </row>
    <row r="5742" spans="1:18" hidden="1" x14ac:dyDescent="0.3">
      <c r="A5742" s="9" t="s">
        <v>17763</v>
      </c>
      <c r="B5742" s="9" t="s">
        <v>13188</v>
      </c>
      <c r="C5742" s="11" t="s">
        <v>28</v>
      </c>
      <c r="D5742" s="9" t="s">
        <v>13189</v>
      </c>
      <c r="E5742" s="11" t="s">
        <v>28</v>
      </c>
      <c r="F5742" s="10" t="s">
        <v>28</v>
      </c>
      <c r="G5742" s="10" t="s">
        <v>28</v>
      </c>
      <c r="H5742" s="10" t="s">
        <v>28</v>
      </c>
      <c r="I5742" s="11" t="s">
        <v>28</v>
      </c>
      <c r="J5742" s="11" t="s">
        <v>28</v>
      </c>
      <c r="K5742" s="11" t="s">
        <v>28</v>
      </c>
      <c r="L5742" s="11" t="s">
        <v>28</v>
      </c>
      <c r="M5742" s="11" t="s">
        <v>28</v>
      </c>
      <c r="N5742" s="8">
        <v>44104</v>
      </c>
      <c r="O5742" s="9" t="s">
        <v>73</v>
      </c>
      <c r="P5742" s="12" t="s">
        <v>17764</v>
      </c>
      <c r="Q5742" s="9" t="s">
        <v>1263</v>
      </c>
      <c r="R5742" s="14" t="str">
        <f>HYPERLINK("https://my.pitchbook.com?c=157365-73T","View Company Online")</f>
        <v>View Company Online</v>
      </c>
    </row>
    <row r="5743" spans="1:18" hidden="1" x14ac:dyDescent="0.3">
      <c r="A5743" s="15" t="s">
        <v>17765</v>
      </c>
      <c r="B5743" s="15" t="s">
        <v>17766</v>
      </c>
      <c r="C5743" s="18" t="s">
        <v>28</v>
      </c>
      <c r="D5743" s="15" t="s">
        <v>17767</v>
      </c>
      <c r="E5743" s="18" t="s">
        <v>28</v>
      </c>
      <c r="F5743" s="19" t="s">
        <v>28</v>
      </c>
      <c r="G5743" s="19" t="s">
        <v>28</v>
      </c>
      <c r="H5743" s="19" t="s">
        <v>28</v>
      </c>
      <c r="I5743" s="18" t="s">
        <v>28</v>
      </c>
      <c r="J5743" s="18" t="s">
        <v>28</v>
      </c>
      <c r="K5743" s="18" t="s">
        <v>28</v>
      </c>
      <c r="L5743" s="18" t="s">
        <v>28</v>
      </c>
      <c r="M5743" s="18" t="s">
        <v>28</v>
      </c>
      <c r="N5743" s="17">
        <v>44104</v>
      </c>
      <c r="O5743" s="15" t="s">
        <v>30</v>
      </c>
      <c r="P5743" s="16" t="s">
        <v>17768</v>
      </c>
      <c r="Q5743" s="15" t="s">
        <v>114</v>
      </c>
      <c r="R5743" s="13" t="str">
        <f>HYPERLINK("https://my.pitchbook.com?c=199452-16T","View Company Online")</f>
        <v>View Company Online</v>
      </c>
    </row>
    <row r="5744" spans="1:18" hidden="1" x14ac:dyDescent="0.3">
      <c r="A5744" s="9" t="s">
        <v>17769</v>
      </c>
      <c r="B5744" s="9" t="s">
        <v>17770</v>
      </c>
      <c r="C5744" s="11" t="s">
        <v>28</v>
      </c>
      <c r="D5744" s="9" t="s">
        <v>17771</v>
      </c>
      <c r="E5744" s="11" t="s">
        <v>28</v>
      </c>
      <c r="F5744" s="10" t="s">
        <v>28</v>
      </c>
      <c r="G5744" s="10" t="s">
        <v>28</v>
      </c>
      <c r="H5744" s="10" t="s">
        <v>28</v>
      </c>
      <c r="I5744" s="11" t="s">
        <v>28</v>
      </c>
      <c r="J5744" s="11" t="s">
        <v>28</v>
      </c>
      <c r="K5744" s="11" t="s">
        <v>28</v>
      </c>
      <c r="L5744" s="11" t="s">
        <v>28</v>
      </c>
      <c r="M5744" s="11" t="s">
        <v>28</v>
      </c>
      <c r="N5744" s="8">
        <v>44103</v>
      </c>
      <c r="O5744" s="9" t="s">
        <v>30</v>
      </c>
      <c r="P5744" s="12" t="s">
        <v>17146</v>
      </c>
      <c r="Q5744" s="9" t="s">
        <v>37</v>
      </c>
      <c r="R5744" s="14" t="str">
        <f>HYPERLINK("https://my.pitchbook.com?c=168077-71T","View Company Online")</f>
        <v>View Company Online</v>
      </c>
    </row>
    <row r="5745" spans="1:18" hidden="1" x14ac:dyDescent="0.3">
      <c r="A5745" s="15" t="s">
        <v>17772</v>
      </c>
      <c r="B5745" s="15" t="s">
        <v>17773</v>
      </c>
      <c r="C5745" s="18" t="s">
        <v>28</v>
      </c>
      <c r="D5745" s="15" t="s">
        <v>17774</v>
      </c>
      <c r="E5745" s="18" t="s">
        <v>28</v>
      </c>
      <c r="F5745" s="19" t="s">
        <v>28</v>
      </c>
      <c r="G5745" s="19" t="s">
        <v>28</v>
      </c>
      <c r="H5745" s="19" t="s">
        <v>28</v>
      </c>
      <c r="I5745" s="18" t="s">
        <v>28</v>
      </c>
      <c r="J5745" s="18" t="s">
        <v>28</v>
      </c>
      <c r="K5745" s="18" t="s">
        <v>28</v>
      </c>
      <c r="L5745" s="18" t="s">
        <v>28</v>
      </c>
      <c r="M5745" s="18" t="s">
        <v>28</v>
      </c>
      <c r="N5745" s="17">
        <v>44103</v>
      </c>
      <c r="O5745" s="15" t="s">
        <v>173</v>
      </c>
      <c r="P5745" s="16" t="s">
        <v>28</v>
      </c>
      <c r="Q5745" s="15" t="s">
        <v>174</v>
      </c>
      <c r="R5745" s="13" t="str">
        <f>HYPERLINK("https://my.pitchbook.com?c=251683-57T","View Company Online")</f>
        <v>View Company Online</v>
      </c>
    </row>
    <row r="5746" spans="1:18" hidden="1" x14ac:dyDescent="0.3">
      <c r="A5746" s="9" t="s">
        <v>17775</v>
      </c>
      <c r="B5746" s="9" t="s">
        <v>17776</v>
      </c>
      <c r="C5746" s="11" t="s">
        <v>28</v>
      </c>
      <c r="D5746" s="9" t="s">
        <v>17777</v>
      </c>
      <c r="E5746" s="11">
        <v>15.58</v>
      </c>
      <c r="F5746" s="10" t="s">
        <v>28</v>
      </c>
      <c r="G5746" s="10">
        <v>132.85</v>
      </c>
      <c r="H5746" s="10">
        <v>329.12</v>
      </c>
      <c r="I5746" s="11">
        <v>15.79</v>
      </c>
      <c r="J5746" s="11">
        <v>20.84</v>
      </c>
      <c r="K5746" s="11">
        <v>137.22</v>
      </c>
      <c r="L5746" s="11">
        <v>2.4</v>
      </c>
      <c r="M5746" s="11">
        <v>11.6</v>
      </c>
      <c r="N5746" s="8">
        <v>44102</v>
      </c>
      <c r="O5746" s="9" t="s">
        <v>173</v>
      </c>
      <c r="P5746" s="12" t="s">
        <v>28</v>
      </c>
      <c r="Q5746" s="9" t="s">
        <v>299</v>
      </c>
      <c r="R5746" s="14" t="str">
        <f>HYPERLINK("https://my.pitchbook.com?c=180254-08T","View Company Online")</f>
        <v>View Company Online</v>
      </c>
    </row>
    <row r="5747" spans="1:18" hidden="1" x14ac:dyDescent="0.3">
      <c r="A5747" s="15" t="s">
        <v>17778</v>
      </c>
      <c r="B5747" s="15" t="s">
        <v>17779</v>
      </c>
      <c r="C5747" s="18" t="s">
        <v>28</v>
      </c>
      <c r="D5747" s="15" t="s">
        <v>17780</v>
      </c>
      <c r="E5747" s="18" t="s">
        <v>28</v>
      </c>
      <c r="F5747" s="19">
        <v>6.05</v>
      </c>
      <c r="G5747" s="19">
        <v>6.05</v>
      </c>
      <c r="H5747" s="19">
        <v>6.05</v>
      </c>
      <c r="I5747" s="18" t="s">
        <v>28</v>
      </c>
      <c r="J5747" s="18" t="s">
        <v>28</v>
      </c>
      <c r="K5747" s="18" t="s">
        <v>28</v>
      </c>
      <c r="L5747" s="18" t="s">
        <v>28</v>
      </c>
      <c r="M5747" s="18" t="s">
        <v>28</v>
      </c>
      <c r="N5747" s="17">
        <v>44102</v>
      </c>
      <c r="O5747" s="15" t="s">
        <v>30</v>
      </c>
      <c r="P5747" s="16" t="s">
        <v>17781</v>
      </c>
      <c r="Q5747" s="15" t="s">
        <v>5132</v>
      </c>
      <c r="R5747" s="13" t="str">
        <f>HYPERLINK("https://my.pitchbook.com?c=223306-03T","View Company Online")</f>
        <v>View Company Online</v>
      </c>
    </row>
    <row r="5748" spans="1:18" hidden="1" x14ac:dyDescent="0.3">
      <c r="A5748" s="9" t="s">
        <v>17782</v>
      </c>
      <c r="B5748" s="9" t="s">
        <v>12704</v>
      </c>
      <c r="C5748" s="11" t="s">
        <v>28</v>
      </c>
      <c r="D5748" s="9" t="s">
        <v>12705</v>
      </c>
      <c r="E5748" s="11" t="s">
        <v>28</v>
      </c>
      <c r="F5748" s="10" t="s">
        <v>28</v>
      </c>
      <c r="G5748" s="10">
        <v>4.0199999999999996</v>
      </c>
      <c r="H5748" s="10" t="s">
        <v>28</v>
      </c>
      <c r="I5748" s="11" t="s">
        <v>28</v>
      </c>
      <c r="J5748" s="11" t="s">
        <v>28</v>
      </c>
      <c r="K5748" s="11" t="s">
        <v>28</v>
      </c>
      <c r="L5748" s="11" t="s">
        <v>28</v>
      </c>
      <c r="M5748" s="11" t="s">
        <v>28</v>
      </c>
      <c r="N5748" s="8">
        <v>44102</v>
      </c>
      <c r="O5748" s="9" t="s">
        <v>79</v>
      </c>
      <c r="P5748" s="12" t="s">
        <v>17783</v>
      </c>
      <c r="Q5748" s="9" t="s">
        <v>75</v>
      </c>
      <c r="R5748" s="14" t="str">
        <f>HYPERLINK("https://my.pitchbook.com?c=155486-17T","View Company Online")</f>
        <v>View Company Online</v>
      </c>
    </row>
    <row r="5749" spans="1:18" hidden="1" x14ac:dyDescent="0.3">
      <c r="A5749" s="15" t="s">
        <v>17784</v>
      </c>
      <c r="B5749" s="15" t="s">
        <v>17785</v>
      </c>
      <c r="C5749" s="18" t="s">
        <v>28</v>
      </c>
      <c r="D5749" s="15" t="s">
        <v>17786</v>
      </c>
      <c r="E5749" s="18" t="s">
        <v>28</v>
      </c>
      <c r="F5749" s="19" t="s">
        <v>28</v>
      </c>
      <c r="G5749" s="19" t="s">
        <v>28</v>
      </c>
      <c r="H5749" s="19" t="s">
        <v>28</v>
      </c>
      <c r="I5749" s="18" t="s">
        <v>28</v>
      </c>
      <c r="J5749" s="18" t="s">
        <v>28</v>
      </c>
      <c r="K5749" s="18">
        <v>33</v>
      </c>
      <c r="L5749" s="18" t="s">
        <v>28</v>
      </c>
      <c r="M5749" s="18" t="s">
        <v>28</v>
      </c>
      <c r="N5749" s="17">
        <v>44100</v>
      </c>
      <c r="O5749" s="15" t="s">
        <v>30</v>
      </c>
      <c r="P5749" s="16" t="s">
        <v>15661</v>
      </c>
      <c r="Q5749" s="15" t="s">
        <v>607</v>
      </c>
      <c r="R5749" s="13" t="str">
        <f>HYPERLINK("https://my.pitchbook.com?c=213472-00T","View Company Online")</f>
        <v>View Company Online</v>
      </c>
    </row>
    <row r="5750" spans="1:18" hidden="1" x14ac:dyDescent="0.3">
      <c r="A5750" s="9" t="s">
        <v>17787</v>
      </c>
      <c r="B5750" s="9" t="s">
        <v>9094</v>
      </c>
      <c r="C5750" s="11" t="s">
        <v>28</v>
      </c>
      <c r="D5750" s="9" t="s">
        <v>9095</v>
      </c>
      <c r="E5750" s="11" t="s">
        <v>28</v>
      </c>
      <c r="F5750" s="10" t="s">
        <v>28</v>
      </c>
      <c r="G5750" s="10" t="s">
        <v>28</v>
      </c>
      <c r="H5750" s="10" t="s">
        <v>28</v>
      </c>
      <c r="I5750" s="11" t="s">
        <v>28</v>
      </c>
      <c r="J5750" s="11" t="s">
        <v>28</v>
      </c>
      <c r="K5750" s="11" t="s">
        <v>28</v>
      </c>
      <c r="L5750" s="11" t="s">
        <v>28</v>
      </c>
      <c r="M5750" s="11" t="s">
        <v>28</v>
      </c>
      <c r="N5750" s="8">
        <v>44100</v>
      </c>
      <c r="O5750" s="9" t="s">
        <v>30</v>
      </c>
      <c r="P5750" s="12" t="s">
        <v>17788</v>
      </c>
      <c r="Q5750" s="9" t="s">
        <v>331</v>
      </c>
      <c r="R5750" s="14" t="str">
        <f>HYPERLINK("https://my.pitchbook.com?c=197373-97T","View Company Online")</f>
        <v>View Company Online</v>
      </c>
    </row>
    <row r="5751" spans="1:18" hidden="1" x14ac:dyDescent="0.3">
      <c r="A5751" s="15" t="s">
        <v>17789</v>
      </c>
      <c r="B5751" s="15" t="s">
        <v>17790</v>
      </c>
      <c r="C5751" s="18" t="s">
        <v>28</v>
      </c>
      <c r="D5751" s="15" t="s">
        <v>17791</v>
      </c>
      <c r="E5751" s="18" t="s">
        <v>28</v>
      </c>
      <c r="F5751" s="19" t="s">
        <v>28</v>
      </c>
      <c r="G5751" s="19" t="s">
        <v>28</v>
      </c>
      <c r="H5751" s="19" t="s">
        <v>28</v>
      </c>
      <c r="I5751" s="18" t="s">
        <v>28</v>
      </c>
      <c r="J5751" s="18" t="s">
        <v>28</v>
      </c>
      <c r="K5751" s="18" t="s">
        <v>28</v>
      </c>
      <c r="L5751" s="18" t="s">
        <v>28</v>
      </c>
      <c r="M5751" s="18" t="s">
        <v>28</v>
      </c>
      <c r="N5751" s="17">
        <v>44099</v>
      </c>
      <c r="O5751" s="15" t="s">
        <v>30</v>
      </c>
      <c r="P5751" s="16" t="s">
        <v>17792</v>
      </c>
      <c r="Q5751" s="15" t="s">
        <v>855</v>
      </c>
      <c r="R5751" s="13" t="str">
        <f>HYPERLINK("https://my.pitchbook.com?c=163942-03T","View Company Online")</f>
        <v>View Company Online</v>
      </c>
    </row>
    <row r="5752" spans="1:18" hidden="1" x14ac:dyDescent="0.3">
      <c r="A5752" s="9" t="s">
        <v>17793</v>
      </c>
      <c r="B5752" s="9" t="s">
        <v>9691</v>
      </c>
      <c r="C5752" s="11" t="s">
        <v>28</v>
      </c>
      <c r="D5752" s="9" t="s">
        <v>9692</v>
      </c>
      <c r="E5752" s="11" t="s">
        <v>28</v>
      </c>
      <c r="F5752" s="10" t="s">
        <v>28</v>
      </c>
      <c r="G5752" s="10">
        <v>3.5</v>
      </c>
      <c r="H5752" s="10" t="s">
        <v>28</v>
      </c>
      <c r="I5752" s="11" t="s">
        <v>28</v>
      </c>
      <c r="J5752" s="11" t="s">
        <v>28</v>
      </c>
      <c r="K5752" s="11">
        <v>3.49</v>
      </c>
      <c r="L5752" s="11" t="s">
        <v>28</v>
      </c>
      <c r="M5752" s="11" t="s">
        <v>28</v>
      </c>
      <c r="N5752" s="8">
        <v>44099</v>
      </c>
      <c r="O5752" s="9" t="s">
        <v>73</v>
      </c>
      <c r="P5752" s="12" t="s">
        <v>17794</v>
      </c>
      <c r="Q5752" s="9" t="s">
        <v>119</v>
      </c>
      <c r="R5752" s="14" t="str">
        <f>HYPERLINK("https://my.pitchbook.com?c=131086-45T","View Company Online")</f>
        <v>View Company Online</v>
      </c>
    </row>
    <row r="5753" spans="1:18" hidden="1" x14ac:dyDescent="0.3">
      <c r="A5753" s="15" t="s">
        <v>17795</v>
      </c>
      <c r="B5753" s="15" t="s">
        <v>17796</v>
      </c>
      <c r="C5753" s="18" t="s">
        <v>28</v>
      </c>
      <c r="D5753" s="15" t="s">
        <v>17797</v>
      </c>
      <c r="E5753" s="18" t="s">
        <v>28</v>
      </c>
      <c r="F5753" s="19" t="s">
        <v>28</v>
      </c>
      <c r="G5753" s="19" t="s">
        <v>28</v>
      </c>
      <c r="H5753" s="19" t="s">
        <v>28</v>
      </c>
      <c r="I5753" s="18" t="s">
        <v>28</v>
      </c>
      <c r="J5753" s="18" t="s">
        <v>28</v>
      </c>
      <c r="K5753" s="18" t="s">
        <v>28</v>
      </c>
      <c r="L5753" s="18" t="s">
        <v>28</v>
      </c>
      <c r="M5753" s="18" t="s">
        <v>28</v>
      </c>
      <c r="N5753" s="17">
        <v>44099</v>
      </c>
      <c r="O5753" s="15" t="s">
        <v>30</v>
      </c>
      <c r="P5753" s="16" t="s">
        <v>28</v>
      </c>
      <c r="Q5753" s="15" t="s">
        <v>193</v>
      </c>
      <c r="R5753" s="13" t="str">
        <f>HYPERLINK("https://my.pitchbook.com?c=121547-35T","View Company Online")</f>
        <v>View Company Online</v>
      </c>
    </row>
    <row r="5754" spans="1:18" hidden="1" x14ac:dyDescent="0.3">
      <c r="A5754" s="9" t="s">
        <v>17798</v>
      </c>
      <c r="B5754" s="9" t="s">
        <v>5553</v>
      </c>
      <c r="C5754" s="11" t="s">
        <v>28</v>
      </c>
      <c r="D5754" s="9" t="s">
        <v>5554</v>
      </c>
      <c r="E5754" s="11">
        <v>19.62</v>
      </c>
      <c r="F5754" s="10" t="s">
        <v>28</v>
      </c>
      <c r="G5754" s="10">
        <v>561.62</v>
      </c>
      <c r="H5754" s="10">
        <v>1069.1400000000001</v>
      </c>
      <c r="I5754" s="11">
        <v>64.45</v>
      </c>
      <c r="J5754" s="11">
        <v>16.59</v>
      </c>
      <c r="K5754" s="11">
        <v>253.13</v>
      </c>
      <c r="L5754" s="11">
        <v>4.22</v>
      </c>
      <c r="M5754" s="11">
        <v>-27.86</v>
      </c>
      <c r="N5754" s="8">
        <v>44099</v>
      </c>
      <c r="O5754" s="9" t="s">
        <v>173</v>
      </c>
      <c r="P5754" s="12" t="s">
        <v>28</v>
      </c>
      <c r="Q5754" s="9" t="s">
        <v>5347</v>
      </c>
      <c r="R5754" s="14" t="str">
        <f>HYPERLINK("https://my.pitchbook.com?c=135390-07T","View Company Online")</f>
        <v>View Company Online</v>
      </c>
    </row>
    <row r="5755" spans="1:18" hidden="1" x14ac:dyDescent="0.3">
      <c r="A5755" s="15" t="s">
        <v>17799</v>
      </c>
      <c r="B5755" s="15" t="s">
        <v>11377</v>
      </c>
      <c r="C5755" s="18" t="s">
        <v>28</v>
      </c>
      <c r="D5755" s="15" t="s">
        <v>11378</v>
      </c>
      <c r="E5755" s="18" t="s">
        <v>28</v>
      </c>
      <c r="F5755" s="19" t="s">
        <v>28</v>
      </c>
      <c r="G5755" s="19" t="s">
        <v>28</v>
      </c>
      <c r="H5755" s="19" t="s">
        <v>28</v>
      </c>
      <c r="I5755" s="18" t="s">
        <v>28</v>
      </c>
      <c r="J5755" s="18" t="s">
        <v>28</v>
      </c>
      <c r="K5755" s="18" t="s">
        <v>28</v>
      </c>
      <c r="L5755" s="18" t="s">
        <v>28</v>
      </c>
      <c r="M5755" s="18" t="s">
        <v>28</v>
      </c>
      <c r="N5755" s="17">
        <v>44099</v>
      </c>
      <c r="O5755" s="15" t="s">
        <v>30</v>
      </c>
      <c r="P5755" s="16" t="s">
        <v>17800</v>
      </c>
      <c r="Q5755" s="15" t="s">
        <v>37</v>
      </c>
      <c r="R5755" s="13" t="str">
        <f>HYPERLINK("https://my.pitchbook.com?c=160187-77T","View Company Online")</f>
        <v>View Company Online</v>
      </c>
    </row>
    <row r="5756" spans="1:18" hidden="1" x14ac:dyDescent="0.3">
      <c r="A5756" s="9" t="s">
        <v>17801</v>
      </c>
      <c r="B5756" s="9" t="s">
        <v>17802</v>
      </c>
      <c r="C5756" s="11" t="s">
        <v>28</v>
      </c>
      <c r="D5756" s="9" t="s">
        <v>17803</v>
      </c>
      <c r="E5756" s="11" t="s">
        <v>28</v>
      </c>
      <c r="F5756" s="10">
        <v>94.2</v>
      </c>
      <c r="G5756" s="10">
        <v>94.2</v>
      </c>
      <c r="H5756" s="10">
        <v>94.2</v>
      </c>
      <c r="I5756" s="11" t="s">
        <v>28</v>
      </c>
      <c r="J5756" s="11" t="s">
        <v>28</v>
      </c>
      <c r="K5756" s="11" t="s">
        <v>28</v>
      </c>
      <c r="L5756" s="11" t="s">
        <v>28</v>
      </c>
      <c r="M5756" s="11" t="s">
        <v>28</v>
      </c>
      <c r="N5756" s="8">
        <v>44099</v>
      </c>
      <c r="O5756" s="9" t="s">
        <v>41</v>
      </c>
      <c r="P5756" s="12" t="s">
        <v>17804</v>
      </c>
      <c r="Q5756" s="9" t="s">
        <v>183</v>
      </c>
      <c r="R5756" s="14" t="str">
        <f>HYPERLINK("https://my.pitchbook.com?c=153865-36T","View Company Online")</f>
        <v>View Company Online</v>
      </c>
    </row>
    <row r="5757" spans="1:18" hidden="1" x14ac:dyDescent="0.3">
      <c r="A5757" s="15" t="s">
        <v>17805</v>
      </c>
      <c r="B5757" s="15" t="s">
        <v>10177</v>
      </c>
      <c r="C5757" s="18" t="s">
        <v>28</v>
      </c>
      <c r="D5757" s="15" t="s">
        <v>10178</v>
      </c>
      <c r="E5757" s="18" t="s">
        <v>28</v>
      </c>
      <c r="F5757" s="19" t="s">
        <v>28</v>
      </c>
      <c r="G5757" s="19">
        <v>0.01</v>
      </c>
      <c r="H5757" s="19" t="s">
        <v>28</v>
      </c>
      <c r="I5757" s="18" t="s">
        <v>28</v>
      </c>
      <c r="J5757" s="18" t="s">
        <v>28</v>
      </c>
      <c r="K5757" s="18" t="s">
        <v>28</v>
      </c>
      <c r="L5757" s="18" t="s">
        <v>28</v>
      </c>
      <c r="M5757" s="18" t="s">
        <v>28</v>
      </c>
      <c r="N5757" s="17">
        <v>44099</v>
      </c>
      <c r="O5757" s="15" t="s">
        <v>47</v>
      </c>
      <c r="P5757" s="16" t="s">
        <v>17806</v>
      </c>
      <c r="Q5757" s="15" t="s">
        <v>1263</v>
      </c>
      <c r="R5757" s="13" t="str">
        <f>HYPERLINK("https://my.pitchbook.com?c=196998-31T","View Company Online")</f>
        <v>View Company Online</v>
      </c>
    </row>
    <row r="5758" spans="1:18" hidden="1" x14ac:dyDescent="0.3">
      <c r="A5758" s="9" t="s">
        <v>17807</v>
      </c>
      <c r="B5758" s="9" t="s">
        <v>17808</v>
      </c>
      <c r="C5758" s="11" t="s">
        <v>28</v>
      </c>
      <c r="D5758" s="9" t="s">
        <v>17809</v>
      </c>
      <c r="E5758" s="11" t="s">
        <v>28</v>
      </c>
      <c r="F5758" s="10" t="s">
        <v>28</v>
      </c>
      <c r="G5758" s="10" t="s">
        <v>28</v>
      </c>
      <c r="H5758" s="10" t="s">
        <v>28</v>
      </c>
      <c r="I5758" s="11" t="s">
        <v>28</v>
      </c>
      <c r="J5758" s="11" t="s">
        <v>28</v>
      </c>
      <c r="K5758" s="11" t="s">
        <v>28</v>
      </c>
      <c r="L5758" s="11" t="s">
        <v>28</v>
      </c>
      <c r="M5758" s="11" t="s">
        <v>28</v>
      </c>
      <c r="N5758" s="8">
        <v>44098</v>
      </c>
      <c r="O5758" s="9" t="s">
        <v>30</v>
      </c>
      <c r="P5758" s="12" t="s">
        <v>14452</v>
      </c>
      <c r="Q5758" s="9" t="s">
        <v>174</v>
      </c>
      <c r="R5758" s="14" t="str">
        <f>HYPERLINK("https://my.pitchbook.com?c=223297-39T","View Company Online")</f>
        <v>View Company Online</v>
      </c>
    </row>
    <row r="5759" spans="1:18" hidden="1" x14ac:dyDescent="0.3">
      <c r="A5759" s="15" t="s">
        <v>17810</v>
      </c>
      <c r="B5759" s="15" t="s">
        <v>17811</v>
      </c>
      <c r="C5759" s="18" t="s">
        <v>28</v>
      </c>
      <c r="D5759" s="15" t="s">
        <v>17812</v>
      </c>
      <c r="E5759" s="18" t="s">
        <v>28</v>
      </c>
      <c r="F5759" s="19" t="s">
        <v>28</v>
      </c>
      <c r="G5759" s="19">
        <v>0.19</v>
      </c>
      <c r="H5759" s="19" t="s">
        <v>28</v>
      </c>
      <c r="I5759" s="18" t="s">
        <v>28</v>
      </c>
      <c r="J5759" s="18" t="s">
        <v>28</v>
      </c>
      <c r="K5759" s="18" t="s">
        <v>28</v>
      </c>
      <c r="L5759" s="18" t="s">
        <v>28</v>
      </c>
      <c r="M5759" s="18" t="s">
        <v>28</v>
      </c>
      <c r="N5759" s="17">
        <v>44097</v>
      </c>
      <c r="O5759" s="15" t="s">
        <v>79</v>
      </c>
      <c r="P5759" s="16" t="s">
        <v>17813</v>
      </c>
      <c r="Q5759" s="15" t="s">
        <v>75</v>
      </c>
      <c r="R5759" s="13" t="str">
        <f>HYPERLINK("https://my.pitchbook.com?c=156625-57T","View Company Online")</f>
        <v>View Company Online</v>
      </c>
    </row>
    <row r="5760" spans="1:18" hidden="1" x14ac:dyDescent="0.3">
      <c r="A5760" s="9" t="s">
        <v>17814</v>
      </c>
      <c r="B5760" s="9" t="s">
        <v>17815</v>
      </c>
      <c r="C5760" s="11" t="s">
        <v>28</v>
      </c>
      <c r="D5760" s="9" t="s">
        <v>17816</v>
      </c>
      <c r="E5760" s="11" t="s">
        <v>28</v>
      </c>
      <c r="F5760" s="10" t="s">
        <v>28</v>
      </c>
      <c r="G5760" s="10">
        <v>4.5</v>
      </c>
      <c r="H5760" s="10" t="s">
        <v>28</v>
      </c>
      <c r="I5760" s="11" t="s">
        <v>28</v>
      </c>
      <c r="J5760" s="11" t="s">
        <v>28</v>
      </c>
      <c r="K5760" s="11" t="s">
        <v>28</v>
      </c>
      <c r="L5760" s="11" t="s">
        <v>28</v>
      </c>
      <c r="M5760" s="11" t="s">
        <v>28</v>
      </c>
      <c r="N5760" s="8">
        <v>44097</v>
      </c>
      <c r="O5760" s="9" t="s">
        <v>73</v>
      </c>
      <c r="P5760" s="12" t="s">
        <v>17023</v>
      </c>
      <c r="Q5760" s="9" t="s">
        <v>37</v>
      </c>
      <c r="R5760" s="14" t="str">
        <f>HYPERLINK("https://my.pitchbook.com?c=156653-38T","View Company Online")</f>
        <v>View Company Online</v>
      </c>
    </row>
    <row r="5761" spans="1:18" hidden="1" x14ac:dyDescent="0.3">
      <c r="A5761" s="15" t="s">
        <v>17817</v>
      </c>
      <c r="B5761" s="15" t="s">
        <v>17818</v>
      </c>
      <c r="C5761" s="18" t="s">
        <v>28</v>
      </c>
      <c r="D5761" s="15" t="s">
        <v>17819</v>
      </c>
      <c r="E5761" s="18" t="s">
        <v>28</v>
      </c>
      <c r="F5761" s="19">
        <v>47.03</v>
      </c>
      <c r="G5761" s="19">
        <v>47.03</v>
      </c>
      <c r="H5761" s="19">
        <v>47.03</v>
      </c>
      <c r="I5761" s="18" t="s">
        <v>28</v>
      </c>
      <c r="J5761" s="18" t="s">
        <v>28</v>
      </c>
      <c r="K5761" s="18" t="s">
        <v>28</v>
      </c>
      <c r="L5761" s="18" t="s">
        <v>28</v>
      </c>
      <c r="M5761" s="18" t="s">
        <v>28</v>
      </c>
      <c r="N5761" s="17">
        <v>44097</v>
      </c>
      <c r="O5761" s="15" t="s">
        <v>30</v>
      </c>
      <c r="P5761" s="16" t="s">
        <v>9243</v>
      </c>
      <c r="Q5761" s="15" t="s">
        <v>299</v>
      </c>
      <c r="R5761" s="13" t="str">
        <f>HYPERLINK("https://my.pitchbook.com?c=128339-56T","View Company Online")</f>
        <v>View Company Online</v>
      </c>
    </row>
    <row r="5762" spans="1:18" hidden="1" x14ac:dyDescent="0.3">
      <c r="A5762" s="9" t="s">
        <v>17820</v>
      </c>
      <c r="B5762" s="9" t="s">
        <v>17821</v>
      </c>
      <c r="C5762" s="11" t="s">
        <v>28</v>
      </c>
      <c r="D5762" s="9" t="s">
        <v>17822</v>
      </c>
      <c r="E5762" s="11" t="s">
        <v>28</v>
      </c>
      <c r="F5762" s="10" t="s">
        <v>28</v>
      </c>
      <c r="G5762" s="10" t="s">
        <v>28</v>
      </c>
      <c r="H5762" s="10" t="s">
        <v>28</v>
      </c>
      <c r="I5762" s="11" t="s">
        <v>28</v>
      </c>
      <c r="J5762" s="11" t="s">
        <v>28</v>
      </c>
      <c r="K5762" s="11" t="s">
        <v>28</v>
      </c>
      <c r="L5762" s="11" t="s">
        <v>28</v>
      </c>
      <c r="M5762" s="11" t="s">
        <v>28</v>
      </c>
      <c r="N5762" s="8">
        <v>44096</v>
      </c>
      <c r="O5762" s="9" t="s">
        <v>52</v>
      </c>
      <c r="P5762" s="12" t="s">
        <v>6257</v>
      </c>
      <c r="Q5762" s="9" t="s">
        <v>583</v>
      </c>
      <c r="R5762" s="14" t="str">
        <f>HYPERLINK("https://my.pitchbook.com?c=254554-30T","View Company Online")</f>
        <v>View Company Online</v>
      </c>
    </row>
    <row r="5763" spans="1:18" hidden="1" x14ac:dyDescent="0.3">
      <c r="A5763" s="15" t="s">
        <v>17823</v>
      </c>
      <c r="B5763" s="15" t="s">
        <v>17824</v>
      </c>
      <c r="C5763" s="18" t="s">
        <v>28</v>
      </c>
      <c r="D5763" s="15" t="s">
        <v>17825</v>
      </c>
      <c r="E5763" s="18" t="s">
        <v>28</v>
      </c>
      <c r="F5763" s="19" t="s">
        <v>28</v>
      </c>
      <c r="G5763" s="19" t="s">
        <v>28</v>
      </c>
      <c r="H5763" s="19" t="s">
        <v>28</v>
      </c>
      <c r="I5763" s="18" t="s">
        <v>28</v>
      </c>
      <c r="J5763" s="18" t="s">
        <v>28</v>
      </c>
      <c r="K5763" s="18">
        <v>5.13</v>
      </c>
      <c r="L5763" s="18" t="s">
        <v>28</v>
      </c>
      <c r="M5763" s="18" t="s">
        <v>28</v>
      </c>
      <c r="N5763" s="17">
        <v>44096</v>
      </c>
      <c r="O5763" s="15" t="s">
        <v>30</v>
      </c>
      <c r="P5763" s="16" t="s">
        <v>17826</v>
      </c>
      <c r="Q5763" s="15" t="s">
        <v>5132</v>
      </c>
      <c r="R5763" s="13" t="str">
        <f>HYPERLINK("https://my.pitchbook.com?c=156736-18T","View Company Online")</f>
        <v>View Company Online</v>
      </c>
    </row>
    <row r="5764" spans="1:18" hidden="1" x14ac:dyDescent="0.3">
      <c r="A5764" s="9" t="s">
        <v>17827</v>
      </c>
      <c r="B5764" s="9" t="s">
        <v>12503</v>
      </c>
      <c r="C5764" s="11" t="s">
        <v>28</v>
      </c>
      <c r="D5764" s="9" t="s">
        <v>12504</v>
      </c>
      <c r="E5764" s="11" t="s">
        <v>28</v>
      </c>
      <c r="F5764" s="10" t="s">
        <v>28</v>
      </c>
      <c r="G5764" s="10">
        <v>11.15</v>
      </c>
      <c r="H5764" s="10" t="s">
        <v>28</v>
      </c>
      <c r="I5764" s="11" t="s">
        <v>28</v>
      </c>
      <c r="J5764" s="11" t="s">
        <v>28</v>
      </c>
      <c r="K5764" s="11" t="s">
        <v>28</v>
      </c>
      <c r="L5764" s="11" t="s">
        <v>28</v>
      </c>
      <c r="M5764" s="11" t="s">
        <v>28</v>
      </c>
      <c r="N5764" s="8">
        <v>44096</v>
      </c>
      <c r="O5764" s="9" t="s">
        <v>79</v>
      </c>
      <c r="P5764" s="12" t="s">
        <v>17828</v>
      </c>
      <c r="Q5764" s="9" t="s">
        <v>114</v>
      </c>
      <c r="R5764" s="14" t="str">
        <f>HYPERLINK("https://my.pitchbook.com?c=156521-80T","View Company Online")</f>
        <v>View Company Online</v>
      </c>
    </row>
    <row r="5765" spans="1:18" hidden="1" x14ac:dyDescent="0.3">
      <c r="A5765" s="15" t="s">
        <v>17829</v>
      </c>
      <c r="B5765" s="15" t="s">
        <v>17830</v>
      </c>
      <c r="C5765" s="18" t="s">
        <v>28</v>
      </c>
      <c r="D5765" s="15" t="s">
        <v>17831</v>
      </c>
      <c r="E5765" s="18">
        <v>43.19</v>
      </c>
      <c r="F5765" s="19" t="s">
        <v>28</v>
      </c>
      <c r="G5765" s="19">
        <v>157.79</v>
      </c>
      <c r="H5765" s="19" t="s">
        <v>28</v>
      </c>
      <c r="I5765" s="18">
        <v>43.19</v>
      </c>
      <c r="J5765" s="18" t="s">
        <v>28</v>
      </c>
      <c r="K5765" s="18">
        <v>231.64</v>
      </c>
      <c r="L5765" s="18" t="s">
        <v>28</v>
      </c>
      <c r="M5765" s="18">
        <v>27.74</v>
      </c>
      <c r="N5765" s="17">
        <v>44095</v>
      </c>
      <c r="O5765" s="15" t="s">
        <v>173</v>
      </c>
      <c r="P5765" s="16" t="s">
        <v>28</v>
      </c>
      <c r="Q5765" s="15" t="s">
        <v>299</v>
      </c>
      <c r="R5765" s="13" t="str">
        <f>HYPERLINK("https://my.pitchbook.com?c=223340-77T","View Company Online")</f>
        <v>View Company Online</v>
      </c>
    </row>
    <row r="5766" spans="1:18" hidden="1" x14ac:dyDescent="0.3">
      <c r="A5766" s="9" t="s">
        <v>17832</v>
      </c>
      <c r="B5766" s="9" t="s">
        <v>8327</v>
      </c>
      <c r="C5766" s="11" t="s">
        <v>28</v>
      </c>
      <c r="D5766" s="9" t="s">
        <v>8328</v>
      </c>
      <c r="E5766" s="11" t="s">
        <v>28</v>
      </c>
      <c r="F5766" s="10" t="s">
        <v>28</v>
      </c>
      <c r="G5766" s="10">
        <v>0.35</v>
      </c>
      <c r="H5766" s="10">
        <v>5</v>
      </c>
      <c r="I5766" s="11" t="s">
        <v>28</v>
      </c>
      <c r="J5766" s="11" t="s">
        <v>28</v>
      </c>
      <c r="K5766" s="11" t="s">
        <v>28</v>
      </c>
      <c r="L5766" s="11" t="s">
        <v>28</v>
      </c>
      <c r="M5766" s="11" t="s">
        <v>28</v>
      </c>
      <c r="N5766" s="8">
        <v>44095</v>
      </c>
      <c r="O5766" s="9" t="s">
        <v>52</v>
      </c>
      <c r="P5766" s="12" t="s">
        <v>17833</v>
      </c>
      <c r="Q5766" s="9" t="s">
        <v>37</v>
      </c>
      <c r="R5766" s="14" t="str">
        <f>HYPERLINK("https://my.pitchbook.com?c=254189-98T","View Company Online")</f>
        <v>View Company Online</v>
      </c>
    </row>
    <row r="5767" spans="1:18" hidden="1" x14ac:dyDescent="0.3">
      <c r="A5767" s="15" t="s">
        <v>17834</v>
      </c>
      <c r="B5767" s="15" t="s">
        <v>17835</v>
      </c>
      <c r="C5767" s="18" t="s">
        <v>28</v>
      </c>
      <c r="D5767" s="15" t="s">
        <v>17836</v>
      </c>
      <c r="E5767" s="18" t="s">
        <v>28</v>
      </c>
      <c r="F5767" s="19">
        <v>0.01</v>
      </c>
      <c r="G5767" s="19">
        <v>0.01</v>
      </c>
      <c r="H5767" s="19">
        <v>0.01</v>
      </c>
      <c r="I5767" s="18" t="s">
        <v>28</v>
      </c>
      <c r="J5767" s="18" t="s">
        <v>28</v>
      </c>
      <c r="K5767" s="18" t="s">
        <v>28</v>
      </c>
      <c r="L5767" s="18" t="s">
        <v>28</v>
      </c>
      <c r="M5767" s="18" t="s">
        <v>28</v>
      </c>
      <c r="N5767" s="17">
        <v>44095</v>
      </c>
      <c r="O5767" s="15" t="s">
        <v>30</v>
      </c>
      <c r="P5767" s="16" t="s">
        <v>9043</v>
      </c>
      <c r="Q5767" s="15" t="s">
        <v>43</v>
      </c>
      <c r="R5767" s="13" t="str">
        <f>HYPERLINK("https://my.pitchbook.com?c=178299-73T","View Company Online")</f>
        <v>View Company Online</v>
      </c>
    </row>
    <row r="5768" spans="1:18" hidden="1" x14ac:dyDescent="0.3">
      <c r="A5768" s="9" t="s">
        <v>17837</v>
      </c>
      <c r="B5768" s="9" t="s">
        <v>10969</v>
      </c>
      <c r="C5768" s="11" t="s">
        <v>28</v>
      </c>
      <c r="D5768" s="9" t="s">
        <v>10970</v>
      </c>
      <c r="E5768" s="11" t="s">
        <v>28</v>
      </c>
      <c r="F5768" s="10" t="s">
        <v>28</v>
      </c>
      <c r="G5768" s="10">
        <v>107.67</v>
      </c>
      <c r="H5768" s="10">
        <v>222.76</v>
      </c>
      <c r="I5768" s="11" t="s">
        <v>28</v>
      </c>
      <c r="J5768" s="11" t="s">
        <v>28</v>
      </c>
      <c r="K5768" s="11" t="s">
        <v>28</v>
      </c>
      <c r="L5768" s="11" t="s">
        <v>28</v>
      </c>
      <c r="M5768" s="11" t="s">
        <v>28</v>
      </c>
      <c r="N5768" s="8">
        <v>44095</v>
      </c>
      <c r="O5768" s="9" t="s">
        <v>79</v>
      </c>
      <c r="P5768" s="12" t="s">
        <v>17838</v>
      </c>
      <c r="Q5768" s="9" t="s">
        <v>75</v>
      </c>
      <c r="R5768" s="14" t="str">
        <f>HYPERLINK("https://my.pitchbook.com?c=156459-34T","View Company Online")</f>
        <v>View Company Online</v>
      </c>
    </row>
    <row r="5769" spans="1:18" hidden="1" x14ac:dyDescent="0.3">
      <c r="A5769" s="15" t="s">
        <v>17839</v>
      </c>
      <c r="B5769" s="15" t="s">
        <v>17840</v>
      </c>
      <c r="C5769" s="18" t="s">
        <v>28</v>
      </c>
      <c r="D5769" s="15" t="s">
        <v>17841</v>
      </c>
      <c r="E5769" s="18" t="s">
        <v>28</v>
      </c>
      <c r="F5769" s="19">
        <v>4.46</v>
      </c>
      <c r="G5769" s="19">
        <v>4.46</v>
      </c>
      <c r="H5769" s="19">
        <v>4.46</v>
      </c>
      <c r="I5769" s="18" t="s">
        <v>28</v>
      </c>
      <c r="J5769" s="18" t="s">
        <v>28</v>
      </c>
      <c r="K5769" s="18" t="s">
        <v>28</v>
      </c>
      <c r="L5769" s="18" t="s">
        <v>28</v>
      </c>
      <c r="M5769" s="18" t="s">
        <v>28</v>
      </c>
      <c r="N5769" s="17">
        <v>44095</v>
      </c>
      <c r="O5769" s="15" t="s">
        <v>30</v>
      </c>
      <c r="P5769" s="16" t="s">
        <v>13906</v>
      </c>
      <c r="Q5769" s="15" t="s">
        <v>43</v>
      </c>
      <c r="R5769" s="13" t="str">
        <f>HYPERLINK("https://my.pitchbook.com?c=172147-78T","View Company Online")</f>
        <v>View Company Online</v>
      </c>
    </row>
    <row r="5770" spans="1:18" hidden="1" x14ac:dyDescent="0.3">
      <c r="A5770" s="9" t="s">
        <v>17842</v>
      </c>
      <c r="B5770" s="9" t="s">
        <v>17843</v>
      </c>
      <c r="C5770" s="11" t="s">
        <v>28</v>
      </c>
      <c r="D5770" s="9" t="s">
        <v>17844</v>
      </c>
      <c r="E5770" s="11" t="s">
        <v>28</v>
      </c>
      <c r="F5770" s="10">
        <v>4.46</v>
      </c>
      <c r="G5770" s="10">
        <v>4.46</v>
      </c>
      <c r="H5770" s="10">
        <v>4.46</v>
      </c>
      <c r="I5770" s="11" t="s">
        <v>28</v>
      </c>
      <c r="J5770" s="11" t="s">
        <v>28</v>
      </c>
      <c r="K5770" s="11" t="s">
        <v>28</v>
      </c>
      <c r="L5770" s="11" t="s">
        <v>28</v>
      </c>
      <c r="M5770" s="11" t="s">
        <v>28</v>
      </c>
      <c r="N5770" s="8">
        <v>44095</v>
      </c>
      <c r="O5770" s="9" t="s">
        <v>30</v>
      </c>
      <c r="P5770" s="12" t="s">
        <v>4196</v>
      </c>
      <c r="Q5770" s="9" t="s">
        <v>75</v>
      </c>
      <c r="R5770" s="14" t="str">
        <f>HYPERLINK("https://my.pitchbook.com?c=256152-88T","View Company Online")</f>
        <v>View Company Online</v>
      </c>
    </row>
    <row r="5771" spans="1:18" hidden="1" x14ac:dyDescent="0.3">
      <c r="A5771" s="15" t="s">
        <v>17845</v>
      </c>
      <c r="B5771" s="15" t="s">
        <v>12116</v>
      </c>
      <c r="C5771" s="18" t="s">
        <v>28</v>
      </c>
      <c r="D5771" s="15" t="s">
        <v>12117</v>
      </c>
      <c r="E5771" s="18" t="s">
        <v>28</v>
      </c>
      <c r="F5771" s="19" t="s">
        <v>28</v>
      </c>
      <c r="G5771" s="19">
        <v>0.41</v>
      </c>
      <c r="H5771" s="19" t="s">
        <v>28</v>
      </c>
      <c r="I5771" s="18" t="s">
        <v>28</v>
      </c>
      <c r="J5771" s="18" t="s">
        <v>28</v>
      </c>
      <c r="K5771" s="18" t="s">
        <v>28</v>
      </c>
      <c r="L5771" s="18" t="s">
        <v>28</v>
      </c>
      <c r="M5771" s="18" t="s">
        <v>28</v>
      </c>
      <c r="N5771" s="17">
        <v>44093</v>
      </c>
      <c r="O5771" s="15" t="s">
        <v>99</v>
      </c>
      <c r="P5771" s="16" t="s">
        <v>17568</v>
      </c>
      <c r="Q5771" s="15" t="s">
        <v>37</v>
      </c>
      <c r="R5771" s="13" t="str">
        <f>HYPERLINK("https://my.pitchbook.com?c=164166-22T","View Company Online")</f>
        <v>View Company Online</v>
      </c>
    </row>
    <row r="5772" spans="1:18" hidden="1" x14ac:dyDescent="0.3">
      <c r="A5772" s="9" t="s">
        <v>17846</v>
      </c>
      <c r="B5772" s="9" t="s">
        <v>17847</v>
      </c>
      <c r="C5772" s="11" t="s">
        <v>28</v>
      </c>
      <c r="D5772" s="9" t="s">
        <v>17848</v>
      </c>
      <c r="E5772" s="11" t="s">
        <v>28</v>
      </c>
      <c r="F5772" s="10">
        <v>4.43</v>
      </c>
      <c r="G5772" s="10">
        <v>4.43</v>
      </c>
      <c r="H5772" s="10">
        <v>4.43</v>
      </c>
      <c r="I5772" s="11" t="s">
        <v>28</v>
      </c>
      <c r="J5772" s="11" t="s">
        <v>28</v>
      </c>
      <c r="K5772" s="11" t="s">
        <v>28</v>
      </c>
      <c r="L5772" s="11" t="s">
        <v>28</v>
      </c>
      <c r="M5772" s="11" t="s">
        <v>28</v>
      </c>
      <c r="N5772" s="8">
        <v>44092</v>
      </c>
      <c r="O5772" s="9" t="s">
        <v>30</v>
      </c>
      <c r="P5772" s="12" t="s">
        <v>16459</v>
      </c>
      <c r="Q5772" s="9" t="s">
        <v>43</v>
      </c>
      <c r="R5772" s="14" t="str">
        <f>HYPERLINK("https://my.pitchbook.com?c=214087-42T","View Company Online")</f>
        <v>View Company Online</v>
      </c>
    </row>
    <row r="5773" spans="1:18" hidden="1" x14ac:dyDescent="0.3">
      <c r="A5773" s="15" t="s">
        <v>17849</v>
      </c>
      <c r="B5773" s="15" t="s">
        <v>9325</v>
      </c>
      <c r="C5773" s="18" t="s">
        <v>28</v>
      </c>
      <c r="D5773" s="15" t="s">
        <v>9326</v>
      </c>
      <c r="E5773" s="18" t="s">
        <v>28</v>
      </c>
      <c r="F5773" s="19" t="s">
        <v>28</v>
      </c>
      <c r="G5773" s="19">
        <v>0.92</v>
      </c>
      <c r="H5773" s="19" t="s">
        <v>28</v>
      </c>
      <c r="I5773" s="18" t="s">
        <v>28</v>
      </c>
      <c r="J5773" s="18" t="s">
        <v>28</v>
      </c>
      <c r="K5773" s="18" t="s">
        <v>28</v>
      </c>
      <c r="L5773" s="18" t="s">
        <v>28</v>
      </c>
      <c r="M5773" s="18" t="s">
        <v>28</v>
      </c>
      <c r="N5773" s="17">
        <v>44092</v>
      </c>
      <c r="O5773" s="15" t="s">
        <v>73</v>
      </c>
      <c r="P5773" s="16" t="s">
        <v>17850</v>
      </c>
      <c r="Q5773" s="15" t="s">
        <v>54</v>
      </c>
      <c r="R5773" s="13" t="str">
        <f>HYPERLINK("https://my.pitchbook.com?c=160182-01T","View Company Online")</f>
        <v>View Company Online</v>
      </c>
    </row>
    <row r="5774" spans="1:18" hidden="1" x14ac:dyDescent="0.3">
      <c r="A5774" s="9" t="s">
        <v>17851</v>
      </c>
      <c r="B5774" s="9" t="s">
        <v>17852</v>
      </c>
      <c r="C5774" s="11" t="s">
        <v>28</v>
      </c>
      <c r="D5774" s="9" t="s">
        <v>17853</v>
      </c>
      <c r="E5774" s="11" t="s">
        <v>28</v>
      </c>
      <c r="F5774" s="10" t="s">
        <v>28</v>
      </c>
      <c r="G5774" s="10">
        <v>4.25</v>
      </c>
      <c r="H5774" s="10">
        <v>4.25</v>
      </c>
      <c r="I5774" s="11" t="s">
        <v>28</v>
      </c>
      <c r="J5774" s="11" t="s">
        <v>28</v>
      </c>
      <c r="K5774" s="11" t="s">
        <v>28</v>
      </c>
      <c r="L5774" s="11" t="s">
        <v>28</v>
      </c>
      <c r="M5774" s="11" t="s">
        <v>28</v>
      </c>
      <c r="N5774" s="8">
        <v>44092</v>
      </c>
      <c r="O5774" s="9" t="s">
        <v>30</v>
      </c>
      <c r="P5774" s="12" t="s">
        <v>9050</v>
      </c>
      <c r="Q5774" s="9" t="s">
        <v>9051</v>
      </c>
      <c r="R5774" s="14" t="str">
        <f>HYPERLINK("https://my.pitchbook.com?c=211715-29T","View Company Online")</f>
        <v>View Company Online</v>
      </c>
    </row>
    <row r="5775" spans="1:18" hidden="1" x14ac:dyDescent="0.3">
      <c r="A5775" s="15" t="s">
        <v>17854</v>
      </c>
      <c r="B5775" s="15" t="s">
        <v>17855</v>
      </c>
      <c r="C5775" s="18" t="s">
        <v>28</v>
      </c>
      <c r="D5775" s="15" t="s">
        <v>17856</v>
      </c>
      <c r="E5775" s="18" t="s">
        <v>28</v>
      </c>
      <c r="F5775" s="19" t="s">
        <v>28</v>
      </c>
      <c r="G5775" s="19" t="s">
        <v>28</v>
      </c>
      <c r="H5775" s="19" t="s">
        <v>28</v>
      </c>
      <c r="I5775" s="18" t="s">
        <v>28</v>
      </c>
      <c r="J5775" s="18" t="s">
        <v>28</v>
      </c>
      <c r="K5775" s="18" t="s">
        <v>28</v>
      </c>
      <c r="L5775" s="18" t="s">
        <v>28</v>
      </c>
      <c r="M5775" s="18" t="s">
        <v>28</v>
      </c>
      <c r="N5775" s="17">
        <v>44092</v>
      </c>
      <c r="O5775" s="15" t="s">
        <v>30</v>
      </c>
      <c r="P5775" s="16" t="s">
        <v>17857</v>
      </c>
      <c r="Q5775" s="15" t="s">
        <v>245</v>
      </c>
      <c r="R5775" s="13" t="str">
        <f>HYPERLINK("https://my.pitchbook.com?c=160182-91T","View Company Online")</f>
        <v>View Company Online</v>
      </c>
    </row>
    <row r="5776" spans="1:18" hidden="1" x14ac:dyDescent="0.3">
      <c r="A5776" s="9" t="s">
        <v>17858</v>
      </c>
      <c r="B5776" s="9" t="s">
        <v>5374</v>
      </c>
      <c r="C5776" s="11" t="s">
        <v>28</v>
      </c>
      <c r="D5776" s="9" t="s">
        <v>17859</v>
      </c>
      <c r="E5776" s="11">
        <v>289.72000000000003</v>
      </c>
      <c r="F5776" s="10" t="s">
        <v>28</v>
      </c>
      <c r="G5776" s="10" t="s">
        <v>28</v>
      </c>
      <c r="H5776" s="10" t="s">
        <v>28</v>
      </c>
      <c r="I5776" s="11">
        <v>505.55</v>
      </c>
      <c r="J5776" s="11" t="s">
        <v>28</v>
      </c>
      <c r="K5776" s="11">
        <v>1903.53</v>
      </c>
      <c r="L5776" s="11" t="s">
        <v>28</v>
      </c>
      <c r="M5776" s="11">
        <v>53.57</v>
      </c>
      <c r="N5776" s="8">
        <v>44092</v>
      </c>
      <c r="O5776" s="9" t="s">
        <v>173</v>
      </c>
      <c r="P5776" s="12" t="s">
        <v>28</v>
      </c>
      <c r="Q5776" s="9" t="s">
        <v>160</v>
      </c>
      <c r="R5776" s="14" t="str">
        <f>HYPERLINK("https://my.pitchbook.com?c=226901-26T","View Company Online")</f>
        <v>View Company Online</v>
      </c>
    </row>
    <row r="5777" spans="1:18" hidden="1" x14ac:dyDescent="0.3">
      <c r="A5777" s="15" t="s">
        <v>17860</v>
      </c>
      <c r="B5777" s="15" t="s">
        <v>17861</v>
      </c>
      <c r="C5777" s="18" t="s">
        <v>28</v>
      </c>
      <c r="D5777" s="15" t="s">
        <v>17862</v>
      </c>
      <c r="E5777" s="18" t="s">
        <v>28</v>
      </c>
      <c r="F5777" s="19" t="s">
        <v>28</v>
      </c>
      <c r="G5777" s="19" t="s">
        <v>28</v>
      </c>
      <c r="H5777" s="19" t="s">
        <v>28</v>
      </c>
      <c r="I5777" s="18" t="s">
        <v>28</v>
      </c>
      <c r="J5777" s="18" t="s">
        <v>28</v>
      </c>
      <c r="K5777" s="18" t="s">
        <v>28</v>
      </c>
      <c r="L5777" s="18" t="s">
        <v>28</v>
      </c>
      <c r="M5777" s="18" t="s">
        <v>28</v>
      </c>
      <c r="N5777" s="17">
        <v>44092</v>
      </c>
      <c r="O5777" s="15" t="s">
        <v>52</v>
      </c>
      <c r="P5777" s="16" t="s">
        <v>12362</v>
      </c>
      <c r="Q5777" s="15" t="s">
        <v>75</v>
      </c>
      <c r="R5777" s="13" t="str">
        <f>HYPERLINK("https://my.pitchbook.com?c=284353-30T","View Company Online")</f>
        <v>View Company Online</v>
      </c>
    </row>
    <row r="5778" spans="1:18" hidden="1" x14ac:dyDescent="0.3">
      <c r="A5778" s="9" t="s">
        <v>17863</v>
      </c>
      <c r="B5778" s="9" t="s">
        <v>8468</v>
      </c>
      <c r="C5778" s="11" t="s">
        <v>28</v>
      </c>
      <c r="D5778" s="9" t="s">
        <v>8469</v>
      </c>
      <c r="E5778" s="11">
        <v>4.25</v>
      </c>
      <c r="F5778" s="10" t="s">
        <v>28</v>
      </c>
      <c r="G5778" s="10">
        <v>96</v>
      </c>
      <c r="H5778" s="10">
        <v>368.93</v>
      </c>
      <c r="I5778" s="11">
        <v>16.829999999999998</v>
      </c>
      <c r="J5778" s="11">
        <v>21.93</v>
      </c>
      <c r="K5778" s="11">
        <v>107.97</v>
      </c>
      <c r="L5778" s="11">
        <v>3.42</v>
      </c>
      <c r="M5778" s="11">
        <v>2.5299999999999998</v>
      </c>
      <c r="N5778" s="8">
        <v>44092</v>
      </c>
      <c r="O5778" s="9" t="s">
        <v>173</v>
      </c>
      <c r="P5778" s="12" t="s">
        <v>28</v>
      </c>
      <c r="Q5778" s="9" t="s">
        <v>43</v>
      </c>
      <c r="R5778" s="14" t="str">
        <f>HYPERLINK("https://my.pitchbook.com?c=185925-25T","View Company Online")</f>
        <v>View Company Online</v>
      </c>
    </row>
    <row r="5779" spans="1:18" hidden="1" x14ac:dyDescent="0.3">
      <c r="A5779" s="15" t="s">
        <v>17864</v>
      </c>
      <c r="B5779" s="15" t="s">
        <v>4788</v>
      </c>
      <c r="C5779" s="18" t="s">
        <v>28</v>
      </c>
      <c r="D5779" s="15" t="s">
        <v>4789</v>
      </c>
      <c r="E5779" s="18" t="s">
        <v>28</v>
      </c>
      <c r="F5779" s="19" t="s">
        <v>28</v>
      </c>
      <c r="G5779" s="19">
        <v>1</v>
      </c>
      <c r="H5779" s="19" t="s">
        <v>28</v>
      </c>
      <c r="I5779" s="18" t="s">
        <v>28</v>
      </c>
      <c r="J5779" s="18" t="s">
        <v>28</v>
      </c>
      <c r="K5779" s="18" t="s">
        <v>28</v>
      </c>
      <c r="L5779" s="18" t="s">
        <v>28</v>
      </c>
      <c r="M5779" s="18" t="s">
        <v>28</v>
      </c>
      <c r="N5779" s="17">
        <v>44091</v>
      </c>
      <c r="O5779" s="15" t="s">
        <v>99</v>
      </c>
      <c r="P5779" s="16" t="s">
        <v>17865</v>
      </c>
      <c r="Q5779" s="15" t="s">
        <v>75</v>
      </c>
      <c r="R5779" s="13" t="str">
        <f>HYPERLINK("https://my.pitchbook.com?c=165808-81T","View Company Online")</f>
        <v>View Company Online</v>
      </c>
    </row>
    <row r="5780" spans="1:18" hidden="1" x14ac:dyDescent="0.3">
      <c r="A5780" s="9" t="s">
        <v>17866</v>
      </c>
      <c r="B5780" s="9" t="s">
        <v>5251</v>
      </c>
      <c r="C5780" s="11" t="s">
        <v>28</v>
      </c>
      <c r="D5780" s="9" t="s">
        <v>5252</v>
      </c>
      <c r="E5780" s="11">
        <v>28.1</v>
      </c>
      <c r="F5780" s="10" t="s">
        <v>28</v>
      </c>
      <c r="G5780" s="10" t="s">
        <v>28</v>
      </c>
      <c r="H5780" s="10" t="s">
        <v>28</v>
      </c>
      <c r="I5780" s="11">
        <v>31.82</v>
      </c>
      <c r="J5780" s="11" t="s">
        <v>28</v>
      </c>
      <c r="K5780" s="11">
        <v>173.32</v>
      </c>
      <c r="L5780" s="11" t="s">
        <v>28</v>
      </c>
      <c r="M5780" s="11">
        <v>24.12</v>
      </c>
      <c r="N5780" s="8">
        <v>44091</v>
      </c>
      <c r="O5780" s="9" t="s">
        <v>173</v>
      </c>
      <c r="P5780" s="12" t="s">
        <v>28</v>
      </c>
      <c r="Q5780" s="9" t="s">
        <v>299</v>
      </c>
      <c r="R5780" s="14" t="str">
        <f>HYPERLINK("https://my.pitchbook.com?c=213984-10T","View Company Online")</f>
        <v>View Company Online</v>
      </c>
    </row>
    <row r="5781" spans="1:18" hidden="1" x14ac:dyDescent="0.3">
      <c r="A5781" s="15" t="s">
        <v>17867</v>
      </c>
      <c r="B5781" s="15" t="s">
        <v>17868</v>
      </c>
      <c r="C5781" s="18" t="s">
        <v>28</v>
      </c>
      <c r="D5781" s="15" t="s">
        <v>17869</v>
      </c>
      <c r="E5781" s="18" t="s">
        <v>28</v>
      </c>
      <c r="F5781" s="19" t="s">
        <v>28</v>
      </c>
      <c r="G5781" s="19">
        <v>15.38</v>
      </c>
      <c r="H5781" s="19" t="s">
        <v>28</v>
      </c>
      <c r="I5781" s="18" t="s">
        <v>28</v>
      </c>
      <c r="J5781" s="18" t="s">
        <v>28</v>
      </c>
      <c r="K5781" s="18" t="s">
        <v>28</v>
      </c>
      <c r="L5781" s="18" t="s">
        <v>28</v>
      </c>
      <c r="M5781" s="18" t="s">
        <v>28</v>
      </c>
      <c r="N5781" s="17">
        <v>44091</v>
      </c>
      <c r="O5781" s="15" t="s">
        <v>79</v>
      </c>
      <c r="P5781" s="16" t="s">
        <v>17870</v>
      </c>
      <c r="Q5781" s="15" t="s">
        <v>37</v>
      </c>
      <c r="R5781" s="13" t="str">
        <f>HYPERLINK("https://my.pitchbook.com?c=156311-83T","View Company Online")</f>
        <v>View Company Online</v>
      </c>
    </row>
    <row r="5782" spans="1:18" hidden="1" x14ac:dyDescent="0.3">
      <c r="A5782" s="9" t="s">
        <v>17871</v>
      </c>
      <c r="B5782" s="9" t="s">
        <v>17872</v>
      </c>
      <c r="C5782" s="11" t="s">
        <v>28</v>
      </c>
      <c r="D5782" s="9" t="s">
        <v>17873</v>
      </c>
      <c r="E5782" s="11" t="s">
        <v>28</v>
      </c>
      <c r="F5782" s="10" t="s">
        <v>28</v>
      </c>
      <c r="G5782" s="10" t="s">
        <v>28</v>
      </c>
      <c r="H5782" s="10" t="s">
        <v>28</v>
      </c>
      <c r="I5782" s="11" t="s">
        <v>28</v>
      </c>
      <c r="J5782" s="11" t="s">
        <v>28</v>
      </c>
      <c r="K5782" s="11" t="s">
        <v>28</v>
      </c>
      <c r="L5782" s="11" t="s">
        <v>28</v>
      </c>
      <c r="M5782" s="11" t="s">
        <v>28</v>
      </c>
      <c r="N5782" s="8">
        <v>44091</v>
      </c>
      <c r="O5782" s="9" t="s">
        <v>30</v>
      </c>
      <c r="P5782" s="12" t="s">
        <v>28</v>
      </c>
      <c r="Q5782" s="9" t="s">
        <v>290</v>
      </c>
      <c r="R5782" s="14" t="str">
        <f>HYPERLINK("https://my.pitchbook.com?c=211755-43T","View Company Online")</f>
        <v>View Company Online</v>
      </c>
    </row>
    <row r="5783" spans="1:18" hidden="1" x14ac:dyDescent="0.3">
      <c r="A5783" s="15" t="s">
        <v>17874</v>
      </c>
      <c r="B5783" s="15" t="s">
        <v>17875</v>
      </c>
      <c r="C5783" s="18" t="s">
        <v>28</v>
      </c>
      <c r="D5783" s="15" t="s">
        <v>17876</v>
      </c>
      <c r="E5783" s="18" t="s">
        <v>28</v>
      </c>
      <c r="F5783" s="19">
        <v>1.47</v>
      </c>
      <c r="G5783" s="19">
        <v>1.47</v>
      </c>
      <c r="H5783" s="19">
        <v>1.47</v>
      </c>
      <c r="I5783" s="18" t="s">
        <v>28</v>
      </c>
      <c r="J5783" s="18" t="s">
        <v>28</v>
      </c>
      <c r="K5783" s="18" t="s">
        <v>28</v>
      </c>
      <c r="L5783" s="18" t="s">
        <v>28</v>
      </c>
      <c r="M5783" s="18" t="s">
        <v>28</v>
      </c>
      <c r="N5783" s="17">
        <v>44090</v>
      </c>
      <c r="O5783" s="15" t="s">
        <v>30</v>
      </c>
      <c r="P5783" s="16" t="s">
        <v>16043</v>
      </c>
      <c r="Q5783" s="15" t="s">
        <v>75</v>
      </c>
      <c r="R5783" s="13" t="str">
        <f>HYPERLINK("https://my.pitchbook.com?c=160226-47T","View Company Online")</f>
        <v>View Company Online</v>
      </c>
    </row>
    <row r="5784" spans="1:18" hidden="1" x14ac:dyDescent="0.3">
      <c r="A5784" s="9" t="s">
        <v>17877</v>
      </c>
      <c r="B5784" s="9" t="s">
        <v>17878</v>
      </c>
      <c r="C5784" s="11" t="s">
        <v>28</v>
      </c>
      <c r="D5784" s="9" t="s">
        <v>17879</v>
      </c>
      <c r="E5784" s="11" t="s">
        <v>28</v>
      </c>
      <c r="F5784" s="10" t="s">
        <v>28</v>
      </c>
      <c r="G5784" s="10" t="s">
        <v>28</v>
      </c>
      <c r="H5784" s="10" t="s">
        <v>28</v>
      </c>
      <c r="I5784" s="11" t="s">
        <v>28</v>
      </c>
      <c r="J5784" s="11" t="s">
        <v>28</v>
      </c>
      <c r="K5784" s="11" t="s">
        <v>28</v>
      </c>
      <c r="L5784" s="11" t="s">
        <v>28</v>
      </c>
      <c r="M5784" s="11" t="s">
        <v>28</v>
      </c>
      <c r="N5784" s="8">
        <v>44090</v>
      </c>
      <c r="O5784" s="9" t="s">
        <v>41</v>
      </c>
      <c r="P5784" s="12" t="s">
        <v>17880</v>
      </c>
      <c r="Q5784" s="9" t="s">
        <v>855</v>
      </c>
      <c r="R5784" s="14" t="str">
        <f>HYPERLINK("https://my.pitchbook.com?c=156385-54T","View Company Online")</f>
        <v>View Company Online</v>
      </c>
    </row>
    <row r="5785" spans="1:18" hidden="1" x14ac:dyDescent="0.3">
      <c r="A5785" s="15" t="s">
        <v>17881</v>
      </c>
      <c r="B5785" s="15" t="s">
        <v>12499</v>
      </c>
      <c r="C5785" s="18" t="s">
        <v>28</v>
      </c>
      <c r="D5785" s="15" t="s">
        <v>12500</v>
      </c>
      <c r="E5785" s="18" t="s">
        <v>28</v>
      </c>
      <c r="F5785" s="19" t="s">
        <v>28</v>
      </c>
      <c r="G5785" s="19" t="s">
        <v>28</v>
      </c>
      <c r="H5785" s="19" t="s">
        <v>28</v>
      </c>
      <c r="I5785" s="18" t="s">
        <v>28</v>
      </c>
      <c r="J5785" s="18" t="s">
        <v>28</v>
      </c>
      <c r="K5785" s="18" t="s">
        <v>28</v>
      </c>
      <c r="L5785" s="18" t="s">
        <v>28</v>
      </c>
      <c r="M5785" s="18" t="s">
        <v>28</v>
      </c>
      <c r="N5785" s="17">
        <v>44090</v>
      </c>
      <c r="O5785" s="15" t="s">
        <v>73</v>
      </c>
      <c r="P5785" s="16" t="s">
        <v>104</v>
      </c>
      <c r="Q5785" s="15" t="s">
        <v>740</v>
      </c>
      <c r="R5785" s="13" t="str">
        <f>HYPERLINK("https://my.pitchbook.com?c=203792-68T","View Company Online")</f>
        <v>View Company Online</v>
      </c>
    </row>
    <row r="5786" spans="1:18" hidden="1" x14ac:dyDescent="0.3">
      <c r="A5786" s="9" t="s">
        <v>17882</v>
      </c>
      <c r="B5786" s="9" t="s">
        <v>17883</v>
      </c>
      <c r="C5786" s="11" t="s">
        <v>28</v>
      </c>
      <c r="D5786" s="9" t="s">
        <v>17884</v>
      </c>
      <c r="E5786" s="11" t="s">
        <v>28</v>
      </c>
      <c r="F5786" s="10" t="s">
        <v>28</v>
      </c>
      <c r="G5786" s="10" t="s">
        <v>28</v>
      </c>
      <c r="H5786" s="10" t="s">
        <v>28</v>
      </c>
      <c r="I5786" s="11" t="s">
        <v>28</v>
      </c>
      <c r="J5786" s="11" t="s">
        <v>28</v>
      </c>
      <c r="K5786" s="11">
        <v>0.67</v>
      </c>
      <c r="L5786" s="11" t="s">
        <v>28</v>
      </c>
      <c r="M5786" s="11">
        <v>0.12</v>
      </c>
      <c r="N5786" s="8">
        <v>44089</v>
      </c>
      <c r="O5786" s="9" t="s">
        <v>173</v>
      </c>
      <c r="P5786" s="12" t="s">
        <v>28</v>
      </c>
      <c r="Q5786" s="9" t="s">
        <v>174</v>
      </c>
      <c r="R5786" s="14" t="str">
        <f>HYPERLINK("https://my.pitchbook.com?c=251672-77T","View Company Online")</f>
        <v>View Company Online</v>
      </c>
    </row>
    <row r="5787" spans="1:18" hidden="1" x14ac:dyDescent="0.3">
      <c r="A5787" s="15" t="s">
        <v>17885</v>
      </c>
      <c r="B5787" s="15" t="s">
        <v>1562</v>
      </c>
      <c r="C5787" s="18" t="s">
        <v>28</v>
      </c>
      <c r="D5787" s="15" t="s">
        <v>1563</v>
      </c>
      <c r="E5787" s="18">
        <v>28.13</v>
      </c>
      <c r="F5787" s="19" t="s">
        <v>28</v>
      </c>
      <c r="G5787" s="19">
        <v>495.63</v>
      </c>
      <c r="H5787" s="19">
        <v>943.23</v>
      </c>
      <c r="I5787" s="18">
        <v>54.35</v>
      </c>
      <c r="J5787" s="18">
        <v>17.36</v>
      </c>
      <c r="K5787" s="18">
        <v>256.83999999999997</v>
      </c>
      <c r="L5787" s="18">
        <v>3.67</v>
      </c>
      <c r="M5787" s="18">
        <v>8.14</v>
      </c>
      <c r="N5787" s="17">
        <v>44089</v>
      </c>
      <c r="O5787" s="15" t="s">
        <v>173</v>
      </c>
      <c r="P5787" s="16" t="s">
        <v>28</v>
      </c>
      <c r="Q5787" s="15" t="s">
        <v>616</v>
      </c>
      <c r="R5787" s="13" t="str">
        <f>HYPERLINK("https://my.pitchbook.com?c=158098-60T","View Company Online")</f>
        <v>View Company Online</v>
      </c>
    </row>
    <row r="5788" spans="1:18" hidden="1" x14ac:dyDescent="0.3">
      <c r="A5788" s="9" t="s">
        <v>17886</v>
      </c>
      <c r="B5788" s="9" t="s">
        <v>17887</v>
      </c>
      <c r="C5788" s="11" t="s">
        <v>28</v>
      </c>
      <c r="D5788" s="9" t="s">
        <v>17888</v>
      </c>
      <c r="E5788" s="11" t="s">
        <v>28</v>
      </c>
      <c r="F5788" s="10">
        <v>0.42</v>
      </c>
      <c r="G5788" s="10">
        <v>0.28000000000000003</v>
      </c>
      <c r="H5788" s="10">
        <v>0.42</v>
      </c>
      <c r="I5788" s="11" t="s">
        <v>28</v>
      </c>
      <c r="J5788" s="11" t="s">
        <v>28</v>
      </c>
      <c r="K5788" s="11" t="s">
        <v>28</v>
      </c>
      <c r="L5788" s="11" t="s">
        <v>28</v>
      </c>
      <c r="M5788" s="11" t="s">
        <v>28</v>
      </c>
      <c r="N5788" s="8">
        <v>44089</v>
      </c>
      <c r="O5788" s="9" t="s">
        <v>41</v>
      </c>
      <c r="P5788" s="12" t="s">
        <v>17889</v>
      </c>
      <c r="Q5788" s="9" t="s">
        <v>183</v>
      </c>
      <c r="R5788" s="14" t="str">
        <f>HYPERLINK("https://my.pitchbook.com?c=224421-22T","View Company Online")</f>
        <v>View Company Online</v>
      </c>
    </row>
    <row r="5789" spans="1:18" hidden="1" x14ac:dyDescent="0.3">
      <c r="A5789" s="15" t="s">
        <v>17890</v>
      </c>
      <c r="B5789" s="15" t="s">
        <v>6469</v>
      </c>
      <c r="C5789" s="18" t="s">
        <v>28</v>
      </c>
      <c r="D5789" s="15" t="s">
        <v>6470</v>
      </c>
      <c r="E5789" s="18" t="s">
        <v>28</v>
      </c>
      <c r="F5789" s="19" t="s">
        <v>28</v>
      </c>
      <c r="G5789" s="19">
        <v>0.55000000000000004</v>
      </c>
      <c r="H5789" s="19" t="s">
        <v>28</v>
      </c>
      <c r="I5789" s="18" t="s">
        <v>28</v>
      </c>
      <c r="J5789" s="18" t="s">
        <v>28</v>
      </c>
      <c r="K5789" s="18" t="s">
        <v>28</v>
      </c>
      <c r="L5789" s="18" t="s">
        <v>28</v>
      </c>
      <c r="M5789" s="18" t="s">
        <v>28</v>
      </c>
      <c r="N5789" s="17">
        <v>44088</v>
      </c>
      <c r="O5789" s="15" t="s">
        <v>79</v>
      </c>
      <c r="P5789" s="16" t="s">
        <v>11495</v>
      </c>
      <c r="Q5789" s="15" t="s">
        <v>75</v>
      </c>
      <c r="R5789" s="13" t="str">
        <f>HYPERLINK("https://my.pitchbook.com?c=181649-35T","View Company Online")</f>
        <v>View Company Online</v>
      </c>
    </row>
    <row r="5790" spans="1:18" hidden="1" x14ac:dyDescent="0.3">
      <c r="A5790" s="9" t="s">
        <v>17891</v>
      </c>
      <c r="B5790" s="9" t="s">
        <v>17016</v>
      </c>
      <c r="C5790" s="11" t="s">
        <v>28</v>
      </c>
      <c r="D5790" s="9" t="s">
        <v>17017</v>
      </c>
      <c r="E5790" s="11" t="s">
        <v>28</v>
      </c>
      <c r="F5790" s="10" t="s">
        <v>28</v>
      </c>
      <c r="G5790" s="10">
        <v>2</v>
      </c>
      <c r="H5790" s="10">
        <v>20</v>
      </c>
      <c r="I5790" s="11" t="s">
        <v>28</v>
      </c>
      <c r="J5790" s="11" t="s">
        <v>28</v>
      </c>
      <c r="K5790" s="11" t="s">
        <v>28</v>
      </c>
      <c r="L5790" s="11" t="s">
        <v>28</v>
      </c>
      <c r="M5790" s="11" t="s">
        <v>28</v>
      </c>
      <c r="N5790" s="8">
        <v>44088</v>
      </c>
      <c r="O5790" s="9" t="s">
        <v>99</v>
      </c>
      <c r="P5790" s="12" t="s">
        <v>17892</v>
      </c>
      <c r="Q5790" s="9" t="s">
        <v>85</v>
      </c>
      <c r="R5790" s="14" t="str">
        <f>HYPERLINK("https://my.pitchbook.com?c=158144-23T","View Company Online")</f>
        <v>View Company Online</v>
      </c>
    </row>
    <row r="5791" spans="1:18" hidden="1" x14ac:dyDescent="0.3">
      <c r="A5791" s="15" t="s">
        <v>17893</v>
      </c>
      <c r="B5791" s="15" t="s">
        <v>2854</v>
      </c>
      <c r="C5791" s="18" t="s">
        <v>28</v>
      </c>
      <c r="D5791" s="15" t="s">
        <v>2855</v>
      </c>
      <c r="E5791" s="18" t="s">
        <v>28</v>
      </c>
      <c r="F5791" s="19" t="s">
        <v>28</v>
      </c>
      <c r="G5791" s="19" t="s">
        <v>28</v>
      </c>
      <c r="H5791" s="19" t="s">
        <v>28</v>
      </c>
      <c r="I5791" s="18" t="s">
        <v>28</v>
      </c>
      <c r="J5791" s="18" t="s">
        <v>28</v>
      </c>
      <c r="K5791" s="18" t="s">
        <v>28</v>
      </c>
      <c r="L5791" s="18" t="s">
        <v>28</v>
      </c>
      <c r="M5791" s="18" t="s">
        <v>28</v>
      </c>
      <c r="N5791" s="17">
        <v>44088</v>
      </c>
      <c r="O5791" s="15" t="s">
        <v>79</v>
      </c>
      <c r="P5791" s="16" t="s">
        <v>104</v>
      </c>
      <c r="Q5791" s="15" t="s">
        <v>85</v>
      </c>
      <c r="R5791" s="13" t="str">
        <f>HYPERLINK("https://my.pitchbook.com?c=203791-78T","View Company Online")</f>
        <v>View Company Online</v>
      </c>
    </row>
    <row r="5792" spans="1:18" hidden="1" x14ac:dyDescent="0.3">
      <c r="A5792" s="9" t="s">
        <v>17894</v>
      </c>
      <c r="B5792" s="9" t="s">
        <v>17895</v>
      </c>
      <c r="C5792" s="11" t="s">
        <v>28</v>
      </c>
      <c r="D5792" s="9" t="s">
        <v>17896</v>
      </c>
      <c r="E5792" s="11" t="s">
        <v>28</v>
      </c>
      <c r="F5792" s="10" t="s">
        <v>28</v>
      </c>
      <c r="G5792" s="10" t="s">
        <v>28</v>
      </c>
      <c r="H5792" s="10" t="s">
        <v>28</v>
      </c>
      <c r="I5792" s="11" t="s">
        <v>28</v>
      </c>
      <c r="J5792" s="11" t="s">
        <v>28</v>
      </c>
      <c r="K5792" s="11" t="s">
        <v>28</v>
      </c>
      <c r="L5792" s="11" t="s">
        <v>28</v>
      </c>
      <c r="M5792" s="11" t="s">
        <v>28</v>
      </c>
      <c r="N5792" s="8">
        <v>44085</v>
      </c>
      <c r="O5792" s="9" t="s">
        <v>41</v>
      </c>
      <c r="P5792" s="12" t="s">
        <v>28</v>
      </c>
      <c r="Q5792" s="9" t="s">
        <v>114</v>
      </c>
      <c r="R5792" s="14" t="str">
        <f>HYPERLINK("https://my.pitchbook.com?c=206056-09T","View Company Online")</f>
        <v>View Company Online</v>
      </c>
    </row>
    <row r="5793" spans="1:18" hidden="1" x14ac:dyDescent="0.3">
      <c r="A5793" s="15" t="s">
        <v>17897</v>
      </c>
      <c r="B5793" s="15" t="s">
        <v>4542</v>
      </c>
      <c r="C5793" s="18" t="s">
        <v>28</v>
      </c>
      <c r="D5793" s="15" t="s">
        <v>4543</v>
      </c>
      <c r="E5793" s="18" t="s">
        <v>28</v>
      </c>
      <c r="F5793" s="19" t="s">
        <v>28</v>
      </c>
      <c r="G5793" s="19">
        <v>22.04</v>
      </c>
      <c r="H5793" s="19" t="s">
        <v>28</v>
      </c>
      <c r="I5793" s="18" t="s">
        <v>28</v>
      </c>
      <c r="J5793" s="18" t="s">
        <v>28</v>
      </c>
      <c r="K5793" s="18">
        <v>13.59</v>
      </c>
      <c r="L5793" s="18" t="s">
        <v>28</v>
      </c>
      <c r="M5793" s="18" t="s">
        <v>28</v>
      </c>
      <c r="N5793" s="17">
        <v>44085</v>
      </c>
      <c r="O5793" s="15" t="s">
        <v>73</v>
      </c>
      <c r="P5793" s="16" t="s">
        <v>17898</v>
      </c>
      <c r="Q5793" s="15" t="s">
        <v>37</v>
      </c>
      <c r="R5793" s="13" t="str">
        <f>HYPERLINK("https://my.pitchbook.com?c=155999-80T","View Company Online")</f>
        <v>View Company Online</v>
      </c>
    </row>
    <row r="5794" spans="1:18" hidden="1" x14ac:dyDescent="0.3">
      <c r="A5794" s="9" t="s">
        <v>17899</v>
      </c>
      <c r="B5794" s="9" t="s">
        <v>17900</v>
      </c>
      <c r="C5794" s="11" t="s">
        <v>28</v>
      </c>
      <c r="D5794" s="9" t="s">
        <v>17901</v>
      </c>
      <c r="E5794" s="11" t="s">
        <v>28</v>
      </c>
      <c r="F5794" s="10" t="s">
        <v>28</v>
      </c>
      <c r="G5794" s="10" t="s">
        <v>28</v>
      </c>
      <c r="H5794" s="10" t="s">
        <v>28</v>
      </c>
      <c r="I5794" s="11" t="s">
        <v>28</v>
      </c>
      <c r="J5794" s="11" t="s">
        <v>28</v>
      </c>
      <c r="K5794" s="11">
        <v>0.28000000000000003</v>
      </c>
      <c r="L5794" s="11" t="s">
        <v>28</v>
      </c>
      <c r="M5794" s="11">
        <v>0.24</v>
      </c>
      <c r="N5794" s="8">
        <v>44085</v>
      </c>
      <c r="O5794" s="9" t="s">
        <v>173</v>
      </c>
      <c r="P5794" s="12" t="s">
        <v>28</v>
      </c>
      <c r="Q5794" s="9" t="s">
        <v>174</v>
      </c>
      <c r="R5794" s="14" t="str">
        <f>HYPERLINK("https://my.pitchbook.com?c=251672-50T","View Company Online")</f>
        <v>View Company Online</v>
      </c>
    </row>
    <row r="5795" spans="1:18" hidden="1" x14ac:dyDescent="0.3">
      <c r="A5795" s="15" t="s">
        <v>17902</v>
      </c>
      <c r="B5795" s="15" t="s">
        <v>6953</v>
      </c>
      <c r="C5795" s="18" t="s">
        <v>28</v>
      </c>
      <c r="D5795" s="15" t="s">
        <v>6954</v>
      </c>
      <c r="E5795" s="18" t="s">
        <v>28</v>
      </c>
      <c r="F5795" s="19" t="s">
        <v>28</v>
      </c>
      <c r="G5795" s="19">
        <v>14.5</v>
      </c>
      <c r="H5795" s="19" t="s">
        <v>28</v>
      </c>
      <c r="I5795" s="18" t="s">
        <v>28</v>
      </c>
      <c r="J5795" s="18" t="s">
        <v>28</v>
      </c>
      <c r="K5795" s="18">
        <v>2.2999999999999998</v>
      </c>
      <c r="L5795" s="18" t="s">
        <v>28</v>
      </c>
      <c r="M5795" s="18" t="s">
        <v>28</v>
      </c>
      <c r="N5795" s="17">
        <v>44085</v>
      </c>
      <c r="O5795" s="15" t="s">
        <v>73</v>
      </c>
      <c r="P5795" s="16" t="s">
        <v>17903</v>
      </c>
      <c r="Q5795" s="15" t="s">
        <v>774</v>
      </c>
      <c r="R5795" s="13" t="str">
        <f>HYPERLINK("https://my.pitchbook.com?c=156688-48T","View Company Online")</f>
        <v>View Company Online</v>
      </c>
    </row>
    <row r="5796" spans="1:18" hidden="1" x14ac:dyDescent="0.3">
      <c r="A5796" s="9" t="s">
        <v>17904</v>
      </c>
      <c r="B5796" s="9" t="s">
        <v>17905</v>
      </c>
      <c r="C5796" s="11" t="s">
        <v>28</v>
      </c>
      <c r="D5796" s="9" t="s">
        <v>17906</v>
      </c>
      <c r="E5796" s="11" t="s">
        <v>28</v>
      </c>
      <c r="F5796" s="10" t="s">
        <v>28</v>
      </c>
      <c r="G5796" s="10" t="s">
        <v>28</v>
      </c>
      <c r="H5796" s="10" t="s">
        <v>28</v>
      </c>
      <c r="I5796" s="11" t="s">
        <v>28</v>
      </c>
      <c r="J5796" s="11" t="s">
        <v>28</v>
      </c>
      <c r="K5796" s="11">
        <v>0.01</v>
      </c>
      <c r="L5796" s="11" t="s">
        <v>28</v>
      </c>
      <c r="M5796" s="11" t="s">
        <v>28</v>
      </c>
      <c r="N5796" s="8">
        <v>44084</v>
      </c>
      <c r="O5796" s="9" t="s">
        <v>41</v>
      </c>
      <c r="P5796" s="12" t="s">
        <v>17907</v>
      </c>
      <c r="Q5796" s="9" t="s">
        <v>658</v>
      </c>
      <c r="R5796" s="14" t="str">
        <f>HYPERLINK("https://my.pitchbook.com?c=171425-98T","View Company Online")</f>
        <v>View Company Online</v>
      </c>
    </row>
    <row r="5797" spans="1:18" hidden="1" x14ac:dyDescent="0.3">
      <c r="A5797" s="15" t="s">
        <v>17908</v>
      </c>
      <c r="B5797" s="15" t="s">
        <v>17909</v>
      </c>
      <c r="C5797" s="18" t="s">
        <v>28</v>
      </c>
      <c r="D5797" s="15" t="s">
        <v>17910</v>
      </c>
      <c r="E5797" s="18" t="s">
        <v>28</v>
      </c>
      <c r="F5797" s="19" t="s">
        <v>28</v>
      </c>
      <c r="G5797" s="19" t="s">
        <v>28</v>
      </c>
      <c r="H5797" s="19" t="s">
        <v>28</v>
      </c>
      <c r="I5797" s="18" t="s">
        <v>28</v>
      </c>
      <c r="J5797" s="18" t="s">
        <v>28</v>
      </c>
      <c r="K5797" s="18" t="s">
        <v>28</v>
      </c>
      <c r="L5797" s="18" t="s">
        <v>28</v>
      </c>
      <c r="M5797" s="18" t="s">
        <v>28</v>
      </c>
      <c r="N5797" s="17">
        <v>44084</v>
      </c>
      <c r="O5797" s="15" t="s">
        <v>30</v>
      </c>
      <c r="P5797" s="16" t="s">
        <v>17911</v>
      </c>
      <c r="Q5797" s="15" t="s">
        <v>37</v>
      </c>
      <c r="R5797" s="13" t="str">
        <f>HYPERLINK("https://my.pitchbook.com?c=156005-74T","View Company Online")</f>
        <v>View Company Online</v>
      </c>
    </row>
    <row r="5798" spans="1:18" hidden="1" x14ac:dyDescent="0.3">
      <c r="A5798" s="9" t="s">
        <v>17912</v>
      </c>
      <c r="B5798" s="9" t="s">
        <v>17913</v>
      </c>
      <c r="C5798" s="11" t="s">
        <v>28</v>
      </c>
      <c r="D5798" s="9" t="s">
        <v>17914</v>
      </c>
      <c r="E5798" s="11" t="s">
        <v>28</v>
      </c>
      <c r="F5798" s="10" t="s">
        <v>28</v>
      </c>
      <c r="G5798" s="10">
        <v>77.02</v>
      </c>
      <c r="H5798" s="10" t="s">
        <v>28</v>
      </c>
      <c r="I5798" s="11" t="s">
        <v>28</v>
      </c>
      <c r="J5798" s="11" t="s">
        <v>28</v>
      </c>
      <c r="K5798" s="11" t="s">
        <v>28</v>
      </c>
      <c r="L5798" s="11" t="s">
        <v>28</v>
      </c>
      <c r="M5798" s="11" t="s">
        <v>28</v>
      </c>
      <c r="N5798" s="8">
        <v>44083</v>
      </c>
      <c r="O5798" s="9" t="s">
        <v>93</v>
      </c>
      <c r="P5798" s="12" t="s">
        <v>13604</v>
      </c>
      <c r="Q5798" s="9" t="s">
        <v>59</v>
      </c>
      <c r="R5798" s="14" t="str">
        <f>HYPERLINK("https://my.pitchbook.com?c=187603-03T","View Company Online")</f>
        <v>View Company Online</v>
      </c>
    </row>
    <row r="5799" spans="1:18" hidden="1" x14ac:dyDescent="0.3">
      <c r="A5799" s="15" t="s">
        <v>17915</v>
      </c>
      <c r="B5799" s="15" t="s">
        <v>17916</v>
      </c>
      <c r="C5799" s="18" t="s">
        <v>28</v>
      </c>
      <c r="D5799" s="15" t="s">
        <v>17917</v>
      </c>
      <c r="E5799" s="18" t="s">
        <v>28</v>
      </c>
      <c r="F5799" s="19" t="s">
        <v>28</v>
      </c>
      <c r="G5799" s="19">
        <v>0.02</v>
      </c>
      <c r="H5799" s="19" t="s">
        <v>28</v>
      </c>
      <c r="I5799" s="18" t="s">
        <v>28</v>
      </c>
      <c r="J5799" s="18" t="s">
        <v>28</v>
      </c>
      <c r="K5799" s="18" t="s">
        <v>28</v>
      </c>
      <c r="L5799" s="18" t="s">
        <v>28</v>
      </c>
      <c r="M5799" s="18" t="s">
        <v>28</v>
      </c>
      <c r="N5799" s="17">
        <v>44083</v>
      </c>
      <c r="O5799" s="15" t="s">
        <v>99</v>
      </c>
      <c r="P5799" s="16" t="s">
        <v>17918</v>
      </c>
      <c r="Q5799" s="15" t="s">
        <v>959</v>
      </c>
      <c r="R5799" s="13" t="str">
        <f>HYPERLINK("https://my.pitchbook.com?c=160181-02T","View Company Online")</f>
        <v>View Company Online</v>
      </c>
    </row>
    <row r="5800" spans="1:18" hidden="1" x14ac:dyDescent="0.3">
      <c r="A5800" s="9" t="s">
        <v>17919</v>
      </c>
      <c r="B5800" s="9" t="s">
        <v>14320</v>
      </c>
      <c r="C5800" s="11" t="s">
        <v>28</v>
      </c>
      <c r="D5800" s="9" t="s">
        <v>17920</v>
      </c>
      <c r="E5800" s="11">
        <v>113.94</v>
      </c>
      <c r="F5800" s="10" t="s">
        <v>28</v>
      </c>
      <c r="G5800" s="10" t="s">
        <v>28</v>
      </c>
      <c r="H5800" s="10" t="s">
        <v>28</v>
      </c>
      <c r="I5800" s="11">
        <v>201</v>
      </c>
      <c r="J5800" s="11" t="s">
        <v>28</v>
      </c>
      <c r="K5800" s="11">
        <v>452.11</v>
      </c>
      <c r="L5800" s="11" t="s">
        <v>28</v>
      </c>
      <c r="M5800" s="11">
        <v>81.61</v>
      </c>
      <c r="N5800" s="8">
        <v>44083</v>
      </c>
      <c r="O5800" s="9" t="s">
        <v>159</v>
      </c>
      <c r="P5800" s="12" t="s">
        <v>2216</v>
      </c>
      <c r="Q5800" s="9" t="s">
        <v>188</v>
      </c>
      <c r="R5800" s="14" t="str">
        <f>HYPERLINK("https://my.pitchbook.com?c=156053-35T","View Company Online")</f>
        <v>View Company Online</v>
      </c>
    </row>
    <row r="5801" spans="1:18" hidden="1" x14ac:dyDescent="0.3">
      <c r="A5801" s="15" t="s">
        <v>17921</v>
      </c>
      <c r="B5801" s="15" t="s">
        <v>17922</v>
      </c>
      <c r="C5801" s="18" t="s">
        <v>28</v>
      </c>
      <c r="D5801" s="15" t="s">
        <v>17923</v>
      </c>
      <c r="E5801" s="18" t="s">
        <v>28</v>
      </c>
      <c r="F5801" s="19" t="s">
        <v>28</v>
      </c>
      <c r="G5801" s="19" t="s">
        <v>28</v>
      </c>
      <c r="H5801" s="19" t="s">
        <v>28</v>
      </c>
      <c r="I5801" s="18" t="s">
        <v>28</v>
      </c>
      <c r="J5801" s="18" t="s">
        <v>28</v>
      </c>
      <c r="K5801" s="18" t="s">
        <v>28</v>
      </c>
      <c r="L5801" s="18" t="s">
        <v>28</v>
      </c>
      <c r="M5801" s="18" t="s">
        <v>28</v>
      </c>
      <c r="N5801" s="17">
        <v>44082</v>
      </c>
      <c r="O5801" s="15" t="s">
        <v>173</v>
      </c>
      <c r="P5801" s="16" t="s">
        <v>28</v>
      </c>
      <c r="Q5801" s="15" t="s">
        <v>174</v>
      </c>
      <c r="R5801" s="13" t="str">
        <f>HYPERLINK("https://my.pitchbook.com?c=251091-28T","View Company Online")</f>
        <v>View Company Online</v>
      </c>
    </row>
    <row r="5802" spans="1:18" hidden="1" x14ac:dyDescent="0.3">
      <c r="A5802" s="9" t="s">
        <v>17924</v>
      </c>
      <c r="B5802" s="9" t="s">
        <v>17925</v>
      </c>
      <c r="C5802" s="11" t="s">
        <v>28</v>
      </c>
      <c r="D5802" s="9" t="s">
        <v>17926</v>
      </c>
      <c r="E5802" s="11" t="s">
        <v>28</v>
      </c>
      <c r="F5802" s="10" t="s">
        <v>28</v>
      </c>
      <c r="G5802" s="10">
        <v>0.04</v>
      </c>
      <c r="H5802" s="10" t="s">
        <v>28</v>
      </c>
      <c r="I5802" s="11" t="s">
        <v>28</v>
      </c>
      <c r="J5802" s="11" t="s">
        <v>28</v>
      </c>
      <c r="K5802" s="11" t="s">
        <v>28</v>
      </c>
      <c r="L5802" s="11" t="s">
        <v>28</v>
      </c>
      <c r="M5802" s="11" t="s">
        <v>28</v>
      </c>
      <c r="N5802" s="8">
        <v>44082</v>
      </c>
      <c r="O5802" s="9" t="s">
        <v>379</v>
      </c>
      <c r="P5802" s="12" t="s">
        <v>28</v>
      </c>
      <c r="Q5802" s="9" t="s">
        <v>75</v>
      </c>
      <c r="R5802" s="14" t="str">
        <f>HYPERLINK("https://my.pitchbook.com?c=155778-94T","View Company Online")</f>
        <v>View Company Online</v>
      </c>
    </row>
    <row r="5803" spans="1:18" hidden="1" x14ac:dyDescent="0.3">
      <c r="A5803" s="15" t="s">
        <v>17927</v>
      </c>
      <c r="B5803" s="15" t="s">
        <v>17259</v>
      </c>
      <c r="C5803" s="18" t="s">
        <v>28</v>
      </c>
      <c r="D5803" s="15" t="s">
        <v>17928</v>
      </c>
      <c r="E5803" s="18" t="s">
        <v>28</v>
      </c>
      <c r="F5803" s="19" t="s">
        <v>28</v>
      </c>
      <c r="G5803" s="19">
        <v>164.41</v>
      </c>
      <c r="H5803" s="19" t="s">
        <v>28</v>
      </c>
      <c r="I5803" s="18" t="s">
        <v>28</v>
      </c>
      <c r="J5803" s="18" t="s">
        <v>28</v>
      </c>
      <c r="K5803" s="18" t="s">
        <v>28</v>
      </c>
      <c r="L5803" s="18" t="s">
        <v>28</v>
      </c>
      <c r="M5803" s="18" t="s">
        <v>28</v>
      </c>
      <c r="N5803" s="17">
        <v>44082</v>
      </c>
      <c r="O5803" s="15" t="s">
        <v>159</v>
      </c>
      <c r="P5803" s="16" t="s">
        <v>28</v>
      </c>
      <c r="Q5803" s="15" t="s">
        <v>226</v>
      </c>
      <c r="R5803" s="13" t="str">
        <f>HYPERLINK("https://my.pitchbook.com?c=165799-00T","View Company Online")</f>
        <v>View Company Online</v>
      </c>
    </row>
    <row r="5804" spans="1:18" hidden="1" x14ac:dyDescent="0.3">
      <c r="A5804" s="9" t="s">
        <v>17929</v>
      </c>
      <c r="B5804" s="9" t="s">
        <v>17930</v>
      </c>
      <c r="C5804" s="11" t="s">
        <v>28</v>
      </c>
      <c r="D5804" s="9" t="s">
        <v>17931</v>
      </c>
      <c r="E5804" s="11" t="s">
        <v>28</v>
      </c>
      <c r="F5804" s="10" t="s">
        <v>28</v>
      </c>
      <c r="G5804" s="10" t="s">
        <v>28</v>
      </c>
      <c r="H5804" s="10" t="s">
        <v>28</v>
      </c>
      <c r="I5804" s="11" t="s">
        <v>28</v>
      </c>
      <c r="J5804" s="11" t="s">
        <v>28</v>
      </c>
      <c r="K5804" s="11" t="s">
        <v>28</v>
      </c>
      <c r="L5804" s="11" t="s">
        <v>28</v>
      </c>
      <c r="M5804" s="11" t="s">
        <v>28</v>
      </c>
      <c r="N5804" s="8">
        <v>44082</v>
      </c>
      <c r="O5804" s="9" t="s">
        <v>58</v>
      </c>
      <c r="P5804" s="12" t="s">
        <v>421</v>
      </c>
      <c r="Q5804" s="9" t="s">
        <v>240</v>
      </c>
      <c r="R5804" s="14" t="str">
        <f>HYPERLINK("https://my.pitchbook.com?c=199447-03T","View Company Online")</f>
        <v>View Company Online</v>
      </c>
    </row>
    <row r="5805" spans="1:18" hidden="1" x14ac:dyDescent="0.3">
      <c r="A5805" s="15" t="s">
        <v>17932</v>
      </c>
      <c r="B5805" s="15" t="s">
        <v>17933</v>
      </c>
      <c r="C5805" s="18" t="s">
        <v>28</v>
      </c>
      <c r="D5805" s="15" t="s">
        <v>17934</v>
      </c>
      <c r="E5805" s="18" t="s">
        <v>28</v>
      </c>
      <c r="F5805" s="19" t="s">
        <v>28</v>
      </c>
      <c r="G5805" s="19" t="s">
        <v>28</v>
      </c>
      <c r="H5805" s="19" t="s">
        <v>28</v>
      </c>
      <c r="I5805" s="18" t="s">
        <v>28</v>
      </c>
      <c r="J5805" s="18" t="s">
        <v>28</v>
      </c>
      <c r="K5805" s="18" t="s">
        <v>28</v>
      </c>
      <c r="L5805" s="18" t="s">
        <v>28</v>
      </c>
      <c r="M5805" s="18" t="s">
        <v>28</v>
      </c>
      <c r="N5805" s="17">
        <v>44081</v>
      </c>
      <c r="O5805" s="15" t="s">
        <v>52</v>
      </c>
      <c r="P5805" s="16" t="s">
        <v>798</v>
      </c>
      <c r="Q5805" s="15" t="s">
        <v>386</v>
      </c>
      <c r="R5805" s="13" t="str">
        <f>HYPERLINK("https://my.pitchbook.com?c=298014-67T","View Company Online")</f>
        <v>View Company Online</v>
      </c>
    </row>
    <row r="5806" spans="1:18" hidden="1" x14ac:dyDescent="0.3">
      <c r="A5806" s="9" t="s">
        <v>17935</v>
      </c>
      <c r="B5806" s="9" t="s">
        <v>14940</v>
      </c>
      <c r="C5806" s="11" t="s">
        <v>28</v>
      </c>
      <c r="D5806" s="9" t="s">
        <v>14941</v>
      </c>
      <c r="E5806" s="11" t="s">
        <v>28</v>
      </c>
      <c r="F5806" s="10" t="s">
        <v>28</v>
      </c>
      <c r="G5806" s="10">
        <v>0.13</v>
      </c>
      <c r="H5806" s="10" t="s">
        <v>28</v>
      </c>
      <c r="I5806" s="11" t="s">
        <v>28</v>
      </c>
      <c r="J5806" s="11" t="s">
        <v>28</v>
      </c>
      <c r="K5806" s="11" t="s">
        <v>28</v>
      </c>
      <c r="L5806" s="11" t="s">
        <v>28</v>
      </c>
      <c r="M5806" s="11" t="s">
        <v>28</v>
      </c>
      <c r="N5806" s="8">
        <v>44081</v>
      </c>
      <c r="O5806" s="9" t="s">
        <v>1639</v>
      </c>
      <c r="P5806" s="12" t="s">
        <v>28</v>
      </c>
      <c r="Q5806" s="9" t="s">
        <v>37</v>
      </c>
      <c r="R5806" s="14" t="str">
        <f>HYPERLINK("https://my.pitchbook.com?c=215497-54T","View Company Online")</f>
        <v>View Company Online</v>
      </c>
    </row>
    <row r="5807" spans="1:18" hidden="1" x14ac:dyDescent="0.3">
      <c r="A5807" s="15" t="s">
        <v>17936</v>
      </c>
      <c r="B5807" s="15" t="s">
        <v>15288</v>
      </c>
      <c r="C5807" s="18" t="s">
        <v>28</v>
      </c>
      <c r="D5807" s="15" t="s">
        <v>15289</v>
      </c>
      <c r="E5807" s="18" t="s">
        <v>28</v>
      </c>
      <c r="F5807" s="19" t="s">
        <v>28</v>
      </c>
      <c r="G5807" s="19">
        <v>1.83</v>
      </c>
      <c r="H5807" s="19" t="s">
        <v>28</v>
      </c>
      <c r="I5807" s="18" t="s">
        <v>28</v>
      </c>
      <c r="J5807" s="18" t="s">
        <v>28</v>
      </c>
      <c r="K5807" s="18" t="s">
        <v>28</v>
      </c>
      <c r="L5807" s="18" t="s">
        <v>28</v>
      </c>
      <c r="M5807" s="18" t="s">
        <v>28</v>
      </c>
      <c r="N5807" s="17">
        <v>44079</v>
      </c>
      <c r="O5807" s="15" t="s">
        <v>79</v>
      </c>
      <c r="P5807" s="16" t="s">
        <v>17937</v>
      </c>
      <c r="Q5807" s="15" t="s">
        <v>409</v>
      </c>
      <c r="R5807" s="13" t="str">
        <f>HYPERLINK("https://my.pitchbook.com?c=138825-64T","View Company Online")</f>
        <v>View Company Online</v>
      </c>
    </row>
    <row r="5808" spans="1:18" hidden="1" x14ac:dyDescent="0.3">
      <c r="A5808" s="9" t="s">
        <v>17938</v>
      </c>
      <c r="B5808" s="9" t="s">
        <v>17939</v>
      </c>
      <c r="C5808" s="11" t="s">
        <v>28</v>
      </c>
      <c r="D5808" s="9" t="s">
        <v>17940</v>
      </c>
      <c r="E5808" s="11" t="s">
        <v>28</v>
      </c>
      <c r="F5808" s="10" t="s">
        <v>28</v>
      </c>
      <c r="G5808" s="10">
        <v>0.03</v>
      </c>
      <c r="H5808" s="10" t="s">
        <v>28</v>
      </c>
      <c r="I5808" s="11" t="s">
        <v>28</v>
      </c>
      <c r="J5808" s="11" t="s">
        <v>28</v>
      </c>
      <c r="K5808" s="11" t="s">
        <v>28</v>
      </c>
      <c r="L5808" s="11" t="s">
        <v>28</v>
      </c>
      <c r="M5808" s="11" t="s">
        <v>28</v>
      </c>
      <c r="N5808" s="8">
        <v>44078</v>
      </c>
      <c r="O5808" s="9" t="s">
        <v>99</v>
      </c>
      <c r="P5808" s="12" t="s">
        <v>28</v>
      </c>
      <c r="Q5808" s="9" t="s">
        <v>409</v>
      </c>
      <c r="R5808" s="14" t="str">
        <f>HYPERLINK("https://my.pitchbook.com?c=211062-79T","View Company Online")</f>
        <v>View Company Online</v>
      </c>
    </row>
    <row r="5809" spans="1:18" hidden="1" x14ac:dyDescent="0.3">
      <c r="A5809" s="15" t="s">
        <v>17941</v>
      </c>
      <c r="B5809" s="15" t="s">
        <v>17942</v>
      </c>
      <c r="C5809" s="18" t="s">
        <v>28</v>
      </c>
      <c r="D5809" s="15" t="s">
        <v>17943</v>
      </c>
      <c r="E5809" s="18" t="s">
        <v>28</v>
      </c>
      <c r="F5809" s="19">
        <v>3.48</v>
      </c>
      <c r="G5809" s="19">
        <v>3.48</v>
      </c>
      <c r="H5809" s="19">
        <v>3.48</v>
      </c>
      <c r="I5809" s="18" t="s">
        <v>28</v>
      </c>
      <c r="J5809" s="18" t="s">
        <v>28</v>
      </c>
      <c r="K5809" s="18">
        <v>2.02</v>
      </c>
      <c r="L5809" s="18">
        <v>1.72</v>
      </c>
      <c r="M5809" s="18" t="s">
        <v>28</v>
      </c>
      <c r="N5809" s="17">
        <v>44078</v>
      </c>
      <c r="O5809" s="15" t="s">
        <v>30</v>
      </c>
      <c r="P5809" s="16" t="s">
        <v>10279</v>
      </c>
      <c r="Q5809" s="15" t="s">
        <v>75</v>
      </c>
      <c r="R5809" s="13" t="str">
        <f>HYPERLINK("https://my.pitchbook.com?c=155608-66T","View Company Online")</f>
        <v>View Company Online</v>
      </c>
    </row>
    <row r="5810" spans="1:18" hidden="1" x14ac:dyDescent="0.3">
      <c r="A5810" s="9" t="s">
        <v>17944</v>
      </c>
      <c r="B5810" s="9" t="s">
        <v>15054</v>
      </c>
      <c r="C5810" s="11" t="s">
        <v>28</v>
      </c>
      <c r="D5810" s="9" t="s">
        <v>17945</v>
      </c>
      <c r="E5810" s="11" t="s">
        <v>28</v>
      </c>
      <c r="F5810" s="10" t="s">
        <v>28</v>
      </c>
      <c r="G5810" s="10" t="s">
        <v>28</v>
      </c>
      <c r="H5810" s="10" t="s">
        <v>28</v>
      </c>
      <c r="I5810" s="11" t="s">
        <v>28</v>
      </c>
      <c r="J5810" s="11" t="s">
        <v>28</v>
      </c>
      <c r="K5810" s="11">
        <v>700</v>
      </c>
      <c r="L5810" s="11" t="s">
        <v>28</v>
      </c>
      <c r="M5810" s="11" t="s">
        <v>28</v>
      </c>
      <c r="N5810" s="8">
        <v>44077</v>
      </c>
      <c r="O5810" s="9" t="s">
        <v>30</v>
      </c>
      <c r="P5810" s="12" t="s">
        <v>3609</v>
      </c>
      <c r="Q5810" s="9" t="s">
        <v>855</v>
      </c>
      <c r="R5810" s="14" t="str">
        <f>HYPERLINK("https://my.pitchbook.com?c=212118-67T","View Company Online")</f>
        <v>View Company Online</v>
      </c>
    </row>
    <row r="5811" spans="1:18" hidden="1" x14ac:dyDescent="0.3">
      <c r="A5811" s="15" t="s">
        <v>17946</v>
      </c>
      <c r="B5811" s="15" t="s">
        <v>17947</v>
      </c>
      <c r="C5811" s="18" t="s">
        <v>28</v>
      </c>
      <c r="D5811" s="15" t="s">
        <v>17948</v>
      </c>
      <c r="E5811" s="18">
        <v>5.18</v>
      </c>
      <c r="F5811" s="19" t="s">
        <v>28</v>
      </c>
      <c r="G5811" s="19" t="s">
        <v>28</v>
      </c>
      <c r="H5811" s="19" t="s">
        <v>28</v>
      </c>
      <c r="I5811" s="18">
        <v>5.18</v>
      </c>
      <c r="J5811" s="18" t="s">
        <v>28</v>
      </c>
      <c r="K5811" s="18">
        <v>4.62</v>
      </c>
      <c r="L5811" s="18" t="s">
        <v>28</v>
      </c>
      <c r="M5811" s="18">
        <v>5.18</v>
      </c>
      <c r="N5811" s="17">
        <v>44077</v>
      </c>
      <c r="O5811" s="15" t="s">
        <v>173</v>
      </c>
      <c r="P5811" s="16" t="s">
        <v>28</v>
      </c>
      <c r="Q5811" s="15" t="s">
        <v>240</v>
      </c>
      <c r="R5811" s="13" t="str">
        <f>HYPERLINK("https://my.pitchbook.com?c=209622-16T","View Company Online")</f>
        <v>View Company Online</v>
      </c>
    </row>
    <row r="5812" spans="1:18" hidden="1" x14ac:dyDescent="0.3">
      <c r="A5812" s="9" t="s">
        <v>17949</v>
      </c>
      <c r="B5812" s="9" t="s">
        <v>17950</v>
      </c>
      <c r="C5812" s="11" t="s">
        <v>28</v>
      </c>
      <c r="D5812" s="9" t="s">
        <v>17951</v>
      </c>
      <c r="E5812" s="11">
        <v>64.58</v>
      </c>
      <c r="F5812" s="10" t="s">
        <v>28</v>
      </c>
      <c r="G5812" s="10">
        <v>136.72</v>
      </c>
      <c r="H5812" s="10" t="s">
        <v>28</v>
      </c>
      <c r="I5812" s="11">
        <v>120.96</v>
      </c>
      <c r="J5812" s="11" t="s">
        <v>28</v>
      </c>
      <c r="K5812" s="11">
        <v>1462.79</v>
      </c>
      <c r="L5812" s="11" t="s">
        <v>28</v>
      </c>
      <c r="M5812" s="11">
        <v>14.3</v>
      </c>
      <c r="N5812" s="8">
        <v>44077</v>
      </c>
      <c r="O5812" s="9" t="s">
        <v>173</v>
      </c>
      <c r="P5812" s="12" t="s">
        <v>28</v>
      </c>
      <c r="Q5812" s="9" t="s">
        <v>409</v>
      </c>
      <c r="R5812" s="14" t="str">
        <f>HYPERLINK("https://my.pitchbook.com?c=154992-07T","View Company Online")</f>
        <v>View Company Online</v>
      </c>
    </row>
    <row r="5813" spans="1:18" hidden="1" x14ac:dyDescent="0.3">
      <c r="A5813" s="15" t="s">
        <v>17952</v>
      </c>
      <c r="B5813" s="15" t="s">
        <v>17953</v>
      </c>
      <c r="C5813" s="18" t="s">
        <v>28</v>
      </c>
      <c r="D5813" s="15" t="s">
        <v>17954</v>
      </c>
      <c r="E5813" s="18" t="s">
        <v>28</v>
      </c>
      <c r="F5813" s="19" t="s">
        <v>28</v>
      </c>
      <c r="G5813" s="19" t="s">
        <v>28</v>
      </c>
      <c r="H5813" s="19" t="s">
        <v>28</v>
      </c>
      <c r="I5813" s="18" t="s">
        <v>28</v>
      </c>
      <c r="J5813" s="18" t="s">
        <v>28</v>
      </c>
      <c r="K5813" s="18" t="s">
        <v>28</v>
      </c>
      <c r="L5813" s="18" t="s">
        <v>28</v>
      </c>
      <c r="M5813" s="18" t="s">
        <v>28</v>
      </c>
      <c r="N5813" s="17">
        <v>44077</v>
      </c>
      <c r="O5813" s="15" t="s">
        <v>30</v>
      </c>
      <c r="P5813" s="16" t="s">
        <v>17955</v>
      </c>
      <c r="Q5813" s="15" t="s">
        <v>331</v>
      </c>
      <c r="R5813" s="13" t="str">
        <f>HYPERLINK("https://my.pitchbook.com?c=294246-01T","View Company Online")</f>
        <v>View Company Online</v>
      </c>
    </row>
    <row r="5814" spans="1:18" hidden="1" x14ac:dyDescent="0.3">
      <c r="A5814" s="9" t="s">
        <v>17956</v>
      </c>
      <c r="B5814" s="9" t="s">
        <v>17957</v>
      </c>
      <c r="C5814" s="11" t="s">
        <v>28</v>
      </c>
      <c r="D5814" s="9" t="s">
        <v>17958</v>
      </c>
      <c r="E5814" s="11" t="s">
        <v>28</v>
      </c>
      <c r="F5814" s="10" t="s">
        <v>28</v>
      </c>
      <c r="G5814" s="10">
        <v>0.01</v>
      </c>
      <c r="H5814" s="10" t="s">
        <v>28</v>
      </c>
      <c r="I5814" s="11" t="s">
        <v>28</v>
      </c>
      <c r="J5814" s="11" t="s">
        <v>28</v>
      </c>
      <c r="K5814" s="11" t="s">
        <v>28</v>
      </c>
      <c r="L5814" s="11" t="s">
        <v>28</v>
      </c>
      <c r="M5814" s="11" t="s">
        <v>28</v>
      </c>
      <c r="N5814" s="8">
        <v>44076</v>
      </c>
      <c r="O5814" s="9" t="s">
        <v>52</v>
      </c>
      <c r="P5814" s="12" t="s">
        <v>17959</v>
      </c>
      <c r="Q5814" s="9" t="s">
        <v>583</v>
      </c>
      <c r="R5814" s="14" t="str">
        <f>HYPERLINK("https://my.pitchbook.com?c=266538-34T","View Company Online")</f>
        <v>View Company Online</v>
      </c>
    </row>
    <row r="5815" spans="1:18" hidden="1" x14ac:dyDescent="0.3">
      <c r="A5815" s="15" t="s">
        <v>17960</v>
      </c>
      <c r="B5815" s="15" t="s">
        <v>17961</v>
      </c>
      <c r="C5815" s="18" t="s">
        <v>28</v>
      </c>
      <c r="D5815" s="15" t="s">
        <v>17962</v>
      </c>
      <c r="E5815" s="18" t="s">
        <v>28</v>
      </c>
      <c r="F5815" s="19" t="s">
        <v>28</v>
      </c>
      <c r="G5815" s="19" t="s">
        <v>28</v>
      </c>
      <c r="H5815" s="19" t="s">
        <v>28</v>
      </c>
      <c r="I5815" s="18" t="s">
        <v>28</v>
      </c>
      <c r="J5815" s="18" t="s">
        <v>28</v>
      </c>
      <c r="K5815" s="18" t="s">
        <v>28</v>
      </c>
      <c r="L5815" s="18" t="s">
        <v>28</v>
      </c>
      <c r="M5815" s="18" t="s">
        <v>28</v>
      </c>
      <c r="N5815" s="17">
        <v>44076</v>
      </c>
      <c r="O5815" s="15" t="s">
        <v>30</v>
      </c>
      <c r="P5815" s="16" t="s">
        <v>17963</v>
      </c>
      <c r="Q5815" s="15" t="s">
        <v>386</v>
      </c>
      <c r="R5815" s="13" t="str">
        <f>HYPERLINK("https://my.pitchbook.com?c=206247-61T","View Company Online")</f>
        <v>View Company Online</v>
      </c>
    </row>
    <row r="5816" spans="1:18" hidden="1" x14ac:dyDescent="0.3">
      <c r="A5816" s="9" t="s">
        <v>17964</v>
      </c>
      <c r="B5816" s="9" t="s">
        <v>17965</v>
      </c>
      <c r="C5816" s="11" t="s">
        <v>28</v>
      </c>
      <c r="D5816" s="9" t="s">
        <v>17966</v>
      </c>
      <c r="E5816" s="11" t="s">
        <v>28</v>
      </c>
      <c r="F5816" s="10" t="s">
        <v>28</v>
      </c>
      <c r="G5816" s="10" t="s">
        <v>28</v>
      </c>
      <c r="H5816" s="10" t="s">
        <v>28</v>
      </c>
      <c r="I5816" s="11" t="s">
        <v>28</v>
      </c>
      <c r="J5816" s="11" t="s">
        <v>28</v>
      </c>
      <c r="K5816" s="11" t="s">
        <v>28</v>
      </c>
      <c r="L5816" s="11" t="s">
        <v>28</v>
      </c>
      <c r="M5816" s="11" t="s">
        <v>28</v>
      </c>
      <c r="N5816" s="8">
        <v>44076</v>
      </c>
      <c r="O5816" s="9" t="s">
        <v>30</v>
      </c>
      <c r="P5816" s="12" t="s">
        <v>17967</v>
      </c>
      <c r="Q5816" s="9" t="s">
        <v>280</v>
      </c>
      <c r="R5816" s="14" t="str">
        <f>HYPERLINK("https://my.pitchbook.com?c=210813-13T","View Company Online")</f>
        <v>View Company Online</v>
      </c>
    </row>
    <row r="5817" spans="1:18" hidden="1" x14ac:dyDescent="0.3">
      <c r="A5817" s="15" t="s">
        <v>17968</v>
      </c>
      <c r="B5817" s="15" t="s">
        <v>14505</v>
      </c>
      <c r="C5817" s="18" t="s">
        <v>28</v>
      </c>
      <c r="D5817" s="15" t="s">
        <v>14506</v>
      </c>
      <c r="E5817" s="18" t="s">
        <v>28</v>
      </c>
      <c r="F5817" s="19" t="s">
        <v>28</v>
      </c>
      <c r="G5817" s="19">
        <v>0.37</v>
      </c>
      <c r="H5817" s="19" t="s">
        <v>28</v>
      </c>
      <c r="I5817" s="18" t="s">
        <v>28</v>
      </c>
      <c r="J5817" s="18" t="s">
        <v>28</v>
      </c>
      <c r="K5817" s="18" t="s">
        <v>28</v>
      </c>
      <c r="L5817" s="18" t="s">
        <v>28</v>
      </c>
      <c r="M5817" s="18" t="s">
        <v>28</v>
      </c>
      <c r="N5817" s="17">
        <v>44075</v>
      </c>
      <c r="O5817" s="15" t="s">
        <v>1639</v>
      </c>
      <c r="P5817" s="16" t="s">
        <v>28</v>
      </c>
      <c r="Q5817" s="15" t="s">
        <v>37</v>
      </c>
      <c r="R5817" s="13" t="str">
        <f>HYPERLINK("https://my.pitchbook.com?c=211050-91T","View Company Online")</f>
        <v>View Company Online</v>
      </c>
    </row>
    <row r="5818" spans="1:18" hidden="1" x14ac:dyDescent="0.3">
      <c r="A5818" s="9" t="s">
        <v>17969</v>
      </c>
      <c r="B5818" s="9" t="s">
        <v>17970</v>
      </c>
      <c r="C5818" s="11" t="s">
        <v>28</v>
      </c>
      <c r="D5818" s="9" t="s">
        <v>17971</v>
      </c>
      <c r="E5818" s="11" t="s">
        <v>28</v>
      </c>
      <c r="F5818" s="10" t="s">
        <v>28</v>
      </c>
      <c r="G5818" s="10">
        <v>0.18</v>
      </c>
      <c r="H5818" s="10" t="s">
        <v>28</v>
      </c>
      <c r="I5818" s="11" t="s">
        <v>28</v>
      </c>
      <c r="J5818" s="11" t="s">
        <v>28</v>
      </c>
      <c r="K5818" s="11" t="s">
        <v>28</v>
      </c>
      <c r="L5818" s="11" t="s">
        <v>28</v>
      </c>
      <c r="M5818" s="11" t="s">
        <v>28</v>
      </c>
      <c r="N5818" s="8">
        <v>44075</v>
      </c>
      <c r="O5818" s="9" t="s">
        <v>1639</v>
      </c>
      <c r="P5818" s="12" t="s">
        <v>7110</v>
      </c>
      <c r="Q5818" s="9" t="s">
        <v>362</v>
      </c>
      <c r="R5818" s="14" t="str">
        <f>HYPERLINK("https://my.pitchbook.com?c=194977-54T","View Company Online")</f>
        <v>View Company Online</v>
      </c>
    </row>
    <row r="5819" spans="1:18" hidden="1" x14ac:dyDescent="0.3">
      <c r="A5819" s="15" t="s">
        <v>17972</v>
      </c>
      <c r="B5819" s="15" t="s">
        <v>7647</v>
      </c>
      <c r="C5819" s="18" t="s">
        <v>28</v>
      </c>
      <c r="D5819" s="15" t="s">
        <v>7648</v>
      </c>
      <c r="E5819" s="18" t="s">
        <v>28</v>
      </c>
      <c r="F5819" s="19" t="s">
        <v>28</v>
      </c>
      <c r="G5819" s="19">
        <v>0.91</v>
      </c>
      <c r="H5819" s="19" t="s">
        <v>28</v>
      </c>
      <c r="I5819" s="18" t="s">
        <v>28</v>
      </c>
      <c r="J5819" s="18" t="s">
        <v>28</v>
      </c>
      <c r="K5819" s="18" t="s">
        <v>28</v>
      </c>
      <c r="L5819" s="18" t="s">
        <v>28</v>
      </c>
      <c r="M5819" s="18" t="s">
        <v>28</v>
      </c>
      <c r="N5819" s="17">
        <v>44075</v>
      </c>
      <c r="O5819" s="15" t="s">
        <v>99</v>
      </c>
      <c r="P5819" s="16" t="s">
        <v>17973</v>
      </c>
      <c r="Q5819" s="15" t="s">
        <v>75</v>
      </c>
      <c r="R5819" s="13" t="str">
        <f>HYPERLINK("https://my.pitchbook.com?c=196498-00T","View Company Online")</f>
        <v>View Company Online</v>
      </c>
    </row>
    <row r="5820" spans="1:18" hidden="1" x14ac:dyDescent="0.3">
      <c r="A5820" s="9" t="s">
        <v>17974</v>
      </c>
      <c r="B5820" s="9" t="s">
        <v>3677</v>
      </c>
      <c r="C5820" s="11" t="s">
        <v>28</v>
      </c>
      <c r="D5820" s="9" t="s">
        <v>3678</v>
      </c>
      <c r="E5820" s="11" t="s">
        <v>28</v>
      </c>
      <c r="F5820" s="10" t="s">
        <v>28</v>
      </c>
      <c r="G5820" s="10">
        <v>219.92</v>
      </c>
      <c r="H5820" s="10" t="s">
        <v>28</v>
      </c>
      <c r="I5820" s="11" t="s">
        <v>28</v>
      </c>
      <c r="J5820" s="11" t="s">
        <v>28</v>
      </c>
      <c r="K5820" s="11">
        <v>197.87</v>
      </c>
      <c r="L5820" s="11" t="s">
        <v>28</v>
      </c>
      <c r="M5820" s="11">
        <v>15.21</v>
      </c>
      <c r="N5820" s="8">
        <v>44075</v>
      </c>
      <c r="O5820" s="9" t="s">
        <v>423</v>
      </c>
      <c r="P5820" s="12" t="s">
        <v>28</v>
      </c>
      <c r="Q5820" s="9" t="s">
        <v>37</v>
      </c>
      <c r="R5820" s="14" t="str">
        <f>HYPERLINK("https://my.pitchbook.com?c=190709-47T","View Company Online")</f>
        <v>View Company Online</v>
      </c>
    </row>
    <row r="5821" spans="1:18" hidden="1" x14ac:dyDescent="0.3">
      <c r="A5821" s="15" t="s">
        <v>17975</v>
      </c>
      <c r="B5821" s="15" t="s">
        <v>17976</v>
      </c>
      <c r="C5821" s="18" t="s">
        <v>28</v>
      </c>
      <c r="D5821" s="15" t="s">
        <v>17977</v>
      </c>
      <c r="E5821" s="18" t="s">
        <v>28</v>
      </c>
      <c r="F5821" s="19" t="s">
        <v>28</v>
      </c>
      <c r="G5821" s="19" t="s">
        <v>28</v>
      </c>
      <c r="H5821" s="19" t="s">
        <v>28</v>
      </c>
      <c r="I5821" s="18" t="s">
        <v>28</v>
      </c>
      <c r="J5821" s="18" t="s">
        <v>28</v>
      </c>
      <c r="K5821" s="18" t="s">
        <v>28</v>
      </c>
      <c r="L5821" s="18" t="s">
        <v>28</v>
      </c>
      <c r="M5821" s="18" t="s">
        <v>28</v>
      </c>
      <c r="N5821" s="17">
        <v>44075</v>
      </c>
      <c r="O5821" s="15" t="s">
        <v>79</v>
      </c>
      <c r="P5821" s="16" t="s">
        <v>28</v>
      </c>
      <c r="Q5821" s="15" t="s">
        <v>95</v>
      </c>
      <c r="R5821" s="13" t="str">
        <f>HYPERLINK("https://my.pitchbook.com?c=181063-00T","View Company Online")</f>
        <v>View Company Online</v>
      </c>
    </row>
    <row r="5822" spans="1:18" hidden="1" x14ac:dyDescent="0.3">
      <c r="A5822" s="9" t="s">
        <v>17978</v>
      </c>
      <c r="B5822" s="9" t="s">
        <v>17979</v>
      </c>
      <c r="C5822" s="11" t="s">
        <v>28</v>
      </c>
      <c r="D5822" s="9" t="s">
        <v>17980</v>
      </c>
      <c r="E5822" s="11" t="s">
        <v>28</v>
      </c>
      <c r="F5822" s="10" t="s">
        <v>28</v>
      </c>
      <c r="G5822" s="10">
        <v>7.0000000000000007E-2</v>
      </c>
      <c r="H5822" s="10" t="s">
        <v>28</v>
      </c>
      <c r="I5822" s="11" t="s">
        <v>28</v>
      </c>
      <c r="J5822" s="11" t="s">
        <v>28</v>
      </c>
      <c r="K5822" s="11" t="s">
        <v>28</v>
      </c>
      <c r="L5822" s="11" t="s">
        <v>28</v>
      </c>
      <c r="M5822" s="11" t="s">
        <v>28</v>
      </c>
      <c r="N5822" s="8">
        <v>44075</v>
      </c>
      <c r="O5822" s="9" t="s">
        <v>99</v>
      </c>
      <c r="P5822" s="12" t="s">
        <v>17981</v>
      </c>
      <c r="Q5822" s="9" t="s">
        <v>75</v>
      </c>
      <c r="R5822" s="14" t="str">
        <f>HYPERLINK("https://my.pitchbook.com?c=165160-63T","View Company Online")</f>
        <v>View Company Online</v>
      </c>
    </row>
    <row r="5823" spans="1:18" hidden="1" x14ac:dyDescent="0.3">
      <c r="A5823" s="15" t="s">
        <v>17982</v>
      </c>
      <c r="B5823" s="15" t="s">
        <v>16360</v>
      </c>
      <c r="C5823" s="18" t="s">
        <v>28</v>
      </c>
      <c r="D5823" s="15" t="s">
        <v>17606</v>
      </c>
      <c r="E5823" s="18" t="s">
        <v>28</v>
      </c>
      <c r="F5823" s="19" t="s">
        <v>28</v>
      </c>
      <c r="G5823" s="19">
        <v>5</v>
      </c>
      <c r="H5823" s="19">
        <v>14.25</v>
      </c>
      <c r="I5823" s="18" t="s">
        <v>28</v>
      </c>
      <c r="J5823" s="18" t="s">
        <v>28</v>
      </c>
      <c r="K5823" s="18" t="s">
        <v>28</v>
      </c>
      <c r="L5823" s="18" t="s">
        <v>28</v>
      </c>
      <c r="M5823" s="18" t="s">
        <v>28</v>
      </c>
      <c r="N5823" s="17">
        <v>44075</v>
      </c>
      <c r="O5823" s="15" t="s">
        <v>73</v>
      </c>
      <c r="P5823" s="16" t="s">
        <v>17983</v>
      </c>
      <c r="Q5823" s="15" t="s">
        <v>414</v>
      </c>
      <c r="R5823" s="13" t="str">
        <f>HYPERLINK("https://my.pitchbook.com?c=128896-30T","View Company Online")</f>
        <v>View Company Online</v>
      </c>
    </row>
    <row r="5824" spans="1:18" hidden="1" x14ac:dyDescent="0.3">
      <c r="A5824" s="9" t="s">
        <v>17984</v>
      </c>
      <c r="B5824" s="9" t="s">
        <v>10624</v>
      </c>
      <c r="C5824" s="11" t="s">
        <v>28</v>
      </c>
      <c r="D5824" s="9" t="s">
        <v>10625</v>
      </c>
      <c r="E5824" s="11" t="s">
        <v>28</v>
      </c>
      <c r="F5824" s="10" t="s">
        <v>28</v>
      </c>
      <c r="G5824" s="10" t="s">
        <v>28</v>
      </c>
      <c r="H5824" s="10" t="s">
        <v>28</v>
      </c>
      <c r="I5824" s="11" t="s">
        <v>28</v>
      </c>
      <c r="J5824" s="11" t="s">
        <v>28</v>
      </c>
      <c r="K5824" s="11" t="s">
        <v>28</v>
      </c>
      <c r="L5824" s="11" t="s">
        <v>28</v>
      </c>
      <c r="M5824" s="11" t="s">
        <v>28</v>
      </c>
      <c r="N5824" s="8">
        <v>44075</v>
      </c>
      <c r="O5824" s="9" t="s">
        <v>79</v>
      </c>
      <c r="P5824" s="12" t="s">
        <v>17985</v>
      </c>
      <c r="Q5824" s="9" t="s">
        <v>583</v>
      </c>
      <c r="R5824" s="14" t="str">
        <f>HYPERLINK("https://my.pitchbook.com?c=155442-97T","View Company Online")</f>
        <v>View Company Online</v>
      </c>
    </row>
    <row r="5825" spans="1:18" hidden="1" x14ac:dyDescent="0.3">
      <c r="A5825" s="15" t="s">
        <v>17986</v>
      </c>
      <c r="B5825" s="15" t="s">
        <v>17987</v>
      </c>
      <c r="C5825" s="18" t="s">
        <v>28</v>
      </c>
      <c r="D5825" s="15" t="s">
        <v>17988</v>
      </c>
      <c r="E5825" s="18" t="s">
        <v>28</v>
      </c>
      <c r="F5825" s="19" t="s">
        <v>28</v>
      </c>
      <c r="G5825" s="19" t="s">
        <v>28</v>
      </c>
      <c r="H5825" s="19" t="s">
        <v>28</v>
      </c>
      <c r="I5825" s="18" t="s">
        <v>28</v>
      </c>
      <c r="J5825" s="18" t="s">
        <v>28</v>
      </c>
      <c r="K5825" s="18" t="s">
        <v>28</v>
      </c>
      <c r="L5825" s="18" t="s">
        <v>28</v>
      </c>
      <c r="M5825" s="18" t="s">
        <v>28</v>
      </c>
      <c r="N5825" s="17">
        <v>44075</v>
      </c>
      <c r="O5825" s="15" t="s">
        <v>30</v>
      </c>
      <c r="P5825" s="16" t="s">
        <v>17989</v>
      </c>
      <c r="Q5825" s="15" t="s">
        <v>753</v>
      </c>
      <c r="R5825" s="13" t="str">
        <f>HYPERLINK("https://my.pitchbook.com?c=157822-66T","View Company Online")</f>
        <v>View Company Online</v>
      </c>
    </row>
    <row r="5826" spans="1:18" hidden="1" x14ac:dyDescent="0.3">
      <c r="A5826" s="9" t="s">
        <v>17990</v>
      </c>
      <c r="B5826" s="9" t="s">
        <v>17991</v>
      </c>
      <c r="C5826" s="11" t="s">
        <v>28</v>
      </c>
      <c r="D5826" s="9" t="s">
        <v>17992</v>
      </c>
      <c r="E5826" s="11" t="s">
        <v>28</v>
      </c>
      <c r="F5826" s="10" t="s">
        <v>28</v>
      </c>
      <c r="G5826" s="10" t="s">
        <v>28</v>
      </c>
      <c r="H5826" s="10" t="s">
        <v>28</v>
      </c>
      <c r="I5826" s="11" t="s">
        <v>28</v>
      </c>
      <c r="J5826" s="11" t="s">
        <v>28</v>
      </c>
      <c r="K5826" s="11" t="s">
        <v>28</v>
      </c>
      <c r="L5826" s="11" t="s">
        <v>28</v>
      </c>
      <c r="M5826" s="11" t="s">
        <v>28</v>
      </c>
      <c r="N5826" s="8">
        <v>44075</v>
      </c>
      <c r="O5826" s="9" t="s">
        <v>93</v>
      </c>
      <c r="P5826" s="12" t="s">
        <v>17993</v>
      </c>
      <c r="Q5826" s="9" t="s">
        <v>174</v>
      </c>
      <c r="R5826" s="14" t="str">
        <f>HYPERLINK("https://my.pitchbook.com?c=155684-26T","View Company Online")</f>
        <v>View Company Online</v>
      </c>
    </row>
    <row r="5827" spans="1:18" hidden="1" x14ac:dyDescent="0.3">
      <c r="A5827" s="15" t="s">
        <v>17994</v>
      </c>
      <c r="B5827" s="15" t="s">
        <v>125</v>
      </c>
      <c r="C5827" s="18" t="s">
        <v>28</v>
      </c>
      <c r="D5827" s="15" t="s">
        <v>126</v>
      </c>
      <c r="E5827" s="18" t="s">
        <v>28</v>
      </c>
      <c r="F5827" s="19" t="s">
        <v>28</v>
      </c>
      <c r="G5827" s="19" t="s">
        <v>28</v>
      </c>
      <c r="H5827" s="19" t="s">
        <v>28</v>
      </c>
      <c r="I5827" s="18" t="s">
        <v>28</v>
      </c>
      <c r="J5827" s="18" t="s">
        <v>28</v>
      </c>
      <c r="K5827" s="18" t="s">
        <v>28</v>
      </c>
      <c r="L5827" s="18" t="s">
        <v>28</v>
      </c>
      <c r="M5827" s="18" t="s">
        <v>28</v>
      </c>
      <c r="N5827" s="17">
        <v>44075</v>
      </c>
      <c r="O5827" s="15" t="s">
        <v>52</v>
      </c>
      <c r="P5827" s="16" t="s">
        <v>17995</v>
      </c>
      <c r="Q5827" s="15" t="s">
        <v>128</v>
      </c>
      <c r="R5827" s="13" t="str">
        <f>HYPERLINK("https://my.pitchbook.com?c=164193-13T","View Company Online")</f>
        <v>View Company Online</v>
      </c>
    </row>
    <row r="5828" spans="1:18" hidden="1" x14ac:dyDescent="0.3">
      <c r="A5828" s="9" t="s">
        <v>17996</v>
      </c>
      <c r="B5828" s="9" t="s">
        <v>401</v>
      </c>
      <c r="C5828" s="11" t="s">
        <v>28</v>
      </c>
      <c r="D5828" s="9" t="s">
        <v>402</v>
      </c>
      <c r="E5828" s="11" t="s">
        <v>28</v>
      </c>
      <c r="F5828" s="10" t="s">
        <v>28</v>
      </c>
      <c r="G5828" s="10" t="s">
        <v>28</v>
      </c>
      <c r="H5828" s="10" t="s">
        <v>28</v>
      </c>
      <c r="I5828" s="11" t="s">
        <v>28</v>
      </c>
      <c r="J5828" s="11" t="s">
        <v>28</v>
      </c>
      <c r="K5828" s="11" t="s">
        <v>28</v>
      </c>
      <c r="L5828" s="11" t="s">
        <v>28</v>
      </c>
      <c r="M5828" s="11" t="s">
        <v>28</v>
      </c>
      <c r="N5828" s="8">
        <v>44075</v>
      </c>
      <c r="O5828" s="9" t="s">
        <v>52</v>
      </c>
      <c r="P5828" s="12" t="s">
        <v>17997</v>
      </c>
      <c r="Q5828" s="9" t="s">
        <v>404</v>
      </c>
      <c r="R5828" s="14" t="str">
        <f>HYPERLINK("https://my.pitchbook.com?c=284242-06T","View Company Online")</f>
        <v>View Company Online</v>
      </c>
    </row>
    <row r="5829" spans="1:18" hidden="1" x14ac:dyDescent="0.3">
      <c r="A5829" s="15" t="s">
        <v>17998</v>
      </c>
      <c r="B5829" s="15" t="s">
        <v>14477</v>
      </c>
      <c r="C5829" s="18" t="s">
        <v>28</v>
      </c>
      <c r="D5829" s="15" t="s">
        <v>14478</v>
      </c>
      <c r="E5829" s="18" t="s">
        <v>28</v>
      </c>
      <c r="F5829" s="19" t="s">
        <v>28</v>
      </c>
      <c r="G5829" s="19" t="s">
        <v>28</v>
      </c>
      <c r="H5829" s="19" t="s">
        <v>28</v>
      </c>
      <c r="I5829" s="18" t="s">
        <v>28</v>
      </c>
      <c r="J5829" s="18" t="s">
        <v>28</v>
      </c>
      <c r="K5829" s="18" t="s">
        <v>28</v>
      </c>
      <c r="L5829" s="18" t="s">
        <v>28</v>
      </c>
      <c r="M5829" s="18" t="s">
        <v>28</v>
      </c>
      <c r="N5829" s="17">
        <v>44075</v>
      </c>
      <c r="O5829" s="15" t="s">
        <v>52</v>
      </c>
      <c r="P5829" s="16" t="s">
        <v>17694</v>
      </c>
      <c r="Q5829" s="15" t="s">
        <v>37</v>
      </c>
      <c r="R5829" s="13" t="str">
        <f>HYPERLINK("https://my.pitchbook.com?c=159713-74T","View Company Online")</f>
        <v>View Company Online</v>
      </c>
    </row>
    <row r="5830" spans="1:18" hidden="1" x14ac:dyDescent="0.3">
      <c r="A5830" s="9" t="s">
        <v>17999</v>
      </c>
      <c r="B5830" s="9" t="s">
        <v>15774</v>
      </c>
      <c r="C5830" s="11" t="s">
        <v>28</v>
      </c>
      <c r="D5830" s="9" t="s">
        <v>15775</v>
      </c>
      <c r="E5830" s="11" t="s">
        <v>28</v>
      </c>
      <c r="F5830" s="10" t="s">
        <v>28</v>
      </c>
      <c r="G5830" s="10" t="s">
        <v>28</v>
      </c>
      <c r="H5830" s="10" t="s">
        <v>28</v>
      </c>
      <c r="I5830" s="11" t="s">
        <v>28</v>
      </c>
      <c r="J5830" s="11" t="s">
        <v>28</v>
      </c>
      <c r="K5830" s="11" t="s">
        <v>28</v>
      </c>
      <c r="L5830" s="11" t="s">
        <v>28</v>
      </c>
      <c r="M5830" s="11" t="s">
        <v>28</v>
      </c>
      <c r="N5830" s="8">
        <v>44075</v>
      </c>
      <c r="O5830" s="9" t="s">
        <v>52</v>
      </c>
      <c r="P5830" s="12" t="s">
        <v>2915</v>
      </c>
      <c r="Q5830" s="9" t="s">
        <v>75</v>
      </c>
      <c r="R5830" s="14" t="str">
        <f>HYPERLINK("https://my.pitchbook.com?c=247221-01T","View Company Online")</f>
        <v>View Company Online</v>
      </c>
    </row>
    <row r="5831" spans="1:18" hidden="1" x14ac:dyDescent="0.3">
      <c r="A5831" s="15" t="s">
        <v>18000</v>
      </c>
      <c r="B5831" s="15" t="s">
        <v>7313</v>
      </c>
      <c r="C5831" s="18" t="s">
        <v>28</v>
      </c>
      <c r="D5831" s="15" t="s">
        <v>7314</v>
      </c>
      <c r="E5831" s="18" t="s">
        <v>28</v>
      </c>
      <c r="F5831" s="19" t="s">
        <v>28</v>
      </c>
      <c r="G5831" s="19">
        <v>0.04</v>
      </c>
      <c r="H5831" s="19">
        <v>0.52</v>
      </c>
      <c r="I5831" s="18" t="s">
        <v>28</v>
      </c>
      <c r="J5831" s="18" t="s">
        <v>28</v>
      </c>
      <c r="K5831" s="18" t="s">
        <v>28</v>
      </c>
      <c r="L5831" s="18" t="s">
        <v>28</v>
      </c>
      <c r="M5831" s="18" t="s">
        <v>28</v>
      </c>
      <c r="N5831" s="17">
        <v>44075</v>
      </c>
      <c r="O5831" s="15" t="s">
        <v>52</v>
      </c>
      <c r="P5831" s="16" t="s">
        <v>2915</v>
      </c>
      <c r="Q5831" s="15" t="s">
        <v>75</v>
      </c>
      <c r="R5831" s="13" t="str">
        <f>HYPERLINK("https://my.pitchbook.com?c=241758-10T","View Company Online")</f>
        <v>View Company Online</v>
      </c>
    </row>
    <row r="5832" spans="1:18" hidden="1" x14ac:dyDescent="0.3">
      <c r="A5832" s="9" t="s">
        <v>18001</v>
      </c>
      <c r="B5832" s="9" t="s">
        <v>12694</v>
      </c>
      <c r="C5832" s="11" t="s">
        <v>28</v>
      </c>
      <c r="D5832" s="9" t="s">
        <v>12695</v>
      </c>
      <c r="E5832" s="11" t="s">
        <v>28</v>
      </c>
      <c r="F5832" s="10" t="s">
        <v>28</v>
      </c>
      <c r="G5832" s="10">
        <v>0.55000000000000004</v>
      </c>
      <c r="H5832" s="10" t="s">
        <v>28</v>
      </c>
      <c r="I5832" s="11" t="s">
        <v>28</v>
      </c>
      <c r="J5832" s="11" t="s">
        <v>28</v>
      </c>
      <c r="K5832" s="11" t="s">
        <v>28</v>
      </c>
      <c r="L5832" s="11" t="s">
        <v>28</v>
      </c>
      <c r="M5832" s="11" t="s">
        <v>28</v>
      </c>
      <c r="N5832" s="8">
        <v>44075</v>
      </c>
      <c r="O5832" s="9" t="s">
        <v>73</v>
      </c>
      <c r="P5832" s="12" t="s">
        <v>18002</v>
      </c>
      <c r="Q5832" s="9" t="s">
        <v>75</v>
      </c>
      <c r="R5832" s="14" t="str">
        <f>HYPERLINK("https://my.pitchbook.com?c=110857-78T","View Company Online")</f>
        <v>View Company Online</v>
      </c>
    </row>
    <row r="5833" spans="1:18" hidden="1" x14ac:dyDescent="0.3">
      <c r="A5833" s="15" t="s">
        <v>18003</v>
      </c>
      <c r="B5833" s="15" t="s">
        <v>18004</v>
      </c>
      <c r="C5833" s="18" t="s">
        <v>28</v>
      </c>
      <c r="D5833" s="15" t="s">
        <v>18005</v>
      </c>
      <c r="E5833" s="18" t="s">
        <v>28</v>
      </c>
      <c r="F5833" s="19" t="s">
        <v>28</v>
      </c>
      <c r="G5833" s="19" t="s">
        <v>28</v>
      </c>
      <c r="H5833" s="19" t="s">
        <v>28</v>
      </c>
      <c r="I5833" s="18" t="s">
        <v>28</v>
      </c>
      <c r="J5833" s="18" t="s">
        <v>28</v>
      </c>
      <c r="K5833" s="18" t="s">
        <v>28</v>
      </c>
      <c r="L5833" s="18" t="s">
        <v>28</v>
      </c>
      <c r="M5833" s="18" t="s">
        <v>28</v>
      </c>
      <c r="N5833" s="17">
        <v>44075</v>
      </c>
      <c r="O5833" s="15" t="s">
        <v>52</v>
      </c>
      <c r="P5833" s="16" t="s">
        <v>1880</v>
      </c>
      <c r="Q5833" s="15" t="s">
        <v>9184</v>
      </c>
      <c r="R5833" s="13" t="str">
        <f>HYPERLINK("https://my.pitchbook.com?c=251990-38T","View Company Online")</f>
        <v>View Company Online</v>
      </c>
    </row>
    <row r="5834" spans="1:18" hidden="1" x14ac:dyDescent="0.3">
      <c r="A5834" s="9" t="s">
        <v>18006</v>
      </c>
      <c r="B5834" s="9" t="s">
        <v>10355</v>
      </c>
      <c r="C5834" s="11" t="s">
        <v>28</v>
      </c>
      <c r="D5834" s="9" t="s">
        <v>10356</v>
      </c>
      <c r="E5834" s="11" t="s">
        <v>28</v>
      </c>
      <c r="F5834" s="10" t="s">
        <v>28</v>
      </c>
      <c r="G5834" s="10">
        <v>6.3</v>
      </c>
      <c r="H5834" s="10" t="s">
        <v>28</v>
      </c>
      <c r="I5834" s="11" t="s">
        <v>28</v>
      </c>
      <c r="J5834" s="11" t="s">
        <v>28</v>
      </c>
      <c r="K5834" s="11" t="s">
        <v>28</v>
      </c>
      <c r="L5834" s="11" t="s">
        <v>28</v>
      </c>
      <c r="M5834" s="11" t="s">
        <v>28</v>
      </c>
      <c r="N5834" s="8">
        <v>44075</v>
      </c>
      <c r="O5834" s="9" t="s">
        <v>79</v>
      </c>
      <c r="P5834" s="12" t="s">
        <v>18007</v>
      </c>
      <c r="Q5834" s="9" t="s">
        <v>566</v>
      </c>
      <c r="R5834" s="14" t="str">
        <f>HYPERLINK("https://my.pitchbook.com?c=160984-36T","View Company Online")</f>
        <v>View Company Online</v>
      </c>
    </row>
    <row r="5835" spans="1:18" hidden="1" x14ac:dyDescent="0.3">
      <c r="A5835" s="15" t="s">
        <v>18008</v>
      </c>
      <c r="B5835" s="15" t="s">
        <v>18009</v>
      </c>
      <c r="C5835" s="18" t="s">
        <v>28</v>
      </c>
      <c r="D5835" s="15" t="s">
        <v>18010</v>
      </c>
      <c r="E5835" s="18" t="s">
        <v>28</v>
      </c>
      <c r="F5835" s="19" t="s">
        <v>28</v>
      </c>
      <c r="G5835" s="19" t="s">
        <v>28</v>
      </c>
      <c r="H5835" s="19" t="s">
        <v>28</v>
      </c>
      <c r="I5835" s="18" t="s">
        <v>28</v>
      </c>
      <c r="J5835" s="18" t="s">
        <v>28</v>
      </c>
      <c r="K5835" s="18" t="s">
        <v>28</v>
      </c>
      <c r="L5835" s="18" t="s">
        <v>28</v>
      </c>
      <c r="M5835" s="18" t="s">
        <v>28</v>
      </c>
      <c r="N5835" s="17">
        <v>44074</v>
      </c>
      <c r="O5835" s="15" t="s">
        <v>30</v>
      </c>
      <c r="P5835" s="16" t="s">
        <v>18011</v>
      </c>
      <c r="Q5835" s="15" t="s">
        <v>75</v>
      </c>
      <c r="R5835" s="13" t="str">
        <f>HYPERLINK("https://my.pitchbook.com?c=156690-19T","View Company Online")</f>
        <v>View Company Online</v>
      </c>
    </row>
    <row r="5836" spans="1:18" hidden="1" x14ac:dyDescent="0.3">
      <c r="A5836" s="9" t="s">
        <v>18012</v>
      </c>
      <c r="B5836" s="9" t="s">
        <v>18013</v>
      </c>
      <c r="C5836" s="11" t="s">
        <v>28</v>
      </c>
      <c r="D5836" s="9" t="s">
        <v>13460</v>
      </c>
      <c r="E5836" s="11" t="s">
        <v>28</v>
      </c>
      <c r="F5836" s="10" t="s">
        <v>28</v>
      </c>
      <c r="G5836" s="10" t="s">
        <v>28</v>
      </c>
      <c r="H5836" s="10" t="s">
        <v>28</v>
      </c>
      <c r="I5836" s="11" t="s">
        <v>28</v>
      </c>
      <c r="J5836" s="11" t="s">
        <v>28</v>
      </c>
      <c r="K5836" s="11" t="s">
        <v>28</v>
      </c>
      <c r="L5836" s="11" t="s">
        <v>28</v>
      </c>
      <c r="M5836" s="11" t="s">
        <v>28</v>
      </c>
      <c r="N5836" s="8">
        <v>44074</v>
      </c>
      <c r="O5836" s="9" t="s">
        <v>30</v>
      </c>
      <c r="P5836" s="12" t="s">
        <v>14313</v>
      </c>
      <c r="Q5836" s="9" t="s">
        <v>18014</v>
      </c>
      <c r="R5836" s="14" t="str">
        <f>HYPERLINK("https://my.pitchbook.com?c=272415-34T","View Company Online")</f>
        <v>View Company Online</v>
      </c>
    </row>
    <row r="5837" spans="1:18" hidden="1" x14ac:dyDescent="0.3">
      <c r="A5837" s="15" t="s">
        <v>18015</v>
      </c>
      <c r="B5837" s="15" t="s">
        <v>18016</v>
      </c>
      <c r="C5837" s="18" t="s">
        <v>28</v>
      </c>
      <c r="D5837" s="15" t="s">
        <v>18017</v>
      </c>
      <c r="E5837" s="18" t="s">
        <v>28</v>
      </c>
      <c r="F5837" s="19" t="s">
        <v>28</v>
      </c>
      <c r="G5837" s="19" t="s">
        <v>28</v>
      </c>
      <c r="H5837" s="19" t="s">
        <v>28</v>
      </c>
      <c r="I5837" s="18" t="s">
        <v>28</v>
      </c>
      <c r="J5837" s="18" t="s">
        <v>28</v>
      </c>
      <c r="K5837" s="18" t="s">
        <v>28</v>
      </c>
      <c r="L5837" s="18" t="s">
        <v>28</v>
      </c>
      <c r="M5837" s="18" t="s">
        <v>28</v>
      </c>
      <c r="N5837" s="17">
        <v>44074</v>
      </c>
      <c r="O5837" s="15" t="s">
        <v>30</v>
      </c>
      <c r="P5837" s="16" t="s">
        <v>28</v>
      </c>
      <c r="Q5837" s="15" t="s">
        <v>18018</v>
      </c>
      <c r="R5837" s="13" t="str">
        <f>HYPERLINK("https://my.pitchbook.com?c=157749-40T","View Company Online")</f>
        <v>View Company Online</v>
      </c>
    </row>
    <row r="5838" spans="1:18" hidden="1" x14ac:dyDescent="0.3">
      <c r="A5838" s="9" t="s">
        <v>18019</v>
      </c>
      <c r="B5838" s="9" t="s">
        <v>18020</v>
      </c>
      <c r="C5838" s="11" t="s">
        <v>28</v>
      </c>
      <c r="D5838" s="9" t="s">
        <v>18021</v>
      </c>
      <c r="E5838" s="11" t="s">
        <v>28</v>
      </c>
      <c r="F5838" s="10">
        <v>80</v>
      </c>
      <c r="G5838" s="10">
        <v>80</v>
      </c>
      <c r="H5838" s="10">
        <v>80</v>
      </c>
      <c r="I5838" s="11" t="s">
        <v>28</v>
      </c>
      <c r="J5838" s="11" t="s">
        <v>28</v>
      </c>
      <c r="K5838" s="11" t="s">
        <v>28</v>
      </c>
      <c r="L5838" s="11" t="s">
        <v>28</v>
      </c>
      <c r="M5838" s="11" t="s">
        <v>28</v>
      </c>
      <c r="N5838" s="8">
        <v>44074</v>
      </c>
      <c r="O5838" s="9" t="s">
        <v>30</v>
      </c>
      <c r="P5838" s="12" t="s">
        <v>18022</v>
      </c>
      <c r="Q5838" s="9" t="s">
        <v>1862</v>
      </c>
      <c r="R5838" s="14" t="str">
        <f>HYPERLINK("https://my.pitchbook.com?c=133397-92T","View Company Online")</f>
        <v>View Company Online</v>
      </c>
    </row>
    <row r="5839" spans="1:18" hidden="1" x14ac:dyDescent="0.3">
      <c r="A5839" s="15" t="s">
        <v>18023</v>
      </c>
      <c r="B5839" s="15" t="s">
        <v>18024</v>
      </c>
      <c r="C5839" s="18" t="s">
        <v>28</v>
      </c>
      <c r="D5839" s="15" t="s">
        <v>18025</v>
      </c>
      <c r="E5839" s="18" t="s">
        <v>28</v>
      </c>
      <c r="F5839" s="19" t="s">
        <v>28</v>
      </c>
      <c r="G5839" s="19" t="s">
        <v>28</v>
      </c>
      <c r="H5839" s="19" t="s">
        <v>28</v>
      </c>
      <c r="I5839" s="18" t="s">
        <v>28</v>
      </c>
      <c r="J5839" s="18" t="s">
        <v>28</v>
      </c>
      <c r="K5839" s="18" t="s">
        <v>28</v>
      </c>
      <c r="L5839" s="18" t="s">
        <v>28</v>
      </c>
      <c r="M5839" s="18" t="s">
        <v>28</v>
      </c>
      <c r="N5839" s="17">
        <v>44071</v>
      </c>
      <c r="O5839" s="15" t="s">
        <v>41</v>
      </c>
      <c r="P5839" s="16" t="s">
        <v>11053</v>
      </c>
      <c r="Q5839" s="15" t="s">
        <v>1035</v>
      </c>
      <c r="R5839" s="13" t="str">
        <f>HYPERLINK("https://my.pitchbook.com?c=255332-71T","View Company Online")</f>
        <v>View Company Online</v>
      </c>
    </row>
    <row r="5840" spans="1:18" hidden="1" x14ac:dyDescent="0.3">
      <c r="A5840" s="9" t="s">
        <v>18026</v>
      </c>
      <c r="B5840" s="9" t="s">
        <v>18027</v>
      </c>
      <c r="C5840" s="11" t="s">
        <v>28</v>
      </c>
      <c r="D5840" s="9" t="s">
        <v>18028</v>
      </c>
      <c r="E5840" s="11" t="s">
        <v>28</v>
      </c>
      <c r="F5840" s="10">
        <v>4.99</v>
      </c>
      <c r="G5840" s="10">
        <v>4.99</v>
      </c>
      <c r="H5840" s="10">
        <v>4.99</v>
      </c>
      <c r="I5840" s="11" t="s">
        <v>28</v>
      </c>
      <c r="J5840" s="11" t="s">
        <v>28</v>
      </c>
      <c r="K5840" s="11" t="s">
        <v>28</v>
      </c>
      <c r="L5840" s="11" t="s">
        <v>28</v>
      </c>
      <c r="M5840" s="11" t="s">
        <v>28</v>
      </c>
      <c r="N5840" s="8">
        <v>44071</v>
      </c>
      <c r="O5840" s="9" t="s">
        <v>41</v>
      </c>
      <c r="P5840" s="12" t="s">
        <v>18029</v>
      </c>
      <c r="Q5840" s="9" t="s">
        <v>8035</v>
      </c>
      <c r="R5840" s="14" t="str">
        <f>HYPERLINK("https://my.pitchbook.com?c=262950-40T","View Company Online")</f>
        <v>View Company Online</v>
      </c>
    </row>
    <row r="5841" spans="1:18" hidden="1" x14ac:dyDescent="0.3">
      <c r="A5841" s="15" t="s">
        <v>18030</v>
      </c>
      <c r="B5841" s="15" t="s">
        <v>4404</v>
      </c>
      <c r="C5841" s="18" t="s">
        <v>28</v>
      </c>
      <c r="D5841" s="15" t="s">
        <v>4405</v>
      </c>
      <c r="E5841" s="18" t="s">
        <v>28</v>
      </c>
      <c r="F5841" s="19" t="s">
        <v>28</v>
      </c>
      <c r="G5841" s="19" t="s">
        <v>28</v>
      </c>
      <c r="H5841" s="19" t="s">
        <v>28</v>
      </c>
      <c r="I5841" s="18" t="s">
        <v>28</v>
      </c>
      <c r="J5841" s="18" t="s">
        <v>28</v>
      </c>
      <c r="K5841" s="18" t="s">
        <v>28</v>
      </c>
      <c r="L5841" s="18" t="s">
        <v>28</v>
      </c>
      <c r="M5841" s="18" t="s">
        <v>28</v>
      </c>
      <c r="N5841" s="17">
        <v>44070</v>
      </c>
      <c r="O5841" s="15" t="s">
        <v>93</v>
      </c>
      <c r="P5841" s="16" t="s">
        <v>18031</v>
      </c>
      <c r="Q5841" s="15" t="s">
        <v>54</v>
      </c>
      <c r="R5841" s="13" t="str">
        <f>HYPERLINK("https://my.pitchbook.com?c=188278-75T","View Company Online")</f>
        <v>View Company Online</v>
      </c>
    </row>
    <row r="5842" spans="1:18" hidden="1" x14ac:dyDescent="0.3">
      <c r="A5842" s="9" t="s">
        <v>18032</v>
      </c>
      <c r="B5842" s="9" t="s">
        <v>8251</v>
      </c>
      <c r="C5842" s="11" t="s">
        <v>28</v>
      </c>
      <c r="D5842" s="9" t="s">
        <v>8252</v>
      </c>
      <c r="E5842" s="11" t="s">
        <v>28</v>
      </c>
      <c r="F5842" s="10" t="s">
        <v>28</v>
      </c>
      <c r="G5842" s="10" t="s">
        <v>28</v>
      </c>
      <c r="H5842" s="10" t="s">
        <v>28</v>
      </c>
      <c r="I5842" s="11" t="s">
        <v>28</v>
      </c>
      <c r="J5842" s="11" t="s">
        <v>28</v>
      </c>
      <c r="K5842" s="11" t="s">
        <v>28</v>
      </c>
      <c r="L5842" s="11" t="s">
        <v>28</v>
      </c>
      <c r="M5842" s="11" t="s">
        <v>28</v>
      </c>
      <c r="N5842" s="8">
        <v>44070</v>
      </c>
      <c r="O5842" s="9" t="s">
        <v>99</v>
      </c>
      <c r="P5842" s="12" t="s">
        <v>18033</v>
      </c>
      <c r="Q5842" s="9" t="s">
        <v>362</v>
      </c>
      <c r="R5842" s="14" t="str">
        <f>HYPERLINK("https://my.pitchbook.com?c=217746-19T","View Company Online")</f>
        <v>View Company Online</v>
      </c>
    </row>
    <row r="5843" spans="1:18" hidden="1" x14ac:dyDescent="0.3">
      <c r="A5843" s="15" t="s">
        <v>18034</v>
      </c>
      <c r="B5843" s="15" t="s">
        <v>18035</v>
      </c>
      <c r="C5843" s="18" t="s">
        <v>28</v>
      </c>
      <c r="D5843" s="15" t="s">
        <v>18036</v>
      </c>
      <c r="E5843" s="18" t="s">
        <v>28</v>
      </c>
      <c r="F5843" s="19" t="s">
        <v>28</v>
      </c>
      <c r="G5843" s="19" t="s">
        <v>28</v>
      </c>
      <c r="H5843" s="19" t="s">
        <v>28</v>
      </c>
      <c r="I5843" s="18" t="s">
        <v>28</v>
      </c>
      <c r="J5843" s="18" t="s">
        <v>28</v>
      </c>
      <c r="K5843" s="18">
        <v>1.7</v>
      </c>
      <c r="L5843" s="18" t="s">
        <v>28</v>
      </c>
      <c r="M5843" s="18">
        <v>1.27</v>
      </c>
      <c r="N5843" s="17">
        <v>44070</v>
      </c>
      <c r="O5843" s="15" t="s">
        <v>173</v>
      </c>
      <c r="P5843" s="16" t="s">
        <v>28</v>
      </c>
      <c r="Q5843" s="15" t="s">
        <v>174</v>
      </c>
      <c r="R5843" s="13" t="str">
        <f>HYPERLINK("https://my.pitchbook.com?c=251053-48T","View Company Online")</f>
        <v>View Company Online</v>
      </c>
    </row>
    <row r="5844" spans="1:18" hidden="1" x14ac:dyDescent="0.3">
      <c r="A5844" s="9" t="s">
        <v>18037</v>
      </c>
      <c r="B5844" s="9" t="s">
        <v>18038</v>
      </c>
      <c r="C5844" s="11" t="s">
        <v>28</v>
      </c>
      <c r="D5844" s="9" t="s">
        <v>18039</v>
      </c>
      <c r="E5844" s="11">
        <v>-33.200000000000003</v>
      </c>
      <c r="F5844" s="10" t="s">
        <v>28</v>
      </c>
      <c r="G5844" s="10" t="s">
        <v>28</v>
      </c>
      <c r="H5844" s="10" t="s">
        <v>28</v>
      </c>
      <c r="I5844" s="11">
        <v>-32.619999999999997</v>
      </c>
      <c r="J5844" s="11" t="s">
        <v>28</v>
      </c>
      <c r="K5844" s="11">
        <v>-6.25</v>
      </c>
      <c r="L5844" s="11" t="s">
        <v>28</v>
      </c>
      <c r="M5844" s="11">
        <v>-36.619999999999997</v>
      </c>
      <c r="N5844" s="8">
        <v>44070</v>
      </c>
      <c r="O5844" s="9" t="s">
        <v>41</v>
      </c>
      <c r="P5844" s="12" t="s">
        <v>14702</v>
      </c>
      <c r="Q5844" s="9" t="s">
        <v>119</v>
      </c>
      <c r="R5844" s="14" t="str">
        <f>HYPERLINK("https://my.pitchbook.com?c=216345-43T","View Company Online")</f>
        <v>View Company Online</v>
      </c>
    </row>
    <row r="5845" spans="1:18" hidden="1" x14ac:dyDescent="0.3">
      <c r="A5845" s="15" t="s">
        <v>18040</v>
      </c>
      <c r="B5845" s="15" t="s">
        <v>18041</v>
      </c>
      <c r="C5845" s="18" t="s">
        <v>28</v>
      </c>
      <c r="D5845" s="15" t="s">
        <v>18042</v>
      </c>
      <c r="E5845" s="18" t="s">
        <v>28</v>
      </c>
      <c r="F5845" s="19" t="s">
        <v>28</v>
      </c>
      <c r="G5845" s="19" t="s">
        <v>28</v>
      </c>
      <c r="H5845" s="19" t="s">
        <v>28</v>
      </c>
      <c r="I5845" s="18" t="s">
        <v>28</v>
      </c>
      <c r="J5845" s="18" t="s">
        <v>28</v>
      </c>
      <c r="K5845" s="18" t="s">
        <v>28</v>
      </c>
      <c r="L5845" s="18" t="s">
        <v>28</v>
      </c>
      <c r="M5845" s="18" t="s">
        <v>28</v>
      </c>
      <c r="N5845" s="17">
        <v>44069</v>
      </c>
      <c r="O5845" s="15" t="s">
        <v>30</v>
      </c>
      <c r="P5845" s="16" t="s">
        <v>18043</v>
      </c>
      <c r="Q5845" s="15" t="s">
        <v>424</v>
      </c>
      <c r="R5845" s="13" t="str">
        <f>HYPERLINK("https://my.pitchbook.com?c=157493-26T","View Company Online")</f>
        <v>View Company Online</v>
      </c>
    </row>
    <row r="5846" spans="1:18" hidden="1" x14ac:dyDescent="0.3">
      <c r="A5846" s="9" t="s">
        <v>18044</v>
      </c>
      <c r="B5846" s="9" t="s">
        <v>1098</v>
      </c>
      <c r="C5846" s="11" t="s">
        <v>28</v>
      </c>
      <c r="D5846" s="9" t="s">
        <v>1099</v>
      </c>
      <c r="E5846" s="11" t="s">
        <v>28</v>
      </c>
      <c r="F5846" s="10" t="s">
        <v>28</v>
      </c>
      <c r="G5846" s="10">
        <v>0.13</v>
      </c>
      <c r="H5846" s="10" t="s">
        <v>28</v>
      </c>
      <c r="I5846" s="11" t="s">
        <v>28</v>
      </c>
      <c r="J5846" s="11" t="s">
        <v>28</v>
      </c>
      <c r="K5846" s="11" t="s">
        <v>28</v>
      </c>
      <c r="L5846" s="11" t="s">
        <v>28</v>
      </c>
      <c r="M5846" s="11" t="s">
        <v>28</v>
      </c>
      <c r="N5846" s="8">
        <v>44069</v>
      </c>
      <c r="O5846" s="9" t="s">
        <v>52</v>
      </c>
      <c r="P5846" s="12" t="s">
        <v>3944</v>
      </c>
      <c r="Q5846" s="9" t="s">
        <v>37</v>
      </c>
      <c r="R5846" s="14" t="str">
        <f>HYPERLINK("https://my.pitchbook.com?c=177923-44T","View Company Online")</f>
        <v>View Company Online</v>
      </c>
    </row>
    <row r="5847" spans="1:18" hidden="1" x14ac:dyDescent="0.3">
      <c r="A5847" s="15" t="s">
        <v>18045</v>
      </c>
      <c r="B5847" s="15" t="s">
        <v>2030</v>
      </c>
      <c r="C5847" s="18" t="s">
        <v>28</v>
      </c>
      <c r="D5847" s="15" t="s">
        <v>2031</v>
      </c>
      <c r="E5847" s="18" t="s">
        <v>28</v>
      </c>
      <c r="F5847" s="19">
        <v>0.93</v>
      </c>
      <c r="G5847" s="19">
        <v>0.93</v>
      </c>
      <c r="H5847" s="19">
        <v>0.93</v>
      </c>
      <c r="I5847" s="18" t="s">
        <v>28</v>
      </c>
      <c r="J5847" s="18" t="s">
        <v>28</v>
      </c>
      <c r="K5847" s="18" t="s">
        <v>28</v>
      </c>
      <c r="L5847" s="18" t="s">
        <v>28</v>
      </c>
      <c r="M5847" s="18" t="s">
        <v>28</v>
      </c>
      <c r="N5847" s="17">
        <v>44069</v>
      </c>
      <c r="O5847" s="15" t="s">
        <v>30</v>
      </c>
      <c r="P5847" s="16" t="s">
        <v>8846</v>
      </c>
      <c r="Q5847" s="15" t="s">
        <v>75</v>
      </c>
      <c r="R5847" s="13" t="str">
        <f>HYPERLINK("https://my.pitchbook.com?c=209121-31T","View Company Online")</f>
        <v>View Company Online</v>
      </c>
    </row>
    <row r="5848" spans="1:18" hidden="1" x14ac:dyDescent="0.3">
      <c r="A5848" s="9" t="s">
        <v>18046</v>
      </c>
      <c r="B5848" s="9" t="s">
        <v>125</v>
      </c>
      <c r="C5848" s="11" t="s">
        <v>28</v>
      </c>
      <c r="D5848" s="9" t="s">
        <v>126</v>
      </c>
      <c r="E5848" s="11" t="s">
        <v>28</v>
      </c>
      <c r="F5848" s="10" t="s">
        <v>28</v>
      </c>
      <c r="G5848" s="10" t="s">
        <v>28</v>
      </c>
      <c r="H5848" s="10" t="s">
        <v>28</v>
      </c>
      <c r="I5848" s="11" t="s">
        <v>28</v>
      </c>
      <c r="J5848" s="11" t="s">
        <v>28</v>
      </c>
      <c r="K5848" s="11" t="s">
        <v>28</v>
      </c>
      <c r="L5848" s="11" t="s">
        <v>28</v>
      </c>
      <c r="M5848" s="11" t="s">
        <v>28</v>
      </c>
      <c r="N5848" s="8">
        <v>44068</v>
      </c>
      <c r="O5848" s="9" t="s">
        <v>52</v>
      </c>
      <c r="P5848" s="12" t="s">
        <v>3375</v>
      </c>
      <c r="Q5848" s="9" t="s">
        <v>128</v>
      </c>
      <c r="R5848" s="14" t="str">
        <f>HYPERLINK("https://my.pitchbook.com?c=164192-68T","View Company Online")</f>
        <v>View Company Online</v>
      </c>
    </row>
    <row r="5849" spans="1:18" hidden="1" x14ac:dyDescent="0.3">
      <c r="A5849" s="15" t="s">
        <v>18047</v>
      </c>
      <c r="B5849" s="15" t="s">
        <v>18048</v>
      </c>
      <c r="C5849" s="18" t="s">
        <v>28</v>
      </c>
      <c r="D5849" s="15" t="s">
        <v>18049</v>
      </c>
      <c r="E5849" s="18" t="s">
        <v>28</v>
      </c>
      <c r="F5849" s="19" t="s">
        <v>28</v>
      </c>
      <c r="G5849" s="19" t="s">
        <v>28</v>
      </c>
      <c r="H5849" s="19" t="s">
        <v>28</v>
      </c>
      <c r="I5849" s="18" t="s">
        <v>28</v>
      </c>
      <c r="J5849" s="18" t="s">
        <v>28</v>
      </c>
      <c r="K5849" s="18" t="s">
        <v>28</v>
      </c>
      <c r="L5849" s="18" t="s">
        <v>28</v>
      </c>
      <c r="M5849" s="18" t="s">
        <v>28</v>
      </c>
      <c r="N5849" s="17">
        <v>44068</v>
      </c>
      <c r="O5849" s="15" t="s">
        <v>41</v>
      </c>
      <c r="P5849" s="16" t="s">
        <v>17030</v>
      </c>
      <c r="Q5849" s="15" t="s">
        <v>245</v>
      </c>
      <c r="R5849" s="13" t="str">
        <f>HYPERLINK("https://my.pitchbook.com?c=219139-12T","View Company Online")</f>
        <v>View Company Online</v>
      </c>
    </row>
    <row r="5850" spans="1:18" hidden="1" x14ac:dyDescent="0.3">
      <c r="A5850" s="9" t="s">
        <v>18050</v>
      </c>
      <c r="B5850" s="9" t="s">
        <v>3119</v>
      </c>
      <c r="C5850" s="11" t="s">
        <v>28</v>
      </c>
      <c r="D5850" s="9" t="s">
        <v>3120</v>
      </c>
      <c r="E5850" s="11" t="s">
        <v>28</v>
      </c>
      <c r="F5850" s="10" t="s">
        <v>28</v>
      </c>
      <c r="G5850" s="10">
        <v>0.15</v>
      </c>
      <c r="H5850" s="10">
        <v>2.14</v>
      </c>
      <c r="I5850" s="11" t="s">
        <v>28</v>
      </c>
      <c r="J5850" s="11" t="s">
        <v>28</v>
      </c>
      <c r="K5850" s="11" t="s">
        <v>28</v>
      </c>
      <c r="L5850" s="11" t="s">
        <v>28</v>
      </c>
      <c r="M5850" s="11" t="s">
        <v>28</v>
      </c>
      <c r="N5850" s="8">
        <v>44067</v>
      </c>
      <c r="O5850" s="9" t="s">
        <v>52</v>
      </c>
      <c r="P5850" s="12" t="s">
        <v>18051</v>
      </c>
      <c r="Q5850" s="9" t="s">
        <v>37</v>
      </c>
      <c r="R5850" s="14" t="str">
        <f>HYPERLINK("https://my.pitchbook.com?c=140631-31T","View Company Online")</f>
        <v>View Company Online</v>
      </c>
    </row>
    <row r="5851" spans="1:18" hidden="1" x14ac:dyDescent="0.3">
      <c r="A5851" s="15" t="s">
        <v>18052</v>
      </c>
      <c r="B5851" s="15" t="s">
        <v>18053</v>
      </c>
      <c r="C5851" s="18" t="s">
        <v>28</v>
      </c>
      <c r="D5851" s="15" t="s">
        <v>18054</v>
      </c>
      <c r="E5851" s="18" t="s">
        <v>28</v>
      </c>
      <c r="F5851" s="19" t="s">
        <v>28</v>
      </c>
      <c r="G5851" s="19" t="s">
        <v>28</v>
      </c>
      <c r="H5851" s="19" t="s">
        <v>28</v>
      </c>
      <c r="I5851" s="18" t="s">
        <v>28</v>
      </c>
      <c r="J5851" s="18" t="s">
        <v>28</v>
      </c>
      <c r="K5851" s="18" t="s">
        <v>28</v>
      </c>
      <c r="L5851" s="18" t="s">
        <v>28</v>
      </c>
      <c r="M5851" s="18" t="s">
        <v>28</v>
      </c>
      <c r="N5851" s="17">
        <v>44067</v>
      </c>
      <c r="O5851" s="15" t="s">
        <v>99</v>
      </c>
      <c r="P5851" s="16" t="s">
        <v>18055</v>
      </c>
      <c r="Q5851" s="15" t="s">
        <v>75</v>
      </c>
      <c r="R5851" s="13" t="str">
        <f>HYPERLINK("https://my.pitchbook.com?c=160180-30T","View Company Online")</f>
        <v>View Company Online</v>
      </c>
    </row>
    <row r="5852" spans="1:18" hidden="1" x14ac:dyDescent="0.3">
      <c r="A5852" s="9" t="s">
        <v>18056</v>
      </c>
      <c r="B5852" s="9" t="s">
        <v>18057</v>
      </c>
      <c r="C5852" s="11" t="s">
        <v>28</v>
      </c>
      <c r="D5852" s="9" t="s">
        <v>18058</v>
      </c>
      <c r="E5852" s="11" t="s">
        <v>28</v>
      </c>
      <c r="F5852" s="10" t="s">
        <v>28</v>
      </c>
      <c r="G5852" s="10" t="s">
        <v>28</v>
      </c>
      <c r="H5852" s="10" t="s">
        <v>28</v>
      </c>
      <c r="I5852" s="11" t="s">
        <v>28</v>
      </c>
      <c r="J5852" s="11" t="s">
        <v>28</v>
      </c>
      <c r="K5852" s="11" t="s">
        <v>28</v>
      </c>
      <c r="L5852" s="11" t="s">
        <v>28</v>
      </c>
      <c r="M5852" s="11" t="s">
        <v>28</v>
      </c>
      <c r="N5852" s="8">
        <v>44067</v>
      </c>
      <c r="O5852" s="9" t="s">
        <v>30</v>
      </c>
      <c r="P5852" s="12" t="s">
        <v>3609</v>
      </c>
      <c r="Q5852" s="9" t="s">
        <v>75</v>
      </c>
      <c r="R5852" s="14" t="str">
        <f>HYPERLINK("https://my.pitchbook.com?c=214070-77T","View Company Online")</f>
        <v>View Company Online</v>
      </c>
    </row>
    <row r="5853" spans="1:18" hidden="1" x14ac:dyDescent="0.3">
      <c r="A5853" s="15" t="s">
        <v>18059</v>
      </c>
      <c r="B5853" s="15" t="s">
        <v>18060</v>
      </c>
      <c r="C5853" s="18" t="s">
        <v>28</v>
      </c>
      <c r="D5853" s="15" t="s">
        <v>18061</v>
      </c>
      <c r="E5853" s="18" t="s">
        <v>28</v>
      </c>
      <c r="F5853" s="19" t="s">
        <v>28</v>
      </c>
      <c r="G5853" s="19" t="s">
        <v>28</v>
      </c>
      <c r="H5853" s="19" t="s">
        <v>28</v>
      </c>
      <c r="I5853" s="18" t="s">
        <v>28</v>
      </c>
      <c r="J5853" s="18" t="s">
        <v>28</v>
      </c>
      <c r="K5853" s="18" t="s">
        <v>28</v>
      </c>
      <c r="L5853" s="18" t="s">
        <v>28</v>
      </c>
      <c r="M5853" s="18" t="s">
        <v>28</v>
      </c>
      <c r="N5853" s="17">
        <v>44064</v>
      </c>
      <c r="O5853" s="15" t="s">
        <v>30</v>
      </c>
      <c r="P5853" s="16" t="s">
        <v>18062</v>
      </c>
      <c r="Q5853" s="15" t="s">
        <v>566</v>
      </c>
      <c r="R5853" s="13" t="str">
        <f>HYPERLINK("https://my.pitchbook.com?c=294759-19T","View Company Online")</f>
        <v>View Company Online</v>
      </c>
    </row>
    <row r="5854" spans="1:18" hidden="1" x14ac:dyDescent="0.3">
      <c r="A5854" s="9" t="s">
        <v>18063</v>
      </c>
      <c r="B5854" s="9" t="s">
        <v>15947</v>
      </c>
      <c r="C5854" s="11" t="s">
        <v>28</v>
      </c>
      <c r="D5854" s="9" t="s">
        <v>15948</v>
      </c>
      <c r="E5854" s="11" t="s">
        <v>28</v>
      </c>
      <c r="F5854" s="10" t="s">
        <v>28</v>
      </c>
      <c r="G5854" s="10" t="s">
        <v>28</v>
      </c>
      <c r="H5854" s="10" t="s">
        <v>28</v>
      </c>
      <c r="I5854" s="11" t="s">
        <v>28</v>
      </c>
      <c r="J5854" s="11" t="s">
        <v>28</v>
      </c>
      <c r="K5854" s="11" t="s">
        <v>28</v>
      </c>
      <c r="L5854" s="11" t="s">
        <v>28</v>
      </c>
      <c r="M5854" s="11" t="s">
        <v>28</v>
      </c>
      <c r="N5854" s="8">
        <v>44064</v>
      </c>
      <c r="O5854" s="9" t="s">
        <v>52</v>
      </c>
      <c r="P5854" s="12" t="s">
        <v>12362</v>
      </c>
      <c r="Q5854" s="9" t="s">
        <v>75</v>
      </c>
      <c r="R5854" s="14" t="str">
        <f>HYPERLINK("https://my.pitchbook.com?c=284293-36T","View Company Online")</f>
        <v>View Company Online</v>
      </c>
    </row>
    <row r="5855" spans="1:18" hidden="1" x14ac:dyDescent="0.3">
      <c r="A5855" s="15" t="s">
        <v>18064</v>
      </c>
      <c r="B5855" s="15" t="s">
        <v>18065</v>
      </c>
      <c r="C5855" s="18" t="s">
        <v>28</v>
      </c>
      <c r="D5855" s="15" t="s">
        <v>18066</v>
      </c>
      <c r="E5855" s="18" t="s">
        <v>28</v>
      </c>
      <c r="F5855" s="19" t="s">
        <v>28</v>
      </c>
      <c r="G5855" s="19" t="s">
        <v>28</v>
      </c>
      <c r="H5855" s="19" t="s">
        <v>28</v>
      </c>
      <c r="I5855" s="18" t="s">
        <v>28</v>
      </c>
      <c r="J5855" s="18" t="s">
        <v>28</v>
      </c>
      <c r="K5855" s="18" t="s">
        <v>28</v>
      </c>
      <c r="L5855" s="18" t="s">
        <v>28</v>
      </c>
      <c r="M5855" s="18" t="s">
        <v>28</v>
      </c>
      <c r="N5855" s="17">
        <v>44063</v>
      </c>
      <c r="O5855" s="15" t="s">
        <v>173</v>
      </c>
      <c r="P5855" s="16" t="s">
        <v>28</v>
      </c>
      <c r="Q5855" s="15" t="s">
        <v>174</v>
      </c>
      <c r="R5855" s="13" t="str">
        <f>HYPERLINK("https://my.pitchbook.com?c=251685-91T","View Company Online")</f>
        <v>View Company Online</v>
      </c>
    </row>
    <row r="5856" spans="1:18" hidden="1" x14ac:dyDescent="0.3">
      <c r="A5856" s="9" t="s">
        <v>18067</v>
      </c>
      <c r="B5856" s="9" t="s">
        <v>18068</v>
      </c>
      <c r="C5856" s="11" t="s">
        <v>28</v>
      </c>
      <c r="D5856" s="9" t="s">
        <v>18069</v>
      </c>
      <c r="E5856" s="11" t="s">
        <v>28</v>
      </c>
      <c r="F5856" s="10">
        <v>4.49</v>
      </c>
      <c r="G5856" s="10">
        <v>3.77</v>
      </c>
      <c r="H5856" s="10">
        <v>4.49</v>
      </c>
      <c r="I5856" s="11" t="s">
        <v>28</v>
      </c>
      <c r="J5856" s="11" t="s">
        <v>28</v>
      </c>
      <c r="K5856" s="11" t="s">
        <v>28</v>
      </c>
      <c r="L5856" s="11" t="s">
        <v>28</v>
      </c>
      <c r="M5856" s="11" t="s">
        <v>28</v>
      </c>
      <c r="N5856" s="8">
        <v>44063</v>
      </c>
      <c r="O5856" s="9" t="s">
        <v>30</v>
      </c>
      <c r="P5856" s="12" t="s">
        <v>18070</v>
      </c>
      <c r="Q5856" s="9" t="s">
        <v>37</v>
      </c>
      <c r="R5856" s="14" t="str">
        <f>HYPERLINK("https://my.pitchbook.com?c=153796-42T","View Company Online")</f>
        <v>View Company Online</v>
      </c>
    </row>
    <row r="5857" spans="1:18" hidden="1" x14ac:dyDescent="0.3">
      <c r="A5857" s="15" t="s">
        <v>18071</v>
      </c>
      <c r="B5857" s="15" t="s">
        <v>2336</v>
      </c>
      <c r="C5857" s="18" t="s">
        <v>28</v>
      </c>
      <c r="D5857" s="15" t="s">
        <v>2337</v>
      </c>
      <c r="E5857" s="18" t="s">
        <v>28</v>
      </c>
      <c r="F5857" s="19" t="s">
        <v>28</v>
      </c>
      <c r="G5857" s="19">
        <v>0.28000000000000003</v>
      </c>
      <c r="H5857" s="19" t="s">
        <v>28</v>
      </c>
      <c r="I5857" s="18" t="s">
        <v>28</v>
      </c>
      <c r="J5857" s="18" t="s">
        <v>28</v>
      </c>
      <c r="K5857" s="18" t="s">
        <v>28</v>
      </c>
      <c r="L5857" s="18" t="s">
        <v>28</v>
      </c>
      <c r="M5857" s="18" t="s">
        <v>28</v>
      </c>
      <c r="N5857" s="17">
        <v>44062</v>
      </c>
      <c r="O5857" s="15" t="s">
        <v>79</v>
      </c>
      <c r="P5857" s="16" t="s">
        <v>18072</v>
      </c>
      <c r="Q5857" s="15" t="s">
        <v>75</v>
      </c>
      <c r="R5857" s="13" t="str">
        <f>HYPERLINK("https://my.pitchbook.com?c=215953-75T","View Company Online")</f>
        <v>View Company Online</v>
      </c>
    </row>
    <row r="5858" spans="1:18" hidden="1" x14ac:dyDescent="0.3">
      <c r="A5858" s="9" t="s">
        <v>18073</v>
      </c>
      <c r="B5858" s="9" t="s">
        <v>18074</v>
      </c>
      <c r="C5858" s="11" t="s">
        <v>28</v>
      </c>
      <c r="D5858" s="9" t="s">
        <v>18075</v>
      </c>
      <c r="E5858" s="11" t="s">
        <v>28</v>
      </c>
      <c r="F5858" s="10" t="s">
        <v>28</v>
      </c>
      <c r="G5858" s="10" t="s">
        <v>28</v>
      </c>
      <c r="H5858" s="10" t="s">
        <v>28</v>
      </c>
      <c r="I5858" s="11" t="s">
        <v>28</v>
      </c>
      <c r="J5858" s="11" t="s">
        <v>28</v>
      </c>
      <c r="K5858" s="11" t="s">
        <v>28</v>
      </c>
      <c r="L5858" s="11" t="s">
        <v>28</v>
      </c>
      <c r="M5858" s="11" t="s">
        <v>28</v>
      </c>
      <c r="N5858" s="8">
        <v>44062</v>
      </c>
      <c r="O5858" s="9" t="s">
        <v>30</v>
      </c>
      <c r="P5858" s="12" t="s">
        <v>18076</v>
      </c>
      <c r="Q5858" s="9" t="s">
        <v>692</v>
      </c>
      <c r="R5858" s="14" t="str">
        <f>HYPERLINK("https://my.pitchbook.com?c=192960-64T","View Company Online")</f>
        <v>View Company Online</v>
      </c>
    </row>
    <row r="5859" spans="1:18" x14ac:dyDescent="0.3">
      <c r="A5859" s="15" t="s">
        <v>18077</v>
      </c>
      <c r="B5859" s="15" t="s">
        <v>14833</v>
      </c>
      <c r="C5859" s="18">
        <v>7.52</v>
      </c>
      <c r="D5859" s="15" t="s">
        <v>14834</v>
      </c>
      <c r="E5859" s="18" t="s">
        <v>28</v>
      </c>
      <c r="F5859" s="19">
        <v>75.88</v>
      </c>
      <c r="G5859" s="19">
        <v>75.88</v>
      </c>
      <c r="H5859" s="19">
        <v>75.88</v>
      </c>
      <c r="I5859" s="18">
        <v>10.09</v>
      </c>
      <c r="J5859" s="18">
        <v>7.52</v>
      </c>
      <c r="K5859" s="18">
        <v>34.74</v>
      </c>
      <c r="L5859" s="18">
        <v>2.1800000000000002</v>
      </c>
      <c r="M5859" s="18" t="s">
        <v>28</v>
      </c>
      <c r="N5859" s="17">
        <v>44062</v>
      </c>
      <c r="O5859" s="15" t="s">
        <v>41</v>
      </c>
      <c r="P5859" s="16" t="s">
        <v>1612</v>
      </c>
      <c r="Q5859" s="15" t="s">
        <v>95</v>
      </c>
      <c r="R5859" s="13" t="str">
        <f>HYPERLINK("https://my.pitchbook.com?c=153644-14T","View Company Online")</f>
        <v>View Company Online</v>
      </c>
    </row>
    <row r="5860" spans="1:18" hidden="1" x14ac:dyDescent="0.3">
      <c r="A5860" s="9" t="s">
        <v>18078</v>
      </c>
      <c r="B5860" s="9" t="s">
        <v>9351</v>
      </c>
      <c r="C5860" s="11" t="s">
        <v>28</v>
      </c>
      <c r="D5860" s="9" t="s">
        <v>9352</v>
      </c>
      <c r="E5860" s="11">
        <v>-288.82</v>
      </c>
      <c r="F5860" s="10" t="s">
        <v>28</v>
      </c>
      <c r="G5860" s="10">
        <v>380</v>
      </c>
      <c r="H5860" s="10" t="s">
        <v>28</v>
      </c>
      <c r="I5860" s="11">
        <v>-288.82</v>
      </c>
      <c r="J5860" s="11" t="s">
        <v>28</v>
      </c>
      <c r="K5860" s="11">
        <v>1441.17</v>
      </c>
      <c r="L5860" s="11" t="s">
        <v>28</v>
      </c>
      <c r="M5860" s="11">
        <v>2.92</v>
      </c>
      <c r="N5860" s="8">
        <v>44062</v>
      </c>
      <c r="O5860" s="9" t="s">
        <v>159</v>
      </c>
      <c r="P5860" s="12" t="s">
        <v>28</v>
      </c>
      <c r="Q5860" s="9" t="s">
        <v>9353</v>
      </c>
      <c r="R5860" s="14" t="str">
        <f>HYPERLINK("https://my.pitchbook.com?c=287391-70T","View Company Online")</f>
        <v>View Company Online</v>
      </c>
    </row>
    <row r="5861" spans="1:18" hidden="1" x14ac:dyDescent="0.3">
      <c r="A5861" s="15" t="s">
        <v>18079</v>
      </c>
      <c r="B5861" s="15" t="s">
        <v>5105</v>
      </c>
      <c r="C5861" s="18" t="s">
        <v>28</v>
      </c>
      <c r="D5861" s="15" t="s">
        <v>18080</v>
      </c>
      <c r="E5861" s="18">
        <v>403.65</v>
      </c>
      <c r="F5861" s="19" t="s">
        <v>28</v>
      </c>
      <c r="G5861" s="19" t="s">
        <v>28</v>
      </c>
      <c r="H5861" s="19" t="s">
        <v>28</v>
      </c>
      <c r="I5861" s="18">
        <v>585.83000000000004</v>
      </c>
      <c r="J5861" s="18" t="s">
        <v>28</v>
      </c>
      <c r="K5861" s="18">
        <v>17391.47</v>
      </c>
      <c r="L5861" s="18" t="s">
        <v>28</v>
      </c>
      <c r="M5861" s="18">
        <v>52.1</v>
      </c>
      <c r="N5861" s="17">
        <v>44062</v>
      </c>
      <c r="O5861" s="15" t="s">
        <v>159</v>
      </c>
      <c r="P5861" s="16" t="s">
        <v>18081</v>
      </c>
      <c r="Q5861" s="15" t="s">
        <v>4901</v>
      </c>
      <c r="R5861" s="13" t="str">
        <f>HYPERLINK("https://my.pitchbook.com?c=233968-33T","View Company Online")</f>
        <v>View Company Online</v>
      </c>
    </row>
    <row r="5862" spans="1:18" hidden="1" x14ac:dyDescent="0.3">
      <c r="A5862" s="9" t="s">
        <v>18082</v>
      </c>
      <c r="B5862" s="9" t="s">
        <v>6069</v>
      </c>
      <c r="C5862" s="11" t="s">
        <v>28</v>
      </c>
      <c r="D5862" s="9" t="s">
        <v>6070</v>
      </c>
      <c r="E5862" s="11" t="s">
        <v>28</v>
      </c>
      <c r="F5862" s="10" t="s">
        <v>28</v>
      </c>
      <c r="G5862" s="10">
        <v>66.13</v>
      </c>
      <c r="H5862" s="10" t="s">
        <v>28</v>
      </c>
      <c r="I5862" s="11" t="s">
        <v>28</v>
      </c>
      <c r="J5862" s="11" t="s">
        <v>28</v>
      </c>
      <c r="K5862" s="11" t="s">
        <v>28</v>
      </c>
      <c r="L5862" s="11" t="s">
        <v>28</v>
      </c>
      <c r="M5862" s="11" t="s">
        <v>28</v>
      </c>
      <c r="N5862" s="8">
        <v>44062</v>
      </c>
      <c r="O5862" s="9" t="s">
        <v>99</v>
      </c>
      <c r="P5862" s="12" t="s">
        <v>28</v>
      </c>
      <c r="Q5862" s="9" t="s">
        <v>75</v>
      </c>
      <c r="R5862" s="14" t="str">
        <f>HYPERLINK("https://my.pitchbook.com?c=211075-75T","View Company Online")</f>
        <v>View Company Online</v>
      </c>
    </row>
    <row r="5863" spans="1:18" hidden="1" x14ac:dyDescent="0.3">
      <c r="A5863" s="15" t="s">
        <v>18083</v>
      </c>
      <c r="B5863" s="15" t="s">
        <v>12838</v>
      </c>
      <c r="C5863" s="18" t="s">
        <v>28</v>
      </c>
      <c r="D5863" s="15" t="s">
        <v>12839</v>
      </c>
      <c r="E5863" s="18" t="s">
        <v>28</v>
      </c>
      <c r="F5863" s="19" t="s">
        <v>28</v>
      </c>
      <c r="G5863" s="19">
        <v>4.72</v>
      </c>
      <c r="H5863" s="19" t="s">
        <v>28</v>
      </c>
      <c r="I5863" s="18" t="s">
        <v>28</v>
      </c>
      <c r="J5863" s="18" t="s">
        <v>28</v>
      </c>
      <c r="K5863" s="18" t="s">
        <v>28</v>
      </c>
      <c r="L5863" s="18" t="s">
        <v>28</v>
      </c>
      <c r="M5863" s="18" t="s">
        <v>28</v>
      </c>
      <c r="N5863" s="17">
        <v>44061</v>
      </c>
      <c r="O5863" s="15" t="s">
        <v>73</v>
      </c>
      <c r="P5863" s="16" t="s">
        <v>18084</v>
      </c>
      <c r="Q5863" s="15" t="s">
        <v>3973</v>
      </c>
      <c r="R5863" s="13" t="str">
        <f>HYPERLINK("https://my.pitchbook.com?c=160505-92T","View Company Online")</f>
        <v>View Company Online</v>
      </c>
    </row>
    <row r="5864" spans="1:18" hidden="1" x14ac:dyDescent="0.3">
      <c r="A5864" s="9" t="s">
        <v>18085</v>
      </c>
      <c r="B5864" s="9" t="s">
        <v>18086</v>
      </c>
      <c r="C5864" s="11" t="s">
        <v>28</v>
      </c>
      <c r="D5864" s="9" t="s">
        <v>18087</v>
      </c>
      <c r="E5864" s="11">
        <v>388.48</v>
      </c>
      <c r="F5864" s="10" t="s">
        <v>28</v>
      </c>
      <c r="G5864" s="10">
        <v>71</v>
      </c>
      <c r="H5864" s="10" t="s">
        <v>28</v>
      </c>
      <c r="I5864" s="11">
        <v>665.78</v>
      </c>
      <c r="J5864" s="11" t="s">
        <v>28</v>
      </c>
      <c r="K5864" s="11">
        <v>3560.8</v>
      </c>
      <c r="L5864" s="11" t="s">
        <v>28</v>
      </c>
      <c r="M5864" s="11">
        <v>213.95</v>
      </c>
      <c r="N5864" s="8">
        <v>44061</v>
      </c>
      <c r="O5864" s="9" t="s">
        <v>423</v>
      </c>
      <c r="P5864" s="12" t="s">
        <v>28</v>
      </c>
      <c r="Q5864" s="9" t="s">
        <v>362</v>
      </c>
      <c r="R5864" s="14" t="str">
        <f>HYPERLINK("https://my.pitchbook.com?c=155520-73T","View Company Online")</f>
        <v>View Company Online</v>
      </c>
    </row>
    <row r="5865" spans="1:18" hidden="1" x14ac:dyDescent="0.3">
      <c r="A5865" s="15" t="s">
        <v>18088</v>
      </c>
      <c r="B5865" s="15" t="s">
        <v>18089</v>
      </c>
      <c r="C5865" s="18" t="s">
        <v>28</v>
      </c>
      <c r="D5865" s="15" t="s">
        <v>18090</v>
      </c>
      <c r="E5865" s="18" t="s">
        <v>28</v>
      </c>
      <c r="F5865" s="19" t="s">
        <v>28</v>
      </c>
      <c r="G5865" s="19">
        <v>30.21</v>
      </c>
      <c r="H5865" s="19" t="s">
        <v>28</v>
      </c>
      <c r="I5865" s="18" t="s">
        <v>28</v>
      </c>
      <c r="J5865" s="18" t="s">
        <v>28</v>
      </c>
      <c r="K5865" s="18" t="s">
        <v>28</v>
      </c>
      <c r="L5865" s="18" t="s">
        <v>28</v>
      </c>
      <c r="M5865" s="18" t="s">
        <v>28</v>
      </c>
      <c r="N5865" s="17">
        <v>44061</v>
      </c>
      <c r="O5865" s="15" t="s">
        <v>73</v>
      </c>
      <c r="P5865" s="16" t="s">
        <v>11453</v>
      </c>
      <c r="Q5865" s="15" t="s">
        <v>37</v>
      </c>
      <c r="R5865" s="13" t="str">
        <f>HYPERLINK("https://my.pitchbook.com?c=165102-04T","View Company Online")</f>
        <v>View Company Online</v>
      </c>
    </row>
    <row r="5866" spans="1:18" hidden="1" x14ac:dyDescent="0.3">
      <c r="A5866" s="9" t="s">
        <v>18091</v>
      </c>
      <c r="B5866" s="9" t="s">
        <v>9885</v>
      </c>
      <c r="C5866" s="11" t="s">
        <v>28</v>
      </c>
      <c r="D5866" s="9" t="s">
        <v>9886</v>
      </c>
      <c r="E5866" s="11" t="s">
        <v>28</v>
      </c>
      <c r="F5866" s="10">
        <v>18.88</v>
      </c>
      <c r="G5866" s="10">
        <v>18.88</v>
      </c>
      <c r="H5866" s="10">
        <v>18.88</v>
      </c>
      <c r="I5866" s="11" t="s">
        <v>28</v>
      </c>
      <c r="J5866" s="11" t="s">
        <v>28</v>
      </c>
      <c r="K5866" s="11" t="s">
        <v>28</v>
      </c>
      <c r="L5866" s="11" t="s">
        <v>28</v>
      </c>
      <c r="M5866" s="11" t="s">
        <v>28</v>
      </c>
      <c r="N5866" s="8">
        <v>44061</v>
      </c>
      <c r="O5866" s="9" t="s">
        <v>30</v>
      </c>
      <c r="P5866" s="12" t="s">
        <v>18092</v>
      </c>
      <c r="Q5866" s="9" t="s">
        <v>316</v>
      </c>
      <c r="R5866" s="14" t="str">
        <f>HYPERLINK("https://my.pitchbook.com?c=153689-41T","View Company Online")</f>
        <v>View Company Online</v>
      </c>
    </row>
    <row r="5867" spans="1:18" hidden="1" x14ac:dyDescent="0.3">
      <c r="A5867" s="15" t="s">
        <v>18093</v>
      </c>
      <c r="B5867" s="15" t="s">
        <v>18094</v>
      </c>
      <c r="C5867" s="18" t="s">
        <v>28</v>
      </c>
      <c r="D5867" s="15" t="s">
        <v>18095</v>
      </c>
      <c r="E5867" s="18">
        <v>14.04</v>
      </c>
      <c r="F5867" s="19" t="s">
        <v>28</v>
      </c>
      <c r="G5867" s="19" t="s">
        <v>28</v>
      </c>
      <c r="H5867" s="19" t="s">
        <v>28</v>
      </c>
      <c r="I5867" s="18">
        <v>14.13</v>
      </c>
      <c r="J5867" s="18" t="s">
        <v>28</v>
      </c>
      <c r="K5867" s="18">
        <v>45.11</v>
      </c>
      <c r="L5867" s="18" t="s">
        <v>28</v>
      </c>
      <c r="M5867" s="18">
        <v>10.7</v>
      </c>
      <c r="N5867" s="17">
        <v>44060</v>
      </c>
      <c r="O5867" s="15" t="s">
        <v>173</v>
      </c>
      <c r="P5867" s="16" t="s">
        <v>28</v>
      </c>
      <c r="Q5867" s="15" t="s">
        <v>119</v>
      </c>
      <c r="R5867" s="13" t="str">
        <f>HYPERLINK("https://my.pitchbook.com?c=224898-94T","View Company Online")</f>
        <v>View Company Online</v>
      </c>
    </row>
    <row r="5868" spans="1:18" hidden="1" x14ac:dyDescent="0.3">
      <c r="A5868" s="9" t="s">
        <v>18096</v>
      </c>
      <c r="B5868" s="9" t="s">
        <v>8211</v>
      </c>
      <c r="C5868" s="11" t="s">
        <v>28</v>
      </c>
      <c r="D5868" s="9" t="s">
        <v>8212</v>
      </c>
      <c r="E5868" s="11" t="s">
        <v>28</v>
      </c>
      <c r="F5868" s="10" t="s">
        <v>28</v>
      </c>
      <c r="G5868" s="10">
        <v>1.4</v>
      </c>
      <c r="H5868" s="10" t="s">
        <v>28</v>
      </c>
      <c r="I5868" s="11" t="s">
        <v>28</v>
      </c>
      <c r="J5868" s="11" t="s">
        <v>28</v>
      </c>
      <c r="K5868" s="11" t="s">
        <v>28</v>
      </c>
      <c r="L5868" s="11" t="s">
        <v>28</v>
      </c>
      <c r="M5868" s="11" t="s">
        <v>28</v>
      </c>
      <c r="N5868" s="8">
        <v>44060</v>
      </c>
      <c r="O5868" s="9" t="s">
        <v>99</v>
      </c>
      <c r="P5868" s="12" t="s">
        <v>140</v>
      </c>
      <c r="Q5868" s="9" t="s">
        <v>75</v>
      </c>
      <c r="R5868" s="14" t="str">
        <f>HYPERLINK("https://my.pitchbook.com?c=226715-23T","View Company Online")</f>
        <v>View Company Online</v>
      </c>
    </row>
    <row r="5869" spans="1:18" hidden="1" x14ac:dyDescent="0.3">
      <c r="A5869" s="15" t="s">
        <v>18097</v>
      </c>
      <c r="B5869" s="15" t="s">
        <v>18098</v>
      </c>
      <c r="C5869" s="18" t="s">
        <v>28</v>
      </c>
      <c r="D5869" s="15" t="s">
        <v>18099</v>
      </c>
      <c r="E5869" s="18" t="s">
        <v>28</v>
      </c>
      <c r="F5869" s="19" t="s">
        <v>28</v>
      </c>
      <c r="G5869" s="19">
        <v>1.42</v>
      </c>
      <c r="H5869" s="19" t="s">
        <v>28</v>
      </c>
      <c r="I5869" s="18" t="s">
        <v>28</v>
      </c>
      <c r="J5869" s="18" t="s">
        <v>28</v>
      </c>
      <c r="K5869" s="18" t="s">
        <v>28</v>
      </c>
      <c r="L5869" s="18" t="s">
        <v>28</v>
      </c>
      <c r="M5869" s="18" t="s">
        <v>28</v>
      </c>
      <c r="N5869" s="17">
        <v>44057</v>
      </c>
      <c r="O5869" s="15" t="s">
        <v>79</v>
      </c>
      <c r="P5869" s="16" t="s">
        <v>18100</v>
      </c>
      <c r="Q5869" s="15" t="s">
        <v>75</v>
      </c>
      <c r="R5869" s="13" t="str">
        <f>HYPERLINK("https://my.pitchbook.com?c=140499-28T","View Company Online")</f>
        <v>View Company Online</v>
      </c>
    </row>
    <row r="5870" spans="1:18" hidden="1" x14ac:dyDescent="0.3">
      <c r="A5870" s="9" t="s">
        <v>18101</v>
      </c>
      <c r="B5870" s="9" t="s">
        <v>18102</v>
      </c>
      <c r="C5870" s="11" t="s">
        <v>28</v>
      </c>
      <c r="D5870" s="9" t="s">
        <v>18103</v>
      </c>
      <c r="E5870" s="11" t="s">
        <v>28</v>
      </c>
      <c r="F5870" s="10" t="s">
        <v>28</v>
      </c>
      <c r="G5870" s="10">
        <v>0.21</v>
      </c>
      <c r="H5870" s="10" t="s">
        <v>28</v>
      </c>
      <c r="I5870" s="11" t="s">
        <v>28</v>
      </c>
      <c r="J5870" s="11" t="s">
        <v>28</v>
      </c>
      <c r="K5870" s="11">
        <v>1.36</v>
      </c>
      <c r="L5870" s="11" t="s">
        <v>28</v>
      </c>
      <c r="M5870" s="11" t="s">
        <v>28</v>
      </c>
      <c r="N5870" s="8">
        <v>44057</v>
      </c>
      <c r="O5870" s="9" t="s">
        <v>99</v>
      </c>
      <c r="P5870" s="12" t="s">
        <v>16530</v>
      </c>
      <c r="Q5870" s="9" t="s">
        <v>136</v>
      </c>
      <c r="R5870" s="14" t="str">
        <f>HYPERLINK("https://my.pitchbook.com?c=160189-39T","View Company Online")</f>
        <v>View Company Online</v>
      </c>
    </row>
    <row r="5871" spans="1:18" hidden="1" x14ac:dyDescent="0.3">
      <c r="A5871" s="15" t="s">
        <v>18104</v>
      </c>
      <c r="B5871" s="15" t="s">
        <v>18105</v>
      </c>
      <c r="C5871" s="18" t="s">
        <v>28</v>
      </c>
      <c r="D5871" s="15" t="s">
        <v>18106</v>
      </c>
      <c r="E5871" s="18" t="s">
        <v>28</v>
      </c>
      <c r="F5871" s="19" t="s">
        <v>28</v>
      </c>
      <c r="G5871" s="19">
        <v>9.4600000000000009</v>
      </c>
      <c r="H5871" s="19" t="s">
        <v>28</v>
      </c>
      <c r="I5871" s="18" t="s">
        <v>28</v>
      </c>
      <c r="J5871" s="18" t="s">
        <v>28</v>
      </c>
      <c r="K5871" s="18" t="s">
        <v>28</v>
      </c>
      <c r="L5871" s="18" t="s">
        <v>28</v>
      </c>
      <c r="M5871" s="18" t="s">
        <v>28</v>
      </c>
      <c r="N5871" s="17">
        <v>44057</v>
      </c>
      <c r="O5871" s="15" t="s">
        <v>73</v>
      </c>
      <c r="P5871" s="16" t="s">
        <v>18107</v>
      </c>
      <c r="Q5871" s="15" t="s">
        <v>136</v>
      </c>
      <c r="R5871" s="13" t="str">
        <f>HYPERLINK("https://my.pitchbook.com?c=166096-72T","View Company Online")</f>
        <v>View Company Online</v>
      </c>
    </row>
    <row r="5872" spans="1:18" hidden="1" x14ac:dyDescent="0.3">
      <c r="A5872" s="9" t="s">
        <v>18108</v>
      </c>
      <c r="B5872" s="9" t="s">
        <v>18109</v>
      </c>
      <c r="C5872" s="11" t="s">
        <v>28</v>
      </c>
      <c r="D5872" s="9" t="s">
        <v>18110</v>
      </c>
      <c r="E5872" s="11" t="s">
        <v>28</v>
      </c>
      <c r="F5872" s="10">
        <v>35.200000000000003</v>
      </c>
      <c r="G5872" s="10">
        <v>35.200000000000003</v>
      </c>
      <c r="H5872" s="10">
        <v>35.200000000000003</v>
      </c>
      <c r="I5872" s="11" t="s">
        <v>28</v>
      </c>
      <c r="J5872" s="11" t="s">
        <v>28</v>
      </c>
      <c r="K5872" s="11" t="s">
        <v>28</v>
      </c>
      <c r="L5872" s="11" t="s">
        <v>28</v>
      </c>
      <c r="M5872" s="11" t="s">
        <v>28</v>
      </c>
      <c r="N5872" s="8">
        <v>44057</v>
      </c>
      <c r="O5872" s="9" t="s">
        <v>41</v>
      </c>
      <c r="P5872" s="12" t="s">
        <v>17804</v>
      </c>
      <c r="Q5872" s="9" t="s">
        <v>183</v>
      </c>
      <c r="R5872" s="14" t="str">
        <f>HYPERLINK("https://my.pitchbook.com?c=153647-83T","View Company Online")</f>
        <v>View Company Online</v>
      </c>
    </row>
    <row r="5873" spans="1:18" hidden="1" x14ac:dyDescent="0.3">
      <c r="A5873" s="15" t="s">
        <v>18111</v>
      </c>
      <c r="B5873" s="15" t="s">
        <v>2432</v>
      </c>
      <c r="C5873" s="18" t="s">
        <v>28</v>
      </c>
      <c r="D5873" s="15" t="s">
        <v>2433</v>
      </c>
      <c r="E5873" s="18" t="s">
        <v>28</v>
      </c>
      <c r="F5873" s="19" t="s">
        <v>28</v>
      </c>
      <c r="G5873" s="19">
        <v>0.28000000000000003</v>
      </c>
      <c r="H5873" s="19" t="s">
        <v>28</v>
      </c>
      <c r="I5873" s="18" t="s">
        <v>28</v>
      </c>
      <c r="J5873" s="18" t="s">
        <v>28</v>
      </c>
      <c r="K5873" s="18" t="s">
        <v>28</v>
      </c>
      <c r="L5873" s="18" t="s">
        <v>28</v>
      </c>
      <c r="M5873" s="18" t="s">
        <v>28</v>
      </c>
      <c r="N5873" s="17">
        <v>44057</v>
      </c>
      <c r="O5873" s="15" t="s">
        <v>79</v>
      </c>
      <c r="P5873" s="16" t="s">
        <v>18112</v>
      </c>
      <c r="Q5873" s="15" t="s">
        <v>75</v>
      </c>
      <c r="R5873" s="13" t="str">
        <f>HYPERLINK("https://my.pitchbook.com?c=210578-68T","View Company Online")</f>
        <v>View Company Online</v>
      </c>
    </row>
    <row r="5874" spans="1:18" hidden="1" x14ac:dyDescent="0.3">
      <c r="A5874" s="9" t="s">
        <v>18113</v>
      </c>
      <c r="B5874" s="9" t="s">
        <v>18114</v>
      </c>
      <c r="C5874" s="11" t="s">
        <v>28</v>
      </c>
      <c r="D5874" s="9" t="s">
        <v>18115</v>
      </c>
      <c r="E5874" s="11" t="s">
        <v>28</v>
      </c>
      <c r="F5874" s="10" t="s">
        <v>28</v>
      </c>
      <c r="G5874" s="10">
        <v>0.42</v>
      </c>
      <c r="H5874" s="10" t="s">
        <v>28</v>
      </c>
      <c r="I5874" s="11" t="s">
        <v>28</v>
      </c>
      <c r="J5874" s="11" t="s">
        <v>28</v>
      </c>
      <c r="K5874" s="11" t="s">
        <v>28</v>
      </c>
      <c r="L5874" s="11" t="s">
        <v>28</v>
      </c>
      <c r="M5874" s="11" t="s">
        <v>28</v>
      </c>
      <c r="N5874" s="8">
        <v>44057</v>
      </c>
      <c r="O5874" s="9" t="s">
        <v>1639</v>
      </c>
      <c r="P5874" s="12" t="s">
        <v>28</v>
      </c>
      <c r="Q5874" s="9" t="s">
        <v>75</v>
      </c>
      <c r="R5874" s="14" t="str">
        <f>HYPERLINK("https://my.pitchbook.com?c=165800-80T","View Company Online")</f>
        <v>View Company Online</v>
      </c>
    </row>
    <row r="5875" spans="1:18" hidden="1" x14ac:dyDescent="0.3">
      <c r="A5875" s="15" t="s">
        <v>18116</v>
      </c>
      <c r="B5875" s="15" t="s">
        <v>18117</v>
      </c>
      <c r="C5875" s="18" t="s">
        <v>28</v>
      </c>
      <c r="D5875" s="15" t="s">
        <v>18118</v>
      </c>
      <c r="E5875" s="18" t="s">
        <v>28</v>
      </c>
      <c r="F5875" s="19" t="s">
        <v>28</v>
      </c>
      <c r="G5875" s="19">
        <v>120</v>
      </c>
      <c r="H5875" s="19">
        <v>3000</v>
      </c>
      <c r="I5875" s="18" t="s">
        <v>28</v>
      </c>
      <c r="J5875" s="18" t="s">
        <v>28</v>
      </c>
      <c r="K5875" s="18" t="s">
        <v>28</v>
      </c>
      <c r="L5875" s="18" t="s">
        <v>28</v>
      </c>
      <c r="M5875" s="18" t="s">
        <v>28</v>
      </c>
      <c r="N5875" s="17">
        <v>44057</v>
      </c>
      <c r="O5875" s="15" t="s">
        <v>79</v>
      </c>
      <c r="P5875" s="16" t="s">
        <v>18119</v>
      </c>
      <c r="Q5875" s="15" t="s">
        <v>419</v>
      </c>
      <c r="R5875" s="13" t="str">
        <f>HYPERLINK("https://my.pitchbook.com?c=146268-73T","View Company Online")</f>
        <v>View Company Online</v>
      </c>
    </row>
    <row r="5876" spans="1:18" hidden="1" x14ac:dyDescent="0.3">
      <c r="A5876" s="9" t="s">
        <v>18120</v>
      </c>
      <c r="B5876" s="9" t="s">
        <v>5134</v>
      </c>
      <c r="C5876" s="11" t="s">
        <v>28</v>
      </c>
      <c r="D5876" s="9" t="s">
        <v>5135</v>
      </c>
      <c r="E5876" s="11" t="s">
        <v>28</v>
      </c>
      <c r="F5876" s="10" t="s">
        <v>28</v>
      </c>
      <c r="G5876" s="10">
        <v>99.33</v>
      </c>
      <c r="H5876" s="10" t="s">
        <v>28</v>
      </c>
      <c r="I5876" s="11" t="s">
        <v>28</v>
      </c>
      <c r="J5876" s="11" t="s">
        <v>28</v>
      </c>
      <c r="K5876" s="11" t="s">
        <v>28</v>
      </c>
      <c r="L5876" s="11" t="s">
        <v>28</v>
      </c>
      <c r="M5876" s="11">
        <v>-117.82</v>
      </c>
      <c r="N5876" s="8">
        <v>44056</v>
      </c>
      <c r="O5876" s="9" t="s">
        <v>58</v>
      </c>
      <c r="P5876" s="12" t="s">
        <v>28</v>
      </c>
      <c r="Q5876" s="9" t="s">
        <v>1213</v>
      </c>
      <c r="R5876" s="14" t="str">
        <f>HYPERLINK("https://my.pitchbook.com?c=166677-85T","View Company Online")</f>
        <v>View Company Online</v>
      </c>
    </row>
    <row r="5877" spans="1:18" hidden="1" x14ac:dyDescent="0.3">
      <c r="A5877" s="15" t="s">
        <v>18121</v>
      </c>
      <c r="B5877" s="15" t="s">
        <v>18122</v>
      </c>
      <c r="C5877" s="18" t="s">
        <v>28</v>
      </c>
      <c r="D5877" s="15" t="s">
        <v>18123</v>
      </c>
      <c r="E5877" s="18" t="s">
        <v>28</v>
      </c>
      <c r="F5877" s="19" t="s">
        <v>28</v>
      </c>
      <c r="G5877" s="19" t="s">
        <v>28</v>
      </c>
      <c r="H5877" s="19" t="s">
        <v>28</v>
      </c>
      <c r="I5877" s="18" t="s">
        <v>28</v>
      </c>
      <c r="J5877" s="18" t="s">
        <v>28</v>
      </c>
      <c r="K5877" s="18" t="s">
        <v>28</v>
      </c>
      <c r="L5877" s="18" t="s">
        <v>28</v>
      </c>
      <c r="M5877" s="18" t="s">
        <v>28</v>
      </c>
      <c r="N5877" s="17">
        <v>44056</v>
      </c>
      <c r="O5877" s="15" t="s">
        <v>99</v>
      </c>
      <c r="P5877" s="16" t="s">
        <v>28</v>
      </c>
      <c r="Q5877" s="15" t="s">
        <v>75</v>
      </c>
      <c r="R5877" s="13" t="str">
        <f>HYPERLINK("https://my.pitchbook.com?c=161001-10T","View Company Online")</f>
        <v>View Company Online</v>
      </c>
    </row>
    <row r="5878" spans="1:18" hidden="1" x14ac:dyDescent="0.3">
      <c r="A5878" s="9" t="s">
        <v>18124</v>
      </c>
      <c r="B5878" s="9" t="s">
        <v>11764</v>
      </c>
      <c r="C5878" s="11" t="s">
        <v>28</v>
      </c>
      <c r="D5878" s="9" t="s">
        <v>11765</v>
      </c>
      <c r="E5878" s="11" t="s">
        <v>28</v>
      </c>
      <c r="F5878" s="10" t="s">
        <v>28</v>
      </c>
      <c r="G5878" s="10">
        <v>1.04</v>
      </c>
      <c r="H5878" s="10" t="s">
        <v>28</v>
      </c>
      <c r="I5878" s="11" t="s">
        <v>28</v>
      </c>
      <c r="J5878" s="11" t="s">
        <v>28</v>
      </c>
      <c r="K5878" s="11" t="s">
        <v>28</v>
      </c>
      <c r="L5878" s="11" t="s">
        <v>28</v>
      </c>
      <c r="M5878" s="11" t="s">
        <v>28</v>
      </c>
      <c r="N5878" s="8">
        <v>44055</v>
      </c>
      <c r="O5878" s="9" t="s">
        <v>79</v>
      </c>
      <c r="P5878" s="12" t="s">
        <v>18125</v>
      </c>
      <c r="Q5878" s="9" t="s">
        <v>5628</v>
      </c>
      <c r="R5878" s="14" t="str">
        <f>HYPERLINK("https://my.pitchbook.com?c=156651-13T","View Company Online")</f>
        <v>View Company Online</v>
      </c>
    </row>
    <row r="5879" spans="1:18" hidden="1" x14ac:dyDescent="0.3">
      <c r="A5879" s="15" t="s">
        <v>18126</v>
      </c>
      <c r="B5879" s="15" t="s">
        <v>18127</v>
      </c>
      <c r="C5879" s="18" t="s">
        <v>28</v>
      </c>
      <c r="D5879" s="15" t="s">
        <v>18128</v>
      </c>
      <c r="E5879" s="18" t="s">
        <v>28</v>
      </c>
      <c r="F5879" s="19" t="s">
        <v>28</v>
      </c>
      <c r="G5879" s="19">
        <v>0.38</v>
      </c>
      <c r="H5879" s="19" t="s">
        <v>28</v>
      </c>
      <c r="I5879" s="18" t="s">
        <v>28</v>
      </c>
      <c r="J5879" s="18" t="s">
        <v>28</v>
      </c>
      <c r="K5879" s="18" t="s">
        <v>28</v>
      </c>
      <c r="L5879" s="18" t="s">
        <v>28</v>
      </c>
      <c r="M5879" s="18" t="s">
        <v>28</v>
      </c>
      <c r="N5879" s="17">
        <v>44055</v>
      </c>
      <c r="O5879" s="15" t="s">
        <v>52</v>
      </c>
      <c r="P5879" s="16" t="s">
        <v>18129</v>
      </c>
      <c r="Q5879" s="15" t="s">
        <v>37</v>
      </c>
      <c r="R5879" s="13" t="str">
        <f>HYPERLINK("https://my.pitchbook.com?c=146236-33T","View Company Online")</f>
        <v>View Company Online</v>
      </c>
    </row>
    <row r="5880" spans="1:18" hidden="1" x14ac:dyDescent="0.3">
      <c r="A5880" s="9" t="s">
        <v>18130</v>
      </c>
      <c r="B5880" s="9" t="s">
        <v>3710</v>
      </c>
      <c r="C5880" s="11" t="s">
        <v>28</v>
      </c>
      <c r="D5880" s="9" t="s">
        <v>3711</v>
      </c>
      <c r="E5880" s="11">
        <v>-1.43</v>
      </c>
      <c r="F5880" s="10" t="s">
        <v>28</v>
      </c>
      <c r="G5880" s="10">
        <v>13.3</v>
      </c>
      <c r="H5880" s="10" t="s">
        <v>28</v>
      </c>
      <c r="I5880" s="11">
        <v>-1.38</v>
      </c>
      <c r="J5880" s="11" t="s">
        <v>28</v>
      </c>
      <c r="K5880" s="11">
        <v>0</v>
      </c>
      <c r="L5880" s="11" t="s">
        <v>28</v>
      </c>
      <c r="M5880" s="11">
        <v>-1.89</v>
      </c>
      <c r="N5880" s="8">
        <v>44055</v>
      </c>
      <c r="O5880" s="9" t="s">
        <v>159</v>
      </c>
      <c r="P5880" s="12" t="s">
        <v>16369</v>
      </c>
      <c r="Q5880" s="9" t="s">
        <v>470</v>
      </c>
      <c r="R5880" s="14" t="str">
        <f>HYPERLINK("https://my.pitchbook.com?c=140816-71T","View Company Online")</f>
        <v>View Company Online</v>
      </c>
    </row>
    <row r="5881" spans="1:18" hidden="1" x14ac:dyDescent="0.3">
      <c r="A5881" s="15" t="s">
        <v>18131</v>
      </c>
      <c r="B5881" s="15" t="s">
        <v>11994</v>
      </c>
      <c r="C5881" s="18" t="s">
        <v>28</v>
      </c>
      <c r="D5881" s="15" t="s">
        <v>11995</v>
      </c>
      <c r="E5881" s="18" t="s">
        <v>28</v>
      </c>
      <c r="F5881" s="19" t="s">
        <v>28</v>
      </c>
      <c r="G5881" s="19">
        <v>5.68</v>
      </c>
      <c r="H5881" s="19" t="s">
        <v>28</v>
      </c>
      <c r="I5881" s="18" t="s">
        <v>28</v>
      </c>
      <c r="J5881" s="18" t="s">
        <v>28</v>
      </c>
      <c r="K5881" s="18" t="s">
        <v>28</v>
      </c>
      <c r="L5881" s="18" t="s">
        <v>28</v>
      </c>
      <c r="M5881" s="18" t="s">
        <v>28</v>
      </c>
      <c r="N5881" s="17">
        <v>44055</v>
      </c>
      <c r="O5881" s="15" t="s">
        <v>73</v>
      </c>
      <c r="P5881" s="16" t="s">
        <v>18132</v>
      </c>
      <c r="Q5881" s="15" t="s">
        <v>696</v>
      </c>
      <c r="R5881" s="13" t="str">
        <f>HYPERLINK("https://my.pitchbook.com?c=149077-90T","View Company Online")</f>
        <v>View Company Online</v>
      </c>
    </row>
    <row r="5882" spans="1:18" x14ac:dyDescent="0.3">
      <c r="A5882" s="9" t="s">
        <v>18133</v>
      </c>
      <c r="B5882" s="9" t="s">
        <v>10279</v>
      </c>
      <c r="C5882" s="11">
        <v>39.19</v>
      </c>
      <c r="D5882" s="9" t="s">
        <v>18134</v>
      </c>
      <c r="E5882" s="11">
        <v>-3.46</v>
      </c>
      <c r="F5882" s="10">
        <v>1066.76</v>
      </c>
      <c r="G5882" s="10">
        <v>1183.1500000000001</v>
      </c>
      <c r="H5882" s="10">
        <v>1183.1500000000001</v>
      </c>
      <c r="I5882" s="11">
        <v>27.22</v>
      </c>
      <c r="J5882" s="11">
        <v>43.46</v>
      </c>
      <c r="K5882" s="11">
        <v>187.84</v>
      </c>
      <c r="L5882" s="11">
        <v>6.3</v>
      </c>
      <c r="M5882" s="11">
        <v>0.66</v>
      </c>
      <c r="N5882" s="8">
        <v>44054</v>
      </c>
      <c r="O5882" s="9" t="s">
        <v>30</v>
      </c>
      <c r="P5882" s="12" t="s">
        <v>11193</v>
      </c>
      <c r="Q5882" s="9" t="s">
        <v>75</v>
      </c>
      <c r="R5882" s="14" t="str">
        <f>HYPERLINK("https://my.pitchbook.com?c=153796-06T","View Company Online")</f>
        <v>View Company Online</v>
      </c>
    </row>
    <row r="5883" spans="1:18" hidden="1" x14ac:dyDescent="0.3">
      <c r="A5883" s="15" t="s">
        <v>18135</v>
      </c>
      <c r="B5883" s="15" t="s">
        <v>626</v>
      </c>
      <c r="C5883" s="18" t="s">
        <v>28</v>
      </c>
      <c r="D5883" s="15" t="s">
        <v>627</v>
      </c>
      <c r="E5883" s="18" t="s">
        <v>28</v>
      </c>
      <c r="F5883" s="19" t="s">
        <v>28</v>
      </c>
      <c r="G5883" s="19" t="s">
        <v>28</v>
      </c>
      <c r="H5883" s="19" t="s">
        <v>28</v>
      </c>
      <c r="I5883" s="18" t="s">
        <v>28</v>
      </c>
      <c r="J5883" s="18" t="s">
        <v>28</v>
      </c>
      <c r="K5883" s="18" t="s">
        <v>28</v>
      </c>
      <c r="L5883" s="18" t="s">
        <v>28</v>
      </c>
      <c r="M5883" s="18" t="s">
        <v>28</v>
      </c>
      <c r="N5883" s="17">
        <v>44054</v>
      </c>
      <c r="O5883" s="15" t="s">
        <v>30</v>
      </c>
      <c r="P5883" s="16" t="s">
        <v>18136</v>
      </c>
      <c r="Q5883" s="15" t="s">
        <v>54</v>
      </c>
      <c r="R5883" s="13" t="str">
        <f>HYPERLINK("https://my.pitchbook.com?c=278499-16T","View Company Online")</f>
        <v>View Company Online</v>
      </c>
    </row>
    <row r="5884" spans="1:18" hidden="1" x14ac:dyDescent="0.3">
      <c r="A5884" s="9" t="s">
        <v>18137</v>
      </c>
      <c r="B5884" s="9" t="s">
        <v>18138</v>
      </c>
      <c r="C5884" s="11" t="s">
        <v>28</v>
      </c>
      <c r="D5884" s="9" t="s">
        <v>18139</v>
      </c>
      <c r="E5884" s="11" t="s">
        <v>28</v>
      </c>
      <c r="F5884" s="10" t="s">
        <v>28</v>
      </c>
      <c r="G5884" s="10" t="s">
        <v>28</v>
      </c>
      <c r="H5884" s="10" t="s">
        <v>28</v>
      </c>
      <c r="I5884" s="11" t="s">
        <v>28</v>
      </c>
      <c r="J5884" s="11" t="s">
        <v>28</v>
      </c>
      <c r="K5884" s="11" t="s">
        <v>28</v>
      </c>
      <c r="L5884" s="11" t="s">
        <v>28</v>
      </c>
      <c r="M5884" s="11" t="s">
        <v>28</v>
      </c>
      <c r="N5884" s="8">
        <v>44054</v>
      </c>
      <c r="O5884" s="9" t="s">
        <v>30</v>
      </c>
      <c r="P5884" s="12" t="s">
        <v>18140</v>
      </c>
      <c r="Q5884" s="9" t="s">
        <v>280</v>
      </c>
      <c r="R5884" s="14" t="str">
        <f>HYPERLINK("https://my.pitchbook.com?c=175619-26T","View Company Online")</f>
        <v>View Company Online</v>
      </c>
    </row>
    <row r="5885" spans="1:18" hidden="1" x14ac:dyDescent="0.3">
      <c r="A5885" s="15" t="s">
        <v>18141</v>
      </c>
      <c r="B5885" s="15" t="s">
        <v>18142</v>
      </c>
      <c r="C5885" s="18" t="s">
        <v>28</v>
      </c>
      <c r="D5885" s="15" t="s">
        <v>18143</v>
      </c>
      <c r="E5885" s="18">
        <v>26.25</v>
      </c>
      <c r="F5885" s="19" t="s">
        <v>28</v>
      </c>
      <c r="G5885" s="19">
        <v>422.89</v>
      </c>
      <c r="H5885" s="19">
        <v>3343.03</v>
      </c>
      <c r="I5885" s="18" t="s">
        <v>28</v>
      </c>
      <c r="J5885" s="18" t="s">
        <v>28</v>
      </c>
      <c r="K5885" s="18">
        <v>313.57</v>
      </c>
      <c r="L5885" s="18">
        <v>10.66</v>
      </c>
      <c r="M5885" s="18">
        <v>7.19</v>
      </c>
      <c r="N5885" s="17">
        <v>44053</v>
      </c>
      <c r="O5885" s="15" t="s">
        <v>173</v>
      </c>
      <c r="P5885" s="16" t="s">
        <v>28</v>
      </c>
      <c r="Q5885" s="15" t="s">
        <v>109</v>
      </c>
      <c r="R5885" s="13" t="str">
        <f>HYPERLINK("https://my.pitchbook.com?c=167120-83T","View Company Online")</f>
        <v>View Company Online</v>
      </c>
    </row>
    <row r="5886" spans="1:18" hidden="1" x14ac:dyDescent="0.3">
      <c r="A5886" s="9" t="s">
        <v>18144</v>
      </c>
      <c r="B5886" s="9" t="s">
        <v>18145</v>
      </c>
      <c r="C5886" s="11" t="s">
        <v>28</v>
      </c>
      <c r="D5886" s="9" t="s">
        <v>18146</v>
      </c>
      <c r="E5886" s="11" t="s">
        <v>28</v>
      </c>
      <c r="F5886" s="10" t="s">
        <v>28</v>
      </c>
      <c r="G5886" s="10" t="s">
        <v>28</v>
      </c>
      <c r="H5886" s="10" t="s">
        <v>28</v>
      </c>
      <c r="I5886" s="11" t="s">
        <v>28</v>
      </c>
      <c r="J5886" s="11" t="s">
        <v>28</v>
      </c>
      <c r="K5886" s="11" t="s">
        <v>28</v>
      </c>
      <c r="L5886" s="11" t="s">
        <v>28</v>
      </c>
      <c r="M5886" s="11" t="s">
        <v>28</v>
      </c>
      <c r="N5886" s="8">
        <v>44053</v>
      </c>
      <c r="O5886" s="9" t="s">
        <v>30</v>
      </c>
      <c r="P5886" s="12" t="s">
        <v>18147</v>
      </c>
      <c r="Q5886" s="9" t="s">
        <v>245</v>
      </c>
      <c r="R5886" s="14" t="str">
        <f>HYPERLINK("https://my.pitchbook.com?c=141089-23T","View Company Online")</f>
        <v>View Company Online</v>
      </c>
    </row>
    <row r="5887" spans="1:18" hidden="1" x14ac:dyDescent="0.3">
      <c r="A5887" s="15" t="s">
        <v>18148</v>
      </c>
      <c r="B5887" s="15" t="s">
        <v>18149</v>
      </c>
      <c r="C5887" s="18" t="s">
        <v>28</v>
      </c>
      <c r="D5887" s="15" t="s">
        <v>18150</v>
      </c>
      <c r="E5887" s="18" t="s">
        <v>28</v>
      </c>
      <c r="F5887" s="19" t="s">
        <v>28</v>
      </c>
      <c r="G5887" s="19" t="s">
        <v>28</v>
      </c>
      <c r="H5887" s="19" t="s">
        <v>28</v>
      </c>
      <c r="I5887" s="18" t="s">
        <v>28</v>
      </c>
      <c r="J5887" s="18" t="s">
        <v>28</v>
      </c>
      <c r="K5887" s="18" t="s">
        <v>28</v>
      </c>
      <c r="L5887" s="18" t="s">
        <v>28</v>
      </c>
      <c r="M5887" s="18" t="s">
        <v>28</v>
      </c>
      <c r="N5887" s="17">
        <v>44053</v>
      </c>
      <c r="O5887" s="15" t="s">
        <v>41</v>
      </c>
      <c r="P5887" s="16" t="s">
        <v>16153</v>
      </c>
      <c r="Q5887" s="15" t="s">
        <v>290</v>
      </c>
      <c r="R5887" s="13" t="str">
        <f>HYPERLINK("https://my.pitchbook.com?c=192974-32T","View Company Online")</f>
        <v>View Company Online</v>
      </c>
    </row>
    <row r="5888" spans="1:18" hidden="1" x14ac:dyDescent="0.3">
      <c r="A5888" s="9" t="s">
        <v>18151</v>
      </c>
      <c r="B5888" s="9" t="s">
        <v>18152</v>
      </c>
      <c r="C5888" s="11" t="s">
        <v>28</v>
      </c>
      <c r="D5888" s="9" t="s">
        <v>18153</v>
      </c>
      <c r="E5888" s="11" t="s">
        <v>28</v>
      </c>
      <c r="F5888" s="10" t="s">
        <v>28</v>
      </c>
      <c r="G5888" s="10" t="s">
        <v>28</v>
      </c>
      <c r="H5888" s="10" t="s">
        <v>28</v>
      </c>
      <c r="I5888" s="11" t="s">
        <v>28</v>
      </c>
      <c r="J5888" s="11" t="s">
        <v>28</v>
      </c>
      <c r="K5888" s="11" t="s">
        <v>28</v>
      </c>
      <c r="L5888" s="11" t="s">
        <v>28</v>
      </c>
      <c r="M5888" s="11" t="s">
        <v>28</v>
      </c>
      <c r="N5888" s="8">
        <v>44053</v>
      </c>
      <c r="O5888" s="9" t="s">
        <v>30</v>
      </c>
      <c r="P5888" s="12" t="s">
        <v>18154</v>
      </c>
      <c r="Q5888" s="9" t="s">
        <v>95</v>
      </c>
      <c r="R5888" s="14" t="str">
        <f>HYPERLINK("https://my.pitchbook.com?c=141396-76T","View Company Online")</f>
        <v>View Company Online</v>
      </c>
    </row>
    <row r="5889" spans="1:18" hidden="1" x14ac:dyDescent="0.3">
      <c r="A5889" s="15" t="s">
        <v>18155</v>
      </c>
      <c r="B5889" s="15" t="s">
        <v>18156</v>
      </c>
      <c r="C5889" s="18" t="s">
        <v>28</v>
      </c>
      <c r="D5889" s="15" t="s">
        <v>18157</v>
      </c>
      <c r="E5889" s="18" t="s">
        <v>28</v>
      </c>
      <c r="F5889" s="19" t="s">
        <v>28</v>
      </c>
      <c r="G5889" s="19" t="s">
        <v>28</v>
      </c>
      <c r="H5889" s="19" t="s">
        <v>28</v>
      </c>
      <c r="I5889" s="18" t="s">
        <v>28</v>
      </c>
      <c r="J5889" s="18" t="s">
        <v>28</v>
      </c>
      <c r="K5889" s="18" t="s">
        <v>28</v>
      </c>
      <c r="L5889" s="18" t="s">
        <v>28</v>
      </c>
      <c r="M5889" s="18" t="s">
        <v>28</v>
      </c>
      <c r="N5889" s="17">
        <v>44053</v>
      </c>
      <c r="O5889" s="15" t="s">
        <v>30</v>
      </c>
      <c r="P5889" s="16" t="s">
        <v>18158</v>
      </c>
      <c r="Q5889" s="15" t="s">
        <v>169</v>
      </c>
      <c r="R5889" s="13" t="str">
        <f>HYPERLINK("https://my.pitchbook.com?c=166162-33T","View Company Online")</f>
        <v>View Company Online</v>
      </c>
    </row>
    <row r="5890" spans="1:18" hidden="1" x14ac:dyDescent="0.3">
      <c r="A5890" s="9" t="s">
        <v>18159</v>
      </c>
      <c r="B5890" s="9" t="s">
        <v>18160</v>
      </c>
      <c r="C5890" s="11" t="s">
        <v>28</v>
      </c>
      <c r="D5890" s="9" t="s">
        <v>18161</v>
      </c>
      <c r="E5890" s="11" t="s">
        <v>28</v>
      </c>
      <c r="F5890" s="10" t="s">
        <v>28</v>
      </c>
      <c r="G5890" s="10" t="s">
        <v>28</v>
      </c>
      <c r="H5890" s="10" t="s">
        <v>28</v>
      </c>
      <c r="I5890" s="11" t="s">
        <v>28</v>
      </c>
      <c r="J5890" s="11" t="s">
        <v>28</v>
      </c>
      <c r="K5890" s="11" t="s">
        <v>28</v>
      </c>
      <c r="L5890" s="11" t="s">
        <v>28</v>
      </c>
      <c r="M5890" s="11" t="s">
        <v>28</v>
      </c>
      <c r="N5890" s="8">
        <v>44053</v>
      </c>
      <c r="O5890" s="9" t="s">
        <v>30</v>
      </c>
      <c r="P5890" s="12" t="s">
        <v>18162</v>
      </c>
      <c r="Q5890" s="9" t="s">
        <v>290</v>
      </c>
      <c r="R5890" s="14" t="str">
        <f>HYPERLINK("https://my.pitchbook.com?c=175575-61T","View Company Online")</f>
        <v>View Company Online</v>
      </c>
    </row>
    <row r="5891" spans="1:18" hidden="1" x14ac:dyDescent="0.3">
      <c r="A5891" s="15" t="s">
        <v>18163</v>
      </c>
      <c r="B5891" s="15" t="s">
        <v>18164</v>
      </c>
      <c r="C5891" s="18" t="s">
        <v>28</v>
      </c>
      <c r="D5891" s="15" t="s">
        <v>18165</v>
      </c>
      <c r="E5891" s="18" t="s">
        <v>28</v>
      </c>
      <c r="F5891" s="19" t="s">
        <v>28</v>
      </c>
      <c r="G5891" s="19" t="s">
        <v>28</v>
      </c>
      <c r="H5891" s="19" t="s">
        <v>28</v>
      </c>
      <c r="I5891" s="18" t="s">
        <v>28</v>
      </c>
      <c r="J5891" s="18" t="s">
        <v>28</v>
      </c>
      <c r="K5891" s="18" t="s">
        <v>28</v>
      </c>
      <c r="L5891" s="18" t="s">
        <v>28</v>
      </c>
      <c r="M5891" s="18" t="s">
        <v>28</v>
      </c>
      <c r="N5891" s="17">
        <v>44050</v>
      </c>
      <c r="O5891" s="15" t="s">
        <v>99</v>
      </c>
      <c r="P5891" s="16" t="s">
        <v>18166</v>
      </c>
      <c r="Q5891" s="15" t="s">
        <v>386</v>
      </c>
      <c r="R5891" s="13" t="str">
        <f>HYPERLINK("https://my.pitchbook.com?c=146260-90T","View Company Online")</f>
        <v>View Company Online</v>
      </c>
    </row>
    <row r="5892" spans="1:18" hidden="1" x14ac:dyDescent="0.3">
      <c r="A5892" s="9" t="s">
        <v>18167</v>
      </c>
      <c r="B5892" s="9" t="s">
        <v>7251</v>
      </c>
      <c r="C5892" s="11" t="s">
        <v>28</v>
      </c>
      <c r="D5892" s="9" t="s">
        <v>7252</v>
      </c>
      <c r="E5892" s="11" t="s">
        <v>28</v>
      </c>
      <c r="F5892" s="10" t="s">
        <v>28</v>
      </c>
      <c r="G5892" s="10" t="s">
        <v>28</v>
      </c>
      <c r="H5892" s="10" t="s">
        <v>28</v>
      </c>
      <c r="I5892" s="11" t="s">
        <v>28</v>
      </c>
      <c r="J5892" s="11" t="s">
        <v>28</v>
      </c>
      <c r="K5892" s="11" t="s">
        <v>28</v>
      </c>
      <c r="L5892" s="11" t="s">
        <v>28</v>
      </c>
      <c r="M5892" s="11" t="s">
        <v>28</v>
      </c>
      <c r="N5892" s="8">
        <v>44050</v>
      </c>
      <c r="O5892" s="9" t="s">
        <v>30</v>
      </c>
      <c r="P5892" s="12" t="s">
        <v>9649</v>
      </c>
      <c r="Q5892" s="9" t="s">
        <v>1213</v>
      </c>
      <c r="R5892" s="14" t="str">
        <f>HYPERLINK("https://my.pitchbook.com?c=141079-60T","View Company Online")</f>
        <v>View Company Online</v>
      </c>
    </row>
    <row r="5893" spans="1:18" hidden="1" x14ac:dyDescent="0.3">
      <c r="A5893" s="15" t="s">
        <v>18168</v>
      </c>
      <c r="B5893" s="15" t="s">
        <v>5142</v>
      </c>
      <c r="C5893" s="18" t="s">
        <v>28</v>
      </c>
      <c r="D5893" s="15" t="s">
        <v>5143</v>
      </c>
      <c r="E5893" s="18" t="s">
        <v>28</v>
      </c>
      <c r="F5893" s="19" t="s">
        <v>28</v>
      </c>
      <c r="G5893" s="19" t="s">
        <v>28</v>
      </c>
      <c r="H5893" s="19" t="s">
        <v>28</v>
      </c>
      <c r="I5893" s="18" t="s">
        <v>28</v>
      </c>
      <c r="J5893" s="18" t="s">
        <v>28</v>
      </c>
      <c r="K5893" s="18" t="s">
        <v>28</v>
      </c>
      <c r="L5893" s="18" t="s">
        <v>28</v>
      </c>
      <c r="M5893" s="18" t="s">
        <v>28</v>
      </c>
      <c r="N5893" s="17">
        <v>44050</v>
      </c>
      <c r="O5893" s="15" t="s">
        <v>52</v>
      </c>
      <c r="P5893" s="16" t="s">
        <v>17549</v>
      </c>
      <c r="Q5893" s="15" t="s">
        <v>583</v>
      </c>
      <c r="R5893" s="13" t="str">
        <f>HYPERLINK("https://my.pitchbook.com?c=284354-11T","View Company Online")</f>
        <v>View Company Online</v>
      </c>
    </row>
    <row r="5894" spans="1:18" hidden="1" x14ac:dyDescent="0.3">
      <c r="A5894" s="9" t="s">
        <v>18169</v>
      </c>
      <c r="B5894" s="9" t="s">
        <v>18170</v>
      </c>
      <c r="C5894" s="11" t="s">
        <v>28</v>
      </c>
      <c r="D5894" s="9" t="s">
        <v>18171</v>
      </c>
      <c r="E5894" s="11" t="s">
        <v>28</v>
      </c>
      <c r="F5894" s="10">
        <v>18.97</v>
      </c>
      <c r="G5894" s="10">
        <v>18.97</v>
      </c>
      <c r="H5894" s="10">
        <v>18.97</v>
      </c>
      <c r="I5894" s="11" t="s">
        <v>28</v>
      </c>
      <c r="J5894" s="11" t="s">
        <v>28</v>
      </c>
      <c r="K5894" s="11" t="s">
        <v>28</v>
      </c>
      <c r="L5894" s="11" t="s">
        <v>28</v>
      </c>
      <c r="M5894" s="11" t="s">
        <v>28</v>
      </c>
      <c r="N5894" s="8">
        <v>44049</v>
      </c>
      <c r="O5894" s="9" t="s">
        <v>30</v>
      </c>
      <c r="P5894" s="12" t="s">
        <v>421</v>
      </c>
      <c r="Q5894" s="9" t="s">
        <v>95</v>
      </c>
      <c r="R5894" s="14" t="str">
        <f>HYPERLINK("https://my.pitchbook.com?c=220365-73T","View Company Online")</f>
        <v>View Company Online</v>
      </c>
    </row>
    <row r="5895" spans="1:18" hidden="1" x14ac:dyDescent="0.3">
      <c r="A5895" s="15" t="s">
        <v>18172</v>
      </c>
      <c r="B5895" s="15" t="s">
        <v>14447</v>
      </c>
      <c r="C5895" s="18" t="s">
        <v>28</v>
      </c>
      <c r="D5895" s="15" t="s">
        <v>14448</v>
      </c>
      <c r="E5895" s="18" t="s">
        <v>28</v>
      </c>
      <c r="F5895" s="19" t="s">
        <v>28</v>
      </c>
      <c r="G5895" s="19" t="s">
        <v>28</v>
      </c>
      <c r="H5895" s="19" t="s">
        <v>28</v>
      </c>
      <c r="I5895" s="18" t="s">
        <v>28</v>
      </c>
      <c r="J5895" s="18" t="s">
        <v>28</v>
      </c>
      <c r="K5895" s="18" t="s">
        <v>28</v>
      </c>
      <c r="L5895" s="18" t="s">
        <v>28</v>
      </c>
      <c r="M5895" s="18" t="s">
        <v>28</v>
      </c>
      <c r="N5895" s="17">
        <v>44049</v>
      </c>
      <c r="O5895" s="15" t="s">
        <v>73</v>
      </c>
      <c r="P5895" s="16" t="s">
        <v>13140</v>
      </c>
      <c r="Q5895" s="15" t="s">
        <v>75</v>
      </c>
      <c r="R5895" s="13" t="str">
        <f>HYPERLINK("https://my.pitchbook.com?c=165155-68T","View Company Online")</f>
        <v>View Company Online</v>
      </c>
    </row>
    <row r="5896" spans="1:18" hidden="1" x14ac:dyDescent="0.3">
      <c r="A5896" s="9" t="s">
        <v>18173</v>
      </c>
      <c r="B5896" s="9" t="s">
        <v>18174</v>
      </c>
      <c r="C5896" s="11" t="s">
        <v>28</v>
      </c>
      <c r="D5896" s="9" t="s">
        <v>18175</v>
      </c>
      <c r="E5896" s="11" t="s">
        <v>28</v>
      </c>
      <c r="F5896" s="10" t="s">
        <v>28</v>
      </c>
      <c r="G5896" s="10" t="s">
        <v>28</v>
      </c>
      <c r="H5896" s="10" t="s">
        <v>28</v>
      </c>
      <c r="I5896" s="11" t="s">
        <v>28</v>
      </c>
      <c r="J5896" s="11" t="s">
        <v>28</v>
      </c>
      <c r="K5896" s="11" t="s">
        <v>28</v>
      </c>
      <c r="L5896" s="11" t="s">
        <v>28</v>
      </c>
      <c r="M5896" s="11" t="s">
        <v>28</v>
      </c>
      <c r="N5896" s="8">
        <v>44049</v>
      </c>
      <c r="O5896" s="9" t="s">
        <v>58</v>
      </c>
      <c r="P5896" s="12" t="s">
        <v>18176</v>
      </c>
      <c r="Q5896" s="9" t="s">
        <v>880</v>
      </c>
      <c r="R5896" s="14" t="str">
        <f>HYPERLINK("https://my.pitchbook.com?c=140955-13T","View Company Online")</f>
        <v>View Company Online</v>
      </c>
    </row>
    <row r="5897" spans="1:18" hidden="1" x14ac:dyDescent="0.3">
      <c r="A5897" s="15" t="s">
        <v>18177</v>
      </c>
      <c r="B5897" s="15" t="s">
        <v>18178</v>
      </c>
      <c r="C5897" s="18" t="s">
        <v>28</v>
      </c>
      <c r="D5897" s="15" t="s">
        <v>18179</v>
      </c>
      <c r="E5897" s="18" t="s">
        <v>28</v>
      </c>
      <c r="F5897" s="19" t="s">
        <v>28</v>
      </c>
      <c r="G5897" s="19" t="s">
        <v>28</v>
      </c>
      <c r="H5897" s="19" t="s">
        <v>28</v>
      </c>
      <c r="I5897" s="18" t="s">
        <v>28</v>
      </c>
      <c r="J5897" s="18" t="s">
        <v>28</v>
      </c>
      <c r="K5897" s="18" t="s">
        <v>28</v>
      </c>
      <c r="L5897" s="18" t="s">
        <v>28</v>
      </c>
      <c r="M5897" s="18" t="s">
        <v>28</v>
      </c>
      <c r="N5897" s="17">
        <v>44049</v>
      </c>
      <c r="O5897" s="15" t="s">
        <v>73</v>
      </c>
      <c r="P5897" s="16" t="s">
        <v>28</v>
      </c>
      <c r="Q5897" s="15" t="s">
        <v>583</v>
      </c>
      <c r="R5897" s="13" t="str">
        <f>HYPERLINK("https://my.pitchbook.com?c=202474-18T","View Company Online")</f>
        <v>View Company Online</v>
      </c>
    </row>
    <row r="5898" spans="1:18" hidden="1" x14ac:dyDescent="0.3">
      <c r="A5898" s="9" t="s">
        <v>18180</v>
      </c>
      <c r="B5898" s="9" t="s">
        <v>5171</v>
      </c>
      <c r="C5898" s="11" t="s">
        <v>28</v>
      </c>
      <c r="D5898" s="9" t="s">
        <v>5172</v>
      </c>
      <c r="E5898" s="11" t="s">
        <v>28</v>
      </c>
      <c r="F5898" s="10" t="s">
        <v>28</v>
      </c>
      <c r="G5898" s="10">
        <v>0.19</v>
      </c>
      <c r="H5898" s="10" t="s">
        <v>28</v>
      </c>
      <c r="I5898" s="11" t="s">
        <v>28</v>
      </c>
      <c r="J5898" s="11" t="s">
        <v>28</v>
      </c>
      <c r="K5898" s="11">
        <v>2.91</v>
      </c>
      <c r="L5898" s="11" t="s">
        <v>28</v>
      </c>
      <c r="M5898" s="11" t="s">
        <v>28</v>
      </c>
      <c r="N5898" s="8">
        <v>44049</v>
      </c>
      <c r="O5898" s="9" t="s">
        <v>52</v>
      </c>
      <c r="P5898" s="12" t="s">
        <v>14384</v>
      </c>
      <c r="Q5898" s="9" t="s">
        <v>37</v>
      </c>
      <c r="R5898" s="14" t="str">
        <f>HYPERLINK("https://my.pitchbook.com?c=264024-46T","View Company Online")</f>
        <v>View Company Online</v>
      </c>
    </row>
    <row r="5899" spans="1:18" hidden="1" x14ac:dyDescent="0.3">
      <c r="A5899" s="15" t="s">
        <v>18181</v>
      </c>
      <c r="B5899" s="15" t="s">
        <v>7308</v>
      </c>
      <c r="C5899" s="18" t="s">
        <v>28</v>
      </c>
      <c r="D5899" s="15" t="s">
        <v>9211</v>
      </c>
      <c r="E5899" s="18" t="s">
        <v>28</v>
      </c>
      <c r="F5899" s="19" t="s">
        <v>28</v>
      </c>
      <c r="G5899" s="19">
        <v>0.19</v>
      </c>
      <c r="H5899" s="19" t="s">
        <v>28</v>
      </c>
      <c r="I5899" s="18" t="s">
        <v>28</v>
      </c>
      <c r="J5899" s="18" t="s">
        <v>28</v>
      </c>
      <c r="K5899" s="18" t="s">
        <v>28</v>
      </c>
      <c r="L5899" s="18" t="s">
        <v>28</v>
      </c>
      <c r="M5899" s="18" t="s">
        <v>28</v>
      </c>
      <c r="N5899" s="17">
        <v>44049</v>
      </c>
      <c r="O5899" s="15" t="s">
        <v>99</v>
      </c>
      <c r="P5899" s="16" t="s">
        <v>17220</v>
      </c>
      <c r="Q5899" s="15" t="s">
        <v>240</v>
      </c>
      <c r="R5899" s="13" t="str">
        <f>HYPERLINK("https://my.pitchbook.com?c=168060-34T","View Company Online")</f>
        <v>View Company Online</v>
      </c>
    </row>
    <row r="5900" spans="1:18" hidden="1" x14ac:dyDescent="0.3">
      <c r="A5900" s="9" t="s">
        <v>18182</v>
      </c>
      <c r="B5900" s="9" t="s">
        <v>18183</v>
      </c>
      <c r="C5900" s="11" t="s">
        <v>28</v>
      </c>
      <c r="D5900" s="9" t="s">
        <v>18184</v>
      </c>
      <c r="E5900" s="11" t="s">
        <v>28</v>
      </c>
      <c r="F5900" s="10">
        <v>7.21</v>
      </c>
      <c r="G5900" s="10">
        <v>7.21</v>
      </c>
      <c r="H5900" s="10">
        <v>7.21</v>
      </c>
      <c r="I5900" s="11" t="s">
        <v>28</v>
      </c>
      <c r="J5900" s="11" t="s">
        <v>28</v>
      </c>
      <c r="K5900" s="11" t="s">
        <v>28</v>
      </c>
      <c r="L5900" s="11" t="s">
        <v>28</v>
      </c>
      <c r="M5900" s="11" t="s">
        <v>28</v>
      </c>
      <c r="N5900" s="8">
        <v>44049</v>
      </c>
      <c r="O5900" s="9" t="s">
        <v>30</v>
      </c>
      <c r="P5900" s="12" t="s">
        <v>3609</v>
      </c>
      <c r="Q5900" s="9" t="s">
        <v>285</v>
      </c>
      <c r="R5900" s="14" t="str">
        <f>HYPERLINK("https://my.pitchbook.com?c=211730-05T","View Company Online")</f>
        <v>View Company Online</v>
      </c>
    </row>
    <row r="5901" spans="1:18" hidden="1" x14ac:dyDescent="0.3">
      <c r="A5901" s="15" t="s">
        <v>18185</v>
      </c>
      <c r="B5901" s="15" t="s">
        <v>18186</v>
      </c>
      <c r="C5901" s="18" t="s">
        <v>28</v>
      </c>
      <c r="D5901" s="15" t="s">
        <v>18187</v>
      </c>
      <c r="E5901" s="18" t="s">
        <v>28</v>
      </c>
      <c r="F5901" s="19" t="s">
        <v>28</v>
      </c>
      <c r="G5901" s="19" t="s">
        <v>28</v>
      </c>
      <c r="H5901" s="19" t="s">
        <v>28</v>
      </c>
      <c r="I5901" s="18" t="s">
        <v>28</v>
      </c>
      <c r="J5901" s="18" t="s">
        <v>28</v>
      </c>
      <c r="K5901" s="18" t="s">
        <v>28</v>
      </c>
      <c r="L5901" s="18" t="s">
        <v>28</v>
      </c>
      <c r="M5901" s="18" t="s">
        <v>28</v>
      </c>
      <c r="N5901" s="17">
        <v>44048</v>
      </c>
      <c r="O5901" s="15" t="s">
        <v>58</v>
      </c>
      <c r="P5901" s="16" t="s">
        <v>18188</v>
      </c>
      <c r="Q5901" s="15" t="s">
        <v>226</v>
      </c>
      <c r="R5901" s="13" t="str">
        <f>HYPERLINK("https://my.pitchbook.com?c=140902-30T","View Company Online")</f>
        <v>View Company Online</v>
      </c>
    </row>
    <row r="5902" spans="1:18" hidden="1" x14ac:dyDescent="0.3">
      <c r="A5902" s="9" t="s">
        <v>18189</v>
      </c>
      <c r="B5902" s="9" t="s">
        <v>145</v>
      </c>
      <c r="C5902" s="11" t="s">
        <v>28</v>
      </c>
      <c r="D5902" s="9" t="s">
        <v>146</v>
      </c>
      <c r="E5902" s="11" t="s">
        <v>28</v>
      </c>
      <c r="F5902" s="10" t="s">
        <v>28</v>
      </c>
      <c r="G5902" s="10">
        <v>2.46</v>
      </c>
      <c r="H5902" s="10" t="s">
        <v>28</v>
      </c>
      <c r="I5902" s="11" t="s">
        <v>28</v>
      </c>
      <c r="J5902" s="11" t="s">
        <v>28</v>
      </c>
      <c r="K5902" s="11" t="s">
        <v>28</v>
      </c>
      <c r="L5902" s="11" t="s">
        <v>28</v>
      </c>
      <c r="M5902" s="11" t="s">
        <v>28</v>
      </c>
      <c r="N5902" s="8">
        <v>44048</v>
      </c>
      <c r="O5902" s="9" t="s">
        <v>99</v>
      </c>
      <c r="P5902" s="12" t="s">
        <v>18190</v>
      </c>
      <c r="Q5902" s="9" t="s">
        <v>75</v>
      </c>
      <c r="R5902" s="14" t="str">
        <f>HYPERLINK("https://my.pitchbook.com?c=141036-22T","View Company Online")</f>
        <v>View Company Online</v>
      </c>
    </row>
    <row r="5903" spans="1:18" hidden="1" x14ac:dyDescent="0.3">
      <c r="A5903" s="15" t="s">
        <v>18191</v>
      </c>
      <c r="B5903" s="15" t="s">
        <v>11703</v>
      </c>
      <c r="C5903" s="18" t="s">
        <v>28</v>
      </c>
      <c r="D5903" s="15" t="s">
        <v>11704</v>
      </c>
      <c r="E5903" s="18" t="s">
        <v>28</v>
      </c>
      <c r="F5903" s="19" t="s">
        <v>28</v>
      </c>
      <c r="G5903" s="19" t="s">
        <v>28</v>
      </c>
      <c r="H5903" s="19" t="s">
        <v>28</v>
      </c>
      <c r="I5903" s="18" t="s">
        <v>28</v>
      </c>
      <c r="J5903" s="18" t="s">
        <v>28</v>
      </c>
      <c r="K5903" s="18" t="s">
        <v>28</v>
      </c>
      <c r="L5903" s="18" t="s">
        <v>28</v>
      </c>
      <c r="M5903" s="18" t="s">
        <v>28</v>
      </c>
      <c r="N5903" s="17">
        <v>44048</v>
      </c>
      <c r="O5903" s="15" t="s">
        <v>73</v>
      </c>
      <c r="P5903" s="16" t="s">
        <v>18192</v>
      </c>
      <c r="Q5903" s="15" t="s">
        <v>75</v>
      </c>
      <c r="R5903" s="13" t="str">
        <f>HYPERLINK("https://my.pitchbook.com?c=177016-06T","View Company Online")</f>
        <v>View Company Online</v>
      </c>
    </row>
    <row r="5904" spans="1:18" hidden="1" x14ac:dyDescent="0.3">
      <c r="A5904" s="9" t="s">
        <v>18193</v>
      </c>
      <c r="B5904" s="9" t="s">
        <v>11477</v>
      </c>
      <c r="C5904" s="11" t="s">
        <v>28</v>
      </c>
      <c r="D5904" s="9" t="s">
        <v>11478</v>
      </c>
      <c r="E5904" s="11" t="s">
        <v>28</v>
      </c>
      <c r="F5904" s="10" t="s">
        <v>28</v>
      </c>
      <c r="G5904" s="10">
        <v>0.19</v>
      </c>
      <c r="H5904" s="10">
        <v>3.79</v>
      </c>
      <c r="I5904" s="11" t="s">
        <v>28</v>
      </c>
      <c r="J5904" s="11" t="s">
        <v>28</v>
      </c>
      <c r="K5904" s="11" t="s">
        <v>28</v>
      </c>
      <c r="L5904" s="11" t="s">
        <v>28</v>
      </c>
      <c r="M5904" s="11" t="s">
        <v>28</v>
      </c>
      <c r="N5904" s="8">
        <v>44048</v>
      </c>
      <c r="O5904" s="9" t="s">
        <v>1639</v>
      </c>
      <c r="P5904" s="12" t="s">
        <v>28</v>
      </c>
      <c r="Q5904" s="9" t="s">
        <v>855</v>
      </c>
      <c r="R5904" s="14" t="str">
        <f>HYPERLINK("https://my.pitchbook.com?c=200826-91T","View Company Online")</f>
        <v>View Company Online</v>
      </c>
    </row>
    <row r="5905" spans="1:18" hidden="1" x14ac:dyDescent="0.3">
      <c r="A5905" s="15" t="s">
        <v>18194</v>
      </c>
      <c r="B5905" s="15" t="s">
        <v>18195</v>
      </c>
      <c r="C5905" s="18" t="s">
        <v>28</v>
      </c>
      <c r="D5905" s="15" t="s">
        <v>18196</v>
      </c>
      <c r="E5905" s="18" t="s">
        <v>28</v>
      </c>
      <c r="F5905" s="19" t="s">
        <v>28</v>
      </c>
      <c r="G5905" s="19" t="s">
        <v>28</v>
      </c>
      <c r="H5905" s="19" t="s">
        <v>28</v>
      </c>
      <c r="I5905" s="18" t="s">
        <v>28</v>
      </c>
      <c r="J5905" s="18" t="s">
        <v>28</v>
      </c>
      <c r="K5905" s="18" t="s">
        <v>28</v>
      </c>
      <c r="L5905" s="18" t="s">
        <v>28</v>
      </c>
      <c r="M5905" s="18" t="s">
        <v>28</v>
      </c>
      <c r="N5905" s="17">
        <v>44048</v>
      </c>
      <c r="O5905" s="15" t="s">
        <v>173</v>
      </c>
      <c r="P5905" s="16" t="s">
        <v>28</v>
      </c>
      <c r="Q5905" s="15" t="s">
        <v>174</v>
      </c>
      <c r="R5905" s="13" t="str">
        <f>HYPERLINK("https://my.pitchbook.com?c=251577-37T","View Company Online")</f>
        <v>View Company Online</v>
      </c>
    </row>
    <row r="5906" spans="1:18" hidden="1" x14ac:dyDescent="0.3">
      <c r="A5906" s="9" t="s">
        <v>18197</v>
      </c>
      <c r="B5906" s="9" t="s">
        <v>3380</v>
      </c>
      <c r="C5906" s="11" t="s">
        <v>28</v>
      </c>
      <c r="D5906" s="9" t="s">
        <v>3381</v>
      </c>
      <c r="E5906" s="11" t="s">
        <v>28</v>
      </c>
      <c r="F5906" s="10" t="s">
        <v>28</v>
      </c>
      <c r="G5906" s="10" t="s">
        <v>28</v>
      </c>
      <c r="H5906" s="10" t="s">
        <v>28</v>
      </c>
      <c r="I5906" s="11" t="s">
        <v>28</v>
      </c>
      <c r="J5906" s="11" t="s">
        <v>28</v>
      </c>
      <c r="K5906" s="11" t="s">
        <v>28</v>
      </c>
      <c r="L5906" s="11" t="s">
        <v>28</v>
      </c>
      <c r="M5906" s="11" t="s">
        <v>28</v>
      </c>
      <c r="N5906" s="8">
        <v>44047</v>
      </c>
      <c r="O5906" s="9" t="s">
        <v>52</v>
      </c>
      <c r="P5906" s="12" t="s">
        <v>2830</v>
      </c>
      <c r="Q5906" s="9" t="s">
        <v>75</v>
      </c>
      <c r="R5906" s="14" t="str">
        <f>HYPERLINK("https://my.pitchbook.com?c=264290-86T","View Company Online")</f>
        <v>View Company Online</v>
      </c>
    </row>
    <row r="5907" spans="1:18" hidden="1" x14ac:dyDescent="0.3">
      <c r="A5907" s="15" t="s">
        <v>18198</v>
      </c>
      <c r="B5907" s="15" t="s">
        <v>149</v>
      </c>
      <c r="C5907" s="18" t="s">
        <v>28</v>
      </c>
      <c r="D5907" s="15" t="s">
        <v>150</v>
      </c>
      <c r="E5907" s="18" t="s">
        <v>28</v>
      </c>
      <c r="F5907" s="19" t="s">
        <v>28</v>
      </c>
      <c r="G5907" s="19">
        <v>12.83</v>
      </c>
      <c r="H5907" s="19" t="s">
        <v>28</v>
      </c>
      <c r="I5907" s="18" t="s">
        <v>28</v>
      </c>
      <c r="J5907" s="18" t="s">
        <v>28</v>
      </c>
      <c r="K5907" s="18">
        <v>2.33</v>
      </c>
      <c r="L5907" s="18" t="s">
        <v>28</v>
      </c>
      <c r="M5907" s="18" t="s">
        <v>28</v>
      </c>
      <c r="N5907" s="17">
        <v>44047</v>
      </c>
      <c r="O5907" s="15" t="s">
        <v>79</v>
      </c>
      <c r="P5907" s="16" t="s">
        <v>18199</v>
      </c>
      <c r="Q5907" s="15" t="s">
        <v>114</v>
      </c>
      <c r="R5907" s="13" t="str">
        <f>HYPERLINK("https://my.pitchbook.com?c=155829-07T","View Company Online")</f>
        <v>View Company Online</v>
      </c>
    </row>
    <row r="5908" spans="1:18" hidden="1" x14ac:dyDescent="0.3">
      <c r="A5908" s="9" t="s">
        <v>18200</v>
      </c>
      <c r="B5908" s="9" t="s">
        <v>18201</v>
      </c>
      <c r="C5908" s="11" t="s">
        <v>28</v>
      </c>
      <c r="D5908" s="9" t="s">
        <v>18202</v>
      </c>
      <c r="E5908" s="11" t="s">
        <v>28</v>
      </c>
      <c r="F5908" s="10">
        <v>25.87</v>
      </c>
      <c r="G5908" s="10">
        <v>23.93</v>
      </c>
      <c r="H5908" s="10">
        <v>25.87</v>
      </c>
      <c r="I5908" s="11" t="s">
        <v>28</v>
      </c>
      <c r="J5908" s="11" t="s">
        <v>28</v>
      </c>
      <c r="K5908" s="11" t="s">
        <v>28</v>
      </c>
      <c r="L5908" s="11" t="s">
        <v>28</v>
      </c>
      <c r="M5908" s="11" t="s">
        <v>28</v>
      </c>
      <c r="N5908" s="8">
        <v>44047</v>
      </c>
      <c r="O5908" s="9" t="s">
        <v>41</v>
      </c>
      <c r="P5908" s="12" t="s">
        <v>18203</v>
      </c>
      <c r="Q5908" s="9" t="s">
        <v>880</v>
      </c>
      <c r="R5908" s="14" t="str">
        <f>HYPERLINK("https://my.pitchbook.com?c=140769-64T","View Company Online")</f>
        <v>View Company Online</v>
      </c>
    </row>
    <row r="5909" spans="1:18" hidden="1" x14ac:dyDescent="0.3">
      <c r="A5909" s="15" t="s">
        <v>18204</v>
      </c>
      <c r="B5909" s="15" t="s">
        <v>10540</v>
      </c>
      <c r="C5909" s="18" t="s">
        <v>28</v>
      </c>
      <c r="D5909" s="15" t="s">
        <v>10541</v>
      </c>
      <c r="E5909" s="18" t="s">
        <v>28</v>
      </c>
      <c r="F5909" s="19" t="s">
        <v>28</v>
      </c>
      <c r="G5909" s="19" t="s">
        <v>28</v>
      </c>
      <c r="H5909" s="19" t="s">
        <v>28</v>
      </c>
      <c r="I5909" s="18" t="s">
        <v>28</v>
      </c>
      <c r="J5909" s="18" t="s">
        <v>28</v>
      </c>
      <c r="K5909" s="18">
        <v>40.32</v>
      </c>
      <c r="L5909" s="18" t="s">
        <v>28</v>
      </c>
      <c r="M5909" s="18" t="s">
        <v>28</v>
      </c>
      <c r="N5909" s="17">
        <v>44047</v>
      </c>
      <c r="O5909" s="15" t="s">
        <v>41</v>
      </c>
      <c r="P5909" s="16" t="s">
        <v>18205</v>
      </c>
      <c r="Q5909" s="15" t="s">
        <v>136</v>
      </c>
      <c r="R5909" s="13" t="str">
        <f>HYPERLINK("https://my.pitchbook.com?c=156905-11T","View Company Online")</f>
        <v>View Company Online</v>
      </c>
    </row>
    <row r="5910" spans="1:18" hidden="1" x14ac:dyDescent="0.3">
      <c r="A5910" s="9" t="s">
        <v>18206</v>
      </c>
      <c r="B5910" s="9" t="s">
        <v>18207</v>
      </c>
      <c r="C5910" s="11" t="s">
        <v>28</v>
      </c>
      <c r="D5910" s="9" t="s">
        <v>18208</v>
      </c>
      <c r="E5910" s="11" t="s">
        <v>28</v>
      </c>
      <c r="F5910" s="10" t="s">
        <v>28</v>
      </c>
      <c r="G5910" s="10" t="s">
        <v>28</v>
      </c>
      <c r="H5910" s="10" t="s">
        <v>28</v>
      </c>
      <c r="I5910" s="11" t="s">
        <v>28</v>
      </c>
      <c r="J5910" s="11" t="s">
        <v>28</v>
      </c>
      <c r="K5910" s="11" t="s">
        <v>28</v>
      </c>
      <c r="L5910" s="11" t="s">
        <v>28</v>
      </c>
      <c r="M5910" s="11" t="s">
        <v>28</v>
      </c>
      <c r="N5910" s="8">
        <v>44046</v>
      </c>
      <c r="O5910" s="9" t="s">
        <v>30</v>
      </c>
      <c r="P5910" s="12" t="s">
        <v>18209</v>
      </c>
      <c r="Q5910" s="9" t="s">
        <v>245</v>
      </c>
      <c r="R5910" s="14" t="str">
        <f>HYPERLINK("https://my.pitchbook.com?c=158605-21T","View Company Online")</f>
        <v>View Company Online</v>
      </c>
    </row>
    <row r="5911" spans="1:18" hidden="1" x14ac:dyDescent="0.3">
      <c r="A5911" s="15" t="s">
        <v>18210</v>
      </c>
      <c r="B5911" s="15" t="s">
        <v>18211</v>
      </c>
      <c r="C5911" s="18" t="s">
        <v>28</v>
      </c>
      <c r="D5911" s="15" t="s">
        <v>18212</v>
      </c>
      <c r="E5911" s="18" t="s">
        <v>28</v>
      </c>
      <c r="F5911" s="19" t="s">
        <v>28</v>
      </c>
      <c r="G5911" s="19" t="s">
        <v>28</v>
      </c>
      <c r="H5911" s="19" t="s">
        <v>28</v>
      </c>
      <c r="I5911" s="18" t="s">
        <v>28</v>
      </c>
      <c r="J5911" s="18" t="s">
        <v>28</v>
      </c>
      <c r="K5911" s="18" t="s">
        <v>28</v>
      </c>
      <c r="L5911" s="18" t="s">
        <v>28</v>
      </c>
      <c r="M5911" s="18" t="s">
        <v>28</v>
      </c>
      <c r="N5911" s="17">
        <v>44046</v>
      </c>
      <c r="O5911" s="15" t="s">
        <v>30</v>
      </c>
      <c r="P5911" s="16" t="s">
        <v>10969</v>
      </c>
      <c r="Q5911" s="15" t="s">
        <v>245</v>
      </c>
      <c r="R5911" s="13" t="str">
        <f>HYPERLINK("https://my.pitchbook.com?c=210015-46T","View Company Online")</f>
        <v>View Company Online</v>
      </c>
    </row>
    <row r="5912" spans="1:18" hidden="1" x14ac:dyDescent="0.3">
      <c r="A5912" s="9" t="s">
        <v>18213</v>
      </c>
      <c r="B5912" s="9" t="s">
        <v>9698</v>
      </c>
      <c r="C5912" s="11" t="s">
        <v>28</v>
      </c>
      <c r="D5912" s="9" t="s">
        <v>9699</v>
      </c>
      <c r="E5912" s="11" t="s">
        <v>28</v>
      </c>
      <c r="F5912" s="10" t="s">
        <v>28</v>
      </c>
      <c r="G5912" s="10" t="s">
        <v>28</v>
      </c>
      <c r="H5912" s="10" t="s">
        <v>28</v>
      </c>
      <c r="I5912" s="11" t="s">
        <v>28</v>
      </c>
      <c r="J5912" s="11" t="s">
        <v>28</v>
      </c>
      <c r="K5912" s="11" t="s">
        <v>28</v>
      </c>
      <c r="L5912" s="11" t="s">
        <v>28</v>
      </c>
      <c r="M5912" s="11" t="s">
        <v>28</v>
      </c>
      <c r="N5912" s="8">
        <v>44044</v>
      </c>
      <c r="O5912" s="9" t="s">
        <v>73</v>
      </c>
      <c r="P5912" s="12" t="s">
        <v>7171</v>
      </c>
      <c r="Q5912" s="9" t="s">
        <v>37</v>
      </c>
      <c r="R5912" s="14" t="str">
        <f>HYPERLINK("https://my.pitchbook.com?c=215900-38T","View Company Online")</f>
        <v>View Company Online</v>
      </c>
    </row>
    <row r="5913" spans="1:18" hidden="1" x14ac:dyDescent="0.3">
      <c r="A5913" s="15" t="s">
        <v>18214</v>
      </c>
      <c r="B5913" s="15" t="s">
        <v>4013</v>
      </c>
      <c r="C5913" s="18" t="s">
        <v>28</v>
      </c>
      <c r="D5913" s="15" t="s">
        <v>4014</v>
      </c>
      <c r="E5913" s="18" t="s">
        <v>28</v>
      </c>
      <c r="F5913" s="19" t="s">
        <v>28</v>
      </c>
      <c r="G5913" s="19" t="s">
        <v>28</v>
      </c>
      <c r="H5913" s="19" t="s">
        <v>28</v>
      </c>
      <c r="I5913" s="18" t="s">
        <v>28</v>
      </c>
      <c r="J5913" s="18" t="s">
        <v>28</v>
      </c>
      <c r="K5913" s="18" t="s">
        <v>28</v>
      </c>
      <c r="L5913" s="18" t="s">
        <v>28</v>
      </c>
      <c r="M5913" s="18" t="s">
        <v>28</v>
      </c>
      <c r="N5913" s="17">
        <v>44044</v>
      </c>
      <c r="O5913" s="15" t="s">
        <v>41</v>
      </c>
      <c r="P5913" s="16" t="s">
        <v>12076</v>
      </c>
      <c r="Q5913" s="15" t="s">
        <v>75</v>
      </c>
      <c r="R5913" s="13" t="str">
        <f>HYPERLINK("https://my.pitchbook.com?c=156366-10T","View Company Online")</f>
        <v>View Company Online</v>
      </c>
    </row>
    <row r="5914" spans="1:18" hidden="1" x14ac:dyDescent="0.3">
      <c r="A5914" s="9" t="s">
        <v>18215</v>
      </c>
      <c r="B5914" s="9" t="s">
        <v>18216</v>
      </c>
      <c r="C5914" s="11" t="s">
        <v>28</v>
      </c>
      <c r="D5914" s="9" t="s">
        <v>18217</v>
      </c>
      <c r="E5914" s="11" t="s">
        <v>28</v>
      </c>
      <c r="F5914" s="10" t="s">
        <v>28</v>
      </c>
      <c r="G5914" s="10" t="s">
        <v>28</v>
      </c>
      <c r="H5914" s="10" t="s">
        <v>28</v>
      </c>
      <c r="I5914" s="11" t="s">
        <v>28</v>
      </c>
      <c r="J5914" s="11" t="s">
        <v>28</v>
      </c>
      <c r="K5914" s="11" t="s">
        <v>28</v>
      </c>
      <c r="L5914" s="11" t="s">
        <v>28</v>
      </c>
      <c r="M5914" s="11" t="s">
        <v>28</v>
      </c>
      <c r="N5914" s="8">
        <v>44044</v>
      </c>
      <c r="O5914" s="9" t="s">
        <v>30</v>
      </c>
      <c r="P5914" s="12" t="s">
        <v>18218</v>
      </c>
      <c r="Q5914" s="9" t="s">
        <v>109</v>
      </c>
      <c r="R5914" s="14" t="str">
        <f>HYPERLINK("https://my.pitchbook.com?c=160655-14T","View Company Online")</f>
        <v>View Company Online</v>
      </c>
    </row>
    <row r="5915" spans="1:18" hidden="1" x14ac:dyDescent="0.3">
      <c r="A5915" s="15" t="s">
        <v>18219</v>
      </c>
      <c r="B5915" s="15" t="s">
        <v>18220</v>
      </c>
      <c r="C5915" s="18" t="s">
        <v>28</v>
      </c>
      <c r="D5915" s="15" t="s">
        <v>18221</v>
      </c>
      <c r="E5915" s="18" t="s">
        <v>28</v>
      </c>
      <c r="F5915" s="19" t="s">
        <v>28</v>
      </c>
      <c r="G5915" s="19" t="s">
        <v>28</v>
      </c>
      <c r="H5915" s="19" t="s">
        <v>28</v>
      </c>
      <c r="I5915" s="18" t="s">
        <v>28</v>
      </c>
      <c r="J5915" s="18" t="s">
        <v>28</v>
      </c>
      <c r="K5915" s="18" t="s">
        <v>28</v>
      </c>
      <c r="L5915" s="18" t="s">
        <v>28</v>
      </c>
      <c r="M5915" s="18" t="s">
        <v>28</v>
      </c>
      <c r="N5915" s="17">
        <v>44044</v>
      </c>
      <c r="O5915" s="15" t="s">
        <v>99</v>
      </c>
      <c r="P5915" s="16" t="s">
        <v>17062</v>
      </c>
      <c r="Q5915" s="15" t="s">
        <v>75</v>
      </c>
      <c r="R5915" s="13" t="str">
        <f>HYPERLINK("https://my.pitchbook.com?c=160663-51T","View Company Online")</f>
        <v>View Company Online</v>
      </c>
    </row>
    <row r="5916" spans="1:18" hidden="1" x14ac:dyDescent="0.3">
      <c r="A5916" s="9" t="s">
        <v>18222</v>
      </c>
      <c r="B5916" s="9" t="s">
        <v>18223</v>
      </c>
      <c r="C5916" s="11" t="s">
        <v>28</v>
      </c>
      <c r="D5916" s="9" t="s">
        <v>18224</v>
      </c>
      <c r="E5916" s="11" t="s">
        <v>28</v>
      </c>
      <c r="F5916" s="10" t="s">
        <v>28</v>
      </c>
      <c r="G5916" s="10" t="s">
        <v>28</v>
      </c>
      <c r="H5916" s="10" t="s">
        <v>28</v>
      </c>
      <c r="I5916" s="11" t="s">
        <v>28</v>
      </c>
      <c r="J5916" s="11" t="s">
        <v>28</v>
      </c>
      <c r="K5916" s="11" t="s">
        <v>28</v>
      </c>
      <c r="L5916" s="11" t="s">
        <v>28</v>
      </c>
      <c r="M5916" s="11" t="s">
        <v>28</v>
      </c>
      <c r="N5916" s="8">
        <v>44044</v>
      </c>
      <c r="O5916" s="9" t="s">
        <v>30</v>
      </c>
      <c r="P5916" s="12" t="s">
        <v>28</v>
      </c>
      <c r="Q5916" s="9" t="s">
        <v>75</v>
      </c>
      <c r="R5916" s="14" t="str">
        <f>HYPERLINK("https://my.pitchbook.com?c=216144-28T","View Company Online")</f>
        <v>View Company Online</v>
      </c>
    </row>
    <row r="5917" spans="1:18" hidden="1" x14ac:dyDescent="0.3">
      <c r="A5917" s="15" t="s">
        <v>18225</v>
      </c>
      <c r="B5917" s="15" t="s">
        <v>14354</v>
      </c>
      <c r="C5917" s="18" t="s">
        <v>28</v>
      </c>
      <c r="D5917" s="15" t="s">
        <v>14355</v>
      </c>
      <c r="E5917" s="18" t="s">
        <v>28</v>
      </c>
      <c r="F5917" s="19" t="s">
        <v>28</v>
      </c>
      <c r="G5917" s="19" t="s">
        <v>28</v>
      </c>
      <c r="H5917" s="19" t="s">
        <v>28</v>
      </c>
      <c r="I5917" s="18" t="s">
        <v>28</v>
      </c>
      <c r="J5917" s="18" t="s">
        <v>28</v>
      </c>
      <c r="K5917" s="18" t="s">
        <v>28</v>
      </c>
      <c r="L5917" s="18" t="s">
        <v>28</v>
      </c>
      <c r="M5917" s="18" t="s">
        <v>28</v>
      </c>
      <c r="N5917" s="17">
        <v>44044</v>
      </c>
      <c r="O5917" s="15" t="s">
        <v>52</v>
      </c>
      <c r="P5917" s="16" t="s">
        <v>16953</v>
      </c>
      <c r="Q5917" s="15" t="s">
        <v>37</v>
      </c>
      <c r="R5917" s="13" t="str">
        <f>HYPERLINK("https://my.pitchbook.com?c=188498-98T","View Company Online")</f>
        <v>View Company Online</v>
      </c>
    </row>
    <row r="5918" spans="1:18" hidden="1" x14ac:dyDescent="0.3">
      <c r="A5918" s="9" t="s">
        <v>18226</v>
      </c>
      <c r="B5918" s="9" t="s">
        <v>18227</v>
      </c>
      <c r="C5918" s="11" t="s">
        <v>28</v>
      </c>
      <c r="D5918" s="9" t="s">
        <v>18228</v>
      </c>
      <c r="E5918" s="11" t="s">
        <v>28</v>
      </c>
      <c r="F5918" s="10" t="s">
        <v>28</v>
      </c>
      <c r="G5918" s="10" t="s">
        <v>28</v>
      </c>
      <c r="H5918" s="10" t="s">
        <v>28</v>
      </c>
      <c r="I5918" s="11" t="s">
        <v>28</v>
      </c>
      <c r="J5918" s="11" t="s">
        <v>28</v>
      </c>
      <c r="K5918" s="11" t="s">
        <v>28</v>
      </c>
      <c r="L5918" s="11" t="s">
        <v>28</v>
      </c>
      <c r="M5918" s="11" t="s">
        <v>28</v>
      </c>
      <c r="N5918" s="8">
        <v>44044</v>
      </c>
      <c r="O5918" s="9" t="s">
        <v>173</v>
      </c>
      <c r="P5918" s="12" t="s">
        <v>28</v>
      </c>
      <c r="Q5918" s="9" t="s">
        <v>174</v>
      </c>
      <c r="R5918" s="14" t="str">
        <f>HYPERLINK("https://my.pitchbook.com?c=190864-99T","View Company Online")</f>
        <v>View Company Online</v>
      </c>
    </row>
    <row r="5919" spans="1:18" hidden="1" x14ac:dyDescent="0.3">
      <c r="A5919" s="15" t="s">
        <v>18229</v>
      </c>
      <c r="B5919" s="15" t="s">
        <v>18230</v>
      </c>
      <c r="C5919" s="18" t="s">
        <v>28</v>
      </c>
      <c r="D5919" s="15" t="s">
        <v>18231</v>
      </c>
      <c r="E5919" s="18" t="s">
        <v>28</v>
      </c>
      <c r="F5919" s="19" t="s">
        <v>28</v>
      </c>
      <c r="G5919" s="19" t="s">
        <v>28</v>
      </c>
      <c r="H5919" s="19" t="s">
        <v>28</v>
      </c>
      <c r="I5919" s="18" t="s">
        <v>28</v>
      </c>
      <c r="J5919" s="18" t="s">
        <v>28</v>
      </c>
      <c r="K5919" s="18" t="s">
        <v>28</v>
      </c>
      <c r="L5919" s="18" t="s">
        <v>28</v>
      </c>
      <c r="M5919" s="18" t="s">
        <v>28</v>
      </c>
      <c r="N5919" s="17">
        <v>44044</v>
      </c>
      <c r="O5919" s="15" t="s">
        <v>30</v>
      </c>
      <c r="P5919" s="16" t="s">
        <v>2344</v>
      </c>
      <c r="Q5919" s="15" t="s">
        <v>290</v>
      </c>
      <c r="R5919" s="13" t="str">
        <f>HYPERLINK("https://my.pitchbook.com?c=224335-18T","View Company Online")</f>
        <v>View Company Online</v>
      </c>
    </row>
    <row r="5920" spans="1:18" hidden="1" x14ac:dyDescent="0.3">
      <c r="A5920" s="9" t="s">
        <v>18232</v>
      </c>
      <c r="B5920" s="9" t="s">
        <v>18233</v>
      </c>
      <c r="C5920" s="11" t="s">
        <v>28</v>
      </c>
      <c r="D5920" s="9" t="s">
        <v>18234</v>
      </c>
      <c r="E5920" s="11" t="s">
        <v>28</v>
      </c>
      <c r="F5920" s="10">
        <v>13.05</v>
      </c>
      <c r="G5920" s="10">
        <v>13.05</v>
      </c>
      <c r="H5920" s="10">
        <v>13.05</v>
      </c>
      <c r="I5920" s="11" t="s">
        <v>28</v>
      </c>
      <c r="J5920" s="11" t="s">
        <v>28</v>
      </c>
      <c r="K5920" s="11" t="s">
        <v>28</v>
      </c>
      <c r="L5920" s="11" t="s">
        <v>28</v>
      </c>
      <c r="M5920" s="11" t="s">
        <v>28</v>
      </c>
      <c r="N5920" s="8">
        <v>44044</v>
      </c>
      <c r="O5920" s="9" t="s">
        <v>30</v>
      </c>
      <c r="P5920" s="12" t="s">
        <v>18235</v>
      </c>
      <c r="Q5920" s="9" t="s">
        <v>136</v>
      </c>
      <c r="R5920" s="14" t="str">
        <f>HYPERLINK("https://my.pitchbook.com?c=213986-89T","View Company Online")</f>
        <v>View Company Online</v>
      </c>
    </row>
    <row r="5921" spans="1:18" hidden="1" x14ac:dyDescent="0.3">
      <c r="A5921" s="15" t="s">
        <v>18236</v>
      </c>
      <c r="B5921" s="15" t="s">
        <v>9166</v>
      </c>
      <c r="C5921" s="18" t="s">
        <v>28</v>
      </c>
      <c r="D5921" s="15" t="s">
        <v>9167</v>
      </c>
      <c r="E5921" s="18" t="s">
        <v>28</v>
      </c>
      <c r="F5921" s="19" t="s">
        <v>28</v>
      </c>
      <c r="G5921" s="19" t="s">
        <v>28</v>
      </c>
      <c r="H5921" s="19" t="s">
        <v>28</v>
      </c>
      <c r="I5921" s="18" t="s">
        <v>28</v>
      </c>
      <c r="J5921" s="18" t="s">
        <v>28</v>
      </c>
      <c r="K5921" s="18" t="s">
        <v>28</v>
      </c>
      <c r="L5921" s="18" t="s">
        <v>28</v>
      </c>
      <c r="M5921" s="18" t="s">
        <v>28</v>
      </c>
      <c r="N5921" s="17">
        <v>44044</v>
      </c>
      <c r="O5921" s="15" t="s">
        <v>99</v>
      </c>
      <c r="P5921" s="16" t="s">
        <v>18237</v>
      </c>
      <c r="Q5921" s="15" t="s">
        <v>37</v>
      </c>
      <c r="R5921" s="13" t="str">
        <f>HYPERLINK("https://my.pitchbook.com?c=178270-84T","View Company Online")</f>
        <v>View Company Online</v>
      </c>
    </row>
    <row r="5922" spans="1:18" hidden="1" x14ac:dyDescent="0.3">
      <c r="A5922" s="9" t="s">
        <v>18238</v>
      </c>
      <c r="B5922" s="9" t="s">
        <v>18239</v>
      </c>
      <c r="C5922" s="11" t="s">
        <v>28</v>
      </c>
      <c r="D5922" s="9" t="s">
        <v>18240</v>
      </c>
      <c r="E5922" s="11" t="s">
        <v>28</v>
      </c>
      <c r="F5922" s="10" t="s">
        <v>28</v>
      </c>
      <c r="G5922" s="10">
        <v>0.5</v>
      </c>
      <c r="H5922" s="10" t="s">
        <v>28</v>
      </c>
      <c r="I5922" s="11" t="s">
        <v>28</v>
      </c>
      <c r="J5922" s="11" t="s">
        <v>28</v>
      </c>
      <c r="K5922" s="11" t="s">
        <v>28</v>
      </c>
      <c r="L5922" s="11" t="s">
        <v>28</v>
      </c>
      <c r="M5922" s="11" t="s">
        <v>28</v>
      </c>
      <c r="N5922" s="8">
        <v>44044</v>
      </c>
      <c r="O5922" s="9" t="s">
        <v>99</v>
      </c>
      <c r="P5922" s="12" t="s">
        <v>18241</v>
      </c>
      <c r="Q5922" s="9" t="s">
        <v>37</v>
      </c>
      <c r="R5922" s="14" t="str">
        <f>HYPERLINK("https://my.pitchbook.com?c=134899-30T","View Company Online")</f>
        <v>View Company Online</v>
      </c>
    </row>
    <row r="5923" spans="1:18" hidden="1" x14ac:dyDescent="0.3">
      <c r="A5923" s="15" t="s">
        <v>18242</v>
      </c>
      <c r="B5923" s="15" t="s">
        <v>18243</v>
      </c>
      <c r="C5923" s="18" t="s">
        <v>28</v>
      </c>
      <c r="D5923" s="15" t="s">
        <v>18244</v>
      </c>
      <c r="E5923" s="18" t="s">
        <v>28</v>
      </c>
      <c r="F5923" s="19">
        <v>0.06</v>
      </c>
      <c r="G5923" s="19">
        <v>0.06</v>
      </c>
      <c r="H5923" s="19">
        <v>0.06</v>
      </c>
      <c r="I5923" s="18" t="s">
        <v>28</v>
      </c>
      <c r="J5923" s="18" t="s">
        <v>28</v>
      </c>
      <c r="K5923" s="18" t="s">
        <v>28</v>
      </c>
      <c r="L5923" s="18" t="s">
        <v>28</v>
      </c>
      <c r="M5923" s="18" t="s">
        <v>28</v>
      </c>
      <c r="N5923" s="17">
        <v>44044</v>
      </c>
      <c r="O5923" s="15" t="s">
        <v>30</v>
      </c>
      <c r="P5923" s="16" t="s">
        <v>18245</v>
      </c>
      <c r="Q5923" s="15" t="s">
        <v>386</v>
      </c>
      <c r="R5923" s="13" t="str">
        <f>HYPERLINK("https://my.pitchbook.com?c=185393-98T","View Company Online")</f>
        <v>View Company Online</v>
      </c>
    </row>
    <row r="5924" spans="1:18" hidden="1" x14ac:dyDescent="0.3">
      <c r="A5924" s="9" t="s">
        <v>18246</v>
      </c>
      <c r="B5924" s="9" t="s">
        <v>18247</v>
      </c>
      <c r="C5924" s="11" t="s">
        <v>28</v>
      </c>
      <c r="D5924" s="9" t="s">
        <v>18248</v>
      </c>
      <c r="E5924" s="11" t="s">
        <v>28</v>
      </c>
      <c r="F5924" s="10" t="s">
        <v>28</v>
      </c>
      <c r="G5924" s="10">
        <v>0.09</v>
      </c>
      <c r="H5924" s="10" t="s">
        <v>28</v>
      </c>
      <c r="I5924" s="11" t="s">
        <v>28</v>
      </c>
      <c r="J5924" s="11" t="s">
        <v>28</v>
      </c>
      <c r="K5924" s="11">
        <v>0.97</v>
      </c>
      <c r="L5924" s="11" t="s">
        <v>28</v>
      </c>
      <c r="M5924" s="11" t="s">
        <v>28</v>
      </c>
      <c r="N5924" s="8">
        <v>44044</v>
      </c>
      <c r="O5924" s="9" t="s">
        <v>79</v>
      </c>
      <c r="P5924" s="12" t="s">
        <v>17158</v>
      </c>
      <c r="Q5924" s="9" t="s">
        <v>85</v>
      </c>
      <c r="R5924" s="14" t="str">
        <f>HYPERLINK("https://my.pitchbook.com?c=167447-26T","View Company Online")</f>
        <v>View Company Online</v>
      </c>
    </row>
    <row r="5925" spans="1:18" hidden="1" x14ac:dyDescent="0.3">
      <c r="A5925" s="15" t="s">
        <v>18249</v>
      </c>
      <c r="B5925" s="15" t="s">
        <v>2225</v>
      </c>
      <c r="C5925" s="18" t="s">
        <v>28</v>
      </c>
      <c r="D5925" s="15" t="s">
        <v>2226</v>
      </c>
      <c r="E5925" s="18" t="s">
        <v>28</v>
      </c>
      <c r="F5925" s="19" t="s">
        <v>28</v>
      </c>
      <c r="G5925" s="19">
        <v>0.38</v>
      </c>
      <c r="H5925" s="19" t="s">
        <v>28</v>
      </c>
      <c r="I5925" s="18" t="s">
        <v>28</v>
      </c>
      <c r="J5925" s="18" t="s">
        <v>28</v>
      </c>
      <c r="K5925" s="18" t="s">
        <v>28</v>
      </c>
      <c r="L5925" s="18" t="s">
        <v>28</v>
      </c>
      <c r="M5925" s="18" t="s">
        <v>28</v>
      </c>
      <c r="N5925" s="17">
        <v>44044</v>
      </c>
      <c r="O5925" s="15" t="s">
        <v>99</v>
      </c>
      <c r="P5925" s="16" t="s">
        <v>18250</v>
      </c>
      <c r="Q5925" s="15" t="s">
        <v>409</v>
      </c>
      <c r="R5925" s="13" t="str">
        <f>HYPERLINK("https://my.pitchbook.com?c=166051-09T","View Company Online")</f>
        <v>View Company Online</v>
      </c>
    </row>
    <row r="5926" spans="1:18" hidden="1" x14ac:dyDescent="0.3">
      <c r="A5926" s="9" t="s">
        <v>18251</v>
      </c>
      <c r="B5926" s="9" t="s">
        <v>18252</v>
      </c>
      <c r="C5926" s="11" t="s">
        <v>28</v>
      </c>
      <c r="D5926" s="9" t="s">
        <v>18253</v>
      </c>
      <c r="E5926" s="11" t="s">
        <v>28</v>
      </c>
      <c r="F5926" s="10" t="s">
        <v>28</v>
      </c>
      <c r="G5926" s="10" t="s">
        <v>28</v>
      </c>
      <c r="H5926" s="10" t="s">
        <v>28</v>
      </c>
      <c r="I5926" s="11" t="s">
        <v>28</v>
      </c>
      <c r="J5926" s="11" t="s">
        <v>28</v>
      </c>
      <c r="K5926" s="11" t="s">
        <v>28</v>
      </c>
      <c r="L5926" s="11" t="s">
        <v>28</v>
      </c>
      <c r="M5926" s="11" t="s">
        <v>28</v>
      </c>
      <c r="N5926" s="8">
        <v>44044</v>
      </c>
      <c r="O5926" s="9" t="s">
        <v>52</v>
      </c>
      <c r="P5926" s="12" t="s">
        <v>18254</v>
      </c>
      <c r="Q5926" s="9" t="s">
        <v>371</v>
      </c>
      <c r="R5926" s="14" t="str">
        <f>HYPERLINK("https://my.pitchbook.com?c=140770-00T","View Company Online")</f>
        <v>View Company Online</v>
      </c>
    </row>
    <row r="5927" spans="1:18" hidden="1" x14ac:dyDescent="0.3">
      <c r="A5927" s="15" t="s">
        <v>18255</v>
      </c>
      <c r="B5927" s="15" t="s">
        <v>18256</v>
      </c>
      <c r="C5927" s="18" t="s">
        <v>28</v>
      </c>
      <c r="D5927" s="15" t="s">
        <v>18257</v>
      </c>
      <c r="E5927" s="18" t="s">
        <v>28</v>
      </c>
      <c r="F5927" s="19" t="s">
        <v>28</v>
      </c>
      <c r="G5927" s="19" t="s">
        <v>28</v>
      </c>
      <c r="H5927" s="19" t="s">
        <v>28</v>
      </c>
      <c r="I5927" s="18" t="s">
        <v>28</v>
      </c>
      <c r="J5927" s="18" t="s">
        <v>28</v>
      </c>
      <c r="K5927" s="18" t="s">
        <v>28</v>
      </c>
      <c r="L5927" s="18" t="s">
        <v>28</v>
      </c>
      <c r="M5927" s="18" t="s">
        <v>28</v>
      </c>
      <c r="N5927" s="17">
        <v>44044</v>
      </c>
      <c r="O5927" s="15" t="s">
        <v>30</v>
      </c>
      <c r="P5927" s="16" t="s">
        <v>17231</v>
      </c>
      <c r="Q5927" s="15" t="s">
        <v>1007</v>
      </c>
      <c r="R5927" s="13" t="str">
        <f>HYPERLINK("https://my.pitchbook.com?c=160666-57T","View Company Online")</f>
        <v>View Company Online</v>
      </c>
    </row>
    <row r="5928" spans="1:18" hidden="1" x14ac:dyDescent="0.3">
      <c r="A5928" s="9" t="s">
        <v>18258</v>
      </c>
      <c r="B5928" s="9" t="s">
        <v>12499</v>
      </c>
      <c r="C5928" s="11" t="s">
        <v>28</v>
      </c>
      <c r="D5928" s="9" t="s">
        <v>12500</v>
      </c>
      <c r="E5928" s="11" t="s">
        <v>28</v>
      </c>
      <c r="F5928" s="10" t="s">
        <v>28</v>
      </c>
      <c r="G5928" s="10">
        <v>1.32</v>
      </c>
      <c r="H5928" s="10" t="s">
        <v>28</v>
      </c>
      <c r="I5928" s="11" t="s">
        <v>28</v>
      </c>
      <c r="J5928" s="11" t="s">
        <v>28</v>
      </c>
      <c r="K5928" s="11" t="s">
        <v>28</v>
      </c>
      <c r="L5928" s="11" t="s">
        <v>28</v>
      </c>
      <c r="M5928" s="11" t="s">
        <v>28</v>
      </c>
      <c r="N5928" s="8">
        <v>44044</v>
      </c>
      <c r="O5928" s="9" t="s">
        <v>73</v>
      </c>
      <c r="P5928" s="12" t="s">
        <v>18259</v>
      </c>
      <c r="Q5928" s="9" t="s">
        <v>740</v>
      </c>
      <c r="R5928" s="14" t="str">
        <f>HYPERLINK("https://my.pitchbook.com?c=160177-51T","View Company Online")</f>
        <v>View Company Online</v>
      </c>
    </row>
    <row r="5929" spans="1:18" hidden="1" x14ac:dyDescent="0.3">
      <c r="A5929" s="15" t="s">
        <v>18260</v>
      </c>
      <c r="B5929" s="15" t="s">
        <v>18261</v>
      </c>
      <c r="C5929" s="18" t="s">
        <v>28</v>
      </c>
      <c r="D5929" s="15" t="s">
        <v>18262</v>
      </c>
      <c r="E5929" s="18" t="s">
        <v>28</v>
      </c>
      <c r="F5929" s="19" t="s">
        <v>28</v>
      </c>
      <c r="G5929" s="19">
        <v>0.66</v>
      </c>
      <c r="H5929" s="19" t="s">
        <v>28</v>
      </c>
      <c r="I5929" s="18" t="s">
        <v>28</v>
      </c>
      <c r="J5929" s="18" t="s">
        <v>28</v>
      </c>
      <c r="K5929" s="18">
        <v>0.03</v>
      </c>
      <c r="L5929" s="18" t="s">
        <v>28</v>
      </c>
      <c r="M5929" s="18" t="s">
        <v>28</v>
      </c>
      <c r="N5929" s="17">
        <v>44044</v>
      </c>
      <c r="O5929" s="15" t="s">
        <v>379</v>
      </c>
      <c r="P5929" s="16" t="s">
        <v>18263</v>
      </c>
      <c r="Q5929" s="15" t="s">
        <v>740</v>
      </c>
      <c r="R5929" s="13" t="str">
        <f>HYPERLINK("https://my.pitchbook.com?c=156917-62T","View Company Online")</f>
        <v>View Company Online</v>
      </c>
    </row>
    <row r="5930" spans="1:18" hidden="1" x14ac:dyDescent="0.3">
      <c r="A5930" s="9" t="s">
        <v>18264</v>
      </c>
      <c r="B5930" s="9" t="s">
        <v>3490</v>
      </c>
      <c r="C5930" s="11" t="s">
        <v>28</v>
      </c>
      <c r="D5930" s="9" t="s">
        <v>3491</v>
      </c>
      <c r="E5930" s="11">
        <v>5.94</v>
      </c>
      <c r="F5930" s="10" t="s">
        <v>28</v>
      </c>
      <c r="G5930" s="10" t="s">
        <v>28</v>
      </c>
      <c r="H5930" s="10" t="s">
        <v>28</v>
      </c>
      <c r="I5930" s="11" t="s">
        <v>28</v>
      </c>
      <c r="J5930" s="11" t="s">
        <v>28</v>
      </c>
      <c r="K5930" s="11">
        <v>266.85000000000002</v>
      </c>
      <c r="L5930" s="11" t="s">
        <v>28</v>
      </c>
      <c r="M5930" s="11">
        <v>1.1200000000000001</v>
      </c>
      <c r="N5930" s="8">
        <v>44043</v>
      </c>
      <c r="O5930" s="9" t="s">
        <v>173</v>
      </c>
      <c r="P5930" s="12" t="s">
        <v>28</v>
      </c>
      <c r="Q5930" s="9" t="s">
        <v>607</v>
      </c>
      <c r="R5930" s="14" t="str">
        <f>HYPERLINK("https://my.pitchbook.com?c=224281-63T","View Company Online")</f>
        <v>View Company Online</v>
      </c>
    </row>
    <row r="5931" spans="1:18" hidden="1" x14ac:dyDescent="0.3">
      <c r="A5931" s="15" t="s">
        <v>18265</v>
      </c>
      <c r="B5931" s="15" t="s">
        <v>18266</v>
      </c>
      <c r="C5931" s="18" t="s">
        <v>28</v>
      </c>
      <c r="D5931" s="15" t="s">
        <v>18267</v>
      </c>
      <c r="E5931" s="18" t="s">
        <v>28</v>
      </c>
      <c r="F5931" s="19" t="s">
        <v>28</v>
      </c>
      <c r="G5931" s="19" t="s">
        <v>28</v>
      </c>
      <c r="H5931" s="19" t="s">
        <v>28</v>
      </c>
      <c r="I5931" s="18" t="s">
        <v>28</v>
      </c>
      <c r="J5931" s="18" t="s">
        <v>28</v>
      </c>
      <c r="K5931" s="18" t="s">
        <v>28</v>
      </c>
      <c r="L5931" s="18" t="s">
        <v>28</v>
      </c>
      <c r="M5931" s="18" t="s">
        <v>28</v>
      </c>
      <c r="N5931" s="17">
        <v>44042</v>
      </c>
      <c r="O5931" s="15" t="s">
        <v>30</v>
      </c>
      <c r="P5931" s="16" t="s">
        <v>12727</v>
      </c>
      <c r="Q5931" s="15" t="s">
        <v>75</v>
      </c>
      <c r="R5931" s="13" t="str">
        <f>HYPERLINK("https://my.pitchbook.com?c=210819-52T","View Company Online")</f>
        <v>View Company Online</v>
      </c>
    </row>
    <row r="5932" spans="1:18" hidden="1" x14ac:dyDescent="0.3">
      <c r="A5932" s="9" t="s">
        <v>18268</v>
      </c>
      <c r="B5932" s="9" t="s">
        <v>18269</v>
      </c>
      <c r="C5932" s="11" t="s">
        <v>28</v>
      </c>
      <c r="D5932" s="9" t="s">
        <v>18270</v>
      </c>
      <c r="E5932" s="11" t="s">
        <v>28</v>
      </c>
      <c r="F5932" s="10" t="s">
        <v>28</v>
      </c>
      <c r="G5932" s="10" t="s">
        <v>28</v>
      </c>
      <c r="H5932" s="10" t="s">
        <v>28</v>
      </c>
      <c r="I5932" s="11" t="s">
        <v>28</v>
      </c>
      <c r="J5932" s="11" t="s">
        <v>28</v>
      </c>
      <c r="K5932" s="11" t="s">
        <v>28</v>
      </c>
      <c r="L5932" s="11" t="s">
        <v>28</v>
      </c>
      <c r="M5932" s="11" t="s">
        <v>28</v>
      </c>
      <c r="N5932" s="8">
        <v>44042</v>
      </c>
      <c r="O5932" s="9" t="s">
        <v>41</v>
      </c>
      <c r="P5932" s="12" t="s">
        <v>18271</v>
      </c>
      <c r="Q5932" s="9" t="s">
        <v>37</v>
      </c>
      <c r="R5932" s="14" t="str">
        <f>HYPERLINK("https://my.pitchbook.com?c=140812-84T","View Company Online")</f>
        <v>View Company Online</v>
      </c>
    </row>
    <row r="5933" spans="1:18" hidden="1" x14ac:dyDescent="0.3">
      <c r="A5933" s="15" t="s">
        <v>18272</v>
      </c>
      <c r="B5933" s="15" t="s">
        <v>18273</v>
      </c>
      <c r="C5933" s="18" t="s">
        <v>28</v>
      </c>
      <c r="D5933" s="15" t="s">
        <v>18274</v>
      </c>
      <c r="E5933" s="18" t="s">
        <v>28</v>
      </c>
      <c r="F5933" s="19" t="s">
        <v>28</v>
      </c>
      <c r="G5933" s="19">
        <v>0.38</v>
      </c>
      <c r="H5933" s="19" t="s">
        <v>28</v>
      </c>
      <c r="I5933" s="18" t="s">
        <v>28</v>
      </c>
      <c r="J5933" s="18" t="s">
        <v>28</v>
      </c>
      <c r="K5933" s="18" t="s">
        <v>28</v>
      </c>
      <c r="L5933" s="18" t="s">
        <v>28</v>
      </c>
      <c r="M5933" s="18" t="s">
        <v>28</v>
      </c>
      <c r="N5933" s="17">
        <v>44042</v>
      </c>
      <c r="O5933" s="15" t="s">
        <v>79</v>
      </c>
      <c r="P5933" s="16" t="s">
        <v>18275</v>
      </c>
      <c r="Q5933" s="15" t="s">
        <v>136</v>
      </c>
      <c r="R5933" s="13" t="str">
        <f>HYPERLINK("https://my.pitchbook.com?c=160890-94T","View Company Online")</f>
        <v>View Company Online</v>
      </c>
    </row>
    <row r="5934" spans="1:18" hidden="1" x14ac:dyDescent="0.3">
      <c r="A5934" s="9" t="s">
        <v>18276</v>
      </c>
      <c r="B5934" s="9" t="s">
        <v>18277</v>
      </c>
      <c r="C5934" s="11" t="s">
        <v>28</v>
      </c>
      <c r="D5934" s="9" t="s">
        <v>18278</v>
      </c>
      <c r="E5934" s="11" t="s">
        <v>28</v>
      </c>
      <c r="F5934" s="10" t="s">
        <v>28</v>
      </c>
      <c r="G5934" s="10" t="s">
        <v>28</v>
      </c>
      <c r="H5934" s="10" t="s">
        <v>28</v>
      </c>
      <c r="I5934" s="11" t="s">
        <v>28</v>
      </c>
      <c r="J5934" s="11" t="s">
        <v>28</v>
      </c>
      <c r="K5934" s="11" t="s">
        <v>28</v>
      </c>
      <c r="L5934" s="11" t="s">
        <v>28</v>
      </c>
      <c r="M5934" s="11" t="s">
        <v>28</v>
      </c>
      <c r="N5934" s="8">
        <v>44042</v>
      </c>
      <c r="O5934" s="9" t="s">
        <v>173</v>
      </c>
      <c r="P5934" s="12" t="s">
        <v>28</v>
      </c>
      <c r="Q5934" s="9" t="s">
        <v>174</v>
      </c>
      <c r="R5934" s="14" t="str">
        <f>HYPERLINK("https://my.pitchbook.com?c=251334-10T","View Company Online")</f>
        <v>View Company Online</v>
      </c>
    </row>
    <row r="5935" spans="1:18" hidden="1" x14ac:dyDescent="0.3">
      <c r="A5935" s="15" t="s">
        <v>18279</v>
      </c>
      <c r="B5935" s="15" t="s">
        <v>14621</v>
      </c>
      <c r="C5935" s="18" t="s">
        <v>28</v>
      </c>
      <c r="D5935" s="15" t="s">
        <v>14622</v>
      </c>
      <c r="E5935" s="18" t="s">
        <v>28</v>
      </c>
      <c r="F5935" s="19" t="s">
        <v>28</v>
      </c>
      <c r="G5935" s="19">
        <v>0.15</v>
      </c>
      <c r="H5935" s="19">
        <v>2.14</v>
      </c>
      <c r="I5935" s="18" t="s">
        <v>28</v>
      </c>
      <c r="J5935" s="18" t="s">
        <v>28</v>
      </c>
      <c r="K5935" s="18" t="s">
        <v>28</v>
      </c>
      <c r="L5935" s="18" t="s">
        <v>28</v>
      </c>
      <c r="M5935" s="18" t="s">
        <v>28</v>
      </c>
      <c r="N5935" s="17">
        <v>44041</v>
      </c>
      <c r="O5935" s="15" t="s">
        <v>52</v>
      </c>
      <c r="P5935" s="16" t="s">
        <v>3944</v>
      </c>
      <c r="Q5935" s="15" t="s">
        <v>3912</v>
      </c>
      <c r="R5935" s="13" t="str">
        <f>HYPERLINK("https://my.pitchbook.com?c=159767-29T","View Company Online")</f>
        <v>View Company Online</v>
      </c>
    </row>
    <row r="5936" spans="1:18" hidden="1" x14ac:dyDescent="0.3">
      <c r="A5936" s="9" t="s">
        <v>18280</v>
      </c>
      <c r="B5936" s="9" t="s">
        <v>5097</v>
      </c>
      <c r="C5936" s="11" t="s">
        <v>28</v>
      </c>
      <c r="D5936" s="9" t="s">
        <v>5098</v>
      </c>
      <c r="E5936" s="11" t="s">
        <v>28</v>
      </c>
      <c r="F5936" s="10" t="s">
        <v>28</v>
      </c>
      <c r="G5936" s="10">
        <v>11.3</v>
      </c>
      <c r="H5936" s="10" t="s">
        <v>28</v>
      </c>
      <c r="I5936" s="11" t="s">
        <v>28</v>
      </c>
      <c r="J5936" s="11" t="s">
        <v>28</v>
      </c>
      <c r="K5936" s="11" t="s">
        <v>28</v>
      </c>
      <c r="L5936" s="11" t="s">
        <v>28</v>
      </c>
      <c r="M5936" s="11" t="s">
        <v>28</v>
      </c>
      <c r="N5936" s="8">
        <v>44041</v>
      </c>
      <c r="O5936" s="9" t="s">
        <v>79</v>
      </c>
      <c r="P5936" s="12" t="s">
        <v>18281</v>
      </c>
      <c r="Q5936" s="9" t="s">
        <v>37</v>
      </c>
      <c r="R5936" s="14" t="str">
        <f>HYPERLINK("https://my.pitchbook.com?c=129517-57T","View Company Online")</f>
        <v>View Company Online</v>
      </c>
    </row>
    <row r="5937" spans="1:18" hidden="1" x14ac:dyDescent="0.3">
      <c r="A5937" s="15" t="s">
        <v>18282</v>
      </c>
      <c r="B5937" s="15" t="s">
        <v>18283</v>
      </c>
      <c r="C5937" s="18" t="s">
        <v>28</v>
      </c>
      <c r="D5937" s="15" t="s">
        <v>18284</v>
      </c>
      <c r="E5937" s="18" t="s">
        <v>28</v>
      </c>
      <c r="F5937" s="19" t="s">
        <v>28</v>
      </c>
      <c r="G5937" s="19" t="s">
        <v>28</v>
      </c>
      <c r="H5937" s="19" t="s">
        <v>28</v>
      </c>
      <c r="I5937" s="18" t="s">
        <v>28</v>
      </c>
      <c r="J5937" s="18" t="s">
        <v>28</v>
      </c>
      <c r="K5937" s="18" t="s">
        <v>28</v>
      </c>
      <c r="L5937" s="18" t="s">
        <v>28</v>
      </c>
      <c r="M5937" s="18" t="s">
        <v>28</v>
      </c>
      <c r="N5937" s="17">
        <v>44041</v>
      </c>
      <c r="O5937" s="15" t="s">
        <v>173</v>
      </c>
      <c r="P5937" s="16" t="s">
        <v>28</v>
      </c>
      <c r="Q5937" s="15" t="s">
        <v>174</v>
      </c>
      <c r="R5937" s="13" t="str">
        <f>HYPERLINK("https://my.pitchbook.com?c=251086-69T","View Company Online")</f>
        <v>View Company Online</v>
      </c>
    </row>
    <row r="5938" spans="1:18" hidden="1" x14ac:dyDescent="0.3">
      <c r="A5938" s="9" t="s">
        <v>18285</v>
      </c>
      <c r="B5938" s="9" t="s">
        <v>18286</v>
      </c>
      <c r="C5938" s="11" t="s">
        <v>28</v>
      </c>
      <c r="D5938" s="9" t="s">
        <v>18287</v>
      </c>
      <c r="E5938" s="11" t="s">
        <v>28</v>
      </c>
      <c r="F5938" s="10" t="s">
        <v>28</v>
      </c>
      <c r="G5938" s="10">
        <v>9.39</v>
      </c>
      <c r="H5938" s="10" t="s">
        <v>28</v>
      </c>
      <c r="I5938" s="11" t="s">
        <v>28</v>
      </c>
      <c r="J5938" s="11" t="s">
        <v>28</v>
      </c>
      <c r="K5938" s="11" t="s">
        <v>28</v>
      </c>
      <c r="L5938" s="11" t="s">
        <v>28</v>
      </c>
      <c r="M5938" s="11" t="s">
        <v>28</v>
      </c>
      <c r="N5938" s="8">
        <v>44040</v>
      </c>
      <c r="O5938" s="9" t="s">
        <v>93</v>
      </c>
      <c r="P5938" s="12" t="s">
        <v>18288</v>
      </c>
      <c r="Q5938" s="9" t="s">
        <v>169</v>
      </c>
      <c r="R5938" s="14" t="str">
        <f>HYPERLINK("https://my.pitchbook.com?c=189127-81T","View Company Online")</f>
        <v>View Company Online</v>
      </c>
    </row>
    <row r="5939" spans="1:18" hidden="1" x14ac:dyDescent="0.3">
      <c r="A5939" s="15" t="s">
        <v>18289</v>
      </c>
      <c r="B5939" s="15" t="s">
        <v>5031</v>
      </c>
      <c r="C5939" s="18" t="s">
        <v>28</v>
      </c>
      <c r="D5939" s="15" t="s">
        <v>5032</v>
      </c>
      <c r="E5939" s="18" t="s">
        <v>28</v>
      </c>
      <c r="F5939" s="19" t="s">
        <v>28</v>
      </c>
      <c r="G5939" s="19">
        <v>2</v>
      </c>
      <c r="H5939" s="19">
        <v>17</v>
      </c>
      <c r="I5939" s="18" t="s">
        <v>28</v>
      </c>
      <c r="J5939" s="18" t="s">
        <v>28</v>
      </c>
      <c r="K5939" s="18" t="s">
        <v>28</v>
      </c>
      <c r="L5939" s="18" t="s">
        <v>28</v>
      </c>
      <c r="M5939" s="18" t="s">
        <v>28</v>
      </c>
      <c r="N5939" s="17">
        <v>44040</v>
      </c>
      <c r="O5939" s="15" t="s">
        <v>99</v>
      </c>
      <c r="P5939" s="16" t="s">
        <v>18290</v>
      </c>
      <c r="Q5939" s="15" t="s">
        <v>85</v>
      </c>
      <c r="R5939" s="13" t="str">
        <f>HYPERLINK("https://my.pitchbook.com?c=153810-55T","View Company Online")</f>
        <v>View Company Online</v>
      </c>
    </row>
    <row r="5940" spans="1:18" hidden="1" x14ac:dyDescent="0.3">
      <c r="A5940" s="9" t="s">
        <v>18291</v>
      </c>
      <c r="B5940" s="9" t="s">
        <v>1720</v>
      </c>
      <c r="C5940" s="11" t="s">
        <v>28</v>
      </c>
      <c r="D5940" s="9" t="s">
        <v>1721</v>
      </c>
      <c r="E5940" s="11" t="s">
        <v>28</v>
      </c>
      <c r="F5940" s="10" t="s">
        <v>28</v>
      </c>
      <c r="G5940" s="10">
        <v>0.94</v>
      </c>
      <c r="H5940" s="10" t="s">
        <v>28</v>
      </c>
      <c r="I5940" s="11" t="s">
        <v>28</v>
      </c>
      <c r="J5940" s="11" t="s">
        <v>28</v>
      </c>
      <c r="K5940" s="11" t="s">
        <v>28</v>
      </c>
      <c r="L5940" s="11" t="s">
        <v>28</v>
      </c>
      <c r="M5940" s="11" t="s">
        <v>28</v>
      </c>
      <c r="N5940" s="8">
        <v>44040</v>
      </c>
      <c r="O5940" s="9" t="s">
        <v>73</v>
      </c>
      <c r="P5940" s="12" t="s">
        <v>18292</v>
      </c>
      <c r="Q5940" s="9" t="s">
        <v>249</v>
      </c>
      <c r="R5940" s="14" t="str">
        <f>HYPERLINK("https://my.pitchbook.com?c=140855-41T","View Company Online")</f>
        <v>View Company Online</v>
      </c>
    </row>
    <row r="5941" spans="1:18" hidden="1" x14ac:dyDescent="0.3">
      <c r="A5941" s="15" t="s">
        <v>18293</v>
      </c>
      <c r="B5941" s="15" t="s">
        <v>18294</v>
      </c>
      <c r="C5941" s="18" t="s">
        <v>28</v>
      </c>
      <c r="D5941" s="15" t="s">
        <v>18295</v>
      </c>
      <c r="E5941" s="18" t="s">
        <v>28</v>
      </c>
      <c r="F5941" s="19">
        <v>33.78</v>
      </c>
      <c r="G5941" s="19">
        <v>33.78</v>
      </c>
      <c r="H5941" s="19">
        <v>33.78</v>
      </c>
      <c r="I5941" s="18" t="s">
        <v>28</v>
      </c>
      <c r="J5941" s="18" t="s">
        <v>28</v>
      </c>
      <c r="K5941" s="18" t="s">
        <v>28</v>
      </c>
      <c r="L5941" s="18" t="s">
        <v>28</v>
      </c>
      <c r="M5941" s="18" t="s">
        <v>28</v>
      </c>
      <c r="N5941" s="17">
        <v>44039</v>
      </c>
      <c r="O5941" s="15" t="s">
        <v>30</v>
      </c>
      <c r="P5941" s="16" t="s">
        <v>18296</v>
      </c>
      <c r="Q5941" s="15" t="s">
        <v>43</v>
      </c>
      <c r="R5941" s="13" t="str">
        <f>HYPERLINK("https://my.pitchbook.com?c=211608-73T","View Company Online")</f>
        <v>View Company Online</v>
      </c>
    </row>
    <row r="5942" spans="1:18" hidden="1" x14ac:dyDescent="0.3">
      <c r="A5942" s="9" t="s">
        <v>18297</v>
      </c>
      <c r="B5942" s="9" t="s">
        <v>18298</v>
      </c>
      <c r="C5942" s="11" t="s">
        <v>28</v>
      </c>
      <c r="D5942" s="9" t="s">
        <v>18299</v>
      </c>
      <c r="E5942" s="11" t="s">
        <v>28</v>
      </c>
      <c r="F5942" s="10" t="s">
        <v>28</v>
      </c>
      <c r="G5942" s="10" t="s">
        <v>28</v>
      </c>
      <c r="H5942" s="10" t="s">
        <v>28</v>
      </c>
      <c r="I5942" s="11" t="s">
        <v>28</v>
      </c>
      <c r="J5942" s="11" t="s">
        <v>28</v>
      </c>
      <c r="K5942" s="11" t="s">
        <v>28</v>
      </c>
      <c r="L5942" s="11" t="s">
        <v>28</v>
      </c>
      <c r="M5942" s="11" t="s">
        <v>28</v>
      </c>
      <c r="N5942" s="8">
        <v>44039</v>
      </c>
      <c r="O5942" s="9" t="s">
        <v>30</v>
      </c>
      <c r="P5942" s="12" t="s">
        <v>17334</v>
      </c>
      <c r="Q5942" s="9" t="s">
        <v>424</v>
      </c>
      <c r="R5942" s="14" t="str">
        <f>HYPERLINK("https://my.pitchbook.com?c=161005-87T","View Company Online")</f>
        <v>View Company Online</v>
      </c>
    </row>
    <row r="5943" spans="1:18" hidden="1" x14ac:dyDescent="0.3">
      <c r="A5943" s="15" t="s">
        <v>18300</v>
      </c>
      <c r="B5943" s="15" t="s">
        <v>9600</v>
      </c>
      <c r="C5943" s="18" t="s">
        <v>28</v>
      </c>
      <c r="D5943" s="15" t="s">
        <v>9601</v>
      </c>
      <c r="E5943" s="18" t="s">
        <v>28</v>
      </c>
      <c r="F5943" s="19">
        <v>9.3699999999999992</v>
      </c>
      <c r="G5943" s="19">
        <v>9.3699999999999992</v>
      </c>
      <c r="H5943" s="19">
        <v>9.3699999999999992</v>
      </c>
      <c r="I5943" s="18" t="s">
        <v>28</v>
      </c>
      <c r="J5943" s="18" t="s">
        <v>28</v>
      </c>
      <c r="K5943" s="18" t="s">
        <v>28</v>
      </c>
      <c r="L5943" s="18" t="s">
        <v>28</v>
      </c>
      <c r="M5943" s="18" t="s">
        <v>28</v>
      </c>
      <c r="N5943" s="17">
        <v>44037</v>
      </c>
      <c r="O5943" s="15" t="s">
        <v>30</v>
      </c>
      <c r="P5943" s="16" t="s">
        <v>5312</v>
      </c>
      <c r="Q5943" s="15" t="s">
        <v>119</v>
      </c>
      <c r="R5943" s="13" t="str">
        <f>HYPERLINK("https://my.pitchbook.com?c=176641-21T","View Company Online")</f>
        <v>View Company Online</v>
      </c>
    </row>
    <row r="5944" spans="1:18" hidden="1" x14ac:dyDescent="0.3">
      <c r="A5944" s="9" t="s">
        <v>18301</v>
      </c>
      <c r="B5944" s="9" t="s">
        <v>14826</v>
      </c>
      <c r="C5944" s="11" t="s">
        <v>28</v>
      </c>
      <c r="D5944" s="9" t="s">
        <v>14827</v>
      </c>
      <c r="E5944" s="11" t="s">
        <v>28</v>
      </c>
      <c r="F5944" s="10" t="s">
        <v>28</v>
      </c>
      <c r="G5944" s="10">
        <v>86.84</v>
      </c>
      <c r="H5944" s="10">
        <v>299.45</v>
      </c>
      <c r="I5944" s="11" t="s">
        <v>28</v>
      </c>
      <c r="J5944" s="11" t="s">
        <v>28</v>
      </c>
      <c r="K5944" s="11">
        <v>19.41</v>
      </c>
      <c r="L5944" s="11">
        <v>15.43</v>
      </c>
      <c r="M5944" s="11" t="s">
        <v>28</v>
      </c>
      <c r="N5944" s="8">
        <v>44036</v>
      </c>
      <c r="O5944" s="9" t="s">
        <v>93</v>
      </c>
      <c r="P5944" s="12" t="s">
        <v>18302</v>
      </c>
      <c r="Q5944" s="9" t="s">
        <v>75</v>
      </c>
      <c r="R5944" s="14" t="str">
        <f>HYPERLINK("https://my.pitchbook.com?c=166818-16T","View Company Online")</f>
        <v>View Company Online</v>
      </c>
    </row>
    <row r="5945" spans="1:18" hidden="1" x14ac:dyDescent="0.3">
      <c r="A5945" s="15" t="s">
        <v>18303</v>
      </c>
      <c r="B5945" s="15" t="s">
        <v>18304</v>
      </c>
      <c r="C5945" s="18" t="s">
        <v>28</v>
      </c>
      <c r="D5945" s="15" t="s">
        <v>18305</v>
      </c>
      <c r="E5945" s="18">
        <v>0.59</v>
      </c>
      <c r="F5945" s="19" t="s">
        <v>28</v>
      </c>
      <c r="G5945" s="19" t="s">
        <v>28</v>
      </c>
      <c r="H5945" s="19" t="s">
        <v>28</v>
      </c>
      <c r="I5945" s="18">
        <v>0.59</v>
      </c>
      <c r="J5945" s="18" t="s">
        <v>28</v>
      </c>
      <c r="K5945" s="18">
        <v>18.48</v>
      </c>
      <c r="L5945" s="18" t="s">
        <v>28</v>
      </c>
      <c r="M5945" s="18">
        <v>0.59</v>
      </c>
      <c r="N5945" s="17">
        <v>44036</v>
      </c>
      <c r="O5945" s="15" t="s">
        <v>173</v>
      </c>
      <c r="P5945" s="16" t="s">
        <v>28</v>
      </c>
      <c r="Q5945" s="15" t="s">
        <v>174</v>
      </c>
      <c r="R5945" s="13" t="str">
        <f>HYPERLINK("https://my.pitchbook.com?c=251534-53T","View Company Online")</f>
        <v>View Company Online</v>
      </c>
    </row>
    <row r="5946" spans="1:18" hidden="1" x14ac:dyDescent="0.3">
      <c r="A5946" s="9" t="s">
        <v>18306</v>
      </c>
      <c r="B5946" s="9" t="s">
        <v>12777</v>
      </c>
      <c r="C5946" s="11" t="s">
        <v>28</v>
      </c>
      <c r="D5946" s="9" t="s">
        <v>12778</v>
      </c>
      <c r="E5946" s="11" t="s">
        <v>28</v>
      </c>
      <c r="F5946" s="10" t="s">
        <v>28</v>
      </c>
      <c r="G5946" s="10">
        <v>0.19</v>
      </c>
      <c r="H5946" s="10" t="s">
        <v>28</v>
      </c>
      <c r="I5946" s="11" t="s">
        <v>28</v>
      </c>
      <c r="J5946" s="11" t="s">
        <v>28</v>
      </c>
      <c r="K5946" s="11" t="s">
        <v>28</v>
      </c>
      <c r="L5946" s="11" t="s">
        <v>28</v>
      </c>
      <c r="M5946" s="11" t="s">
        <v>28</v>
      </c>
      <c r="N5946" s="8">
        <v>44036</v>
      </c>
      <c r="O5946" s="9" t="s">
        <v>99</v>
      </c>
      <c r="P5946" s="12" t="s">
        <v>18307</v>
      </c>
      <c r="Q5946" s="9" t="s">
        <v>85</v>
      </c>
      <c r="R5946" s="14" t="str">
        <f>HYPERLINK("https://my.pitchbook.com?c=140868-55T","View Company Online")</f>
        <v>View Company Online</v>
      </c>
    </row>
    <row r="5947" spans="1:18" hidden="1" x14ac:dyDescent="0.3">
      <c r="A5947" s="15" t="s">
        <v>18308</v>
      </c>
      <c r="B5947" s="15" t="s">
        <v>18309</v>
      </c>
      <c r="C5947" s="18" t="s">
        <v>28</v>
      </c>
      <c r="D5947" s="15" t="s">
        <v>18310</v>
      </c>
      <c r="E5947" s="18" t="s">
        <v>28</v>
      </c>
      <c r="F5947" s="19" t="s">
        <v>28</v>
      </c>
      <c r="G5947" s="19">
        <v>0.56000000000000005</v>
      </c>
      <c r="H5947" s="19" t="s">
        <v>28</v>
      </c>
      <c r="I5947" s="18" t="s">
        <v>28</v>
      </c>
      <c r="J5947" s="18" t="s">
        <v>28</v>
      </c>
      <c r="K5947" s="18" t="s">
        <v>28</v>
      </c>
      <c r="L5947" s="18" t="s">
        <v>28</v>
      </c>
      <c r="M5947" s="18" t="s">
        <v>28</v>
      </c>
      <c r="N5947" s="17">
        <v>44036</v>
      </c>
      <c r="O5947" s="15" t="s">
        <v>73</v>
      </c>
      <c r="P5947" s="16" t="s">
        <v>18311</v>
      </c>
      <c r="Q5947" s="15" t="s">
        <v>245</v>
      </c>
      <c r="R5947" s="13" t="str">
        <f>HYPERLINK("https://my.pitchbook.com?c=154982-80T","View Company Online")</f>
        <v>View Company Online</v>
      </c>
    </row>
    <row r="5948" spans="1:18" hidden="1" x14ac:dyDescent="0.3">
      <c r="A5948" s="9" t="s">
        <v>18312</v>
      </c>
      <c r="B5948" s="9" t="s">
        <v>18313</v>
      </c>
      <c r="C5948" s="11" t="s">
        <v>28</v>
      </c>
      <c r="D5948" s="9" t="s">
        <v>18314</v>
      </c>
      <c r="E5948" s="11" t="s">
        <v>28</v>
      </c>
      <c r="F5948" s="10" t="s">
        <v>28</v>
      </c>
      <c r="G5948" s="10" t="s">
        <v>28</v>
      </c>
      <c r="H5948" s="10" t="s">
        <v>28</v>
      </c>
      <c r="I5948" s="11" t="s">
        <v>28</v>
      </c>
      <c r="J5948" s="11" t="s">
        <v>28</v>
      </c>
      <c r="K5948" s="11" t="s">
        <v>28</v>
      </c>
      <c r="L5948" s="11" t="s">
        <v>28</v>
      </c>
      <c r="M5948" s="11" t="s">
        <v>28</v>
      </c>
      <c r="N5948" s="8">
        <v>44035</v>
      </c>
      <c r="O5948" s="9" t="s">
        <v>30</v>
      </c>
      <c r="P5948" s="12" t="s">
        <v>18315</v>
      </c>
      <c r="Q5948" s="9" t="s">
        <v>37</v>
      </c>
      <c r="R5948" s="14" t="str">
        <f>HYPERLINK("https://my.pitchbook.com?c=140320-54T","View Company Online")</f>
        <v>View Company Online</v>
      </c>
    </row>
    <row r="5949" spans="1:18" hidden="1" x14ac:dyDescent="0.3">
      <c r="A5949" s="15" t="s">
        <v>18316</v>
      </c>
      <c r="B5949" s="15" t="s">
        <v>18317</v>
      </c>
      <c r="C5949" s="18" t="s">
        <v>28</v>
      </c>
      <c r="D5949" s="15" t="s">
        <v>18318</v>
      </c>
      <c r="E5949" s="18" t="s">
        <v>28</v>
      </c>
      <c r="F5949" s="19" t="s">
        <v>28</v>
      </c>
      <c r="G5949" s="19" t="s">
        <v>28</v>
      </c>
      <c r="H5949" s="19" t="s">
        <v>28</v>
      </c>
      <c r="I5949" s="18" t="s">
        <v>28</v>
      </c>
      <c r="J5949" s="18" t="s">
        <v>28</v>
      </c>
      <c r="K5949" s="18" t="s">
        <v>28</v>
      </c>
      <c r="L5949" s="18" t="s">
        <v>28</v>
      </c>
      <c r="M5949" s="18" t="s">
        <v>28</v>
      </c>
      <c r="N5949" s="17">
        <v>44035</v>
      </c>
      <c r="O5949" s="15" t="s">
        <v>52</v>
      </c>
      <c r="P5949" s="16" t="s">
        <v>18319</v>
      </c>
      <c r="Q5949" s="15" t="s">
        <v>114</v>
      </c>
      <c r="R5949" s="13" t="str">
        <f>HYPERLINK("https://my.pitchbook.com?c=174943-54T","View Company Online")</f>
        <v>View Company Online</v>
      </c>
    </row>
    <row r="5950" spans="1:18" hidden="1" x14ac:dyDescent="0.3">
      <c r="A5950" s="9" t="s">
        <v>18320</v>
      </c>
      <c r="B5950" s="9" t="s">
        <v>18321</v>
      </c>
      <c r="C5950" s="11" t="s">
        <v>28</v>
      </c>
      <c r="D5950" s="9" t="s">
        <v>18322</v>
      </c>
      <c r="E5950" s="11" t="s">
        <v>28</v>
      </c>
      <c r="F5950" s="10" t="s">
        <v>28</v>
      </c>
      <c r="G5950" s="10">
        <v>1.87</v>
      </c>
      <c r="H5950" s="10" t="s">
        <v>28</v>
      </c>
      <c r="I5950" s="11" t="s">
        <v>28</v>
      </c>
      <c r="J5950" s="11" t="s">
        <v>28</v>
      </c>
      <c r="K5950" s="11" t="s">
        <v>28</v>
      </c>
      <c r="L5950" s="11" t="s">
        <v>28</v>
      </c>
      <c r="M5950" s="11" t="s">
        <v>28</v>
      </c>
      <c r="N5950" s="8">
        <v>44035</v>
      </c>
      <c r="O5950" s="9" t="s">
        <v>379</v>
      </c>
      <c r="P5950" s="12" t="s">
        <v>18323</v>
      </c>
      <c r="Q5950" s="9" t="s">
        <v>75</v>
      </c>
      <c r="R5950" s="14" t="str">
        <f>HYPERLINK("https://my.pitchbook.com?c=146286-91T","View Company Online")</f>
        <v>View Company Online</v>
      </c>
    </row>
    <row r="5951" spans="1:18" hidden="1" x14ac:dyDescent="0.3">
      <c r="A5951" s="15" t="s">
        <v>18324</v>
      </c>
      <c r="B5951" s="15" t="s">
        <v>18325</v>
      </c>
      <c r="C5951" s="18" t="s">
        <v>28</v>
      </c>
      <c r="D5951" s="15" t="s">
        <v>18326</v>
      </c>
      <c r="E5951" s="18" t="s">
        <v>28</v>
      </c>
      <c r="F5951" s="19">
        <v>1.5</v>
      </c>
      <c r="G5951" s="19">
        <v>1.5</v>
      </c>
      <c r="H5951" s="19">
        <v>1.5</v>
      </c>
      <c r="I5951" s="18" t="s">
        <v>28</v>
      </c>
      <c r="J5951" s="18" t="s">
        <v>28</v>
      </c>
      <c r="K5951" s="18" t="s">
        <v>28</v>
      </c>
      <c r="L5951" s="18" t="s">
        <v>28</v>
      </c>
      <c r="M5951" s="18" t="s">
        <v>28</v>
      </c>
      <c r="N5951" s="17">
        <v>44035</v>
      </c>
      <c r="O5951" s="15" t="s">
        <v>30</v>
      </c>
      <c r="P5951" s="16" t="s">
        <v>18327</v>
      </c>
      <c r="Q5951" s="15" t="s">
        <v>75</v>
      </c>
      <c r="R5951" s="13" t="str">
        <f>HYPERLINK("https://my.pitchbook.com?c=142566-76T","View Company Online")</f>
        <v>View Company Online</v>
      </c>
    </row>
    <row r="5952" spans="1:18" hidden="1" x14ac:dyDescent="0.3">
      <c r="A5952" s="9" t="s">
        <v>18328</v>
      </c>
      <c r="B5952" s="9" t="s">
        <v>18329</v>
      </c>
      <c r="C5952" s="11" t="s">
        <v>28</v>
      </c>
      <c r="D5952" s="9" t="s">
        <v>18330</v>
      </c>
      <c r="E5952" s="11" t="s">
        <v>28</v>
      </c>
      <c r="F5952" s="10" t="s">
        <v>28</v>
      </c>
      <c r="G5952" s="10" t="s">
        <v>28</v>
      </c>
      <c r="H5952" s="10" t="s">
        <v>28</v>
      </c>
      <c r="I5952" s="11" t="s">
        <v>28</v>
      </c>
      <c r="J5952" s="11" t="s">
        <v>28</v>
      </c>
      <c r="K5952" s="11" t="s">
        <v>28</v>
      </c>
      <c r="L5952" s="11" t="s">
        <v>28</v>
      </c>
      <c r="M5952" s="11" t="s">
        <v>28</v>
      </c>
      <c r="N5952" s="8">
        <v>44034</v>
      </c>
      <c r="O5952" s="9" t="s">
        <v>30</v>
      </c>
      <c r="P5952" s="12" t="s">
        <v>18331</v>
      </c>
      <c r="Q5952" s="9" t="s">
        <v>75</v>
      </c>
      <c r="R5952" s="14" t="str">
        <f>HYPERLINK("https://my.pitchbook.com?c=167060-08T","View Company Online")</f>
        <v>View Company Online</v>
      </c>
    </row>
    <row r="5953" spans="1:18" hidden="1" x14ac:dyDescent="0.3">
      <c r="A5953" s="15" t="s">
        <v>18332</v>
      </c>
      <c r="B5953" s="15" t="s">
        <v>4371</v>
      </c>
      <c r="C5953" s="18" t="s">
        <v>28</v>
      </c>
      <c r="D5953" s="15" t="s">
        <v>4372</v>
      </c>
      <c r="E5953" s="18" t="s">
        <v>28</v>
      </c>
      <c r="F5953" s="19" t="s">
        <v>28</v>
      </c>
      <c r="G5953" s="19">
        <v>3.74</v>
      </c>
      <c r="H5953" s="19" t="s">
        <v>28</v>
      </c>
      <c r="I5953" s="18">
        <v>-0.47</v>
      </c>
      <c r="J5953" s="18" t="s">
        <v>28</v>
      </c>
      <c r="K5953" s="18">
        <v>0.51</v>
      </c>
      <c r="L5953" s="18" t="s">
        <v>28</v>
      </c>
      <c r="M5953" s="18" t="s">
        <v>28</v>
      </c>
      <c r="N5953" s="17">
        <v>44034</v>
      </c>
      <c r="O5953" s="15" t="s">
        <v>73</v>
      </c>
      <c r="P5953" s="16" t="s">
        <v>18333</v>
      </c>
      <c r="Q5953" s="15" t="s">
        <v>4374</v>
      </c>
      <c r="R5953" s="13" t="str">
        <f>HYPERLINK("https://my.pitchbook.com?c=202229-29T","View Company Online")</f>
        <v>View Company Online</v>
      </c>
    </row>
    <row r="5954" spans="1:18" hidden="1" x14ac:dyDescent="0.3">
      <c r="A5954" s="9" t="s">
        <v>18334</v>
      </c>
      <c r="B5954" s="9" t="s">
        <v>8220</v>
      </c>
      <c r="C5954" s="11" t="s">
        <v>28</v>
      </c>
      <c r="D5954" s="9" t="s">
        <v>8221</v>
      </c>
      <c r="E5954" s="11" t="s">
        <v>28</v>
      </c>
      <c r="F5954" s="10" t="s">
        <v>28</v>
      </c>
      <c r="G5954" s="10">
        <v>0.19</v>
      </c>
      <c r="H5954" s="10" t="s">
        <v>28</v>
      </c>
      <c r="I5954" s="11" t="s">
        <v>28</v>
      </c>
      <c r="J5954" s="11" t="s">
        <v>28</v>
      </c>
      <c r="K5954" s="11" t="s">
        <v>28</v>
      </c>
      <c r="L5954" s="11" t="s">
        <v>28</v>
      </c>
      <c r="M5954" s="11" t="s">
        <v>28</v>
      </c>
      <c r="N5954" s="8">
        <v>44034</v>
      </c>
      <c r="O5954" s="9" t="s">
        <v>73</v>
      </c>
      <c r="P5954" s="12" t="s">
        <v>18335</v>
      </c>
      <c r="Q5954" s="9" t="s">
        <v>404</v>
      </c>
      <c r="R5954" s="14" t="str">
        <f>HYPERLINK("https://my.pitchbook.com?c=140303-80T","View Company Online")</f>
        <v>View Company Online</v>
      </c>
    </row>
    <row r="5955" spans="1:18" hidden="1" x14ac:dyDescent="0.3">
      <c r="A5955" s="15" t="s">
        <v>18336</v>
      </c>
      <c r="B5955" s="15" t="s">
        <v>902</v>
      </c>
      <c r="C5955" s="18" t="s">
        <v>28</v>
      </c>
      <c r="D5955" s="15" t="s">
        <v>903</v>
      </c>
      <c r="E5955" s="18" t="s">
        <v>28</v>
      </c>
      <c r="F5955" s="19" t="s">
        <v>28</v>
      </c>
      <c r="G5955" s="19">
        <v>3.93</v>
      </c>
      <c r="H5955" s="19" t="s">
        <v>28</v>
      </c>
      <c r="I5955" s="18" t="s">
        <v>28</v>
      </c>
      <c r="J5955" s="18" t="s">
        <v>28</v>
      </c>
      <c r="K5955" s="18" t="s">
        <v>28</v>
      </c>
      <c r="L5955" s="18" t="s">
        <v>28</v>
      </c>
      <c r="M5955" s="18" t="s">
        <v>28</v>
      </c>
      <c r="N5955" s="17">
        <v>44034</v>
      </c>
      <c r="O5955" s="15" t="s">
        <v>73</v>
      </c>
      <c r="P5955" s="16" t="s">
        <v>18337</v>
      </c>
      <c r="Q5955" s="15" t="s">
        <v>114</v>
      </c>
      <c r="R5955" s="13" t="str">
        <f>HYPERLINK("https://my.pitchbook.com?c=140100-94T","View Company Online")</f>
        <v>View Company Online</v>
      </c>
    </row>
    <row r="5956" spans="1:18" hidden="1" x14ac:dyDescent="0.3">
      <c r="A5956" s="9" t="s">
        <v>18338</v>
      </c>
      <c r="B5956" s="9" t="s">
        <v>18339</v>
      </c>
      <c r="C5956" s="11" t="s">
        <v>28</v>
      </c>
      <c r="D5956" s="9" t="s">
        <v>18340</v>
      </c>
      <c r="E5956" s="11" t="s">
        <v>28</v>
      </c>
      <c r="F5956" s="10" t="s">
        <v>28</v>
      </c>
      <c r="G5956" s="10" t="s">
        <v>28</v>
      </c>
      <c r="H5956" s="10" t="s">
        <v>28</v>
      </c>
      <c r="I5956" s="11" t="s">
        <v>28</v>
      </c>
      <c r="J5956" s="11" t="s">
        <v>28</v>
      </c>
      <c r="K5956" s="11">
        <v>0.39</v>
      </c>
      <c r="L5956" s="11" t="s">
        <v>28</v>
      </c>
      <c r="M5956" s="11" t="s">
        <v>28</v>
      </c>
      <c r="N5956" s="8">
        <v>44034</v>
      </c>
      <c r="O5956" s="9" t="s">
        <v>79</v>
      </c>
      <c r="P5956" s="12" t="s">
        <v>28</v>
      </c>
      <c r="Q5956" s="9" t="s">
        <v>362</v>
      </c>
      <c r="R5956" s="14" t="str">
        <f>HYPERLINK("https://my.pitchbook.com?c=165861-46T","View Company Online")</f>
        <v>View Company Online</v>
      </c>
    </row>
    <row r="5957" spans="1:18" hidden="1" x14ac:dyDescent="0.3">
      <c r="A5957" s="15" t="s">
        <v>18341</v>
      </c>
      <c r="B5957" s="15" t="s">
        <v>9377</v>
      </c>
      <c r="C5957" s="18" t="s">
        <v>28</v>
      </c>
      <c r="D5957" s="15" t="s">
        <v>9378</v>
      </c>
      <c r="E5957" s="18" t="s">
        <v>28</v>
      </c>
      <c r="F5957" s="19">
        <v>33.64</v>
      </c>
      <c r="G5957" s="19">
        <v>33.64</v>
      </c>
      <c r="H5957" s="19">
        <v>33.64</v>
      </c>
      <c r="I5957" s="18" t="s">
        <v>28</v>
      </c>
      <c r="J5957" s="18" t="s">
        <v>28</v>
      </c>
      <c r="K5957" s="18" t="s">
        <v>28</v>
      </c>
      <c r="L5957" s="18" t="s">
        <v>28</v>
      </c>
      <c r="M5957" s="18" t="s">
        <v>28</v>
      </c>
      <c r="N5957" s="17">
        <v>44033</v>
      </c>
      <c r="O5957" s="15" t="s">
        <v>41</v>
      </c>
      <c r="P5957" s="16" t="s">
        <v>18342</v>
      </c>
      <c r="Q5957" s="15" t="s">
        <v>1007</v>
      </c>
      <c r="R5957" s="13" t="str">
        <f>HYPERLINK("https://my.pitchbook.com?c=173472-22T","View Company Online")</f>
        <v>View Company Online</v>
      </c>
    </row>
    <row r="5958" spans="1:18" hidden="1" x14ac:dyDescent="0.3">
      <c r="A5958" s="9" t="s">
        <v>18343</v>
      </c>
      <c r="B5958" s="9" t="s">
        <v>18344</v>
      </c>
      <c r="C5958" s="11" t="s">
        <v>28</v>
      </c>
      <c r="D5958" s="9" t="s">
        <v>18345</v>
      </c>
      <c r="E5958" s="11" t="s">
        <v>28</v>
      </c>
      <c r="F5958" s="10" t="s">
        <v>28</v>
      </c>
      <c r="G5958" s="10" t="s">
        <v>28</v>
      </c>
      <c r="H5958" s="10" t="s">
        <v>28</v>
      </c>
      <c r="I5958" s="11" t="s">
        <v>28</v>
      </c>
      <c r="J5958" s="11" t="s">
        <v>28</v>
      </c>
      <c r="K5958" s="11" t="s">
        <v>28</v>
      </c>
      <c r="L5958" s="11" t="s">
        <v>28</v>
      </c>
      <c r="M5958" s="11" t="s">
        <v>28</v>
      </c>
      <c r="N5958" s="8">
        <v>44033</v>
      </c>
      <c r="O5958" s="9" t="s">
        <v>379</v>
      </c>
      <c r="P5958" s="12" t="s">
        <v>18346</v>
      </c>
      <c r="Q5958" s="9" t="s">
        <v>362</v>
      </c>
      <c r="R5958" s="14" t="str">
        <f>HYPERLINK("https://my.pitchbook.com?c=155834-83T","View Company Online")</f>
        <v>View Company Online</v>
      </c>
    </row>
    <row r="5959" spans="1:18" hidden="1" x14ac:dyDescent="0.3">
      <c r="A5959" s="15" t="s">
        <v>18347</v>
      </c>
      <c r="B5959" s="15" t="s">
        <v>13838</v>
      </c>
      <c r="C5959" s="18" t="s">
        <v>28</v>
      </c>
      <c r="D5959" s="15" t="s">
        <v>13839</v>
      </c>
      <c r="E5959" s="18" t="s">
        <v>28</v>
      </c>
      <c r="F5959" s="19" t="s">
        <v>28</v>
      </c>
      <c r="G5959" s="19" t="s">
        <v>28</v>
      </c>
      <c r="H5959" s="19" t="s">
        <v>28</v>
      </c>
      <c r="I5959" s="18" t="s">
        <v>28</v>
      </c>
      <c r="J5959" s="18" t="s">
        <v>28</v>
      </c>
      <c r="K5959" s="18" t="s">
        <v>28</v>
      </c>
      <c r="L5959" s="18" t="s">
        <v>28</v>
      </c>
      <c r="M5959" s="18" t="s">
        <v>28</v>
      </c>
      <c r="N5959" s="17">
        <v>44032</v>
      </c>
      <c r="O5959" s="15" t="s">
        <v>52</v>
      </c>
      <c r="P5959" s="16" t="s">
        <v>1880</v>
      </c>
      <c r="Q5959" s="15" t="s">
        <v>583</v>
      </c>
      <c r="R5959" s="13" t="str">
        <f>HYPERLINK("https://my.pitchbook.com?c=159882-58T","View Company Online")</f>
        <v>View Company Online</v>
      </c>
    </row>
    <row r="5960" spans="1:18" hidden="1" x14ac:dyDescent="0.3">
      <c r="A5960" s="9" t="s">
        <v>18348</v>
      </c>
      <c r="B5960" s="9" t="s">
        <v>18349</v>
      </c>
      <c r="C5960" s="11" t="s">
        <v>28</v>
      </c>
      <c r="D5960" s="9" t="s">
        <v>18350</v>
      </c>
      <c r="E5960" s="11" t="s">
        <v>28</v>
      </c>
      <c r="F5960" s="10" t="s">
        <v>28</v>
      </c>
      <c r="G5960" s="10" t="s">
        <v>28</v>
      </c>
      <c r="H5960" s="10" t="s">
        <v>28</v>
      </c>
      <c r="I5960" s="11" t="s">
        <v>28</v>
      </c>
      <c r="J5960" s="11" t="s">
        <v>28</v>
      </c>
      <c r="K5960" s="11" t="s">
        <v>28</v>
      </c>
      <c r="L5960" s="11" t="s">
        <v>28</v>
      </c>
      <c r="M5960" s="11" t="s">
        <v>28</v>
      </c>
      <c r="N5960" s="8">
        <v>44032</v>
      </c>
      <c r="O5960" s="9" t="s">
        <v>52</v>
      </c>
      <c r="P5960" s="12" t="s">
        <v>1880</v>
      </c>
      <c r="Q5960" s="9" t="s">
        <v>75</v>
      </c>
      <c r="R5960" s="14" t="str">
        <f>HYPERLINK("https://my.pitchbook.com?c=159890-59T","View Company Online")</f>
        <v>View Company Online</v>
      </c>
    </row>
    <row r="5961" spans="1:18" hidden="1" x14ac:dyDescent="0.3">
      <c r="A5961" s="15" t="s">
        <v>18351</v>
      </c>
      <c r="B5961" s="15" t="s">
        <v>16209</v>
      </c>
      <c r="C5961" s="18" t="s">
        <v>28</v>
      </c>
      <c r="D5961" s="15" t="s">
        <v>16210</v>
      </c>
      <c r="E5961" s="18" t="s">
        <v>28</v>
      </c>
      <c r="F5961" s="19" t="s">
        <v>28</v>
      </c>
      <c r="G5961" s="19" t="s">
        <v>28</v>
      </c>
      <c r="H5961" s="19" t="s">
        <v>28</v>
      </c>
      <c r="I5961" s="18" t="s">
        <v>28</v>
      </c>
      <c r="J5961" s="18" t="s">
        <v>28</v>
      </c>
      <c r="K5961" s="18" t="s">
        <v>28</v>
      </c>
      <c r="L5961" s="18" t="s">
        <v>28</v>
      </c>
      <c r="M5961" s="18" t="s">
        <v>28</v>
      </c>
      <c r="N5961" s="17">
        <v>44032</v>
      </c>
      <c r="O5961" s="15" t="s">
        <v>52</v>
      </c>
      <c r="P5961" s="16" t="s">
        <v>18352</v>
      </c>
      <c r="Q5961" s="15" t="s">
        <v>245</v>
      </c>
      <c r="R5961" s="13" t="str">
        <f>HYPERLINK("https://my.pitchbook.com?c=165248-65T","View Company Online")</f>
        <v>View Company Online</v>
      </c>
    </row>
    <row r="5962" spans="1:18" hidden="1" x14ac:dyDescent="0.3">
      <c r="A5962" s="9" t="s">
        <v>18353</v>
      </c>
      <c r="B5962" s="9" t="s">
        <v>18354</v>
      </c>
      <c r="C5962" s="11" t="s">
        <v>28</v>
      </c>
      <c r="D5962" s="9" t="s">
        <v>18355</v>
      </c>
      <c r="E5962" s="11" t="s">
        <v>28</v>
      </c>
      <c r="F5962" s="10" t="s">
        <v>28</v>
      </c>
      <c r="G5962" s="10" t="s">
        <v>28</v>
      </c>
      <c r="H5962" s="10" t="s">
        <v>28</v>
      </c>
      <c r="I5962" s="11" t="s">
        <v>28</v>
      </c>
      <c r="J5962" s="11" t="s">
        <v>28</v>
      </c>
      <c r="K5962" s="11" t="s">
        <v>28</v>
      </c>
      <c r="L5962" s="11" t="s">
        <v>28</v>
      </c>
      <c r="M5962" s="11" t="s">
        <v>28</v>
      </c>
      <c r="N5962" s="8">
        <v>44032</v>
      </c>
      <c r="O5962" s="9" t="s">
        <v>52</v>
      </c>
      <c r="P5962" s="12" t="s">
        <v>1880</v>
      </c>
      <c r="Q5962" s="9" t="s">
        <v>75</v>
      </c>
      <c r="R5962" s="14" t="str">
        <f>HYPERLINK("https://my.pitchbook.com?c=195486-94T","View Company Online")</f>
        <v>View Company Online</v>
      </c>
    </row>
    <row r="5963" spans="1:18" hidden="1" x14ac:dyDescent="0.3">
      <c r="A5963" s="15" t="s">
        <v>18356</v>
      </c>
      <c r="B5963" s="15" t="s">
        <v>1984</v>
      </c>
      <c r="C5963" s="18" t="s">
        <v>28</v>
      </c>
      <c r="D5963" s="15" t="s">
        <v>1985</v>
      </c>
      <c r="E5963" s="18" t="s">
        <v>28</v>
      </c>
      <c r="F5963" s="19" t="s">
        <v>28</v>
      </c>
      <c r="G5963" s="19" t="s">
        <v>28</v>
      </c>
      <c r="H5963" s="19" t="s">
        <v>28</v>
      </c>
      <c r="I5963" s="18" t="s">
        <v>28</v>
      </c>
      <c r="J5963" s="18" t="s">
        <v>28</v>
      </c>
      <c r="K5963" s="18">
        <v>0.52</v>
      </c>
      <c r="L5963" s="18" t="s">
        <v>28</v>
      </c>
      <c r="M5963" s="18" t="s">
        <v>28</v>
      </c>
      <c r="N5963" s="17">
        <v>44032</v>
      </c>
      <c r="O5963" s="15" t="s">
        <v>52</v>
      </c>
      <c r="P5963" s="16" t="s">
        <v>2498</v>
      </c>
      <c r="Q5963" s="15" t="s">
        <v>75</v>
      </c>
      <c r="R5963" s="13" t="str">
        <f>HYPERLINK("https://my.pitchbook.com?c=195490-72T","View Company Online")</f>
        <v>View Company Online</v>
      </c>
    </row>
    <row r="5964" spans="1:18" hidden="1" x14ac:dyDescent="0.3">
      <c r="A5964" s="9" t="s">
        <v>18357</v>
      </c>
      <c r="B5964" s="9" t="s">
        <v>694</v>
      </c>
      <c r="C5964" s="11" t="s">
        <v>28</v>
      </c>
      <c r="D5964" s="9" t="s">
        <v>695</v>
      </c>
      <c r="E5964" s="11" t="s">
        <v>28</v>
      </c>
      <c r="F5964" s="10" t="s">
        <v>28</v>
      </c>
      <c r="G5964" s="10" t="s">
        <v>28</v>
      </c>
      <c r="H5964" s="10" t="s">
        <v>28</v>
      </c>
      <c r="I5964" s="11" t="s">
        <v>28</v>
      </c>
      <c r="J5964" s="11" t="s">
        <v>28</v>
      </c>
      <c r="K5964" s="11">
        <v>43</v>
      </c>
      <c r="L5964" s="11" t="s">
        <v>28</v>
      </c>
      <c r="M5964" s="11" t="s">
        <v>28</v>
      </c>
      <c r="N5964" s="8">
        <v>44032</v>
      </c>
      <c r="O5964" s="9" t="s">
        <v>52</v>
      </c>
      <c r="P5964" s="12" t="s">
        <v>1880</v>
      </c>
      <c r="Q5964" s="9" t="s">
        <v>696</v>
      </c>
      <c r="R5964" s="14" t="str">
        <f>HYPERLINK("https://my.pitchbook.com?c=195496-12T","View Company Online")</f>
        <v>View Company Online</v>
      </c>
    </row>
    <row r="5965" spans="1:18" hidden="1" x14ac:dyDescent="0.3">
      <c r="A5965" s="15" t="s">
        <v>18358</v>
      </c>
      <c r="B5965" s="15" t="s">
        <v>16643</v>
      </c>
      <c r="C5965" s="18" t="s">
        <v>28</v>
      </c>
      <c r="D5965" s="15" t="s">
        <v>16644</v>
      </c>
      <c r="E5965" s="18" t="s">
        <v>28</v>
      </c>
      <c r="F5965" s="19" t="s">
        <v>28</v>
      </c>
      <c r="G5965" s="19" t="s">
        <v>28</v>
      </c>
      <c r="H5965" s="19" t="s">
        <v>28</v>
      </c>
      <c r="I5965" s="18" t="s">
        <v>28</v>
      </c>
      <c r="J5965" s="18" t="s">
        <v>28</v>
      </c>
      <c r="K5965" s="18" t="s">
        <v>28</v>
      </c>
      <c r="L5965" s="18" t="s">
        <v>28</v>
      </c>
      <c r="M5965" s="18" t="s">
        <v>28</v>
      </c>
      <c r="N5965" s="17">
        <v>44032</v>
      </c>
      <c r="O5965" s="15" t="s">
        <v>52</v>
      </c>
      <c r="P5965" s="16" t="s">
        <v>1880</v>
      </c>
      <c r="Q5965" s="15" t="s">
        <v>37</v>
      </c>
      <c r="R5965" s="13" t="str">
        <f>HYPERLINK("https://my.pitchbook.com?c=195495-85T","View Company Online")</f>
        <v>View Company Online</v>
      </c>
    </row>
    <row r="5966" spans="1:18" hidden="1" x14ac:dyDescent="0.3">
      <c r="A5966" s="9" t="s">
        <v>18359</v>
      </c>
      <c r="B5966" s="9" t="s">
        <v>18360</v>
      </c>
      <c r="C5966" s="11" t="s">
        <v>28</v>
      </c>
      <c r="D5966" s="9" t="s">
        <v>18361</v>
      </c>
      <c r="E5966" s="11" t="s">
        <v>28</v>
      </c>
      <c r="F5966" s="10" t="s">
        <v>28</v>
      </c>
      <c r="G5966" s="10" t="s">
        <v>28</v>
      </c>
      <c r="H5966" s="10" t="s">
        <v>28</v>
      </c>
      <c r="I5966" s="11" t="s">
        <v>28</v>
      </c>
      <c r="J5966" s="11" t="s">
        <v>28</v>
      </c>
      <c r="K5966" s="11" t="s">
        <v>28</v>
      </c>
      <c r="L5966" s="11" t="s">
        <v>28</v>
      </c>
      <c r="M5966" s="11" t="s">
        <v>28</v>
      </c>
      <c r="N5966" s="8">
        <v>44031</v>
      </c>
      <c r="O5966" s="9" t="s">
        <v>30</v>
      </c>
      <c r="P5966" s="12" t="s">
        <v>18362</v>
      </c>
      <c r="Q5966" s="9" t="s">
        <v>75</v>
      </c>
      <c r="R5966" s="14" t="str">
        <f>HYPERLINK("https://my.pitchbook.com?c=139882-15T","View Company Online")</f>
        <v>View Company Online</v>
      </c>
    </row>
    <row r="5967" spans="1:18" hidden="1" x14ac:dyDescent="0.3">
      <c r="A5967" s="15" t="s">
        <v>18363</v>
      </c>
      <c r="B5967" s="15" t="s">
        <v>985</v>
      </c>
      <c r="C5967" s="18" t="s">
        <v>28</v>
      </c>
      <c r="D5967" s="15" t="s">
        <v>986</v>
      </c>
      <c r="E5967" s="18" t="s">
        <v>28</v>
      </c>
      <c r="F5967" s="19" t="s">
        <v>28</v>
      </c>
      <c r="G5967" s="19">
        <v>6.85</v>
      </c>
      <c r="H5967" s="19" t="s">
        <v>28</v>
      </c>
      <c r="I5967" s="18">
        <v>-7</v>
      </c>
      <c r="J5967" s="18" t="s">
        <v>28</v>
      </c>
      <c r="K5967" s="18">
        <v>27.8</v>
      </c>
      <c r="L5967" s="18" t="s">
        <v>28</v>
      </c>
      <c r="M5967" s="18" t="s">
        <v>28</v>
      </c>
      <c r="N5967" s="17">
        <v>44030</v>
      </c>
      <c r="O5967" s="15" t="s">
        <v>79</v>
      </c>
      <c r="P5967" s="16" t="s">
        <v>18364</v>
      </c>
      <c r="Q5967" s="15" t="s">
        <v>37</v>
      </c>
      <c r="R5967" s="13" t="str">
        <f>HYPERLINK("https://my.pitchbook.com?c=254647-72T","View Company Online")</f>
        <v>View Company Online</v>
      </c>
    </row>
    <row r="5968" spans="1:18" hidden="1" x14ac:dyDescent="0.3">
      <c r="A5968" s="9" t="s">
        <v>18365</v>
      </c>
      <c r="B5968" s="9" t="s">
        <v>11251</v>
      </c>
      <c r="C5968" s="11" t="s">
        <v>28</v>
      </c>
      <c r="D5968" s="9" t="s">
        <v>11252</v>
      </c>
      <c r="E5968" s="11" t="s">
        <v>28</v>
      </c>
      <c r="F5968" s="10" t="s">
        <v>28</v>
      </c>
      <c r="G5968" s="10" t="s">
        <v>28</v>
      </c>
      <c r="H5968" s="10" t="s">
        <v>28</v>
      </c>
      <c r="I5968" s="11" t="s">
        <v>28</v>
      </c>
      <c r="J5968" s="11" t="s">
        <v>28</v>
      </c>
      <c r="K5968" s="11" t="s">
        <v>28</v>
      </c>
      <c r="L5968" s="11" t="s">
        <v>28</v>
      </c>
      <c r="M5968" s="11" t="s">
        <v>28</v>
      </c>
      <c r="N5968" s="8">
        <v>44029</v>
      </c>
      <c r="O5968" s="9" t="s">
        <v>99</v>
      </c>
      <c r="P5968" s="12" t="s">
        <v>28</v>
      </c>
      <c r="Q5968" s="9" t="s">
        <v>75</v>
      </c>
      <c r="R5968" s="14" t="str">
        <f>HYPERLINK("https://my.pitchbook.com?c=200582-83T","View Company Online")</f>
        <v>View Company Online</v>
      </c>
    </row>
    <row r="5969" spans="1:18" hidden="1" x14ac:dyDescent="0.3">
      <c r="A5969" s="15" t="s">
        <v>18366</v>
      </c>
      <c r="B5969" s="15" t="s">
        <v>13039</v>
      </c>
      <c r="C5969" s="18" t="s">
        <v>28</v>
      </c>
      <c r="D5969" s="15" t="s">
        <v>13040</v>
      </c>
      <c r="E5969" s="18" t="s">
        <v>28</v>
      </c>
      <c r="F5969" s="19" t="s">
        <v>28</v>
      </c>
      <c r="G5969" s="19">
        <v>2.7</v>
      </c>
      <c r="H5969" s="19" t="s">
        <v>28</v>
      </c>
      <c r="I5969" s="18" t="s">
        <v>28</v>
      </c>
      <c r="J5969" s="18" t="s">
        <v>28</v>
      </c>
      <c r="K5969" s="18" t="s">
        <v>28</v>
      </c>
      <c r="L5969" s="18" t="s">
        <v>28</v>
      </c>
      <c r="M5969" s="18" t="s">
        <v>28</v>
      </c>
      <c r="N5969" s="17">
        <v>44029</v>
      </c>
      <c r="O5969" s="15" t="s">
        <v>99</v>
      </c>
      <c r="P5969" s="16" t="s">
        <v>18367</v>
      </c>
      <c r="Q5969" s="15" t="s">
        <v>1336</v>
      </c>
      <c r="R5969" s="13" t="str">
        <f>HYPERLINK("https://my.pitchbook.com?c=160238-71T","View Company Online")</f>
        <v>View Company Online</v>
      </c>
    </row>
    <row r="5970" spans="1:18" hidden="1" x14ac:dyDescent="0.3">
      <c r="A5970" s="9" t="s">
        <v>18368</v>
      </c>
      <c r="B5970" s="9" t="s">
        <v>18369</v>
      </c>
      <c r="C5970" s="11" t="s">
        <v>28</v>
      </c>
      <c r="D5970" s="9" t="s">
        <v>18370</v>
      </c>
      <c r="E5970" s="11" t="s">
        <v>28</v>
      </c>
      <c r="F5970" s="10" t="s">
        <v>28</v>
      </c>
      <c r="G5970" s="10">
        <v>37.4</v>
      </c>
      <c r="H5970" s="10">
        <v>74.959999999999994</v>
      </c>
      <c r="I5970" s="11" t="s">
        <v>28</v>
      </c>
      <c r="J5970" s="11" t="s">
        <v>28</v>
      </c>
      <c r="K5970" s="11" t="s">
        <v>28</v>
      </c>
      <c r="L5970" s="11" t="s">
        <v>28</v>
      </c>
      <c r="M5970" s="11" t="s">
        <v>28</v>
      </c>
      <c r="N5970" s="8">
        <v>44028</v>
      </c>
      <c r="O5970" s="9" t="s">
        <v>58</v>
      </c>
      <c r="P5970" s="12" t="s">
        <v>343</v>
      </c>
      <c r="Q5970" s="9" t="s">
        <v>114</v>
      </c>
      <c r="R5970" s="14" t="str">
        <f>HYPERLINK("https://my.pitchbook.com?c=180486-46T","View Company Online")</f>
        <v>View Company Online</v>
      </c>
    </row>
    <row r="5971" spans="1:18" hidden="1" x14ac:dyDescent="0.3">
      <c r="A5971" s="15" t="s">
        <v>18371</v>
      </c>
      <c r="B5971" s="15" t="s">
        <v>18372</v>
      </c>
      <c r="C5971" s="18" t="s">
        <v>28</v>
      </c>
      <c r="D5971" s="15" t="s">
        <v>18373</v>
      </c>
      <c r="E5971" s="18" t="s">
        <v>28</v>
      </c>
      <c r="F5971" s="19" t="s">
        <v>28</v>
      </c>
      <c r="G5971" s="19" t="s">
        <v>28</v>
      </c>
      <c r="H5971" s="19" t="s">
        <v>28</v>
      </c>
      <c r="I5971" s="18" t="s">
        <v>28</v>
      </c>
      <c r="J5971" s="18" t="s">
        <v>28</v>
      </c>
      <c r="K5971" s="18" t="s">
        <v>28</v>
      </c>
      <c r="L5971" s="18" t="s">
        <v>28</v>
      </c>
      <c r="M5971" s="18" t="s">
        <v>28</v>
      </c>
      <c r="N5971" s="17">
        <v>44028</v>
      </c>
      <c r="O5971" s="15" t="s">
        <v>41</v>
      </c>
      <c r="P5971" s="16" t="s">
        <v>18374</v>
      </c>
      <c r="Q5971" s="15" t="s">
        <v>1035</v>
      </c>
      <c r="R5971" s="13" t="str">
        <f>HYPERLINK("https://my.pitchbook.com?c=224419-06T","View Company Online")</f>
        <v>View Company Online</v>
      </c>
    </row>
    <row r="5972" spans="1:18" hidden="1" x14ac:dyDescent="0.3">
      <c r="A5972" s="9" t="s">
        <v>18375</v>
      </c>
      <c r="B5972" s="9" t="s">
        <v>3343</v>
      </c>
      <c r="C5972" s="11" t="s">
        <v>28</v>
      </c>
      <c r="D5972" s="9" t="s">
        <v>3344</v>
      </c>
      <c r="E5972" s="11" t="s">
        <v>28</v>
      </c>
      <c r="F5972" s="10" t="s">
        <v>28</v>
      </c>
      <c r="G5972" s="10" t="s">
        <v>28</v>
      </c>
      <c r="H5972" s="10" t="s">
        <v>28</v>
      </c>
      <c r="I5972" s="11" t="s">
        <v>28</v>
      </c>
      <c r="J5972" s="11" t="s">
        <v>28</v>
      </c>
      <c r="K5972" s="11" t="s">
        <v>28</v>
      </c>
      <c r="L5972" s="11" t="s">
        <v>28</v>
      </c>
      <c r="M5972" s="11" t="s">
        <v>28</v>
      </c>
      <c r="N5972" s="8">
        <v>44028</v>
      </c>
      <c r="O5972" s="9" t="s">
        <v>52</v>
      </c>
      <c r="P5972" s="12" t="s">
        <v>68</v>
      </c>
      <c r="Q5972" s="9" t="s">
        <v>37</v>
      </c>
      <c r="R5972" s="14" t="str">
        <f>HYPERLINK("https://my.pitchbook.com?c=158363-11T","View Company Online")</f>
        <v>View Company Online</v>
      </c>
    </row>
    <row r="5973" spans="1:18" hidden="1" x14ac:dyDescent="0.3">
      <c r="A5973" s="15" t="s">
        <v>18376</v>
      </c>
      <c r="B5973" s="15" t="s">
        <v>8618</v>
      </c>
      <c r="C5973" s="18" t="s">
        <v>28</v>
      </c>
      <c r="D5973" s="15" t="s">
        <v>8619</v>
      </c>
      <c r="E5973" s="18" t="s">
        <v>28</v>
      </c>
      <c r="F5973" s="19" t="s">
        <v>28</v>
      </c>
      <c r="G5973" s="19" t="s">
        <v>28</v>
      </c>
      <c r="H5973" s="19" t="s">
        <v>28</v>
      </c>
      <c r="I5973" s="18" t="s">
        <v>28</v>
      </c>
      <c r="J5973" s="18" t="s">
        <v>28</v>
      </c>
      <c r="K5973" s="18" t="s">
        <v>28</v>
      </c>
      <c r="L5973" s="18" t="s">
        <v>28</v>
      </c>
      <c r="M5973" s="18" t="s">
        <v>28</v>
      </c>
      <c r="N5973" s="17">
        <v>44027</v>
      </c>
      <c r="O5973" s="15" t="s">
        <v>52</v>
      </c>
      <c r="P5973" s="16" t="s">
        <v>4500</v>
      </c>
      <c r="Q5973" s="15" t="s">
        <v>43</v>
      </c>
      <c r="R5973" s="13" t="str">
        <f>HYPERLINK("https://my.pitchbook.com?c=251783-29T","View Company Online")</f>
        <v>View Company Online</v>
      </c>
    </row>
    <row r="5974" spans="1:18" hidden="1" x14ac:dyDescent="0.3">
      <c r="A5974" s="9" t="s">
        <v>18377</v>
      </c>
      <c r="B5974" s="9" t="s">
        <v>4778</v>
      </c>
      <c r="C5974" s="11" t="s">
        <v>28</v>
      </c>
      <c r="D5974" s="9" t="s">
        <v>4779</v>
      </c>
      <c r="E5974" s="11" t="s">
        <v>28</v>
      </c>
      <c r="F5974" s="10" t="s">
        <v>28</v>
      </c>
      <c r="G5974" s="10">
        <v>0.1</v>
      </c>
      <c r="H5974" s="10" t="s">
        <v>28</v>
      </c>
      <c r="I5974" s="11" t="s">
        <v>28</v>
      </c>
      <c r="J5974" s="11" t="s">
        <v>28</v>
      </c>
      <c r="K5974" s="11" t="s">
        <v>28</v>
      </c>
      <c r="L5974" s="11" t="s">
        <v>28</v>
      </c>
      <c r="M5974" s="11" t="s">
        <v>28</v>
      </c>
      <c r="N5974" s="8">
        <v>44027</v>
      </c>
      <c r="O5974" s="9" t="s">
        <v>8420</v>
      </c>
      <c r="P5974" s="12" t="s">
        <v>28</v>
      </c>
      <c r="Q5974" s="9" t="s">
        <v>4710</v>
      </c>
      <c r="R5974" s="14" t="str">
        <f>HYPERLINK("https://my.pitchbook.com?c=184304-71T","View Company Online")</f>
        <v>View Company Online</v>
      </c>
    </row>
    <row r="5975" spans="1:18" hidden="1" x14ac:dyDescent="0.3">
      <c r="A5975" s="15" t="s">
        <v>18378</v>
      </c>
      <c r="B5975" s="15" t="s">
        <v>15253</v>
      </c>
      <c r="C5975" s="18" t="s">
        <v>28</v>
      </c>
      <c r="D5975" s="15" t="s">
        <v>15254</v>
      </c>
      <c r="E5975" s="18" t="s">
        <v>28</v>
      </c>
      <c r="F5975" s="19" t="s">
        <v>28</v>
      </c>
      <c r="G5975" s="19" t="s">
        <v>28</v>
      </c>
      <c r="H5975" s="19" t="s">
        <v>28</v>
      </c>
      <c r="I5975" s="18" t="s">
        <v>28</v>
      </c>
      <c r="J5975" s="18" t="s">
        <v>28</v>
      </c>
      <c r="K5975" s="18" t="s">
        <v>28</v>
      </c>
      <c r="L5975" s="18" t="s">
        <v>28</v>
      </c>
      <c r="M5975" s="18" t="s">
        <v>28</v>
      </c>
      <c r="N5975" s="17">
        <v>44027</v>
      </c>
      <c r="O5975" s="15" t="s">
        <v>52</v>
      </c>
      <c r="P5975" s="16" t="s">
        <v>3869</v>
      </c>
      <c r="Q5975" s="15" t="s">
        <v>235</v>
      </c>
      <c r="R5975" s="13" t="str">
        <f>HYPERLINK("https://my.pitchbook.com?c=258045-40T","View Company Online")</f>
        <v>View Company Online</v>
      </c>
    </row>
    <row r="5976" spans="1:18" hidden="1" x14ac:dyDescent="0.3">
      <c r="A5976" s="9" t="s">
        <v>18379</v>
      </c>
      <c r="B5976" s="9" t="s">
        <v>18380</v>
      </c>
      <c r="C5976" s="11" t="s">
        <v>28</v>
      </c>
      <c r="D5976" s="9" t="s">
        <v>18381</v>
      </c>
      <c r="E5976" s="11" t="s">
        <v>28</v>
      </c>
      <c r="F5976" s="10" t="s">
        <v>28</v>
      </c>
      <c r="G5976" s="10" t="s">
        <v>28</v>
      </c>
      <c r="H5976" s="10" t="s">
        <v>28</v>
      </c>
      <c r="I5976" s="11" t="s">
        <v>28</v>
      </c>
      <c r="J5976" s="11" t="s">
        <v>28</v>
      </c>
      <c r="K5976" s="11" t="s">
        <v>28</v>
      </c>
      <c r="L5976" s="11" t="s">
        <v>28</v>
      </c>
      <c r="M5976" s="11" t="s">
        <v>28</v>
      </c>
      <c r="N5976" s="8">
        <v>44027</v>
      </c>
      <c r="O5976" s="9" t="s">
        <v>30</v>
      </c>
      <c r="P5976" s="12" t="s">
        <v>18382</v>
      </c>
      <c r="Q5976" s="9" t="s">
        <v>3912</v>
      </c>
      <c r="R5976" s="14" t="str">
        <f>HYPERLINK("https://my.pitchbook.com?c=180104-05T","View Company Online")</f>
        <v>View Company Online</v>
      </c>
    </row>
    <row r="5977" spans="1:18" hidden="1" x14ac:dyDescent="0.3">
      <c r="A5977" s="15" t="s">
        <v>18383</v>
      </c>
      <c r="B5977" s="15" t="s">
        <v>14415</v>
      </c>
      <c r="C5977" s="18" t="s">
        <v>28</v>
      </c>
      <c r="D5977" s="15" t="s">
        <v>14416</v>
      </c>
      <c r="E5977" s="18" t="s">
        <v>28</v>
      </c>
      <c r="F5977" s="19" t="s">
        <v>28</v>
      </c>
      <c r="G5977" s="19">
        <v>18.73</v>
      </c>
      <c r="H5977" s="19" t="s">
        <v>28</v>
      </c>
      <c r="I5977" s="18" t="s">
        <v>28</v>
      </c>
      <c r="J5977" s="18" t="s">
        <v>28</v>
      </c>
      <c r="K5977" s="18">
        <v>24.26</v>
      </c>
      <c r="L5977" s="18" t="s">
        <v>28</v>
      </c>
      <c r="M5977" s="18" t="s">
        <v>28</v>
      </c>
      <c r="N5977" s="17">
        <v>44027</v>
      </c>
      <c r="O5977" s="15" t="s">
        <v>93</v>
      </c>
      <c r="P5977" s="16" t="s">
        <v>18384</v>
      </c>
      <c r="Q5977" s="15" t="s">
        <v>616</v>
      </c>
      <c r="R5977" s="13" t="str">
        <f>HYPERLINK("https://my.pitchbook.com?c=139195-63T","View Company Online")</f>
        <v>View Company Online</v>
      </c>
    </row>
    <row r="5978" spans="1:18" hidden="1" x14ac:dyDescent="0.3">
      <c r="A5978" s="9" t="s">
        <v>18385</v>
      </c>
      <c r="B5978" s="9" t="s">
        <v>18386</v>
      </c>
      <c r="C5978" s="11" t="s">
        <v>28</v>
      </c>
      <c r="D5978" s="9" t="s">
        <v>18387</v>
      </c>
      <c r="E5978" s="11" t="s">
        <v>28</v>
      </c>
      <c r="F5978" s="10">
        <v>22.4</v>
      </c>
      <c r="G5978" s="10">
        <v>22.4</v>
      </c>
      <c r="H5978" s="10">
        <v>22.4</v>
      </c>
      <c r="I5978" s="11" t="s">
        <v>28</v>
      </c>
      <c r="J5978" s="11" t="s">
        <v>28</v>
      </c>
      <c r="K5978" s="11" t="s">
        <v>28</v>
      </c>
      <c r="L5978" s="11" t="s">
        <v>28</v>
      </c>
      <c r="M5978" s="11" t="s">
        <v>28</v>
      </c>
      <c r="N5978" s="8">
        <v>44026</v>
      </c>
      <c r="O5978" s="9" t="s">
        <v>30</v>
      </c>
      <c r="P5978" s="12" t="s">
        <v>18388</v>
      </c>
      <c r="Q5978" s="9" t="s">
        <v>245</v>
      </c>
      <c r="R5978" s="14" t="str">
        <f>HYPERLINK("https://my.pitchbook.com?c=199327-24T","View Company Online")</f>
        <v>View Company Online</v>
      </c>
    </row>
    <row r="5979" spans="1:18" hidden="1" x14ac:dyDescent="0.3">
      <c r="A5979" s="15" t="s">
        <v>18389</v>
      </c>
      <c r="B5979" s="15" t="s">
        <v>1772</v>
      </c>
      <c r="C5979" s="18" t="s">
        <v>28</v>
      </c>
      <c r="D5979" s="15" t="s">
        <v>1773</v>
      </c>
      <c r="E5979" s="18" t="s">
        <v>28</v>
      </c>
      <c r="F5979" s="19" t="s">
        <v>28</v>
      </c>
      <c r="G5979" s="19">
        <v>0.12</v>
      </c>
      <c r="H5979" s="19" t="s">
        <v>28</v>
      </c>
      <c r="I5979" s="18" t="s">
        <v>28</v>
      </c>
      <c r="J5979" s="18" t="s">
        <v>28</v>
      </c>
      <c r="K5979" s="18" t="s">
        <v>28</v>
      </c>
      <c r="L5979" s="18" t="s">
        <v>28</v>
      </c>
      <c r="M5979" s="18" t="s">
        <v>28</v>
      </c>
      <c r="N5979" s="17">
        <v>44026</v>
      </c>
      <c r="O5979" s="15" t="s">
        <v>52</v>
      </c>
      <c r="P5979" s="16" t="s">
        <v>18390</v>
      </c>
      <c r="Q5979" s="15" t="s">
        <v>75</v>
      </c>
      <c r="R5979" s="13" t="str">
        <f>HYPERLINK("https://my.pitchbook.com?c=170223-58T","View Company Online")</f>
        <v>View Company Online</v>
      </c>
    </row>
    <row r="5980" spans="1:18" hidden="1" x14ac:dyDescent="0.3">
      <c r="A5980" s="9" t="s">
        <v>18391</v>
      </c>
      <c r="B5980" s="9" t="s">
        <v>18392</v>
      </c>
      <c r="C5980" s="11" t="s">
        <v>28</v>
      </c>
      <c r="D5980" s="9" t="s">
        <v>18393</v>
      </c>
      <c r="E5980" s="11" t="s">
        <v>28</v>
      </c>
      <c r="F5980" s="10" t="s">
        <v>28</v>
      </c>
      <c r="G5980" s="10" t="s">
        <v>28</v>
      </c>
      <c r="H5980" s="10" t="s">
        <v>28</v>
      </c>
      <c r="I5980" s="11" t="s">
        <v>28</v>
      </c>
      <c r="J5980" s="11" t="s">
        <v>28</v>
      </c>
      <c r="K5980" s="11" t="s">
        <v>28</v>
      </c>
      <c r="L5980" s="11" t="s">
        <v>28</v>
      </c>
      <c r="M5980" s="11" t="s">
        <v>28</v>
      </c>
      <c r="N5980" s="8">
        <v>44025</v>
      </c>
      <c r="O5980" s="9" t="s">
        <v>30</v>
      </c>
      <c r="P5980" s="12" t="s">
        <v>18394</v>
      </c>
      <c r="Q5980" s="9" t="s">
        <v>245</v>
      </c>
      <c r="R5980" s="14" t="str">
        <f>HYPERLINK("https://my.pitchbook.com?c=146272-15T","View Company Online")</f>
        <v>View Company Online</v>
      </c>
    </row>
    <row r="5981" spans="1:18" hidden="1" x14ac:dyDescent="0.3">
      <c r="A5981" s="15" t="s">
        <v>18395</v>
      </c>
      <c r="B5981" s="15" t="s">
        <v>9406</v>
      </c>
      <c r="C5981" s="18" t="s">
        <v>28</v>
      </c>
      <c r="D5981" s="15" t="s">
        <v>9407</v>
      </c>
      <c r="E5981" s="18" t="s">
        <v>28</v>
      </c>
      <c r="F5981" s="19" t="s">
        <v>28</v>
      </c>
      <c r="G5981" s="19" t="s">
        <v>28</v>
      </c>
      <c r="H5981" s="19" t="s">
        <v>28</v>
      </c>
      <c r="I5981" s="18" t="s">
        <v>28</v>
      </c>
      <c r="J5981" s="18" t="s">
        <v>28</v>
      </c>
      <c r="K5981" s="18">
        <v>0.39</v>
      </c>
      <c r="L5981" s="18" t="s">
        <v>28</v>
      </c>
      <c r="M5981" s="18" t="s">
        <v>28</v>
      </c>
      <c r="N5981" s="17">
        <v>44025</v>
      </c>
      <c r="O5981" s="15" t="s">
        <v>93</v>
      </c>
      <c r="P5981" s="16" t="s">
        <v>18396</v>
      </c>
      <c r="Q5981" s="15" t="s">
        <v>37</v>
      </c>
      <c r="R5981" s="13" t="str">
        <f>HYPERLINK("https://my.pitchbook.com?c=139543-03T","View Company Online")</f>
        <v>View Company Online</v>
      </c>
    </row>
    <row r="5982" spans="1:18" hidden="1" x14ac:dyDescent="0.3">
      <c r="A5982" s="9" t="s">
        <v>18397</v>
      </c>
      <c r="B5982" s="9" t="s">
        <v>18398</v>
      </c>
      <c r="C5982" s="11" t="s">
        <v>28</v>
      </c>
      <c r="D5982" s="9" t="s">
        <v>18399</v>
      </c>
      <c r="E5982" s="11" t="s">
        <v>28</v>
      </c>
      <c r="F5982" s="10">
        <v>6.46</v>
      </c>
      <c r="G5982" s="10">
        <v>3.29</v>
      </c>
      <c r="H5982" s="10">
        <v>6.46</v>
      </c>
      <c r="I5982" s="11" t="s">
        <v>28</v>
      </c>
      <c r="J5982" s="11" t="s">
        <v>28</v>
      </c>
      <c r="K5982" s="11" t="s">
        <v>28</v>
      </c>
      <c r="L5982" s="11" t="s">
        <v>28</v>
      </c>
      <c r="M5982" s="11" t="s">
        <v>28</v>
      </c>
      <c r="N5982" s="8">
        <v>44025</v>
      </c>
      <c r="O5982" s="9" t="s">
        <v>30</v>
      </c>
      <c r="P5982" s="12" t="s">
        <v>18400</v>
      </c>
      <c r="Q5982" s="9" t="s">
        <v>75</v>
      </c>
      <c r="R5982" s="14" t="str">
        <f>HYPERLINK("https://my.pitchbook.com?c=216158-86T","View Company Online")</f>
        <v>View Company Online</v>
      </c>
    </row>
    <row r="5983" spans="1:18" hidden="1" x14ac:dyDescent="0.3">
      <c r="A5983" s="15" t="s">
        <v>18401</v>
      </c>
      <c r="B5983" s="15" t="s">
        <v>18402</v>
      </c>
      <c r="C5983" s="18" t="s">
        <v>28</v>
      </c>
      <c r="D5983" s="15" t="s">
        <v>18403</v>
      </c>
      <c r="E5983" s="18" t="s">
        <v>28</v>
      </c>
      <c r="F5983" s="19" t="s">
        <v>28</v>
      </c>
      <c r="G5983" s="19" t="s">
        <v>28</v>
      </c>
      <c r="H5983" s="19" t="s">
        <v>28</v>
      </c>
      <c r="I5983" s="18" t="s">
        <v>28</v>
      </c>
      <c r="J5983" s="18" t="s">
        <v>28</v>
      </c>
      <c r="K5983" s="18" t="s">
        <v>28</v>
      </c>
      <c r="L5983" s="18" t="s">
        <v>28</v>
      </c>
      <c r="M5983" s="18" t="s">
        <v>28</v>
      </c>
      <c r="N5983" s="17">
        <v>44025</v>
      </c>
      <c r="O5983" s="15" t="s">
        <v>30</v>
      </c>
      <c r="P5983" s="16" t="s">
        <v>18404</v>
      </c>
      <c r="Q5983" s="15" t="s">
        <v>114</v>
      </c>
      <c r="R5983" s="13" t="str">
        <f>HYPERLINK("https://my.pitchbook.com?c=139968-82T","View Company Online")</f>
        <v>View Company Online</v>
      </c>
    </row>
    <row r="5984" spans="1:18" hidden="1" x14ac:dyDescent="0.3">
      <c r="A5984" s="9" t="s">
        <v>18405</v>
      </c>
      <c r="B5984" s="9" t="s">
        <v>18406</v>
      </c>
      <c r="C5984" s="11" t="s">
        <v>28</v>
      </c>
      <c r="D5984" s="9" t="s">
        <v>18407</v>
      </c>
      <c r="E5984" s="11" t="s">
        <v>28</v>
      </c>
      <c r="F5984" s="10" t="s">
        <v>28</v>
      </c>
      <c r="G5984" s="10">
        <v>602.29999999999995</v>
      </c>
      <c r="H5984" s="10">
        <v>602.29999999999995</v>
      </c>
      <c r="I5984" s="11" t="s">
        <v>28</v>
      </c>
      <c r="J5984" s="11" t="s">
        <v>28</v>
      </c>
      <c r="K5984" s="11" t="s">
        <v>28</v>
      </c>
      <c r="L5984" s="11" t="s">
        <v>28</v>
      </c>
      <c r="M5984" s="11" t="s">
        <v>28</v>
      </c>
      <c r="N5984" s="8">
        <v>44022</v>
      </c>
      <c r="O5984" s="9" t="s">
        <v>30</v>
      </c>
      <c r="P5984" s="12" t="s">
        <v>18408</v>
      </c>
      <c r="Q5984" s="9" t="s">
        <v>6356</v>
      </c>
      <c r="R5984" s="14" t="str">
        <f>HYPERLINK("https://my.pitchbook.com?c=122522-68T","View Company Online")</f>
        <v>View Company Online</v>
      </c>
    </row>
    <row r="5985" spans="1:18" hidden="1" x14ac:dyDescent="0.3">
      <c r="A5985" s="15" t="s">
        <v>18409</v>
      </c>
      <c r="B5985" s="15" t="s">
        <v>773</v>
      </c>
      <c r="C5985" s="18" t="s">
        <v>28</v>
      </c>
      <c r="D5985" s="15" t="s">
        <v>6350</v>
      </c>
      <c r="E5985" s="18" t="s">
        <v>28</v>
      </c>
      <c r="F5985" s="19" t="s">
        <v>28</v>
      </c>
      <c r="G5985" s="19">
        <v>22.73</v>
      </c>
      <c r="H5985" s="19" t="s">
        <v>28</v>
      </c>
      <c r="I5985" s="18" t="s">
        <v>28</v>
      </c>
      <c r="J5985" s="18" t="s">
        <v>28</v>
      </c>
      <c r="K5985" s="18" t="s">
        <v>28</v>
      </c>
      <c r="L5985" s="18" t="s">
        <v>28</v>
      </c>
      <c r="M5985" s="18" t="s">
        <v>28</v>
      </c>
      <c r="N5985" s="17">
        <v>44022</v>
      </c>
      <c r="O5985" s="15" t="s">
        <v>79</v>
      </c>
      <c r="P5985" s="16" t="s">
        <v>18410</v>
      </c>
      <c r="Q5985" s="15" t="s">
        <v>37</v>
      </c>
      <c r="R5985" s="13" t="str">
        <f>HYPERLINK("https://my.pitchbook.com?c=135968-86T","View Company Online")</f>
        <v>View Company Online</v>
      </c>
    </row>
    <row r="5986" spans="1:18" hidden="1" x14ac:dyDescent="0.3">
      <c r="A5986" s="9" t="s">
        <v>18411</v>
      </c>
      <c r="B5986" s="9" t="s">
        <v>14760</v>
      </c>
      <c r="C5986" s="11" t="s">
        <v>28</v>
      </c>
      <c r="D5986" s="9" t="s">
        <v>14761</v>
      </c>
      <c r="E5986" s="11" t="s">
        <v>28</v>
      </c>
      <c r="F5986" s="10" t="s">
        <v>28</v>
      </c>
      <c r="G5986" s="10" t="s">
        <v>28</v>
      </c>
      <c r="H5986" s="10" t="s">
        <v>28</v>
      </c>
      <c r="I5986" s="11" t="s">
        <v>28</v>
      </c>
      <c r="J5986" s="11" t="s">
        <v>28</v>
      </c>
      <c r="K5986" s="11" t="s">
        <v>28</v>
      </c>
      <c r="L5986" s="11" t="s">
        <v>28</v>
      </c>
      <c r="M5986" s="11" t="s">
        <v>28</v>
      </c>
      <c r="N5986" s="8">
        <v>44021</v>
      </c>
      <c r="O5986" s="9" t="s">
        <v>1285</v>
      </c>
      <c r="P5986" s="12" t="s">
        <v>28</v>
      </c>
      <c r="Q5986" s="9" t="s">
        <v>75</v>
      </c>
      <c r="R5986" s="14" t="str">
        <f>HYPERLINK("https://my.pitchbook.com?c=223465-06T","View Company Online")</f>
        <v>View Company Online</v>
      </c>
    </row>
    <row r="5987" spans="1:18" hidden="1" x14ac:dyDescent="0.3">
      <c r="A5987" s="15" t="s">
        <v>18412</v>
      </c>
      <c r="B5987" s="15" t="s">
        <v>18413</v>
      </c>
      <c r="C5987" s="18" t="s">
        <v>28</v>
      </c>
      <c r="D5987" s="15" t="s">
        <v>18414</v>
      </c>
      <c r="E5987" s="18" t="s">
        <v>28</v>
      </c>
      <c r="F5987" s="19" t="s">
        <v>28</v>
      </c>
      <c r="G5987" s="19" t="s">
        <v>28</v>
      </c>
      <c r="H5987" s="19" t="s">
        <v>28</v>
      </c>
      <c r="I5987" s="18" t="s">
        <v>28</v>
      </c>
      <c r="J5987" s="18" t="s">
        <v>28</v>
      </c>
      <c r="K5987" s="18" t="s">
        <v>28</v>
      </c>
      <c r="L5987" s="18" t="s">
        <v>28</v>
      </c>
      <c r="M5987" s="18" t="s">
        <v>28</v>
      </c>
      <c r="N5987" s="17">
        <v>44021</v>
      </c>
      <c r="O5987" s="15" t="s">
        <v>30</v>
      </c>
      <c r="P5987" s="16" t="s">
        <v>14760</v>
      </c>
      <c r="Q5987" s="15" t="s">
        <v>119</v>
      </c>
      <c r="R5987" s="13" t="str">
        <f>HYPERLINK("https://my.pitchbook.com?c=223557-22T","View Company Online")</f>
        <v>View Company Online</v>
      </c>
    </row>
    <row r="5988" spans="1:18" hidden="1" x14ac:dyDescent="0.3">
      <c r="A5988" s="9" t="s">
        <v>18415</v>
      </c>
      <c r="B5988" s="9" t="s">
        <v>18416</v>
      </c>
      <c r="C5988" s="11" t="s">
        <v>28</v>
      </c>
      <c r="D5988" s="9" t="s">
        <v>18417</v>
      </c>
      <c r="E5988" s="11" t="s">
        <v>28</v>
      </c>
      <c r="F5988" s="10" t="s">
        <v>28</v>
      </c>
      <c r="G5988" s="10" t="s">
        <v>28</v>
      </c>
      <c r="H5988" s="10" t="s">
        <v>28</v>
      </c>
      <c r="I5988" s="11" t="s">
        <v>28</v>
      </c>
      <c r="J5988" s="11" t="s">
        <v>28</v>
      </c>
      <c r="K5988" s="11" t="s">
        <v>28</v>
      </c>
      <c r="L5988" s="11" t="s">
        <v>28</v>
      </c>
      <c r="M5988" s="11" t="s">
        <v>28</v>
      </c>
      <c r="N5988" s="8">
        <v>44021</v>
      </c>
      <c r="O5988" s="9" t="s">
        <v>30</v>
      </c>
      <c r="P5988" s="12" t="s">
        <v>18418</v>
      </c>
      <c r="Q5988" s="9" t="s">
        <v>75</v>
      </c>
      <c r="R5988" s="14" t="str">
        <f>HYPERLINK("https://my.pitchbook.com?c=223561-36T","View Company Online")</f>
        <v>View Company Online</v>
      </c>
    </row>
    <row r="5989" spans="1:18" hidden="1" x14ac:dyDescent="0.3">
      <c r="A5989" s="15" t="s">
        <v>18419</v>
      </c>
      <c r="B5989" s="15" t="s">
        <v>18420</v>
      </c>
      <c r="C5989" s="18" t="s">
        <v>28</v>
      </c>
      <c r="D5989" s="15" t="s">
        <v>18421</v>
      </c>
      <c r="E5989" s="18" t="s">
        <v>28</v>
      </c>
      <c r="F5989" s="19" t="s">
        <v>28</v>
      </c>
      <c r="G5989" s="19">
        <v>0.19</v>
      </c>
      <c r="H5989" s="19" t="s">
        <v>28</v>
      </c>
      <c r="I5989" s="18" t="s">
        <v>28</v>
      </c>
      <c r="J5989" s="18" t="s">
        <v>28</v>
      </c>
      <c r="K5989" s="18" t="s">
        <v>28</v>
      </c>
      <c r="L5989" s="18" t="s">
        <v>28</v>
      </c>
      <c r="M5989" s="18" t="s">
        <v>28</v>
      </c>
      <c r="N5989" s="17">
        <v>44021</v>
      </c>
      <c r="O5989" s="15" t="s">
        <v>99</v>
      </c>
      <c r="P5989" s="16" t="s">
        <v>17062</v>
      </c>
      <c r="Q5989" s="15" t="s">
        <v>75</v>
      </c>
      <c r="R5989" s="13" t="str">
        <f>HYPERLINK("https://my.pitchbook.com?c=194845-42T","View Company Online")</f>
        <v>View Company Online</v>
      </c>
    </row>
    <row r="5990" spans="1:18" hidden="1" x14ac:dyDescent="0.3">
      <c r="A5990" s="9" t="s">
        <v>18422</v>
      </c>
      <c r="B5990" s="9" t="s">
        <v>1098</v>
      </c>
      <c r="C5990" s="11" t="s">
        <v>28</v>
      </c>
      <c r="D5990" s="9" t="s">
        <v>1099</v>
      </c>
      <c r="E5990" s="11" t="s">
        <v>28</v>
      </c>
      <c r="F5990" s="10" t="s">
        <v>28</v>
      </c>
      <c r="G5990" s="10" t="s">
        <v>28</v>
      </c>
      <c r="H5990" s="10">
        <v>14</v>
      </c>
      <c r="I5990" s="11" t="s">
        <v>28</v>
      </c>
      <c r="J5990" s="11" t="s">
        <v>28</v>
      </c>
      <c r="K5990" s="11" t="s">
        <v>28</v>
      </c>
      <c r="L5990" s="11" t="s">
        <v>28</v>
      </c>
      <c r="M5990" s="11" t="s">
        <v>28</v>
      </c>
      <c r="N5990" s="8">
        <v>44021</v>
      </c>
      <c r="O5990" s="9" t="s">
        <v>99</v>
      </c>
      <c r="P5990" s="12" t="s">
        <v>16051</v>
      </c>
      <c r="Q5990" s="9" t="s">
        <v>37</v>
      </c>
      <c r="R5990" s="14" t="str">
        <f>HYPERLINK("https://my.pitchbook.com?c=193260-70T","View Company Online")</f>
        <v>View Company Online</v>
      </c>
    </row>
    <row r="5991" spans="1:18" hidden="1" x14ac:dyDescent="0.3">
      <c r="A5991" s="15" t="s">
        <v>18423</v>
      </c>
      <c r="B5991" s="15" t="s">
        <v>17627</v>
      </c>
      <c r="C5991" s="18" t="s">
        <v>28</v>
      </c>
      <c r="D5991" s="15" t="s">
        <v>17628</v>
      </c>
      <c r="E5991" s="18" t="s">
        <v>28</v>
      </c>
      <c r="F5991" s="19" t="s">
        <v>28</v>
      </c>
      <c r="G5991" s="19">
        <v>0.1</v>
      </c>
      <c r="H5991" s="19" t="s">
        <v>28</v>
      </c>
      <c r="I5991" s="18" t="s">
        <v>28</v>
      </c>
      <c r="J5991" s="18" t="s">
        <v>28</v>
      </c>
      <c r="K5991" s="18" t="s">
        <v>28</v>
      </c>
      <c r="L5991" s="18" t="s">
        <v>28</v>
      </c>
      <c r="M5991" s="18" t="s">
        <v>28</v>
      </c>
      <c r="N5991" s="17">
        <v>44021</v>
      </c>
      <c r="O5991" s="15" t="s">
        <v>52</v>
      </c>
      <c r="P5991" s="16" t="s">
        <v>17694</v>
      </c>
      <c r="Q5991" s="15" t="s">
        <v>1793</v>
      </c>
      <c r="R5991" s="13" t="str">
        <f>HYPERLINK("https://my.pitchbook.com?c=217210-15T","View Company Online")</f>
        <v>View Company Online</v>
      </c>
    </row>
    <row r="5992" spans="1:18" hidden="1" x14ac:dyDescent="0.3">
      <c r="A5992" s="9" t="s">
        <v>18424</v>
      </c>
      <c r="B5992" s="9" t="s">
        <v>4211</v>
      </c>
      <c r="C5992" s="11" t="s">
        <v>28</v>
      </c>
      <c r="D5992" s="9" t="s">
        <v>4212</v>
      </c>
      <c r="E5992" s="11" t="s">
        <v>28</v>
      </c>
      <c r="F5992" s="10" t="s">
        <v>28</v>
      </c>
      <c r="G5992" s="10">
        <v>0.56999999999999995</v>
      </c>
      <c r="H5992" s="10" t="s">
        <v>28</v>
      </c>
      <c r="I5992" s="11" t="s">
        <v>28</v>
      </c>
      <c r="J5992" s="11" t="s">
        <v>28</v>
      </c>
      <c r="K5992" s="11" t="s">
        <v>28</v>
      </c>
      <c r="L5992" s="11" t="s">
        <v>28</v>
      </c>
      <c r="M5992" s="11" t="s">
        <v>28</v>
      </c>
      <c r="N5992" s="8">
        <v>44020</v>
      </c>
      <c r="O5992" s="9" t="s">
        <v>79</v>
      </c>
      <c r="P5992" s="12" t="s">
        <v>18425</v>
      </c>
      <c r="Q5992" s="9" t="s">
        <v>386</v>
      </c>
      <c r="R5992" s="14" t="str">
        <f>HYPERLINK("https://my.pitchbook.com?c=155751-04T","View Company Online")</f>
        <v>View Company Online</v>
      </c>
    </row>
    <row r="5993" spans="1:18" hidden="1" x14ac:dyDescent="0.3">
      <c r="A5993" s="15" t="s">
        <v>18426</v>
      </c>
      <c r="B5993" s="15" t="s">
        <v>13172</v>
      </c>
      <c r="C5993" s="18" t="s">
        <v>28</v>
      </c>
      <c r="D5993" s="15" t="s">
        <v>13173</v>
      </c>
      <c r="E5993" s="18" t="s">
        <v>28</v>
      </c>
      <c r="F5993" s="19" t="s">
        <v>28</v>
      </c>
      <c r="G5993" s="19">
        <v>3.82</v>
      </c>
      <c r="H5993" s="19" t="s">
        <v>28</v>
      </c>
      <c r="I5993" s="18" t="s">
        <v>28</v>
      </c>
      <c r="J5993" s="18" t="s">
        <v>28</v>
      </c>
      <c r="K5993" s="18" t="s">
        <v>28</v>
      </c>
      <c r="L5993" s="18" t="s">
        <v>28</v>
      </c>
      <c r="M5993" s="18" t="s">
        <v>28</v>
      </c>
      <c r="N5993" s="17">
        <v>44019</v>
      </c>
      <c r="O5993" s="15" t="s">
        <v>73</v>
      </c>
      <c r="P5993" s="16" t="s">
        <v>17220</v>
      </c>
      <c r="Q5993" s="15" t="s">
        <v>119</v>
      </c>
      <c r="R5993" s="13" t="str">
        <f>HYPERLINK("https://my.pitchbook.com?c=165807-19T","View Company Online")</f>
        <v>View Company Online</v>
      </c>
    </row>
    <row r="5994" spans="1:18" hidden="1" x14ac:dyDescent="0.3">
      <c r="A5994" s="9" t="s">
        <v>18427</v>
      </c>
      <c r="B5994" s="9" t="s">
        <v>18428</v>
      </c>
      <c r="C5994" s="11" t="s">
        <v>28</v>
      </c>
      <c r="D5994" s="9" t="s">
        <v>18429</v>
      </c>
      <c r="E5994" s="11" t="s">
        <v>28</v>
      </c>
      <c r="F5994" s="10">
        <v>10.61</v>
      </c>
      <c r="G5994" s="10">
        <v>9.5500000000000007</v>
      </c>
      <c r="H5994" s="10">
        <v>10.61</v>
      </c>
      <c r="I5994" s="11" t="s">
        <v>28</v>
      </c>
      <c r="J5994" s="11" t="s">
        <v>28</v>
      </c>
      <c r="K5994" s="11" t="s">
        <v>28</v>
      </c>
      <c r="L5994" s="11" t="s">
        <v>28</v>
      </c>
      <c r="M5994" s="11" t="s">
        <v>28</v>
      </c>
      <c r="N5994" s="8">
        <v>44019</v>
      </c>
      <c r="O5994" s="9" t="s">
        <v>30</v>
      </c>
      <c r="P5994" s="12" t="s">
        <v>18430</v>
      </c>
      <c r="Q5994" s="9" t="s">
        <v>37</v>
      </c>
      <c r="R5994" s="14" t="str">
        <f>HYPERLINK("https://my.pitchbook.com?c=139262-68T","View Company Online")</f>
        <v>View Company Online</v>
      </c>
    </row>
    <row r="5995" spans="1:18" hidden="1" x14ac:dyDescent="0.3">
      <c r="A5995" s="15" t="s">
        <v>18431</v>
      </c>
      <c r="B5995" s="15" t="s">
        <v>18432</v>
      </c>
      <c r="C5995" s="18" t="s">
        <v>28</v>
      </c>
      <c r="D5995" s="15" t="s">
        <v>18433</v>
      </c>
      <c r="E5995" s="18" t="s">
        <v>28</v>
      </c>
      <c r="F5995" s="19" t="s">
        <v>28</v>
      </c>
      <c r="G5995" s="19" t="s">
        <v>28</v>
      </c>
      <c r="H5995" s="19" t="s">
        <v>28</v>
      </c>
      <c r="I5995" s="18" t="s">
        <v>28</v>
      </c>
      <c r="J5995" s="18" t="s">
        <v>28</v>
      </c>
      <c r="K5995" s="18" t="s">
        <v>28</v>
      </c>
      <c r="L5995" s="18" t="s">
        <v>28</v>
      </c>
      <c r="M5995" s="18" t="s">
        <v>28</v>
      </c>
      <c r="N5995" s="17">
        <v>44019</v>
      </c>
      <c r="O5995" s="15" t="s">
        <v>99</v>
      </c>
      <c r="P5995" s="16" t="s">
        <v>18434</v>
      </c>
      <c r="Q5995" s="15" t="s">
        <v>75</v>
      </c>
      <c r="R5995" s="13" t="str">
        <f>HYPERLINK("https://my.pitchbook.com?c=139786-30T","View Company Online")</f>
        <v>View Company Online</v>
      </c>
    </row>
    <row r="5996" spans="1:18" hidden="1" x14ac:dyDescent="0.3">
      <c r="A5996" s="9" t="s">
        <v>18435</v>
      </c>
      <c r="B5996" s="9" t="s">
        <v>18436</v>
      </c>
      <c r="C5996" s="11" t="s">
        <v>28</v>
      </c>
      <c r="D5996" s="9" t="s">
        <v>18437</v>
      </c>
      <c r="E5996" s="11" t="s">
        <v>28</v>
      </c>
      <c r="F5996" s="10">
        <v>24.02</v>
      </c>
      <c r="G5996" s="10">
        <v>1.1100000000000001</v>
      </c>
      <c r="H5996" s="10">
        <v>24.02</v>
      </c>
      <c r="I5996" s="11" t="s">
        <v>28</v>
      </c>
      <c r="J5996" s="11" t="s">
        <v>28</v>
      </c>
      <c r="K5996" s="11" t="s">
        <v>28</v>
      </c>
      <c r="L5996" s="11" t="s">
        <v>28</v>
      </c>
      <c r="M5996" s="11" t="s">
        <v>28</v>
      </c>
      <c r="N5996" s="8">
        <v>44018</v>
      </c>
      <c r="O5996" s="9" t="s">
        <v>30</v>
      </c>
      <c r="P5996" s="12" t="s">
        <v>4196</v>
      </c>
      <c r="Q5996" s="9" t="s">
        <v>583</v>
      </c>
      <c r="R5996" s="14" t="str">
        <f>HYPERLINK("https://my.pitchbook.com?c=155899-63T","View Company Online")</f>
        <v>View Company Online</v>
      </c>
    </row>
    <row r="5997" spans="1:18" hidden="1" x14ac:dyDescent="0.3">
      <c r="A5997" s="15" t="s">
        <v>18438</v>
      </c>
      <c r="B5997" s="15" t="s">
        <v>18439</v>
      </c>
      <c r="C5997" s="18" t="s">
        <v>28</v>
      </c>
      <c r="D5997" s="15" t="s">
        <v>18440</v>
      </c>
      <c r="E5997" s="18" t="s">
        <v>28</v>
      </c>
      <c r="F5997" s="19" t="s">
        <v>28</v>
      </c>
      <c r="G5997" s="19">
        <v>0.19</v>
      </c>
      <c r="H5997" s="19" t="s">
        <v>28</v>
      </c>
      <c r="I5997" s="18" t="s">
        <v>28</v>
      </c>
      <c r="J5997" s="18" t="s">
        <v>28</v>
      </c>
      <c r="K5997" s="18" t="s">
        <v>28</v>
      </c>
      <c r="L5997" s="18" t="s">
        <v>28</v>
      </c>
      <c r="M5997" s="18" t="s">
        <v>28</v>
      </c>
      <c r="N5997" s="17">
        <v>44017</v>
      </c>
      <c r="O5997" s="15" t="s">
        <v>99</v>
      </c>
      <c r="P5997" s="16" t="s">
        <v>17220</v>
      </c>
      <c r="Q5997" s="15" t="s">
        <v>75</v>
      </c>
      <c r="R5997" s="13" t="str">
        <f>HYPERLINK("https://my.pitchbook.com?c=165812-95T","View Company Online")</f>
        <v>View Company Online</v>
      </c>
    </row>
    <row r="5998" spans="1:18" hidden="1" x14ac:dyDescent="0.3">
      <c r="A5998" s="9" t="s">
        <v>18441</v>
      </c>
      <c r="B5998" s="9" t="s">
        <v>15832</v>
      </c>
      <c r="C5998" s="11" t="s">
        <v>28</v>
      </c>
      <c r="D5998" s="9" t="s">
        <v>15833</v>
      </c>
      <c r="E5998" s="11" t="s">
        <v>28</v>
      </c>
      <c r="F5998" s="10" t="s">
        <v>28</v>
      </c>
      <c r="G5998" s="10">
        <v>7.0000000000000007E-2</v>
      </c>
      <c r="H5998" s="10">
        <v>0.31</v>
      </c>
      <c r="I5998" s="11" t="s">
        <v>28</v>
      </c>
      <c r="J5998" s="11" t="s">
        <v>28</v>
      </c>
      <c r="K5998" s="11" t="s">
        <v>28</v>
      </c>
      <c r="L5998" s="11" t="s">
        <v>28</v>
      </c>
      <c r="M5998" s="11" t="s">
        <v>28</v>
      </c>
      <c r="N5998" s="8">
        <v>44015</v>
      </c>
      <c r="O5998" s="9" t="s">
        <v>58</v>
      </c>
      <c r="P5998" s="12" t="s">
        <v>15834</v>
      </c>
      <c r="Q5998" s="9" t="s">
        <v>566</v>
      </c>
      <c r="R5998" s="14" t="str">
        <f>HYPERLINK("https://my.pitchbook.com?c=140482-36T","View Company Online")</f>
        <v>View Company Online</v>
      </c>
    </row>
    <row r="5999" spans="1:18" hidden="1" x14ac:dyDescent="0.3">
      <c r="A5999" s="15" t="s">
        <v>18442</v>
      </c>
      <c r="B5999" s="15" t="s">
        <v>18443</v>
      </c>
      <c r="C5999" s="18" t="s">
        <v>28</v>
      </c>
      <c r="D5999" s="15" t="s">
        <v>18444</v>
      </c>
      <c r="E5999" s="18" t="s">
        <v>28</v>
      </c>
      <c r="F5999" s="19" t="s">
        <v>28</v>
      </c>
      <c r="G5999" s="19">
        <v>0.4</v>
      </c>
      <c r="H5999" s="19" t="s">
        <v>28</v>
      </c>
      <c r="I5999" s="18" t="s">
        <v>28</v>
      </c>
      <c r="J5999" s="18" t="s">
        <v>28</v>
      </c>
      <c r="K5999" s="18" t="s">
        <v>28</v>
      </c>
      <c r="L5999" s="18" t="s">
        <v>28</v>
      </c>
      <c r="M5999" s="18" t="s">
        <v>28</v>
      </c>
      <c r="N5999" s="17">
        <v>44014</v>
      </c>
      <c r="O5999" s="15" t="s">
        <v>73</v>
      </c>
      <c r="P5999" s="16" t="s">
        <v>396</v>
      </c>
      <c r="Q5999" s="15" t="s">
        <v>263</v>
      </c>
      <c r="R5999" s="13" t="str">
        <f>HYPERLINK("https://my.pitchbook.com?c=175673-53T","View Company Online")</f>
        <v>View Company Online</v>
      </c>
    </row>
    <row r="6000" spans="1:18" hidden="1" x14ac:dyDescent="0.3">
      <c r="A6000" s="9" t="s">
        <v>18445</v>
      </c>
      <c r="B6000" s="9" t="s">
        <v>18446</v>
      </c>
      <c r="C6000" s="11" t="s">
        <v>28</v>
      </c>
      <c r="D6000" s="9" t="s">
        <v>18447</v>
      </c>
      <c r="E6000" s="11" t="s">
        <v>28</v>
      </c>
      <c r="F6000" s="10" t="s">
        <v>28</v>
      </c>
      <c r="G6000" s="10" t="s">
        <v>28</v>
      </c>
      <c r="H6000" s="10" t="s">
        <v>28</v>
      </c>
      <c r="I6000" s="11" t="s">
        <v>28</v>
      </c>
      <c r="J6000" s="11" t="s">
        <v>28</v>
      </c>
      <c r="K6000" s="11" t="s">
        <v>28</v>
      </c>
      <c r="L6000" s="11" t="s">
        <v>28</v>
      </c>
      <c r="M6000" s="11" t="s">
        <v>28</v>
      </c>
      <c r="N6000" s="8">
        <v>44013</v>
      </c>
      <c r="O6000" s="9" t="s">
        <v>30</v>
      </c>
      <c r="P6000" s="12" t="s">
        <v>14420</v>
      </c>
      <c r="Q6000" s="9" t="s">
        <v>419</v>
      </c>
      <c r="R6000" s="14" t="str">
        <f>HYPERLINK("https://my.pitchbook.com?c=213464-80T","View Company Online")</f>
        <v>View Company Online</v>
      </c>
    </row>
    <row r="6001" spans="1:18" hidden="1" x14ac:dyDescent="0.3">
      <c r="A6001" s="15" t="s">
        <v>18448</v>
      </c>
      <c r="B6001" s="15" t="s">
        <v>17696</v>
      </c>
      <c r="C6001" s="18" t="s">
        <v>28</v>
      </c>
      <c r="D6001" s="15" t="s">
        <v>17697</v>
      </c>
      <c r="E6001" s="18" t="s">
        <v>28</v>
      </c>
      <c r="F6001" s="19" t="s">
        <v>28</v>
      </c>
      <c r="G6001" s="19" t="s">
        <v>28</v>
      </c>
      <c r="H6001" s="19" t="s">
        <v>28</v>
      </c>
      <c r="I6001" s="18" t="s">
        <v>28</v>
      </c>
      <c r="J6001" s="18" t="s">
        <v>28</v>
      </c>
      <c r="K6001" s="18" t="s">
        <v>28</v>
      </c>
      <c r="L6001" s="18" t="s">
        <v>28</v>
      </c>
      <c r="M6001" s="18" t="s">
        <v>28</v>
      </c>
      <c r="N6001" s="17">
        <v>44013</v>
      </c>
      <c r="O6001" s="15" t="s">
        <v>52</v>
      </c>
      <c r="P6001" s="16" t="s">
        <v>18449</v>
      </c>
      <c r="Q6001" s="15" t="s">
        <v>75</v>
      </c>
      <c r="R6001" s="13" t="str">
        <f>HYPERLINK("https://my.pitchbook.com?c=157722-04T","View Company Online")</f>
        <v>View Company Online</v>
      </c>
    </row>
    <row r="6002" spans="1:18" hidden="1" x14ac:dyDescent="0.3">
      <c r="A6002" s="9" t="s">
        <v>18450</v>
      </c>
      <c r="B6002" s="9" t="s">
        <v>18451</v>
      </c>
      <c r="C6002" s="11" t="s">
        <v>28</v>
      </c>
      <c r="D6002" s="9" t="s">
        <v>18452</v>
      </c>
      <c r="E6002" s="11" t="s">
        <v>28</v>
      </c>
      <c r="F6002" s="10" t="s">
        <v>28</v>
      </c>
      <c r="G6002" s="10" t="s">
        <v>28</v>
      </c>
      <c r="H6002" s="10" t="s">
        <v>28</v>
      </c>
      <c r="I6002" s="11" t="s">
        <v>28</v>
      </c>
      <c r="J6002" s="11" t="s">
        <v>28</v>
      </c>
      <c r="K6002" s="11" t="s">
        <v>28</v>
      </c>
      <c r="L6002" s="11" t="s">
        <v>28</v>
      </c>
      <c r="M6002" s="11" t="s">
        <v>28</v>
      </c>
      <c r="N6002" s="8">
        <v>44013</v>
      </c>
      <c r="O6002" s="9" t="s">
        <v>30</v>
      </c>
      <c r="P6002" s="12" t="s">
        <v>18453</v>
      </c>
      <c r="Q6002" s="9" t="s">
        <v>114</v>
      </c>
      <c r="R6002" s="14" t="str">
        <f>HYPERLINK("https://my.pitchbook.com?c=233800-93T","View Company Online")</f>
        <v>View Company Online</v>
      </c>
    </row>
    <row r="6003" spans="1:18" hidden="1" x14ac:dyDescent="0.3">
      <c r="A6003" s="15" t="s">
        <v>18454</v>
      </c>
      <c r="B6003" s="15" t="s">
        <v>4233</v>
      </c>
      <c r="C6003" s="18" t="s">
        <v>28</v>
      </c>
      <c r="D6003" s="15" t="s">
        <v>4234</v>
      </c>
      <c r="E6003" s="18" t="s">
        <v>28</v>
      </c>
      <c r="F6003" s="19" t="s">
        <v>28</v>
      </c>
      <c r="G6003" s="19">
        <v>0.25</v>
      </c>
      <c r="H6003" s="19" t="s">
        <v>28</v>
      </c>
      <c r="I6003" s="18" t="s">
        <v>28</v>
      </c>
      <c r="J6003" s="18" t="s">
        <v>28</v>
      </c>
      <c r="K6003" s="18" t="s">
        <v>28</v>
      </c>
      <c r="L6003" s="18" t="s">
        <v>28</v>
      </c>
      <c r="M6003" s="18" t="s">
        <v>28</v>
      </c>
      <c r="N6003" s="17">
        <v>44013</v>
      </c>
      <c r="O6003" s="15" t="s">
        <v>99</v>
      </c>
      <c r="P6003" s="16" t="s">
        <v>18455</v>
      </c>
      <c r="Q6003" s="15" t="s">
        <v>75</v>
      </c>
      <c r="R6003" s="13" t="str">
        <f>HYPERLINK("https://my.pitchbook.com?c=155723-14T","View Company Online")</f>
        <v>View Company Online</v>
      </c>
    </row>
    <row r="6004" spans="1:18" hidden="1" x14ac:dyDescent="0.3">
      <c r="A6004" s="9" t="s">
        <v>18456</v>
      </c>
      <c r="B6004" s="9" t="s">
        <v>18457</v>
      </c>
      <c r="C6004" s="11" t="s">
        <v>28</v>
      </c>
      <c r="D6004" s="9" t="s">
        <v>18458</v>
      </c>
      <c r="E6004" s="11" t="s">
        <v>28</v>
      </c>
      <c r="F6004" s="10">
        <v>22.12</v>
      </c>
      <c r="G6004" s="10">
        <v>22.12</v>
      </c>
      <c r="H6004" s="10">
        <v>22.12</v>
      </c>
      <c r="I6004" s="11" t="s">
        <v>28</v>
      </c>
      <c r="J6004" s="11" t="s">
        <v>28</v>
      </c>
      <c r="K6004" s="11" t="s">
        <v>28</v>
      </c>
      <c r="L6004" s="11" t="s">
        <v>28</v>
      </c>
      <c r="M6004" s="11" t="s">
        <v>28</v>
      </c>
      <c r="N6004" s="8">
        <v>44013</v>
      </c>
      <c r="O6004" s="9" t="s">
        <v>30</v>
      </c>
      <c r="P6004" s="12" t="s">
        <v>14921</v>
      </c>
      <c r="Q6004" s="9" t="s">
        <v>43</v>
      </c>
      <c r="R6004" s="14" t="str">
        <f>HYPERLINK("https://my.pitchbook.com?c=214183-27T","View Company Online")</f>
        <v>View Company Online</v>
      </c>
    </row>
    <row r="6005" spans="1:18" hidden="1" x14ac:dyDescent="0.3">
      <c r="A6005" s="15" t="s">
        <v>18459</v>
      </c>
      <c r="B6005" s="15" t="s">
        <v>4156</v>
      </c>
      <c r="C6005" s="18" t="s">
        <v>28</v>
      </c>
      <c r="D6005" s="15" t="s">
        <v>4157</v>
      </c>
      <c r="E6005" s="18" t="s">
        <v>28</v>
      </c>
      <c r="F6005" s="19" t="s">
        <v>28</v>
      </c>
      <c r="G6005" s="19">
        <v>0.28999999999999998</v>
      </c>
      <c r="H6005" s="19" t="s">
        <v>28</v>
      </c>
      <c r="I6005" s="18" t="s">
        <v>28</v>
      </c>
      <c r="J6005" s="18" t="s">
        <v>28</v>
      </c>
      <c r="K6005" s="18" t="s">
        <v>28</v>
      </c>
      <c r="L6005" s="18" t="s">
        <v>28</v>
      </c>
      <c r="M6005" s="18" t="s">
        <v>28</v>
      </c>
      <c r="N6005" s="17">
        <v>44013</v>
      </c>
      <c r="O6005" s="15" t="s">
        <v>379</v>
      </c>
      <c r="P6005" s="16" t="s">
        <v>18460</v>
      </c>
      <c r="Q6005" s="15" t="s">
        <v>249</v>
      </c>
      <c r="R6005" s="13" t="str">
        <f>HYPERLINK("https://my.pitchbook.com?c=178108-12T","View Company Online")</f>
        <v>View Company Online</v>
      </c>
    </row>
    <row r="6006" spans="1:18" hidden="1" x14ac:dyDescent="0.3">
      <c r="A6006" s="9" t="s">
        <v>18461</v>
      </c>
      <c r="B6006" s="9" t="s">
        <v>13854</v>
      </c>
      <c r="C6006" s="11" t="s">
        <v>28</v>
      </c>
      <c r="D6006" s="9" t="s">
        <v>13855</v>
      </c>
      <c r="E6006" s="11" t="s">
        <v>28</v>
      </c>
      <c r="F6006" s="10" t="s">
        <v>28</v>
      </c>
      <c r="G6006" s="10" t="s">
        <v>28</v>
      </c>
      <c r="H6006" s="10" t="s">
        <v>28</v>
      </c>
      <c r="I6006" s="11" t="s">
        <v>28</v>
      </c>
      <c r="J6006" s="11" t="s">
        <v>28</v>
      </c>
      <c r="K6006" s="11" t="s">
        <v>28</v>
      </c>
      <c r="L6006" s="11" t="s">
        <v>28</v>
      </c>
      <c r="M6006" s="11" t="s">
        <v>28</v>
      </c>
      <c r="N6006" s="8">
        <v>44013</v>
      </c>
      <c r="O6006" s="9" t="s">
        <v>73</v>
      </c>
      <c r="P6006" s="12" t="s">
        <v>611</v>
      </c>
      <c r="Q6006" s="9" t="s">
        <v>832</v>
      </c>
      <c r="R6006" s="14" t="str">
        <f>HYPERLINK("https://my.pitchbook.com?c=243466-84T","View Company Online")</f>
        <v>View Company Online</v>
      </c>
    </row>
    <row r="6007" spans="1:18" hidden="1" x14ac:dyDescent="0.3">
      <c r="A6007" s="15" t="s">
        <v>18462</v>
      </c>
      <c r="B6007" s="15" t="s">
        <v>18463</v>
      </c>
      <c r="C6007" s="18" t="s">
        <v>28</v>
      </c>
      <c r="D6007" s="15" t="s">
        <v>18464</v>
      </c>
      <c r="E6007" s="18" t="s">
        <v>28</v>
      </c>
      <c r="F6007" s="19" t="s">
        <v>28</v>
      </c>
      <c r="G6007" s="19">
        <v>3.85</v>
      </c>
      <c r="H6007" s="19" t="s">
        <v>28</v>
      </c>
      <c r="I6007" s="18" t="s">
        <v>28</v>
      </c>
      <c r="J6007" s="18" t="s">
        <v>28</v>
      </c>
      <c r="K6007" s="18" t="s">
        <v>28</v>
      </c>
      <c r="L6007" s="18" t="s">
        <v>28</v>
      </c>
      <c r="M6007" s="18" t="s">
        <v>28</v>
      </c>
      <c r="N6007" s="17">
        <v>44013</v>
      </c>
      <c r="O6007" s="15" t="s">
        <v>79</v>
      </c>
      <c r="P6007" s="16" t="s">
        <v>18465</v>
      </c>
      <c r="Q6007" s="15" t="s">
        <v>245</v>
      </c>
      <c r="R6007" s="13" t="str">
        <f>HYPERLINK("https://my.pitchbook.com?c=156078-10T","View Company Online")</f>
        <v>View Company Online</v>
      </c>
    </row>
    <row r="6008" spans="1:18" hidden="1" x14ac:dyDescent="0.3">
      <c r="A6008" s="9" t="s">
        <v>18466</v>
      </c>
      <c r="B6008" s="9" t="s">
        <v>18467</v>
      </c>
      <c r="C6008" s="11" t="s">
        <v>28</v>
      </c>
      <c r="D6008" s="9" t="s">
        <v>18468</v>
      </c>
      <c r="E6008" s="11" t="s">
        <v>28</v>
      </c>
      <c r="F6008" s="10" t="s">
        <v>28</v>
      </c>
      <c r="G6008" s="10" t="s">
        <v>28</v>
      </c>
      <c r="H6008" s="10" t="s">
        <v>28</v>
      </c>
      <c r="I6008" s="11" t="s">
        <v>28</v>
      </c>
      <c r="J6008" s="11" t="s">
        <v>28</v>
      </c>
      <c r="K6008" s="11" t="s">
        <v>28</v>
      </c>
      <c r="L6008" s="11" t="s">
        <v>28</v>
      </c>
      <c r="M6008" s="11" t="s">
        <v>28</v>
      </c>
      <c r="N6008" s="8">
        <v>44013</v>
      </c>
      <c r="O6008" s="9" t="s">
        <v>30</v>
      </c>
      <c r="P6008" s="12" t="s">
        <v>14374</v>
      </c>
      <c r="Q6008" s="9" t="s">
        <v>3912</v>
      </c>
      <c r="R6008" s="14" t="str">
        <f>HYPERLINK("https://my.pitchbook.com?c=168997-24T","View Company Online")</f>
        <v>View Company Online</v>
      </c>
    </row>
    <row r="6009" spans="1:18" hidden="1" x14ac:dyDescent="0.3">
      <c r="A6009" s="15" t="s">
        <v>18469</v>
      </c>
      <c r="B6009" s="15" t="s">
        <v>13944</v>
      </c>
      <c r="C6009" s="18" t="s">
        <v>28</v>
      </c>
      <c r="D6009" s="15" t="s">
        <v>13945</v>
      </c>
      <c r="E6009" s="18" t="s">
        <v>28</v>
      </c>
      <c r="F6009" s="19" t="s">
        <v>28</v>
      </c>
      <c r="G6009" s="19">
        <v>0.38</v>
      </c>
      <c r="H6009" s="19" t="s">
        <v>28</v>
      </c>
      <c r="I6009" s="18" t="s">
        <v>28</v>
      </c>
      <c r="J6009" s="18" t="s">
        <v>28</v>
      </c>
      <c r="K6009" s="18" t="s">
        <v>28</v>
      </c>
      <c r="L6009" s="18" t="s">
        <v>28</v>
      </c>
      <c r="M6009" s="18" t="s">
        <v>28</v>
      </c>
      <c r="N6009" s="17">
        <v>44013</v>
      </c>
      <c r="O6009" s="15" t="s">
        <v>1639</v>
      </c>
      <c r="P6009" s="16" t="s">
        <v>28</v>
      </c>
      <c r="Q6009" s="15" t="s">
        <v>75</v>
      </c>
      <c r="R6009" s="13" t="str">
        <f>HYPERLINK("https://my.pitchbook.com?c=184679-83T","View Company Online")</f>
        <v>View Company Online</v>
      </c>
    </row>
    <row r="6010" spans="1:18" hidden="1" x14ac:dyDescent="0.3">
      <c r="A6010" s="9" t="s">
        <v>18470</v>
      </c>
      <c r="B6010" s="9" t="s">
        <v>18471</v>
      </c>
      <c r="C6010" s="11" t="s">
        <v>28</v>
      </c>
      <c r="D6010" s="9" t="s">
        <v>18472</v>
      </c>
      <c r="E6010" s="11" t="s">
        <v>28</v>
      </c>
      <c r="F6010" s="10" t="s">
        <v>28</v>
      </c>
      <c r="G6010" s="10" t="s">
        <v>28</v>
      </c>
      <c r="H6010" s="10" t="s">
        <v>28</v>
      </c>
      <c r="I6010" s="11" t="s">
        <v>28</v>
      </c>
      <c r="J6010" s="11" t="s">
        <v>28</v>
      </c>
      <c r="K6010" s="11">
        <v>23.29</v>
      </c>
      <c r="L6010" s="11" t="s">
        <v>28</v>
      </c>
      <c r="M6010" s="11" t="s">
        <v>28</v>
      </c>
      <c r="N6010" s="8">
        <v>44013</v>
      </c>
      <c r="O6010" s="9" t="s">
        <v>30</v>
      </c>
      <c r="P6010" s="12" t="s">
        <v>18473</v>
      </c>
      <c r="Q6010" s="9" t="s">
        <v>414</v>
      </c>
      <c r="R6010" s="14" t="str">
        <f>HYPERLINK("https://my.pitchbook.com?c=155065-87T","View Company Online")</f>
        <v>View Company Online</v>
      </c>
    </row>
    <row r="6011" spans="1:18" hidden="1" x14ac:dyDescent="0.3">
      <c r="A6011" s="15" t="s">
        <v>18474</v>
      </c>
      <c r="B6011" s="15" t="s">
        <v>18475</v>
      </c>
      <c r="C6011" s="18" t="s">
        <v>28</v>
      </c>
      <c r="D6011" s="15" t="s">
        <v>18476</v>
      </c>
      <c r="E6011" s="18" t="s">
        <v>28</v>
      </c>
      <c r="F6011" s="19" t="s">
        <v>28</v>
      </c>
      <c r="G6011" s="19" t="s">
        <v>28</v>
      </c>
      <c r="H6011" s="19" t="s">
        <v>28</v>
      </c>
      <c r="I6011" s="18" t="s">
        <v>28</v>
      </c>
      <c r="J6011" s="18" t="s">
        <v>28</v>
      </c>
      <c r="K6011" s="18" t="s">
        <v>28</v>
      </c>
      <c r="L6011" s="18" t="s">
        <v>28</v>
      </c>
      <c r="M6011" s="18" t="s">
        <v>28</v>
      </c>
      <c r="N6011" s="17">
        <v>44013</v>
      </c>
      <c r="O6011" s="15" t="s">
        <v>30</v>
      </c>
      <c r="P6011" s="16" t="s">
        <v>18477</v>
      </c>
      <c r="Q6011" s="15" t="s">
        <v>245</v>
      </c>
      <c r="R6011" s="13" t="str">
        <f>HYPERLINK("https://my.pitchbook.com?c=139269-97T","View Company Online")</f>
        <v>View Company Online</v>
      </c>
    </row>
    <row r="6012" spans="1:18" hidden="1" x14ac:dyDescent="0.3">
      <c r="A6012" s="9" t="s">
        <v>18478</v>
      </c>
      <c r="B6012" s="9" t="s">
        <v>18479</v>
      </c>
      <c r="C6012" s="11" t="s">
        <v>28</v>
      </c>
      <c r="D6012" s="9" t="s">
        <v>18480</v>
      </c>
      <c r="E6012" s="11" t="s">
        <v>28</v>
      </c>
      <c r="F6012" s="10" t="s">
        <v>28</v>
      </c>
      <c r="G6012" s="10" t="s">
        <v>28</v>
      </c>
      <c r="H6012" s="10" t="s">
        <v>28</v>
      </c>
      <c r="I6012" s="11" t="s">
        <v>28</v>
      </c>
      <c r="J6012" s="11" t="s">
        <v>28</v>
      </c>
      <c r="K6012" s="11" t="s">
        <v>28</v>
      </c>
      <c r="L6012" s="11" t="s">
        <v>28</v>
      </c>
      <c r="M6012" s="11" t="s">
        <v>28</v>
      </c>
      <c r="N6012" s="8">
        <v>44013</v>
      </c>
      <c r="O6012" s="9" t="s">
        <v>30</v>
      </c>
      <c r="P6012" s="12" t="s">
        <v>18477</v>
      </c>
      <c r="Q6012" s="9" t="s">
        <v>75</v>
      </c>
      <c r="R6012" s="14" t="str">
        <f>HYPERLINK("https://my.pitchbook.com?c=140860-09T","View Company Online")</f>
        <v>View Company Online</v>
      </c>
    </row>
    <row r="6013" spans="1:18" hidden="1" x14ac:dyDescent="0.3">
      <c r="A6013" s="15" t="s">
        <v>18481</v>
      </c>
      <c r="B6013" s="15" t="s">
        <v>421</v>
      </c>
      <c r="C6013" s="18" t="s">
        <v>28</v>
      </c>
      <c r="D6013" s="15" t="s">
        <v>422</v>
      </c>
      <c r="E6013" s="18">
        <v>470.25</v>
      </c>
      <c r="F6013" s="19" t="s">
        <v>28</v>
      </c>
      <c r="G6013" s="19">
        <v>790</v>
      </c>
      <c r="H6013" s="19" t="s">
        <v>28</v>
      </c>
      <c r="I6013" s="18">
        <v>497.35</v>
      </c>
      <c r="J6013" s="18" t="s">
        <v>28</v>
      </c>
      <c r="K6013" s="18">
        <v>986.29</v>
      </c>
      <c r="L6013" s="18" t="s">
        <v>28</v>
      </c>
      <c r="M6013" s="18">
        <v>353.36</v>
      </c>
      <c r="N6013" s="17">
        <v>44013</v>
      </c>
      <c r="O6013" s="15" t="s">
        <v>423</v>
      </c>
      <c r="P6013" s="16" t="s">
        <v>28</v>
      </c>
      <c r="Q6013" s="15" t="s">
        <v>424</v>
      </c>
      <c r="R6013" s="13" t="str">
        <f>HYPERLINK("https://my.pitchbook.com?c=268123-60T","View Company Online")</f>
        <v>View Company Online</v>
      </c>
    </row>
    <row r="6014" spans="1:18" hidden="1" x14ac:dyDescent="0.3">
      <c r="A6014" s="9" t="s">
        <v>18482</v>
      </c>
      <c r="B6014" s="9" t="s">
        <v>7078</v>
      </c>
      <c r="C6014" s="11" t="s">
        <v>28</v>
      </c>
      <c r="D6014" s="9" t="s">
        <v>7079</v>
      </c>
      <c r="E6014" s="11" t="s">
        <v>28</v>
      </c>
      <c r="F6014" s="10" t="s">
        <v>28</v>
      </c>
      <c r="G6014" s="10">
        <v>3.47</v>
      </c>
      <c r="H6014" s="10" t="s">
        <v>28</v>
      </c>
      <c r="I6014" s="11" t="s">
        <v>28</v>
      </c>
      <c r="J6014" s="11" t="s">
        <v>28</v>
      </c>
      <c r="K6014" s="11" t="s">
        <v>28</v>
      </c>
      <c r="L6014" s="11" t="s">
        <v>28</v>
      </c>
      <c r="M6014" s="11" t="s">
        <v>28</v>
      </c>
      <c r="N6014" s="8">
        <v>44012</v>
      </c>
      <c r="O6014" s="9" t="s">
        <v>93</v>
      </c>
      <c r="P6014" s="12" t="s">
        <v>1888</v>
      </c>
      <c r="Q6014" s="9" t="s">
        <v>583</v>
      </c>
      <c r="R6014" s="14" t="str">
        <f>HYPERLINK("https://my.pitchbook.com?c=196717-51T","View Company Online")</f>
        <v>View Company Online</v>
      </c>
    </row>
    <row r="6015" spans="1:18" hidden="1" x14ac:dyDescent="0.3">
      <c r="A6015" s="15" t="s">
        <v>18483</v>
      </c>
      <c r="B6015" s="15" t="s">
        <v>2258</v>
      </c>
      <c r="C6015" s="18" t="s">
        <v>28</v>
      </c>
      <c r="D6015" s="15" t="s">
        <v>2259</v>
      </c>
      <c r="E6015" s="18" t="s">
        <v>28</v>
      </c>
      <c r="F6015" s="19" t="s">
        <v>28</v>
      </c>
      <c r="G6015" s="19" t="s">
        <v>28</v>
      </c>
      <c r="H6015" s="19" t="s">
        <v>28</v>
      </c>
      <c r="I6015" s="18" t="s">
        <v>28</v>
      </c>
      <c r="J6015" s="18" t="s">
        <v>28</v>
      </c>
      <c r="K6015" s="18" t="s">
        <v>28</v>
      </c>
      <c r="L6015" s="18" t="s">
        <v>28</v>
      </c>
      <c r="M6015" s="18" t="s">
        <v>28</v>
      </c>
      <c r="N6015" s="17">
        <v>44012</v>
      </c>
      <c r="O6015" s="15" t="s">
        <v>30</v>
      </c>
      <c r="P6015" s="16" t="s">
        <v>421</v>
      </c>
      <c r="Q6015" s="15" t="s">
        <v>37</v>
      </c>
      <c r="R6015" s="13" t="str">
        <f>HYPERLINK("https://my.pitchbook.com?c=138867-76T","View Company Online")</f>
        <v>View Company Online</v>
      </c>
    </row>
    <row r="6016" spans="1:18" hidden="1" x14ac:dyDescent="0.3">
      <c r="A6016" s="9" t="s">
        <v>18484</v>
      </c>
      <c r="B6016" s="9" t="s">
        <v>788</v>
      </c>
      <c r="C6016" s="11" t="s">
        <v>28</v>
      </c>
      <c r="D6016" s="9" t="s">
        <v>789</v>
      </c>
      <c r="E6016" s="11" t="s">
        <v>28</v>
      </c>
      <c r="F6016" s="10" t="s">
        <v>28</v>
      </c>
      <c r="G6016" s="10">
        <v>0.03</v>
      </c>
      <c r="H6016" s="10" t="s">
        <v>28</v>
      </c>
      <c r="I6016" s="11" t="s">
        <v>28</v>
      </c>
      <c r="J6016" s="11" t="s">
        <v>28</v>
      </c>
      <c r="K6016" s="11" t="s">
        <v>28</v>
      </c>
      <c r="L6016" s="11" t="s">
        <v>28</v>
      </c>
      <c r="M6016" s="11" t="s">
        <v>28</v>
      </c>
      <c r="N6016" s="8">
        <v>44012</v>
      </c>
      <c r="O6016" s="9" t="s">
        <v>52</v>
      </c>
      <c r="P6016" s="12" t="s">
        <v>18485</v>
      </c>
      <c r="Q6016" s="9" t="s">
        <v>285</v>
      </c>
      <c r="R6016" s="14" t="str">
        <f>HYPERLINK("https://my.pitchbook.com?c=164037-52T","View Company Online")</f>
        <v>View Company Online</v>
      </c>
    </row>
    <row r="6017" spans="1:18" hidden="1" x14ac:dyDescent="0.3">
      <c r="A6017" s="15" t="s">
        <v>18486</v>
      </c>
      <c r="B6017" s="15" t="s">
        <v>18487</v>
      </c>
      <c r="C6017" s="18" t="s">
        <v>28</v>
      </c>
      <c r="D6017" s="15" t="s">
        <v>18488</v>
      </c>
      <c r="E6017" s="18" t="s">
        <v>28</v>
      </c>
      <c r="F6017" s="19" t="s">
        <v>28</v>
      </c>
      <c r="G6017" s="19">
        <v>0.21</v>
      </c>
      <c r="H6017" s="19" t="s">
        <v>28</v>
      </c>
      <c r="I6017" s="18" t="s">
        <v>28</v>
      </c>
      <c r="J6017" s="18" t="s">
        <v>28</v>
      </c>
      <c r="K6017" s="18" t="s">
        <v>28</v>
      </c>
      <c r="L6017" s="18" t="s">
        <v>28</v>
      </c>
      <c r="M6017" s="18" t="s">
        <v>28</v>
      </c>
      <c r="N6017" s="17">
        <v>44011</v>
      </c>
      <c r="O6017" s="15" t="s">
        <v>379</v>
      </c>
      <c r="P6017" s="16" t="s">
        <v>18489</v>
      </c>
      <c r="Q6017" s="15" t="s">
        <v>75</v>
      </c>
      <c r="R6017" s="13" t="str">
        <f>HYPERLINK("https://my.pitchbook.com?c=153574-39T","View Company Online")</f>
        <v>View Company Online</v>
      </c>
    </row>
    <row r="6018" spans="1:18" hidden="1" x14ac:dyDescent="0.3">
      <c r="A6018" s="9" t="s">
        <v>18490</v>
      </c>
      <c r="B6018" s="9" t="s">
        <v>18491</v>
      </c>
      <c r="C6018" s="11" t="s">
        <v>28</v>
      </c>
      <c r="D6018" s="9" t="s">
        <v>18492</v>
      </c>
      <c r="E6018" s="11" t="s">
        <v>28</v>
      </c>
      <c r="F6018" s="10" t="s">
        <v>28</v>
      </c>
      <c r="G6018" s="10" t="s">
        <v>28</v>
      </c>
      <c r="H6018" s="10" t="s">
        <v>28</v>
      </c>
      <c r="I6018" s="11" t="s">
        <v>28</v>
      </c>
      <c r="J6018" s="11" t="s">
        <v>28</v>
      </c>
      <c r="K6018" s="11" t="s">
        <v>28</v>
      </c>
      <c r="L6018" s="11" t="s">
        <v>28</v>
      </c>
      <c r="M6018" s="11" t="s">
        <v>28</v>
      </c>
      <c r="N6018" s="8">
        <v>44011</v>
      </c>
      <c r="O6018" s="9" t="s">
        <v>79</v>
      </c>
      <c r="P6018" s="12" t="s">
        <v>18493</v>
      </c>
      <c r="Q6018" s="9" t="s">
        <v>583</v>
      </c>
      <c r="R6018" s="14" t="str">
        <f>HYPERLINK("https://my.pitchbook.com?c=276319-36T","View Company Online")</f>
        <v>View Company Online</v>
      </c>
    </row>
    <row r="6019" spans="1:18" hidden="1" x14ac:dyDescent="0.3">
      <c r="A6019" s="15" t="s">
        <v>18494</v>
      </c>
      <c r="B6019" s="15" t="s">
        <v>18495</v>
      </c>
      <c r="C6019" s="18" t="s">
        <v>28</v>
      </c>
      <c r="D6019" s="15" t="s">
        <v>18496</v>
      </c>
      <c r="E6019" s="18" t="s">
        <v>28</v>
      </c>
      <c r="F6019" s="19" t="s">
        <v>28</v>
      </c>
      <c r="G6019" s="19">
        <v>2.77</v>
      </c>
      <c r="H6019" s="19" t="s">
        <v>28</v>
      </c>
      <c r="I6019" s="18" t="s">
        <v>28</v>
      </c>
      <c r="J6019" s="18" t="s">
        <v>28</v>
      </c>
      <c r="K6019" s="18" t="s">
        <v>28</v>
      </c>
      <c r="L6019" s="18" t="s">
        <v>28</v>
      </c>
      <c r="M6019" s="18" t="s">
        <v>28</v>
      </c>
      <c r="N6019" s="17">
        <v>44011</v>
      </c>
      <c r="O6019" s="15" t="s">
        <v>99</v>
      </c>
      <c r="P6019" s="16" t="s">
        <v>140</v>
      </c>
      <c r="Q6019" s="15" t="s">
        <v>75</v>
      </c>
      <c r="R6019" s="13" t="str">
        <f>HYPERLINK("https://my.pitchbook.com?c=182134-81T","View Company Online")</f>
        <v>View Company Online</v>
      </c>
    </row>
    <row r="6020" spans="1:18" hidden="1" x14ac:dyDescent="0.3">
      <c r="A6020" s="9" t="s">
        <v>18497</v>
      </c>
      <c r="B6020" s="9" t="s">
        <v>18498</v>
      </c>
      <c r="C6020" s="11" t="s">
        <v>28</v>
      </c>
      <c r="D6020" s="9" t="s">
        <v>18499</v>
      </c>
      <c r="E6020" s="11" t="s">
        <v>28</v>
      </c>
      <c r="F6020" s="10" t="s">
        <v>28</v>
      </c>
      <c r="G6020" s="10" t="s">
        <v>28</v>
      </c>
      <c r="H6020" s="10" t="s">
        <v>28</v>
      </c>
      <c r="I6020" s="11" t="s">
        <v>28</v>
      </c>
      <c r="J6020" s="11" t="s">
        <v>28</v>
      </c>
      <c r="K6020" s="11" t="s">
        <v>28</v>
      </c>
      <c r="L6020" s="11" t="s">
        <v>28</v>
      </c>
      <c r="M6020" s="11" t="s">
        <v>28</v>
      </c>
      <c r="N6020" s="8">
        <v>44011</v>
      </c>
      <c r="O6020" s="9" t="s">
        <v>30</v>
      </c>
      <c r="P6020" s="12" t="s">
        <v>18500</v>
      </c>
      <c r="Q6020" s="9" t="s">
        <v>85</v>
      </c>
      <c r="R6020" s="14" t="str">
        <f>HYPERLINK("https://my.pitchbook.com?c=186316-57T","View Company Online")</f>
        <v>View Company Online</v>
      </c>
    </row>
    <row r="6021" spans="1:18" hidden="1" x14ac:dyDescent="0.3">
      <c r="A6021" s="15" t="s">
        <v>18501</v>
      </c>
      <c r="B6021" s="15" t="s">
        <v>18502</v>
      </c>
      <c r="C6021" s="18" t="s">
        <v>28</v>
      </c>
      <c r="D6021" s="15" t="s">
        <v>18503</v>
      </c>
      <c r="E6021" s="18" t="s">
        <v>28</v>
      </c>
      <c r="F6021" s="19" t="s">
        <v>28</v>
      </c>
      <c r="G6021" s="19">
        <v>0.96</v>
      </c>
      <c r="H6021" s="19" t="s">
        <v>28</v>
      </c>
      <c r="I6021" s="18" t="s">
        <v>28</v>
      </c>
      <c r="J6021" s="18" t="s">
        <v>28</v>
      </c>
      <c r="K6021" s="18" t="s">
        <v>28</v>
      </c>
      <c r="L6021" s="18" t="s">
        <v>28</v>
      </c>
      <c r="M6021" s="18" t="s">
        <v>28</v>
      </c>
      <c r="N6021" s="17">
        <v>44008</v>
      </c>
      <c r="O6021" s="15" t="s">
        <v>99</v>
      </c>
      <c r="P6021" s="16" t="s">
        <v>3000</v>
      </c>
      <c r="Q6021" s="15" t="s">
        <v>245</v>
      </c>
      <c r="R6021" s="13" t="str">
        <f>HYPERLINK("https://my.pitchbook.com?c=140505-94T","View Company Online")</f>
        <v>View Company Online</v>
      </c>
    </row>
    <row r="6022" spans="1:18" hidden="1" x14ac:dyDescent="0.3">
      <c r="A6022" s="9" t="s">
        <v>18504</v>
      </c>
      <c r="B6022" s="9" t="s">
        <v>18505</v>
      </c>
      <c r="C6022" s="11" t="s">
        <v>28</v>
      </c>
      <c r="D6022" s="9" t="s">
        <v>18506</v>
      </c>
      <c r="E6022" s="11" t="s">
        <v>28</v>
      </c>
      <c r="F6022" s="10">
        <v>1</v>
      </c>
      <c r="G6022" s="10">
        <v>1</v>
      </c>
      <c r="H6022" s="10">
        <v>1</v>
      </c>
      <c r="I6022" s="11" t="s">
        <v>28</v>
      </c>
      <c r="J6022" s="11" t="s">
        <v>28</v>
      </c>
      <c r="K6022" s="11" t="s">
        <v>28</v>
      </c>
      <c r="L6022" s="11" t="s">
        <v>28</v>
      </c>
      <c r="M6022" s="11" t="s">
        <v>28</v>
      </c>
      <c r="N6022" s="8">
        <v>44008</v>
      </c>
      <c r="O6022" s="9" t="s">
        <v>30</v>
      </c>
      <c r="P6022" s="12" t="s">
        <v>18507</v>
      </c>
      <c r="Q6022" s="9" t="s">
        <v>404</v>
      </c>
      <c r="R6022" s="14" t="str">
        <f>HYPERLINK("https://my.pitchbook.com?c=214183-72T","View Company Online")</f>
        <v>View Company Online</v>
      </c>
    </row>
    <row r="6023" spans="1:18" hidden="1" x14ac:dyDescent="0.3">
      <c r="A6023" s="15" t="s">
        <v>18508</v>
      </c>
      <c r="B6023" s="15" t="s">
        <v>18509</v>
      </c>
      <c r="C6023" s="18" t="s">
        <v>28</v>
      </c>
      <c r="D6023" s="15" t="s">
        <v>18510</v>
      </c>
      <c r="E6023" s="18" t="s">
        <v>28</v>
      </c>
      <c r="F6023" s="19" t="s">
        <v>28</v>
      </c>
      <c r="G6023" s="19" t="s">
        <v>28</v>
      </c>
      <c r="H6023" s="19" t="s">
        <v>28</v>
      </c>
      <c r="I6023" s="18" t="s">
        <v>28</v>
      </c>
      <c r="J6023" s="18" t="s">
        <v>28</v>
      </c>
      <c r="K6023" s="18" t="s">
        <v>28</v>
      </c>
      <c r="L6023" s="18" t="s">
        <v>28</v>
      </c>
      <c r="M6023" s="18" t="s">
        <v>28</v>
      </c>
      <c r="N6023" s="17">
        <v>44008</v>
      </c>
      <c r="O6023" s="15" t="s">
        <v>73</v>
      </c>
      <c r="P6023" s="16" t="s">
        <v>18511</v>
      </c>
      <c r="Q6023" s="15" t="s">
        <v>75</v>
      </c>
      <c r="R6023" s="13" t="str">
        <f>HYPERLINK("https://my.pitchbook.com?c=138823-93T","View Company Online")</f>
        <v>View Company Online</v>
      </c>
    </row>
    <row r="6024" spans="1:18" hidden="1" x14ac:dyDescent="0.3">
      <c r="A6024" s="9" t="s">
        <v>18512</v>
      </c>
      <c r="B6024" s="9" t="s">
        <v>4133</v>
      </c>
      <c r="C6024" s="11" t="s">
        <v>28</v>
      </c>
      <c r="D6024" s="9" t="s">
        <v>4134</v>
      </c>
      <c r="E6024" s="11" t="s">
        <v>28</v>
      </c>
      <c r="F6024" s="10" t="s">
        <v>28</v>
      </c>
      <c r="G6024" s="10">
        <v>7.71</v>
      </c>
      <c r="H6024" s="10" t="s">
        <v>28</v>
      </c>
      <c r="I6024" s="11" t="s">
        <v>28</v>
      </c>
      <c r="J6024" s="11" t="s">
        <v>28</v>
      </c>
      <c r="K6024" s="11" t="s">
        <v>28</v>
      </c>
      <c r="L6024" s="11" t="s">
        <v>28</v>
      </c>
      <c r="M6024" s="11" t="s">
        <v>28</v>
      </c>
      <c r="N6024" s="8">
        <v>44007</v>
      </c>
      <c r="O6024" s="9" t="s">
        <v>73</v>
      </c>
      <c r="P6024" s="12" t="s">
        <v>18513</v>
      </c>
      <c r="Q6024" s="9" t="s">
        <v>1263</v>
      </c>
      <c r="R6024" s="14" t="str">
        <f>HYPERLINK("https://my.pitchbook.com?c=140885-56T","View Company Online")</f>
        <v>View Company Online</v>
      </c>
    </row>
    <row r="6025" spans="1:18" hidden="1" x14ac:dyDescent="0.3">
      <c r="A6025" s="15" t="s">
        <v>18514</v>
      </c>
      <c r="B6025" s="15" t="s">
        <v>1279</v>
      </c>
      <c r="C6025" s="18" t="s">
        <v>28</v>
      </c>
      <c r="D6025" s="15" t="s">
        <v>1280</v>
      </c>
      <c r="E6025" s="18" t="s">
        <v>28</v>
      </c>
      <c r="F6025" s="19" t="s">
        <v>28</v>
      </c>
      <c r="G6025" s="19" t="s">
        <v>28</v>
      </c>
      <c r="H6025" s="19" t="s">
        <v>28</v>
      </c>
      <c r="I6025" s="18" t="s">
        <v>28</v>
      </c>
      <c r="J6025" s="18" t="s">
        <v>28</v>
      </c>
      <c r="K6025" s="18" t="s">
        <v>28</v>
      </c>
      <c r="L6025" s="18" t="s">
        <v>28</v>
      </c>
      <c r="M6025" s="18" t="s">
        <v>28</v>
      </c>
      <c r="N6025" s="17">
        <v>44007</v>
      </c>
      <c r="O6025" s="15" t="s">
        <v>52</v>
      </c>
      <c r="P6025" s="16" t="s">
        <v>18515</v>
      </c>
      <c r="Q6025" s="15" t="s">
        <v>1035</v>
      </c>
      <c r="R6025" s="13" t="str">
        <f>HYPERLINK("https://my.pitchbook.com?c=158004-37T","View Company Online")</f>
        <v>View Company Online</v>
      </c>
    </row>
    <row r="6026" spans="1:18" hidden="1" x14ac:dyDescent="0.3">
      <c r="A6026" s="9" t="s">
        <v>18516</v>
      </c>
      <c r="B6026" s="9" t="s">
        <v>18517</v>
      </c>
      <c r="C6026" s="11" t="s">
        <v>28</v>
      </c>
      <c r="D6026" s="9" t="s">
        <v>18518</v>
      </c>
      <c r="E6026" s="11" t="s">
        <v>28</v>
      </c>
      <c r="F6026" s="10" t="s">
        <v>28</v>
      </c>
      <c r="G6026" s="10">
        <v>11.27</v>
      </c>
      <c r="H6026" s="10">
        <v>11.27</v>
      </c>
      <c r="I6026" s="11" t="s">
        <v>28</v>
      </c>
      <c r="J6026" s="11" t="s">
        <v>28</v>
      </c>
      <c r="K6026" s="11" t="s">
        <v>28</v>
      </c>
      <c r="L6026" s="11" t="s">
        <v>28</v>
      </c>
      <c r="M6026" s="11" t="s">
        <v>28</v>
      </c>
      <c r="N6026" s="8">
        <v>44007</v>
      </c>
      <c r="O6026" s="9" t="s">
        <v>30</v>
      </c>
      <c r="P6026" s="12" t="s">
        <v>5437</v>
      </c>
      <c r="Q6026" s="9" t="s">
        <v>188</v>
      </c>
      <c r="R6026" s="14" t="str">
        <f>HYPERLINK("https://my.pitchbook.com?c=214184-71T","View Company Online")</f>
        <v>View Company Online</v>
      </c>
    </row>
    <row r="6027" spans="1:18" hidden="1" x14ac:dyDescent="0.3">
      <c r="A6027" s="15" t="s">
        <v>18519</v>
      </c>
      <c r="B6027" s="15" t="s">
        <v>18520</v>
      </c>
      <c r="C6027" s="18" t="s">
        <v>28</v>
      </c>
      <c r="D6027" s="15" t="s">
        <v>18521</v>
      </c>
      <c r="E6027" s="18" t="s">
        <v>28</v>
      </c>
      <c r="F6027" s="19" t="s">
        <v>28</v>
      </c>
      <c r="G6027" s="19" t="s">
        <v>28</v>
      </c>
      <c r="H6027" s="19" t="s">
        <v>28</v>
      </c>
      <c r="I6027" s="18" t="s">
        <v>28</v>
      </c>
      <c r="J6027" s="18" t="s">
        <v>28</v>
      </c>
      <c r="K6027" s="18" t="s">
        <v>28</v>
      </c>
      <c r="L6027" s="18" t="s">
        <v>28</v>
      </c>
      <c r="M6027" s="18" t="s">
        <v>28</v>
      </c>
      <c r="N6027" s="17">
        <v>44006</v>
      </c>
      <c r="O6027" s="15" t="s">
        <v>41</v>
      </c>
      <c r="P6027" s="16" t="s">
        <v>9465</v>
      </c>
      <c r="Q6027" s="15" t="s">
        <v>692</v>
      </c>
      <c r="R6027" s="13" t="str">
        <f>HYPERLINK("https://my.pitchbook.com?c=224495-29T","View Company Online")</f>
        <v>View Company Online</v>
      </c>
    </row>
    <row r="6028" spans="1:18" hidden="1" x14ac:dyDescent="0.3">
      <c r="A6028" s="9" t="s">
        <v>18522</v>
      </c>
      <c r="B6028" s="9" t="s">
        <v>1013</v>
      </c>
      <c r="C6028" s="11" t="s">
        <v>28</v>
      </c>
      <c r="D6028" s="9" t="s">
        <v>1014</v>
      </c>
      <c r="E6028" s="11" t="s">
        <v>28</v>
      </c>
      <c r="F6028" s="10" t="s">
        <v>28</v>
      </c>
      <c r="G6028" s="10">
        <v>0.04</v>
      </c>
      <c r="H6028" s="10" t="s">
        <v>28</v>
      </c>
      <c r="I6028" s="11" t="s">
        <v>28</v>
      </c>
      <c r="J6028" s="11" t="s">
        <v>28</v>
      </c>
      <c r="K6028" s="11" t="s">
        <v>28</v>
      </c>
      <c r="L6028" s="11" t="s">
        <v>28</v>
      </c>
      <c r="M6028" s="11" t="s">
        <v>28</v>
      </c>
      <c r="N6028" s="8">
        <v>44006</v>
      </c>
      <c r="O6028" s="9" t="s">
        <v>52</v>
      </c>
      <c r="P6028" s="12" t="s">
        <v>18523</v>
      </c>
      <c r="Q6028" s="9" t="s">
        <v>75</v>
      </c>
      <c r="R6028" s="14" t="str">
        <f>HYPERLINK("https://my.pitchbook.com?c=167477-68T","View Company Online")</f>
        <v>View Company Online</v>
      </c>
    </row>
    <row r="6029" spans="1:18" hidden="1" x14ac:dyDescent="0.3">
      <c r="A6029" s="15" t="s">
        <v>18524</v>
      </c>
      <c r="B6029" s="15" t="s">
        <v>18525</v>
      </c>
      <c r="C6029" s="18" t="s">
        <v>28</v>
      </c>
      <c r="D6029" s="15" t="s">
        <v>18526</v>
      </c>
      <c r="E6029" s="18" t="s">
        <v>28</v>
      </c>
      <c r="F6029" s="19" t="s">
        <v>28</v>
      </c>
      <c r="G6029" s="19" t="s">
        <v>28</v>
      </c>
      <c r="H6029" s="19" t="s">
        <v>28</v>
      </c>
      <c r="I6029" s="18" t="s">
        <v>28</v>
      </c>
      <c r="J6029" s="18" t="s">
        <v>28</v>
      </c>
      <c r="K6029" s="18" t="s">
        <v>28</v>
      </c>
      <c r="L6029" s="18" t="s">
        <v>28</v>
      </c>
      <c r="M6029" s="18" t="s">
        <v>28</v>
      </c>
      <c r="N6029" s="17">
        <v>44005</v>
      </c>
      <c r="O6029" s="15" t="s">
        <v>30</v>
      </c>
      <c r="P6029" s="16" t="s">
        <v>18527</v>
      </c>
      <c r="Q6029" s="15" t="s">
        <v>75</v>
      </c>
      <c r="R6029" s="13" t="str">
        <f>HYPERLINK("https://my.pitchbook.com?c=158580-64T","View Company Online")</f>
        <v>View Company Online</v>
      </c>
    </row>
    <row r="6030" spans="1:18" hidden="1" x14ac:dyDescent="0.3">
      <c r="A6030" s="9" t="s">
        <v>18528</v>
      </c>
      <c r="B6030" s="9" t="s">
        <v>18529</v>
      </c>
      <c r="C6030" s="11" t="s">
        <v>28</v>
      </c>
      <c r="D6030" s="9" t="s">
        <v>18530</v>
      </c>
      <c r="E6030" s="11" t="s">
        <v>28</v>
      </c>
      <c r="F6030" s="10" t="s">
        <v>28</v>
      </c>
      <c r="G6030" s="10">
        <v>0.1</v>
      </c>
      <c r="H6030" s="10" t="s">
        <v>28</v>
      </c>
      <c r="I6030" s="11" t="s">
        <v>28</v>
      </c>
      <c r="J6030" s="11" t="s">
        <v>28</v>
      </c>
      <c r="K6030" s="11" t="s">
        <v>28</v>
      </c>
      <c r="L6030" s="11" t="s">
        <v>28</v>
      </c>
      <c r="M6030" s="11" t="s">
        <v>28</v>
      </c>
      <c r="N6030" s="8">
        <v>44004</v>
      </c>
      <c r="O6030" s="9" t="s">
        <v>99</v>
      </c>
      <c r="P6030" s="12" t="s">
        <v>4022</v>
      </c>
      <c r="Q6030" s="9" t="s">
        <v>583</v>
      </c>
      <c r="R6030" s="14" t="str">
        <f>HYPERLINK("https://my.pitchbook.com?c=140539-87T","View Company Online")</f>
        <v>View Company Online</v>
      </c>
    </row>
    <row r="6031" spans="1:18" hidden="1" x14ac:dyDescent="0.3">
      <c r="A6031" s="15" t="s">
        <v>18531</v>
      </c>
      <c r="B6031" s="15" t="s">
        <v>18532</v>
      </c>
      <c r="C6031" s="18" t="s">
        <v>28</v>
      </c>
      <c r="D6031" s="15" t="s">
        <v>18533</v>
      </c>
      <c r="E6031" s="18" t="s">
        <v>28</v>
      </c>
      <c r="F6031" s="19" t="s">
        <v>28</v>
      </c>
      <c r="G6031" s="19">
        <v>23.91</v>
      </c>
      <c r="H6031" s="19" t="s">
        <v>28</v>
      </c>
      <c r="I6031" s="18" t="s">
        <v>28</v>
      </c>
      <c r="J6031" s="18" t="s">
        <v>28</v>
      </c>
      <c r="K6031" s="18" t="s">
        <v>28</v>
      </c>
      <c r="L6031" s="18" t="s">
        <v>28</v>
      </c>
      <c r="M6031" s="18" t="s">
        <v>28</v>
      </c>
      <c r="N6031" s="17">
        <v>44004</v>
      </c>
      <c r="O6031" s="15" t="s">
        <v>79</v>
      </c>
      <c r="P6031" s="16" t="s">
        <v>18534</v>
      </c>
      <c r="Q6031" s="15" t="s">
        <v>1336</v>
      </c>
      <c r="R6031" s="13" t="str">
        <f>HYPERLINK("https://my.pitchbook.com?c=130263-67T","View Company Online")</f>
        <v>View Company Online</v>
      </c>
    </row>
    <row r="6032" spans="1:18" hidden="1" x14ac:dyDescent="0.3">
      <c r="A6032" s="9" t="s">
        <v>18535</v>
      </c>
      <c r="B6032" s="9" t="s">
        <v>11979</v>
      </c>
      <c r="C6032" s="11" t="s">
        <v>28</v>
      </c>
      <c r="D6032" s="9" t="s">
        <v>11980</v>
      </c>
      <c r="E6032" s="11" t="s">
        <v>28</v>
      </c>
      <c r="F6032" s="10" t="s">
        <v>28</v>
      </c>
      <c r="G6032" s="10">
        <v>3.3</v>
      </c>
      <c r="H6032" s="10" t="s">
        <v>28</v>
      </c>
      <c r="I6032" s="11" t="s">
        <v>28</v>
      </c>
      <c r="J6032" s="11" t="s">
        <v>28</v>
      </c>
      <c r="K6032" s="11" t="s">
        <v>28</v>
      </c>
      <c r="L6032" s="11" t="s">
        <v>28</v>
      </c>
      <c r="M6032" s="11" t="s">
        <v>28</v>
      </c>
      <c r="N6032" s="8">
        <v>44004</v>
      </c>
      <c r="O6032" s="9" t="s">
        <v>99</v>
      </c>
      <c r="P6032" s="12" t="s">
        <v>18536</v>
      </c>
      <c r="Q6032" s="9" t="s">
        <v>37</v>
      </c>
      <c r="R6032" s="14" t="str">
        <f>HYPERLINK("https://my.pitchbook.com?c=138553-75T","View Company Online")</f>
        <v>View Company Online</v>
      </c>
    </row>
    <row r="6033" spans="1:18" hidden="1" x14ac:dyDescent="0.3">
      <c r="A6033" s="15" t="s">
        <v>18537</v>
      </c>
      <c r="B6033" s="15" t="s">
        <v>9694</v>
      </c>
      <c r="C6033" s="18" t="s">
        <v>28</v>
      </c>
      <c r="D6033" s="15" t="s">
        <v>9695</v>
      </c>
      <c r="E6033" s="18" t="s">
        <v>28</v>
      </c>
      <c r="F6033" s="19" t="s">
        <v>28</v>
      </c>
      <c r="G6033" s="19" t="s">
        <v>28</v>
      </c>
      <c r="H6033" s="19" t="s">
        <v>28</v>
      </c>
      <c r="I6033" s="18" t="s">
        <v>28</v>
      </c>
      <c r="J6033" s="18" t="s">
        <v>28</v>
      </c>
      <c r="K6033" s="18" t="s">
        <v>28</v>
      </c>
      <c r="L6033" s="18" t="s">
        <v>28</v>
      </c>
      <c r="M6033" s="18" t="s">
        <v>28</v>
      </c>
      <c r="N6033" s="17">
        <v>44002</v>
      </c>
      <c r="O6033" s="15" t="s">
        <v>73</v>
      </c>
      <c r="P6033" s="16" t="s">
        <v>18538</v>
      </c>
      <c r="Q6033" s="15" t="s">
        <v>75</v>
      </c>
      <c r="R6033" s="13" t="str">
        <f>HYPERLINK("https://my.pitchbook.com?c=165841-12T","View Company Online")</f>
        <v>View Company Online</v>
      </c>
    </row>
    <row r="6034" spans="1:18" hidden="1" x14ac:dyDescent="0.3">
      <c r="A6034" s="9" t="s">
        <v>18539</v>
      </c>
      <c r="B6034" s="9" t="s">
        <v>18540</v>
      </c>
      <c r="C6034" s="11" t="s">
        <v>28</v>
      </c>
      <c r="D6034" s="9" t="s">
        <v>18541</v>
      </c>
      <c r="E6034" s="11" t="s">
        <v>28</v>
      </c>
      <c r="F6034" s="10" t="s">
        <v>28</v>
      </c>
      <c r="G6034" s="10" t="s">
        <v>28</v>
      </c>
      <c r="H6034" s="10" t="s">
        <v>28</v>
      </c>
      <c r="I6034" s="11" t="s">
        <v>28</v>
      </c>
      <c r="J6034" s="11" t="s">
        <v>28</v>
      </c>
      <c r="K6034" s="11" t="s">
        <v>28</v>
      </c>
      <c r="L6034" s="11" t="s">
        <v>28</v>
      </c>
      <c r="M6034" s="11" t="s">
        <v>28</v>
      </c>
      <c r="N6034" s="8">
        <v>44001</v>
      </c>
      <c r="O6034" s="9" t="s">
        <v>30</v>
      </c>
      <c r="P6034" s="12" t="s">
        <v>18542</v>
      </c>
      <c r="Q6034" s="9" t="s">
        <v>95</v>
      </c>
      <c r="R6034" s="14" t="str">
        <f>HYPERLINK("https://my.pitchbook.com?c=138415-33T","View Company Online")</f>
        <v>View Company Online</v>
      </c>
    </row>
    <row r="6035" spans="1:18" hidden="1" x14ac:dyDescent="0.3">
      <c r="A6035" s="15" t="s">
        <v>18543</v>
      </c>
      <c r="B6035" s="15" t="s">
        <v>5785</v>
      </c>
      <c r="C6035" s="18" t="s">
        <v>28</v>
      </c>
      <c r="D6035" s="15" t="s">
        <v>12775</v>
      </c>
      <c r="E6035" s="18" t="s">
        <v>28</v>
      </c>
      <c r="F6035" s="19" t="s">
        <v>28</v>
      </c>
      <c r="G6035" s="19">
        <v>300</v>
      </c>
      <c r="H6035" s="19" t="s">
        <v>28</v>
      </c>
      <c r="I6035" s="18" t="s">
        <v>28</v>
      </c>
      <c r="J6035" s="18" t="s">
        <v>28</v>
      </c>
      <c r="K6035" s="18">
        <v>359.53</v>
      </c>
      <c r="L6035" s="18" t="s">
        <v>28</v>
      </c>
      <c r="M6035" s="18">
        <v>-92.53</v>
      </c>
      <c r="N6035" s="17">
        <v>44001</v>
      </c>
      <c r="O6035" s="15" t="s">
        <v>79</v>
      </c>
      <c r="P6035" s="16" t="s">
        <v>18544</v>
      </c>
      <c r="Q6035" s="15" t="s">
        <v>1213</v>
      </c>
      <c r="R6035" s="13" t="str">
        <f>HYPERLINK("https://my.pitchbook.com?c=173495-26T","View Company Online")</f>
        <v>View Company Online</v>
      </c>
    </row>
    <row r="6036" spans="1:18" hidden="1" x14ac:dyDescent="0.3">
      <c r="A6036" s="9" t="s">
        <v>18545</v>
      </c>
      <c r="B6036" s="9" t="s">
        <v>3403</v>
      </c>
      <c r="C6036" s="11" t="s">
        <v>28</v>
      </c>
      <c r="D6036" s="9" t="s">
        <v>3404</v>
      </c>
      <c r="E6036" s="11" t="s">
        <v>28</v>
      </c>
      <c r="F6036" s="10" t="s">
        <v>28</v>
      </c>
      <c r="G6036" s="10">
        <v>0.56999999999999995</v>
      </c>
      <c r="H6036" s="10" t="s">
        <v>28</v>
      </c>
      <c r="I6036" s="11" t="s">
        <v>28</v>
      </c>
      <c r="J6036" s="11" t="s">
        <v>28</v>
      </c>
      <c r="K6036" s="11" t="s">
        <v>28</v>
      </c>
      <c r="L6036" s="11" t="s">
        <v>28</v>
      </c>
      <c r="M6036" s="11" t="s">
        <v>28</v>
      </c>
      <c r="N6036" s="8">
        <v>44001</v>
      </c>
      <c r="O6036" s="9" t="s">
        <v>99</v>
      </c>
      <c r="P6036" s="12" t="s">
        <v>18546</v>
      </c>
      <c r="Q6036" s="9" t="s">
        <v>37</v>
      </c>
      <c r="R6036" s="14" t="str">
        <f>HYPERLINK("https://my.pitchbook.com?c=138446-92T","View Company Online")</f>
        <v>View Company Online</v>
      </c>
    </row>
    <row r="6037" spans="1:18" hidden="1" x14ac:dyDescent="0.3">
      <c r="A6037" s="15" t="s">
        <v>18547</v>
      </c>
      <c r="B6037" s="15" t="s">
        <v>8482</v>
      </c>
      <c r="C6037" s="18" t="s">
        <v>28</v>
      </c>
      <c r="D6037" s="15" t="s">
        <v>8483</v>
      </c>
      <c r="E6037" s="18" t="s">
        <v>28</v>
      </c>
      <c r="F6037" s="19" t="s">
        <v>28</v>
      </c>
      <c r="G6037" s="19">
        <v>1</v>
      </c>
      <c r="H6037" s="19" t="s">
        <v>28</v>
      </c>
      <c r="I6037" s="18" t="s">
        <v>28</v>
      </c>
      <c r="J6037" s="18" t="s">
        <v>28</v>
      </c>
      <c r="K6037" s="18" t="s">
        <v>28</v>
      </c>
      <c r="L6037" s="18" t="s">
        <v>28</v>
      </c>
      <c r="M6037" s="18" t="s">
        <v>28</v>
      </c>
      <c r="N6037" s="17">
        <v>44000</v>
      </c>
      <c r="O6037" s="15" t="s">
        <v>73</v>
      </c>
      <c r="P6037" s="16" t="s">
        <v>18548</v>
      </c>
      <c r="Q6037" s="15" t="s">
        <v>37</v>
      </c>
      <c r="R6037" s="13" t="str">
        <f>HYPERLINK("https://my.pitchbook.com?c=187410-79T","View Company Online")</f>
        <v>View Company Online</v>
      </c>
    </row>
    <row r="6038" spans="1:18" hidden="1" x14ac:dyDescent="0.3">
      <c r="A6038" s="9" t="s">
        <v>18549</v>
      </c>
      <c r="B6038" s="9" t="s">
        <v>12708</v>
      </c>
      <c r="C6038" s="11" t="s">
        <v>28</v>
      </c>
      <c r="D6038" s="9" t="s">
        <v>12709</v>
      </c>
      <c r="E6038" s="11" t="s">
        <v>28</v>
      </c>
      <c r="F6038" s="10" t="s">
        <v>28</v>
      </c>
      <c r="G6038" s="10">
        <v>26</v>
      </c>
      <c r="H6038" s="10" t="s">
        <v>28</v>
      </c>
      <c r="I6038" s="11" t="s">
        <v>28</v>
      </c>
      <c r="J6038" s="11" t="s">
        <v>28</v>
      </c>
      <c r="K6038" s="11" t="s">
        <v>28</v>
      </c>
      <c r="L6038" s="11" t="s">
        <v>28</v>
      </c>
      <c r="M6038" s="11" t="s">
        <v>28</v>
      </c>
      <c r="N6038" s="8">
        <v>43999</v>
      </c>
      <c r="O6038" s="9" t="s">
        <v>73</v>
      </c>
      <c r="P6038" s="12" t="s">
        <v>18550</v>
      </c>
      <c r="Q6038" s="9" t="s">
        <v>37</v>
      </c>
      <c r="R6038" s="14" t="str">
        <f>HYPERLINK("https://my.pitchbook.com?c=138350-08T","View Company Online")</f>
        <v>View Company Online</v>
      </c>
    </row>
    <row r="6039" spans="1:18" hidden="1" x14ac:dyDescent="0.3">
      <c r="A6039" s="15" t="s">
        <v>18551</v>
      </c>
      <c r="B6039" s="15" t="s">
        <v>7535</v>
      </c>
      <c r="C6039" s="18" t="s">
        <v>28</v>
      </c>
      <c r="D6039" s="15" t="s">
        <v>7536</v>
      </c>
      <c r="E6039" s="18" t="s">
        <v>28</v>
      </c>
      <c r="F6039" s="19" t="s">
        <v>28</v>
      </c>
      <c r="G6039" s="19" t="s">
        <v>28</v>
      </c>
      <c r="H6039" s="19" t="s">
        <v>28</v>
      </c>
      <c r="I6039" s="18" t="s">
        <v>28</v>
      </c>
      <c r="J6039" s="18" t="s">
        <v>28</v>
      </c>
      <c r="K6039" s="18" t="s">
        <v>28</v>
      </c>
      <c r="L6039" s="18" t="s">
        <v>28</v>
      </c>
      <c r="M6039" s="18" t="s">
        <v>28</v>
      </c>
      <c r="N6039" s="17">
        <v>43998</v>
      </c>
      <c r="O6039" s="15" t="s">
        <v>52</v>
      </c>
      <c r="P6039" s="16" t="s">
        <v>28</v>
      </c>
      <c r="Q6039" s="15" t="s">
        <v>43</v>
      </c>
      <c r="R6039" s="13" t="str">
        <f>HYPERLINK("https://my.pitchbook.com?c=265377-88T","View Company Online")</f>
        <v>View Company Online</v>
      </c>
    </row>
    <row r="6040" spans="1:18" hidden="1" x14ac:dyDescent="0.3">
      <c r="A6040" s="9" t="s">
        <v>18552</v>
      </c>
      <c r="B6040" s="9" t="s">
        <v>4981</v>
      </c>
      <c r="C6040" s="11" t="s">
        <v>28</v>
      </c>
      <c r="D6040" s="9" t="s">
        <v>4982</v>
      </c>
      <c r="E6040" s="11" t="s">
        <v>28</v>
      </c>
      <c r="F6040" s="10" t="s">
        <v>28</v>
      </c>
      <c r="G6040" s="10">
        <v>0.47</v>
      </c>
      <c r="H6040" s="10" t="s">
        <v>28</v>
      </c>
      <c r="I6040" s="11" t="s">
        <v>28</v>
      </c>
      <c r="J6040" s="11" t="s">
        <v>28</v>
      </c>
      <c r="K6040" s="11" t="s">
        <v>28</v>
      </c>
      <c r="L6040" s="11" t="s">
        <v>28</v>
      </c>
      <c r="M6040" s="11" t="s">
        <v>28</v>
      </c>
      <c r="N6040" s="8">
        <v>43998</v>
      </c>
      <c r="O6040" s="9" t="s">
        <v>379</v>
      </c>
      <c r="P6040" s="12" t="s">
        <v>18553</v>
      </c>
      <c r="Q6040" s="9" t="s">
        <v>1336</v>
      </c>
      <c r="R6040" s="14" t="str">
        <f>HYPERLINK("https://my.pitchbook.com?c=138083-77T","View Company Online")</f>
        <v>View Company Online</v>
      </c>
    </row>
    <row r="6041" spans="1:18" hidden="1" x14ac:dyDescent="0.3">
      <c r="A6041" s="15" t="s">
        <v>18554</v>
      </c>
      <c r="B6041" s="15" t="s">
        <v>5263</v>
      </c>
      <c r="C6041" s="18" t="s">
        <v>28</v>
      </c>
      <c r="D6041" s="15" t="s">
        <v>5264</v>
      </c>
      <c r="E6041" s="18" t="s">
        <v>28</v>
      </c>
      <c r="F6041" s="19" t="s">
        <v>28</v>
      </c>
      <c r="G6041" s="19">
        <v>2.0299999999999998</v>
      </c>
      <c r="H6041" s="19" t="s">
        <v>28</v>
      </c>
      <c r="I6041" s="18" t="s">
        <v>28</v>
      </c>
      <c r="J6041" s="18" t="s">
        <v>28</v>
      </c>
      <c r="K6041" s="18" t="s">
        <v>28</v>
      </c>
      <c r="L6041" s="18" t="s">
        <v>28</v>
      </c>
      <c r="M6041" s="18" t="s">
        <v>28</v>
      </c>
      <c r="N6041" s="17">
        <v>43997</v>
      </c>
      <c r="O6041" s="15" t="s">
        <v>79</v>
      </c>
      <c r="P6041" s="16" t="s">
        <v>28</v>
      </c>
      <c r="Q6041" s="15" t="s">
        <v>740</v>
      </c>
      <c r="R6041" s="13" t="str">
        <f>HYPERLINK("https://my.pitchbook.com?c=138129-76T","View Company Online")</f>
        <v>View Company Online</v>
      </c>
    </row>
    <row r="6042" spans="1:18" hidden="1" x14ac:dyDescent="0.3">
      <c r="A6042" s="9" t="s">
        <v>18555</v>
      </c>
      <c r="B6042" s="9" t="s">
        <v>18556</v>
      </c>
      <c r="C6042" s="11" t="s">
        <v>28</v>
      </c>
      <c r="D6042" s="9" t="s">
        <v>18557</v>
      </c>
      <c r="E6042" s="11" t="s">
        <v>28</v>
      </c>
      <c r="F6042" s="10" t="s">
        <v>28</v>
      </c>
      <c r="G6042" s="10" t="s">
        <v>28</v>
      </c>
      <c r="H6042" s="10" t="s">
        <v>28</v>
      </c>
      <c r="I6042" s="11" t="s">
        <v>28</v>
      </c>
      <c r="J6042" s="11" t="s">
        <v>28</v>
      </c>
      <c r="K6042" s="11" t="s">
        <v>28</v>
      </c>
      <c r="L6042" s="11" t="s">
        <v>28</v>
      </c>
      <c r="M6042" s="11" t="s">
        <v>28</v>
      </c>
      <c r="N6042" s="8">
        <v>43997</v>
      </c>
      <c r="O6042" s="9" t="s">
        <v>30</v>
      </c>
      <c r="P6042" s="12" t="s">
        <v>18558</v>
      </c>
      <c r="Q6042" s="9" t="s">
        <v>136</v>
      </c>
      <c r="R6042" s="14" t="str">
        <f>HYPERLINK("https://my.pitchbook.com?c=156255-67T","View Company Online")</f>
        <v>View Company Online</v>
      </c>
    </row>
    <row r="6043" spans="1:18" hidden="1" x14ac:dyDescent="0.3">
      <c r="A6043" s="15" t="s">
        <v>18559</v>
      </c>
      <c r="B6043" s="15" t="s">
        <v>18560</v>
      </c>
      <c r="C6043" s="18" t="s">
        <v>28</v>
      </c>
      <c r="D6043" s="15" t="s">
        <v>18561</v>
      </c>
      <c r="E6043" s="18" t="s">
        <v>28</v>
      </c>
      <c r="F6043" s="19" t="s">
        <v>28</v>
      </c>
      <c r="G6043" s="19">
        <v>0.17</v>
      </c>
      <c r="H6043" s="19">
        <v>4.2</v>
      </c>
      <c r="I6043" s="18" t="s">
        <v>28</v>
      </c>
      <c r="J6043" s="18" t="s">
        <v>28</v>
      </c>
      <c r="K6043" s="18" t="s">
        <v>28</v>
      </c>
      <c r="L6043" s="18" t="s">
        <v>28</v>
      </c>
      <c r="M6043" s="18" t="s">
        <v>28</v>
      </c>
      <c r="N6043" s="17">
        <v>43995</v>
      </c>
      <c r="O6043" s="15" t="s">
        <v>1639</v>
      </c>
      <c r="P6043" s="16" t="s">
        <v>18562</v>
      </c>
      <c r="Q6043" s="15" t="s">
        <v>249</v>
      </c>
      <c r="R6043" s="13" t="str">
        <f>HYPERLINK("https://my.pitchbook.com?c=192125-17T","View Company Online")</f>
        <v>View Company Online</v>
      </c>
    </row>
    <row r="6044" spans="1:18" hidden="1" x14ac:dyDescent="0.3">
      <c r="A6044" s="9" t="s">
        <v>18563</v>
      </c>
      <c r="B6044" s="9" t="s">
        <v>1626</v>
      </c>
      <c r="C6044" s="11" t="s">
        <v>28</v>
      </c>
      <c r="D6044" s="9" t="s">
        <v>1627</v>
      </c>
      <c r="E6044" s="11" t="s">
        <v>28</v>
      </c>
      <c r="F6044" s="10" t="s">
        <v>28</v>
      </c>
      <c r="G6044" s="10" t="s">
        <v>28</v>
      </c>
      <c r="H6044" s="10" t="s">
        <v>28</v>
      </c>
      <c r="I6044" s="11" t="s">
        <v>28</v>
      </c>
      <c r="J6044" s="11" t="s">
        <v>28</v>
      </c>
      <c r="K6044" s="11" t="s">
        <v>28</v>
      </c>
      <c r="L6044" s="11" t="s">
        <v>28</v>
      </c>
      <c r="M6044" s="11" t="s">
        <v>28</v>
      </c>
      <c r="N6044" s="8">
        <v>43994</v>
      </c>
      <c r="O6044" s="9" t="s">
        <v>73</v>
      </c>
      <c r="P6044" s="12" t="s">
        <v>18564</v>
      </c>
      <c r="Q6044" s="9" t="s">
        <v>37</v>
      </c>
      <c r="R6044" s="14" t="str">
        <f>HYPERLINK("https://my.pitchbook.com?c=242954-47T","View Company Online")</f>
        <v>View Company Online</v>
      </c>
    </row>
    <row r="6045" spans="1:18" hidden="1" x14ac:dyDescent="0.3">
      <c r="A6045" s="15" t="s">
        <v>18565</v>
      </c>
      <c r="B6045" s="15" t="s">
        <v>125</v>
      </c>
      <c r="C6045" s="18" t="s">
        <v>28</v>
      </c>
      <c r="D6045" s="15" t="s">
        <v>126</v>
      </c>
      <c r="E6045" s="18" t="s">
        <v>28</v>
      </c>
      <c r="F6045" s="19" t="s">
        <v>28</v>
      </c>
      <c r="G6045" s="19">
        <v>3.69</v>
      </c>
      <c r="H6045" s="19" t="s">
        <v>28</v>
      </c>
      <c r="I6045" s="18" t="s">
        <v>28</v>
      </c>
      <c r="J6045" s="18" t="s">
        <v>28</v>
      </c>
      <c r="K6045" s="18" t="s">
        <v>28</v>
      </c>
      <c r="L6045" s="18" t="s">
        <v>28</v>
      </c>
      <c r="M6045" s="18" t="s">
        <v>28</v>
      </c>
      <c r="N6045" s="17">
        <v>43993</v>
      </c>
      <c r="O6045" s="15" t="s">
        <v>99</v>
      </c>
      <c r="P6045" s="16" t="s">
        <v>18566</v>
      </c>
      <c r="Q6045" s="15" t="s">
        <v>128</v>
      </c>
      <c r="R6045" s="13" t="str">
        <f>HYPERLINK("https://my.pitchbook.com?c=124498-27T","View Company Online")</f>
        <v>View Company Online</v>
      </c>
    </row>
    <row r="6046" spans="1:18" hidden="1" x14ac:dyDescent="0.3">
      <c r="A6046" s="9" t="s">
        <v>18567</v>
      </c>
      <c r="B6046" s="9" t="s">
        <v>18568</v>
      </c>
      <c r="C6046" s="11" t="s">
        <v>28</v>
      </c>
      <c r="D6046" s="9" t="s">
        <v>18569</v>
      </c>
      <c r="E6046" s="11" t="s">
        <v>28</v>
      </c>
      <c r="F6046" s="10" t="s">
        <v>28</v>
      </c>
      <c r="G6046" s="10" t="s">
        <v>28</v>
      </c>
      <c r="H6046" s="10" t="s">
        <v>28</v>
      </c>
      <c r="I6046" s="11" t="s">
        <v>28</v>
      </c>
      <c r="J6046" s="11" t="s">
        <v>28</v>
      </c>
      <c r="K6046" s="11" t="s">
        <v>28</v>
      </c>
      <c r="L6046" s="11" t="s">
        <v>28</v>
      </c>
      <c r="M6046" s="11" t="s">
        <v>28</v>
      </c>
      <c r="N6046" s="8">
        <v>43992</v>
      </c>
      <c r="O6046" s="9" t="s">
        <v>30</v>
      </c>
      <c r="P6046" s="12" t="s">
        <v>18570</v>
      </c>
      <c r="Q6046" s="9" t="s">
        <v>240</v>
      </c>
      <c r="R6046" s="14" t="str">
        <f>HYPERLINK("https://my.pitchbook.com?c=224496-46T","View Company Online")</f>
        <v>View Company Online</v>
      </c>
    </row>
    <row r="6047" spans="1:18" hidden="1" x14ac:dyDescent="0.3">
      <c r="A6047" s="15" t="s">
        <v>18571</v>
      </c>
      <c r="B6047" s="15" t="s">
        <v>8287</v>
      </c>
      <c r="C6047" s="18" t="s">
        <v>28</v>
      </c>
      <c r="D6047" s="15" t="s">
        <v>8288</v>
      </c>
      <c r="E6047" s="18" t="s">
        <v>28</v>
      </c>
      <c r="F6047" s="19" t="s">
        <v>28</v>
      </c>
      <c r="G6047" s="19" t="s">
        <v>28</v>
      </c>
      <c r="H6047" s="19" t="s">
        <v>28</v>
      </c>
      <c r="I6047" s="18" t="s">
        <v>28</v>
      </c>
      <c r="J6047" s="18" t="s">
        <v>28</v>
      </c>
      <c r="K6047" s="18" t="s">
        <v>28</v>
      </c>
      <c r="L6047" s="18" t="s">
        <v>28</v>
      </c>
      <c r="M6047" s="18" t="s">
        <v>28</v>
      </c>
      <c r="N6047" s="17">
        <v>43992</v>
      </c>
      <c r="O6047" s="15" t="s">
        <v>52</v>
      </c>
      <c r="P6047" s="16" t="s">
        <v>6543</v>
      </c>
      <c r="Q6047" s="15" t="s">
        <v>75</v>
      </c>
      <c r="R6047" s="13" t="str">
        <f>HYPERLINK("https://my.pitchbook.com?c=243881-92T","View Company Online")</f>
        <v>View Company Online</v>
      </c>
    </row>
    <row r="6048" spans="1:18" hidden="1" x14ac:dyDescent="0.3">
      <c r="A6048" s="9" t="s">
        <v>18572</v>
      </c>
      <c r="B6048" s="9" t="s">
        <v>18573</v>
      </c>
      <c r="C6048" s="11" t="s">
        <v>28</v>
      </c>
      <c r="D6048" s="9" t="s">
        <v>18574</v>
      </c>
      <c r="E6048" s="11" t="s">
        <v>28</v>
      </c>
      <c r="F6048" s="10" t="s">
        <v>28</v>
      </c>
      <c r="G6048" s="10">
        <v>0.18</v>
      </c>
      <c r="H6048" s="10" t="s">
        <v>28</v>
      </c>
      <c r="I6048" s="11" t="s">
        <v>28</v>
      </c>
      <c r="J6048" s="11" t="s">
        <v>28</v>
      </c>
      <c r="K6048" s="11">
        <v>0.25</v>
      </c>
      <c r="L6048" s="11" t="s">
        <v>28</v>
      </c>
      <c r="M6048" s="11" t="s">
        <v>28</v>
      </c>
      <c r="N6048" s="8">
        <v>43992</v>
      </c>
      <c r="O6048" s="9" t="s">
        <v>79</v>
      </c>
      <c r="P6048" s="12" t="s">
        <v>18575</v>
      </c>
      <c r="Q6048" s="9" t="s">
        <v>409</v>
      </c>
      <c r="R6048" s="14" t="str">
        <f>HYPERLINK("https://my.pitchbook.com?c=138823-39T","View Company Online")</f>
        <v>View Company Online</v>
      </c>
    </row>
    <row r="6049" spans="1:18" hidden="1" x14ac:dyDescent="0.3">
      <c r="A6049" s="15" t="s">
        <v>18576</v>
      </c>
      <c r="B6049" s="15" t="s">
        <v>14499</v>
      </c>
      <c r="C6049" s="18" t="s">
        <v>28</v>
      </c>
      <c r="D6049" s="15" t="s">
        <v>14500</v>
      </c>
      <c r="E6049" s="18" t="s">
        <v>28</v>
      </c>
      <c r="F6049" s="19" t="s">
        <v>28</v>
      </c>
      <c r="G6049" s="19" t="s">
        <v>28</v>
      </c>
      <c r="H6049" s="19" t="s">
        <v>28</v>
      </c>
      <c r="I6049" s="18" t="s">
        <v>28</v>
      </c>
      <c r="J6049" s="18" t="s">
        <v>28</v>
      </c>
      <c r="K6049" s="18" t="s">
        <v>28</v>
      </c>
      <c r="L6049" s="18" t="s">
        <v>28</v>
      </c>
      <c r="M6049" s="18" t="s">
        <v>28</v>
      </c>
      <c r="N6049" s="17">
        <v>43992</v>
      </c>
      <c r="O6049" s="15" t="s">
        <v>79</v>
      </c>
      <c r="P6049" s="16" t="s">
        <v>611</v>
      </c>
      <c r="Q6049" s="15" t="s">
        <v>75</v>
      </c>
      <c r="R6049" s="13" t="str">
        <f>HYPERLINK("https://my.pitchbook.com?c=138824-65T","View Company Online")</f>
        <v>View Company Online</v>
      </c>
    </row>
    <row r="6050" spans="1:18" hidden="1" x14ac:dyDescent="0.3">
      <c r="A6050" s="9" t="s">
        <v>18577</v>
      </c>
      <c r="B6050" s="9" t="s">
        <v>14625</v>
      </c>
      <c r="C6050" s="11" t="s">
        <v>28</v>
      </c>
      <c r="D6050" s="9" t="s">
        <v>14626</v>
      </c>
      <c r="E6050" s="11" t="s">
        <v>28</v>
      </c>
      <c r="F6050" s="10" t="s">
        <v>28</v>
      </c>
      <c r="G6050" s="10" t="s">
        <v>28</v>
      </c>
      <c r="H6050" s="10" t="s">
        <v>28</v>
      </c>
      <c r="I6050" s="11" t="s">
        <v>28</v>
      </c>
      <c r="J6050" s="11" t="s">
        <v>28</v>
      </c>
      <c r="K6050" s="11" t="s">
        <v>28</v>
      </c>
      <c r="L6050" s="11" t="s">
        <v>28</v>
      </c>
      <c r="M6050" s="11" t="s">
        <v>28</v>
      </c>
      <c r="N6050" s="8">
        <v>43991</v>
      </c>
      <c r="O6050" s="9" t="s">
        <v>52</v>
      </c>
      <c r="P6050" s="12" t="s">
        <v>18578</v>
      </c>
      <c r="Q6050" s="9" t="s">
        <v>136</v>
      </c>
      <c r="R6050" s="14" t="str">
        <f>HYPERLINK("https://my.pitchbook.com?c=139922-20T","View Company Online")</f>
        <v>View Company Online</v>
      </c>
    </row>
    <row r="6051" spans="1:18" hidden="1" x14ac:dyDescent="0.3">
      <c r="A6051" s="15" t="s">
        <v>18579</v>
      </c>
      <c r="B6051" s="15" t="s">
        <v>11806</v>
      </c>
      <c r="C6051" s="18" t="s">
        <v>28</v>
      </c>
      <c r="D6051" s="15" t="s">
        <v>11807</v>
      </c>
      <c r="E6051" s="18" t="s">
        <v>28</v>
      </c>
      <c r="F6051" s="19" t="s">
        <v>28</v>
      </c>
      <c r="G6051" s="19" t="s">
        <v>28</v>
      </c>
      <c r="H6051" s="19" t="s">
        <v>28</v>
      </c>
      <c r="I6051" s="18" t="s">
        <v>28</v>
      </c>
      <c r="J6051" s="18" t="s">
        <v>28</v>
      </c>
      <c r="K6051" s="18" t="s">
        <v>28</v>
      </c>
      <c r="L6051" s="18" t="s">
        <v>28</v>
      </c>
      <c r="M6051" s="18" t="s">
        <v>28</v>
      </c>
      <c r="N6051" s="17">
        <v>43990</v>
      </c>
      <c r="O6051" s="15" t="s">
        <v>52</v>
      </c>
      <c r="P6051" s="16" t="s">
        <v>2235</v>
      </c>
      <c r="Q6051" s="15" t="s">
        <v>75</v>
      </c>
      <c r="R6051" s="13" t="str">
        <f>HYPERLINK("https://my.pitchbook.com?c=256044-34T","View Company Online")</f>
        <v>View Company Online</v>
      </c>
    </row>
    <row r="6052" spans="1:18" hidden="1" x14ac:dyDescent="0.3">
      <c r="A6052" s="9" t="s">
        <v>18580</v>
      </c>
      <c r="B6052" s="9" t="s">
        <v>18581</v>
      </c>
      <c r="C6052" s="11" t="s">
        <v>28</v>
      </c>
      <c r="D6052" s="9" t="s">
        <v>18582</v>
      </c>
      <c r="E6052" s="11" t="s">
        <v>28</v>
      </c>
      <c r="F6052" s="10">
        <v>8.2899999999999991</v>
      </c>
      <c r="G6052" s="10">
        <v>8.2899999999999991</v>
      </c>
      <c r="H6052" s="10">
        <v>8.2899999999999991</v>
      </c>
      <c r="I6052" s="11" t="s">
        <v>28</v>
      </c>
      <c r="J6052" s="11" t="s">
        <v>28</v>
      </c>
      <c r="K6052" s="11" t="s">
        <v>28</v>
      </c>
      <c r="L6052" s="11" t="s">
        <v>28</v>
      </c>
      <c r="M6052" s="11" t="s">
        <v>28</v>
      </c>
      <c r="N6052" s="8">
        <v>43990</v>
      </c>
      <c r="O6052" s="9" t="s">
        <v>30</v>
      </c>
      <c r="P6052" s="12" t="s">
        <v>18583</v>
      </c>
      <c r="Q6052" s="9" t="s">
        <v>331</v>
      </c>
      <c r="R6052" s="14" t="str">
        <f>HYPERLINK("https://my.pitchbook.com?c=197307-73T","View Company Online")</f>
        <v>View Company Online</v>
      </c>
    </row>
    <row r="6053" spans="1:18" hidden="1" x14ac:dyDescent="0.3">
      <c r="A6053" s="15" t="s">
        <v>18584</v>
      </c>
      <c r="B6053" s="15" t="s">
        <v>18585</v>
      </c>
      <c r="C6053" s="18" t="s">
        <v>28</v>
      </c>
      <c r="D6053" s="15" t="s">
        <v>18586</v>
      </c>
      <c r="E6053" s="18" t="s">
        <v>28</v>
      </c>
      <c r="F6053" s="19" t="s">
        <v>28</v>
      </c>
      <c r="G6053" s="19">
        <v>1.45</v>
      </c>
      <c r="H6053" s="19" t="s">
        <v>28</v>
      </c>
      <c r="I6053" s="18" t="s">
        <v>28</v>
      </c>
      <c r="J6053" s="18" t="s">
        <v>28</v>
      </c>
      <c r="K6053" s="18">
        <v>9.75</v>
      </c>
      <c r="L6053" s="18" t="s">
        <v>28</v>
      </c>
      <c r="M6053" s="18" t="s">
        <v>28</v>
      </c>
      <c r="N6053" s="17">
        <v>43989</v>
      </c>
      <c r="O6053" s="15" t="s">
        <v>79</v>
      </c>
      <c r="P6053" s="16" t="s">
        <v>18587</v>
      </c>
      <c r="Q6053" s="15" t="s">
        <v>75</v>
      </c>
      <c r="R6053" s="13" t="str">
        <f>HYPERLINK("https://my.pitchbook.com?c=140872-24T","View Company Online")</f>
        <v>View Company Online</v>
      </c>
    </row>
    <row r="6054" spans="1:18" hidden="1" x14ac:dyDescent="0.3">
      <c r="A6054" s="9" t="s">
        <v>18588</v>
      </c>
      <c r="B6054" s="9" t="s">
        <v>15688</v>
      </c>
      <c r="C6054" s="11" t="s">
        <v>28</v>
      </c>
      <c r="D6054" s="9" t="s">
        <v>18589</v>
      </c>
      <c r="E6054" s="11">
        <v>521.5</v>
      </c>
      <c r="F6054" s="10" t="s">
        <v>28</v>
      </c>
      <c r="G6054" s="10">
        <v>990.66</v>
      </c>
      <c r="H6054" s="10" t="s">
        <v>28</v>
      </c>
      <c r="I6054" s="11">
        <v>865.43</v>
      </c>
      <c r="J6054" s="11" t="s">
        <v>28</v>
      </c>
      <c r="K6054" s="11">
        <v>4972.51</v>
      </c>
      <c r="L6054" s="11" t="s">
        <v>28</v>
      </c>
      <c r="M6054" s="11">
        <v>172.14</v>
      </c>
      <c r="N6054" s="8">
        <v>43988</v>
      </c>
      <c r="O6054" s="9" t="s">
        <v>159</v>
      </c>
      <c r="P6054" s="12" t="s">
        <v>28</v>
      </c>
      <c r="Q6054" s="9" t="s">
        <v>740</v>
      </c>
      <c r="R6054" s="14" t="str">
        <f>HYPERLINK("https://my.pitchbook.com?c=153856-63T","View Company Online")</f>
        <v>View Company Online</v>
      </c>
    </row>
    <row r="6055" spans="1:18" hidden="1" x14ac:dyDescent="0.3">
      <c r="A6055" s="15" t="s">
        <v>18590</v>
      </c>
      <c r="B6055" s="15" t="s">
        <v>3656</v>
      </c>
      <c r="C6055" s="18" t="s">
        <v>28</v>
      </c>
      <c r="D6055" s="15" t="s">
        <v>3657</v>
      </c>
      <c r="E6055" s="18" t="s">
        <v>28</v>
      </c>
      <c r="F6055" s="19" t="s">
        <v>28</v>
      </c>
      <c r="G6055" s="19" t="s">
        <v>28</v>
      </c>
      <c r="H6055" s="19" t="s">
        <v>28</v>
      </c>
      <c r="I6055" s="18" t="s">
        <v>28</v>
      </c>
      <c r="J6055" s="18" t="s">
        <v>28</v>
      </c>
      <c r="K6055" s="18" t="s">
        <v>28</v>
      </c>
      <c r="L6055" s="18" t="s">
        <v>28</v>
      </c>
      <c r="M6055" s="18" t="s">
        <v>28</v>
      </c>
      <c r="N6055" s="17">
        <v>43987</v>
      </c>
      <c r="O6055" s="15" t="s">
        <v>52</v>
      </c>
      <c r="P6055" s="16" t="s">
        <v>8620</v>
      </c>
      <c r="Q6055" s="15" t="s">
        <v>75</v>
      </c>
      <c r="R6055" s="13" t="str">
        <f>HYPERLINK("https://my.pitchbook.com?c=264543-49T","View Company Online")</f>
        <v>View Company Online</v>
      </c>
    </row>
    <row r="6056" spans="1:18" hidden="1" x14ac:dyDescent="0.3">
      <c r="A6056" s="9" t="s">
        <v>18591</v>
      </c>
      <c r="B6056" s="9" t="s">
        <v>18592</v>
      </c>
      <c r="C6056" s="11" t="s">
        <v>28</v>
      </c>
      <c r="D6056" s="9" t="s">
        <v>18593</v>
      </c>
      <c r="E6056" s="11">
        <v>145.38999999999999</v>
      </c>
      <c r="F6056" s="10" t="s">
        <v>28</v>
      </c>
      <c r="G6056" s="10">
        <v>161.53</v>
      </c>
      <c r="H6056" s="10" t="s">
        <v>28</v>
      </c>
      <c r="I6056" s="11">
        <v>197.38</v>
      </c>
      <c r="J6056" s="11" t="s">
        <v>28</v>
      </c>
      <c r="K6056" s="11">
        <v>613.35</v>
      </c>
      <c r="L6056" s="11" t="s">
        <v>28</v>
      </c>
      <c r="M6056" s="11">
        <v>78.36</v>
      </c>
      <c r="N6056" s="8">
        <v>43987</v>
      </c>
      <c r="O6056" s="9" t="s">
        <v>423</v>
      </c>
      <c r="P6056" s="12" t="s">
        <v>28</v>
      </c>
      <c r="Q6056" s="9" t="s">
        <v>6392</v>
      </c>
      <c r="R6056" s="14" t="str">
        <f>HYPERLINK("https://my.pitchbook.com?c=138609-82T","View Company Online")</f>
        <v>View Company Online</v>
      </c>
    </row>
    <row r="6057" spans="1:18" hidden="1" x14ac:dyDescent="0.3">
      <c r="A6057" s="15" t="s">
        <v>18594</v>
      </c>
      <c r="B6057" s="15" t="s">
        <v>18595</v>
      </c>
      <c r="C6057" s="18" t="s">
        <v>28</v>
      </c>
      <c r="D6057" s="15" t="s">
        <v>18596</v>
      </c>
      <c r="E6057" s="18" t="s">
        <v>28</v>
      </c>
      <c r="F6057" s="19" t="s">
        <v>28</v>
      </c>
      <c r="G6057" s="19" t="s">
        <v>28</v>
      </c>
      <c r="H6057" s="19" t="s">
        <v>28</v>
      </c>
      <c r="I6057" s="18" t="s">
        <v>28</v>
      </c>
      <c r="J6057" s="18" t="s">
        <v>28</v>
      </c>
      <c r="K6057" s="18" t="s">
        <v>28</v>
      </c>
      <c r="L6057" s="18" t="s">
        <v>28</v>
      </c>
      <c r="M6057" s="18" t="s">
        <v>28</v>
      </c>
      <c r="N6057" s="17">
        <v>43987</v>
      </c>
      <c r="O6057" s="15" t="s">
        <v>58</v>
      </c>
      <c r="P6057" s="16" t="s">
        <v>18597</v>
      </c>
      <c r="Q6057" s="15" t="s">
        <v>136</v>
      </c>
      <c r="R6057" s="13" t="str">
        <f>HYPERLINK("https://my.pitchbook.com?c=137746-18T","View Company Online")</f>
        <v>View Company Online</v>
      </c>
    </row>
    <row r="6058" spans="1:18" hidden="1" x14ac:dyDescent="0.3">
      <c r="A6058" s="9" t="s">
        <v>18598</v>
      </c>
      <c r="B6058" s="9" t="s">
        <v>14130</v>
      </c>
      <c r="C6058" s="11" t="s">
        <v>28</v>
      </c>
      <c r="D6058" s="9" t="s">
        <v>14131</v>
      </c>
      <c r="E6058" s="11" t="s">
        <v>28</v>
      </c>
      <c r="F6058" s="10" t="s">
        <v>28</v>
      </c>
      <c r="G6058" s="10">
        <v>0.75</v>
      </c>
      <c r="H6058" s="10" t="s">
        <v>28</v>
      </c>
      <c r="I6058" s="11" t="s">
        <v>28</v>
      </c>
      <c r="J6058" s="11" t="s">
        <v>28</v>
      </c>
      <c r="K6058" s="11" t="s">
        <v>28</v>
      </c>
      <c r="L6058" s="11" t="s">
        <v>28</v>
      </c>
      <c r="M6058" s="11" t="s">
        <v>28</v>
      </c>
      <c r="N6058" s="8">
        <v>43986</v>
      </c>
      <c r="O6058" s="9" t="s">
        <v>99</v>
      </c>
      <c r="P6058" s="12" t="s">
        <v>18599</v>
      </c>
      <c r="Q6058" s="9" t="s">
        <v>75</v>
      </c>
      <c r="R6058" s="14" t="str">
        <f>HYPERLINK("https://my.pitchbook.com?c=139038-04T","View Company Online")</f>
        <v>View Company Online</v>
      </c>
    </row>
    <row r="6059" spans="1:18" hidden="1" x14ac:dyDescent="0.3">
      <c r="A6059" s="15" t="s">
        <v>18600</v>
      </c>
      <c r="B6059" s="15" t="s">
        <v>18601</v>
      </c>
      <c r="C6059" s="18" t="s">
        <v>28</v>
      </c>
      <c r="D6059" s="15" t="s">
        <v>18602</v>
      </c>
      <c r="E6059" s="18" t="s">
        <v>28</v>
      </c>
      <c r="F6059" s="19" t="s">
        <v>28</v>
      </c>
      <c r="G6059" s="19" t="s">
        <v>28</v>
      </c>
      <c r="H6059" s="19" t="s">
        <v>28</v>
      </c>
      <c r="I6059" s="18" t="s">
        <v>28</v>
      </c>
      <c r="J6059" s="18" t="s">
        <v>28</v>
      </c>
      <c r="K6059" s="18" t="s">
        <v>28</v>
      </c>
      <c r="L6059" s="18" t="s">
        <v>28</v>
      </c>
      <c r="M6059" s="18" t="s">
        <v>28</v>
      </c>
      <c r="N6059" s="17">
        <v>43985</v>
      </c>
      <c r="O6059" s="15" t="s">
        <v>173</v>
      </c>
      <c r="P6059" s="16" t="s">
        <v>28</v>
      </c>
      <c r="Q6059" s="15" t="s">
        <v>174</v>
      </c>
      <c r="R6059" s="13" t="str">
        <f>HYPERLINK("https://my.pitchbook.com?c=224048-71T","View Company Online")</f>
        <v>View Company Online</v>
      </c>
    </row>
    <row r="6060" spans="1:18" hidden="1" x14ac:dyDescent="0.3">
      <c r="A6060" s="9" t="s">
        <v>18603</v>
      </c>
      <c r="B6060" s="9" t="s">
        <v>18604</v>
      </c>
      <c r="C6060" s="11" t="s">
        <v>28</v>
      </c>
      <c r="D6060" s="9" t="s">
        <v>18605</v>
      </c>
      <c r="E6060" s="11" t="s">
        <v>28</v>
      </c>
      <c r="F6060" s="10">
        <v>145.01</v>
      </c>
      <c r="G6060" s="10">
        <v>58</v>
      </c>
      <c r="H6060" s="10">
        <v>145.01</v>
      </c>
      <c r="I6060" s="11" t="s">
        <v>28</v>
      </c>
      <c r="J6060" s="11" t="s">
        <v>28</v>
      </c>
      <c r="K6060" s="11" t="s">
        <v>28</v>
      </c>
      <c r="L6060" s="11" t="s">
        <v>28</v>
      </c>
      <c r="M6060" s="11" t="s">
        <v>28</v>
      </c>
      <c r="N6060" s="8">
        <v>43985</v>
      </c>
      <c r="O6060" s="9" t="s">
        <v>30</v>
      </c>
      <c r="P6060" s="12" t="s">
        <v>18606</v>
      </c>
      <c r="Q6060" s="9" t="s">
        <v>1191</v>
      </c>
      <c r="R6060" s="14" t="str">
        <f>HYPERLINK("https://my.pitchbook.com?c=228509-29T","View Company Online")</f>
        <v>View Company Online</v>
      </c>
    </row>
    <row r="6061" spans="1:18" hidden="1" x14ac:dyDescent="0.3">
      <c r="A6061" s="15" t="s">
        <v>18607</v>
      </c>
      <c r="B6061" s="15" t="s">
        <v>3744</v>
      </c>
      <c r="C6061" s="18" t="s">
        <v>28</v>
      </c>
      <c r="D6061" s="15" t="s">
        <v>3745</v>
      </c>
      <c r="E6061" s="18" t="s">
        <v>28</v>
      </c>
      <c r="F6061" s="19" t="s">
        <v>28</v>
      </c>
      <c r="G6061" s="19">
        <v>47</v>
      </c>
      <c r="H6061" s="19" t="s">
        <v>28</v>
      </c>
      <c r="I6061" s="18" t="s">
        <v>28</v>
      </c>
      <c r="J6061" s="18" t="s">
        <v>28</v>
      </c>
      <c r="K6061" s="18" t="s">
        <v>28</v>
      </c>
      <c r="L6061" s="18" t="s">
        <v>28</v>
      </c>
      <c r="M6061" s="18" t="s">
        <v>28</v>
      </c>
      <c r="N6061" s="17">
        <v>43985</v>
      </c>
      <c r="O6061" s="15" t="s">
        <v>79</v>
      </c>
      <c r="P6061" s="16" t="s">
        <v>18608</v>
      </c>
      <c r="Q6061" s="15" t="s">
        <v>85</v>
      </c>
      <c r="R6061" s="13" t="str">
        <f>HYPERLINK("https://my.pitchbook.com?c=137488-24T","View Company Online")</f>
        <v>View Company Online</v>
      </c>
    </row>
    <row r="6062" spans="1:18" hidden="1" x14ac:dyDescent="0.3">
      <c r="A6062" s="9" t="s">
        <v>18609</v>
      </c>
      <c r="B6062" s="9" t="s">
        <v>18610</v>
      </c>
      <c r="C6062" s="11" t="s">
        <v>28</v>
      </c>
      <c r="D6062" s="9" t="s">
        <v>18611</v>
      </c>
      <c r="E6062" s="11" t="s">
        <v>28</v>
      </c>
      <c r="F6062" s="10" t="s">
        <v>28</v>
      </c>
      <c r="G6062" s="10" t="s">
        <v>28</v>
      </c>
      <c r="H6062" s="10" t="s">
        <v>28</v>
      </c>
      <c r="I6062" s="11" t="s">
        <v>28</v>
      </c>
      <c r="J6062" s="11" t="s">
        <v>28</v>
      </c>
      <c r="K6062" s="11" t="s">
        <v>28</v>
      </c>
      <c r="L6062" s="11" t="s">
        <v>28</v>
      </c>
      <c r="M6062" s="11" t="s">
        <v>28</v>
      </c>
      <c r="N6062" s="8">
        <v>43983</v>
      </c>
      <c r="O6062" s="9" t="s">
        <v>30</v>
      </c>
      <c r="P6062" s="12" t="s">
        <v>18612</v>
      </c>
      <c r="Q6062" s="9" t="s">
        <v>95</v>
      </c>
      <c r="R6062" s="14" t="str">
        <f>HYPERLINK("https://my.pitchbook.com?c=170456-86T","View Company Online")</f>
        <v>View Company Online</v>
      </c>
    </row>
    <row r="6063" spans="1:18" hidden="1" x14ac:dyDescent="0.3">
      <c r="A6063" s="15" t="s">
        <v>18613</v>
      </c>
      <c r="B6063" s="15" t="s">
        <v>18614</v>
      </c>
      <c r="C6063" s="18" t="s">
        <v>28</v>
      </c>
      <c r="D6063" s="15" t="s">
        <v>18615</v>
      </c>
      <c r="E6063" s="18" t="s">
        <v>28</v>
      </c>
      <c r="F6063" s="19" t="s">
        <v>28</v>
      </c>
      <c r="G6063" s="19" t="s">
        <v>28</v>
      </c>
      <c r="H6063" s="19" t="s">
        <v>28</v>
      </c>
      <c r="I6063" s="18" t="s">
        <v>28</v>
      </c>
      <c r="J6063" s="18" t="s">
        <v>28</v>
      </c>
      <c r="K6063" s="18" t="s">
        <v>28</v>
      </c>
      <c r="L6063" s="18" t="s">
        <v>28</v>
      </c>
      <c r="M6063" s="18" t="s">
        <v>28</v>
      </c>
      <c r="N6063" s="17">
        <v>43983</v>
      </c>
      <c r="O6063" s="15" t="s">
        <v>30</v>
      </c>
      <c r="P6063" s="16" t="s">
        <v>28</v>
      </c>
      <c r="Q6063" s="15" t="s">
        <v>18014</v>
      </c>
      <c r="R6063" s="13" t="str">
        <f>HYPERLINK("https://my.pitchbook.com?c=211729-24T","View Company Online")</f>
        <v>View Company Online</v>
      </c>
    </row>
    <row r="6064" spans="1:18" hidden="1" x14ac:dyDescent="0.3">
      <c r="A6064" s="9" t="s">
        <v>18616</v>
      </c>
      <c r="B6064" s="9" t="s">
        <v>9496</v>
      </c>
      <c r="C6064" s="11" t="s">
        <v>28</v>
      </c>
      <c r="D6064" s="9" t="s">
        <v>9497</v>
      </c>
      <c r="E6064" s="11" t="s">
        <v>28</v>
      </c>
      <c r="F6064" s="10" t="s">
        <v>28</v>
      </c>
      <c r="G6064" s="10" t="s">
        <v>28</v>
      </c>
      <c r="H6064" s="10" t="s">
        <v>28</v>
      </c>
      <c r="I6064" s="11" t="s">
        <v>28</v>
      </c>
      <c r="J6064" s="11" t="s">
        <v>28</v>
      </c>
      <c r="K6064" s="11">
        <v>0.04</v>
      </c>
      <c r="L6064" s="11" t="s">
        <v>28</v>
      </c>
      <c r="M6064" s="11" t="s">
        <v>28</v>
      </c>
      <c r="N6064" s="8">
        <v>43983</v>
      </c>
      <c r="O6064" s="9" t="s">
        <v>99</v>
      </c>
      <c r="P6064" s="12" t="s">
        <v>4022</v>
      </c>
      <c r="Q6064" s="9" t="s">
        <v>75</v>
      </c>
      <c r="R6064" s="14" t="str">
        <f>HYPERLINK("https://my.pitchbook.com?c=138824-20T","View Company Online")</f>
        <v>View Company Online</v>
      </c>
    </row>
    <row r="6065" spans="1:18" hidden="1" x14ac:dyDescent="0.3">
      <c r="A6065" s="15" t="s">
        <v>18617</v>
      </c>
      <c r="B6065" s="15" t="s">
        <v>11905</v>
      </c>
      <c r="C6065" s="18" t="s">
        <v>28</v>
      </c>
      <c r="D6065" s="15" t="s">
        <v>11906</v>
      </c>
      <c r="E6065" s="18" t="s">
        <v>28</v>
      </c>
      <c r="F6065" s="19" t="s">
        <v>28</v>
      </c>
      <c r="G6065" s="19">
        <v>0.02</v>
      </c>
      <c r="H6065" s="19">
        <v>0.32</v>
      </c>
      <c r="I6065" s="18" t="s">
        <v>28</v>
      </c>
      <c r="J6065" s="18" t="s">
        <v>28</v>
      </c>
      <c r="K6065" s="18" t="s">
        <v>28</v>
      </c>
      <c r="L6065" s="18" t="s">
        <v>28</v>
      </c>
      <c r="M6065" s="18" t="s">
        <v>28</v>
      </c>
      <c r="N6065" s="17">
        <v>43983</v>
      </c>
      <c r="O6065" s="15" t="s">
        <v>52</v>
      </c>
      <c r="P6065" s="16" t="s">
        <v>3944</v>
      </c>
      <c r="Q6065" s="15" t="s">
        <v>5628</v>
      </c>
      <c r="R6065" s="13" t="str">
        <f>HYPERLINK("https://my.pitchbook.com?c=186136-93T","View Company Online")</f>
        <v>View Company Online</v>
      </c>
    </row>
    <row r="6066" spans="1:18" hidden="1" x14ac:dyDescent="0.3">
      <c r="A6066" s="9" t="s">
        <v>18618</v>
      </c>
      <c r="B6066" s="9" t="s">
        <v>14168</v>
      </c>
      <c r="C6066" s="11" t="s">
        <v>28</v>
      </c>
      <c r="D6066" s="9" t="s">
        <v>14169</v>
      </c>
      <c r="E6066" s="11" t="s">
        <v>28</v>
      </c>
      <c r="F6066" s="10" t="s">
        <v>28</v>
      </c>
      <c r="G6066" s="10" t="s">
        <v>28</v>
      </c>
      <c r="H6066" s="10" t="s">
        <v>28</v>
      </c>
      <c r="I6066" s="11" t="s">
        <v>28</v>
      </c>
      <c r="J6066" s="11" t="s">
        <v>28</v>
      </c>
      <c r="K6066" s="11">
        <v>87.42</v>
      </c>
      <c r="L6066" s="11" t="s">
        <v>28</v>
      </c>
      <c r="M6066" s="11" t="s">
        <v>28</v>
      </c>
      <c r="N6066" s="8">
        <v>43983</v>
      </c>
      <c r="O6066" s="9" t="s">
        <v>93</v>
      </c>
      <c r="P6066" s="12" t="s">
        <v>18619</v>
      </c>
      <c r="Q6066" s="9" t="s">
        <v>409</v>
      </c>
      <c r="R6066" s="14" t="str">
        <f>HYPERLINK("https://my.pitchbook.com?c=134779-69T","View Company Online")</f>
        <v>View Company Online</v>
      </c>
    </row>
    <row r="6067" spans="1:18" hidden="1" x14ac:dyDescent="0.3">
      <c r="A6067" s="15" t="s">
        <v>18620</v>
      </c>
      <c r="B6067" s="15" t="s">
        <v>18621</v>
      </c>
      <c r="C6067" s="18" t="s">
        <v>28</v>
      </c>
      <c r="D6067" s="15" t="s">
        <v>18622</v>
      </c>
      <c r="E6067" s="18" t="s">
        <v>28</v>
      </c>
      <c r="F6067" s="19">
        <v>410.04</v>
      </c>
      <c r="G6067" s="19">
        <v>410.04</v>
      </c>
      <c r="H6067" s="19">
        <v>410.04</v>
      </c>
      <c r="I6067" s="18" t="s">
        <v>28</v>
      </c>
      <c r="J6067" s="18" t="s">
        <v>28</v>
      </c>
      <c r="K6067" s="18" t="s">
        <v>28</v>
      </c>
      <c r="L6067" s="18" t="s">
        <v>28</v>
      </c>
      <c r="M6067" s="18" t="s">
        <v>28</v>
      </c>
      <c r="N6067" s="17">
        <v>43983</v>
      </c>
      <c r="O6067" s="15" t="s">
        <v>30</v>
      </c>
      <c r="P6067" s="16" t="s">
        <v>18623</v>
      </c>
      <c r="Q6067" s="15" t="s">
        <v>362</v>
      </c>
      <c r="R6067" s="13" t="str">
        <f>HYPERLINK("https://my.pitchbook.com?c=176795-02T","View Company Online")</f>
        <v>View Company Online</v>
      </c>
    </row>
    <row r="6068" spans="1:18" hidden="1" x14ac:dyDescent="0.3">
      <c r="A6068" s="9" t="s">
        <v>18624</v>
      </c>
      <c r="B6068" s="9" t="s">
        <v>5490</v>
      </c>
      <c r="C6068" s="11" t="s">
        <v>28</v>
      </c>
      <c r="D6068" s="9" t="s">
        <v>5491</v>
      </c>
      <c r="E6068" s="11" t="s">
        <v>28</v>
      </c>
      <c r="F6068" s="10" t="s">
        <v>28</v>
      </c>
      <c r="G6068" s="10">
        <v>0.36</v>
      </c>
      <c r="H6068" s="10" t="s">
        <v>28</v>
      </c>
      <c r="I6068" s="11" t="s">
        <v>28</v>
      </c>
      <c r="J6068" s="11" t="s">
        <v>28</v>
      </c>
      <c r="K6068" s="11" t="s">
        <v>28</v>
      </c>
      <c r="L6068" s="11" t="s">
        <v>28</v>
      </c>
      <c r="M6068" s="11" t="s">
        <v>28</v>
      </c>
      <c r="N6068" s="8">
        <v>43983</v>
      </c>
      <c r="O6068" s="9" t="s">
        <v>99</v>
      </c>
      <c r="P6068" s="12" t="s">
        <v>18625</v>
      </c>
      <c r="Q6068" s="9" t="s">
        <v>54</v>
      </c>
      <c r="R6068" s="14" t="str">
        <f>HYPERLINK("https://my.pitchbook.com?c=213960-07T","View Company Online")</f>
        <v>View Company Online</v>
      </c>
    </row>
    <row r="6069" spans="1:18" hidden="1" x14ac:dyDescent="0.3">
      <c r="A6069" s="15" t="s">
        <v>18626</v>
      </c>
      <c r="B6069" s="15" t="s">
        <v>737</v>
      </c>
      <c r="C6069" s="18" t="s">
        <v>28</v>
      </c>
      <c r="D6069" s="15" t="s">
        <v>738</v>
      </c>
      <c r="E6069" s="18" t="s">
        <v>28</v>
      </c>
      <c r="F6069" s="19" t="s">
        <v>28</v>
      </c>
      <c r="G6069" s="19" t="s">
        <v>28</v>
      </c>
      <c r="H6069" s="19" t="s">
        <v>28</v>
      </c>
      <c r="I6069" s="18" t="s">
        <v>28</v>
      </c>
      <c r="J6069" s="18" t="s">
        <v>28</v>
      </c>
      <c r="K6069" s="18" t="s">
        <v>28</v>
      </c>
      <c r="L6069" s="18" t="s">
        <v>28</v>
      </c>
      <c r="M6069" s="18" t="s">
        <v>28</v>
      </c>
      <c r="N6069" s="17">
        <v>43982</v>
      </c>
      <c r="O6069" s="15" t="s">
        <v>73</v>
      </c>
      <c r="P6069" s="16" t="s">
        <v>18627</v>
      </c>
      <c r="Q6069" s="15" t="s">
        <v>740</v>
      </c>
      <c r="R6069" s="13" t="str">
        <f>HYPERLINK("https://my.pitchbook.com?c=212091-22T","View Company Online")</f>
        <v>View Company Online</v>
      </c>
    </row>
    <row r="6070" spans="1:18" hidden="1" x14ac:dyDescent="0.3">
      <c r="A6070" s="9" t="s">
        <v>18628</v>
      </c>
      <c r="B6070" s="9" t="s">
        <v>18629</v>
      </c>
      <c r="C6070" s="11" t="s">
        <v>28</v>
      </c>
      <c r="D6070" s="9" t="s">
        <v>18630</v>
      </c>
      <c r="E6070" s="11" t="s">
        <v>28</v>
      </c>
      <c r="F6070" s="10" t="s">
        <v>28</v>
      </c>
      <c r="G6070" s="10" t="s">
        <v>28</v>
      </c>
      <c r="H6070" s="10" t="s">
        <v>28</v>
      </c>
      <c r="I6070" s="11" t="s">
        <v>28</v>
      </c>
      <c r="J6070" s="11" t="s">
        <v>28</v>
      </c>
      <c r="K6070" s="11" t="s">
        <v>28</v>
      </c>
      <c r="L6070" s="11" t="s">
        <v>28</v>
      </c>
      <c r="M6070" s="11" t="s">
        <v>28</v>
      </c>
      <c r="N6070" s="8">
        <v>43981</v>
      </c>
      <c r="O6070" s="9" t="s">
        <v>41</v>
      </c>
      <c r="P6070" s="12" t="s">
        <v>18631</v>
      </c>
      <c r="Q6070" s="9" t="s">
        <v>2181</v>
      </c>
      <c r="R6070" s="14" t="str">
        <f>HYPERLINK("https://my.pitchbook.com?c=224492-50T","View Company Online")</f>
        <v>View Company Online</v>
      </c>
    </row>
    <row r="6071" spans="1:18" hidden="1" x14ac:dyDescent="0.3">
      <c r="A6071" s="15" t="s">
        <v>18632</v>
      </c>
      <c r="B6071" s="15" t="s">
        <v>18633</v>
      </c>
      <c r="C6071" s="18" t="s">
        <v>28</v>
      </c>
      <c r="D6071" s="15" t="s">
        <v>18630</v>
      </c>
      <c r="E6071" s="18" t="s">
        <v>28</v>
      </c>
      <c r="F6071" s="19" t="s">
        <v>28</v>
      </c>
      <c r="G6071" s="19" t="s">
        <v>28</v>
      </c>
      <c r="H6071" s="19" t="s">
        <v>28</v>
      </c>
      <c r="I6071" s="18" t="s">
        <v>28</v>
      </c>
      <c r="J6071" s="18" t="s">
        <v>28</v>
      </c>
      <c r="K6071" s="18" t="s">
        <v>28</v>
      </c>
      <c r="L6071" s="18" t="s">
        <v>28</v>
      </c>
      <c r="M6071" s="18" t="s">
        <v>28</v>
      </c>
      <c r="N6071" s="17">
        <v>43980</v>
      </c>
      <c r="O6071" s="15" t="s">
        <v>41</v>
      </c>
      <c r="P6071" s="16" t="s">
        <v>18631</v>
      </c>
      <c r="Q6071" s="15" t="s">
        <v>2181</v>
      </c>
      <c r="R6071" s="13" t="str">
        <f>HYPERLINK("https://my.pitchbook.com?c=224495-11T","View Company Online")</f>
        <v>View Company Online</v>
      </c>
    </row>
    <row r="6072" spans="1:18" hidden="1" x14ac:dyDescent="0.3">
      <c r="A6072" s="9" t="s">
        <v>18634</v>
      </c>
      <c r="B6072" s="9" t="s">
        <v>2311</v>
      </c>
      <c r="C6072" s="11" t="s">
        <v>28</v>
      </c>
      <c r="D6072" s="9" t="s">
        <v>2312</v>
      </c>
      <c r="E6072" s="11" t="s">
        <v>28</v>
      </c>
      <c r="F6072" s="10" t="s">
        <v>28</v>
      </c>
      <c r="G6072" s="10">
        <v>6.5</v>
      </c>
      <c r="H6072" s="10" t="s">
        <v>28</v>
      </c>
      <c r="I6072" s="11" t="s">
        <v>28</v>
      </c>
      <c r="J6072" s="11" t="s">
        <v>28</v>
      </c>
      <c r="K6072" s="11" t="s">
        <v>28</v>
      </c>
      <c r="L6072" s="11" t="s">
        <v>28</v>
      </c>
      <c r="M6072" s="11" t="s">
        <v>28</v>
      </c>
      <c r="N6072" s="8">
        <v>43980</v>
      </c>
      <c r="O6072" s="9" t="s">
        <v>73</v>
      </c>
      <c r="P6072" s="12" t="s">
        <v>18635</v>
      </c>
      <c r="Q6072" s="9" t="s">
        <v>37</v>
      </c>
      <c r="R6072" s="14" t="str">
        <f>HYPERLINK("https://my.pitchbook.com?c=135119-71T","View Company Online")</f>
        <v>View Company Online</v>
      </c>
    </row>
    <row r="6073" spans="1:18" hidden="1" x14ac:dyDescent="0.3">
      <c r="A6073" s="15" t="s">
        <v>18636</v>
      </c>
      <c r="B6073" s="15" t="s">
        <v>18637</v>
      </c>
      <c r="C6073" s="18" t="s">
        <v>28</v>
      </c>
      <c r="D6073" s="15" t="s">
        <v>18638</v>
      </c>
      <c r="E6073" s="18" t="s">
        <v>28</v>
      </c>
      <c r="F6073" s="19" t="s">
        <v>28</v>
      </c>
      <c r="G6073" s="19" t="s">
        <v>28</v>
      </c>
      <c r="H6073" s="19" t="s">
        <v>28</v>
      </c>
      <c r="I6073" s="18" t="s">
        <v>28</v>
      </c>
      <c r="J6073" s="18" t="s">
        <v>28</v>
      </c>
      <c r="K6073" s="18" t="s">
        <v>28</v>
      </c>
      <c r="L6073" s="18" t="s">
        <v>28</v>
      </c>
      <c r="M6073" s="18" t="s">
        <v>28</v>
      </c>
      <c r="N6073" s="17">
        <v>43980</v>
      </c>
      <c r="O6073" s="15" t="s">
        <v>1285</v>
      </c>
      <c r="P6073" s="16" t="s">
        <v>28</v>
      </c>
      <c r="Q6073" s="15" t="s">
        <v>75</v>
      </c>
      <c r="R6073" s="13" t="str">
        <f>HYPERLINK("https://my.pitchbook.com?c=139646-08T","View Company Online")</f>
        <v>View Company Online</v>
      </c>
    </row>
    <row r="6074" spans="1:18" hidden="1" x14ac:dyDescent="0.3">
      <c r="A6074" s="9" t="s">
        <v>18639</v>
      </c>
      <c r="B6074" s="9" t="s">
        <v>18640</v>
      </c>
      <c r="C6074" s="11" t="s">
        <v>28</v>
      </c>
      <c r="D6074" s="9" t="s">
        <v>18641</v>
      </c>
      <c r="E6074" s="11" t="s">
        <v>28</v>
      </c>
      <c r="F6074" s="10">
        <v>7.84</v>
      </c>
      <c r="G6074" s="10">
        <v>4.3099999999999996</v>
      </c>
      <c r="H6074" s="10">
        <v>7.84</v>
      </c>
      <c r="I6074" s="11" t="s">
        <v>28</v>
      </c>
      <c r="J6074" s="11" t="s">
        <v>28</v>
      </c>
      <c r="K6074" s="11" t="s">
        <v>28</v>
      </c>
      <c r="L6074" s="11" t="s">
        <v>28</v>
      </c>
      <c r="M6074" s="11" t="s">
        <v>28</v>
      </c>
      <c r="N6074" s="8">
        <v>43980</v>
      </c>
      <c r="O6074" s="9" t="s">
        <v>30</v>
      </c>
      <c r="P6074" s="12" t="s">
        <v>18642</v>
      </c>
      <c r="Q6074" s="9" t="s">
        <v>54</v>
      </c>
      <c r="R6074" s="14" t="str">
        <f>HYPERLINK("https://my.pitchbook.com?c=137721-25T","View Company Online")</f>
        <v>View Company Online</v>
      </c>
    </row>
    <row r="6075" spans="1:18" hidden="1" x14ac:dyDescent="0.3">
      <c r="A6075" s="15" t="s">
        <v>18643</v>
      </c>
      <c r="B6075" s="15" t="s">
        <v>2170</v>
      </c>
      <c r="C6075" s="18" t="s">
        <v>28</v>
      </c>
      <c r="D6075" s="15" t="s">
        <v>2171</v>
      </c>
      <c r="E6075" s="18" t="s">
        <v>28</v>
      </c>
      <c r="F6075" s="19" t="s">
        <v>28</v>
      </c>
      <c r="G6075" s="19">
        <v>5</v>
      </c>
      <c r="H6075" s="19" t="s">
        <v>28</v>
      </c>
      <c r="I6075" s="18" t="s">
        <v>28</v>
      </c>
      <c r="J6075" s="18" t="s">
        <v>28</v>
      </c>
      <c r="K6075" s="18" t="s">
        <v>28</v>
      </c>
      <c r="L6075" s="18" t="s">
        <v>28</v>
      </c>
      <c r="M6075" s="18" t="s">
        <v>28</v>
      </c>
      <c r="N6075" s="17">
        <v>43979</v>
      </c>
      <c r="O6075" s="15" t="s">
        <v>73</v>
      </c>
      <c r="P6075" s="16" t="s">
        <v>18644</v>
      </c>
      <c r="Q6075" s="15" t="s">
        <v>1336</v>
      </c>
      <c r="R6075" s="13" t="str">
        <f>HYPERLINK("https://my.pitchbook.com?c=137179-09T","View Company Online")</f>
        <v>View Company Online</v>
      </c>
    </row>
    <row r="6076" spans="1:18" hidden="1" x14ac:dyDescent="0.3">
      <c r="A6076" s="9" t="s">
        <v>18645</v>
      </c>
      <c r="B6076" s="9" t="s">
        <v>2749</v>
      </c>
      <c r="C6076" s="11" t="s">
        <v>28</v>
      </c>
      <c r="D6076" s="9" t="s">
        <v>2750</v>
      </c>
      <c r="E6076" s="11" t="s">
        <v>28</v>
      </c>
      <c r="F6076" s="10" t="s">
        <v>28</v>
      </c>
      <c r="G6076" s="10">
        <v>4</v>
      </c>
      <c r="H6076" s="10" t="s">
        <v>28</v>
      </c>
      <c r="I6076" s="11" t="s">
        <v>28</v>
      </c>
      <c r="J6076" s="11" t="s">
        <v>28</v>
      </c>
      <c r="K6076" s="11" t="s">
        <v>28</v>
      </c>
      <c r="L6076" s="11" t="s">
        <v>28</v>
      </c>
      <c r="M6076" s="11" t="s">
        <v>28</v>
      </c>
      <c r="N6076" s="8">
        <v>43979</v>
      </c>
      <c r="O6076" s="9" t="s">
        <v>93</v>
      </c>
      <c r="P6076" s="12" t="s">
        <v>4523</v>
      </c>
      <c r="Q6076" s="9" t="s">
        <v>69</v>
      </c>
      <c r="R6076" s="14" t="str">
        <f>HYPERLINK("https://my.pitchbook.com?c=158805-37T","View Company Online")</f>
        <v>View Company Online</v>
      </c>
    </row>
    <row r="6077" spans="1:18" hidden="1" x14ac:dyDescent="0.3">
      <c r="A6077" s="15" t="s">
        <v>18646</v>
      </c>
      <c r="B6077" s="15" t="s">
        <v>18647</v>
      </c>
      <c r="C6077" s="18" t="s">
        <v>28</v>
      </c>
      <c r="D6077" s="15" t="s">
        <v>18648</v>
      </c>
      <c r="E6077" s="18" t="s">
        <v>28</v>
      </c>
      <c r="F6077" s="19" t="s">
        <v>28</v>
      </c>
      <c r="G6077" s="19" t="s">
        <v>28</v>
      </c>
      <c r="H6077" s="19" t="s">
        <v>28</v>
      </c>
      <c r="I6077" s="18" t="s">
        <v>28</v>
      </c>
      <c r="J6077" s="18" t="s">
        <v>28</v>
      </c>
      <c r="K6077" s="18" t="s">
        <v>28</v>
      </c>
      <c r="L6077" s="18" t="s">
        <v>28</v>
      </c>
      <c r="M6077" s="18" t="s">
        <v>28</v>
      </c>
      <c r="N6077" s="17">
        <v>43979</v>
      </c>
      <c r="O6077" s="15" t="s">
        <v>30</v>
      </c>
      <c r="P6077" s="16" t="s">
        <v>10834</v>
      </c>
      <c r="Q6077" s="15" t="s">
        <v>880</v>
      </c>
      <c r="R6077" s="13" t="str">
        <f>HYPERLINK("https://my.pitchbook.com?c=137333-08T","View Company Online")</f>
        <v>View Company Online</v>
      </c>
    </row>
    <row r="6078" spans="1:18" hidden="1" x14ac:dyDescent="0.3">
      <c r="A6078" s="9" t="s">
        <v>18649</v>
      </c>
      <c r="B6078" s="9" t="s">
        <v>18650</v>
      </c>
      <c r="C6078" s="11" t="s">
        <v>28</v>
      </c>
      <c r="D6078" s="9" t="s">
        <v>18651</v>
      </c>
      <c r="E6078" s="11" t="s">
        <v>28</v>
      </c>
      <c r="F6078" s="10" t="s">
        <v>28</v>
      </c>
      <c r="G6078" s="10" t="s">
        <v>28</v>
      </c>
      <c r="H6078" s="10" t="s">
        <v>28</v>
      </c>
      <c r="I6078" s="11" t="s">
        <v>28</v>
      </c>
      <c r="J6078" s="11" t="s">
        <v>28</v>
      </c>
      <c r="K6078" s="11" t="s">
        <v>28</v>
      </c>
      <c r="L6078" s="11" t="s">
        <v>28</v>
      </c>
      <c r="M6078" s="11" t="s">
        <v>28</v>
      </c>
      <c r="N6078" s="8">
        <v>43978</v>
      </c>
      <c r="O6078" s="9" t="s">
        <v>41</v>
      </c>
      <c r="P6078" s="12" t="s">
        <v>18652</v>
      </c>
      <c r="Q6078" s="9" t="s">
        <v>32</v>
      </c>
      <c r="R6078" s="14" t="str">
        <f>HYPERLINK("https://my.pitchbook.com?c=256769-38T","View Company Online")</f>
        <v>View Company Online</v>
      </c>
    </row>
    <row r="6079" spans="1:18" hidden="1" x14ac:dyDescent="0.3">
      <c r="A6079" s="15" t="s">
        <v>18653</v>
      </c>
      <c r="B6079" s="15" t="s">
        <v>18654</v>
      </c>
      <c r="C6079" s="18" t="s">
        <v>28</v>
      </c>
      <c r="D6079" s="15" t="s">
        <v>18655</v>
      </c>
      <c r="E6079" s="18" t="s">
        <v>28</v>
      </c>
      <c r="F6079" s="19" t="s">
        <v>28</v>
      </c>
      <c r="G6079" s="19" t="s">
        <v>28</v>
      </c>
      <c r="H6079" s="19" t="s">
        <v>28</v>
      </c>
      <c r="I6079" s="18" t="s">
        <v>28</v>
      </c>
      <c r="J6079" s="18" t="s">
        <v>28</v>
      </c>
      <c r="K6079" s="18" t="s">
        <v>28</v>
      </c>
      <c r="L6079" s="18" t="s">
        <v>28</v>
      </c>
      <c r="M6079" s="18" t="s">
        <v>28</v>
      </c>
      <c r="N6079" s="17">
        <v>43977</v>
      </c>
      <c r="O6079" s="15" t="s">
        <v>52</v>
      </c>
      <c r="P6079" s="16" t="s">
        <v>3375</v>
      </c>
      <c r="Q6079" s="15" t="s">
        <v>75</v>
      </c>
      <c r="R6079" s="13" t="str">
        <f>HYPERLINK("https://my.pitchbook.com?c=262701-73T","View Company Online")</f>
        <v>View Company Online</v>
      </c>
    </row>
    <row r="6080" spans="1:18" hidden="1" x14ac:dyDescent="0.3">
      <c r="A6080" s="9" t="s">
        <v>18656</v>
      </c>
      <c r="B6080" s="9" t="s">
        <v>18657</v>
      </c>
      <c r="C6080" s="11" t="s">
        <v>28</v>
      </c>
      <c r="D6080" s="9" t="s">
        <v>18658</v>
      </c>
      <c r="E6080" s="11" t="s">
        <v>28</v>
      </c>
      <c r="F6080" s="10" t="s">
        <v>28</v>
      </c>
      <c r="G6080" s="10" t="s">
        <v>28</v>
      </c>
      <c r="H6080" s="10" t="s">
        <v>28</v>
      </c>
      <c r="I6080" s="11" t="s">
        <v>28</v>
      </c>
      <c r="J6080" s="11" t="s">
        <v>28</v>
      </c>
      <c r="K6080" s="11" t="s">
        <v>28</v>
      </c>
      <c r="L6080" s="11" t="s">
        <v>28</v>
      </c>
      <c r="M6080" s="11" t="s">
        <v>28</v>
      </c>
      <c r="N6080" s="8">
        <v>43976</v>
      </c>
      <c r="O6080" s="9" t="s">
        <v>30</v>
      </c>
      <c r="P6080" s="12" t="s">
        <v>18659</v>
      </c>
      <c r="Q6080" s="9" t="s">
        <v>95</v>
      </c>
      <c r="R6080" s="14" t="str">
        <f>HYPERLINK("https://my.pitchbook.com?c=209552-23T","View Company Online")</f>
        <v>View Company Online</v>
      </c>
    </row>
    <row r="6081" spans="1:18" hidden="1" x14ac:dyDescent="0.3">
      <c r="A6081" s="15" t="s">
        <v>18660</v>
      </c>
      <c r="B6081" s="15" t="s">
        <v>6359</v>
      </c>
      <c r="C6081" s="18" t="s">
        <v>28</v>
      </c>
      <c r="D6081" s="15" t="s">
        <v>6360</v>
      </c>
      <c r="E6081" s="18" t="s">
        <v>28</v>
      </c>
      <c r="F6081" s="19" t="s">
        <v>28</v>
      </c>
      <c r="G6081" s="19">
        <v>0.45</v>
      </c>
      <c r="H6081" s="19" t="s">
        <v>28</v>
      </c>
      <c r="I6081" s="18" t="s">
        <v>28</v>
      </c>
      <c r="J6081" s="18" t="s">
        <v>28</v>
      </c>
      <c r="K6081" s="18" t="s">
        <v>28</v>
      </c>
      <c r="L6081" s="18" t="s">
        <v>28</v>
      </c>
      <c r="M6081" s="18" t="s">
        <v>28</v>
      </c>
      <c r="N6081" s="17">
        <v>43973</v>
      </c>
      <c r="O6081" s="15" t="s">
        <v>79</v>
      </c>
      <c r="P6081" s="16" t="s">
        <v>11495</v>
      </c>
      <c r="Q6081" s="15" t="s">
        <v>75</v>
      </c>
      <c r="R6081" s="13" t="str">
        <f>HYPERLINK("https://my.pitchbook.com?c=141001-84T","View Company Online")</f>
        <v>View Company Online</v>
      </c>
    </row>
    <row r="6082" spans="1:18" hidden="1" x14ac:dyDescent="0.3">
      <c r="A6082" s="9" t="s">
        <v>18661</v>
      </c>
      <c r="B6082" s="9" t="s">
        <v>18662</v>
      </c>
      <c r="C6082" s="11" t="s">
        <v>28</v>
      </c>
      <c r="D6082" s="9" t="s">
        <v>18663</v>
      </c>
      <c r="E6082" s="11" t="s">
        <v>28</v>
      </c>
      <c r="F6082" s="10" t="s">
        <v>28</v>
      </c>
      <c r="G6082" s="10" t="s">
        <v>28</v>
      </c>
      <c r="H6082" s="10" t="s">
        <v>28</v>
      </c>
      <c r="I6082" s="11" t="s">
        <v>28</v>
      </c>
      <c r="J6082" s="11" t="s">
        <v>28</v>
      </c>
      <c r="K6082" s="11" t="s">
        <v>28</v>
      </c>
      <c r="L6082" s="11" t="s">
        <v>28</v>
      </c>
      <c r="M6082" s="11" t="s">
        <v>28</v>
      </c>
      <c r="N6082" s="8">
        <v>43971</v>
      </c>
      <c r="O6082" s="9" t="s">
        <v>79</v>
      </c>
      <c r="P6082" s="12" t="s">
        <v>18664</v>
      </c>
      <c r="Q6082" s="9" t="s">
        <v>75</v>
      </c>
      <c r="R6082" s="14" t="str">
        <f>HYPERLINK("https://my.pitchbook.com?c=199063-99T","View Company Online")</f>
        <v>View Company Online</v>
      </c>
    </row>
    <row r="6083" spans="1:18" hidden="1" x14ac:dyDescent="0.3">
      <c r="A6083" s="15" t="s">
        <v>18665</v>
      </c>
      <c r="B6083" s="15" t="s">
        <v>18666</v>
      </c>
      <c r="C6083" s="18" t="s">
        <v>28</v>
      </c>
      <c r="D6083" s="15" t="s">
        <v>18667</v>
      </c>
      <c r="E6083" s="18" t="s">
        <v>28</v>
      </c>
      <c r="F6083" s="19" t="s">
        <v>28</v>
      </c>
      <c r="G6083" s="19" t="s">
        <v>28</v>
      </c>
      <c r="H6083" s="19" t="s">
        <v>28</v>
      </c>
      <c r="I6083" s="18" t="s">
        <v>28</v>
      </c>
      <c r="J6083" s="18" t="s">
        <v>28</v>
      </c>
      <c r="K6083" s="18" t="s">
        <v>28</v>
      </c>
      <c r="L6083" s="18" t="s">
        <v>28</v>
      </c>
      <c r="M6083" s="18" t="s">
        <v>28</v>
      </c>
      <c r="N6083" s="17">
        <v>43970</v>
      </c>
      <c r="O6083" s="15" t="s">
        <v>30</v>
      </c>
      <c r="P6083" s="16" t="s">
        <v>3797</v>
      </c>
      <c r="Q6083" s="15" t="s">
        <v>290</v>
      </c>
      <c r="R6083" s="13" t="str">
        <f>HYPERLINK("https://my.pitchbook.com?c=214204-69T","View Company Online")</f>
        <v>View Company Online</v>
      </c>
    </row>
    <row r="6084" spans="1:18" hidden="1" x14ac:dyDescent="0.3">
      <c r="A6084" s="9" t="s">
        <v>18668</v>
      </c>
      <c r="B6084" s="9" t="s">
        <v>13524</v>
      </c>
      <c r="C6084" s="11" t="s">
        <v>28</v>
      </c>
      <c r="D6084" s="9" t="s">
        <v>13525</v>
      </c>
      <c r="E6084" s="11" t="s">
        <v>28</v>
      </c>
      <c r="F6084" s="10" t="s">
        <v>28</v>
      </c>
      <c r="G6084" s="10" t="s">
        <v>28</v>
      </c>
      <c r="H6084" s="10" t="s">
        <v>28</v>
      </c>
      <c r="I6084" s="11" t="s">
        <v>28</v>
      </c>
      <c r="J6084" s="11" t="s">
        <v>28</v>
      </c>
      <c r="K6084" s="11" t="s">
        <v>28</v>
      </c>
      <c r="L6084" s="11" t="s">
        <v>28</v>
      </c>
      <c r="M6084" s="11" t="s">
        <v>28</v>
      </c>
      <c r="N6084" s="8">
        <v>43970</v>
      </c>
      <c r="O6084" s="9" t="s">
        <v>52</v>
      </c>
      <c r="P6084" s="12" t="s">
        <v>28</v>
      </c>
      <c r="Q6084" s="9" t="s">
        <v>37</v>
      </c>
      <c r="R6084" s="14" t="str">
        <f>HYPERLINK("https://my.pitchbook.com?c=168105-70T","View Company Online")</f>
        <v>View Company Online</v>
      </c>
    </row>
    <row r="6085" spans="1:18" hidden="1" x14ac:dyDescent="0.3">
      <c r="A6085" s="15" t="s">
        <v>18669</v>
      </c>
      <c r="B6085" s="15" t="s">
        <v>4775</v>
      </c>
      <c r="C6085" s="18" t="s">
        <v>28</v>
      </c>
      <c r="D6085" s="15" t="s">
        <v>4776</v>
      </c>
      <c r="E6085" s="18" t="s">
        <v>28</v>
      </c>
      <c r="F6085" s="19" t="s">
        <v>28</v>
      </c>
      <c r="G6085" s="19">
        <v>3.04</v>
      </c>
      <c r="H6085" s="19" t="s">
        <v>28</v>
      </c>
      <c r="I6085" s="18" t="s">
        <v>28</v>
      </c>
      <c r="J6085" s="18" t="s">
        <v>28</v>
      </c>
      <c r="K6085" s="18" t="s">
        <v>28</v>
      </c>
      <c r="L6085" s="18" t="s">
        <v>28</v>
      </c>
      <c r="M6085" s="18" t="s">
        <v>28</v>
      </c>
      <c r="N6085" s="17">
        <v>43970</v>
      </c>
      <c r="O6085" s="15" t="s">
        <v>73</v>
      </c>
      <c r="P6085" s="16" t="s">
        <v>18670</v>
      </c>
      <c r="Q6085" s="15" t="s">
        <v>3973</v>
      </c>
      <c r="R6085" s="13" t="str">
        <f>HYPERLINK("https://my.pitchbook.com?c=136731-16T","View Company Online")</f>
        <v>View Company Online</v>
      </c>
    </row>
    <row r="6086" spans="1:18" hidden="1" x14ac:dyDescent="0.3">
      <c r="A6086" s="9" t="s">
        <v>18671</v>
      </c>
      <c r="B6086" s="9" t="s">
        <v>4207</v>
      </c>
      <c r="C6086" s="11" t="s">
        <v>28</v>
      </c>
      <c r="D6086" s="9" t="s">
        <v>4208</v>
      </c>
      <c r="E6086" s="11" t="s">
        <v>28</v>
      </c>
      <c r="F6086" s="10" t="s">
        <v>28</v>
      </c>
      <c r="G6086" s="10">
        <v>0.03</v>
      </c>
      <c r="H6086" s="10" t="s">
        <v>28</v>
      </c>
      <c r="I6086" s="11" t="s">
        <v>28</v>
      </c>
      <c r="J6086" s="11" t="s">
        <v>28</v>
      </c>
      <c r="K6086" s="11" t="s">
        <v>28</v>
      </c>
      <c r="L6086" s="11" t="s">
        <v>28</v>
      </c>
      <c r="M6086" s="11" t="s">
        <v>28</v>
      </c>
      <c r="N6086" s="8">
        <v>43969</v>
      </c>
      <c r="O6086" s="9" t="s">
        <v>47</v>
      </c>
      <c r="P6086" s="12" t="s">
        <v>18672</v>
      </c>
      <c r="Q6086" s="9" t="s">
        <v>43</v>
      </c>
      <c r="R6086" s="14" t="str">
        <f>HYPERLINK("https://my.pitchbook.com?c=155137-69T","View Company Online")</f>
        <v>View Company Online</v>
      </c>
    </row>
    <row r="6087" spans="1:18" hidden="1" x14ac:dyDescent="0.3">
      <c r="A6087" s="15" t="s">
        <v>18673</v>
      </c>
      <c r="B6087" s="15" t="s">
        <v>18674</v>
      </c>
      <c r="C6087" s="18" t="s">
        <v>28</v>
      </c>
      <c r="D6087" s="15" t="s">
        <v>18675</v>
      </c>
      <c r="E6087" s="18">
        <v>30.71</v>
      </c>
      <c r="F6087" s="19" t="s">
        <v>28</v>
      </c>
      <c r="G6087" s="19">
        <v>54.24</v>
      </c>
      <c r="H6087" s="19" t="s">
        <v>28</v>
      </c>
      <c r="I6087" s="18">
        <v>51.01</v>
      </c>
      <c r="J6087" s="18" t="s">
        <v>28</v>
      </c>
      <c r="K6087" s="18">
        <v>260.54000000000002</v>
      </c>
      <c r="L6087" s="18" t="s">
        <v>28</v>
      </c>
      <c r="M6087" s="18">
        <v>-12.63</v>
      </c>
      <c r="N6087" s="17">
        <v>43966</v>
      </c>
      <c r="O6087" s="15" t="s">
        <v>173</v>
      </c>
      <c r="P6087" s="16" t="s">
        <v>28</v>
      </c>
      <c r="Q6087" s="15" t="s">
        <v>85</v>
      </c>
      <c r="R6087" s="13" t="str">
        <f>HYPERLINK("https://my.pitchbook.com?c=137073-97T","View Company Online")</f>
        <v>View Company Online</v>
      </c>
    </row>
    <row r="6088" spans="1:18" hidden="1" x14ac:dyDescent="0.3">
      <c r="A6088" s="9" t="s">
        <v>18676</v>
      </c>
      <c r="B6088" s="9" t="s">
        <v>18654</v>
      </c>
      <c r="C6088" s="11" t="s">
        <v>28</v>
      </c>
      <c r="D6088" s="9" t="s">
        <v>18655</v>
      </c>
      <c r="E6088" s="11" t="s">
        <v>28</v>
      </c>
      <c r="F6088" s="10" t="s">
        <v>28</v>
      </c>
      <c r="G6088" s="10" t="s">
        <v>28</v>
      </c>
      <c r="H6088" s="10" t="s">
        <v>28</v>
      </c>
      <c r="I6088" s="11" t="s">
        <v>28</v>
      </c>
      <c r="J6088" s="11" t="s">
        <v>28</v>
      </c>
      <c r="K6088" s="11" t="s">
        <v>28</v>
      </c>
      <c r="L6088" s="11" t="s">
        <v>28</v>
      </c>
      <c r="M6088" s="11" t="s">
        <v>28</v>
      </c>
      <c r="N6088" s="8">
        <v>43965</v>
      </c>
      <c r="O6088" s="9" t="s">
        <v>52</v>
      </c>
      <c r="P6088" s="12" t="s">
        <v>2498</v>
      </c>
      <c r="Q6088" s="9" t="s">
        <v>75</v>
      </c>
      <c r="R6088" s="14" t="str">
        <f>HYPERLINK("https://my.pitchbook.com?c=262701-10T","View Company Online")</f>
        <v>View Company Online</v>
      </c>
    </row>
    <row r="6089" spans="1:18" hidden="1" x14ac:dyDescent="0.3">
      <c r="A6089" s="15" t="s">
        <v>18677</v>
      </c>
      <c r="B6089" s="15" t="s">
        <v>8351</v>
      </c>
      <c r="C6089" s="18" t="s">
        <v>28</v>
      </c>
      <c r="D6089" s="15" t="s">
        <v>8352</v>
      </c>
      <c r="E6089" s="18" t="s">
        <v>28</v>
      </c>
      <c r="F6089" s="19" t="s">
        <v>28</v>
      </c>
      <c r="G6089" s="19">
        <v>0.3</v>
      </c>
      <c r="H6089" s="19" t="s">
        <v>28</v>
      </c>
      <c r="I6089" s="18" t="s">
        <v>28</v>
      </c>
      <c r="J6089" s="18" t="s">
        <v>28</v>
      </c>
      <c r="K6089" s="18" t="s">
        <v>28</v>
      </c>
      <c r="L6089" s="18" t="s">
        <v>28</v>
      </c>
      <c r="M6089" s="18" t="s">
        <v>28</v>
      </c>
      <c r="N6089" s="17">
        <v>43965</v>
      </c>
      <c r="O6089" s="15" t="s">
        <v>379</v>
      </c>
      <c r="P6089" s="16" t="s">
        <v>28</v>
      </c>
      <c r="Q6089" s="15" t="s">
        <v>399</v>
      </c>
      <c r="R6089" s="13" t="str">
        <f>HYPERLINK("https://my.pitchbook.com?c=215357-86T","View Company Online")</f>
        <v>View Company Online</v>
      </c>
    </row>
    <row r="6090" spans="1:18" hidden="1" x14ac:dyDescent="0.3">
      <c r="A6090" s="9" t="s">
        <v>18678</v>
      </c>
      <c r="B6090" s="9" t="s">
        <v>18679</v>
      </c>
      <c r="C6090" s="11" t="s">
        <v>28</v>
      </c>
      <c r="D6090" s="9" t="s">
        <v>18680</v>
      </c>
      <c r="E6090" s="11" t="s">
        <v>28</v>
      </c>
      <c r="F6090" s="10" t="s">
        <v>28</v>
      </c>
      <c r="G6090" s="10">
        <v>0.7</v>
      </c>
      <c r="H6090" s="10" t="s">
        <v>28</v>
      </c>
      <c r="I6090" s="11" t="s">
        <v>28</v>
      </c>
      <c r="J6090" s="11" t="s">
        <v>28</v>
      </c>
      <c r="K6090" s="11" t="s">
        <v>28</v>
      </c>
      <c r="L6090" s="11" t="s">
        <v>28</v>
      </c>
      <c r="M6090" s="11" t="s">
        <v>28</v>
      </c>
      <c r="N6090" s="8">
        <v>43964</v>
      </c>
      <c r="O6090" s="9" t="s">
        <v>99</v>
      </c>
      <c r="P6090" s="12" t="s">
        <v>18681</v>
      </c>
      <c r="Q6090" s="9" t="s">
        <v>75</v>
      </c>
      <c r="R6090" s="14" t="str">
        <f>HYPERLINK("https://my.pitchbook.com?c=138036-88T","View Company Online")</f>
        <v>View Company Online</v>
      </c>
    </row>
    <row r="6091" spans="1:18" hidden="1" x14ac:dyDescent="0.3">
      <c r="A6091" s="15" t="s">
        <v>18682</v>
      </c>
      <c r="B6091" s="15" t="s">
        <v>1279</v>
      </c>
      <c r="C6091" s="18" t="s">
        <v>28</v>
      </c>
      <c r="D6091" s="15" t="s">
        <v>1280</v>
      </c>
      <c r="E6091" s="18" t="s">
        <v>28</v>
      </c>
      <c r="F6091" s="19" t="s">
        <v>28</v>
      </c>
      <c r="G6091" s="19" t="s">
        <v>28</v>
      </c>
      <c r="H6091" s="19" t="s">
        <v>28</v>
      </c>
      <c r="I6091" s="18" t="s">
        <v>28</v>
      </c>
      <c r="J6091" s="18" t="s">
        <v>28</v>
      </c>
      <c r="K6091" s="18" t="s">
        <v>28</v>
      </c>
      <c r="L6091" s="18" t="s">
        <v>28</v>
      </c>
      <c r="M6091" s="18" t="s">
        <v>28</v>
      </c>
      <c r="N6091" s="17">
        <v>43964</v>
      </c>
      <c r="O6091" s="15" t="s">
        <v>52</v>
      </c>
      <c r="P6091" s="16" t="s">
        <v>2235</v>
      </c>
      <c r="Q6091" s="15" t="s">
        <v>1035</v>
      </c>
      <c r="R6091" s="13" t="str">
        <f>HYPERLINK("https://my.pitchbook.com?c=158004-64T","View Company Online")</f>
        <v>View Company Online</v>
      </c>
    </row>
    <row r="6092" spans="1:18" hidden="1" x14ac:dyDescent="0.3">
      <c r="A6092" s="9" t="s">
        <v>18683</v>
      </c>
      <c r="B6092" s="9" t="s">
        <v>18684</v>
      </c>
      <c r="C6092" s="11" t="s">
        <v>28</v>
      </c>
      <c r="D6092" s="9" t="s">
        <v>18685</v>
      </c>
      <c r="E6092" s="11" t="s">
        <v>28</v>
      </c>
      <c r="F6092" s="10" t="s">
        <v>28</v>
      </c>
      <c r="G6092" s="10" t="s">
        <v>28</v>
      </c>
      <c r="H6092" s="10" t="s">
        <v>28</v>
      </c>
      <c r="I6092" s="11" t="s">
        <v>28</v>
      </c>
      <c r="J6092" s="11" t="s">
        <v>28</v>
      </c>
      <c r="K6092" s="11" t="s">
        <v>28</v>
      </c>
      <c r="L6092" s="11" t="s">
        <v>28</v>
      </c>
      <c r="M6092" s="11" t="s">
        <v>28</v>
      </c>
      <c r="N6092" s="8">
        <v>43964</v>
      </c>
      <c r="O6092" s="9" t="s">
        <v>73</v>
      </c>
      <c r="P6092" s="12" t="s">
        <v>16738</v>
      </c>
      <c r="Q6092" s="9" t="s">
        <v>37</v>
      </c>
      <c r="R6092" s="14" t="str">
        <f>HYPERLINK("https://my.pitchbook.com?c=136839-52T","View Company Online")</f>
        <v>View Company Online</v>
      </c>
    </row>
    <row r="6093" spans="1:18" hidden="1" x14ac:dyDescent="0.3">
      <c r="A6093" s="15" t="s">
        <v>18686</v>
      </c>
      <c r="B6093" s="15" t="s">
        <v>18687</v>
      </c>
      <c r="C6093" s="18" t="s">
        <v>28</v>
      </c>
      <c r="D6093" s="15" t="s">
        <v>18688</v>
      </c>
      <c r="E6093" s="18" t="s">
        <v>28</v>
      </c>
      <c r="F6093" s="19">
        <v>0.05</v>
      </c>
      <c r="G6093" s="19">
        <v>0.05</v>
      </c>
      <c r="H6093" s="19">
        <v>0.05</v>
      </c>
      <c r="I6093" s="18" t="s">
        <v>28</v>
      </c>
      <c r="J6093" s="18" t="s">
        <v>28</v>
      </c>
      <c r="K6093" s="18" t="s">
        <v>28</v>
      </c>
      <c r="L6093" s="18" t="s">
        <v>28</v>
      </c>
      <c r="M6093" s="18" t="s">
        <v>28</v>
      </c>
      <c r="N6093" s="17">
        <v>43964</v>
      </c>
      <c r="O6093" s="15" t="s">
        <v>30</v>
      </c>
      <c r="P6093" s="16" t="s">
        <v>18689</v>
      </c>
      <c r="Q6093" s="15" t="s">
        <v>832</v>
      </c>
      <c r="R6093" s="13" t="str">
        <f>HYPERLINK("https://my.pitchbook.com?c=262952-83T","View Company Online")</f>
        <v>View Company Online</v>
      </c>
    </row>
    <row r="6094" spans="1:18" hidden="1" x14ac:dyDescent="0.3">
      <c r="A6094" s="9" t="s">
        <v>18690</v>
      </c>
      <c r="B6094" s="9" t="s">
        <v>18691</v>
      </c>
      <c r="C6094" s="11" t="s">
        <v>28</v>
      </c>
      <c r="D6094" s="9" t="s">
        <v>18692</v>
      </c>
      <c r="E6094" s="11" t="s">
        <v>28</v>
      </c>
      <c r="F6094" s="10" t="s">
        <v>28</v>
      </c>
      <c r="G6094" s="10" t="s">
        <v>28</v>
      </c>
      <c r="H6094" s="10" t="s">
        <v>28</v>
      </c>
      <c r="I6094" s="11" t="s">
        <v>28</v>
      </c>
      <c r="J6094" s="11" t="s">
        <v>28</v>
      </c>
      <c r="K6094" s="11" t="s">
        <v>28</v>
      </c>
      <c r="L6094" s="11" t="s">
        <v>28</v>
      </c>
      <c r="M6094" s="11" t="s">
        <v>28</v>
      </c>
      <c r="N6094" s="8">
        <v>43963</v>
      </c>
      <c r="O6094" s="9" t="s">
        <v>173</v>
      </c>
      <c r="P6094" s="12" t="s">
        <v>28</v>
      </c>
      <c r="Q6094" s="9" t="s">
        <v>174</v>
      </c>
      <c r="R6094" s="14" t="str">
        <f>HYPERLINK("https://my.pitchbook.com?c=251569-81T","View Company Online")</f>
        <v>View Company Online</v>
      </c>
    </row>
    <row r="6095" spans="1:18" hidden="1" x14ac:dyDescent="0.3">
      <c r="A6095" s="15" t="s">
        <v>18693</v>
      </c>
      <c r="B6095" s="15" t="s">
        <v>18694</v>
      </c>
      <c r="C6095" s="18" t="s">
        <v>28</v>
      </c>
      <c r="D6095" s="15" t="s">
        <v>18695</v>
      </c>
      <c r="E6095" s="18" t="s">
        <v>28</v>
      </c>
      <c r="F6095" s="19" t="s">
        <v>28</v>
      </c>
      <c r="G6095" s="19" t="s">
        <v>28</v>
      </c>
      <c r="H6095" s="19" t="s">
        <v>28</v>
      </c>
      <c r="I6095" s="18" t="s">
        <v>28</v>
      </c>
      <c r="J6095" s="18" t="s">
        <v>28</v>
      </c>
      <c r="K6095" s="18" t="s">
        <v>28</v>
      </c>
      <c r="L6095" s="18" t="s">
        <v>28</v>
      </c>
      <c r="M6095" s="18" t="s">
        <v>28</v>
      </c>
      <c r="N6095" s="17">
        <v>43962</v>
      </c>
      <c r="O6095" s="15" t="s">
        <v>30</v>
      </c>
      <c r="P6095" s="16" t="s">
        <v>28</v>
      </c>
      <c r="Q6095" s="15" t="s">
        <v>114</v>
      </c>
      <c r="R6095" s="13" t="str">
        <f>HYPERLINK("https://my.pitchbook.com?c=214198-30T","View Company Online")</f>
        <v>View Company Online</v>
      </c>
    </row>
    <row r="6096" spans="1:18" hidden="1" x14ac:dyDescent="0.3">
      <c r="A6096" s="9" t="s">
        <v>18696</v>
      </c>
      <c r="B6096" s="9" t="s">
        <v>2099</v>
      </c>
      <c r="C6096" s="11" t="s">
        <v>28</v>
      </c>
      <c r="D6096" s="9" t="s">
        <v>2100</v>
      </c>
      <c r="E6096" s="11" t="s">
        <v>28</v>
      </c>
      <c r="F6096" s="10" t="s">
        <v>28</v>
      </c>
      <c r="G6096" s="10">
        <v>4.8</v>
      </c>
      <c r="H6096" s="10" t="s">
        <v>28</v>
      </c>
      <c r="I6096" s="11" t="s">
        <v>28</v>
      </c>
      <c r="J6096" s="11" t="s">
        <v>28</v>
      </c>
      <c r="K6096" s="11" t="s">
        <v>28</v>
      </c>
      <c r="L6096" s="11" t="s">
        <v>28</v>
      </c>
      <c r="M6096" s="11" t="s">
        <v>28</v>
      </c>
      <c r="N6096" s="8">
        <v>43962</v>
      </c>
      <c r="O6096" s="9" t="s">
        <v>73</v>
      </c>
      <c r="P6096" s="12" t="s">
        <v>18697</v>
      </c>
      <c r="Q6096" s="9" t="s">
        <v>37</v>
      </c>
      <c r="R6096" s="14" t="str">
        <f>HYPERLINK("https://my.pitchbook.com?c=118281-52T","View Company Online")</f>
        <v>View Company Online</v>
      </c>
    </row>
    <row r="6097" spans="1:18" hidden="1" x14ac:dyDescent="0.3">
      <c r="A6097" s="15" t="s">
        <v>18698</v>
      </c>
      <c r="B6097" s="15" t="s">
        <v>11034</v>
      </c>
      <c r="C6097" s="18" t="s">
        <v>28</v>
      </c>
      <c r="D6097" s="15" t="s">
        <v>11035</v>
      </c>
      <c r="E6097" s="18" t="s">
        <v>28</v>
      </c>
      <c r="F6097" s="19" t="s">
        <v>28</v>
      </c>
      <c r="G6097" s="19">
        <v>0.73</v>
      </c>
      <c r="H6097" s="19" t="s">
        <v>28</v>
      </c>
      <c r="I6097" s="18" t="s">
        <v>28</v>
      </c>
      <c r="J6097" s="18" t="s">
        <v>28</v>
      </c>
      <c r="K6097" s="18" t="s">
        <v>28</v>
      </c>
      <c r="L6097" s="18" t="s">
        <v>28</v>
      </c>
      <c r="M6097" s="18" t="s">
        <v>28</v>
      </c>
      <c r="N6097" s="17">
        <v>43962</v>
      </c>
      <c r="O6097" s="15" t="s">
        <v>99</v>
      </c>
      <c r="P6097" s="16" t="s">
        <v>18699</v>
      </c>
      <c r="Q6097" s="15" t="s">
        <v>75</v>
      </c>
      <c r="R6097" s="13" t="str">
        <f>HYPERLINK("https://my.pitchbook.com?c=138037-60T","View Company Online")</f>
        <v>View Company Online</v>
      </c>
    </row>
    <row r="6098" spans="1:18" hidden="1" x14ac:dyDescent="0.3">
      <c r="A6098" s="9" t="s">
        <v>18700</v>
      </c>
      <c r="B6098" s="9" t="s">
        <v>18701</v>
      </c>
      <c r="C6098" s="11" t="s">
        <v>28</v>
      </c>
      <c r="D6098" s="9" t="s">
        <v>18702</v>
      </c>
      <c r="E6098" s="11" t="s">
        <v>28</v>
      </c>
      <c r="F6098" s="10" t="s">
        <v>28</v>
      </c>
      <c r="G6098" s="10">
        <v>0.96</v>
      </c>
      <c r="H6098" s="10" t="s">
        <v>28</v>
      </c>
      <c r="I6098" s="11" t="s">
        <v>28</v>
      </c>
      <c r="J6098" s="11" t="s">
        <v>28</v>
      </c>
      <c r="K6098" s="11" t="s">
        <v>28</v>
      </c>
      <c r="L6098" s="11" t="s">
        <v>28</v>
      </c>
      <c r="M6098" s="11" t="s">
        <v>28</v>
      </c>
      <c r="N6098" s="8">
        <v>43959</v>
      </c>
      <c r="O6098" s="9" t="s">
        <v>99</v>
      </c>
      <c r="P6098" s="12" t="s">
        <v>18703</v>
      </c>
      <c r="Q6098" s="9" t="s">
        <v>583</v>
      </c>
      <c r="R6098" s="14" t="str">
        <f>HYPERLINK("https://my.pitchbook.com?c=140729-23T","View Company Online")</f>
        <v>View Company Online</v>
      </c>
    </row>
    <row r="6099" spans="1:18" hidden="1" x14ac:dyDescent="0.3">
      <c r="A6099" s="15" t="s">
        <v>18704</v>
      </c>
      <c r="B6099" s="15" t="s">
        <v>1553</v>
      </c>
      <c r="C6099" s="18" t="s">
        <v>28</v>
      </c>
      <c r="D6099" s="15" t="s">
        <v>1554</v>
      </c>
      <c r="E6099" s="18" t="s">
        <v>28</v>
      </c>
      <c r="F6099" s="19" t="s">
        <v>28</v>
      </c>
      <c r="G6099" s="19" t="s">
        <v>28</v>
      </c>
      <c r="H6099" s="19" t="s">
        <v>28</v>
      </c>
      <c r="I6099" s="18" t="s">
        <v>28</v>
      </c>
      <c r="J6099" s="18" t="s">
        <v>28</v>
      </c>
      <c r="K6099" s="18" t="s">
        <v>28</v>
      </c>
      <c r="L6099" s="18" t="s">
        <v>28</v>
      </c>
      <c r="M6099" s="18" t="s">
        <v>28</v>
      </c>
      <c r="N6099" s="17">
        <v>43959</v>
      </c>
      <c r="O6099" s="15" t="s">
        <v>52</v>
      </c>
      <c r="P6099" s="16" t="s">
        <v>18705</v>
      </c>
      <c r="Q6099" s="15" t="s">
        <v>43</v>
      </c>
      <c r="R6099" s="13" t="str">
        <f>HYPERLINK("https://my.pitchbook.com?c=270514-18T","View Company Online")</f>
        <v>View Company Online</v>
      </c>
    </row>
    <row r="6100" spans="1:18" hidden="1" x14ac:dyDescent="0.3">
      <c r="A6100" s="9" t="s">
        <v>18706</v>
      </c>
      <c r="B6100" s="9" t="s">
        <v>3523</v>
      </c>
      <c r="C6100" s="11" t="s">
        <v>28</v>
      </c>
      <c r="D6100" s="9" t="s">
        <v>3524</v>
      </c>
      <c r="E6100" s="11" t="s">
        <v>28</v>
      </c>
      <c r="F6100" s="10" t="s">
        <v>28</v>
      </c>
      <c r="G6100" s="10">
        <v>2.4</v>
      </c>
      <c r="H6100" s="10" t="s">
        <v>28</v>
      </c>
      <c r="I6100" s="11" t="s">
        <v>28</v>
      </c>
      <c r="J6100" s="11" t="s">
        <v>28</v>
      </c>
      <c r="K6100" s="11" t="s">
        <v>28</v>
      </c>
      <c r="L6100" s="11" t="s">
        <v>28</v>
      </c>
      <c r="M6100" s="11" t="s">
        <v>28</v>
      </c>
      <c r="N6100" s="8">
        <v>43957</v>
      </c>
      <c r="O6100" s="9" t="s">
        <v>99</v>
      </c>
      <c r="P6100" s="12" t="s">
        <v>18707</v>
      </c>
      <c r="Q6100" s="9" t="s">
        <v>95</v>
      </c>
      <c r="R6100" s="14" t="str">
        <f>HYPERLINK("https://my.pitchbook.com?c=133056-19T","View Company Online")</f>
        <v>View Company Online</v>
      </c>
    </row>
    <row r="6101" spans="1:18" hidden="1" x14ac:dyDescent="0.3">
      <c r="A6101" s="15" t="s">
        <v>18708</v>
      </c>
      <c r="B6101" s="15" t="s">
        <v>966</v>
      </c>
      <c r="C6101" s="18" t="s">
        <v>28</v>
      </c>
      <c r="D6101" s="15" t="s">
        <v>18709</v>
      </c>
      <c r="E6101" s="18" t="s">
        <v>28</v>
      </c>
      <c r="F6101" s="19" t="s">
        <v>28</v>
      </c>
      <c r="G6101" s="19" t="s">
        <v>28</v>
      </c>
      <c r="H6101" s="19" t="s">
        <v>28</v>
      </c>
      <c r="I6101" s="18" t="s">
        <v>28</v>
      </c>
      <c r="J6101" s="18" t="s">
        <v>28</v>
      </c>
      <c r="K6101" s="18" t="s">
        <v>28</v>
      </c>
      <c r="L6101" s="18" t="s">
        <v>28</v>
      </c>
      <c r="M6101" s="18" t="s">
        <v>28</v>
      </c>
      <c r="N6101" s="17">
        <v>43957</v>
      </c>
      <c r="O6101" s="15" t="s">
        <v>73</v>
      </c>
      <c r="P6101" s="16" t="s">
        <v>28</v>
      </c>
      <c r="Q6101" s="15" t="s">
        <v>75</v>
      </c>
      <c r="R6101" s="13" t="str">
        <f>HYPERLINK("https://my.pitchbook.com?c=137278-36T","View Company Online")</f>
        <v>View Company Online</v>
      </c>
    </row>
    <row r="6102" spans="1:18" hidden="1" x14ac:dyDescent="0.3">
      <c r="A6102" s="9" t="s">
        <v>18710</v>
      </c>
      <c r="B6102" s="9" t="s">
        <v>7405</v>
      </c>
      <c r="C6102" s="11" t="s">
        <v>28</v>
      </c>
      <c r="D6102" s="9" t="s">
        <v>7406</v>
      </c>
      <c r="E6102" s="11" t="s">
        <v>28</v>
      </c>
      <c r="F6102" s="10">
        <v>5</v>
      </c>
      <c r="G6102" s="10">
        <v>5</v>
      </c>
      <c r="H6102" s="10">
        <v>5</v>
      </c>
      <c r="I6102" s="11" t="s">
        <v>28</v>
      </c>
      <c r="J6102" s="11" t="s">
        <v>28</v>
      </c>
      <c r="K6102" s="11" t="s">
        <v>28</v>
      </c>
      <c r="L6102" s="11" t="s">
        <v>28</v>
      </c>
      <c r="M6102" s="11" t="s">
        <v>28</v>
      </c>
      <c r="N6102" s="8">
        <v>43956</v>
      </c>
      <c r="O6102" s="9" t="s">
        <v>41</v>
      </c>
      <c r="P6102" s="12" t="s">
        <v>18711</v>
      </c>
      <c r="Q6102" s="9" t="s">
        <v>226</v>
      </c>
      <c r="R6102" s="14" t="str">
        <f>HYPERLINK("https://my.pitchbook.com?c=136026-10T","View Company Online")</f>
        <v>View Company Online</v>
      </c>
    </row>
    <row r="6103" spans="1:18" hidden="1" x14ac:dyDescent="0.3">
      <c r="A6103" s="15" t="s">
        <v>18712</v>
      </c>
      <c r="B6103" s="15" t="s">
        <v>18713</v>
      </c>
      <c r="C6103" s="18" t="s">
        <v>28</v>
      </c>
      <c r="D6103" s="15" t="s">
        <v>18714</v>
      </c>
      <c r="E6103" s="18" t="s">
        <v>28</v>
      </c>
      <c r="F6103" s="19">
        <v>63.89</v>
      </c>
      <c r="G6103" s="19">
        <v>63.89</v>
      </c>
      <c r="H6103" s="19">
        <v>63.89</v>
      </c>
      <c r="I6103" s="18" t="s">
        <v>28</v>
      </c>
      <c r="J6103" s="18" t="s">
        <v>28</v>
      </c>
      <c r="K6103" s="18">
        <v>57.64</v>
      </c>
      <c r="L6103" s="18">
        <v>1.1100000000000001</v>
      </c>
      <c r="M6103" s="18" t="s">
        <v>28</v>
      </c>
      <c r="N6103" s="17">
        <v>43956</v>
      </c>
      <c r="O6103" s="15" t="s">
        <v>30</v>
      </c>
      <c r="P6103" s="16" t="s">
        <v>2005</v>
      </c>
      <c r="Q6103" s="15" t="s">
        <v>43</v>
      </c>
      <c r="R6103" s="13" t="str">
        <f>HYPERLINK("https://my.pitchbook.com?c=210362-32T","View Company Online")</f>
        <v>View Company Online</v>
      </c>
    </row>
    <row r="6104" spans="1:18" hidden="1" x14ac:dyDescent="0.3">
      <c r="A6104" s="9" t="s">
        <v>18715</v>
      </c>
      <c r="B6104" s="9" t="s">
        <v>18716</v>
      </c>
      <c r="C6104" s="11" t="s">
        <v>28</v>
      </c>
      <c r="D6104" s="9" t="s">
        <v>18717</v>
      </c>
      <c r="E6104" s="11" t="s">
        <v>28</v>
      </c>
      <c r="F6104" s="10" t="s">
        <v>28</v>
      </c>
      <c r="G6104" s="10" t="s">
        <v>28</v>
      </c>
      <c r="H6104" s="10" t="s">
        <v>28</v>
      </c>
      <c r="I6104" s="11" t="s">
        <v>28</v>
      </c>
      <c r="J6104" s="11" t="s">
        <v>28</v>
      </c>
      <c r="K6104" s="11" t="s">
        <v>28</v>
      </c>
      <c r="L6104" s="11" t="s">
        <v>28</v>
      </c>
      <c r="M6104" s="11" t="s">
        <v>28</v>
      </c>
      <c r="N6104" s="8">
        <v>43956</v>
      </c>
      <c r="O6104" s="9" t="s">
        <v>41</v>
      </c>
      <c r="P6104" s="12" t="s">
        <v>18718</v>
      </c>
      <c r="Q6104" s="9" t="s">
        <v>54</v>
      </c>
      <c r="R6104" s="14" t="str">
        <f>HYPERLINK("https://my.pitchbook.com?c=139548-43T","View Company Online")</f>
        <v>View Company Online</v>
      </c>
    </row>
    <row r="6105" spans="1:18" hidden="1" x14ac:dyDescent="0.3">
      <c r="A6105" s="15" t="s">
        <v>18719</v>
      </c>
      <c r="B6105" s="15" t="s">
        <v>1533</v>
      </c>
      <c r="C6105" s="18" t="s">
        <v>28</v>
      </c>
      <c r="D6105" s="15" t="s">
        <v>1534</v>
      </c>
      <c r="E6105" s="18" t="s">
        <v>28</v>
      </c>
      <c r="F6105" s="19">
        <v>5</v>
      </c>
      <c r="G6105" s="19">
        <v>5</v>
      </c>
      <c r="H6105" s="19">
        <v>5</v>
      </c>
      <c r="I6105" s="18" t="s">
        <v>28</v>
      </c>
      <c r="J6105" s="18" t="s">
        <v>28</v>
      </c>
      <c r="K6105" s="18" t="s">
        <v>28</v>
      </c>
      <c r="L6105" s="18" t="s">
        <v>28</v>
      </c>
      <c r="M6105" s="18" t="s">
        <v>28</v>
      </c>
      <c r="N6105" s="17">
        <v>43956</v>
      </c>
      <c r="O6105" s="15" t="s">
        <v>41</v>
      </c>
      <c r="P6105" s="16" t="s">
        <v>18720</v>
      </c>
      <c r="Q6105" s="15" t="s">
        <v>1536</v>
      </c>
      <c r="R6105" s="13" t="str">
        <f>HYPERLINK("https://my.pitchbook.com?c=139547-35T","View Company Online")</f>
        <v>View Company Online</v>
      </c>
    </row>
    <row r="6106" spans="1:18" hidden="1" x14ac:dyDescent="0.3">
      <c r="A6106" s="9" t="s">
        <v>18721</v>
      </c>
      <c r="B6106" s="9" t="s">
        <v>18722</v>
      </c>
      <c r="C6106" s="11" t="s">
        <v>28</v>
      </c>
      <c r="D6106" s="9" t="s">
        <v>18723</v>
      </c>
      <c r="E6106" s="11" t="s">
        <v>28</v>
      </c>
      <c r="F6106" s="10" t="s">
        <v>28</v>
      </c>
      <c r="G6106" s="10" t="s">
        <v>28</v>
      </c>
      <c r="H6106" s="10" t="s">
        <v>28</v>
      </c>
      <c r="I6106" s="11" t="s">
        <v>28</v>
      </c>
      <c r="J6106" s="11" t="s">
        <v>28</v>
      </c>
      <c r="K6106" s="11" t="s">
        <v>28</v>
      </c>
      <c r="L6106" s="11" t="s">
        <v>28</v>
      </c>
      <c r="M6106" s="11" t="s">
        <v>28</v>
      </c>
      <c r="N6106" s="8">
        <v>43952</v>
      </c>
      <c r="O6106" s="9" t="s">
        <v>30</v>
      </c>
      <c r="P6106" s="12" t="s">
        <v>4988</v>
      </c>
      <c r="Q6106" s="9" t="s">
        <v>696</v>
      </c>
      <c r="R6106" s="14" t="str">
        <f>HYPERLINK("https://my.pitchbook.com?c=211729-60T","View Company Online")</f>
        <v>View Company Online</v>
      </c>
    </row>
    <row r="6107" spans="1:18" hidden="1" x14ac:dyDescent="0.3">
      <c r="A6107" s="15" t="s">
        <v>18724</v>
      </c>
      <c r="B6107" s="15" t="s">
        <v>3471</v>
      </c>
      <c r="C6107" s="18" t="s">
        <v>28</v>
      </c>
      <c r="D6107" s="15" t="s">
        <v>3472</v>
      </c>
      <c r="E6107" s="18" t="s">
        <v>28</v>
      </c>
      <c r="F6107" s="19" t="s">
        <v>28</v>
      </c>
      <c r="G6107" s="19" t="s">
        <v>28</v>
      </c>
      <c r="H6107" s="19" t="s">
        <v>28</v>
      </c>
      <c r="I6107" s="18" t="s">
        <v>28</v>
      </c>
      <c r="J6107" s="18" t="s">
        <v>28</v>
      </c>
      <c r="K6107" s="18" t="s">
        <v>28</v>
      </c>
      <c r="L6107" s="18" t="s">
        <v>28</v>
      </c>
      <c r="M6107" s="18" t="s">
        <v>28</v>
      </c>
      <c r="N6107" s="17">
        <v>43952</v>
      </c>
      <c r="O6107" s="15" t="s">
        <v>99</v>
      </c>
      <c r="P6107" s="16" t="s">
        <v>18725</v>
      </c>
      <c r="Q6107" s="15" t="s">
        <v>37</v>
      </c>
      <c r="R6107" s="13" t="str">
        <f>HYPERLINK("https://my.pitchbook.com?c=215804-08T","View Company Online")</f>
        <v>View Company Online</v>
      </c>
    </row>
    <row r="6108" spans="1:18" hidden="1" x14ac:dyDescent="0.3">
      <c r="A6108" s="9" t="s">
        <v>18726</v>
      </c>
      <c r="B6108" s="9" t="s">
        <v>15568</v>
      </c>
      <c r="C6108" s="11" t="s">
        <v>28</v>
      </c>
      <c r="D6108" s="9" t="s">
        <v>18727</v>
      </c>
      <c r="E6108" s="11" t="s">
        <v>28</v>
      </c>
      <c r="F6108" s="10" t="s">
        <v>28</v>
      </c>
      <c r="G6108" s="10">
        <v>56.46</v>
      </c>
      <c r="H6108" s="10" t="s">
        <v>28</v>
      </c>
      <c r="I6108" s="11" t="s">
        <v>28</v>
      </c>
      <c r="J6108" s="11" t="s">
        <v>28</v>
      </c>
      <c r="K6108" s="11" t="s">
        <v>28</v>
      </c>
      <c r="L6108" s="11" t="s">
        <v>28</v>
      </c>
      <c r="M6108" s="11" t="s">
        <v>28</v>
      </c>
      <c r="N6108" s="8">
        <v>43952</v>
      </c>
      <c r="O6108" s="9" t="s">
        <v>93</v>
      </c>
      <c r="P6108" s="12" t="s">
        <v>9016</v>
      </c>
      <c r="Q6108" s="9" t="s">
        <v>409</v>
      </c>
      <c r="R6108" s="14" t="str">
        <f>HYPERLINK("https://my.pitchbook.com?c=172935-73T","View Company Online")</f>
        <v>View Company Online</v>
      </c>
    </row>
    <row r="6109" spans="1:18" hidden="1" x14ac:dyDescent="0.3">
      <c r="A6109" s="15" t="s">
        <v>18728</v>
      </c>
      <c r="B6109" s="15" t="s">
        <v>5638</v>
      </c>
      <c r="C6109" s="18" t="s">
        <v>28</v>
      </c>
      <c r="D6109" s="15" t="s">
        <v>5639</v>
      </c>
      <c r="E6109" s="18" t="s">
        <v>28</v>
      </c>
      <c r="F6109" s="19" t="s">
        <v>28</v>
      </c>
      <c r="G6109" s="19" t="s">
        <v>28</v>
      </c>
      <c r="H6109" s="19" t="s">
        <v>28</v>
      </c>
      <c r="I6109" s="18" t="s">
        <v>28</v>
      </c>
      <c r="J6109" s="18" t="s">
        <v>28</v>
      </c>
      <c r="K6109" s="18" t="s">
        <v>28</v>
      </c>
      <c r="L6109" s="18" t="s">
        <v>28</v>
      </c>
      <c r="M6109" s="18" t="s">
        <v>28</v>
      </c>
      <c r="N6109" s="17">
        <v>43952</v>
      </c>
      <c r="O6109" s="15" t="s">
        <v>73</v>
      </c>
      <c r="P6109" s="16" t="s">
        <v>16738</v>
      </c>
      <c r="Q6109" s="15" t="s">
        <v>114</v>
      </c>
      <c r="R6109" s="13" t="str">
        <f>HYPERLINK("https://my.pitchbook.com?c=136825-21T","View Company Online")</f>
        <v>View Company Online</v>
      </c>
    </row>
    <row r="6110" spans="1:18" hidden="1" x14ac:dyDescent="0.3">
      <c r="A6110" s="9" t="s">
        <v>18729</v>
      </c>
      <c r="B6110" s="9" t="s">
        <v>4412</v>
      </c>
      <c r="C6110" s="11" t="s">
        <v>28</v>
      </c>
      <c r="D6110" s="9" t="s">
        <v>4413</v>
      </c>
      <c r="E6110" s="11" t="s">
        <v>28</v>
      </c>
      <c r="F6110" s="10" t="s">
        <v>28</v>
      </c>
      <c r="G6110" s="10">
        <v>1</v>
      </c>
      <c r="H6110" s="10" t="s">
        <v>28</v>
      </c>
      <c r="I6110" s="11" t="s">
        <v>28</v>
      </c>
      <c r="J6110" s="11" t="s">
        <v>28</v>
      </c>
      <c r="K6110" s="11" t="s">
        <v>28</v>
      </c>
      <c r="L6110" s="11" t="s">
        <v>28</v>
      </c>
      <c r="M6110" s="11" t="s">
        <v>28</v>
      </c>
      <c r="N6110" s="8">
        <v>43952</v>
      </c>
      <c r="O6110" s="9" t="s">
        <v>99</v>
      </c>
      <c r="P6110" s="12" t="s">
        <v>28</v>
      </c>
      <c r="Q6110" s="9" t="s">
        <v>37</v>
      </c>
      <c r="R6110" s="14" t="str">
        <f>HYPERLINK("https://my.pitchbook.com?c=196227-01T","View Company Online")</f>
        <v>View Company Online</v>
      </c>
    </row>
    <row r="6111" spans="1:18" hidden="1" x14ac:dyDescent="0.3">
      <c r="A6111" s="15" t="s">
        <v>18730</v>
      </c>
      <c r="B6111" s="15" t="s">
        <v>3844</v>
      </c>
      <c r="C6111" s="18" t="s">
        <v>28</v>
      </c>
      <c r="D6111" s="15" t="s">
        <v>3845</v>
      </c>
      <c r="E6111" s="18" t="s">
        <v>28</v>
      </c>
      <c r="F6111" s="19" t="s">
        <v>28</v>
      </c>
      <c r="G6111" s="19">
        <v>0.09</v>
      </c>
      <c r="H6111" s="19" t="s">
        <v>28</v>
      </c>
      <c r="I6111" s="18" t="s">
        <v>28</v>
      </c>
      <c r="J6111" s="18" t="s">
        <v>28</v>
      </c>
      <c r="K6111" s="18" t="s">
        <v>28</v>
      </c>
      <c r="L6111" s="18" t="s">
        <v>28</v>
      </c>
      <c r="M6111" s="18" t="s">
        <v>28</v>
      </c>
      <c r="N6111" s="17">
        <v>43952</v>
      </c>
      <c r="O6111" s="15" t="s">
        <v>52</v>
      </c>
      <c r="P6111" s="16" t="s">
        <v>2915</v>
      </c>
      <c r="Q6111" s="15" t="s">
        <v>414</v>
      </c>
      <c r="R6111" s="13" t="str">
        <f>HYPERLINK("https://my.pitchbook.com?c=199758-70T","View Company Online")</f>
        <v>View Company Online</v>
      </c>
    </row>
    <row r="6112" spans="1:18" hidden="1" x14ac:dyDescent="0.3">
      <c r="A6112" s="9" t="s">
        <v>18731</v>
      </c>
      <c r="B6112" s="9" t="s">
        <v>18732</v>
      </c>
      <c r="C6112" s="11" t="s">
        <v>28</v>
      </c>
      <c r="D6112" s="9" t="s">
        <v>18733</v>
      </c>
      <c r="E6112" s="11" t="s">
        <v>28</v>
      </c>
      <c r="F6112" s="10" t="s">
        <v>28</v>
      </c>
      <c r="G6112" s="10">
        <v>0.44</v>
      </c>
      <c r="H6112" s="10" t="s">
        <v>28</v>
      </c>
      <c r="I6112" s="11" t="s">
        <v>28</v>
      </c>
      <c r="J6112" s="11" t="s">
        <v>28</v>
      </c>
      <c r="K6112" s="11" t="s">
        <v>28</v>
      </c>
      <c r="L6112" s="11" t="s">
        <v>28</v>
      </c>
      <c r="M6112" s="11" t="s">
        <v>28</v>
      </c>
      <c r="N6112" s="8">
        <v>43952</v>
      </c>
      <c r="O6112" s="9" t="s">
        <v>73</v>
      </c>
      <c r="P6112" s="12" t="s">
        <v>18734</v>
      </c>
      <c r="Q6112" s="9" t="s">
        <v>75</v>
      </c>
      <c r="R6112" s="14" t="str">
        <f>HYPERLINK("https://my.pitchbook.com?c=178492-87T","View Company Online")</f>
        <v>View Company Online</v>
      </c>
    </row>
    <row r="6113" spans="1:18" hidden="1" x14ac:dyDescent="0.3">
      <c r="A6113" s="15" t="s">
        <v>18735</v>
      </c>
      <c r="B6113" s="15" t="s">
        <v>17636</v>
      </c>
      <c r="C6113" s="18" t="s">
        <v>28</v>
      </c>
      <c r="D6113" s="15" t="s">
        <v>17637</v>
      </c>
      <c r="E6113" s="18" t="s">
        <v>28</v>
      </c>
      <c r="F6113" s="19" t="s">
        <v>28</v>
      </c>
      <c r="G6113" s="19" t="s">
        <v>28</v>
      </c>
      <c r="H6113" s="19" t="s">
        <v>28</v>
      </c>
      <c r="I6113" s="18" t="s">
        <v>28</v>
      </c>
      <c r="J6113" s="18" t="s">
        <v>28</v>
      </c>
      <c r="K6113" s="18" t="s">
        <v>28</v>
      </c>
      <c r="L6113" s="18" t="s">
        <v>28</v>
      </c>
      <c r="M6113" s="18" t="s">
        <v>28</v>
      </c>
      <c r="N6113" s="17">
        <v>43952</v>
      </c>
      <c r="O6113" s="15" t="s">
        <v>52</v>
      </c>
      <c r="P6113" s="16" t="s">
        <v>1880</v>
      </c>
      <c r="Q6113" s="15" t="s">
        <v>37</v>
      </c>
      <c r="R6113" s="13" t="str">
        <f>HYPERLINK("https://my.pitchbook.com?c=220390-84T","View Company Online")</f>
        <v>View Company Online</v>
      </c>
    </row>
    <row r="6114" spans="1:18" hidden="1" x14ac:dyDescent="0.3">
      <c r="A6114" s="9" t="s">
        <v>18736</v>
      </c>
      <c r="B6114" s="9" t="s">
        <v>18737</v>
      </c>
      <c r="C6114" s="11" t="s">
        <v>28</v>
      </c>
      <c r="D6114" s="9" t="s">
        <v>18738</v>
      </c>
      <c r="E6114" s="11" t="s">
        <v>28</v>
      </c>
      <c r="F6114" s="10" t="s">
        <v>28</v>
      </c>
      <c r="G6114" s="10" t="s">
        <v>28</v>
      </c>
      <c r="H6114" s="10" t="s">
        <v>28</v>
      </c>
      <c r="I6114" s="11" t="s">
        <v>28</v>
      </c>
      <c r="J6114" s="11" t="s">
        <v>28</v>
      </c>
      <c r="K6114" s="11" t="s">
        <v>28</v>
      </c>
      <c r="L6114" s="11" t="s">
        <v>28</v>
      </c>
      <c r="M6114" s="11" t="s">
        <v>28</v>
      </c>
      <c r="N6114" s="8">
        <v>43952</v>
      </c>
      <c r="O6114" s="9" t="s">
        <v>99</v>
      </c>
      <c r="P6114" s="12" t="s">
        <v>16738</v>
      </c>
      <c r="Q6114" s="9" t="s">
        <v>75</v>
      </c>
      <c r="R6114" s="14" t="str">
        <f>HYPERLINK("https://my.pitchbook.com?c=136841-32T","View Company Online")</f>
        <v>View Company Online</v>
      </c>
    </row>
    <row r="6115" spans="1:18" hidden="1" x14ac:dyDescent="0.3">
      <c r="A6115" s="15" t="s">
        <v>18739</v>
      </c>
      <c r="B6115" s="15" t="s">
        <v>13680</v>
      </c>
      <c r="C6115" s="18" t="s">
        <v>28</v>
      </c>
      <c r="D6115" s="15" t="s">
        <v>13681</v>
      </c>
      <c r="E6115" s="18" t="s">
        <v>28</v>
      </c>
      <c r="F6115" s="19" t="s">
        <v>28</v>
      </c>
      <c r="G6115" s="19">
        <v>0.55000000000000004</v>
      </c>
      <c r="H6115" s="19" t="s">
        <v>28</v>
      </c>
      <c r="I6115" s="18" t="s">
        <v>28</v>
      </c>
      <c r="J6115" s="18" t="s">
        <v>28</v>
      </c>
      <c r="K6115" s="18" t="s">
        <v>28</v>
      </c>
      <c r="L6115" s="18" t="s">
        <v>28</v>
      </c>
      <c r="M6115" s="18" t="s">
        <v>28</v>
      </c>
      <c r="N6115" s="17">
        <v>43952</v>
      </c>
      <c r="O6115" s="15" t="s">
        <v>79</v>
      </c>
      <c r="P6115" s="16" t="s">
        <v>18740</v>
      </c>
      <c r="Q6115" s="15" t="s">
        <v>5347</v>
      </c>
      <c r="R6115" s="13" t="str">
        <f>HYPERLINK("https://my.pitchbook.com?c=139587-40T","View Company Online")</f>
        <v>View Company Online</v>
      </c>
    </row>
    <row r="6116" spans="1:18" hidden="1" x14ac:dyDescent="0.3">
      <c r="A6116" s="9" t="s">
        <v>18741</v>
      </c>
      <c r="B6116" s="9" t="s">
        <v>18742</v>
      </c>
      <c r="C6116" s="11" t="s">
        <v>28</v>
      </c>
      <c r="D6116" s="9" t="s">
        <v>18743</v>
      </c>
      <c r="E6116" s="11" t="s">
        <v>28</v>
      </c>
      <c r="F6116" s="10" t="s">
        <v>28</v>
      </c>
      <c r="G6116" s="10" t="s">
        <v>28</v>
      </c>
      <c r="H6116" s="10" t="s">
        <v>28</v>
      </c>
      <c r="I6116" s="11" t="s">
        <v>28</v>
      </c>
      <c r="J6116" s="11" t="s">
        <v>28</v>
      </c>
      <c r="K6116" s="11" t="s">
        <v>28</v>
      </c>
      <c r="L6116" s="11" t="s">
        <v>28</v>
      </c>
      <c r="M6116" s="11" t="s">
        <v>28</v>
      </c>
      <c r="N6116" s="8">
        <v>43952</v>
      </c>
      <c r="O6116" s="9" t="s">
        <v>30</v>
      </c>
      <c r="P6116" s="12" t="s">
        <v>3490</v>
      </c>
      <c r="Q6116" s="9" t="s">
        <v>607</v>
      </c>
      <c r="R6116" s="14" t="str">
        <f>HYPERLINK("https://my.pitchbook.com?c=211884-49T","View Company Online")</f>
        <v>View Company Online</v>
      </c>
    </row>
    <row r="6117" spans="1:18" hidden="1" x14ac:dyDescent="0.3">
      <c r="A6117" s="15" t="s">
        <v>18744</v>
      </c>
      <c r="B6117" s="15" t="s">
        <v>18745</v>
      </c>
      <c r="C6117" s="18" t="s">
        <v>28</v>
      </c>
      <c r="D6117" s="15" t="s">
        <v>18746</v>
      </c>
      <c r="E6117" s="18" t="s">
        <v>28</v>
      </c>
      <c r="F6117" s="19">
        <v>4.6100000000000003</v>
      </c>
      <c r="G6117" s="19">
        <v>4.62</v>
      </c>
      <c r="H6117" s="19">
        <v>4.62</v>
      </c>
      <c r="I6117" s="18" t="s">
        <v>28</v>
      </c>
      <c r="J6117" s="18" t="s">
        <v>28</v>
      </c>
      <c r="K6117" s="18" t="s">
        <v>28</v>
      </c>
      <c r="L6117" s="18" t="s">
        <v>28</v>
      </c>
      <c r="M6117" s="18" t="s">
        <v>28</v>
      </c>
      <c r="N6117" s="17">
        <v>43952</v>
      </c>
      <c r="O6117" s="15" t="s">
        <v>30</v>
      </c>
      <c r="P6117" s="16" t="s">
        <v>11193</v>
      </c>
      <c r="Q6117" s="15" t="s">
        <v>75</v>
      </c>
      <c r="R6117" s="13" t="str">
        <f>HYPERLINK("https://my.pitchbook.com?c=140553-28T","View Company Online")</f>
        <v>View Company Online</v>
      </c>
    </row>
    <row r="6118" spans="1:18" hidden="1" x14ac:dyDescent="0.3">
      <c r="A6118" s="9" t="s">
        <v>18747</v>
      </c>
      <c r="B6118" s="9" t="s">
        <v>18748</v>
      </c>
      <c r="C6118" s="11" t="s">
        <v>28</v>
      </c>
      <c r="D6118" s="9" t="s">
        <v>18749</v>
      </c>
      <c r="E6118" s="11" t="s">
        <v>28</v>
      </c>
      <c r="F6118" s="10" t="s">
        <v>28</v>
      </c>
      <c r="G6118" s="10" t="s">
        <v>28</v>
      </c>
      <c r="H6118" s="10" t="s">
        <v>28</v>
      </c>
      <c r="I6118" s="11" t="s">
        <v>28</v>
      </c>
      <c r="J6118" s="11" t="s">
        <v>28</v>
      </c>
      <c r="K6118" s="11" t="s">
        <v>28</v>
      </c>
      <c r="L6118" s="11" t="s">
        <v>28</v>
      </c>
      <c r="M6118" s="11" t="s">
        <v>28</v>
      </c>
      <c r="N6118" s="8">
        <v>43952</v>
      </c>
      <c r="O6118" s="9" t="s">
        <v>73</v>
      </c>
      <c r="P6118" s="12" t="s">
        <v>16738</v>
      </c>
      <c r="Q6118" s="9" t="s">
        <v>114</v>
      </c>
      <c r="R6118" s="14" t="str">
        <f>HYPERLINK("https://my.pitchbook.com?c=136843-12T","View Company Online")</f>
        <v>View Company Online</v>
      </c>
    </row>
    <row r="6119" spans="1:18" hidden="1" x14ac:dyDescent="0.3">
      <c r="A6119" s="15" t="s">
        <v>18750</v>
      </c>
      <c r="B6119" s="15" t="s">
        <v>18751</v>
      </c>
      <c r="C6119" s="18" t="s">
        <v>28</v>
      </c>
      <c r="D6119" s="15" t="s">
        <v>18752</v>
      </c>
      <c r="E6119" s="18" t="s">
        <v>28</v>
      </c>
      <c r="F6119" s="19" t="s">
        <v>28</v>
      </c>
      <c r="G6119" s="19">
        <v>0.22</v>
      </c>
      <c r="H6119" s="19" t="s">
        <v>28</v>
      </c>
      <c r="I6119" s="18" t="s">
        <v>28</v>
      </c>
      <c r="J6119" s="18" t="s">
        <v>28</v>
      </c>
      <c r="K6119" s="18" t="s">
        <v>28</v>
      </c>
      <c r="L6119" s="18" t="s">
        <v>28</v>
      </c>
      <c r="M6119" s="18" t="s">
        <v>28</v>
      </c>
      <c r="N6119" s="17">
        <v>43952</v>
      </c>
      <c r="O6119" s="15" t="s">
        <v>79</v>
      </c>
      <c r="P6119" s="16" t="s">
        <v>18753</v>
      </c>
      <c r="Q6119" s="15" t="s">
        <v>4773</v>
      </c>
      <c r="R6119" s="13" t="str">
        <f>HYPERLINK("https://my.pitchbook.com?c=167977-36T","View Company Online")</f>
        <v>View Company Online</v>
      </c>
    </row>
    <row r="6120" spans="1:18" hidden="1" x14ac:dyDescent="0.3">
      <c r="A6120" s="9" t="s">
        <v>18754</v>
      </c>
      <c r="B6120" s="9" t="s">
        <v>18755</v>
      </c>
      <c r="C6120" s="11" t="s">
        <v>28</v>
      </c>
      <c r="D6120" s="9" t="s">
        <v>18756</v>
      </c>
      <c r="E6120" s="11" t="s">
        <v>28</v>
      </c>
      <c r="F6120" s="10" t="s">
        <v>28</v>
      </c>
      <c r="G6120" s="10" t="s">
        <v>28</v>
      </c>
      <c r="H6120" s="10" t="s">
        <v>28</v>
      </c>
      <c r="I6120" s="11" t="s">
        <v>28</v>
      </c>
      <c r="J6120" s="11" t="s">
        <v>28</v>
      </c>
      <c r="K6120" s="11" t="s">
        <v>28</v>
      </c>
      <c r="L6120" s="11" t="s">
        <v>28</v>
      </c>
      <c r="M6120" s="11" t="s">
        <v>28</v>
      </c>
      <c r="N6120" s="8">
        <v>43952</v>
      </c>
      <c r="O6120" s="9" t="s">
        <v>99</v>
      </c>
      <c r="P6120" s="12" t="s">
        <v>16738</v>
      </c>
      <c r="Q6120" s="9" t="s">
        <v>75</v>
      </c>
      <c r="R6120" s="14" t="str">
        <f>HYPERLINK("https://my.pitchbook.com?c=136844-20T","View Company Online")</f>
        <v>View Company Online</v>
      </c>
    </row>
    <row r="6121" spans="1:18" hidden="1" x14ac:dyDescent="0.3">
      <c r="A6121" s="15" t="s">
        <v>18757</v>
      </c>
      <c r="B6121" s="15" t="s">
        <v>18758</v>
      </c>
      <c r="C6121" s="18" t="s">
        <v>28</v>
      </c>
      <c r="D6121" s="15" t="s">
        <v>18759</v>
      </c>
      <c r="E6121" s="18" t="s">
        <v>28</v>
      </c>
      <c r="F6121" s="19" t="s">
        <v>28</v>
      </c>
      <c r="G6121" s="19">
        <v>0.02</v>
      </c>
      <c r="H6121" s="19" t="s">
        <v>28</v>
      </c>
      <c r="I6121" s="18" t="s">
        <v>28</v>
      </c>
      <c r="J6121" s="18" t="s">
        <v>28</v>
      </c>
      <c r="K6121" s="18" t="s">
        <v>28</v>
      </c>
      <c r="L6121" s="18" t="s">
        <v>28</v>
      </c>
      <c r="M6121" s="18" t="s">
        <v>28</v>
      </c>
      <c r="N6121" s="17">
        <v>43951</v>
      </c>
      <c r="O6121" s="15" t="s">
        <v>52</v>
      </c>
      <c r="P6121" s="16" t="s">
        <v>18705</v>
      </c>
      <c r="Q6121" s="15" t="s">
        <v>37</v>
      </c>
      <c r="R6121" s="13" t="str">
        <f>HYPERLINK("https://my.pitchbook.com?c=295461-46T","View Company Online")</f>
        <v>View Company Online</v>
      </c>
    </row>
    <row r="6122" spans="1:18" hidden="1" x14ac:dyDescent="0.3">
      <c r="A6122" s="9" t="s">
        <v>18760</v>
      </c>
      <c r="B6122" s="9" t="s">
        <v>18761</v>
      </c>
      <c r="C6122" s="11" t="s">
        <v>28</v>
      </c>
      <c r="D6122" s="9" t="s">
        <v>18762</v>
      </c>
      <c r="E6122" s="11" t="s">
        <v>28</v>
      </c>
      <c r="F6122" s="10" t="s">
        <v>28</v>
      </c>
      <c r="G6122" s="10">
        <v>0.02</v>
      </c>
      <c r="H6122" s="10" t="s">
        <v>28</v>
      </c>
      <c r="I6122" s="11" t="s">
        <v>28</v>
      </c>
      <c r="J6122" s="11" t="s">
        <v>28</v>
      </c>
      <c r="K6122" s="11" t="s">
        <v>28</v>
      </c>
      <c r="L6122" s="11" t="s">
        <v>28</v>
      </c>
      <c r="M6122" s="11" t="s">
        <v>28</v>
      </c>
      <c r="N6122" s="8">
        <v>43951</v>
      </c>
      <c r="O6122" s="9" t="s">
        <v>52</v>
      </c>
      <c r="P6122" s="12" t="s">
        <v>18705</v>
      </c>
      <c r="Q6122" s="9" t="s">
        <v>75</v>
      </c>
      <c r="R6122" s="14" t="str">
        <f>HYPERLINK("https://my.pitchbook.com?c=295470-46T","View Company Online")</f>
        <v>View Company Online</v>
      </c>
    </row>
    <row r="6123" spans="1:18" hidden="1" x14ac:dyDescent="0.3">
      <c r="A6123" s="15" t="s">
        <v>18763</v>
      </c>
      <c r="B6123" s="15" t="s">
        <v>2692</v>
      </c>
      <c r="C6123" s="18" t="s">
        <v>28</v>
      </c>
      <c r="D6123" s="15" t="s">
        <v>2693</v>
      </c>
      <c r="E6123" s="18" t="s">
        <v>28</v>
      </c>
      <c r="F6123" s="19" t="s">
        <v>28</v>
      </c>
      <c r="G6123" s="19" t="s">
        <v>28</v>
      </c>
      <c r="H6123" s="19" t="s">
        <v>28</v>
      </c>
      <c r="I6123" s="18" t="s">
        <v>28</v>
      </c>
      <c r="J6123" s="18" t="s">
        <v>28</v>
      </c>
      <c r="K6123" s="18" t="s">
        <v>28</v>
      </c>
      <c r="L6123" s="18" t="s">
        <v>28</v>
      </c>
      <c r="M6123" s="18" t="s">
        <v>28</v>
      </c>
      <c r="N6123" s="17">
        <v>43951</v>
      </c>
      <c r="O6123" s="15" t="s">
        <v>73</v>
      </c>
      <c r="P6123" s="16" t="s">
        <v>18764</v>
      </c>
      <c r="Q6123" s="15" t="s">
        <v>75</v>
      </c>
      <c r="R6123" s="13" t="str">
        <f>HYPERLINK("https://my.pitchbook.com?c=138825-01T","View Company Online")</f>
        <v>View Company Online</v>
      </c>
    </row>
    <row r="6124" spans="1:18" hidden="1" x14ac:dyDescent="0.3">
      <c r="A6124" s="9" t="s">
        <v>18765</v>
      </c>
      <c r="B6124" s="9" t="s">
        <v>1553</v>
      </c>
      <c r="C6124" s="11" t="s">
        <v>28</v>
      </c>
      <c r="D6124" s="9" t="s">
        <v>1554</v>
      </c>
      <c r="E6124" s="11" t="s">
        <v>28</v>
      </c>
      <c r="F6124" s="10" t="s">
        <v>28</v>
      </c>
      <c r="G6124" s="10">
        <v>0.02</v>
      </c>
      <c r="H6124" s="10" t="s">
        <v>28</v>
      </c>
      <c r="I6124" s="11" t="s">
        <v>28</v>
      </c>
      <c r="J6124" s="11" t="s">
        <v>28</v>
      </c>
      <c r="K6124" s="11" t="s">
        <v>28</v>
      </c>
      <c r="L6124" s="11" t="s">
        <v>28</v>
      </c>
      <c r="M6124" s="11" t="s">
        <v>28</v>
      </c>
      <c r="N6124" s="8">
        <v>43951</v>
      </c>
      <c r="O6124" s="9" t="s">
        <v>47</v>
      </c>
      <c r="P6124" s="12" t="s">
        <v>28</v>
      </c>
      <c r="Q6124" s="9" t="s">
        <v>43</v>
      </c>
      <c r="R6124" s="14" t="str">
        <f>HYPERLINK("https://my.pitchbook.com?c=270512-56T","View Company Online")</f>
        <v>View Company Online</v>
      </c>
    </row>
    <row r="6125" spans="1:18" hidden="1" x14ac:dyDescent="0.3">
      <c r="A6125" s="15" t="s">
        <v>18766</v>
      </c>
      <c r="B6125" s="15" t="s">
        <v>18767</v>
      </c>
      <c r="C6125" s="18" t="s">
        <v>28</v>
      </c>
      <c r="D6125" s="15" t="s">
        <v>18768</v>
      </c>
      <c r="E6125" s="18" t="s">
        <v>28</v>
      </c>
      <c r="F6125" s="19" t="s">
        <v>28</v>
      </c>
      <c r="G6125" s="19">
        <v>0.19</v>
      </c>
      <c r="H6125" s="19" t="s">
        <v>28</v>
      </c>
      <c r="I6125" s="18" t="s">
        <v>28</v>
      </c>
      <c r="J6125" s="18" t="s">
        <v>28</v>
      </c>
      <c r="K6125" s="18" t="s">
        <v>28</v>
      </c>
      <c r="L6125" s="18" t="s">
        <v>28</v>
      </c>
      <c r="M6125" s="18" t="s">
        <v>28</v>
      </c>
      <c r="N6125" s="17">
        <v>43951</v>
      </c>
      <c r="O6125" s="15" t="s">
        <v>52</v>
      </c>
      <c r="P6125" s="16" t="s">
        <v>18705</v>
      </c>
      <c r="Q6125" s="15" t="s">
        <v>43</v>
      </c>
      <c r="R6125" s="13" t="str">
        <f>HYPERLINK("https://my.pitchbook.com?c=295480-45T","View Company Online")</f>
        <v>View Company Online</v>
      </c>
    </row>
    <row r="6126" spans="1:18" hidden="1" x14ac:dyDescent="0.3">
      <c r="A6126" s="9" t="s">
        <v>18769</v>
      </c>
      <c r="B6126" s="9" t="s">
        <v>2854</v>
      </c>
      <c r="C6126" s="11" t="s">
        <v>28</v>
      </c>
      <c r="D6126" s="9" t="s">
        <v>2855</v>
      </c>
      <c r="E6126" s="11" t="s">
        <v>28</v>
      </c>
      <c r="F6126" s="10" t="s">
        <v>28</v>
      </c>
      <c r="G6126" s="10">
        <v>5</v>
      </c>
      <c r="H6126" s="10" t="s">
        <v>28</v>
      </c>
      <c r="I6126" s="11" t="s">
        <v>28</v>
      </c>
      <c r="J6126" s="11" t="s">
        <v>28</v>
      </c>
      <c r="K6126" s="11" t="s">
        <v>28</v>
      </c>
      <c r="L6126" s="11" t="s">
        <v>28</v>
      </c>
      <c r="M6126" s="11" t="s">
        <v>28</v>
      </c>
      <c r="N6126" s="8">
        <v>43951</v>
      </c>
      <c r="O6126" s="9" t="s">
        <v>79</v>
      </c>
      <c r="P6126" s="12" t="s">
        <v>18770</v>
      </c>
      <c r="Q6126" s="9" t="s">
        <v>85</v>
      </c>
      <c r="R6126" s="14" t="str">
        <f>HYPERLINK("https://my.pitchbook.com?c=139585-60T","View Company Online")</f>
        <v>View Company Online</v>
      </c>
    </row>
    <row r="6127" spans="1:18" hidden="1" x14ac:dyDescent="0.3">
      <c r="A6127" s="15" t="s">
        <v>18771</v>
      </c>
      <c r="B6127" s="15" t="s">
        <v>16010</v>
      </c>
      <c r="C6127" s="18" t="s">
        <v>28</v>
      </c>
      <c r="D6127" s="15" t="s">
        <v>16011</v>
      </c>
      <c r="E6127" s="18" t="s">
        <v>28</v>
      </c>
      <c r="F6127" s="19" t="s">
        <v>28</v>
      </c>
      <c r="G6127" s="19">
        <v>0.19</v>
      </c>
      <c r="H6127" s="19" t="s">
        <v>28</v>
      </c>
      <c r="I6127" s="18" t="s">
        <v>28</v>
      </c>
      <c r="J6127" s="18" t="s">
        <v>28</v>
      </c>
      <c r="K6127" s="18" t="s">
        <v>28</v>
      </c>
      <c r="L6127" s="18" t="s">
        <v>28</v>
      </c>
      <c r="M6127" s="18" t="s">
        <v>28</v>
      </c>
      <c r="N6127" s="17">
        <v>43951</v>
      </c>
      <c r="O6127" s="15" t="s">
        <v>52</v>
      </c>
      <c r="P6127" s="16" t="s">
        <v>18705</v>
      </c>
      <c r="Q6127" s="15" t="s">
        <v>75</v>
      </c>
      <c r="R6127" s="13" t="str">
        <f>HYPERLINK("https://my.pitchbook.com?c=295534-99T","View Company Online")</f>
        <v>View Company Online</v>
      </c>
    </row>
    <row r="6128" spans="1:18" hidden="1" x14ac:dyDescent="0.3">
      <c r="A6128" s="9" t="s">
        <v>18772</v>
      </c>
      <c r="B6128" s="9" t="s">
        <v>10482</v>
      </c>
      <c r="C6128" s="11" t="s">
        <v>28</v>
      </c>
      <c r="D6128" s="9" t="s">
        <v>10483</v>
      </c>
      <c r="E6128" s="11" t="s">
        <v>28</v>
      </c>
      <c r="F6128" s="10" t="s">
        <v>28</v>
      </c>
      <c r="G6128" s="10">
        <v>0.02</v>
      </c>
      <c r="H6128" s="10" t="s">
        <v>28</v>
      </c>
      <c r="I6128" s="11" t="s">
        <v>28</v>
      </c>
      <c r="J6128" s="11" t="s">
        <v>28</v>
      </c>
      <c r="K6128" s="11" t="s">
        <v>28</v>
      </c>
      <c r="L6128" s="11" t="s">
        <v>28</v>
      </c>
      <c r="M6128" s="11" t="s">
        <v>28</v>
      </c>
      <c r="N6128" s="8">
        <v>43951</v>
      </c>
      <c r="O6128" s="9" t="s">
        <v>52</v>
      </c>
      <c r="P6128" s="12" t="s">
        <v>18705</v>
      </c>
      <c r="Q6128" s="9" t="s">
        <v>37</v>
      </c>
      <c r="R6128" s="14" t="str">
        <f>HYPERLINK("https://my.pitchbook.com?c=295647-22T","View Company Online")</f>
        <v>View Company Online</v>
      </c>
    </row>
    <row r="6129" spans="1:18" hidden="1" x14ac:dyDescent="0.3">
      <c r="A6129" s="15" t="s">
        <v>18773</v>
      </c>
      <c r="B6129" s="15" t="s">
        <v>18774</v>
      </c>
      <c r="C6129" s="18" t="s">
        <v>28</v>
      </c>
      <c r="D6129" s="15" t="s">
        <v>18775</v>
      </c>
      <c r="E6129" s="18" t="s">
        <v>28</v>
      </c>
      <c r="F6129" s="19">
        <v>3.9</v>
      </c>
      <c r="G6129" s="19">
        <v>3.9</v>
      </c>
      <c r="H6129" s="19">
        <v>3.9</v>
      </c>
      <c r="I6129" s="18" t="s">
        <v>28</v>
      </c>
      <c r="J6129" s="18" t="s">
        <v>28</v>
      </c>
      <c r="K6129" s="18" t="s">
        <v>28</v>
      </c>
      <c r="L6129" s="18" t="s">
        <v>28</v>
      </c>
      <c r="M6129" s="18" t="s">
        <v>28</v>
      </c>
      <c r="N6129" s="17">
        <v>43951</v>
      </c>
      <c r="O6129" s="15" t="s">
        <v>30</v>
      </c>
      <c r="P6129" s="16" t="s">
        <v>11193</v>
      </c>
      <c r="Q6129" s="15" t="s">
        <v>75</v>
      </c>
      <c r="R6129" s="13" t="str">
        <f>HYPERLINK("https://my.pitchbook.com?c=183299-59T","View Company Online")</f>
        <v>View Company Online</v>
      </c>
    </row>
    <row r="6130" spans="1:18" hidden="1" x14ac:dyDescent="0.3">
      <c r="A6130" s="9" t="s">
        <v>18776</v>
      </c>
      <c r="B6130" s="9" t="s">
        <v>18777</v>
      </c>
      <c r="C6130" s="11" t="s">
        <v>28</v>
      </c>
      <c r="D6130" s="9" t="s">
        <v>18778</v>
      </c>
      <c r="E6130" s="11" t="s">
        <v>28</v>
      </c>
      <c r="F6130" s="10" t="s">
        <v>28</v>
      </c>
      <c r="G6130" s="10" t="s">
        <v>28</v>
      </c>
      <c r="H6130" s="10" t="s">
        <v>28</v>
      </c>
      <c r="I6130" s="11" t="s">
        <v>28</v>
      </c>
      <c r="J6130" s="11" t="s">
        <v>28</v>
      </c>
      <c r="K6130" s="11" t="s">
        <v>28</v>
      </c>
      <c r="L6130" s="11" t="s">
        <v>28</v>
      </c>
      <c r="M6130" s="11" t="s">
        <v>28</v>
      </c>
      <c r="N6130" s="8">
        <v>43950</v>
      </c>
      <c r="O6130" s="9" t="s">
        <v>30</v>
      </c>
      <c r="P6130" s="12" t="s">
        <v>18779</v>
      </c>
      <c r="Q6130" s="9" t="s">
        <v>245</v>
      </c>
      <c r="R6130" s="14" t="str">
        <f>HYPERLINK("https://my.pitchbook.com?c=210816-91T","View Company Online")</f>
        <v>View Company Online</v>
      </c>
    </row>
    <row r="6131" spans="1:18" hidden="1" x14ac:dyDescent="0.3">
      <c r="A6131" s="15" t="s">
        <v>18780</v>
      </c>
      <c r="B6131" s="15" t="s">
        <v>18781</v>
      </c>
      <c r="C6131" s="18" t="s">
        <v>28</v>
      </c>
      <c r="D6131" s="15" t="s">
        <v>18782</v>
      </c>
      <c r="E6131" s="18" t="s">
        <v>28</v>
      </c>
      <c r="F6131" s="19" t="s">
        <v>28</v>
      </c>
      <c r="G6131" s="19">
        <v>52</v>
      </c>
      <c r="H6131" s="19">
        <v>52</v>
      </c>
      <c r="I6131" s="18" t="s">
        <v>28</v>
      </c>
      <c r="J6131" s="18" t="s">
        <v>28</v>
      </c>
      <c r="K6131" s="18" t="s">
        <v>28</v>
      </c>
      <c r="L6131" s="18" t="s">
        <v>28</v>
      </c>
      <c r="M6131" s="18" t="s">
        <v>28</v>
      </c>
      <c r="N6131" s="17">
        <v>43950</v>
      </c>
      <c r="O6131" s="15" t="s">
        <v>30</v>
      </c>
      <c r="P6131" s="16" t="s">
        <v>9050</v>
      </c>
      <c r="Q6131" s="15" t="s">
        <v>1341</v>
      </c>
      <c r="R6131" s="13" t="str">
        <f>HYPERLINK("https://my.pitchbook.com?c=211699-63T","View Company Online")</f>
        <v>View Company Online</v>
      </c>
    </row>
    <row r="6132" spans="1:18" hidden="1" x14ac:dyDescent="0.3">
      <c r="A6132" s="9" t="s">
        <v>18783</v>
      </c>
      <c r="B6132" s="9" t="s">
        <v>16166</v>
      </c>
      <c r="C6132" s="11" t="s">
        <v>28</v>
      </c>
      <c r="D6132" s="9" t="s">
        <v>18784</v>
      </c>
      <c r="E6132" s="11" t="s">
        <v>28</v>
      </c>
      <c r="F6132" s="10">
        <v>18.3</v>
      </c>
      <c r="G6132" s="10">
        <v>18.3</v>
      </c>
      <c r="H6132" s="10">
        <v>18.3</v>
      </c>
      <c r="I6132" s="11" t="s">
        <v>28</v>
      </c>
      <c r="J6132" s="11" t="s">
        <v>28</v>
      </c>
      <c r="K6132" s="11" t="s">
        <v>28</v>
      </c>
      <c r="L6132" s="11" t="s">
        <v>28</v>
      </c>
      <c r="M6132" s="11" t="s">
        <v>28</v>
      </c>
      <c r="N6132" s="8">
        <v>43950</v>
      </c>
      <c r="O6132" s="9" t="s">
        <v>41</v>
      </c>
      <c r="P6132" s="12" t="s">
        <v>18785</v>
      </c>
      <c r="Q6132" s="9" t="s">
        <v>75</v>
      </c>
      <c r="R6132" s="14" t="str">
        <f>HYPERLINK("https://my.pitchbook.com?c=136042-84T","View Company Online")</f>
        <v>View Company Online</v>
      </c>
    </row>
    <row r="6133" spans="1:18" hidden="1" x14ac:dyDescent="0.3">
      <c r="A6133" s="15" t="s">
        <v>18786</v>
      </c>
      <c r="B6133" s="15" t="s">
        <v>11510</v>
      </c>
      <c r="C6133" s="18" t="s">
        <v>28</v>
      </c>
      <c r="D6133" s="15" t="s">
        <v>11511</v>
      </c>
      <c r="E6133" s="18" t="s">
        <v>28</v>
      </c>
      <c r="F6133" s="19" t="s">
        <v>28</v>
      </c>
      <c r="G6133" s="19">
        <v>7</v>
      </c>
      <c r="H6133" s="19" t="s">
        <v>28</v>
      </c>
      <c r="I6133" s="18" t="s">
        <v>28</v>
      </c>
      <c r="J6133" s="18" t="s">
        <v>28</v>
      </c>
      <c r="K6133" s="18">
        <v>4.13</v>
      </c>
      <c r="L6133" s="18" t="s">
        <v>28</v>
      </c>
      <c r="M6133" s="18" t="s">
        <v>28</v>
      </c>
      <c r="N6133" s="17">
        <v>43948</v>
      </c>
      <c r="O6133" s="15" t="s">
        <v>79</v>
      </c>
      <c r="P6133" s="16" t="s">
        <v>18787</v>
      </c>
      <c r="Q6133" s="15" t="s">
        <v>75</v>
      </c>
      <c r="R6133" s="13" t="str">
        <f>HYPERLINK("https://my.pitchbook.com?c=135723-61T","View Company Online")</f>
        <v>View Company Online</v>
      </c>
    </row>
    <row r="6134" spans="1:18" hidden="1" x14ac:dyDescent="0.3">
      <c r="A6134" s="9" t="s">
        <v>18788</v>
      </c>
      <c r="B6134" s="9" t="s">
        <v>18789</v>
      </c>
      <c r="C6134" s="11" t="s">
        <v>28</v>
      </c>
      <c r="D6134" s="9" t="s">
        <v>18790</v>
      </c>
      <c r="E6134" s="11" t="s">
        <v>28</v>
      </c>
      <c r="F6134" s="10" t="s">
        <v>28</v>
      </c>
      <c r="G6134" s="10" t="s">
        <v>28</v>
      </c>
      <c r="H6134" s="10" t="s">
        <v>28</v>
      </c>
      <c r="I6134" s="11" t="s">
        <v>28</v>
      </c>
      <c r="J6134" s="11" t="s">
        <v>28</v>
      </c>
      <c r="K6134" s="11" t="s">
        <v>28</v>
      </c>
      <c r="L6134" s="11" t="s">
        <v>28</v>
      </c>
      <c r="M6134" s="11" t="s">
        <v>28</v>
      </c>
      <c r="N6134" s="8">
        <v>43946</v>
      </c>
      <c r="O6134" s="9" t="s">
        <v>52</v>
      </c>
      <c r="P6134" s="12" t="s">
        <v>408</v>
      </c>
      <c r="Q6134" s="9" t="s">
        <v>95</v>
      </c>
      <c r="R6134" s="14" t="str">
        <f>HYPERLINK("https://my.pitchbook.com?c=252585-28T","View Company Online")</f>
        <v>View Company Online</v>
      </c>
    </row>
    <row r="6135" spans="1:18" hidden="1" x14ac:dyDescent="0.3">
      <c r="A6135" s="15" t="s">
        <v>18791</v>
      </c>
      <c r="B6135" s="15" t="s">
        <v>18792</v>
      </c>
      <c r="C6135" s="18" t="s">
        <v>28</v>
      </c>
      <c r="D6135" s="15" t="s">
        <v>18793</v>
      </c>
      <c r="E6135" s="18" t="s">
        <v>28</v>
      </c>
      <c r="F6135" s="19" t="s">
        <v>28</v>
      </c>
      <c r="G6135" s="19" t="s">
        <v>28</v>
      </c>
      <c r="H6135" s="19" t="s">
        <v>28</v>
      </c>
      <c r="I6135" s="18" t="s">
        <v>28</v>
      </c>
      <c r="J6135" s="18" t="s">
        <v>28</v>
      </c>
      <c r="K6135" s="18" t="s">
        <v>28</v>
      </c>
      <c r="L6135" s="18" t="s">
        <v>28</v>
      </c>
      <c r="M6135" s="18" t="s">
        <v>28</v>
      </c>
      <c r="N6135" s="17">
        <v>43946</v>
      </c>
      <c r="O6135" s="15" t="s">
        <v>52</v>
      </c>
      <c r="P6135" s="16" t="s">
        <v>408</v>
      </c>
      <c r="Q6135" s="15" t="s">
        <v>583</v>
      </c>
      <c r="R6135" s="13" t="str">
        <f>HYPERLINK("https://my.pitchbook.com?c=252571-51T","View Company Online")</f>
        <v>View Company Online</v>
      </c>
    </row>
    <row r="6136" spans="1:18" hidden="1" x14ac:dyDescent="0.3">
      <c r="A6136" s="9" t="s">
        <v>18794</v>
      </c>
      <c r="B6136" s="9" t="s">
        <v>18795</v>
      </c>
      <c r="C6136" s="11" t="s">
        <v>28</v>
      </c>
      <c r="D6136" s="9" t="s">
        <v>18796</v>
      </c>
      <c r="E6136" s="11" t="s">
        <v>28</v>
      </c>
      <c r="F6136" s="10" t="s">
        <v>28</v>
      </c>
      <c r="G6136" s="10" t="s">
        <v>28</v>
      </c>
      <c r="H6136" s="10" t="s">
        <v>28</v>
      </c>
      <c r="I6136" s="11" t="s">
        <v>28</v>
      </c>
      <c r="J6136" s="11" t="s">
        <v>28</v>
      </c>
      <c r="K6136" s="11" t="s">
        <v>28</v>
      </c>
      <c r="L6136" s="11" t="s">
        <v>28</v>
      </c>
      <c r="M6136" s="11" t="s">
        <v>28</v>
      </c>
      <c r="N6136" s="8">
        <v>43946</v>
      </c>
      <c r="O6136" s="9" t="s">
        <v>52</v>
      </c>
      <c r="P6136" s="12" t="s">
        <v>408</v>
      </c>
      <c r="Q6136" s="9" t="s">
        <v>740</v>
      </c>
      <c r="R6136" s="14" t="str">
        <f>HYPERLINK("https://my.pitchbook.com?c=252596-26T","View Company Online")</f>
        <v>View Company Online</v>
      </c>
    </row>
    <row r="6137" spans="1:18" hidden="1" x14ac:dyDescent="0.3">
      <c r="A6137" s="15" t="s">
        <v>18797</v>
      </c>
      <c r="B6137" s="15" t="s">
        <v>18798</v>
      </c>
      <c r="C6137" s="18" t="s">
        <v>28</v>
      </c>
      <c r="D6137" s="15" t="s">
        <v>18799</v>
      </c>
      <c r="E6137" s="18" t="s">
        <v>28</v>
      </c>
      <c r="F6137" s="19">
        <v>424</v>
      </c>
      <c r="G6137" s="19">
        <v>424</v>
      </c>
      <c r="H6137" s="19">
        <v>424</v>
      </c>
      <c r="I6137" s="18" t="s">
        <v>28</v>
      </c>
      <c r="J6137" s="18" t="s">
        <v>28</v>
      </c>
      <c r="K6137" s="18">
        <v>225.8</v>
      </c>
      <c r="L6137" s="18">
        <v>1.88</v>
      </c>
      <c r="M6137" s="18" t="s">
        <v>28</v>
      </c>
      <c r="N6137" s="17">
        <v>43945</v>
      </c>
      <c r="O6137" s="15" t="s">
        <v>30</v>
      </c>
      <c r="P6137" s="16" t="s">
        <v>18296</v>
      </c>
      <c r="Q6137" s="15" t="s">
        <v>43</v>
      </c>
      <c r="R6137" s="13" t="str">
        <f>HYPERLINK("https://my.pitchbook.com?c=211603-42T","View Company Online")</f>
        <v>View Company Online</v>
      </c>
    </row>
    <row r="6138" spans="1:18" hidden="1" x14ac:dyDescent="0.3">
      <c r="A6138" s="9" t="s">
        <v>18800</v>
      </c>
      <c r="B6138" s="9" t="s">
        <v>10760</v>
      </c>
      <c r="C6138" s="11" t="s">
        <v>28</v>
      </c>
      <c r="D6138" s="9" t="s">
        <v>10761</v>
      </c>
      <c r="E6138" s="11" t="s">
        <v>28</v>
      </c>
      <c r="F6138" s="10" t="s">
        <v>28</v>
      </c>
      <c r="G6138" s="10">
        <v>0.05</v>
      </c>
      <c r="H6138" s="10">
        <v>3.55</v>
      </c>
      <c r="I6138" s="11" t="s">
        <v>28</v>
      </c>
      <c r="J6138" s="11" t="s">
        <v>28</v>
      </c>
      <c r="K6138" s="11" t="s">
        <v>28</v>
      </c>
      <c r="L6138" s="11" t="s">
        <v>28</v>
      </c>
      <c r="M6138" s="11" t="s">
        <v>28</v>
      </c>
      <c r="N6138" s="8">
        <v>43944</v>
      </c>
      <c r="O6138" s="9" t="s">
        <v>99</v>
      </c>
      <c r="P6138" s="12" t="s">
        <v>18801</v>
      </c>
      <c r="Q6138" s="9" t="s">
        <v>75</v>
      </c>
      <c r="R6138" s="14" t="str">
        <f>HYPERLINK("https://my.pitchbook.com?c=191088-82T","View Company Online")</f>
        <v>View Company Online</v>
      </c>
    </row>
    <row r="6139" spans="1:18" hidden="1" x14ac:dyDescent="0.3">
      <c r="A6139" s="15" t="s">
        <v>18802</v>
      </c>
      <c r="B6139" s="15" t="s">
        <v>17160</v>
      </c>
      <c r="C6139" s="18" t="s">
        <v>28</v>
      </c>
      <c r="D6139" s="15" t="s">
        <v>17161</v>
      </c>
      <c r="E6139" s="18" t="s">
        <v>28</v>
      </c>
      <c r="F6139" s="19" t="s">
        <v>28</v>
      </c>
      <c r="G6139" s="19" t="s">
        <v>28</v>
      </c>
      <c r="H6139" s="19" t="s">
        <v>28</v>
      </c>
      <c r="I6139" s="18" t="s">
        <v>28</v>
      </c>
      <c r="J6139" s="18" t="s">
        <v>28</v>
      </c>
      <c r="K6139" s="18">
        <v>5</v>
      </c>
      <c r="L6139" s="18" t="s">
        <v>28</v>
      </c>
      <c r="M6139" s="18" t="s">
        <v>28</v>
      </c>
      <c r="N6139" s="17">
        <v>43944</v>
      </c>
      <c r="O6139" s="15" t="s">
        <v>52</v>
      </c>
      <c r="P6139" s="16" t="s">
        <v>28</v>
      </c>
      <c r="Q6139" s="15" t="s">
        <v>75</v>
      </c>
      <c r="R6139" s="13" t="str">
        <f>HYPERLINK("https://my.pitchbook.com?c=136965-61T","View Company Online")</f>
        <v>View Company Online</v>
      </c>
    </row>
    <row r="6140" spans="1:18" hidden="1" x14ac:dyDescent="0.3">
      <c r="A6140" s="9" t="s">
        <v>18803</v>
      </c>
      <c r="B6140" s="9" t="s">
        <v>878</v>
      </c>
      <c r="C6140" s="11" t="s">
        <v>28</v>
      </c>
      <c r="D6140" s="9" t="s">
        <v>879</v>
      </c>
      <c r="E6140" s="11" t="s">
        <v>28</v>
      </c>
      <c r="F6140" s="10" t="s">
        <v>28</v>
      </c>
      <c r="G6140" s="10" t="s">
        <v>28</v>
      </c>
      <c r="H6140" s="10" t="s">
        <v>28</v>
      </c>
      <c r="I6140" s="11" t="s">
        <v>28</v>
      </c>
      <c r="J6140" s="11" t="s">
        <v>28</v>
      </c>
      <c r="K6140" s="11" t="s">
        <v>28</v>
      </c>
      <c r="L6140" s="11" t="s">
        <v>28</v>
      </c>
      <c r="M6140" s="11" t="s">
        <v>28</v>
      </c>
      <c r="N6140" s="8">
        <v>43944</v>
      </c>
      <c r="O6140" s="9" t="s">
        <v>41</v>
      </c>
      <c r="P6140" s="12" t="s">
        <v>18804</v>
      </c>
      <c r="Q6140" s="9" t="s">
        <v>880</v>
      </c>
      <c r="R6140" s="14" t="str">
        <f>HYPERLINK("https://my.pitchbook.com?c=136510-57T","View Company Online")</f>
        <v>View Company Online</v>
      </c>
    </row>
    <row r="6141" spans="1:18" hidden="1" x14ac:dyDescent="0.3">
      <c r="A6141" s="15" t="s">
        <v>18805</v>
      </c>
      <c r="B6141" s="15" t="s">
        <v>14444</v>
      </c>
      <c r="C6141" s="18" t="s">
        <v>28</v>
      </c>
      <c r="D6141" s="15" t="s">
        <v>14445</v>
      </c>
      <c r="E6141" s="18" t="s">
        <v>28</v>
      </c>
      <c r="F6141" s="19" t="s">
        <v>28</v>
      </c>
      <c r="G6141" s="19" t="s">
        <v>28</v>
      </c>
      <c r="H6141" s="19" t="s">
        <v>28</v>
      </c>
      <c r="I6141" s="18" t="s">
        <v>28</v>
      </c>
      <c r="J6141" s="18" t="s">
        <v>28</v>
      </c>
      <c r="K6141" s="18" t="s">
        <v>28</v>
      </c>
      <c r="L6141" s="18" t="s">
        <v>28</v>
      </c>
      <c r="M6141" s="18" t="s">
        <v>28</v>
      </c>
      <c r="N6141" s="17">
        <v>43943</v>
      </c>
      <c r="O6141" s="15" t="s">
        <v>52</v>
      </c>
      <c r="P6141" s="16" t="s">
        <v>2235</v>
      </c>
      <c r="Q6141" s="15" t="s">
        <v>353</v>
      </c>
      <c r="R6141" s="13" t="str">
        <f>HYPERLINK("https://my.pitchbook.com?c=137400-04T","View Company Online")</f>
        <v>View Company Online</v>
      </c>
    </row>
    <row r="6142" spans="1:18" hidden="1" x14ac:dyDescent="0.3">
      <c r="A6142" s="9" t="s">
        <v>18806</v>
      </c>
      <c r="B6142" s="9" t="s">
        <v>15976</v>
      </c>
      <c r="C6142" s="11" t="s">
        <v>28</v>
      </c>
      <c r="D6142" s="9" t="s">
        <v>15977</v>
      </c>
      <c r="E6142" s="11" t="s">
        <v>28</v>
      </c>
      <c r="F6142" s="10" t="s">
        <v>28</v>
      </c>
      <c r="G6142" s="10" t="s">
        <v>28</v>
      </c>
      <c r="H6142" s="10" t="s">
        <v>28</v>
      </c>
      <c r="I6142" s="11" t="s">
        <v>28</v>
      </c>
      <c r="J6142" s="11" t="s">
        <v>28</v>
      </c>
      <c r="K6142" s="11" t="s">
        <v>28</v>
      </c>
      <c r="L6142" s="11" t="s">
        <v>28</v>
      </c>
      <c r="M6142" s="11" t="s">
        <v>28</v>
      </c>
      <c r="N6142" s="8">
        <v>43943</v>
      </c>
      <c r="O6142" s="9" t="s">
        <v>52</v>
      </c>
      <c r="P6142" s="12" t="s">
        <v>2874</v>
      </c>
      <c r="Q6142" s="9" t="s">
        <v>75</v>
      </c>
      <c r="R6142" s="14" t="str">
        <f>HYPERLINK("https://my.pitchbook.com?c=139412-62T","View Company Online")</f>
        <v>View Company Online</v>
      </c>
    </row>
    <row r="6143" spans="1:18" hidden="1" x14ac:dyDescent="0.3">
      <c r="A6143" s="15" t="s">
        <v>18807</v>
      </c>
      <c r="B6143" s="15" t="s">
        <v>4535</v>
      </c>
      <c r="C6143" s="18" t="s">
        <v>28</v>
      </c>
      <c r="D6143" s="15" t="s">
        <v>4536</v>
      </c>
      <c r="E6143" s="18" t="s">
        <v>28</v>
      </c>
      <c r="F6143" s="19" t="s">
        <v>28</v>
      </c>
      <c r="G6143" s="19" t="s">
        <v>28</v>
      </c>
      <c r="H6143" s="19" t="s">
        <v>28</v>
      </c>
      <c r="I6143" s="18" t="s">
        <v>28</v>
      </c>
      <c r="J6143" s="18" t="s">
        <v>28</v>
      </c>
      <c r="K6143" s="18" t="s">
        <v>28</v>
      </c>
      <c r="L6143" s="18" t="s">
        <v>28</v>
      </c>
      <c r="M6143" s="18" t="s">
        <v>28</v>
      </c>
      <c r="N6143" s="17">
        <v>43943</v>
      </c>
      <c r="O6143" s="15" t="s">
        <v>52</v>
      </c>
      <c r="P6143" s="16" t="s">
        <v>2874</v>
      </c>
      <c r="Q6143" s="15" t="s">
        <v>75</v>
      </c>
      <c r="R6143" s="13" t="str">
        <f>HYPERLINK("https://my.pitchbook.com?c=153673-84T","View Company Online")</f>
        <v>View Company Online</v>
      </c>
    </row>
    <row r="6144" spans="1:18" hidden="1" x14ac:dyDescent="0.3">
      <c r="A6144" s="9" t="s">
        <v>18808</v>
      </c>
      <c r="B6144" s="9" t="s">
        <v>18809</v>
      </c>
      <c r="C6144" s="11" t="s">
        <v>28</v>
      </c>
      <c r="D6144" s="9" t="s">
        <v>18810</v>
      </c>
      <c r="E6144" s="11" t="s">
        <v>28</v>
      </c>
      <c r="F6144" s="10" t="s">
        <v>28</v>
      </c>
      <c r="G6144" s="10" t="s">
        <v>28</v>
      </c>
      <c r="H6144" s="10" t="s">
        <v>28</v>
      </c>
      <c r="I6144" s="11" t="s">
        <v>28</v>
      </c>
      <c r="J6144" s="11" t="s">
        <v>28</v>
      </c>
      <c r="K6144" s="11" t="s">
        <v>28</v>
      </c>
      <c r="L6144" s="11" t="s">
        <v>28</v>
      </c>
      <c r="M6144" s="11" t="s">
        <v>28</v>
      </c>
      <c r="N6144" s="8">
        <v>43943</v>
      </c>
      <c r="O6144" s="9" t="s">
        <v>52</v>
      </c>
      <c r="P6144" s="12" t="s">
        <v>2874</v>
      </c>
      <c r="Q6144" s="9" t="s">
        <v>75</v>
      </c>
      <c r="R6144" s="14" t="str">
        <f>HYPERLINK("https://my.pitchbook.com?c=153858-43T","View Company Online")</f>
        <v>View Company Online</v>
      </c>
    </row>
    <row r="6145" spans="1:18" hidden="1" x14ac:dyDescent="0.3">
      <c r="A6145" s="15" t="s">
        <v>18811</v>
      </c>
      <c r="B6145" s="15" t="s">
        <v>12116</v>
      </c>
      <c r="C6145" s="18" t="s">
        <v>28</v>
      </c>
      <c r="D6145" s="15" t="s">
        <v>12117</v>
      </c>
      <c r="E6145" s="18" t="s">
        <v>28</v>
      </c>
      <c r="F6145" s="19" t="s">
        <v>28</v>
      </c>
      <c r="G6145" s="19" t="s">
        <v>28</v>
      </c>
      <c r="H6145" s="19" t="s">
        <v>28</v>
      </c>
      <c r="I6145" s="18" t="s">
        <v>28</v>
      </c>
      <c r="J6145" s="18" t="s">
        <v>28</v>
      </c>
      <c r="K6145" s="18" t="s">
        <v>28</v>
      </c>
      <c r="L6145" s="18" t="s">
        <v>28</v>
      </c>
      <c r="M6145" s="18" t="s">
        <v>28</v>
      </c>
      <c r="N6145" s="17">
        <v>43943</v>
      </c>
      <c r="O6145" s="15" t="s">
        <v>52</v>
      </c>
      <c r="P6145" s="16" t="s">
        <v>2874</v>
      </c>
      <c r="Q6145" s="15" t="s">
        <v>37</v>
      </c>
      <c r="R6145" s="13" t="str">
        <f>HYPERLINK("https://my.pitchbook.com?c=165242-62T","View Company Online")</f>
        <v>View Company Online</v>
      </c>
    </row>
    <row r="6146" spans="1:18" hidden="1" x14ac:dyDescent="0.3">
      <c r="A6146" s="9" t="s">
        <v>18812</v>
      </c>
      <c r="B6146" s="9" t="s">
        <v>18813</v>
      </c>
      <c r="C6146" s="11" t="s">
        <v>28</v>
      </c>
      <c r="D6146" s="9" t="s">
        <v>18814</v>
      </c>
      <c r="E6146" s="11" t="s">
        <v>28</v>
      </c>
      <c r="F6146" s="10" t="s">
        <v>28</v>
      </c>
      <c r="G6146" s="10" t="s">
        <v>28</v>
      </c>
      <c r="H6146" s="10" t="s">
        <v>28</v>
      </c>
      <c r="I6146" s="11" t="s">
        <v>28</v>
      </c>
      <c r="J6146" s="11" t="s">
        <v>28</v>
      </c>
      <c r="K6146" s="11" t="s">
        <v>28</v>
      </c>
      <c r="L6146" s="11" t="s">
        <v>28</v>
      </c>
      <c r="M6146" s="11" t="s">
        <v>28</v>
      </c>
      <c r="N6146" s="8">
        <v>43942</v>
      </c>
      <c r="O6146" s="9" t="s">
        <v>41</v>
      </c>
      <c r="P6146" s="12" t="s">
        <v>1711</v>
      </c>
      <c r="Q6146" s="9" t="s">
        <v>136</v>
      </c>
      <c r="R6146" s="14" t="str">
        <f>HYPERLINK("https://my.pitchbook.com?c=224497-18T","View Company Online")</f>
        <v>View Company Online</v>
      </c>
    </row>
    <row r="6147" spans="1:18" hidden="1" x14ac:dyDescent="0.3">
      <c r="A6147" s="15" t="s">
        <v>18815</v>
      </c>
      <c r="B6147" s="15" t="s">
        <v>18816</v>
      </c>
      <c r="C6147" s="18" t="s">
        <v>28</v>
      </c>
      <c r="D6147" s="15" t="s">
        <v>18817</v>
      </c>
      <c r="E6147" s="18" t="s">
        <v>28</v>
      </c>
      <c r="F6147" s="19" t="s">
        <v>28</v>
      </c>
      <c r="G6147" s="19" t="s">
        <v>28</v>
      </c>
      <c r="H6147" s="19" t="s">
        <v>28</v>
      </c>
      <c r="I6147" s="18" t="s">
        <v>28</v>
      </c>
      <c r="J6147" s="18" t="s">
        <v>28</v>
      </c>
      <c r="K6147" s="18" t="s">
        <v>28</v>
      </c>
      <c r="L6147" s="18" t="s">
        <v>28</v>
      </c>
      <c r="M6147" s="18" t="s">
        <v>28</v>
      </c>
      <c r="N6147" s="17">
        <v>43942</v>
      </c>
      <c r="O6147" s="15" t="s">
        <v>52</v>
      </c>
      <c r="P6147" s="16" t="s">
        <v>28</v>
      </c>
      <c r="Q6147" s="15" t="s">
        <v>75</v>
      </c>
      <c r="R6147" s="13" t="str">
        <f>HYPERLINK("https://my.pitchbook.com?c=140767-12T","View Company Online")</f>
        <v>View Company Online</v>
      </c>
    </row>
    <row r="6148" spans="1:18" hidden="1" x14ac:dyDescent="0.3">
      <c r="A6148" s="9" t="s">
        <v>18818</v>
      </c>
      <c r="B6148" s="9" t="s">
        <v>16096</v>
      </c>
      <c r="C6148" s="11" t="s">
        <v>28</v>
      </c>
      <c r="D6148" s="9" t="s">
        <v>16097</v>
      </c>
      <c r="E6148" s="11" t="s">
        <v>28</v>
      </c>
      <c r="F6148" s="10" t="s">
        <v>28</v>
      </c>
      <c r="G6148" s="10">
        <v>0.19</v>
      </c>
      <c r="H6148" s="10" t="s">
        <v>28</v>
      </c>
      <c r="I6148" s="11" t="s">
        <v>28</v>
      </c>
      <c r="J6148" s="11" t="s">
        <v>28</v>
      </c>
      <c r="K6148" s="11" t="s">
        <v>28</v>
      </c>
      <c r="L6148" s="11" t="s">
        <v>28</v>
      </c>
      <c r="M6148" s="11" t="s">
        <v>28</v>
      </c>
      <c r="N6148" s="8">
        <v>43938</v>
      </c>
      <c r="O6148" s="9" t="s">
        <v>73</v>
      </c>
      <c r="P6148" s="12" t="s">
        <v>18819</v>
      </c>
      <c r="Q6148" s="9" t="s">
        <v>37</v>
      </c>
      <c r="R6148" s="14" t="str">
        <f>HYPERLINK("https://my.pitchbook.com?c=127710-64T","View Company Online")</f>
        <v>View Company Online</v>
      </c>
    </row>
    <row r="6149" spans="1:18" hidden="1" x14ac:dyDescent="0.3">
      <c r="A6149" s="15" t="s">
        <v>18820</v>
      </c>
      <c r="B6149" s="15" t="s">
        <v>15276</v>
      </c>
      <c r="C6149" s="18" t="s">
        <v>28</v>
      </c>
      <c r="D6149" s="15" t="s">
        <v>15277</v>
      </c>
      <c r="E6149" s="18" t="s">
        <v>28</v>
      </c>
      <c r="F6149" s="19" t="s">
        <v>28</v>
      </c>
      <c r="G6149" s="19">
        <v>0.04</v>
      </c>
      <c r="H6149" s="19">
        <v>0.56000000000000005</v>
      </c>
      <c r="I6149" s="18" t="s">
        <v>28</v>
      </c>
      <c r="J6149" s="18" t="s">
        <v>28</v>
      </c>
      <c r="K6149" s="18" t="s">
        <v>28</v>
      </c>
      <c r="L6149" s="18" t="s">
        <v>28</v>
      </c>
      <c r="M6149" s="18" t="s">
        <v>28</v>
      </c>
      <c r="N6149" s="17">
        <v>43937</v>
      </c>
      <c r="O6149" s="15" t="s">
        <v>52</v>
      </c>
      <c r="P6149" s="16" t="s">
        <v>2915</v>
      </c>
      <c r="Q6149" s="15" t="s">
        <v>37</v>
      </c>
      <c r="R6149" s="13" t="str">
        <f>HYPERLINK("https://my.pitchbook.com?c=166829-50T","View Company Online")</f>
        <v>View Company Online</v>
      </c>
    </row>
    <row r="6150" spans="1:18" hidden="1" x14ac:dyDescent="0.3">
      <c r="A6150" s="9" t="s">
        <v>18821</v>
      </c>
      <c r="B6150" s="9" t="s">
        <v>18822</v>
      </c>
      <c r="C6150" s="11" t="s">
        <v>28</v>
      </c>
      <c r="D6150" s="9" t="s">
        <v>18823</v>
      </c>
      <c r="E6150" s="11" t="s">
        <v>28</v>
      </c>
      <c r="F6150" s="10" t="s">
        <v>28</v>
      </c>
      <c r="G6150" s="10" t="s">
        <v>28</v>
      </c>
      <c r="H6150" s="10" t="s">
        <v>28</v>
      </c>
      <c r="I6150" s="11" t="s">
        <v>28</v>
      </c>
      <c r="J6150" s="11" t="s">
        <v>28</v>
      </c>
      <c r="K6150" s="11" t="s">
        <v>28</v>
      </c>
      <c r="L6150" s="11" t="s">
        <v>28</v>
      </c>
      <c r="M6150" s="11" t="s">
        <v>28</v>
      </c>
      <c r="N6150" s="8">
        <v>43936</v>
      </c>
      <c r="O6150" s="9" t="s">
        <v>52</v>
      </c>
      <c r="P6150" s="12" t="s">
        <v>12362</v>
      </c>
      <c r="Q6150" s="9" t="s">
        <v>583</v>
      </c>
      <c r="R6150" s="14" t="str">
        <f>HYPERLINK("https://my.pitchbook.com?c=284435-29T","View Company Online")</f>
        <v>View Company Online</v>
      </c>
    </row>
    <row r="6151" spans="1:18" hidden="1" x14ac:dyDescent="0.3">
      <c r="A6151" s="15" t="s">
        <v>18824</v>
      </c>
      <c r="B6151" s="15" t="s">
        <v>18825</v>
      </c>
      <c r="C6151" s="18" t="s">
        <v>28</v>
      </c>
      <c r="D6151" s="15" t="s">
        <v>18826</v>
      </c>
      <c r="E6151" s="18" t="s">
        <v>28</v>
      </c>
      <c r="F6151" s="19" t="s">
        <v>28</v>
      </c>
      <c r="G6151" s="19" t="s">
        <v>28</v>
      </c>
      <c r="H6151" s="19" t="s">
        <v>28</v>
      </c>
      <c r="I6151" s="18" t="s">
        <v>28</v>
      </c>
      <c r="J6151" s="18" t="s">
        <v>28</v>
      </c>
      <c r="K6151" s="18" t="s">
        <v>28</v>
      </c>
      <c r="L6151" s="18" t="s">
        <v>28</v>
      </c>
      <c r="M6151" s="18" t="s">
        <v>28</v>
      </c>
      <c r="N6151" s="17">
        <v>43936</v>
      </c>
      <c r="O6151" s="15" t="s">
        <v>52</v>
      </c>
      <c r="P6151" s="16" t="s">
        <v>12362</v>
      </c>
      <c r="Q6151" s="15" t="s">
        <v>6392</v>
      </c>
      <c r="R6151" s="13" t="str">
        <f>HYPERLINK("https://my.pitchbook.com?c=284441-32T","View Company Online")</f>
        <v>View Company Online</v>
      </c>
    </row>
    <row r="6152" spans="1:18" hidden="1" x14ac:dyDescent="0.3">
      <c r="A6152" s="9" t="s">
        <v>18827</v>
      </c>
      <c r="B6152" s="9" t="s">
        <v>18828</v>
      </c>
      <c r="C6152" s="11" t="s">
        <v>28</v>
      </c>
      <c r="D6152" s="9" t="s">
        <v>18829</v>
      </c>
      <c r="E6152" s="11" t="s">
        <v>28</v>
      </c>
      <c r="F6152" s="10" t="s">
        <v>28</v>
      </c>
      <c r="G6152" s="10" t="s">
        <v>28</v>
      </c>
      <c r="H6152" s="10" t="s">
        <v>28</v>
      </c>
      <c r="I6152" s="11" t="s">
        <v>28</v>
      </c>
      <c r="J6152" s="11" t="s">
        <v>28</v>
      </c>
      <c r="K6152" s="11" t="s">
        <v>28</v>
      </c>
      <c r="L6152" s="11" t="s">
        <v>28</v>
      </c>
      <c r="M6152" s="11" t="s">
        <v>28</v>
      </c>
      <c r="N6152" s="8">
        <v>43936</v>
      </c>
      <c r="O6152" s="9" t="s">
        <v>30</v>
      </c>
      <c r="P6152" s="12" t="s">
        <v>18830</v>
      </c>
      <c r="Q6152" s="9" t="s">
        <v>692</v>
      </c>
      <c r="R6152" s="14" t="str">
        <f>HYPERLINK("https://my.pitchbook.com?c=136810-54T","View Company Online")</f>
        <v>View Company Online</v>
      </c>
    </row>
    <row r="6153" spans="1:18" hidden="1" x14ac:dyDescent="0.3">
      <c r="A6153" s="15" t="s">
        <v>18831</v>
      </c>
      <c r="B6153" s="15" t="s">
        <v>18832</v>
      </c>
      <c r="C6153" s="18" t="s">
        <v>28</v>
      </c>
      <c r="D6153" s="15" t="s">
        <v>18833</v>
      </c>
      <c r="E6153" s="18" t="s">
        <v>28</v>
      </c>
      <c r="F6153" s="19">
        <v>4.8600000000000003</v>
      </c>
      <c r="G6153" s="19">
        <v>4.8600000000000003</v>
      </c>
      <c r="H6153" s="19">
        <v>4.8600000000000003</v>
      </c>
      <c r="I6153" s="18" t="s">
        <v>28</v>
      </c>
      <c r="J6153" s="18" t="s">
        <v>28</v>
      </c>
      <c r="K6153" s="18" t="s">
        <v>28</v>
      </c>
      <c r="L6153" s="18" t="s">
        <v>28</v>
      </c>
      <c r="M6153" s="18" t="s">
        <v>28</v>
      </c>
      <c r="N6153" s="17">
        <v>43936</v>
      </c>
      <c r="O6153" s="15" t="s">
        <v>41</v>
      </c>
      <c r="P6153" s="16" t="s">
        <v>15649</v>
      </c>
      <c r="Q6153" s="15" t="s">
        <v>880</v>
      </c>
      <c r="R6153" s="13" t="str">
        <f>HYPERLINK("https://my.pitchbook.com?c=221381-56T","View Company Online")</f>
        <v>View Company Online</v>
      </c>
    </row>
    <row r="6154" spans="1:18" hidden="1" x14ac:dyDescent="0.3">
      <c r="A6154" s="9" t="s">
        <v>18834</v>
      </c>
      <c r="B6154" s="9" t="s">
        <v>18835</v>
      </c>
      <c r="C6154" s="11" t="s">
        <v>28</v>
      </c>
      <c r="D6154" s="9" t="s">
        <v>18836</v>
      </c>
      <c r="E6154" s="11" t="s">
        <v>28</v>
      </c>
      <c r="F6154" s="10" t="s">
        <v>28</v>
      </c>
      <c r="G6154" s="10" t="s">
        <v>28</v>
      </c>
      <c r="H6154" s="10" t="s">
        <v>28</v>
      </c>
      <c r="I6154" s="11" t="s">
        <v>28</v>
      </c>
      <c r="J6154" s="11" t="s">
        <v>28</v>
      </c>
      <c r="K6154" s="11" t="s">
        <v>28</v>
      </c>
      <c r="L6154" s="11" t="s">
        <v>28</v>
      </c>
      <c r="M6154" s="11" t="s">
        <v>28</v>
      </c>
      <c r="N6154" s="8">
        <v>43936</v>
      </c>
      <c r="O6154" s="9" t="s">
        <v>30</v>
      </c>
      <c r="P6154" s="12" t="s">
        <v>18837</v>
      </c>
      <c r="Q6154" s="9" t="s">
        <v>414</v>
      </c>
      <c r="R6154" s="14" t="str">
        <f>HYPERLINK("https://my.pitchbook.com?c=135149-95T","View Company Online")</f>
        <v>View Company Online</v>
      </c>
    </row>
    <row r="6155" spans="1:18" hidden="1" x14ac:dyDescent="0.3">
      <c r="A6155" s="15" t="s">
        <v>18838</v>
      </c>
      <c r="B6155" s="15" t="s">
        <v>18839</v>
      </c>
      <c r="C6155" s="18" t="s">
        <v>28</v>
      </c>
      <c r="D6155" s="15" t="s">
        <v>18840</v>
      </c>
      <c r="E6155" s="18" t="s">
        <v>28</v>
      </c>
      <c r="F6155" s="19" t="s">
        <v>28</v>
      </c>
      <c r="G6155" s="19">
        <v>0.19</v>
      </c>
      <c r="H6155" s="19" t="s">
        <v>28</v>
      </c>
      <c r="I6155" s="18" t="s">
        <v>28</v>
      </c>
      <c r="J6155" s="18" t="s">
        <v>28</v>
      </c>
      <c r="K6155" s="18" t="s">
        <v>28</v>
      </c>
      <c r="L6155" s="18" t="s">
        <v>28</v>
      </c>
      <c r="M6155" s="18" t="s">
        <v>28</v>
      </c>
      <c r="N6155" s="17">
        <v>43935</v>
      </c>
      <c r="O6155" s="15" t="s">
        <v>99</v>
      </c>
      <c r="P6155" s="16" t="s">
        <v>3430</v>
      </c>
      <c r="Q6155" s="15" t="s">
        <v>75</v>
      </c>
      <c r="R6155" s="13" t="str">
        <f>HYPERLINK("https://my.pitchbook.com?c=210589-12T","View Company Online")</f>
        <v>View Company Online</v>
      </c>
    </row>
    <row r="6156" spans="1:18" hidden="1" x14ac:dyDescent="0.3">
      <c r="A6156" s="9" t="s">
        <v>18841</v>
      </c>
      <c r="B6156" s="9" t="s">
        <v>18842</v>
      </c>
      <c r="C6156" s="11" t="s">
        <v>28</v>
      </c>
      <c r="D6156" s="9" t="s">
        <v>18843</v>
      </c>
      <c r="E6156" s="11" t="s">
        <v>28</v>
      </c>
      <c r="F6156" s="10" t="s">
        <v>28</v>
      </c>
      <c r="G6156" s="10" t="s">
        <v>28</v>
      </c>
      <c r="H6156" s="10" t="s">
        <v>28</v>
      </c>
      <c r="I6156" s="11" t="s">
        <v>28</v>
      </c>
      <c r="J6156" s="11" t="s">
        <v>28</v>
      </c>
      <c r="K6156" s="11">
        <v>200</v>
      </c>
      <c r="L6156" s="11" t="s">
        <v>28</v>
      </c>
      <c r="M6156" s="11" t="s">
        <v>28</v>
      </c>
      <c r="N6156" s="8">
        <v>43935</v>
      </c>
      <c r="O6156" s="9" t="s">
        <v>30</v>
      </c>
      <c r="P6156" s="12" t="s">
        <v>8837</v>
      </c>
      <c r="Q6156" s="9" t="s">
        <v>1035</v>
      </c>
      <c r="R6156" s="14" t="str">
        <f>HYPERLINK("https://my.pitchbook.com?c=135039-07T","View Company Online")</f>
        <v>View Company Online</v>
      </c>
    </row>
    <row r="6157" spans="1:18" hidden="1" x14ac:dyDescent="0.3">
      <c r="A6157" s="15" t="s">
        <v>18844</v>
      </c>
      <c r="B6157" s="15" t="s">
        <v>17187</v>
      </c>
      <c r="C6157" s="18" t="s">
        <v>28</v>
      </c>
      <c r="D6157" s="15" t="s">
        <v>17188</v>
      </c>
      <c r="E6157" s="18" t="s">
        <v>28</v>
      </c>
      <c r="F6157" s="19" t="s">
        <v>28</v>
      </c>
      <c r="G6157" s="19">
        <v>1.95</v>
      </c>
      <c r="H6157" s="19" t="s">
        <v>28</v>
      </c>
      <c r="I6157" s="18" t="s">
        <v>28</v>
      </c>
      <c r="J6157" s="18" t="s">
        <v>28</v>
      </c>
      <c r="K6157" s="18" t="s">
        <v>28</v>
      </c>
      <c r="L6157" s="18" t="s">
        <v>28</v>
      </c>
      <c r="M6157" s="18" t="s">
        <v>28</v>
      </c>
      <c r="N6157" s="17">
        <v>43934</v>
      </c>
      <c r="O6157" s="15" t="s">
        <v>79</v>
      </c>
      <c r="P6157" s="16" t="s">
        <v>11495</v>
      </c>
      <c r="Q6157" s="15" t="s">
        <v>75</v>
      </c>
      <c r="R6157" s="13" t="str">
        <f>HYPERLINK("https://my.pitchbook.com?c=137069-20T","View Company Online")</f>
        <v>View Company Online</v>
      </c>
    </row>
    <row r="6158" spans="1:18" hidden="1" x14ac:dyDescent="0.3">
      <c r="A6158" s="9" t="s">
        <v>18845</v>
      </c>
      <c r="B6158" s="9" t="s">
        <v>5826</v>
      </c>
      <c r="C6158" s="11" t="s">
        <v>28</v>
      </c>
      <c r="D6158" s="9" t="s">
        <v>5827</v>
      </c>
      <c r="E6158" s="11" t="s">
        <v>28</v>
      </c>
      <c r="F6158" s="10" t="s">
        <v>28</v>
      </c>
      <c r="G6158" s="10">
        <v>0.02</v>
      </c>
      <c r="H6158" s="10" t="s">
        <v>28</v>
      </c>
      <c r="I6158" s="11" t="s">
        <v>28</v>
      </c>
      <c r="J6158" s="11" t="s">
        <v>28</v>
      </c>
      <c r="K6158" s="11" t="s">
        <v>28</v>
      </c>
      <c r="L6158" s="11" t="s">
        <v>28</v>
      </c>
      <c r="M6158" s="11" t="s">
        <v>28</v>
      </c>
      <c r="N6158" s="8">
        <v>43930</v>
      </c>
      <c r="O6158" s="9" t="s">
        <v>79</v>
      </c>
      <c r="P6158" s="12" t="s">
        <v>11017</v>
      </c>
      <c r="Q6158" s="9" t="s">
        <v>583</v>
      </c>
      <c r="R6158" s="14" t="str">
        <f>HYPERLINK("https://my.pitchbook.com?c=180874-18T","View Company Online")</f>
        <v>View Company Online</v>
      </c>
    </row>
    <row r="6159" spans="1:18" hidden="1" x14ac:dyDescent="0.3">
      <c r="A6159" s="15" t="s">
        <v>18846</v>
      </c>
      <c r="B6159" s="15" t="s">
        <v>6277</v>
      </c>
      <c r="C6159" s="18" t="s">
        <v>28</v>
      </c>
      <c r="D6159" s="15" t="s">
        <v>6278</v>
      </c>
      <c r="E6159" s="18" t="s">
        <v>28</v>
      </c>
      <c r="F6159" s="19" t="s">
        <v>28</v>
      </c>
      <c r="G6159" s="19">
        <v>0.24</v>
      </c>
      <c r="H6159" s="19" t="s">
        <v>28</v>
      </c>
      <c r="I6159" s="18" t="s">
        <v>28</v>
      </c>
      <c r="J6159" s="18" t="s">
        <v>28</v>
      </c>
      <c r="K6159" s="18" t="s">
        <v>28</v>
      </c>
      <c r="L6159" s="18" t="s">
        <v>28</v>
      </c>
      <c r="M6159" s="18" t="s">
        <v>28</v>
      </c>
      <c r="N6159" s="17">
        <v>43930</v>
      </c>
      <c r="O6159" s="15" t="s">
        <v>79</v>
      </c>
      <c r="P6159" s="16" t="s">
        <v>18847</v>
      </c>
      <c r="Q6159" s="15" t="s">
        <v>75</v>
      </c>
      <c r="R6159" s="13" t="str">
        <f>HYPERLINK("https://my.pitchbook.com?c=194626-99T","View Company Online")</f>
        <v>View Company Online</v>
      </c>
    </row>
    <row r="6160" spans="1:18" hidden="1" x14ac:dyDescent="0.3">
      <c r="A6160" s="9" t="s">
        <v>18848</v>
      </c>
      <c r="B6160" s="9" t="s">
        <v>499</v>
      </c>
      <c r="C6160" s="11" t="s">
        <v>28</v>
      </c>
      <c r="D6160" s="9" t="s">
        <v>500</v>
      </c>
      <c r="E6160" s="11" t="s">
        <v>28</v>
      </c>
      <c r="F6160" s="10" t="s">
        <v>28</v>
      </c>
      <c r="G6160" s="10">
        <v>0.15</v>
      </c>
      <c r="H6160" s="10" t="s">
        <v>28</v>
      </c>
      <c r="I6160" s="11" t="s">
        <v>28</v>
      </c>
      <c r="J6160" s="11" t="s">
        <v>28</v>
      </c>
      <c r="K6160" s="11" t="s">
        <v>28</v>
      </c>
      <c r="L6160" s="11" t="s">
        <v>28</v>
      </c>
      <c r="M6160" s="11" t="s">
        <v>28</v>
      </c>
      <c r="N6160" s="8">
        <v>43930</v>
      </c>
      <c r="O6160" s="9" t="s">
        <v>379</v>
      </c>
      <c r="P6160" s="12" t="s">
        <v>28</v>
      </c>
      <c r="Q6160" s="9" t="s">
        <v>136</v>
      </c>
      <c r="R6160" s="14" t="str">
        <f>HYPERLINK("https://my.pitchbook.com?c=135898-57T","View Company Online")</f>
        <v>View Company Online</v>
      </c>
    </row>
    <row r="6161" spans="1:18" hidden="1" x14ac:dyDescent="0.3">
      <c r="A6161" s="15" t="s">
        <v>18849</v>
      </c>
      <c r="B6161" s="15" t="s">
        <v>591</v>
      </c>
      <c r="C6161" s="18" t="s">
        <v>28</v>
      </c>
      <c r="D6161" s="15" t="s">
        <v>15127</v>
      </c>
      <c r="E6161" s="18" t="s">
        <v>28</v>
      </c>
      <c r="F6161" s="19" t="s">
        <v>28</v>
      </c>
      <c r="G6161" s="19">
        <v>2.37</v>
      </c>
      <c r="H6161" s="19" t="s">
        <v>28</v>
      </c>
      <c r="I6161" s="18" t="s">
        <v>28</v>
      </c>
      <c r="J6161" s="18" t="s">
        <v>28</v>
      </c>
      <c r="K6161" s="18" t="s">
        <v>28</v>
      </c>
      <c r="L6161" s="18" t="s">
        <v>28</v>
      </c>
      <c r="M6161" s="18" t="s">
        <v>28</v>
      </c>
      <c r="N6161" s="17">
        <v>43929</v>
      </c>
      <c r="O6161" s="15" t="s">
        <v>73</v>
      </c>
      <c r="P6161" s="16" t="s">
        <v>18100</v>
      </c>
      <c r="Q6161" s="15" t="s">
        <v>696</v>
      </c>
      <c r="R6161" s="13" t="str">
        <f>HYPERLINK("https://my.pitchbook.com?c=140534-11T","View Company Online")</f>
        <v>View Company Online</v>
      </c>
    </row>
    <row r="6162" spans="1:18" hidden="1" x14ac:dyDescent="0.3">
      <c r="A6162" s="9" t="s">
        <v>18850</v>
      </c>
      <c r="B6162" s="9" t="s">
        <v>18851</v>
      </c>
      <c r="C6162" s="11" t="s">
        <v>28</v>
      </c>
      <c r="D6162" s="9" t="s">
        <v>18852</v>
      </c>
      <c r="E6162" s="11" t="s">
        <v>28</v>
      </c>
      <c r="F6162" s="10">
        <v>5.34</v>
      </c>
      <c r="G6162" s="10">
        <v>5.34</v>
      </c>
      <c r="H6162" s="10">
        <v>5.34</v>
      </c>
      <c r="I6162" s="11" t="s">
        <v>28</v>
      </c>
      <c r="J6162" s="11" t="s">
        <v>28</v>
      </c>
      <c r="K6162" s="11">
        <v>5.17</v>
      </c>
      <c r="L6162" s="11">
        <v>1.03</v>
      </c>
      <c r="M6162" s="11" t="s">
        <v>28</v>
      </c>
      <c r="N6162" s="8">
        <v>43929</v>
      </c>
      <c r="O6162" s="9" t="s">
        <v>30</v>
      </c>
      <c r="P6162" s="12" t="s">
        <v>4262</v>
      </c>
      <c r="Q6162" s="9" t="s">
        <v>75</v>
      </c>
      <c r="R6162" s="14" t="str">
        <f>HYPERLINK("https://my.pitchbook.com?c=169894-99T","View Company Online")</f>
        <v>View Company Online</v>
      </c>
    </row>
    <row r="6163" spans="1:18" hidden="1" x14ac:dyDescent="0.3">
      <c r="A6163" s="15" t="s">
        <v>18853</v>
      </c>
      <c r="B6163" s="15" t="s">
        <v>18854</v>
      </c>
      <c r="C6163" s="18" t="s">
        <v>28</v>
      </c>
      <c r="D6163" s="15" t="s">
        <v>18855</v>
      </c>
      <c r="E6163" s="18" t="s">
        <v>28</v>
      </c>
      <c r="F6163" s="19">
        <v>93.05</v>
      </c>
      <c r="G6163" s="19">
        <v>46.06</v>
      </c>
      <c r="H6163" s="19">
        <v>93.05</v>
      </c>
      <c r="I6163" s="18" t="s">
        <v>28</v>
      </c>
      <c r="J6163" s="18" t="s">
        <v>28</v>
      </c>
      <c r="K6163" s="18" t="s">
        <v>28</v>
      </c>
      <c r="L6163" s="18" t="s">
        <v>28</v>
      </c>
      <c r="M6163" s="18" t="s">
        <v>28</v>
      </c>
      <c r="N6163" s="17">
        <v>43928</v>
      </c>
      <c r="O6163" s="15" t="s">
        <v>41</v>
      </c>
      <c r="P6163" s="16" t="s">
        <v>18856</v>
      </c>
      <c r="Q6163" s="15" t="s">
        <v>1144</v>
      </c>
      <c r="R6163" s="13" t="str">
        <f>HYPERLINK("https://my.pitchbook.com?c=137146-87T","View Company Online")</f>
        <v>View Company Online</v>
      </c>
    </row>
    <row r="6164" spans="1:18" hidden="1" x14ac:dyDescent="0.3">
      <c r="A6164" s="9" t="s">
        <v>18857</v>
      </c>
      <c r="B6164" s="9" t="s">
        <v>18858</v>
      </c>
      <c r="C6164" s="11" t="s">
        <v>28</v>
      </c>
      <c r="D6164" s="9" t="s">
        <v>18859</v>
      </c>
      <c r="E6164" s="11" t="s">
        <v>28</v>
      </c>
      <c r="F6164" s="10" t="s">
        <v>28</v>
      </c>
      <c r="G6164" s="10" t="s">
        <v>28</v>
      </c>
      <c r="H6164" s="10" t="s">
        <v>28</v>
      </c>
      <c r="I6164" s="11" t="s">
        <v>28</v>
      </c>
      <c r="J6164" s="11" t="s">
        <v>28</v>
      </c>
      <c r="K6164" s="11" t="s">
        <v>28</v>
      </c>
      <c r="L6164" s="11" t="s">
        <v>28</v>
      </c>
      <c r="M6164" s="11" t="s">
        <v>28</v>
      </c>
      <c r="N6164" s="8">
        <v>43928</v>
      </c>
      <c r="O6164" s="9" t="s">
        <v>30</v>
      </c>
      <c r="P6164" s="12" t="s">
        <v>2199</v>
      </c>
      <c r="Q6164" s="9" t="s">
        <v>75</v>
      </c>
      <c r="R6164" s="14" t="str">
        <f>HYPERLINK("https://my.pitchbook.com?c=135001-00T","View Company Online")</f>
        <v>View Company Online</v>
      </c>
    </row>
    <row r="6165" spans="1:18" hidden="1" x14ac:dyDescent="0.3">
      <c r="A6165" s="15" t="s">
        <v>18860</v>
      </c>
      <c r="B6165" s="15" t="s">
        <v>8337</v>
      </c>
      <c r="C6165" s="18" t="s">
        <v>28</v>
      </c>
      <c r="D6165" s="15" t="s">
        <v>8338</v>
      </c>
      <c r="E6165" s="18" t="s">
        <v>28</v>
      </c>
      <c r="F6165" s="19" t="s">
        <v>28</v>
      </c>
      <c r="G6165" s="19">
        <v>0.21</v>
      </c>
      <c r="H6165" s="19" t="s">
        <v>28</v>
      </c>
      <c r="I6165" s="18" t="s">
        <v>28</v>
      </c>
      <c r="J6165" s="18" t="s">
        <v>28</v>
      </c>
      <c r="K6165" s="18" t="s">
        <v>28</v>
      </c>
      <c r="L6165" s="18" t="s">
        <v>28</v>
      </c>
      <c r="M6165" s="18" t="s">
        <v>28</v>
      </c>
      <c r="N6165" s="17">
        <v>43924</v>
      </c>
      <c r="O6165" s="15" t="s">
        <v>379</v>
      </c>
      <c r="P6165" s="16" t="s">
        <v>28</v>
      </c>
      <c r="Q6165" s="15" t="s">
        <v>75</v>
      </c>
      <c r="R6165" s="13" t="str">
        <f>HYPERLINK("https://my.pitchbook.com?c=210975-49T","View Company Online")</f>
        <v>View Company Online</v>
      </c>
    </row>
    <row r="6166" spans="1:18" hidden="1" x14ac:dyDescent="0.3">
      <c r="A6166" s="9" t="s">
        <v>18861</v>
      </c>
      <c r="B6166" s="9" t="s">
        <v>10168</v>
      </c>
      <c r="C6166" s="11" t="s">
        <v>28</v>
      </c>
      <c r="D6166" s="9" t="s">
        <v>10169</v>
      </c>
      <c r="E6166" s="11" t="s">
        <v>28</v>
      </c>
      <c r="F6166" s="10" t="s">
        <v>28</v>
      </c>
      <c r="G6166" s="10">
        <v>0.1</v>
      </c>
      <c r="H6166" s="10" t="s">
        <v>28</v>
      </c>
      <c r="I6166" s="11" t="s">
        <v>28</v>
      </c>
      <c r="J6166" s="11" t="s">
        <v>28</v>
      </c>
      <c r="K6166" s="11" t="s">
        <v>28</v>
      </c>
      <c r="L6166" s="11" t="s">
        <v>28</v>
      </c>
      <c r="M6166" s="11" t="s">
        <v>28</v>
      </c>
      <c r="N6166" s="8">
        <v>43922</v>
      </c>
      <c r="O6166" s="9" t="s">
        <v>379</v>
      </c>
      <c r="P6166" s="12" t="s">
        <v>28</v>
      </c>
      <c r="Q6166" s="9" t="s">
        <v>9051</v>
      </c>
      <c r="R6166" s="14" t="str">
        <f>HYPERLINK("https://my.pitchbook.com?c=171795-52T","View Company Online")</f>
        <v>View Company Online</v>
      </c>
    </row>
    <row r="6167" spans="1:18" hidden="1" x14ac:dyDescent="0.3">
      <c r="A6167" s="15" t="s">
        <v>18862</v>
      </c>
      <c r="B6167" s="15" t="s">
        <v>4570</v>
      </c>
      <c r="C6167" s="18" t="s">
        <v>28</v>
      </c>
      <c r="D6167" s="15" t="s">
        <v>4571</v>
      </c>
      <c r="E6167" s="18" t="s">
        <v>28</v>
      </c>
      <c r="F6167" s="19" t="s">
        <v>28</v>
      </c>
      <c r="G6167" s="19" t="s">
        <v>28</v>
      </c>
      <c r="H6167" s="19" t="s">
        <v>28</v>
      </c>
      <c r="I6167" s="18" t="s">
        <v>28</v>
      </c>
      <c r="J6167" s="18" t="s">
        <v>28</v>
      </c>
      <c r="K6167" s="18" t="s">
        <v>28</v>
      </c>
      <c r="L6167" s="18" t="s">
        <v>28</v>
      </c>
      <c r="M6167" s="18" t="s">
        <v>28</v>
      </c>
      <c r="N6167" s="17">
        <v>43922</v>
      </c>
      <c r="O6167" s="15" t="s">
        <v>30</v>
      </c>
      <c r="P6167" s="16" t="s">
        <v>28</v>
      </c>
      <c r="Q6167" s="15" t="s">
        <v>136</v>
      </c>
      <c r="R6167" s="13" t="str">
        <f>HYPERLINK("https://my.pitchbook.com?c=122135-14T","View Company Online")</f>
        <v>View Company Online</v>
      </c>
    </row>
    <row r="6168" spans="1:18" hidden="1" x14ac:dyDescent="0.3">
      <c r="A6168" s="9" t="s">
        <v>18863</v>
      </c>
      <c r="B6168" s="9" t="s">
        <v>11073</v>
      </c>
      <c r="C6168" s="11" t="s">
        <v>28</v>
      </c>
      <c r="D6168" s="9" t="s">
        <v>11074</v>
      </c>
      <c r="E6168" s="11" t="s">
        <v>28</v>
      </c>
      <c r="F6168" s="10" t="s">
        <v>28</v>
      </c>
      <c r="G6168" s="10" t="s">
        <v>28</v>
      </c>
      <c r="H6168" s="10" t="s">
        <v>28</v>
      </c>
      <c r="I6168" s="11" t="s">
        <v>28</v>
      </c>
      <c r="J6168" s="11" t="s">
        <v>28</v>
      </c>
      <c r="K6168" s="11" t="s">
        <v>28</v>
      </c>
      <c r="L6168" s="11" t="s">
        <v>28</v>
      </c>
      <c r="M6168" s="11" t="s">
        <v>28</v>
      </c>
      <c r="N6168" s="8">
        <v>43922</v>
      </c>
      <c r="O6168" s="9" t="s">
        <v>73</v>
      </c>
      <c r="P6168" s="12" t="s">
        <v>9551</v>
      </c>
      <c r="Q6168" s="9" t="s">
        <v>522</v>
      </c>
      <c r="R6168" s="14" t="str">
        <f>HYPERLINK("https://my.pitchbook.com?c=135802-81T","View Company Online")</f>
        <v>View Company Online</v>
      </c>
    </row>
    <row r="6169" spans="1:18" hidden="1" x14ac:dyDescent="0.3">
      <c r="A6169" s="15" t="s">
        <v>18864</v>
      </c>
      <c r="B6169" s="15" t="s">
        <v>15566</v>
      </c>
      <c r="C6169" s="18" t="s">
        <v>28</v>
      </c>
      <c r="D6169" s="15" t="s">
        <v>15567</v>
      </c>
      <c r="E6169" s="18" t="s">
        <v>28</v>
      </c>
      <c r="F6169" s="19" t="s">
        <v>28</v>
      </c>
      <c r="G6169" s="19" t="s">
        <v>28</v>
      </c>
      <c r="H6169" s="19" t="s">
        <v>28</v>
      </c>
      <c r="I6169" s="18" t="s">
        <v>28</v>
      </c>
      <c r="J6169" s="18" t="s">
        <v>28</v>
      </c>
      <c r="K6169" s="18" t="s">
        <v>28</v>
      </c>
      <c r="L6169" s="18" t="s">
        <v>28</v>
      </c>
      <c r="M6169" s="18" t="s">
        <v>28</v>
      </c>
      <c r="N6169" s="17">
        <v>43922</v>
      </c>
      <c r="O6169" s="15" t="s">
        <v>30</v>
      </c>
      <c r="P6169" s="16" t="s">
        <v>18865</v>
      </c>
      <c r="Q6169" s="15" t="s">
        <v>95</v>
      </c>
      <c r="R6169" s="13" t="str">
        <f>HYPERLINK("https://my.pitchbook.com?c=170812-45T","View Company Online")</f>
        <v>View Company Online</v>
      </c>
    </row>
    <row r="6170" spans="1:18" hidden="1" x14ac:dyDescent="0.3">
      <c r="A6170" s="9" t="s">
        <v>18866</v>
      </c>
      <c r="B6170" s="9" t="s">
        <v>8154</v>
      </c>
      <c r="C6170" s="11" t="s">
        <v>28</v>
      </c>
      <c r="D6170" s="9" t="s">
        <v>8155</v>
      </c>
      <c r="E6170" s="11" t="s">
        <v>28</v>
      </c>
      <c r="F6170" s="10" t="s">
        <v>28</v>
      </c>
      <c r="G6170" s="10">
        <v>0.55000000000000004</v>
      </c>
      <c r="H6170" s="10" t="s">
        <v>28</v>
      </c>
      <c r="I6170" s="11" t="s">
        <v>28</v>
      </c>
      <c r="J6170" s="11" t="s">
        <v>28</v>
      </c>
      <c r="K6170" s="11" t="s">
        <v>28</v>
      </c>
      <c r="L6170" s="11" t="s">
        <v>28</v>
      </c>
      <c r="M6170" s="11" t="s">
        <v>28</v>
      </c>
      <c r="N6170" s="8">
        <v>43922</v>
      </c>
      <c r="O6170" s="9" t="s">
        <v>379</v>
      </c>
      <c r="P6170" s="12" t="s">
        <v>18867</v>
      </c>
      <c r="Q6170" s="9" t="s">
        <v>119</v>
      </c>
      <c r="R6170" s="14" t="str">
        <f>HYPERLINK("https://my.pitchbook.com?c=138684-61T","View Company Online")</f>
        <v>View Company Online</v>
      </c>
    </row>
    <row r="6171" spans="1:18" hidden="1" x14ac:dyDescent="0.3">
      <c r="A6171" s="15" t="s">
        <v>18868</v>
      </c>
      <c r="B6171" s="15" t="s">
        <v>18869</v>
      </c>
      <c r="C6171" s="18" t="s">
        <v>28</v>
      </c>
      <c r="D6171" s="15" t="s">
        <v>18870</v>
      </c>
      <c r="E6171" s="18" t="s">
        <v>28</v>
      </c>
      <c r="F6171" s="19" t="s">
        <v>28</v>
      </c>
      <c r="G6171" s="19">
        <v>5.51</v>
      </c>
      <c r="H6171" s="19" t="s">
        <v>28</v>
      </c>
      <c r="I6171" s="18" t="s">
        <v>28</v>
      </c>
      <c r="J6171" s="18" t="s">
        <v>28</v>
      </c>
      <c r="K6171" s="18" t="s">
        <v>28</v>
      </c>
      <c r="L6171" s="18" t="s">
        <v>28</v>
      </c>
      <c r="M6171" s="18" t="s">
        <v>28</v>
      </c>
      <c r="N6171" s="17">
        <v>43922</v>
      </c>
      <c r="O6171" s="15" t="s">
        <v>79</v>
      </c>
      <c r="P6171" s="16" t="s">
        <v>18871</v>
      </c>
      <c r="Q6171" s="15" t="s">
        <v>75</v>
      </c>
      <c r="R6171" s="13" t="str">
        <f>HYPERLINK("https://my.pitchbook.com?c=157847-68T","View Company Online")</f>
        <v>View Company Online</v>
      </c>
    </row>
    <row r="6172" spans="1:18" hidden="1" x14ac:dyDescent="0.3">
      <c r="A6172" s="9" t="s">
        <v>18872</v>
      </c>
      <c r="B6172" s="9" t="s">
        <v>18873</v>
      </c>
      <c r="C6172" s="11" t="s">
        <v>28</v>
      </c>
      <c r="D6172" s="9" t="s">
        <v>18874</v>
      </c>
      <c r="E6172" s="11" t="s">
        <v>28</v>
      </c>
      <c r="F6172" s="10" t="s">
        <v>28</v>
      </c>
      <c r="G6172" s="10" t="s">
        <v>28</v>
      </c>
      <c r="H6172" s="10" t="s">
        <v>28</v>
      </c>
      <c r="I6172" s="11" t="s">
        <v>28</v>
      </c>
      <c r="J6172" s="11" t="s">
        <v>28</v>
      </c>
      <c r="K6172" s="11" t="s">
        <v>28</v>
      </c>
      <c r="L6172" s="11" t="s">
        <v>28</v>
      </c>
      <c r="M6172" s="11" t="s">
        <v>28</v>
      </c>
      <c r="N6172" s="8">
        <v>43921</v>
      </c>
      <c r="O6172" s="9" t="s">
        <v>41</v>
      </c>
      <c r="P6172" s="12" t="s">
        <v>18875</v>
      </c>
      <c r="Q6172" s="9" t="s">
        <v>280</v>
      </c>
      <c r="R6172" s="14" t="str">
        <f>HYPERLINK("https://my.pitchbook.com?c=134931-52T","View Company Online")</f>
        <v>View Company Online</v>
      </c>
    </row>
    <row r="6173" spans="1:18" hidden="1" x14ac:dyDescent="0.3">
      <c r="A6173" s="15" t="s">
        <v>18876</v>
      </c>
      <c r="B6173" s="15" t="s">
        <v>18877</v>
      </c>
      <c r="C6173" s="18" t="s">
        <v>28</v>
      </c>
      <c r="D6173" s="15" t="s">
        <v>18878</v>
      </c>
      <c r="E6173" s="18" t="s">
        <v>28</v>
      </c>
      <c r="F6173" s="19">
        <v>62.01</v>
      </c>
      <c r="G6173" s="19">
        <v>31</v>
      </c>
      <c r="H6173" s="19">
        <v>62.01</v>
      </c>
      <c r="I6173" s="18" t="s">
        <v>28</v>
      </c>
      <c r="J6173" s="18" t="s">
        <v>28</v>
      </c>
      <c r="K6173" s="18" t="s">
        <v>28</v>
      </c>
      <c r="L6173" s="18" t="s">
        <v>28</v>
      </c>
      <c r="M6173" s="18" t="s">
        <v>28</v>
      </c>
      <c r="N6173" s="17">
        <v>43921</v>
      </c>
      <c r="O6173" s="15" t="s">
        <v>30</v>
      </c>
      <c r="P6173" s="16" t="s">
        <v>18879</v>
      </c>
      <c r="Q6173" s="15" t="s">
        <v>307</v>
      </c>
      <c r="R6173" s="13" t="str">
        <f>HYPERLINK("https://my.pitchbook.com?c=134641-63T","View Company Online")</f>
        <v>View Company Online</v>
      </c>
    </row>
    <row r="6174" spans="1:18" hidden="1" x14ac:dyDescent="0.3">
      <c r="A6174" s="9" t="s">
        <v>18880</v>
      </c>
      <c r="B6174" s="9" t="s">
        <v>18881</v>
      </c>
      <c r="C6174" s="11" t="s">
        <v>28</v>
      </c>
      <c r="D6174" s="9" t="s">
        <v>18882</v>
      </c>
      <c r="E6174" s="11" t="s">
        <v>28</v>
      </c>
      <c r="F6174" s="10" t="s">
        <v>28</v>
      </c>
      <c r="G6174" s="10">
        <v>0.1</v>
      </c>
      <c r="H6174" s="10" t="s">
        <v>28</v>
      </c>
      <c r="I6174" s="11" t="s">
        <v>28</v>
      </c>
      <c r="J6174" s="11" t="s">
        <v>28</v>
      </c>
      <c r="K6174" s="11">
        <v>0.01</v>
      </c>
      <c r="L6174" s="11" t="s">
        <v>28</v>
      </c>
      <c r="M6174" s="11" t="s">
        <v>28</v>
      </c>
      <c r="N6174" s="8">
        <v>43921</v>
      </c>
      <c r="O6174" s="9" t="s">
        <v>379</v>
      </c>
      <c r="P6174" s="12" t="s">
        <v>28</v>
      </c>
      <c r="Q6174" s="9" t="s">
        <v>3580</v>
      </c>
      <c r="R6174" s="14" t="str">
        <f>HYPERLINK("https://my.pitchbook.com?c=136093-33T","View Company Online")</f>
        <v>View Company Online</v>
      </c>
    </row>
    <row r="6175" spans="1:18" hidden="1" x14ac:dyDescent="0.3">
      <c r="A6175" s="15" t="s">
        <v>18883</v>
      </c>
      <c r="B6175" s="15" t="s">
        <v>18884</v>
      </c>
      <c r="C6175" s="18" t="s">
        <v>28</v>
      </c>
      <c r="D6175" s="15" t="s">
        <v>18885</v>
      </c>
      <c r="E6175" s="18" t="s">
        <v>28</v>
      </c>
      <c r="F6175" s="19">
        <v>12.35</v>
      </c>
      <c r="G6175" s="19">
        <v>12.35</v>
      </c>
      <c r="H6175" s="19">
        <v>12.35</v>
      </c>
      <c r="I6175" s="18" t="s">
        <v>28</v>
      </c>
      <c r="J6175" s="18" t="s">
        <v>28</v>
      </c>
      <c r="K6175" s="18" t="s">
        <v>28</v>
      </c>
      <c r="L6175" s="18" t="s">
        <v>28</v>
      </c>
      <c r="M6175" s="18" t="s">
        <v>28</v>
      </c>
      <c r="N6175" s="17">
        <v>43921</v>
      </c>
      <c r="O6175" s="15" t="s">
        <v>30</v>
      </c>
      <c r="P6175" s="16" t="s">
        <v>28</v>
      </c>
      <c r="Q6175" s="15" t="s">
        <v>75</v>
      </c>
      <c r="R6175" s="13" t="str">
        <f>HYPERLINK("https://my.pitchbook.com?c=129901-87T","View Company Online")</f>
        <v>View Company Online</v>
      </c>
    </row>
    <row r="6176" spans="1:18" hidden="1" x14ac:dyDescent="0.3">
      <c r="A6176" s="9" t="s">
        <v>18886</v>
      </c>
      <c r="B6176" s="9" t="s">
        <v>18887</v>
      </c>
      <c r="C6176" s="11" t="s">
        <v>28</v>
      </c>
      <c r="D6176" s="9" t="s">
        <v>18888</v>
      </c>
      <c r="E6176" s="11" t="s">
        <v>28</v>
      </c>
      <c r="F6176" s="10" t="s">
        <v>28</v>
      </c>
      <c r="G6176" s="10">
        <v>0.63</v>
      </c>
      <c r="H6176" s="10">
        <v>3.08</v>
      </c>
      <c r="I6176" s="11" t="s">
        <v>28</v>
      </c>
      <c r="J6176" s="11" t="s">
        <v>28</v>
      </c>
      <c r="K6176" s="11" t="s">
        <v>28</v>
      </c>
      <c r="L6176" s="11" t="s">
        <v>28</v>
      </c>
      <c r="M6176" s="11" t="s">
        <v>28</v>
      </c>
      <c r="N6176" s="8">
        <v>43921</v>
      </c>
      <c r="O6176" s="9" t="s">
        <v>73</v>
      </c>
      <c r="P6176" s="12" t="s">
        <v>18889</v>
      </c>
      <c r="Q6176" s="9" t="s">
        <v>399</v>
      </c>
      <c r="R6176" s="14" t="str">
        <f>HYPERLINK("https://my.pitchbook.com?c=136319-68T","View Company Online")</f>
        <v>View Company Online</v>
      </c>
    </row>
    <row r="6177" spans="1:18" hidden="1" x14ac:dyDescent="0.3">
      <c r="A6177" s="15" t="s">
        <v>18890</v>
      </c>
      <c r="B6177" s="15" t="s">
        <v>6911</v>
      </c>
      <c r="C6177" s="18" t="s">
        <v>28</v>
      </c>
      <c r="D6177" s="15" t="s">
        <v>6912</v>
      </c>
      <c r="E6177" s="18" t="s">
        <v>28</v>
      </c>
      <c r="F6177" s="19" t="s">
        <v>28</v>
      </c>
      <c r="G6177" s="19">
        <v>6.5</v>
      </c>
      <c r="H6177" s="19" t="s">
        <v>28</v>
      </c>
      <c r="I6177" s="18" t="s">
        <v>28</v>
      </c>
      <c r="J6177" s="18" t="s">
        <v>28</v>
      </c>
      <c r="K6177" s="18" t="s">
        <v>28</v>
      </c>
      <c r="L6177" s="18" t="s">
        <v>28</v>
      </c>
      <c r="M6177" s="18" t="s">
        <v>28</v>
      </c>
      <c r="N6177" s="17">
        <v>43920</v>
      </c>
      <c r="O6177" s="15" t="s">
        <v>79</v>
      </c>
      <c r="P6177" s="16" t="s">
        <v>140</v>
      </c>
      <c r="Q6177" s="15" t="s">
        <v>75</v>
      </c>
      <c r="R6177" s="13" t="str">
        <f>HYPERLINK("https://my.pitchbook.com?c=226873-09T","View Company Online")</f>
        <v>View Company Online</v>
      </c>
    </row>
    <row r="6178" spans="1:18" hidden="1" x14ac:dyDescent="0.3">
      <c r="A6178" s="9" t="s">
        <v>18891</v>
      </c>
      <c r="B6178" s="9" t="s">
        <v>18892</v>
      </c>
      <c r="C6178" s="11" t="s">
        <v>28</v>
      </c>
      <c r="D6178" s="9" t="s">
        <v>18893</v>
      </c>
      <c r="E6178" s="11" t="s">
        <v>28</v>
      </c>
      <c r="F6178" s="10" t="s">
        <v>28</v>
      </c>
      <c r="G6178" s="10" t="s">
        <v>28</v>
      </c>
      <c r="H6178" s="10" t="s">
        <v>28</v>
      </c>
      <c r="I6178" s="11" t="s">
        <v>28</v>
      </c>
      <c r="J6178" s="11" t="s">
        <v>28</v>
      </c>
      <c r="K6178" s="11" t="s">
        <v>28</v>
      </c>
      <c r="L6178" s="11" t="s">
        <v>28</v>
      </c>
      <c r="M6178" s="11" t="s">
        <v>28</v>
      </c>
      <c r="N6178" s="8">
        <v>43920</v>
      </c>
      <c r="O6178" s="9" t="s">
        <v>52</v>
      </c>
      <c r="P6178" s="12" t="s">
        <v>2235</v>
      </c>
      <c r="Q6178" s="9" t="s">
        <v>75</v>
      </c>
      <c r="R6178" s="14" t="str">
        <f>HYPERLINK("https://my.pitchbook.com?c=136954-72T","View Company Online")</f>
        <v>View Company Online</v>
      </c>
    </row>
    <row r="6179" spans="1:18" hidden="1" x14ac:dyDescent="0.3">
      <c r="A6179" s="15" t="s">
        <v>18894</v>
      </c>
      <c r="B6179" s="15" t="s">
        <v>17627</v>
      </c>
      <c r="C6179" s="18" t="s">
        <v>28</v>
      </c>
      <c r="D6179" s="15" t="s">
        <v>17628</v>
      </c>
      <c r="E6179" s="18" t="s">
        <v>28</v>
      </c>
      <c r="F6179" s="19" t="s">
        <v>28</v>
      </c>
      <c r="G6179" s="19" t="s">
        <v>28</v>
      </c>
      <c r="H6179" s="19" t="s">
        <v>28</v>
      </c>
      <c r="I6179" s="18" t="s">
        <v>28</v>
      </c>
      <c r="J6179" s="18" t="s">
        <v>28</v>
      </c>
      <c r="K6179" s="18" t="s">
        <v>28</v>
      </c>
      <c r="L6179" s="18" t="s">
        <v>28</v>
      </c>
      <c r="M6179" s="18" t="s">
        <v>28</v>
      </c>
      <c r="N6179" s="17">
        <v>43920</v>
      </c>
      <c r="O6179" s="15" t="s">
        <v>79</v>
      </c>
      <c r="P6179" s="16" t="s">
        <v>18895</v>
      </c>
      <c r="Q6179" s="15" t="s">
        <v>1793</v>
      </c>
      <c r="R6179" s="13" t="str">
        <f>HYPERLINK("https://my.pitchbook.com?c=138825-46T","View Company Online")</f>
        <v>View Company Online</v>
      </c>
    </row>
    <row r="6180" spans="1:18" hidden="1" x14ac:dyDescent="0.3">
      <c r="A6180" s="9" t="s">
        <v>18896</v>
      </c>
      <c r="B6180" s="9" t="s">
        <v>10870</v>
      </c>
      <c r="C6180" s="11" t="s">
        <v>28</v>
      </c>
      <c r="D6180" s="9" t="s">
        <v>10871</v>
      </c>
      <c r="E6180" s="11" t="s">
        <v>28</v>
      </c>
      <c r="F6180" s="10" t="s">
        <v>28</v>
      </c>
      <c r="G6180" s="10" t="s">
        <v>28</v>
      </c>
      <c r="H6180" s="10" t="s">
        <v>28</v>
      </c>
      <c r="I6180" s="11" t="s">
        <v>28</v>
      </c>
      <c r="J6180" s="11" t="s">
        <v>28</v>
      </c>
      <c r="K6180" s="11" t="s">
        <v>28</v>
      </c>
      <c r="L6180" s="11" t="s">
        <v>28</v>
      </c>
      <c r="M6180" s="11" t="s">
        <v>28</v>
      </c>
      <c r="N6180" s="8">
        <v>43917</v>
      </c>
      <c r="O6180" s="9" t="s">
        <v>99</v>
      </c>
      <c r="P6180" s="12" t="s">
        <v>17764</v>
      </c>
      <c r="Q6180" s="9" t="s">
        <v>1336</v>
      </c>
      <c r="R6180" s="14" t="str">
        <f>HYPERLINK("https://my.pitchbook.com?c=135442-00T","View Company Online")</f>
        <v>View Company Online</v>
      </c>
    </row>
    <row r="6181" spans="1:18" hidden="1" x14ac:dyDescent="0.3">
      <c r="A6181" s="15" t="s">
        <v>18897</v>
      </c>
      <c r="B6181" s="15" t="s">
        <v>1984</v>
      </c>
      <c r="C6181" s="18" t="s">
        <v>28</v>
      </c>
      <c r="D6181" s="15" t="s">
        <v>1985</v>
      </c>
      <c r="E6181" s="18" t="s">
        <v>28</v>
      </c>
      <c r="F6181" s="19" t="s">
        <v>28</v>
      </c>
      <c r="G6181" s="19" t="s">
        <v>28</v>
      </c>
      <c r="H6181" s="19" t="s">
        <v>28</v>
      </c>
      <c r="I6181" s="18" t="s">
        <v>28</v>
      </c>
      <c r="J6181" s="18" t="s">
        <v>28</v>
      </c>
      <c r="K6181" s="18">
        <v>0.76</v>
      </c>
      <c r="L6181" s="18" t="s">
        <v>28</v>
      </c>
      <c r="M6181" s="18" t="s">
        <v>28</v>
      </c>
      <c r="N6181" s="17">
        <v>43916</v>
      </c>
      <c r="O6181" s="15" t="s">
        <v>52</v>
      </c>
      <c r="P6181" s="16" t="s">
        <v>4500</v>
      </c>
      <c r="Q6181" s="15" t="s">
        <v>75</v>
      </c>
      <c r="R6181" s="13" t="str">
        <f>HYPERLINK("https://my.pitchbook.com?c=251090-02T","View Company Online")</f>
        <v>View Company Online</v>
      </c>
    </row>
    <row r="6182" spans="1:18" hidden="1" x14ac:dyDescent="0.3">
      <c r="A6182" s="9" t="s">
        <v>18898</v>
      </c>
      <c r="B6182" s="9" t="s">
        <v>4546</v>
      </c>
      <c r="C6182" s="11" t="s">
        <v>28</v>
      </c>
      <c r="D6182" s="9" t="s">
        <v>4547</v>
      </c>
      <c r="E6182" s="11" t="s">
        <v>28</v>
      </c>
      <c r="F6182" s="10" t="s">
        <v>28</v>
      </c>
      <c r="G6182" s="10">
        <v>3</v>
      </c>
      <c r="H6182" s="10" t="s">
        <v>28</v>
      </c>
      <c r="I6182" s="11" t="s">
        <v>28</v>
      </c>
      <c r="J6182" s="11" t="s">
        <v>28</v>
      </c>
      <c r="K6182" s="11" t="s">
        <v>28</v>
      </c>
      <c r="L6182" s="11" t="s">
        <v>28</v>
      </c>
      <c r="M6182" s="11" t="s">
        <v>28</v>
      </c>
      <c r="N6182" s="8">
        <v>43915</v>
      </c>
      <c r="O6182" s="9" t="s">
        <v>79</v>
      </c>
      <c r="P6182" s="12" t="s">
        <v>11495</v>
      </c>
      <c r="Q6182" s="9" t="s">
        <v>75</v>
      </c>
      <c r="R6182" s="14" t="str">
        <f>HYPERLINK("https://my.pitchbook.com?c=180649-36T","View Company Online")</f>
        <v>View Company Online</v>
      </c>
    </row>
    <row r="6183" spans="1:18" hidden="1" x14ac:dyDescent="0.3">
      <c r="A6183" s="15" t="s">
        <v>18899</v>
      </c>
      <c r="B6183" s="15" t="s">
        <v>18900</v>
      </c>
      <c r="C6183" s="18" t="s">
        <v>28</v>
      </c>
      <c r="D6183" s="15" t="s">
        <v>18901</v>
      </c>
      <c r="E6183" s="18" t="s">
        <v>28</v>
      </c>
      <c r="F6183" s="19" t="s">
        <v>28</v>
      </c>
      <c r="G6183" s="19" t="s">
        <v>28</v>
      </c>
      <c r="H6183" s="19" t="s">
        <v>28</v>
      </c>
      <c r="I6183" s="18" t="s">
        <v>28</v>
      </c>
      <c r="J6183" s="18" t="s">
        <v>28</v>
      </c>
      <c r="K6183" s="18" t="s">
        <v>28</v>
      </c>
      <c r="L6183" s="18" t="s">
        <v>28</v>
      </c>
      <c r="M6183" s="18" t="s">
        <v>28</v>
      </c>
      <c r="N6183" s="17">
        <v>43915</v>
      </c>
      <c r="O6183" s="15" t="s">
        <v>52</v>
      </c>
      <c r="P6183" s="16" t="s">
        <v>4500</v>
      </c>
      <c r="Q6183" s="15" t="s">
        <v>95</v>
      </c>
      <c r="R6183" s="13" t="str">
        <f>HYPERLINK("https://my.pitchbook.com?c=267995-35T","View Company Online")</f>
        <v>View Company Online</v>
      </c>
    </row>
    <row r="6184" spans="1:18" hidden="1" x14ac:dyDescent="0.3">
      <c r="A6184" s="9" t="s">
        <v>18902</v>
      </c>
      <c r="B6184" s="9" t="s">
        <v>2287</v>
      </c>
      <c r="C6184" s="11" t="s">
        <v>28</v>
      </c>
      <c r="D6184" s="9" t="s">
        <v>2288</v>
      </c>
      <c r="E6184" s="11" t="s">
        <v>28</v>
      </c>
      <c r="F6184" s="10" t="s">
        <v>28</v>
      </c>
      <c r="G6184" s="10">
        <v>4.26</v>
      </c>
      <c r="H6184" s="10" t="s">
        <v>28</v>
      </c>
      <c r="I6184" s="11" t="s">
        <v>28</v>
      </c>
      <c r="J6184" s="11" t="s">
        <v>28</v>
      </c>
      <c r="K6184" s="11" t="s">
        <v>28</v>
      </c>
      <c r="L6184" s="11" t="s">
        <v>28</v>
      </c>
      <c r="M6184" s="11" t="s">
        <v>28</v>
      </c>
      <c r="N6184" s="8">
        <v>43914</v>
      </c>
      <c r="O6184" s="9" t="s">
        <v>73</v>
      </c>
      <c r="P6184" s="12" t="s">
        <v>18903</v>
      </c>
      <c r="Q6184" s="9" t="s">
        <v>696</v>
      </c>
      <c r="R6184" s="14" t="str">
        <f>HYPERLINK("https://my.pitchbook.com?c=178207-21T","View Company Online")</f>
        <v>View Company Online</v>
      </c>
    </row>
    <row r="6185" spans="1:18" hidden="1" x14ac:dyDescent="0.3">
      <c r="A6185" s="15" t="s">
        <v>18904</v>
      </c>
      <c r="B6185" s="15" t="s">
        <v>1260</v>
      </c>
      <c r="C6185" s="18" t="s">
        <v>28</v>
      </c>
      <c r="D6185" s="15" t="s">
        <v>1261</v>
      </c>
      <c r="E6185" s="18" t="s">
        <v>28</v>
      </c>
      <c r="F6185" s="19" t="s">
        <v>28</v>
      </c>
      <c r="G6185" s="19" t="s">
        <v>28</v>
      </c>
      <c r="H6185" s="19" t="s">
        <v>28</v>
      </c>
      <c r="I6185" s="18" t="s">
        <v>28</v>
      </c>
      <c r="J6185" s="18" t="s">
        <v>28</v>
      </c>
      <c r="K6185" s="18">
        <v>5.07</v>
      </c>
      <c r="L6185" s="18" t="s">
        <v>28</v>
      </c>
      <c r="M6185" s="18" t="s">
        <v>28</v>
      </c>
      <c r="N6185" s="17">
        <v>43914</v>
      </c>
      <c r="O6185" s="15" t="s">
        <v>73</v>
      </c>
      <c r="P6185" s="16" t="s">
        <v>18905</v>
      </c>
      <c r="Q6185" s="15" t="s">
        <v>1263</v>
      </c>
      <c r="R6185" s="13" t="str">
        <f>HYPERLINK("https://my.pitchbook.com?c=135962-29T","View Company Online")</f>
        <v>View Company Online</v>
      </c>
    </row>
    <row r="6186" spans="1:18" hidden="1" x14ac:dyDescent="0.3">
      <c r="A6186" s="9" t="s">
        <v>18906</v>
      </c>
      <c r="B6186" s="9" t="s">
        <v>18907</v>
      </c>
      <c r="C6186" s="11" t="s">
        <v>28</v>
      </c>
      <c r="D6186" s="9" t="s">
        <v>18908</v>
      </c>
      <c r="E6186" s="11" t="s">
        <v>28</v>
      </c>
      <c r="F6186" s="10" t="s">
        <v>28</v>
      </c>
      <c r="G6186" s="10">
        <v>0.6</v>
      </c>
      <c r="H6186" s="10" t="s">
        <v>28</v>
      </c>
      <c r="I6186" s="11" t="s">
        <v>28</v>
      </c>
      <c r="J6186" s="11" t="s">
        <v>28</v>
      </c>
      <c r="K6186" s="11" t="s">
        <v>28</v>
      </c>
      <c r="L6186" s="11" t="s">
        <v>28</v>
      </c>
      <c r="M6186" s="11" t="s">
        <v>28</v>
      </c>
      <c r="N6186" s="8">
        <v>43914</v>
      </c>
      <c r="O6186" s="9" t="s">
        <v>99</v>
      </c>
      <c r="P6186" s="12" t="s">
        <v>18909</v>
      </c>
      <c r="Q6186" s="9" t="s">
        <v>95</v>
      </c>
      <c r="R6186" s="14" t="str">
        <f>HYPERLINK("https://my.pitchbook.com?c=138674-17T","View Company Online")</f>
        <v>View Company Online</v>
      </c>
    </row>
    <row r="6187" spans="1:18" hidden="1" x14ac:dyDescent="0.3">
      <c r="A6187" s="15" t="s">
        <v>18910</v>
      </c>
      <c r="B6187" s="15" t="s">
        <v>18911</v>
      </c>
      <c r="C6187" s="18" t="s">
        <v>28</v>
      </c>
      <c r="D6187" s="15" t="s">
        <v>18912</v>
      </c>
      <c r="E6187" s="18">
        <v>2.5499999999999998</v>
      </c>
      <c r="F6187" s="19" t="s">
        <v>28</v>
      </c>
      <c r="G6187" s="19" t="s">
        <v>28</v>
      </c>
      <c r="H6187" s="19" t="s">
        <v>28</v>
      </c>
      <c r="I6187" s="18">
        <v>2.5499999999999998</v>
      </c>
      <c r="J6187" s="18" t="s">
        <v>28</v>
      </c>
      <c r="K6187" s="18">
        <v>0.79</v>
      </c>
      <c r="L6187" s="18" t="s">
        <v>28</v>
      </c>
      <c r="M6187" s="18">
        <v>2.76</v>
      </c>
      <c r="N6187" s="17">
        <v>43914</v>
      </c>
      <c r="O6187" s="15" t="s">
        <v>173</v>
      </c>
      <c r="P6187" s="16" t="s">
        <v>28</v>
      </c>
      <c r="Q6187" s="15" t="s">
        <v>240</v>
      </c>
      <c r="R6187" s="13" t="str">
        <f>HYPERLINK("https://my.pitchbook.com?c=214028-38T","View Company Online")</f>
        <v>View Company Online</v>
      </c>
    </row>
    <row r="6188" spans="1:18" hidden="1" x14ac:dyDescent="0.3">
      <c r="A6188" s="9" t="s">
        <v>18913</v>
      </c>
      <c r="B6188" s="9" t="s">
        <v>2545</v>
      </c>
      <c r="C6188" s="11" t="s">
        <v>28</v>
      </c>
      <c r="D6188" s="9" t="s">
        <v>2546</v>
      </c>
      <c r="E6188" s="11" t="s">
        <v>28</v>
      </c>
      <c r="F6188" s="10" t="s">
        <v>28</v>
      </c>
      <c r="G6188" s="10" t="s">
        <v>28</v>
      </c>
      <c r="H6188" s="10" t="s">
        <v>28</v>
      </c>
      <c r="I6188" s="11" t="s">
        <v>28</v>
      </c>
      <c r="J6188" s="11" t="s">
        <v>28</v>
      </c>
      <c r="K6188" s="11" t="s">
        <v>28</v>
      </c>
      <c r="L6188" s="11" t="s">
        <v>28</v>
      </c>
      <c r="M6188" s="11" t="s">
        <v>28</v>
      </c>
      <c r="N6188" s="8">
        <v>43913</v>
      </c>
      <c r="O6188" s="9" t="s">
        <v>52</v>
      </c>
      <c r="P6188" s="12" t="s">
        <v>1880</v>
      </c>
      <c r="Q6188" s="9" t="s">
        <v>566</v>
      </c>
      <c r="R6188" s="14" t="str">
        <f>HYPERLINK("https://my.pitchbook.com?c=135714-97T","View Company Online")</f>
        <v>View Company Online</v>
      </c>
    </row>
    <row r="6189" spans="1:18" hidden="1" x14ac:dyDescent="0.3">
      <c r="A6189" s="15" t="s">
        <v>18914</v>
      </c>
      <c r="B6189" s="15" t="s">
        <v>145</v>
      </c>
      <c r="C6189" s="18" t="s">
        <v>28</v>
      </c>
      <c r="D6189" s="15" t="s">
        <v>146</v>
      </c>
      <c r="E6189" s="18" t="s">
        <v>28</v>
      </c>
      <c r="F6189" s="19" t="s">
        <v>28</v>
      </c>
      <c r="G6189" s="19" t="s">
        <v>28</v>
      </c>
      <c r="H6189" s="19" t="s">
        <v>28</v>
      </c>
      <c r="I6189" s="18" t="s">
        <v>28</v>
      </c>
      <c r="J6189" s="18" t="s">
        <v>28</v>
      </c>
      <c r="K6189" s="18" t="s">
        <v>28</v>
      </c>
      <c r="L6189" s="18" t="s">
        <v>28</v>
      </c>
      <c r="M6189" s="18" t="s">
        <v>28</v>
      </c>
      <c r="N6189" s="17">
        <v>43913</v>
      </c>
      <c r="O6189" s="15" t="s">
        <v>52</v>
      </c>
      <c r="P6189" s="16" t="s">
        <v>18915</v>
      </c>
      <c r="Q6189" s="15" t="s">
        <v>75</v>
      </c>
      <c r="R6189" s="13" t="str">
        <f>HYPERLINK("https://my.pitchbook.com?c=135714-70T","View Company Online")</f>
        <v>View Company Online</v>
      </c>
    </row>
    <row r="6190" spans="1:18" hidden="1" x14ac:dyDescent="0.3">
      <c r="A6190" s="9" t="s">
        <v>18916</v>
      </c>
      <c r="B6190" s="9" t="s">
        <v>2432</v>
      </c>
      <c r="C6190" s="11" t="s">
        <v>28</v>
      </c>
      <c r="D6190" s="9" t="s">
        <v>2433</v>
      </c>
      <c r="E6190" s="11" t="s">
        <v>28</v>
      </c>
      <c r="F6190" s="10" t="s">
        <v>28</v>
      </c>
      <c r="G6190" s="10" t="s">
        <v>28</v>
      </c>
      <c r="H6190" s="10" t="s">
        <v>28</v>
      </c>
      <c r="I6190" s="11" t="s">
        <v>28</v>
      </c>
      <c r="J6190" s="11" t="s">
        <v>28</v>
      </c>
      <c r="K6190" s="11" t="s">
        <v>28</v>
      </c>
      <c r="L6190" s="11" t="s">
        <v>28</v>
      </c>
      <c r="M6190" s="11" t="s">
        <v>28</v>
      </c>
      <c r="N6190" s="8">
        <v>43913</v>
      </c>
      <c r="O6190" s="9" t="s">
        <v>52</v>
      </c>
      <c r="P6190" s="12" t="s">
        <v>1880</v>
      </c>
      <c r="Q6190" s="9" t="s">
        <v>75</v>
      </c>
      <c r="R6190" s="14" t="str">
        <f>HYPERLINK("https://my.pitchbook.com?c=135715-33T","View Company Online")</f>
        <v>View Company Online</v>
      </c>
    </row>
    <row r="6191" spans="1:18" hidden="1" x14ac:dyDescent="0.3">
      <c r="A6191" s="15" t="s">
        <v>18917</v>
      </c>
      <c r="B6191" s="15" t="s">
        <v>4521</v>
      </c>
      <c r="C6191" s="18" t="s">
        <v>28</v>
      </c>
      <c r="D6191" s="15" t="s">
        <v>4522</v>
      </c>
      <c r="E6191" s="18" t="s">
        <v>28</v>
      </c>
      <c r="F6191" s="19" t="s">
        <v>28</v>
      </c>
      <c r="G6191" s="19" t="s">
        <v>28</v>
      </c>
      <c r="H6191" s="19" t="s">
        <v>28</v>
      </c>
      <c r="I6191" s="18" t="s">
        <v>28</v>
      </c>
      <c r="J6191" s="18" t="s">
        <v>28</v>
      </c>
      <c r="K6191" s="18" t="s">
        <v>28</v>
      </c>
      <c r="L6191" s="18" t="s">
        <v>28</v>
      </c>
      <c r="M6191" s="18" t="s">
        <v>28</v>
      </c>
      <c r="N6191" s="17">
        <v>43913</v>
      </c>
      <c r="O6191" s="15" t="s">
        <v>52</v>
      </c>
      <c r="P6191" s="16" t="s">
        <v>1880</v>
      </c>
      <c r="Q6191" s="15" t="s">
        <v>75</v>
      </c>
      <c r="R6191" s="13" t="str">
        <f>HYPERLINK("https://my.pitchbook.com?c=135716-50T","View Company Online")</f>
        <v>View Company Online</v>
      </c>
    </row>
    <row r="6192" spans="1:18" hidden="1" x14ac:dyDescent="0.3">
      <c r="A6192" s="9" t="s">
        <v>18918</v>
      </c>
      <c r="B6192" s="9" t="s">
        <v>5312</v>
      </c>
      <c r="C6192" s="11" t="s">
        <v>28</v>
      </c>
      <c r="D6192" s="9" t="s">
        <v>5313</v>
      </c>
      <c r="E6192" s="11" t="s">
        <v>28</v>
      </c>
      <c r="F6192" s="10" t="s">
        <v>28</v>
      </c>
      <c r="G6192" s="10" t="s">
        <v>28</v>
      </c>
      <c r="H6192" s="10" t="s">
        <v>28</v>
      </c>
      <c r="I6192" s="11" t="s">
        <v>28</v>
      </c>
      <c r="J6192" s="11" t="s">
        <v>28</v>
      </c>
      <c r="K6192" s="11" t="s">
        <v>28</v>
      </c>
      <c r="L6192" s="11" t="s">
        <v>28</v>
      </c>
      <c r="M6192" s="11" t="s">
        <v>28</v>
      </c>
      <c r="N6192" s="8">
        <v>43913</v>
      </c>
      <c r="O6192" s="9" t="s">
        <v>52</v>
      </c>
      <c r="P6192" s="12" t="s">
        <v>1880</v>
      </c>
      <c r="Q6192" s="9" t="s">
        <v>119</v>
      </c>
      <c r="R6192" s="14" t="str">
        <f>HYPERLINK("https://my.pitchbook.com?c=135717-04T","View Company Online")</f>
        <v>View Company Online</v>
      </c>
    </row>
    <row r="6193" spans="1:18" hidden="1" x14ac:dyDescent="0.3">
      <c r="A6193" s="15" t="s">
        <v>18919</v>
      </c>
      <c r="B6193" s="15" t="s">
        <v>15487</v>
      </c>
      <c r="C6193" s="18" t="s">
        <v>28</v>
      </c>
      <c r="D6193" s="15" t="s">
        <v>15488</v>
      </c>
      <c r="E6193" s="18" t="s">
        <v>28</v>
      </c>
      <c r="F6193" s="19" t="s">
        <v>28</v>
      </c>
      <c r="G6193" s="19" t="s">
        <v>28</v>
      </c>
      <c r="H6193" s="19" t="s">
        <v>28</v>
      </c>
      <c r="I6193" s="18" t="s">
        <v>28</v>
      </c>
      <c r="J6193" s="18" t="s">
        <v>28</v>
      </c>
      <c r="K6193" s="18" t="s">
        <v>28</v>
      </c>
      <c r="L6193" s="18" t="s">
        <v>28</v>
      </c>
      <c r="M6193" s="18" t="s">
        <v>28</v>
      </c>
      <c r="N6193" s="17">
        <v>43913</v>
      </c>
      <c r="O6193" s="15" t="s">
        <v>52</v>
      </c>
      <c r="P6193" s="16" t="s">
        <v>1880</v>
      </c>
      <c r="Q6193" s="15" t="s">
        <v>855</v>
      </c>
      <c r="R6193" s="13" t="str">
        <f>HYPERLINK("https://my.pitchbook.com?c=135717-85T","View Company Online")</f>
        <v>View Company Online</v>
      </c>
    </row>
    <row r="6194" spans="1:18" hidden="1" x14ac:dyDescent="0.3">
      <c r="A6194" s="9" t="s">
        <v>18920</v>
      </c>
      <c r="B6194" s="9" t="s">
        <v>18921</v>
      </c>
      <c r="C6194" s="11" t="s">
        <v>28</v>
      </c>
      <c r="D6194" s="9" t="s">
        <v>18922</v>
      </c>
      <c r="E6194" s="11" t="s">
        <v>28</v>
      </c>
      <c r="F6194" s="10" t="s">
        <v>28</v>
      </c>
      <c r="G6194" s="10">
        <v>0.8</v>
      </c>
      <c r="H6194" s="10" t="s">
        <v>28</v>
      </c>
      <c r="I6194" s="11" t="s">
        <v>28</v>
      </c>
      <c r="J6194" s="11" t="s">
        <v>28</v>
      </c>
      <c r="K6194" s="11" t="s">
        <v>28</v>
      </c>
      <c r="L6194" s="11" t="s">
        <v>28</v>
      </c>
      <c r="M6194" s="11" t="s">
        <v>28</v>
      </c>
      <c r="N6194" s="8">
        <v>43913</v>
      </c>
      <c r="O6194" s="9" t="s">
        <v>99</v>
      </c>
      <c r="P6194" s="12" t="s">
        <v>18923</v>
      </c>
      <c r="Q6194" s="9" t="s">
        <v>1793</v>
      </c>
      <c r="R6194" s="14" t="str">
        <f>HYPERLINK("https://my.pitchbook.com?c=157316-41T","View Company Online")</f>
        <v>View Company Online</v>
      </c>
    </row>
    <row r="6195" spans="1:18" hidden="1" x14ac:dyDescent="0.3">
      <c r="A6195" s="15" t="s">
        <v>18924</v>
      </c>
      <c r="B6195" s="15" t="s">
        <v>18925</v>
      </c>
      <c r="C6195" s="18" t="s">
        <v>28</v>
      </c>
      <c r="D6195" s="15" t="s">
        <v>18926</v>
      </c>
      <c r="E6195" s="18" t="s">
        <v>28</v>
      </c>
      <c r="F6195" s="19" t="s">
        <v>28</v>
      </c>
      <c r="G6195" s="19" t="s">
        <v>28</v>
      </c>
      <c r="H6195" s="19" t="s">
        <v>28</v>
      </c>
      <c r="I6195" s="18" t="s">
        <v>28</v>
      </c>
      <c r="J6195" s="18" t="s">
        <v>28</v>
      </c>
      <c r="K6195" s="18" t="s">
        <v>28</v>
      </c>
      <c r="L6195" s="18" t="s">
        <v>28</v>
      </c>
      <c r="M6195" s="18" t="s">
        <v>28</v>
      </c>
      <c r="N6195" s="17">
        <v>43913</v>
      </c>
      <c r="O6195" s="15" t="s">
        <v>52</v>
      </c>
      <c r="P6195" s="16" t="s">
        <v>1880</v>
      </c>
      <c r="Q6195" s="15" t="s">
        <v>37</v>
      </c>
      <c r="R6195" s="13" t="str">
        <f>HYPERLINK("https://my.pitchbook.com?c=135719-29T","View Company Online")</f>
        <v>View Company Online</v>
      </c>
    </row>
    <row r="6196" spans="1:18" hidden="1" x14ac:dyDescent="0.3">
      <c r="A6196" s="9" t="s">
        <v>18927</v>
      </c>
      <c r="B6196" s="9" t="s">
        <v>18928</v>
      </c>
      <c r="C6196" s="11" t="s">
        <v>28</v>
      </c>
      <c r="D6196" s="9" t="s">
        <v>18929</v>
      </c>
      <c r="E6196" s="11" t="s">
        <v>28</v>
      </c>
      <c r="F6196" s="10">
        <v>120.41</v>
      </c>
      <c r="G6196" s="10">
        <v>120.41</v>
      </c>
      <c r="H6196" s="10">
        <v>120.41</v>
      </c>
      <c r="I6196" s="11" t="s">
        <v>28</v>
      </c>
      <c r="J6196" s="11" t="s">
        <v>28</v>
      </c>
      <c r="K6196" s="11" t="s">
        <v>28</v>
      </c>
      <c r="L6196" s="11" t="s">
        <v>28</v>
      </c>
      <c r="M6196" s="11" t="s">
        <v>28</v>
      </c>
      <c r="N6196" s="8">
        <v>43913</v>
      </c>
      <c r="O6196" s="9" t="s">
        <v>41</v>
      </c>
      <c r="P6196" s="12" t="s">
        <v>18930</v>
      </c>
      <c r="Q6196" s="9" t="s">
        <v>183</v>
      </c>
      <c r="R6196" s="14" t="str">
        <f>HYPERLINK("https://my.pitchbook.com?c=224266-60T","View Company Online")</f>
        <v>View Company Online</v>
      </c>
    </row>
    <row r="6197" spans="1:18" hidden="1" x14ac:dyDescent="0.3">
      <c r="A6197" s="15" t="s">
        <v>18931</v>
      </c>
      <c r="B6197" s="15" t="s">
        <v>1447</v>
      </c>
      <c r="C6197" s="18" t="s">
        <v>28</v>
      </c>
      <c r="D6197" s="15" t="s">
        <v>1448</v>
      </c>
      <c r="E6197" s="18" t="s">
        <v>28</v>
      </c>
      <c r="F6197" s="19" t="s">
        <v>28</v>
      </c>
      <c r="G6197" s="19" t="s">
        <v>28</v>
      </c>
      <c r="H6197" s="19" t="s">
        <v>28</v>
      </c>
      <c r="I6197" s="18" t="s">
        <v>28</v>
      </c>
      <c r="J6197" s="18" t="s">
        <v>28</v>
      </c>
      <c r="K6197" s="18" t="s">
        <v>28</v>
      </c>
      <c r="L6197" s="18" t="s">
        <v>28</v>
      </c>
      <c r="M6197" s="18" t="s">
        <v>28</v>
      </c>
      <c r="N6197" s="17">
        <v>43913</v>
      </c>
      <c r="O6197" s="15" t="s">
        <v>52</v>
      </c>
      <c r="P6197" s="16" t="s">
        <v>1880</v>
      </c>
      <c r="Q6197" s="15" t="s">
        <v>75</v>
      </c>
      <c r="R6197" s="13" t="str">
        <f>HYPERLINK("https://my.pitchbook.com?c=135714-52T","View Company Online")</f>
        <v>View Company Online</v>
      </c>
    </row>
    <row r="6198" spans="1:18" hidden="1" x14ac:dyDescent="0.3">
      <c r="A6198" s="9" t="s">
        <v>18932</v>
      </c>
      <c r="B6198" s="9" t="s">
        <v>18933</v>
      </c>
      <c r="C6198" s="11" t="s">
        <v>28</v>
      </c>
      <c r="D6198" s="9" t="s">
        <v>18934</v>
      </c>
      <c r="E6198" s="11" t="s">
        <v>28</v>
      </c>
      <c r="F6198" s="10" t="s">
        <v>28</v>
      </c>
      <c r="G6198" s="10">
        <v>12.96</v>
      </c>
      <c r="H6198" s="10" t="s">
        <v>28</v>
      </c>
      <c r="I6198" s="11" t="s">
        <v>28</v>
      </c>
      <c r="J6198" s="11" t="s">
        <v>28</v>
      </c>
      <c r="K6198" s="11" t="s">
        <v>28</v>
      </c>
      <c r="L6198" s="11" t="s">
        <v>28</v>
      </c>
      <c r="M6198" s="11" t="s">
        <v>28</v>
      </c>
      <c r="N6198" s="8">
        <v>43910</v>
      </c>
      <c r="O6198" s="9" t="s">
        <v>93</v>
      </c>
      <c r="P6198" s="12" t="s">
        <v>18935</v>
      </c>
      <c r="Q6198" s="9" t="s">
        <v>169</v>
      </c>
      <c r="R6198" s="14" t="str">
        <f>HYPERLINK("https://my.pitchbook.com?c=140220-64T","View Company Online")</f>
        <v>View Company Online</v>
      </c>
    </row>
    <row r="6199" spans="1:18" hidden="1" x14ac:dyDescent="0.3">
      <c r="A6199" s="15" t="s">
        <v>18936</v>
      </c>
      <c r="B6199" s="15" t="s">
        <v>5094</v>
      </c>
      <c r="C6199" s="18" t="s">
        <v>28</v>
      </c>
      <c r="D6199" s="15" t="s">
        <v>5095</v>
      </c>
      <c r="E6199" s="18" t="s">
        <v>28</v>
      </c>
      <c r="F6199" s="19" t="s">
        <v>28</v>
      </c>
      <c r="G6199" s="19">
        <v>0.22</v>
      </c>
      <c r="H6199" s="19" t="s">
        <v>28</v>
      </c>
      <c r="I6199" s="18" t="s">
        <v>28</v>
      </c>
      <c r="J6199" s="18" t="s">
        <v>28</v>
      </c>
      <c r="K6199" s="18" t="s">
        <v>28</v>
      </c>
      <c r="L6199" s="18" t="s">
        <v>28</v>
      </c>
      <c r="M6199" s="18" t="s">
        <v>28</v>
      </c>
      <c r="N6199" s="17">
        <v>43910</v>
      </c>
      <c r="O6199" s="15" t="s">
        <v>79</v>
      </c>
      <c r="P6199" s="16" t="s">
        <v>18937</v>
      </c>
      <c r="Q6199" s="15" t="s">
        <v>75</v>
      </c>
      <c r="R6199" s="13" t="str">
        <f>HYPERLINK("https://my.pitchbook.com?c=211301-56T","View Company Online")</f>
        <v>View Company Online</v>
      </c>
    </row>
    <row r="6200" spans="1:18" hidden="1" x14ac:dyDescent="0.3">
      <c r="A6200" s="9" t="s">
        <v>18938</v>
      </c>
      <c r="B6200" s="9" t="s">
        <v>4470</v>
      </c>
      <c r="C6200" s="11" t="s">
        <v>28</v>
      </c>
      <c r="D6200" s="9" t="s">
        <v>4471</v>
      </c>
      <c r="E6200" s="11" t="s">
        <v>28</v>
      </c>
      <c r="F6200" s="10" t="s">
        <v>28</v>
      </c>
      <c r="G6200" s="10">
        <v>0.65</v>
      </c>
      <c r="H6200" s="10" t="s">
        <v>28</v>
      </c>
      <c r="I6200" s="11" t="s">
        <v>28</v>
      </c>
      <c r="J6200" s="11" t="s">
        <v>28</v>
      </c>
      <c r="K6200" s="11" t="s">
        <v>28</v>
      </c>
      <c r="L6200" s="11" t="s">
        <v>28</v>
      </c>
      <c r="M6200" s="11" t="s">
        <v>28</v>
      </c>
      <c r="N6200" s="8">
        <v>43910</v>
      </c>
      <c r="O6200" s="9" t="s">
        <v>73</v>
      </c>
      <c r="P6200" s="12" t="s">
        <v>18939</v>
      </c>
      <c r="Q6200" s="9" t="s">
        <v>75</v>
      </c>
      <c r="R6200" s="14" t="str">
        <f>HYPERLINK("https://my.pitchbook.com?c=137617-75T","View Company Online")</f>
        <v>View Company Online</v>
      </c>
    </row>
    <row r="6201" spans="1:18" hidden="1" x14ac:dyDescent="0.3">
      <c r="A6201" s="15" t="s">
        <v>18940</v>
      </c>
      <c r="B6201" s="15" t="s">
        <v>18941</v>
      </c>
      <c r="C6201" s="18" t="s">
        <v>28</v>
      </c>
      <c r="D6201" s="15" t="s">
        <v>18942</v>
      </c>
      <c r="E6201" s="18" t="s">
        <v>28</v>
      </c>
      <c r="F6201" s="19" t="s">
        <v>28</v>
      </c>
      <c r="G6201" s="19" t="s">
        <v>28</v>
      </c>
      <c r="H6201" s="19" t="s">
        <v>28</v>
      </c>
      <c r="I6201" s="18" t="s">
        <v>28</v>
      </c>
      <c r="J6201" s="18" t="s">
        <v>28</v>
      </c>
      <c r="K6201" s="18" t="s">
        <v>28</v>
      </c>
      <c r="L6201" s="18" t="s">
        <v>28</v>
      </c>
      <c r="M6201" s="18" t="s">
        <v>28</v>
      </c>
      <c r="N6201" s="17">
        <v>43910</v>
      </c>
      <c r="O6201" s="15" t="s">
        <v>173</v>
      </c>
      <c r="P6201" s="16" t="s">
        <v>28</v>
      </c>
      <c r="Q6201" s="15" t="s">
        <v>174</v>
      </c>
      <c r="R6201" s="13" t="str">
        <f>HYPERLINK("https://my.pitchbook.com?c=227528-65T","View Company Online")</f>
        <v>View Company Online</v>
      </c>
    </row>
    <row r="6202" spans="1:18" hidden="1" x14ac:dyDescent="0.3">
      <c r="A6202" s="9" t="s">
        <v>18943</v>
      </c>
      <c r="B6202" s="9" t="s">
        <v>15356</v>
      </c>
      <c r="C6202" s="11" t="s">
        <v>28</v>
      </c>
      <c r="D6202" s="9" t="s">
        <v>15357</v>
      </c>
      <c r="E6202" s="11" t="s">
        <v>28</v>
      </c>
      <c r="F6202" s="10" t="s">
        <v>28</v>
      </c>
      <c r="G6202" s="10">
        <v>0.15</v>
      </c>
      <c r="H6202" s="10">
        <v>2.14</v>
      </c>
      <c r="I6202" s="11" t="s">
        <v>28</v>
      </c>
      <c r="J6202" s="11" t="s">
        <v>28</v>
      </c>
      <c r="K6202" s="11" t="s">
        <v>28</v>
      </c>
      <c r="L6202" s="11" t="s">
        <v>28</v>
      </c>
      <c r="M6202" s="11" t="s">
        <v>28</v>
      </c>
      <c r="N6202" s="8">
        <v>43908</v>
      </c>
      <c r="O6202" s="9" t="s">
        <v>52</v>
      </c>
      <c r="P6202" s="12" t="s">
        <v>3944</v>
      </c>
      <c r="Q6202" s="9" t="s">
        <v>119</v>
      </c>
      <c r="R6202" s="14" t="str">
        <f>HYPERLINK("https://my.pitchbook.com?c=138193-48T","View Company Online")</f>
        <v>View Company Online</v>
      </c>
    </row>
    <row r="6203" spans="1:18" hidden="1" x14ac:dyDescent="0.3">
      <c r="A6203" s="15" t="s">
        <v>18944</v>
      </c>
      <c r="B6203" s="15" t="s">
        <v>6288</v>
      </c>
      <c r="C6203" s="18" t="s">
        <v>28</v>
      </c>
      <c r="D6203" s="15" t="s">
        <v>6289</v>
      </c>
      <c r="E6203" s="18" t="s">
        <v>28</v>
      </c>
      <c r="F6203" s="19" t="s">
        <v>28</v>
      </c>
      <c r="G6203" s="19">
        <v>0.15</v>
      </c>
      <c r="H6203" s="19">
        <v>2.14</v>
      </c>
      <c r="I6203" s="18" t="s">
        <v>28</v>
      </c>
      <c r="J6203" s="18" t="s">
        <v>28</v>
      </c>
      <c r="K6203" s="18" t="s">
        <v>28</v>
      </c>
      <c r="L6203" s="18" t="s">
        <v>28</v>
      </c>
      <c r="M6203" s="18" t="s">
        <v>28</v>
      </c>
      <c r="N6203" s="17">
        <v>43908</v>
      </c>
      <c r="O6203" s="15" t="s">
        <v>52</v>
      </c>
      <c r="P6203" s="16" t="s">
        <v>3944</v>
      </c>
      <c r="Q6203" s="15" t="s">
        <v>37</v>
      </c>
      <c r="R6203" s="13" t="str">
        <f>HYPERLINK("https://my.pitchbook.com?c=155452-78T","View Company Online")</f>
        <v>View Company Online</v>
      </c>
    </row>
    <row r="6204" spans="1:18" hidden="1" x14ac:dyDescent="0.3">
      <c r="A6204" s="9" t="s">
        <v>18945</v>
      </c>
      <c r="B6204" s="9" t="s">
        <v>18164</v>
      </c>
      <c r="C6204" s="11" t="s">
        <v>28</v>
      </c>
      <c r="D6204" s="9" t="s">
        <v>18165</v>
      </c>
      <c r="E6204" s="11" t="s">
        <v>28</v>
      </c>
      <c r="F6204" s="10" t="s">
        <v>28</v>
      </c>
      <c r="G6204" s="10">
        <v>0.15</v>
      </c>
      <c r="H6204" s="10">
        <v>2.14</v>
      </c>
      <c r="I6204" s="11" t="s">
        <v>28</v>
      </c>
      <c r="J6204" s="11" t="s">
        <v>28</v>
      </c>
      <c r="K6204" s="11" t="s">
        <v>28</v>
      </c>
      <c r="L6204" s="11" t="s">
        <v>28</v>
      </c>
      <c r="M6204" s="11" t="s">
        <v>28</v>
      </c>
      <c r="N6204" s="8">
        <v>43907</v>
      </c>
      <c r="O6204" s="9" t="s">
        <v>52</v>
      </c>
      <c r="P6204" s="12" t="s">
        <v>3944</v>
      </c>
      <c r="Q6204" s="9" t="s">
        <v>386</v>
      </c>
      <c r="R6204" s="14" t="str">
        <f>HYPERLINK("https://my.pitchbook.com?c=133880-68T","View Company Online")</f>
        <v>View Company Online</v>
      </c>
    </row>
    <row r="6205" spans="1:18" hidden="1" x14ac:dyDescent="0.3">
      <c r="A6205" s="15" t="s">
        <v>18946</v>
      </c>
      <c r="B6205" s="15" t="s">
        <v>18947</v>
      </c>
      <c r="C6205" s="18" t="s">
        <v>28</v>
      </c>
      <c r="D6205" s="15" t="s">
        <v>18948</v>
      </c>
      <c r="E6205" s="18" t="s">
        <v>28</v>
      </c>
      <c r="F6205" s="19" t="s">
        <v>28</v>
      </c>
      <c r="G6205" s="19" t="s">
        <v>28</v>
      </c>
      <c r="H6205" s="19" t="s">
        <v>28</v>
      </c>
      <c r="I6205" s="18" t="s">
        <v>28</v>
      </c>
      <c r="J6205" s="18" t="s">
        <v>28</v>
      </c>
      <c r="K6205" s="18" t="s">
        <v>28</v>
      </c>
      <c r="L6205" s="18" t="s">
        <v>28</v>
      </c>
      <c r="M6205" s="18" t="s">
        <v>28</v>
      </c>
      <c r="N6205" s="17">
        <v>43907</v>
      </c>
      <c r="O6205" s="15" t="s">
        <v>30</v>
      </c>
      <c r="P6205" s="16" t="s">
        <v>18949</v>
      </c>
      <c r="Q6205" s="15" t="s">
        <v>470</v>
      </c>
      <c r="R6205" s="13" t="str">
        <f>HYPERLINK("https://my.pitchbook.com?c=133005-52T","View Company Online")</f>
        <v>View Company Online</v>
      </c>
    </row>
    <row r="6206" spans="1:18" hidden="1" x14ac:dyDescent="0.3">
      <c r="A6206" s="9" t="s">
        <v>18950</v>
      </c>
      <c r="B6206" s="9" t="s">
        <v>1626</v>
      </c>
      <c r="C6206" s="11" t="s">
        <v>28</v>
      </c>
      <c r="D6206" s="9" t="s">
        <v>1627</v>
      </c>
      <c r="E6206" s="11" t="s">
        <v>28</v>
      </c>
      <c r="F6206" s="10" t="s">
        <v>28</v>
      </c>
      <c r="G6206" s="10">
        <v>0.15</v>
      </c>
      <c r="H6206" s="10">
        <v>2.14</v>
      </c>
      <c r="I6206" s="11" t="s">
        <v>28</v>
      </c>
      <c r="J6206" s="11" t="s">
        <v>28</v>
      </c>
      <c r="K6206" s="11" t="s">
        <v>28</v>
      </c>
      <c r="L6206" s="11" t="s">
        <v>28</v>
      </c>
      <c r="M6206" s="11" t="s">
        <v>28</v>
      </c>
      <c r="N6206" s="8">
        <v>43907</v>
      </c>
      <c r="O6206" s="9" t="s">
        <v>52</v>
      </c>
      <c r="P6206" s="12" t="s">
        <v>3944</v>
      </c>
      <c r="Q6206" s="9" t="s">
        <v>37</v>
      </c>
      <c r="R6206" s="14" t="str">
        <f>HYPERLINK("https://my.pitchbook.com?c=138211-48T","View Company Online")</f>
        <v>View Company Online</v>
      </c>
    </row>
    <row r="6207" spans="1:18" hidden="1" x14ac:dyDescent="0.3">
      <c r="A6207" s="15" t="s">
        <v>18951</v>
      </c>
      <c r="B6207" s="15" t="s">
        <v>536</v>
      </c>
      <c r="C6207" s="18" t="s">
        <v>28</v>
      </c>
      <c r="D6207" s="15" t="s">
        <v>537</v>
      </c>
      <c r="E6207" s="18">
        <v>-11.84</v>
      </c>
      <c r="F6207" s="19" t="s">
        <v>28</v>
      </c>
      <c r="G6207" s="19">
        <v>50</v>
      </c>
      <c r="H6207" s="19" t="s">
        <v>28</v>
      </c>
      <c r="I6207" s="18" t="s">
        <v>28</v>
      </c>
      <c r="J6207" s="18" t="s">
        <v>28</v>
      </c>
      <c r="K6207" s="18" t="s">
        <v>28</v>
      </c>
      <c r="L6207" s="18" t="s">
        <v>28</v>
      </c>
      <c r="M6207" s="18">
        <v>-12.31</v>
      </c>
      <c r="N6207" s="17">
        <v>43907</v>
      </c>
      <c r="O6207" s="15" t="s">
        <v>93</v>
      </c>
      <c r="P6207" s="16" t="s">
        <v>18952</v>
      </c>
      <c r="Q6207" s="15" t="s">
        <v>470</v>
      </c>
      <c r="R6207" s="13" t="str">
        <f>HYPERLINK("https://my.pitchbook.com?c=157487-41T","View Company Online")</f>
        <v>View Company Online</v>
      </c>
    </row>
    <row r="6208" spans="1:18" hidden="1" x14ac:dyDescent="0.3">
      <c r="A6208" s="9" t="s">
        <v>18953</v>
      </c>
      <c r="B6208" s="9" t="s">
        <v>10531</v>
      </c>
      <c r="C6208" s="11" t="s">
        <v>28</v>
      </c>
      <c r="D6208" s="9" t="s">
        <v>10532</v>
      </c>
      <c r="E6208" s="11" t="s">
        <v>28</v>
      </c>
      <c r="F6208" s="10" t="s">
        <v>28</v>
      </c>
      <c r="G6208" s="10">
        <v>0.15</v>
      </c>
      <c r="H6208" s="10" t="s">
        <v>28</v>
      </c>
      <c r="I6208" s="11" t="s">
        <v>28</v>
      </c>
      <c r="J6208" s="11" t="s">
        <v>28</v>
      </c>
      <c r="K6208" s="11" t="s">
        <v>28</v>
      </c>
      <c r="L6208" s="11" t="s">
        <v>28</v>
      </c>
      <c r="M6208" s="11" t="s">
        <v>28</v>
      </c>
      <c r="N6208" s="8">
        <v>43906</v>
      </c>
      <c r="O6208" s="9" t="s">
        <v>52</v>
      </c>
      <c r="P6208" s="12" t="s">
        <v>3944</v>
      </c>
      <c r="Q6208" s="9" t="s">
        <v>75</v>
      </c>
      <c r="R6208" s="14" t="str">
        <f>HYPERLINK("https://my.pitchbook.com?c=133961-77T","View Company Online")</f>
        <v>View Company Online</v>
      </c>
    </row>
    <row r="6209" spans="1:18" hidden="1" x14ac:dyDescent="0.3">
      <c r="A6209" s="15" t="s">
        <v>18954</v>
      </c>
      <c r="B6209" s="15" t="s">
        <v>18955</v>
      </c>
      <c r="C6209" s="18" t="s">
        <v>28</v>
      </c>
      <c r="D6209" s="15" t="s">
        <v>18956</v>
      </c>
      <c r="E6209" s="18" t="s">
        <v>28</v>
      </c>
      <c r="F6209" s="19" t="s">
        <v>28</v>
      </c>
      <c r="G6209" s="19" t="s">
        <v>28</v>
      </c>
      <c r="H6209" s="19" t="s">
        <v>28</v>
      </c>
      <c r="I6209" s="18" t="s">
        <v>28</v>
      </c>
      <c r="J6209" s="18" t="s">
        <v>28</v>
      </c>
      <c r="K6209" s="18" t="s">
        <v>28</v>
      </c>
      <c r="L6209" s="18" t="s">
        <v>28</v>
      </c>
      <c r="M6209" s="18" t="s">
        <v>28</v>
      </c>
      <c r="N6209" s="17">
        <v>43905</v>
      </c>
      <c r="O6209" s="15" t="s">
        <v>99</v>
      </c>
      <c r="P6209" s="16" t="s">
        <v>3000</v>
      </c>
      <c r="Q6209" s="15" t="s">
        <v>114</v>
      </c>
      <c r="R6209" s="13" t="str">
        <f>HYPERLINK("https://my.pitchbook.com?c=211007-80T","View Company Online")</f>
        <v>View Company Online</v>
      </c>
    </row>
    <row r="6210" spans="1:18" hidden="1" x14ac:dyDescent="0.3">
      <c r="A6210" s="9" t="s">
        <v>18957</v>
      </c>
      <c r="B6210" s="9" t="s">
        <v>18958</v>
      </c>
      <c r="C6210" s="11" t="s">
        <v>28</v>
      </c>
      <c r="D6210" s="9" t="s">
        <v>18959</v>
      </c>
      <c r="E6210" s="11" t="s">
        <v>28</v>
      </c>
      <c r="F6210" s="10">
        <v>24.51</v>
      </c>
      <c r="G6210" s="10">
        <v>24.51</v>
      </c>
      <c r="H6210" s="10">
        <v>24.51</v>
      </c>
      <c r="I6210" s="11" t="s">
        <v>28</v>
      </c>
      <c r="J6210" s="11" t="s">
        <v>28</v>
      </c>
      <c r="K6210" s="11" t="s">
        <v>28</v>
      </c>
      <c r="L6210" s="11" t="s">
        <v>28</v>
      </c>
      <c r="M6210" s="11" t="s">
        <v>28</v>
      </c>
      <c r="N6210" s="8">
        <v>43903</v>
      </c>
      <c r="O6210" s="9" t="s">
        <v>30</v>
      </c>
      <c r="P6210" s="12" t="s">
        <v>18960</v>
      </c>
      <c r="Q6210" s="9" t="s">
        <v>2916</v>
      </c>
      <c r="R6210" s="14" t="str">
        <f>HYPERLINK("https://my.pitchbook.com?c=134242-57T","View Company Online")</f>
        <v>View Company Online</v>
      </c>
    </row>
    <row r="6211" spans="1:18" hidden="1" x14ac:dyDescent="0.3">
      <c r="A6211" s="15" t="s">
        <v>18961</v>
      </c>
      <c r="B6211" s="15" t="s">
        <v>18962</v>
      </c>
      <c r="C6211" s="18" t="s">
        <v>28</v>
      </c>
      <c r="D6211" s="15" t="s">
        <v>18963</v>
      </c>
      <c r="E6211" s="18" t="s">
        <v>28</v>
      </c>
      <c r="F6211" s="19">
        <v>4.1399999999999997</v>
      </c>
      <c r="G6211" s="19">
        <v>4.1399999999999997</v>
      </c>
      <c r="H6211" s="19">
        <v>4.1399999999999997</v>
      </c>
      <c r="I6211" s="18" t="s">
        <v>28</v>
      </c>
      <c r="J6211" s="18" t="s">
        <v>28</v>
      </c>
      <c r="K6211" s="18" t="s">
        <v>28</v>
      </c>
      <c r="L6211" s="18" t="s">
        <v>28</v>
      </c>
      <c r="M6211" s="18" t="s">
        <v>28</v>
      </c>
      <c r="N6211" s="17">
        <v>43902</v>
      </c>
      <c r="O6211" s="15" t="s">
        <v>30</v>
      </c>
      <c r="P6211" s="16" t="s">
        <v>5877</v>
      </c>
      <c r="Q6211" s="15" t="s">
        <v>85</v>
      </c>
      <c r="R6211" s="13" t="str">
        <f>HYPERLINK("https://my.pitchbook.com?c=249771-79T","View Company Online")</f>
        <v>View Company Online</v>
      </c>
    </row>
    <row r="6212" spans="1:18" hidden="1" x14ac:dyDescent="0.3">
      <c r="A6212" s="9" t="s">
        <v>18964</v>
      </c>
      <c r="B6212" s="9" t="s">
        <v>11905</v>
      </c>
      <c r="C6212" s="11" t="s">
        <v>28</v>
      </c>
      <c r="D6212" s="9" t="s">
        <v>11906</v>
      </c>
      <c r="E6212" s="11" t="s">
        <v>28</v>
      </c>
      <c r="F6212" s="10" t="s">
        <v>28</v>
      </c>
      <c r="G6212" s="10">
        <v>0.37</v>
      </c>
      <c r="H6212" s="10" t="s">
        <v>28</v>
      </c>
      <c r="I6212" s="11" t="s">
        <v>28</v>
      </c>
      <c r="J6212" s="11" t="s">
        <v>28</v>
      </c>
      <c r="K6212" s="11" t="s">
        <v>28</v>
      </c>
      <c r="L6212" s="11" t="s">
        <v>28</v>
      </c>
      <c r="M6212" s="11" t="s">
        <v>28</v>
      </c>
      <c r="N6212" s="8">
        <v>43902</v>
      </c>
      <c r="O6212" s="9" t="s">
        <v>99</v>
      </c>
      <c r="P6212" s="12" t="s">
        <v>18965</v>
      </c>
      <c r="Q6212" s="9" t="s">
        <v>5628</v>
      </c>
      <c r="R6212" s="14" t="str">
        <f>HYPERLINK("https://my.pitchbook.com?c=135974-35T","View Company Online")</f>
        <v>View Company Online</v>
      </c>
    </row>
    <row r="6213" spans="1:18" hidden="1" x14ac:dyDescent="0.3">
      <c r="A6213" s="15" t="s">
        <v>18966</v>
      </c>
      <c r="B6213" s="15" t="s">
        <v>16142</v>
      </c>
      <c r="C6213" s="18" t="s">
        <v>28</v>
      </c>
      <c r="D6213" s="15" t="s">
        <v>16143</v>
      </c>
      <c r="E6213" s="18" t="s">
        <v>28</v>
      </c>
      <c r="F6213" s="19" t="s">
        <v>28</v>
      </c>
      <c r="G6213" s="19">
        <v>0.27</v>
      </c>
      <c r="H6213" s="19" t="s">
        <v>28</v>
      </c>
      <c r="I6213" s="18" t="s">
        <v>28</v>
      </c>
      <c r="J6213" s="18" t="s">
        <v>28</v>
      </c>
      <c r="K6213" s="18" t="s">
        <v>28</v>
      </c>
      <c r="L6213" s="18" t="s">
        <v>28</v>
      </c>
      <c r="M6213" s="18" t="s">
        <v>28</v>
      </c>
      <c r="N6213" s="17">
        <v>43901</v>
      </c>
      <c r="O6213" s="15" t="s">
        <v>99</v>
      </c>
      <c r="P6213" s="16" t="s">
        <v>18967</v>
      </c>
      <c r="Q6213" s="15" t="s">
        <v>75</v>
      </c>
      <c r="R6213" s="13" t="str">
        <f>HYPERLINK("https://my.pitchbook.com?c=131817-43T","View Company Online")</f>
        <v>View Company Online</v>
      </c>
    </row>
    <row r="6214" spans="1:18" hidden="1" x14ac:dyDescent="0.3">
      <c r="A6214" s="9" t="s">
        <v>18968</v>
      </c>
      <c r="B6214" s="9" t="s">
        <v>18969</v>
      </c>
      <c r="C6214" s="11" t="s">
        <v>28</v>
      </c>
      <c r="D6214" s="9" t="s">
        <v>18970</v>
      </c>
      <c r="E6214" s="11" t="s">
        <v>28</v>
      </c>
      <c r="F6214" s="10">
        <v>0.01</v>
      </c>
      <c r="G6214" s="10">
        <v>0.01</v>
      </c>
      <c r="H6214" s="10">
        <v>0.01</v>
      </c>
      <c r="I6214" s="11" t="s">
        <v>28</v>
      </c>
      <c r="J6214" s="11" t="s">
        <v>28</v>
      </c>
      <c r="K6214" s="11" t="s">
        <v>28</v>
      </c>
      <c r="L6214" s="11" t="s">
        <v>28</v>
      </c>
      <c r="M6214" s="11" t="s">
        <v>28</v>
      </c>
      <c r="N6214" s="8">
        <v>43901</v>
      </c>
      <c r="O6214" s="9" t="s">
        <v>30</v>
      </c>
      <c r="P6214" s="12" t="s">
        <v>18971</v>
      </c>
      <c r="Q6214" s="9" t="s">
        <v>85</v>
      </c>
      <c r="R6214" s="14" t="str">
        <f>HYPERLINK("https://my.pitchbook.com?c=133932-43T","View Company Online")</f>
        <v>View Company Online</v>
      </c>
    </row>
    <row r="6215" spans="1:18" hidden="1" x14ac:dyDescent="0.3">
      <c r="A6215" s="15" t="s">
        <v>18972</v>
      </c>
      <c r="B6215" s="15" t="s">
        <v>18973</v>
      </c>
      <c r="C6215" s="18" t="s">
        <v>28</v>
      </c>
      <c r="D6215" s="15" t="s">
        <v>18974</v>
      </c>
      <c r="E6215" s="18" t="s">
        <v>28</v>
      </c>
      <c r="F6215" s="19" t="s">
        <v>28</v>
      </c>
      <c r="G6215" s="19" t="s">
        <v>28</v>
      </c>
      <c r="H6215" s="19" t="s">
        <v>28</v>
      </c>
      <c r="I6215" s="18" t="s">
        <v>28</v>
      </c>
      <c r="J6215" s="18" t="s">
        <v>28</v>
      </c>
      <c r="K6215" s="18" t="s">
        <v>28</v>
      </c>
      <c r="L6215" s="18" t="s">
        <v>28</v>
      </c>
      <c r="M6215" s="18" t="s">
        <v>28</v>
      </c>
      <c r="N6215" s="17">
        <v>43900</v>
      </c>
      <c r="O6215" s="15" t="s">
        <v>52</v>
      </c>
      <c r="P6215" s="16" t="s">
        <v>3869</v>
      </c>
      <c r="Q6215" s="15" t="s">
        <v>37</v>
      </c>
      <c r="R6215" s="13" t="str">
        <f>HYPERLINK("https://my.pitchbook.com?c=265235-77T","View Company Online")</f>
        <v>View Company Online</v>
      </c>
    </row>
    <row r="6216" spans="1:18" hidden="1" x14ac:dyDescent="0.3">
      <c r="A6216" s="9" t="s">
        <v>18975</v>
      </c>
      <c r="B6216" s="9" t="s">
        <v>18976</v>
      </c>
      <c r="C6216" s="11" t="s">
        <v>28</v>
      </c>
      <c r="D6216" s="9" t="s">
        <v>18977</v>
      </c>
      <c r="E6216" s="11" t="s">
        <v>28</v>
      </c>
      <c r="F6216" s="10" t="s">
        <v>28</v>
      </c>
      <c r="G6216" s="10" t="s">
        <v>28</v>
      </c>
      <c r="H6216" s="10" t="s">
        <v>28</v>
      </c>
      <c r="I6216" s="11" t="s">
        <v>28</v>
      </c>
      <c r="J6216" s="11" t="s">
        <v>28</v>
      </c>
      <c r="K6216" s="11" t="s">
        <v>28</v>
      </c>
      <c r="L6216" s="11" t="s">
        <v>28</v>
      </c>
      <c r="M6216" s="11" t="s">
        <v>28</v>
      </c>
      <c r="N6216" s="8">
        <v>43899</v>
      </c>
      <c r="O6216" s="9" t="s">
        <v>73</v>
      </c>
      <c r="P6216" s="12" t="s">
        <v>611</v>
      </c>
      <c r="Q6216" s="9" t="s">
        <v>1793</v>
      </c>
      <c r="R6216" s="14" t="str">
        <f>HYPERLINK("https://my.pitchbook.com?c=138826-09T","View Company Online")</f>
        <v>View Company Online</v>
      </c>
    </row>
    <row r="6217" spans="1:18" hidden="1" x14ac:dyDescent="0.3">
      <c r="A6217" s="15" t="s">
        <v>18978</v>
      </c>
      <c r="B6217" s="15" t="s">
        <v>11151</v>
      </c>
      <c r="C6217" s="18" t="s">
        <v>28</v>
      </c>
      <c r="D6217" s="15" t="s">
        <v>11152</v>
      </c>
      <c r="E6217" s="18" t="s">
        <v>28</v>
      </c>
      <c r="F6217" s="19" t="s">
        <v>28</v>
      </c>
      <c r="G6217" s="19">
        <v>0.23</v>
      </c>
      <c r="H6217" s="19">
        <v>7.52</v>
      </c>
      <c r="I6217" s="18" t="s">
        <v>28</v>
      </c>
      <c r="J6217" s="18" t="s">
        <v>28</v>
      </c>
      <c r="K6217" s="18" t="s">
        <v>28</v>
      </c>
      <c r="L6217" s="18" t="s">
        <v>28</v>
      </c>
      <c r="M6217" s="18" t="s">
        <v>28</v>
      </c>
      <c r="N6217" s="17">
        <v>43899</v>
      </c>
      <c r="O6217" s="15" t="s">
        <v>52</v>
      </c>
      <c r="P6217" s="16" t="s">
        <v>3869</v>
      </c>
      <c r="Q6217" s="15" t="s">
        <v>37</v>
      </c>
      <c r="R6217" s="13" t="str">
        <f>HYPERLINK("https://my.pitchbook.com?c=264004-12T","View Company Online")</f>
        <v>View Company Online</v>
      </c>
    </row>
    <row r="6218" spans="1:18" hidden="1" x14ac:dyDescent="0.3">
      <c r="A6218" s="9" t="s">
        <v>18979</v>
      </c>
      <c r="B6218" s="9" t="s">
        <v>18980</v>
      </c>
      <c r="C6218" s="11" t="s">
        <v>28</v>
      </c>
      <c r="D6218" s="9" t="s">
        <v>18981</v>
      </c>
      <c r="E6218" s="11" t="s">
        <v>28</v>
      </c>
      <c r="F6218" s="10">
        <v>19.86</v>
      </c>
      <c r="G6218" s="10">
        <v>19.86</v>
      </c>
      <c r="H6218" s="10">
        <v>19.86</v>
      </c>
      <c r="I6218" s="11" t="s">
        <v>28</v>
      </c>
      <c r="J6218" s="11" t="s">
        <v>28</v>
      </c>
      <c r="K6218" s="11" t="s">
        <v>28</v>
      </c>
      <c r="L6218" s="11" t="s">
        <v>28</v>
      </c>
      <c r="M6218" s="11" t="s">
        <v>28</v>
      </c>
      <c r="N6218" s="8">
        <v>43899</v>
      </c>
      <c r="O6218" s="9" t="s">
        <v>30</v>
      </c>
      <c r="P6218" s="12" t="s">
        <v>18982</v>
      </c>
      <c r="Q6218" s="9" t="s">
        <v>348</v>
      </c>
      <c r="R6218" s="14" t="str">
        <f>HYPERLINK("https://my.pitchbook.com?c=211600-63T","View Company Online")</f>
        <v>View Company Online</v>
      </c>
    </row>
    <row r="6219" spans="1:18" hidden="1" x14ac:dyDescent="0.3">
      <c r="A6219" s="15" t="s">
        <v>18983</v>
      </c>
      <c r="B6219" s="15" t="s">
        <v>18984</v>
      </c>
      <c r="C6219" s="18" t="s">
        <v>28</v>
      </c>
      <c r="D6219" s="15" t="s">
        <v>18985</v>
      </c>
      <c r="E6219" s="18" t="s">
        <v>28</v>
      </c>
      <c r="F6219" s="19" t="s">
        <v>28</v>
      </c>
      <c r="G6219" s="19" t="s">
        <v>28</v>
      </c>
      <c r="H6219" s="19" t="s">
        <v>28</v>
      </c>
      <c r="I6219" s="18" t="s">
        <v>28</v>
      </c>
      <c r="J6219" s="18" t="s">
        <v>28</v>
      </c>
      <c r="K6219" s="18" t="s">
        <v>28</v>
      </c>
      <c r="L6219" s="18" t="s">
        <v>28</v>
      </c>
      <c r="M6219" s="18" t="s">
        <v>28</v>
      </c>
      <c r="N6219" s="17">
        <v>43896</v>
      </c>
      <c r="O6219" s="15" t="s">
        <v>30</v>
      </c>
      <c r="P6219" s="16" t="s">
        <v>18986</v>
      </c>
      <c r="Q6219" s="15" t="s">
        <v>136</v>
      </c>
      <c r="R6219" s="13" t="str">
        <f>HYPERLINK("https://my.pitchbook.com?c=133466-86T","View Company Online")</f>
        <v>View Company Online</v>
      </c>
    </row>
    <row r="6220" spans="1:18" hidden="1" x14ac:dyDescent="0.3">
      <c r="A6220" s="9" t="s">
        <v>18987</v>
      </c>
      <c r="B6220" s="9" t="s">
        <v>18988</v>
      </c>
      <c r="C6220" s="11" t="s">
        <v>28</v>
      </c>
      <c r="D6220" s="9" t="s">
        <v>18989</v>
      </c>
      <c r="E6220" s="11" t="s">
        <v>28</v>
      </c>
      <c r="F6220" s="10" t="s">
        <v>28</v>
      </c>
      <c r="G6220" s="10" t="s">
        <v>28</v>
      </c>
      <c r="H6220" s="10" t="s">
        <v>28</v>
      </c>
      <c r="I6220" s="11" t="s">
        <v>28</v>
      </c>
      <c r="J6220" s="11" t="s">
        <v>28</v>
      </c>
      <c r="K6220" s="11" t="s">
        <v>28</v>
      </c>
      <c r="L6220" s="11" t="s">
        <v>28</v>
      </c>
      <c r="M6220" s="11" t="s">
        <v>28</v>
      </c>
      <c r="N6220" s="8">
        <v>43896</v>
      </c>
      <c r="O6220" s="9" t="s">
        <v>30</v>
      </c>
      <c r="P6220" s="12" t="s">
        <v>18990</v>
      </c>
      <c r="Q6220" s="9" t="s">
        <v>880</v>
      </c>
      <c r="R6220" s="14" t="str">
        <f>HYPERLINK("https://my.pitchbook.com?c=135046-36T","View Company Online")</f>
        <v>View Company Online</v>
      </c>
    </row>
    <row r="6221" spans="1:18" hidden="1" x14ac:dyDescent="0.3">
      <c r="A6221" s="15" t="s">
        <v>18991</v>
      </c>
      <c r="B6221" s="15" t="s">
        <v>18992</v>
      </c>
      <c r="C6221" s="18" t="s">
        <v>28</v>
      </c>
      <c r="D6221" s="15" t="s">
        <v>18993</v>
      </c>
      <c r="E6221" s="18" t="s">
        <v>28</v>
      </c>
      <c r="F6221" s="19" t="s">
        <v>28</v>
      </c>
      <c r="G6221" s="19" t="s">
        <v>28</v>
      </c>
      <c r="H6221" s="19" t="s">
        <v>28</v>
      </c>
      <c r="I6221" s="18" t="s">
        <v>28</v>
      </c>
      <c r="J6221" s="18" t="s">
        <v>28</v>
      </c>
      <c r="K6221" s="18" t="s">
        <v>28</v>
      </c>
      <c r="L6221" s="18" t="s">
        <v>28</v>
      </c>
      <c r="M6221" s="18" t="s">
        <v>28</v>
      </c>
      <c r="N6221" s="17">
        <v>43896</v>
      </c>
      <c r="O6221" s="15" t="s">
        <v>30</v>
      </c>
      <c r="P6221" s="16" t="s">
        <v>18994</v>
      </c>
      <c r="Q6221" s="15" t="s">
        <v>669</v>
      </c>
      <c r="R6221" s="13" t="str">
        <f>HYPERLINK("https://my.pitchbook.com?c=133804-72T","View Company Online")</f>
        <v>View Company Online</v>
      </c>
    </row>
    <row r="6222" spans="1:18" hidden="1" x14ac:dyDescent="0.3">
      <c r="A6222" s="9" t="s">
        <v>18995</v>
      </c>
      <c r="B6222" s="9" t="s">
        <v>18996</v>
      </c>
      <c r="C6222" s="11" t="s">
        <v>28</v>
      </c>
      <c r="D6222" s="9" t="s">
        <v>18997</v>
      </c>
      <c r="E6222" s="11" t="s">
        <v>28</v>
      </c>
      <c r="F6222" s="10" t="s">
        <v>28</v>
      </c>
      <c r="G6222" s="10" t="s">
        <v>28</v>
      </c>
      <c r="H6222" s="10" t="s">
        <v>28</v>
      </c>
      <c r="I6222" s="11" t="s">
        <v>28</v>
      </c>
      <c r="J6222" s="11" t="s">
        <v>28</v>
      </c>
      <c r="K6222" s="11" t="s">
        <v>28</v>
      </c>
      <c r="L6222" s="11" t="s">
        <v>28</v>
      </c>
      <c r="M6222" s="11" t="s">
        <v>28</v>
      </c>
      <c r="N6222" s="8">
        <v>43896</v>
      </c>
      <c r="O6222" s="9" t="s">
        <v>30</v>
      </c>
      <c r="P6222" s="12" t="s">
        <v>18998</v>
      </c>
      <c r="Q6222" s="9" t="s">
        <v>136</v>
      </c>
      <c r="R6222" s="14" t="str">
        <f>HYPERLINK("https://my.pitchbook.com?c=203189-59T","View Company Online")</f>
        <v>View Company Online</v>
      </c>
    </row>
    <row r="6223" spans="1:18" hidden="1" x14ac:dyDescent="0.3">
      <c r="A6223" s="15" t="s">
        <v>18999</v>
      </c>
      <c r="B6223" s="15" t="s">
        <v>966</v>
      </c>
      <c r="C6223" s="18" t="s">
        <v>28</v>
      </c>
      <c r="D6223" s="15" t="s">
        <v>18709</v>
      </c>
      <c r="E6223" s="18" t="s">
        <v>28</v>
      </c>
      <c r="F6223" s="19" t="s">
        <v>28</v>
      </c>
      <c r="G6223" s="19" t="s">
        <v>28</v>
      </c>
      <c r="H6223" s="19" t="s">
        <v>28</v>
      </c>
      <c r="I6223" s="18" t="s">
        <v>28</v>
      </c>
      <c r="J6223" s="18" t="s">
        <v>28</v>
      </c>
      <c r="K6223" s="18" t="s">
        <v>28</v>
      </c>
      <c r="L6223" s="18" t="s">
        <v>28</v>
      </c>
      <c r="M6223" s="18" t="s">
        <v>28</v>
      </c>
      <c r="N6223" s="17">
        <v>43894</v>
      </c>
      <c r="O6223" s="15" t="s">
        <v>52</v>
      </c>
      <c r="P6223" s="16" t="s">
        <v>19000</v>
      </c>
      <c r="Q6223" s="15" t="s">
        <v>75</v>
      </c>
      <c r="R6223" s="13" t="str">
        <f>HYPERLINK("https://my.pitchbook.com?c=137277-01T","View Company Online")</f>
        <v>View Company Online</v>
      </c>
    </row>
    <row r="6224" spans="1:18" hidden="1" x14ac:dyDescent="0.3">
      <c r="A6224" s="9" t="s">
        <v>19001</v>
      </c>
      <c r="B6224" s="9" t="s">
        <v>19002</v>
      </c>
      <c r="C6224" s="11" t="s">
        <v>28</v>
      </c>
      <c r="D6224" s="9" t="s">
        <v>19003</v>
      </c>
      <c r="E6224" s="11" t="s">
        <v>28</v>
      </c>
      <c r="F6224" s="10" t="s">
        <v>28</v>
      </c>
      <c r="G6224" s="10">
        <v>0.23</v>
      </c>
      <c r="H6224" s="10" t="s">
        <v>28</v>
      </c>
      <c r="I6224" s="11" t="s">
        <v>28</v>
      </c>
      <c r="J6224" s="11" t="s">
        <v>28</v>
      </c>
      <c r="K6224" s="11" t="s">
        <v>28</v>
      </c>
      <c r="L6224" s="11" t="s">
        <v>28</v>
      </c>
      <c r="M6224" s="11" t="s">
        <v>28</v>
      </c>
      <c r="N6224" s="8">
        <v>43893</v>
      </c>
      <c r="O6224" s="9" t="s">
        <v>99</v>
      </c>
      <c r="P6224" s="12" t="s">
        <v>1917</v>
      </c>
      <c r="Q6224" s="9" t="s">
        <v>75</v>
      </c>
      <c r="R6224" s="14" t="str">
        <f>HYPERLINK("https://my.pitchbook.com?c=160996-33T","View Company Online")</f>
        <v>View Company Online</v>
      </c>
    </row>
    <row r="6225" spans="1:18" hidden="1" x14ac:dyDescent="0.3">
      <c r="A6225" s="15" t="s">
        <v>19004</v>
      </c>
      <c r="B6225" s="15" t="s">
        <v>19005</v>
      </c>
      <c r="C6225" s="18" t="s">
        <v>28</v>
      </c>
      <c r="D6225" s="15" t="s">
        <v>19006</v>
      </c>
      <c r="E6225" s="18" t="s">
        <v>28</v>
      </c>
      <c r="F6225" s="19" t="s">
        <v>28</v>
      </c>
      <c r="G6225" s="19" t="s">
        <v>28</v>
      </c>
      <c r="H6225" s="19" t="s">
        <v>28</v>
      </c>
      <c r="I6225" s="18" t="s">
        <v>28</v>
      </c>
      <c r="J6225" s="18" t="s">
        <v>28</v>
      </c>
      <c r="K6225" s="18" t="s">
        <v>28</v>
      </c>
      <c r="L6225" s="18" t="s">
        <v>28</v>
      </c>
      <c r="M6225" s="18" t="s">
        <v>28</v>
      </c>
      <c r="N6225" s="17">
        <v>43893</v>
      </c>
      <c r="O6225" s="15" t="s">
        <v>30</v>
      </c>
      <c r="P6225" s="16" t="s">
        <v>19007</v>
      </c>
      <c r="Q6225" s="15" t="s">
        <v>128</v>
      </c>
      <c r="R6225" s="13" t="str">
        <f>HYPERLINK("https://my.pitchbook.com?c=140997-79T","View Company Online")</f>
        <v>View Company Online</v>
      </c>
    </row>
    <row r="6226" spans="1:18" hidden="1" x14ac:dyDescent="0.3">
      <c r="A6226" s="9" t="s">
        <v>19008</v>
      </c>
      <c r="B6226" s="9" t="s">
        <v>19009</v>
      </c>
      <c r="C6226" s="11" t="s">
        <v>28</v>
      </c>
      <c r="D6226" s="9" t="s">
        <v>19010</v>
      </c>
      <c r="E6226" s="11" t="s">
        <v>28</v>
      </c>
      <c r="F6226" s="10" t="s">
        <v>28</v>
      </c>
      <c r="G6226" s="10" t="s">
        <v>28</v>
      </c>
      <c r="H6226" s="10" t="s">
        <v>28</v>
      </c>
      <c r="I6226" s="11" t="s">
        <v>28</v>
      </c>
      <c r="J6226" s="11" t="s">
        <v>28</v>
      </c>
      <c r="K6226" s="11" t="s">
        <v>28</v>
      </c>
      <c r="L6226" s="11" t="s">
        <v>28</v>
      </c>
      <c r="M6226" s="11" t="s">
        <v>28</v>
      </c>
      <c r="N6226" s="8">
        <v>43893</v>
      </c>
      <c r="O6226" s="9" t="s">
        <v>173</v>
      </c>
      <c r="P6226" s="12" t="s">
        <v>28</v>
      </c>
      <c r="Q6226" s="9" t="s">
        <v>174</v>
      </c>
      <c r="R6226" s="14" t="str">
        <f>HYPERLINK("https://my.pitchbook.com?c=226395-91T","View Company Online")</f>
        <v>View Company Online</v>
      </c>
    </row>
    <row r="6227" spans="1:18" hidden="1" x14ac:dyDescent="0.3">
      <c r="A6227" s="15" t="s">
        <v>19011</v>
      </c>
      <c r="B6227" s="15" t="s">
        <v>19012</v>
      </c>
      <c r="C6227" s="18" t="s">
        <v>28</v>
      </c>
      <c r="D6227" s="15" t="s">
        <v>19013</v>
      </c>
      <c r="E6227" s="18" t="s">
        <v>28</v>
      </c>
      <c r="F6227" s="19">
        <v>0.01</v>
      </c>
      <c r="G6227" s="19">
        <v>0.01</v>
      </c>
      <c r="H6227" s="19">
        <v>0.01</v>
      </c>
      <c r="I6227" s="18" t="s">
        <v>28</v>
      </c>
      <c r="J6227" s="18" t="s">
        <v>28</v>
      </c>
      <c r="K6227" s="18" t="s">
        <v>28</v>
      </c>
      <c r="L6227" s="18" t="s">
        <v>28</v>
      </c>
      <c r="M6227" s="18" t="s">
        <v>28</v>
      </c>
      <c r="N6227" s="17">
        <v>43893</v>
      </c>
      <c r="O6227" s="15" t="s">
        <v>30</v>
      </c>
      <c r="P6227" s="16" t="s">
        <v>28</v>
      </c>
      <c r="Q6227" s="15" t="s">
        <v>109</v>
      </c>
      <c r="R6227" s="13" t="str">
        <f>HYPERLINK("https://my.pitchbook.com?c=133406-56T","View Company Online")</f>
        <v>View Company Online</v>
      </c>
    </row>
    <row r="6228" spans="1:18" hidden="1" x14ac:dyDescent="0.3">
      <c r="A6228" s="9" t="s">
        <v>19014</v>
      </c>
      <c r="B6228" s="9" t="s">
        <v>11660</v>
      </c>
      <c r="C6228" s="11" t="s">
        <v>28</v>
      </c>
      <c r="D6228" s="9" t="s">
        <v>11661</v>
      </c>
      <c r="E6228" s="11" t="s">
        <v>28</v>
      </c>
      <c r="F6228" s="10" t="s">
        <v>28</v>
      </c>
      <c r="G6228" s="10">
        <v>11.5</v>
      </c>
      <c r="H6228" s="10" t="s">
        <v>28</v>
      </c>
      <c r="I6228" s="11" t="s">
        <v>28</v>
      </c>
      <c r="J6228" s="11" t="s">
        <v>28</v>
      </c>
      <c r="K6228" s="11" t="s">
        <v>28</v>
      </c>
      <c r="L6228" s="11" t="s">
        <v>28</v>
      </c>
      <c r="M6228" s="11" t="s">
        <v>28</v>
      </c>
      <c r="N6228" s="8">
        <v>43892</v>
      </c>
      <c r="O6228" s="9" t="s">
        <v>79</v>
      </c>
      <c r="P6228" s="12" t="s">
        <v>19015</v>
      </c>
      <c r="Q6228" s="9" t="s">
        <v>285</v>
      </c>
      <c r="R6228" s="14" t="str">
        <f>HYPERLINK("https://my.pitchbook.com?c=133009-39T","View Company Online")</f>
        <v>View Company Online</v>
      </c>
    </row>
    <row r="6229" spans="1:18" hidden="1" x14ac:dyDescent="0.3">
      <c r="A6229" s="15" t="s">
        <v>19016</v>
      </c>
      <c r="B6229" s="15" t="s">
        <v>19017</v>
      </c>
      <c r="C6229" s="18" t="s">
        <v>28</v>
      </c>
      <c r="D6229" s="15" t="s">
        <v>19018</v>
      </c>
      <c r="E6229" s="18" t="s">
        <v>28</v>
      </c>
      <c r="F6229" s="19" t="s">
        <v>28</v>
      </c>
      <c r="G6229" s="19" t="s">
        <v>28</v>
      </c>
      <c r="H6229" s="19" t="s">
        <v>28</v>
      </c>
      <c r="I6229" s="18" t="s">
        <v>28</v>
      </c>
      <c r="J6229" s="18" t="s">
        <v>28</v>
      </c>
      <c r="K6229" s="18" t="s">
        <v>28</v>
      </c>
      <c r="L6229" s="18" t="s">
        <v>28</v>
      </c>
      <c r="M6229" s="18" t="s">
        <v>28</v>
      </c>
      <c r="N6229" s="17">
        <v>43891</v>
      </c>
      <c r="O6229" s="15" t="s">
        <v>41</v>
      </c>
      <c r="P6229" s="16" t="s">
        <v>19019</v>
      </c>
      <c r="Q6229" s="15" t="s">
        <v>95</v>
      </c>
      <c r="R6229" s="13" t="str">
        <f>HYPERLINK("https://my.pitchbook.com?c=253262-71T","View Company Online")</f>
        <v>View Company Online</v>
      </c>
    </row>
    <row r="6230" spans="1:18" hidden="1" x14ac:dyDescent="0.3">
      <c r="A6230" s="9" t="s">
        <v>19020</v>
      </c>
      <c r="B6230" s="9" t="s">
        <v>5134</v>
      </c>
      <c r="C6230" s="11" t="s">
        <v>28</v>
      </c>
      <c r="D6230" s="9" t="s">
        <v>5135</v>
      </c>
      <c r="E6230" s="11" t="s">
        <v>28</v>
      </c>
      <c r="F6230" s="10" t="s">
        <v>28</v>
      </c>
      <c r="G6230" s="10">
        <v>115.03</v>
      </c>
      <c r="H6230" s="10" t="s">
        <v>28</v>
      </c>
      <c r="I6230" s="11" t="s">
        <v>28</v>
      </c>
      <c r="J6230" s="11" t="s">
        <v>28</v>
      </c>
      <c r="K6230" s="11" t="s">
        <v>28</v>
      </c>
      <c r="L6230" s="11" t="s">
        <v>28</v>
      </c>
      <c r="M6230" s="11">
        <v>-61.57</v>
      </c>
      <c r="N6230" s="8">
        <v>43891</v>
      </c>
      <c r="O6230" s="9" t="s">
        <v>58</v>
      </c>
      <c r="P6230" s="12" t="s">
        <v>6286</v>
      </c>
      <c r="Q6230" s="9" t="s">
        <v>1213</v>
      </c>
      <c r="R6230" s="14" t="str">
        <f>HYPERLINK("https://my.pitchbook.com?c=268162-66T","View Company Online")</f>
        <v>View Company Online</v>
      </c>
    </row>
    <row r="6231" spans="1:18" hidden="1" x14ac:dyDescent="0.3">
      <c r="A6231" s="15" t="s">
        <v>19021</v>
      </c>
      <c r="B6231" s="15" t="s">
        <v>6180</v>
      </c>
      <c r="C6231" s="18" t="s">
        <v>28</v>
      </c>
      <c r="D6231" s="15" t="s">
        <v>6181</v>
      </c>
      <c r="E6231" s="18" t="s">
        <v>28</v>
      </c>
      <c r="F6231" s="19" t="s">
        <v>28</v>
      </c>
      <c r="G6231" s="19">
        <v>0.35</v>
      </c>
      <c r="H6231" s="19" t="s">
        <v>28</v>
      </c>
      <c r="I6231" s="18" t="s">
        <v>28</v>
      </c>
      <c r="J6231" s="18" t="s">
        <v>28</v>
      </c>
      <c r="K6231" s="18" t="s">
        <v>28</v>
      </c>
      <c r="L6231" s="18" t="s">
        <v>28</v>
      </c>
      <c r="M6231" s="18" t="s">
        <v>28</v>
      </c>
      <c r="N6231" s="17">
        <v>43891</v>
      </c>
      <c r="O6231" s="15" t="s">
        <v>58</v>
      </c>
      <c r="P6231" s="16" t="s">
        <v>19022</v>
      </c>
      <c r="Q6231" s="15" t="s">
        <v>75</v>
      </c>
      <c r="R6231" s="13" t="str">
        <f>HYPERLINK("https://my.pitchbook.com?c=213130-00T","View Company Online")</f>
        <v>View Company Online</v>
      </c>
    </row>
    <row r="6232" spans="1:18" hidden="1" x14ac:dyDescent="0.3">
      <c r="A6232" s="9" t="s">
        <v>19023</v>
      </c>
      <c r="B6232" s="9" t="s">
        <v>3119</v>
      </c>
      <c r="C6232" s="11" t="s">
        <v>28</v>
      </c>
      <c r="D6232" s="9" t="s">
        <v>3120</v>
      </c>
      <c r="E6232" s="11" t="s">
        <v>28</v>
      </c>
      <c r="F6232" s="10" t="s">
        <v>28</v>
      </c>
      <c r="G6232" s="10" t="s">
        <v>28</v>
      </c>
      <c r="H6232" s="10" t="s">
        <v>28</v>
      </c>
      <c r="I6232" s="11" t="s">
        <v>28</v>
      </c>
      <c r="J6232" s="11" t="s">
        <v>28</v>
      </c>
      <c r="K6232" s="11" t="s">
        <v>28</v>
      </c>
      <c r="L6232" s="11" t="s">
        <v>28</v>
      </c>
      <c r="M6232" s="11" t="s">
        <v>28</v>
      </c>
      <c r="N6232" s="8">
        <v>43891</v>
      </c>
      <c r="O6232" s="9" t="s">
        <v>73</v>
      </c>
      <c r="P6232" s="12" t="s">
        <v>19024</v>
      </c>
      <c r="Q6232" s="9" t="s">
        <v>37</v>
      </c>
      <c r="R6232" s="14" t="str">
        <f>HYPERLINK("https://my.pitchbook.com?c=140628-79T","View Company Online")</f>
        <v>View Company Online</v>
      </c>
    </row>
    <row r="6233" spans="1:18" hidden="1" x14ac:dyDescent="0.3">
      <c r="A6233" s="15" t="s">
        <v>19025</v>
      </c>
      <c r="B6233" s="15" t="s">
        <v>8763</v>
      </c>
      <c r="C6233" s="18" t="s">
        <v>28</v>
      </c>
      <c r="D6233" s="15" t="s">
        <v>8764</v>
      </c>
      <c r="E6233" s="18" t="s">
        <v>28</v>
      </c>
      <c r="F6233" s="19" t="s">
        <v>28</v>
      </c>
      <c r="G6233" s="19">
        <v>0.23</v>
      </c>
      <c r="H6233" s="19">
        <v>7.67</v>
      </c>
      <c r="I6233" s="18" t="s">
        <v>28</v>
      </c>
      <c r="J6233" s="18" t="s">
        <v>28</v>
      </c>
      <c r="K6233" s="18" t="s">
        <v>28</v>
      </c>
      <c r="L6233" s="18" t="s">
        <v>28</v>
      </c>
      <c r="M6233" s="18" t="s">
        <v>28</v>
      </c>
      <c r="N6233" s="17">
        <v>43891</v>
      </c>
      <c r="O6233" s="15" t="s">
        <v>52</v>
      </c>
      <c r="P6233" s="16" t="s">
        <v>3869</v>
      </c>
      <c r="Q6233" s="15" t="s">
        <v>75</v>
      </c>
      <c r="R6233" s="13" t="str">
        <f>HYPERLINK("https://my.pitchbook.com?c=265208-95T","View Company Online")</f>
        <v>View Company Online</v>
      </c>
    </row>
    <row r="6234" spans="1:18" hidden="1" x14ac:dyDescent="0.3">
      <c r="A6234" s="9" t="s">
        <v>19026</v>
      </c>
      <c r="B6234" s="9" t="s">
        <v>14867</v>
      </c>
      <c r="C6234" s="11" t="s">
        <v>28</v>
      </c>
      <c r="D6234" s="9" t="s">
        <v>14868</v>
      </c>
      <c r="E6234" s="11" t="s">
        <v>28</v>
      </c>
      <c r="F6234" s="10" t="s">
        <v>28</v>
      </c>
      <c r="G6234" s="10" t="s">
        <v>28</v>
      </c>
      <c r="H6234" s="10" t="s">
        <v>28</v>
      </c>
      <c r="I6234" s="11" t="s">
        <v>28</v>
      </c>
      <c r="J6234" s="11" t="s">
        <v>28</v>
      </c>
      <c r="K6234" s="11" t="s">
        <v>28</v>
      </c>
      <c r="L6234" s="11" t="s">
        <v>28</v>
      </c>
      <c r="M6234" s="11" t="s">
        <v>28</v>
      </c>
      <c r="N6234" s="8">
        <v>43891</v>
      </c>
      <c r="O6234" s="9" t="s">
        <v>52</v>
      </c>
      <c r="P6234" s="12" t="s">
        <v>3375</v>
      </c>
      <c r="Q6234" s="9" t="s">
        <v>583</v>
      </c>
      <c r="R6234" s="14" t="str">
        <f>HYPERLINK("https://my.pitchbook.com?c=139490-92T","View Company Online")</f>
        <v>View Company Online</v>
      </c>
    </row>
    <row r="6235" spans="1:18" hidden="1" x14ac:dyDescent="0.3">
      <c r="A6235" s="15" t="s">
        <v>19027</v>
      </c>
      <c r="B6235" s="15" t="s">
        <v>19028</v>
      </c>
      <c r="C6235" s="18" t="s">
        <v>28</v>
      </c>
      <c r="D6235" s="15" t="s">
        <v>19029</v>
      </c>
      <c r="E6235" s="18" t="s">
        <v>28</v>
      </c>
      <c r="F6235" s="19" t="s">
        <v>28</v>
      </c>
      <c r="G6235" s="19" t="s">
        <v>28</v>
      </c>
      <c r="H6235" s="19" t="s">
        <v>28</v>
      </c>
      <c r="I6235" s="18" t="s">
        <v>28</v>
      </c>
      <c r="J6235" s="18" t="s">
        <v>28</v>
      </c>
      <c r="K6235" s="18" t="s">
        <v>28</v>
      </c>
      <c r="L6235" s="18" t="s">
        <v>28</v>
      </c>
      <c r="M6235" s="18" t="s">
        <v>28</v>
      </c>
      <c r="N6235" s="17">
        <v>43891</v>
      </c>
      <c r="O6235" s="15" t="s">
        <v>52</v>
      </c>
      <c r="P6235" s="16" t="s">
        <v>4297</v>
      </c>
      <c r="Q6235" s="15" t="s">
        <v>1007</v>
      </c>
      <c r="R6235" s="13" t="str">
        <f>HYPERLINK("https://my.pitchbook.com?c=284199-49T","View Company Online")</f>
        <v>View Company Online</v>
      </c>
    </row>
    <row r="6236" spans="1:18" hidden="1" x14ac:dyDescent="0.3">
      <c r="A6236" s="9" t="s">
        <v>19030</v>
      </c>
      <c r="B6236" s="9" t="s">
        <v>10281</v>
      </c>
      <c r="C6236" s="11" t="s">
        <v>28</v>
      </c>
      <c r="D6236" s="9" t="s">
        <v>10282</v>
      </c>
      <c r="E6236" s="11" t="s">
        <v>28</v>
      </c>
      <c r="F6236" s="10" t="s">
        <v>28</v>
      </c>
      <c r="G6236" s="10">
        <v>0.25</v>
      </c>
      <c r="H6236" s="10" t="s">
        <v>28</v>
      </c>
      <c r="I6236" s="11" t="s">
        <v>28</v>
      </c>
      <c r="J6236" s="11" t="s">
        <v>28</v>
      </c>
      <c r="K6236" s="11" t="s">
        <v>28</v>
      </c>
      <c r="L6236" s="11" t="s">
        <v>28</v>
      </c>
      <c r="M6236" s="11" t="s">
        <v>28</v>
      </c>
      <c r="N6236" s="8">
        <v>43891</v>
      </c>
      <c r="O6236" s="9" t="s">
        <v>73</v>
      </c>
      <c r="P6236" s="12" t="s">
        <v>28</v>
      </c>
      <c r="Q6236" s="9" t="s">
        <v>105</v>
      </c>
      <c r="R6236" s="14" t="str">
        <f>HYPERLINK("https://my.pitchbook.com?c=206809-75T","View Company Online")</f>
        <v>View Company Online</v>
      </c>
    </row>
    <row r="6237" spans="1:18" hidden="1" x14ac:dyDescent="0.3">
      <c r="A6237" s="15" t="s">
        <v>19031</v>
      </c>
      <c r="B6237" s="15" t="s">
        <v>6441</v>
      </c>
      <c r="C6237" s="18" t="s">
        <v>28</v>
      </c>
      <c r="D6237" s="15" t="s">
        <v>6442</v>
      </c>
      <c r="E6237" s="18" t="s">
        <v>28</v>
      </c>
      <c r="F6237" s="19" t="s">
        <v>28</v>
      </c>
      <c r="G6237" s="19">
        <v>0.7</v>
      </c>
      <c r="H6237" s="19" t="s">
        <v>28</v>
      </c>
      <c r="I6237" s="18" t="s">
        <v>28</v>
      </c>
      <c r="J6237" s="18" t="s">
        <v>28</v>
      </c>
      <c r="K6237" s="18" t="s">
        <v>28</v>
      </c>
      <c r="L6237" s="18" t="s">
        <v>28</v>
      </c>
      <c r="M6237" s="18" t="s">
        <v>28</v>
      </c>
      <c r="N6237" s="17">
        <v>43891</v>
      </c>
      <c r="O6237" s="15" t="s">
        <v>99</v>
      </c>
      <c r="P6237" s="16" t="s">
        <v>19032</v>
      </c>
      <c r="Q6237" s="15" t="s">
        <v>37</v>
      </c>
      <c r="R6237" s="13" t="str">
        <f>HYPERLINK("https://my.pitchbook.com?c=165802-87T","View Company Online")</f>
        <v>View Company Online</v>
      </c>
    </row>
    <row r="6238" spans="1:18" hidden="1" x14ac:dyDescent="0.3">
      <c r="A6238" s="9" t="s">
        <v>19033</v>
      </c>
      <c r="B6238" s="9" t="s">
        <v>19034</v>
      </c>
      <c r="C6238" s="11" t="s">
        <v>28</v>
      </c>
      <c r="D6238" s="9" t="s">
        <v>19035</v>
      </c>
      <c r="E6238" s="11" t="s">
        <v>28</v>
      </c>
      <c r="F6238" s="10" t="s">
        <v>28</v>
      </c>
      <c r="G6238" s="10" t="s">
        <v>28</v>
      </c>
      <c r="H6238" s="10" t="s">
        <v>28</v>
      </c>
      <c r="I6238" s="11" t="s">
        <v>28</v>
      </c>
      <c r="J6238" s="11" t="s">
        <v>28</v>
      </c>
      <c r="K6238" s="11" t="s">
        <v>28</v>
      </c>
      <c r="L6238" s="11" t="s">
        <v>28</v>
      </c>
      <c r="M6238" s="11" t="s">
        <v>28</v>
      </c>
      <c r="N6238" s="8">
        <v>43890</v>
      </c>
      <c r="O6238" s="9" t="s">
        <v>30</v>
      </c>
      <c r="P6238" s="12" t="s">
        <v>19036</v>
      </c>
      <c r="Q6238" s="9" t="s">
        <v>105</v>
      </c>
      <c r="R6238" s="14" t="str">
        <f>HYPERLINK("https://my.pitchbook.com?c=203150-80T","View Company Online")</f>
        <v>View Company Online</v>
      </c>
    </row>
    <row r="6239" spans="1:18" hidden="1" x14ac:dyDescent="0.3">
      <c r="A6239" s="15" t="s">
        <v>19037</v>
      </c>
      <c r="B6239" s="15" t="s">
        <v>19038</v>
      </c>
      <c r="C6239" s="18" t="s">
        <v>28</v>
      </c>
      <c r="D6239" s="15" t="s">
        <v>19039</v>
      </c>
      <c r="E6239" s="18" t="s">
        <v>28</v>
      </c>
      <c r="F6239" s="19">
        <v>8.7899999999999991</v>
      </c>
      <c r="G6239" s="19">
        <v>8.68</v>
      </c>
      <c r="H6239" s="19">
        <v>8.7899999999999991</v>
      </c>
      <c r="I6239" s="18" t="s">
        <v>28</v>
      </c>
      <c r="J6239" s="18" t="s">
        <v>28</v>
      </c>
      <c r="K6239" s="18" t="s">
        <v>28</v>
      </c>
      <c r="L6239" s="18" t="s">
        <v>28</v>
      </c>
      <c r="M6239" s="18" t="s">
        <v>28</v>
      </c>
      <c r="N6239" s="17">
        <v>43889</v>
      </c>
      <c r="O6239" s="15" t="s">
        <v>41</v>
      </c>
      <c r="P6239" s="16" t="s">
        <v>19040</v>
      </c>
      <c r="Q6239" s="15" t="s">
        <v>5347</v>
      </c>
      <c r="R6239" s="13" t="str">
        <f>HYPERLINK("https://my.pitchbook.com?c=201136-69T","View Company Online")</f>
        <v>View Company Online</v>
      </c>
    </row>
    <row r="6240" spans="1:18" hidden="1" x14ac:dyDescent="0.3">
      <c r="A6240" s="9" t="s">
        <v>19041</v>
      </c>
      <c r="B6240" s="9" t="s">
        <v>14284</v>
      </c>
      <c r="C6240" s="11" t="s">
        <v>28</v>
      </c>
      <c r="D6240" s="9" t="s">
        <v>14285</v>
      </c>
      <c r="E6240" s="11" t="s">
        <v>28</v>
      </c>
      <c r="F6240" s="10" t="s">
        <v>28</v>
      </c>
      <c r="G6240" s="10">
        <v>0.16</v>
      </c>
      <c r="H6240" s="10" t="s">
        <v>28</v>
      </c>
      <c r="I6240" s="11" t="s">
        <v>28</v>
      </c>
      <c r="J6240" s="11" t="s">
        <v>28</v>
      </c>
      <c r="K6240" s="11" t="s">
        <v>28</v>
      </c>
      <c r="L6240" s="11" t="s">
        <v>28</v>
      </c>
      <c r="M6240" s="11" t="s">
        <v>28</v>
      </c>
      <c r="N6240" s="8">
        <v>43889</v>
      </c>
      <c r="O6240" s="9" t="s">
        <v>73</v>
      </c>
      <c r="P6240" s="12" t="s">
        <v>19042</v>
      </c>
      <c r="Q6240" s="9" t="s">
        <v>75</v>
      </c>
      <c r="R6240" s="14" t="str">
        <f>HYPERLINK("https://my.pitchbook.com?c=119971-63T","View Company Online")</f>
        <v>View Company Online</v>
      </c>
    </row>
    <row r="6241" spans="1:18" hidden="1" x14ac:dyDescent="0.3">
      <c r="A6241" s="15" t="s">
        <v>19043</v>
      </c>
      <c r="B6241" s="15" t="s">
        <v>19044</v>
      </c>
      <c r="C6241" s="18" t="s">
        <v>28</v>
      </c>
      <c r="D6241" s="15" t="s">
        <v>19045</v>
      </c>
      <c r="E6241" s="18" t="s">
        <v>28</v>
      </c>
      <c r="F6241" s="19" t="s">
        <v>28</v>
      </c>
      <c r="G6241" s="19" t="s">
        <v>28</v>
      </c>
      <c r="H6241" s="19" t="s">
        <v>28</v>
      </c>
      <c r="I6241" s="18" t="s">
        <v>28</v>
      </c>
      <c r="J6241" s="18" t="s">
        <v>28</v>
      </c>
      <c r="K6241" s="18" t="s">
        <v>28</v>
      </c>
      <c r="L6241" s="18" t="s">
        <v>28</v>
      </c>
      <c r="M6241" s="18" t="s">
        <v>28</v>
      </c>
      <c r="N6241" s="17">
        <v>43889</v>
      </c>
      <c r="O6241" s="15" t="s">
        <v>173</v>
      </c>
      <c r="P6241" s="16" t="s">
        <v>28</v>
      </c>
      <c r="Q6241" s="15" t="s">
        <v>174</v>
      </c>
      <c r="R6241" s="13" t="str">
        <f>HYPERLINK("https://my.pitchbook.com?c=226396-63T","View Company Online")</f>
        <v>View Company Online</v>
      </c>
    </row>
    <row r="6242" spans="1:18" hidden="1" x14ac:dyDescent="0.3">
      <c r="A6242" s="9" t="s">
        <v>19046</v>
      </c>
      <c r="B6242" s="9" t="s">
        <v>19047</v>
      </c>
      <c r="C6242" s="11" t="s">
        <v>28</v>
      </c>
      <c r="D6242" s="9" t="s">
        <v>19048</v>
      </c>
      <c r="E6242" s="11" t="s">
        <v>28</v>
      </c>
      <c r="F6242" s="10">
        <v>62.36</v>
      </c>
      <c r="G6242" s="10">
        <v>62.36</v>
      </c>
      <c r="H6242" s="10">
        <v>62.36</v>
      </c>
      <c r="I6242" s="11" t="s">
        <v>28</v>
      </c>
      <c r="J6242" s="11" t="s">
        <v>28</v>
      </c>
      <c r="K6242" s="11" t="s">
        <v>28</v>
      </c>
      <c r="L6242" s="11" t="s">
        <v>28</v>
      </c>
      <c r="M6242" s="11" t="s">
        <v>28</v>
      </c>
      <c r="N6242" s="8">
        <v>43889</v>
      </c>
      <c r="O6242" s="9" t="s">
        <v>30</v>
      </c>
      <c r="P6242" s="12" t="s">
        <v>12473</v>
      </c>
      <c r="Q6242" s="9" t="s">
        <v>37</v>
      </c>
      <c r="R6242" s="14" t="str">
        <f>HYPERLINK("https://my.pitchbook.com?c=155041-30T","View Company Online")</f>
        <v>View Company Online</v>
      </c>
    </row>
    <row r="6243" spans="1:18" hidden="1" x14ac:dyDescent="0.3">
      <c r="A6243" s="15" t="s">
        <v>19049</v>
      </c>
      <c r="B6243" s="15" t="s">
        <v>19050</v>
      </c>
      <c r="C6243" s="18" t="s">
        <v>28</v>
      </c>
      <c r="D6243" s="15" t="s">
        <v>19051</v>
      </c>
      <c r="E6243" s="18" t="s">
        <v>28</v>
      </c>
      <c r="F6243" s="19" t="s">
        <v>28</v>
      </c>
      <c r="G6243" s="19">
        <v>87.76</v>
      </c>
      <c r="H6243" s="19" t="s">
        <v>28</v>
      </c>
      <c r="I6243" s="18" t="s">
        <v>28</v>
      </c>
      <c r="J6243" s="18" t="s">
        <v>28</v>
      </c>
      <c r="K6243" s="18" t="s">
        <v>28</v>
      </c>
      <c r="L6243" s="18" t="s">
        <v>28</v>
      </c>
      <c r="M6243" s="18" t="s">
        <v>28</v>
      </c>
      <c r="N6243" s="17">
        <v>43889</v>
      </c>
      <c r="O6243" s="15" t="s">
        <v>73</v>
      </c>
      <c r="P6243" s="16" t="s">
        <v>19052</v>
      </c>
      <c r="Q6243" s="15" t="s">
        <v>85</v>
      </c>
      <c r="R6243" s="13" t="str">
        <f>HYPERLINK("https://my.pitchbook.com?c=132989-50T","View Company Online")</f>
        <v>View Company Online</v>
      </c>
    </row>
    <row r="6244" spans="1:18" hidden="1" x14ac:dyDescent="0.3">
      <c r="A6244" s="9" t="s">
        <v>19053</v>
      </c>
      <c r="B6244" s="9" t="s">
        <v>15842</v>
      </c>
      <c r="C6244" s="11" t="s">
        <v>28</v>
      </c>
      <c r="D6244" s="9" t="s">
        <v>15843</v>
      </c>
      <c r="E6244" s="11" t="s">
        <v>28</v>
      </c>
      <c r="F6244" s="10" t="s">
        <v>28</v>
      </c>
      <c r="G6244" s="10">
        <v>1.31</v>
      </c>
      <c r="H6244" s="10" t="s">
        <v>28</v>
      </c>
      <c r="I6244" s="11" t="s">
        <v>28</v>
      </c>
      <c r="J6244" s="11" t="s">
        <v>28</v>
      </c>
      <c r="K6244" s="11" t="s">
        <v>28</v>
      </c>
      <c r="L6244" s="11" t="s">
        <v>28</v>
      </c>
      <c r="M6244" s="11" t="s">
        <v>28</v>
      </c>
      <c r="N6244" s="8">
        <v>43888</v>
      </c>
      <c r="O6244" s="9" t="s">
        <v>58</v>
      </c>
      <c r="P6244" s="12" t="s">
        <v>19054</v>
      </c>
      <c r="Q6244" s="9" t="s">
        <v>37</v>
      </c>
      <c r="R6244" s="14" t="str">
        <f>HYPERLINK("https://my.pitchbook.com?c=132929-65T","View Company Online")</f>
        <v>View Company Online</v>
      </c>
    </row>
    <row r="6245" spans="1:18" hidden="1" x14ac:dyDescent="0.3">
      <c r="A6245" s="15" t="s">
        <v>19055</v>
      </c>
      <c r="B6245" s="15" t="s">
        <v>19056</v>
      </c>
      <c r="C6245" s="18" t="s">
        <v>28</v>
      </c>
      <c r="D6245" s="15" t="s">
        <v>19057</v>
      </c>
      <c r="E6245" s="18" t="s">
        <v>28</v>
      </c>
      <c r="F6245" s="19" t="s">
        <v>28</v>
      </c>
      <c r="G6245" s="19">
        <v>4.75</v>
      </c>
      <c r="H6245" s="19" t="s">
        <v>28</v>
      </c>
      <c r="I6245" s="18" t="s">
        <v>28</v>
      </c>
      <c r="J6245" s="18" t="s">
        <v>28</v>
      </c>
      <c r="K6245" s="18" t="s">
        <v>28</v>
      </c>
      <c r="L6245" s="18" t="s">
        <v>28</v>
      </c>
      <c r="M6245" s="18" t="s">
        <v>28</v>
      </c>
      <c r="N6245" s="17">
        <v>43888</v>
      </c>
      <c r="O6245" s="15" t="s">
        <v>99</v>
      </c>
      <c r="P6245" s="16" t="s">
        <v>2235</v>
      </c>
      <c r="Q6245" s="15" t="s">
        <v>136</v>
      </c>
      <c r="R6245" s="13" t="str">
        <f>HYPERLINK("https://my.pitchbook.com?c=175532-77T","View Company Online")</f>
        <v>View Company Online</v>
      </c>
    </row>
    <row r="6246" spans="1:18" hidden="1" x14ac:dyDescent="0.3">
      <c r="A6246" s="9" t="s">
        <v>19058</v>
      </c>
      <c r="B6246" s="9" t="s">
        <v>19059</v>
      </c>
      <c r="C6246" s="11" t="s">
        <v>28</v>
      </c>
      <c r="D6246" s="9" t="s">
        <v>19060</v>
      </c>
      <c r="E6246" s="11" t="s">
        <v>28</v>
      </c>
      <c r="F6246" s="10" t="s">
        <v>28</v>
      </c>
      <c r="G6246" s="10" t="s">
        <v>28</v>
      </c>
      <c r="H6246" s="10" t="s">
        <v>28</v>
      </c>
      <c r="I6246" s="11" t="s">
        <v>28</v>
      </c>
      <c r="J6246" s="11" t="s">
        <v>28</v>
      </c>
      <c r="K6246" s="11" t="s">
        <v>28</v>
      </c>
      <c r="L6246" s="11" t="s">
        <v>28</v>
      </c>
      <c r="M6246" s="11" t="s">
        <v>28</v>
      </c>
      <c r="N6246" s="8">
        <v>43888</v>
      </c>
      <c r="O6246" s="9" t="s">
        <v>30</v>
      </c>
      <c r="P6246" s="12" t="s">
        <v>19061</v>
      </c>
      <c r="Q6246" s="9" t="s">
        <v>109</v>
      </c>
      <c r="R6246" s="14" t="str">
        <f>HYPERLINK("https://my.pitchbook.com?c=245355-94T","View Company Online")</f>
        <v>View Company Online</v>
      </c>
    </row>
    <row r="6247" spans="1:18" hidden="1" x14ac:dyDescent="0.3">
      <c r="A6247" s="15" t="s">
        <v>19062</v>
      </c>
      <c r="B6247" s="15" t="s">
        <v>11871</v>
      </c>
      <c r="C6247" s="18" t="s">
        <v>28</v>
      </c>
      <c r="D6247" s="15" t="s">
        <v>11872</v>
      </c>
      <c r="E6247" s="18" t="s">
        <v>28</v>
      </c>
      <c r="F6247" s="19" t="s">
        <v>28</v>
      </c>
      <c r="G6247" s="19">
        <v>1.25</v>
      </c>
      <c r="H6247" s="19" t="s">
        <v>28</v>
      </c>
      <c r="I6247" s="18" t="s">
        <v>28</v>
      </c>
      <c r="J6247" s="18" t="s">
        <v>28</v>
      </c>
      <c r="K6247" s="18" t="s">
        <v>28</v>
      </c>
      <c r="L6247" s="18" t="s">
        <v>28</v>
      </c>
      <c r="M6247" s="18" t="s">
        <v>28</v>
      </c>
      <c r="N6247" s="17">
        <v>43888</v>
      </c>
      <c r="O6247" s="15" t="s">
        <v>99</v>
      </c>
      <c r="P6247" s="16" t="s">
        <v>19063</v>
      </c>
      <c r="Q6247" s="15" t="s">
        <v>128</v>
      </c>
      <c r="R6247" s="13" t="str">
        <f>HYPERLINK("https://my.pitchbook.com?c=165881-44T","View Company Online")</f>
        <v>View Company Online</v>
      </c>
    </row>
    <row r="6248" spans="1:18" hidden="1" x14ac:dyDescent="0.3">
      <c r="A6248" s="9" t="s">
        <v>19064</v>
      </c>
      <c r="B6248" s="9" t="s">
        <v>11583</v>
      </c>
      <c r="C6248" s="11" t="s">
        <v>28</v>
      </c>
      <c r="D6248" s="9" t="s">
        <v>11584</v>
      </c>
      <c r="E6248" s="11" t="s">
        <v>28</v>
      </c>
      <c r="F6248" s="10" t="s">
        <v>28</v>
      </c>
      <c r="G6248" s="10" t="s">
        <v>28</v>
      </c>
      <c r="H6248" s="10" t="s">
        <v>28</v>
      </c>
      <c r="I6248" s="11" t="s">
        <v>28</v>
      </c>
      <c r="J6248" s="11" t="s">
        <v>28</v>
      </c>
      <c r="K6248" s="11" t="s">
        <v>28</v>
      </c>
      <c r="L6248" s="11" t="s">
        <v>28</v>
      </c>
      <c r="M6248" s="11" t="s">
        <v>28</v>
      </c>
      <c r="N6248" s="8">
        <v>43885</v>
      </c>
      <c r="O6248" s="9" t="s">
        <v>79</v>
      </c>
      <c r="P6248" s="12" t="s">
        <v>19065</v>
      </c>
      <c r="Q6248" s="9" t="s">
        <v>37</v>
      </c>
      <c r="R6248" s="14" t="str">
        <f>HYPERLINK("https://my.pitchbook.com?c=136404-37T","View Company Online")</f>
        <v>View Company Online</v>
      </c>
    </row>
    <row r="6249" spans="1:18" hidden="1" x14ac:dyDescent="0.3">
      <c r="A6249" s="15" t="s">
        <v>19066</v>
      </c>
      <c r="B6249" s="15" t="s">
        <v>19067</v>
      </c>
      <c r="C6249" s="18" t="s">
        <v>28</v>
      </c>
      <c r="D6249" s="15" t="s">
        <v>19068</v>
      </c>
      <c r="E6249" s="18" t="s">
        <v>28</v>
      </c>
      <c r="F6249" s="19" t="s">
        <v>28</v>
      </c>
      <c r="G6249" s="19" t="s">
        <v>28</v>
      </c>
      <c r="H6249" s="19" t="s">
        <v>28</v>
      </c>
      <c r="I6249" s="18" t="s">
        <v>28</v>
      </c>
      <c r="J6249" s="18" t="s">
        <v>28</v>
      </c>
      <c r="K6249" s="18" t="s">
        <v>28</v>
      </c>
      <c r="L6249" s="18" t="s">
        <v>28</v>
      </c>
      <c r="M6249" s="18" t="s">
        <v>28</v>
      </c>
      <c r="N6249" s="17">
        <v>43882</v>
      </c>
      <c r="O6249" s="15" t="s">
        <v>173</v>
      </c>
      <c r="P6249" s="16" t="s">
        <v>28</v>
      </c>
      <c r="Q6249" s="15" t="s">
        <v>174</v>
      </c>
      <c r="R6249" s="13" t="str">
        <f>HYPERLINK("https://my.pitchbook.com?c=224456-41T","View Company Online")</f>
        <v>View Company Online</v>
      </c>
    </row>
    <row r="6250" spans="1:18" hidden="1" x14ac:dyDescent="0.3">
      <c r="A6250" s="9" t="s">
        <v>19069</v>
      </c>
      <c r="B6250" s="9" t="s">
        <v>19070</v>
      </c>
      <c r="C6250" s="11" t="s">
        <v>28</v>
      </c>
      <c r="D6250" s="9" t="s">
        <v>19071</v>
      </c>
      <c r="E6250" s="11" t="s">
        <v>28</v>
      </c>
      <c r="F6250" s="10" t="s">
        <v>28</v>
      </c>
      <c r="G6250" s="10">
        <v>0.01</v>
      </c>
      <c r="H6250" s="10" t="s">
        <v>28</v>
      </c>
      <c r="I6250" s="11" t="s">
        <v>28</v>
      </c>
      <c r="J6250" s="11" t="s">
        <v>28</v>
      </c>
      <c r="K6250" s="11" t="s">
        <v>28</v>
      </c>
      <c r="L6250" s="11" t="s">
        <v>28</v>
      </c>
      <c r="M6250" s="11" t="s">
        <v>28</v>
      </c>
      <c r="N6250" s="8">
        <v>43882</v>
      </c>
      <c r="O6250" s="9" t="s">
        <v>52</v>
      </c>
      <c r="P6250" s="12" t="s">
        <v>19072</v>
      </c>
      <c r="Q6250" s="9" t="s">
        <v>75</v>
      </c>
      <c r="R6250" s="14" t="str">
        <f>HYPERLINK("https://my.pitchbook.com?c=170475-04T","View Company Online")</f>
        <v>View Company Online</v>
      </c>
    </row>
    <row r="6251" spans="1:18" hidden="1" x14ac:dyDescent="0.3">
      <c r="A6251" s="15" t="s">
        <v>19073</v>
      </c>
      <c r="B6251" s="15" t="s">
        <v>16016</v>
      </c>
      <c r="C6251" s="18" t="s">
        <v>28</v>
      </c>
      <c r="D6251" s="15" t="s">
        <v>16017</v>
      </c>
      <c r="E6251" s="18" t="s">
        <v>28</v>
      </c>
      <c r="F6251" s="19" t="s">
        <v>28</v>
      </c>
      <c r="G6251" s="19" t="s">
        <v>28</v>
      </c>
      <c r="H6251" s="19" t="s">
        <v>28</v>
      </c>
      <c r="I6251" s="18" t="s">
        <v>28</v>
      </c>
      <c r="J6251" s="18" t="s">
        <v>28</v>
      </c>
      <c r="K6251" s="18" t="s">
        <v>28</v>
      </c>
      <c r="L6251" s="18" t="s">
        <v>28</v>
      </c>
      <c r="M6251" s="18" t="s">
        <v>28</v>
      </c>
      <c r="N6251" s="17">
        <v>43882</v>
      </c>
      <c r="O6251" s="15" t="s">
        <v>79</v>
      </c>
      <c r="P6251" s="16" t="s">
        <v>19074</v>
      </c>
      <c r="Q6251" s="15" t="s">
        <v>583</v>
      </c>
      <c r="R6251" s="13" t="str">
        <f>HYPERLINK("https://my.pitchbook.com?c=136570-15T","View Company Online")</f>
        <v>View Company Online</v>
      </c>
    </row>
    <row r="6252" spans="1:18" hidden="1" x14ac:dyDescent="0.3">
      <c r="A6252" s="9" t="s">
        <v>19075</v>
      </c>
      <c r="B6252" s="9" t="s">
        <v>19076</v>
      </c>
      <c r="C6252" s="11" t="s">
        <v>28</v>
      </c>
      <c r="D6252" s="9" t="s">
        <v>19077</v>
      </c>
      <c r="E6252" s="11" t="s">
        <v>28</v>
      </c>
      <c r="F6252" s="10" t="s">
        <v>28</v>
      </c>
      <c r="G6252" s="10" t="s">
        <v>28</v>
      </c>
      <c r="H6252" s="10" t="s">
        <v>28</v>
      </c>
      <c r="I6252" s="11" t="s">
        <v>28</v>
      </c>
      <c r="J6252" s="11" t="s">
        <v>28</v>
      </c>
      <c r="K6252" s="11">
        <v>3.86</v>
      </c>
      <c r="L6252" s="11" t="s">
        <v>28</v>
      </c>
      <c r="M6252" s="11">
        <v>3.06</v>
      </c>
      <c r="N6252" s="8">
        <v>43882</v>
      </c>
      <c r="O6252" s="9" t="s">
        <v>173</v>
      </c>
      <c r="P6252" s="12" t="s">
        <v>28</v>
      </c>
      <c r="Q6252" s="9" t="s">
        <v>174</v>
      </c>
      <c r="R6252" s="14" t="str">
        <f>HYPERLINK("https://my.pitchbook.com?c=227651-68T","View Company Online")</f>
        <v>View Company Online</v>
      </c>
    </row>
    <row r="6253" spans="1:18" hidden="1" x14ac:dyDescent="0.3">
      <c r="A6253" s="15" t="s">
        <v>19078</v>
      </c>
      <c r="B6253" s="15" t="s">
        <v>17728</v>
      </c>
      <c r="C6253" s="18" t="s">
        <v>28</v>
      </c>
      <c r="D6253" s="15" t="s">
        <v>17729</v>
      </c>
      <c r="E6253" s="18" t="s">
        <v>28</v>
      </c>
      <c r="F6253" s="19" t="s">
        <v>28</v>
      </c>
      <c r="G6253" s="19">
        <v>0.06</v>
      </c>
      <c r="H6253" s="19" t="s">
        <v>28</v>
      </c>
      <c r="I6253" s="18" t="s">
        <v>28</v>
      </c>
      <c r="J6253" s="18" t="s">
        <v>28</v>
      </c>
      <c r="K6253" s="18" t="s">
        <v>28</v>
      </c>
      <c r="L6253" s="18" t="s">
        <v>28</v>
      </c>
      <c r="M6253" s="18" t="s">
        <v>28</v>
      </c>
      <c r="N6253" s="17">
        <v>43881</v>
      </c>
      <c r="O6253" s="15" t="s">
        <v>52</v>
      </c>
      <c r="P6253" s="16" t="s">
        <v>221</v>
      </c>
      <c r="Q6253" s="15" t="s">
        <v>75</v>
      </c>
      <c r="R6253" s="13" t="str">
        <f>HYPERLINK("https://my.pitchbook.com?c=213334-66T","View Company Online")</f>
        <v>View Company Online</v>
      </c>
    </row>
    <row r="6254" spans="1:18" hidden="1" x14ac:dyDescent="0.3">
      <c r="A6254" s="9" t="s">
        <v>19079</v>
      </c>
      <c r="B6254" s="9" t="s">
        <v>19080</v>
      </c>
      <c r="C6254" s="11" t="s">
        <v>28</v>
      </c>
      <c r="D6254" s="9" t="s">
        <v>19081</v>
      </c>
      <c r="E6254" s="11" t="s">
        <v>28</v>
      </c>
      <c r="F6254" s="10" t="s">
        <v>28</v>
      </c>
      <c r="G6254" s="10" t="s">
        <v>28</v>
      </c>
      <c r="H6254" s="10" t="s">
        <v>28</v>
      </c>
      <c r="I6254" s="11" t="s">
        <v>28</v>
      </c>
      <c r="J6254" s="11" t="s">
        <v>28</v>
      </c>
      <c r="K6254" s="11" t="s">
        <v>28</v>
      </c>
      <c r="L6254" s="11" t="s">
        <v>28</v>
      </c>
      <c r="M6254" s="11" t="s">
        <v>28</v>
      </c>
      <c r="N6254" s="8">
        <v>43881</v>
      </c>
      <c r="O6254" s="9" t="s">
        <v>173</v>
      </c>
      <c r="P6254" s="12" t="s">
        <v>28</v>
      </c>
      <c r="Q6254" s="9" t="s">
        <v>174</v>
      </c>
      <c r="R6254" s="14" t="str">
        <f>HYPERLINK("https://my.pitchbook.com?c=251581-87T","View Company Online")</f>
        <v>View Company Online</v>
      </c>
    </row>
    <row r="6255" spans="1:18" hidden="1" x14ac:dyDescent="0.3">
      <c r="A6255" s="15" t="s">
        <v>19082</v>
      </c>
      <c r="B6255" s="15" t="s">
        <v>1626</v>
      </c>
      <c r="C6255" s="18" t="s">
        <v>28</v>
      </c>
      <c r="D6255" s="15" t="s">
        <v>1627</v>
      </c>
      <c r="E6255" s="18" t="s">
        <v>28</v>
      </c>
      <c r="F6255" s="19" t="s">
        <v>28</v>
      </c>
      <c r="G6255" s="19">
        <v>1.5</v>
      </c>
      <c r="H6255" s="19" t="s">
        <v>28</v>
      </c>
      <c r="I6255" s="18" t="s">
        <v>28</v>
      </c>
      <c r="J6255" s="18" t="s">
        <v>28</v>
      </c>
      <c r="K6255" s="18" t="s">
        <v>28</v>
      </c>
      <c r="L6255" s="18" t="s">
        <v>28</v>
      </c>
      <c r="M6255" s="18" t="s">
        <v>28</v>
      </c>
      <c r="N6255" s="17">
        <v>43880</v>
      </c>
      <c r="O6255" s="15" t="s">
        <v>73</v>
      </c>
      <c r="P6255" s="16" t="s">
        <v>19083</v>
      </c>
      <c r="Q6255" s="15" t="s">
        <v>37</v>
      </c>
      <c r="R6255" s="13" t="str">
        <f>HYPERLINK("https://my.pitchbook.com?c=138655-54T","View Company Online")</f>
        <v>View Company Online</v>
      </c>
    </row>
    <row r="6256" spans="1:18" hidden="1" x14ac:dyDescent="0.3">
      <c r="A6256" s="9" t="s">
        <v>19084</v>
      </c>
      <c r="B6256" s="9" t="s">
        <v>14796</v>
      </c>
      <c r="C6256" s="11" t="s">
        <v>28</v>
      </c>
      <c r="D6256" s="9" t="s">
        <v>14797</v>
      </c>
      <c r="E6256" s="11" t="s">
        <v>28</v>
      </c>
      <c r="F6256" s="10" t="s">
        <v>28</v>
      </c>
      <c r="G6256" s="10" t="s">
        <v>28</v>
      </c>
      <c r="H6256" s="10" t="s">
        <v>28</v>
      </c>
      <c r="I6256" s="11" t="s">
        <v>28</v>
      </c>
      <c r="J6256" s="11" t="s">
        <v>28</v>
      </c>
      <c r="K6256" s="11" t="s">
        <v>28</v>
      </c>
      <c r="L6256" s="11" t="s">
        <v>28</v>
      </c>
      <c r="M6256" s="11" t="s">
        <v>28</v>
      </c>
      <c r="N6256" s="8">
        <v>43880</v>
      </c>
      <c r="O6256" s="9" t="s">
        <v>73</v>
      </c>
      <c r="P6256" s="12" t="s">
        <v>19085</v>
      </c>
      <c r="Q6256" s="9" t="s">
        <v>7261</v>
      </c>
      <c r="R6256" s="14" t="str">
        <f>HYPERLINK("https://my.pitchbook.com?c=138840-49T","View Company Online")</f>
        <v>View Company Online</v>
      </c>
    </row>
    <row r="6257" spans="1:18" hidden="1" x14ac:dyDescent="0.3">
      <c r="A6257" s="15" t="s">
        <v>19086</v>
      </c>
      <c r="B6257" s="15" t="s">
        <v>19087</v>
      </c>
      <c r="C6257" s="18" t="s">
        <v>28</v>
      </c>
      <c r="D6257" s="15" t="s">
        <v>19088</v>
      </c>
      <c r="E6257" s="18" t="s">
        <v>28</v>
      </c>
      <c r="F6257" s="19" t="s">
        <v>28</v>
      </c>
      <c r="G6257" s="19" t="s">
        <v>28</v>
      </c>
      <c r="H6257" s="19" t="s">
        <v>28</v>
      </c>
      <c r="I6257" s="18" t="s">
        <v>28</v>
      </c>
      <c r="J6257" s="18" t="s">
        <v>28</v>
      </c>
      <c r="K6257" s="18" t="s">
        <v>28</v>
      </c>
      <c r="L6257" s="18" t="s">
        <v>28</v>
      </c>
      <c r="M6257" s="18" t="s">
        <v>28</v>
      </c>
      <c r="N6257" s="17">
        <v>43879</v>
      </c>
      <c r="O6257" s="15" t="s">
        <v>41</v>
      </c>
      <c r="P6257" s="16" t="s">
        <v>19089</v>
      </c>
      <c r="Q6257" s="15" t="s">
        <v>6142</v>
      </c>
      <c r="R6257" s="13" t="str">
        <f>HYPERLINK("https://my.pitchbook.com?c=129319-48T","View Company Online")</f>
        <v>View Company Online</v>
      </c>
    </row>
    <row r="6258" spans="1:18" hidden="1" x14ac:dyDescent="0.3">
      <c r="A6258" s="9" t="s">
        <v>19090</v>
      </c>
      <c r="B6258" s="9" t="s">
        <v>4133</v>
      </c>
      <c r="C6258" s="11" t="s">
        <v>28</v>
      </c>
      <c r="D6258" s="9" t="s">
        <v>4134</v>
      </c>
      <c r="E6258" s="11" t="s">
        <v>28</v>
      </c>
      <c r="F6258" s="10" t="s">
        <v>28</v>
      </c>
      <c r="G6258" s="10" t="s">
        <v>28</v>
      </c>
      <c r="H6258" s="10" t="s">
        <v>28</v>
      </c>
      <c r="I6258" s="11" t="s">
        <v>28</v>
      </c>
      <c r="J6258" s="11" t="s">
        <v>28</v>
      </c>
      <c r="K6258" s="11" t="s">
        <v>28</v>
      </c>
      <c r="L6258" s="11" t="s">
        <v>28</v>
      </c>
      <c r="M6258" s="11" t="s">
        <v>28</v>
      </c>
      <c r="N6258" s="8">
        <v>43879</v>
      </c>
      <c r="O6258" s="9" t="s">
        <v>99</v>
      </c>
      <c r="P6258" s="12" t="s">
        <v>19091</v>
      </c>
      <c r="Q6258" s="9" t="s">
        <v>1263</v>
      </c>
      <c r="R6258" s="14" t="str">
        <f>HYPERLINK("https://my.pitchbook.com?c=140885-20T","View Company Online")</f>
        <v>View Company Online</v>
      </c>
    </row>
    <row r="6259" spans="1:18" hidden="1" x14ac:dyDescent="0.3">
      <c r="A6259" s="15" t="s">
        <v>19092</v>
      </c>
      <c r="B6259" s="15" t="s">
        <v>19093</v>
      </c>
      <c r="C6259" s="18" t="s">
        <v>28</v>
      </c>
      <c r="D6259" s="15" t="s">
        <v>19094</v>
      </c>
      <c r="E6259" s="18" t="s">
        <v>28</v>
      </c>
      <c r="F6259" s="19">
        <v>49.31</v>
      </c>
      <c r="G6259" s="19">
        <v>49.31</v>
      </c>
      <c r="H6259" s="19">
        <v>49.31</v>
      </c>
      <c r="I6259" s="18" t="s">
        <v>28</v>
      </c>
      <c r="J6259" s="18" t="s">
        <v>28</v>
      </c>
      <c r="K6259" s="18" t="s">
        <v>28</v>
      </c>
      <c r="L6259" s="18" t="s">
        <v>28</v>
      </c>
      <c r="M6259" s="18" t="s">
        <v>28</v>
      </c>
      <c r="N6259" s="17">
        <v>43879</v>
      </c>
      <c r="O6259" s="15" t="s">
        <v>30</v>
      </c>
      <c r="P6259" s="16" t="s">
        <v>19095</v>
      </c>
      <c r="Q6259" s="15" t="s">
        <v>409</v>
      </c>
      <c r="R6259" s="13" t="str">
        <f>HYPERLINK("https://my.pitchbook.com?c=199879-21T","View Company Online")</f>
        <v>View Company Online</v>
      </c>
    </row>
    <row r="6260" spans="1:18" hidden="1" x14ac:dyDescent="0.3">
      <c r="A6260" s="9" t="s">
        <v>19096</v>
      </c>
      <c r="B6260" s="9" t="s">
        <v>9514</v>
      </c>
      <c r="C6260" s="11" t="s">
        <v>28</v>
      </c>
      <c r="D6260" s="9" t="s">
        <v>9515</v>
      </c>
      <c r="E6260" s="11" t="s">
        <v>28</v>
      </c>
      <c r="F6260" s="10" t="s">
        <v>28</v>
      </c>
      <c r="G6260" s="10" t="s">
        <v>28</v>
      </c>
      <c r="H6260" s="10" t="s">
        <v>28</v>
      </c>
      <c r="I6260" s="11" t="s">
        <v>28</v>
      </c>
      <c r="J6260" s="11" t="s">
        <v>28</v>
      </c>
      <c r="K6260" s="11" t="s">
        <v>28</v>
      </c>
      <c r="L6260" s="11" t="s">
        <v>28</v>
      </c>
      <c r="M6260" s="11" t="s">
        <v>28</v>
      </c>
      <c r="N6260" s="8">
        <v>43879</v>
      </c>
      <c r="O6260" s="9" t="s">
        <v>99</v>
      </c>
      <c r="P6260" s="12" t="s">
        <v>19097</v>
      </c>
      <c r="Q6260" s="9" t="s">
        <v>566</v>
      </c>
      <c r="R6260" s="14" t="str">
        <f>HYPERLINK("https://my.pitchbook.com?c=132571-81T","View Company Online")</f>
        <v>View Company Online</v>
      </c>
    </row>
    <row r="6261" spans="1:18" hidden="1" x14ac:dyDescent="0.3">
      <c r="A6261" s="15" t="s">
        <v>19098</v>
      </c>
      <c r="B6261" s="15" t="s">
        <v>13565</v>
      </c>
      <c r="C6261" s="18" t="s">
        <v>28</v>
      </c>
      <c r="D6261" s="15" t="s">
        <v>13566</v>
      </c>
      <c r="E6261" s="18" t="s">
        <v>28</v>
      </c>
      <c r="F6261" s="19" t="s">
        <v>28</v>
      </c>
      <c r="G6261" s="19">
        <v>13.7</v>
      </c>
      <c r="H6261" s="19" t="s">
        <v>28</v>
      </c>
      <c r="I6261" s="18" t="s">
        <v>28</v>
      </c>
      <c r="J6261" s="18" t="s">
        <v>28</v>
      </c>
      <c r="K6261" s="18" t="s">
        <v>28</v>
      </c>
      <c r="L6261" s="18" t="s">
        <v>28</v>
      </c>
      <c r="M6261" s="18" t="s">
        <v>28</v>
      </c>
      <c r="N6261" s="17">
        <v>43879</v>
      </c>
      <c r="O6261" s="15" t="s">
        <v>73</v>
      </c>
      <c r="P6261" s="16" t="s">
        <v>19099</v>
      </c>
      <c r="Q6261" s="15" t="s">
        <v>43</v>
      </c>
      <c r="R6261" s="13" t="str">
        <f>HYPERLINK("https://my.pitchbook.com?c=132465-70T","View Company Online")</f>
        <v>View Company Online</v>
      </c>
    </row>
    <row r="6262" spans="1:18" hidden="1" x14ac:dyDescent="0.3">
      <c r="A6262" s="9" t="s">
        <v>19100</v>
      </c>
      <c r="B6262" s="9" t="s">
        <v>19101</v>
      </c>
      <c r="C6262" s="11" t="s">
        <v>28</v>
      </c>
      <c r="D6262" s="9" t="s">
        <v>19102</v>
      </c>
      <c r="E6262" s="11" t="s">
        <v>28</v>
      </c>
      <c r="F6262" s="10" t="s">
        <v>28</v>
      </c>
      <c r="G6262" s="10" t="s">
        <v>28</v>
      </c>
      <c r="H6262" s="10" t="s">
        <v>28</v>
      </c>
      <c r="I6262" s="11" t="s">
        <v>28</v>
      </c>
      <c r="J6262" s="11" t="s">
        <v>28</v>
      </c>
      <c r="K6262" s="11" t="s">
        <v>28</v>
      </c>
      <c r="L6262" s="11" t="s">
        <v>28</v>
      </c>
      <c r="M6262" s="11" t="s">
        <v>28</v>
      </c>
      <c r="N6262" s="8">
        <v>43878</v>
      </c>
      <c r="O6262" s="9" t="s">
        <v>41</v>
      </c>
      <c r="P6262" s="12" t="s">
        <v>19103</v>
      </c>
      <c r="Q6262" s="9" t="s">
        <v>54</v>
      </c>
      <c r="R6262" s="14" t="str">
        <f>HYPERLINK("https://my.pitchbook.com?c=160816-15T","View Company Online")</f>
        <v>View Company Online</v>
      </c>
    </row>
    <row r="6263" spans="1:18" hidden="1" x14ac:dyDescent="0.3">
      <c r="A6263" s="15" t="s">
        <v>19104</v>
      </c>
      <c r="B6263" s="15" t="s">
        <v>4747</v>
      </c>
      <c r="C6263" s="18" t="s">
        <v>28</v>
      </c>
      <c r="D6263" s="15" t="s">
        <v>4748</v>
      </c>
      <c r="E6263" s="18">
        <v>1.01</v>
      </c>
      <c r="F6263" s="19" t="s">
        <v>28</v>
      </c>
      <c r="G6263" s="19">
        <v>40.880000000000003</v>
      </c>
      <c r="H6263" s="19">
        <v>89.44</v>
      </c>
      <c r="I6263" s="18">
        <v>6</v>
      </c>
      <c r="J6263" s="18">
        <v>14.9</v>
      </c>
      <c r="K6263" s="18">
        <v>88.31</v>
      </c>
      <c r="L6263" s="18">
        <v>1.01</v>
      </c>
      <c r="M6263" s="18">
        <v>-1.55</v>
      </c>
      <c r="N6263" s="17">
        <v>43878</v>
      </c>
      <c r="O6263" s="15" t="s">
        <v>173</v>
      </c>
      <c r="P6263" s="16" t="s">
        <v>28</v>
      </c>
      <c r="Q6263" s="15" t="s">
        <v>959</v>
      </c>
      <c r="R6263" s="13" t="str">
        <f>HYPERLINK("https://my.pitchbook.com?c=136691-92T","View Company Online")</f>
        <v>View Company Online</v>
      </c>
    </row>
    <row r="6264" spans="1:18" hidden="1" x14ac:dyDescent="0.3">
      <c r="A6264" s="9" t="s">
        <v>19105</v>
      </c>
      <c r="B6264" s="9" t="s">
        <v>19106</v>
      </c>
      <c r="C6264" s="11" t="s">
        <v>28</v>
      </c>
      <c r="D6264" s="9" t="s">
        <v>19107</v>
      </c>
      <c r="E6264" s="11" t="s">
        <v>28</v>
      </c>
      <c r="F6264" s="10" t="s">
        <v>28</v>
      </c>
      <c r="G6264" s="10" t="s">
        <v>28</v>
      </c>
      <c r="H6264" s="10" t="s">
        <v>28</v>
      </c>
      <c r="I6264" s="11" t="s">
        <v>28</v>
      </c>
      <c r="J6264" s="11" t="s">
        <v>28</v>
      </c>
      <c r="K6264" s="11" t="s">
        <v>28</v>
      </c>
      <c r="L6264" s="11" t="s">
        <v>28</v>
      </c>
      <c r="M6264" s="11" t="s">
        <v>28</v>
      </c>
      <c r="N6264" s="8">
        <v>43878</v>
      </c>
      <c r="O6264" s="9" t="s">
        <v>173</v>
      </c>
      <c r="P6264" s="12" t="s">
        <v>28</v>
      </c>
      <c r="Q6264" s="9" t="s">
        <v>174</v>
      </c>
      <c r="R6264" s="14" t="str">
        <f>HYPERLINK("https://my.pitchbook.com?c=227754-55T","View Company Online")</f>
        <v>View Company Online</v>
      </c>
    </row>
    <row r="6265" spans="1:18" hidden="1" x14ac:dyDescent="0.3">
      <c r="A6265" s="15" t="s">
        <v>19108</v>
      </c>
      <c r="B6265" s="15" t="s">
        <v>15209</v>
      </c>
      <c r="C6265" s="18" t="s">
        <v>28</v>
      </c>
      <c r="D6265" s="15" t="s">
        <v>15210</v>
      </c>
      <c r="E6265" s="18" t="s">
        <v>28</v>
      </c>
      <c r="F6265" s="19" t="s">
        <v>28</v>
      </c>
      <c r="G6265" s="19">
        <v>18.850000000000001</v>
      </c>
      <c r="H6265" s="19" t="s">
        <v>28</v>
      </c>
      <c r="I6265" s="18" t="s">
        <v>28</v>
      </c>
      <c r="J6265" s="18" t="s">
        <v>28</v>
      </c>
      <c r="K6265" s="18" t="s">
        <v>28</v>
      </c>
      <c r="L6265" s="18" t="s">
        <v>28</v>
      </c>
      <c r="M6265" s="18" t="s">
        <v>28</v>
      </c>
      <c r="N6265" s="17">
        <v>43876</v>
      </c>
      <c r="O6265" s="15" t="s">
        <v>79</v>
      </c>
      <c r="P6265" s="16" t="s">
        <v>19109</v>
      </c>
      <c r="Q6265" s="15" t="s">
        <v>37</v>
      </c>
      <c r="R6265" s="13" t="str">
        <f>HYPERLINK("https://my.pitchbook.com?c=155435-68T","View Company Online")</f>
        <v>View Company Online</v>
      </c>
    </row>
    <row r="6266" spans="1:18" hidden="1" x14ac:dyDescent="0.3">
      <c r="A6266" s="9" t="s">
        <v>19110</v>
      </c>
      <c r="B6266" s="9" t="s">
        <v>2362</v>
      </c>
      <c r="C6266" s="11" t="s">
        <v>28</v>
      </c>
      <c r="D6266" s="9" t="s">
        <v>2363</v>
      </c>
      <c r="E6266" s="11" t="s">
        <v>28</v>
      </c>
      <c r="F6266" s="10" t="s">
        <v>28</v>
      </c>
      <c r="G6266" s="10" t="s">
        <v>28</v>
      </c>
      <c r="H6266" s="10" t="s">
        <v>28</v>
      </c>
      <c r="I6266" s="11" t="s">
        <v>28</v>
      </c>
      <c r="J6266" s="11" t="s">
        <v>28</v>
      </c>
      <c r="K6266" s="11" t="s">
        <v>28</v>
      </c>
      <c r="L6266" s="11" t="s">
        <v>28</v>
      </c>
      <c r="M6266" s="11" t="s">
        <v>28</v>
      </c>
      <c r="N6266" s="8">
        <v>43875</v>
      </c>
      <c r="O6266" s="9" t="s">
        <v>52</v>
      </c>
      <c r="P6266" s="12" t="s">
        <v>19111</v>
      </c>
      <c r="Q6266" s="9" t="s">
        <v>75</v>
      </c>
      <c r="R6266" s="14" t="str">
        <f>HYPERLINK("https://my.pitchbook.com?c=299807-20T","View Company Online")</f>
        <v>View Company Online</v>
      </c>
    </row>
    <row r="6267" spans="1:18" hidden="1" x14ac:dyDescent="0.3">
      <c r="A6267" s="15" t="s">
        <v>19112</v>
      </c>
      <c r="B6267" s="15" t="s">
        <v>7227</v>
      </c>
      <c r="C6267" s="18" t="s">
        <v>28</v>
      </c>
      <c r="D6267" s="15" t="s">
        <v>7228</v>
      </c>
      <c r="E6267" s="18" t="s">
        <v>28</v>
      </c>
      <c r="F6267" s="19" t="s">
        <v>28</v>
      </c>
      <c r="G6267" s="19" t="s">
        <v>28</v>
      </c>
      <c r="H6267" s="19" t="s">
        <v>28</v>
      </c>
      <c r="I6267" s="18" t="s">
        <v>28</v>
      </c>
      <c r="J6267" s="18" t="s">
        <v>28</v>
      </c>
      <c r="K6267" s="18" t="s">
        <v>28</v>
      </c>
      <c r="L6267" s="18" t="s">
        <v>28</v>
      </c>
      <c r="M6267" s="18" t="s">
        <v>28</v>
      </c>
      <c r="N6267" s="17">
        <v>43875</v>
      </c>
      <c r="O6267" s="15" t="s">
        <v>93</v>
      </c>
      <c r="P6267" s="16" t="s">
        <v>19113</v>
      </c>
      <c r="Q6267" s="15" t="s">
        <v>75</v>
      </c>
      <c r="R6267" s="13" t="str">
        <f>HYPERLINK("https://my.pitchbook.com?c=166047-31T","View Company Online")</f>
        <v>View Company Online</v>
      </c>
    </row>
    <row r="6268" spans="1:18" hidden="1" x14ac:dyDescent="0.3">
      <c r="A6268" s="9" t="s">
        <v>19114</v>
      </c>
      <c r="B6268" s="9" t="s">
        <v>12420</v>
      </c>
      <c r="C6268" s="11" t="s">
        <v>28</v>
      </c>
      <c r="D6268" s="9" t="s">
        <v>12421</v>
      </c>
      <c r="E6268" s="11" t="s">
        <v>28</v>
      </c>
      <c r="F6268" s="10" t="s">
        <v>28</v>
      </c>
      <c r="G6268" s="10">
        <v>37.1</v>
      </c>
      <c r="H6268" s="10" t="s">
        <v>28</v>
      </c>
      <c r="I6268" s="11" t="s">
        <v>28</v>
      </c>
      <c r="J6268" s="11" t="s">
        <v>28</v>
      </c>
      <c r="K6268" s="11" t="s">
        <v>28</v>
      </c>
      <c r="L6268" s="11" t="s">
        <v>28</v>
      </c>
      <c r="M6268" s="11" t="s">
        <v>28</v>
      </c>
      <c r="N6268" s="8">
        <v>43875</v>
      </c>
      <c r="O6268" s="9" t="s">
        <v>79</v>
      </c>
      <c r="P6268" s="12" t="s">
        <v>19115</v>
      </c>
      <c r="Q6268" s="9" t="s">
        <v>37</v>
      </c>
      <c r="R6268" s="14" t="str">
        <f>HYPERLINK("https://my.pitchbook.com?c=118601-74T","View Company Online")</f>
        <v>View Company Online</v>
      </c>
    </row>
    <row r="6269" spans="1:18" hidden="1" x14ac:dyDescent="0.3">
      <c r="A6269" s="15" t="s">
        <v>19116</v>
      </c>
      <c r="B6269" s="15" t="s">
        <v>19117</v>
      </c>
      <c r="C6269" s="18" t="s">
        <v>28</v>
      </c>
      <c r="D6269" s="15" t="s">
        <v>19118</v>
      </c>
      <c r="E6269" s="18" t="s">
        <v>28</v>
      </c>
      <c r="F6269" s="19" t="s">
        <v>28</v>
      </c>
      <c r="G6269" s="19">
        <v>0.02</v>
      </c>
      <c r="H6269" s="19" t="s">
        <v>28</v>
      </c>
      <c r="I6269" s="18" t="s">
        <v>28</v>
      </c>
      <c r="J6269" s="18" t="s">
        <v>28</v>
      </c>
      <c r="K6269" s="18" t="s">
        <v>28</v>
      </c>
      <c r="L6269" s="18" t="s">
        <v>28</v>
      </c>
      <c r="M6269" s="18" t="s">
        <v>28</v>
      </c>
      <c r="N6269" s="17">
        <v>43875</v>
      </c>
      <c r="O6269" s="15" t="s">
        <v>58</v>
      </c>
      <c r="P6269" s="16" t="s">
        <v>28</v>
      </c>
      <c r="Q6269" s="15" t="s">
        <v>566</v>
      </c>
      <c r="R6269" s="13" t="str">
        <f>HYPERLINK("https://my.pitchbook.com?c=211194-91T","View Company Online")</f>
        <v>View Company Online</v>
      </c>
    </row>
    <row r="6270" spans="1:18" hidden="1" x14ac:dyDescent="0.3">
      <c r="A6270" s="9" t="s">
        <v>19119</v>
      </c>
      <c r="B6270" s="9" t="s">
        <v>19120</v>
      </c>
      <c r="C6270" s="11" t="s">
        <v>28</v>
      </c>
      <c r="D6270" s="9" t="s">
        <v>19121</v>
      </c>
      <c r="E6270" s="11" t="s">
        <v>28</v>
      </c>
      <c r="F6270" s="10" t="s">
        <v>28</v>
      </c>
      <c r="G6270" s="10" t="s">
        <v>28</v>
      </c>
      <c r="H6270" s="10" t="s">
        <v>28</v>
      </c>
      <c r="I6270" s="11" t="s">
        <v>28</v>
      </c>
      <c r="J6270" s="11" t="s">
        <v>28</v>
      </c>
      <c r="K6270" s="11" t="s">
        <v>28</v>
      </c>
      <c r="L6270" s="11" t="s">
        <v>28</v>
      </c>
      <c r="M6270" s="11" t="s">
        <v>28</v>
      </c>
      <c r="N6270" s="8">
        <v>43874</v>
      </c>
      <c r="O6270" s="9" t="s">
        <v>30</v>
      </c>
      <c r="P6270" s="12" t="s">
        <v>19122</v>
      </c>
      <c r="Q6270" s="9" t="s">
        <v>2988</v>
      </c>
      <c r="R6270" s="14" t="str">
        <f>HYPERLINK("https://my.pitchbook.com?c=132145-75T","View Company Online")</f>
        <v>View Company Online</v>
      </c>
    </row>
    <row r="6271" spans="1:18" hidden="1" x14ac:dyDescent="0.3">
      <c r="A6271" s="15" t="s">
        <v>19123</v>
      </c>
      <c r="B6271" s="15" t="s">
        <v>8460</v>
      </c>
      <c r="C6271" s="18" t="s">
        <v>28</v>
      </c>
      <c r="D6271" s="15" t="s">
        <v>8461</v>
      </c>
      <c r="E6271" s="18" t="s">
        <v>28</v>
      </c>
      <c r="F6271" s="19" t="s">
        <v>28</v>
      </c>
      <c r="G6271" s="19">
        <v>8</v>
      </c>
      <c r="H6271" s="19" t="s">
        <v>28</v>
      </c>
      <c r="I6271" s="18" t="s">
        <v>28</v>
      </c>
      <c r="J6271" s="18" t="s">
        <v>28</v>
      </c>
      <c r="K6271" s="18" t="s">
        <v>28</v>
      </c>
      <c r="L6271" s="18" t="s">
        <v>28</v>
      </c>
      <c r="M6271" s="18" t="s">
        <v>28</v>
      </c>
      <c r="N6271" s="17">
        <v>43874</v>
      </c>
      <c r="O6271" s="15" t="s">
        <v>73</v>
      </c>
      <c r="P6271" s="16" t="s">
        <v>19124</v>
      </c>
      <c r="Q6271" s="15" t="s">
        <v>75</v>
      </c>
      <c r="R6271" s="13" t="str">
        <f>HYPERLINK("https://my.pitchbook.com?c=129758-23T","View Company Online")</f>
        <v>View Company Online</v>
      </c>
    </row>
    <row r="6272" spans="1:18" hidden="1" x14ac:dyDescent="0.3">
      <c r="A6272" s="9" t="s">
        <v>19125</v>
      </c>
      <c r="B6272" s="9" t="s">
        <v>19126</v>
      </c>
      <c r="C6272" s="11" t="s">
        <v>28</v>
      </c>
      <c r="D6272" s="9" t="s">
        <v>19127</v>
      </c>
      <c r="E6272" s="11" t="s">
        <v>28</v>
      </c>
      <c r="F6272" s="10" t="s">
        <v>28</v>
      </c>
      <c r="G6272" s="10" t="s">
        <v>28</v>
      </c>
      <c r="H6272" s="10" t="s">
        <v>28</v>
      </c>
      <c r="I6272" s="11" t="s">
        <v>28</v>
      </c>
      <c r="J6272" s="11" t="s">
        <v>28</v>
      </c>
      <c r="K6272" s="11" t="s">
        <v>28</v>
      </c>
      <c r="L6272" s="11" t="s">
        <v>28</v>
      </c>
      <c r="M6272" s="11" t="s">
        <v>28</v>
      </c>
      <c r="N6272" s="8">
        <v>43874</v>
      </c>
      <c r="O6272" s="9" t="s">
        <v>30</v>
      </c>
      <c r="P6272" s="12" t="s">
        <v>28</v>
      </c>
      <c r="Q6272" s="9" t="s">
        <v>362</v>
      </c>
      <c r="R6272" s="14" t="str">
        <f>HYPERLINK("https://my.pitchbook.com?c=155812-42T","View Company Online")</f>
        <v>View Company Online</v>
      </c>
    </row>
    <row r="6273" spans="1:18" hidden="1" x14ac:dyDescent="0.3">
      <c r="A6273" s="15" t="s">
        <v>19128</v>
      </c>
      <c r="B6273" s="15" t="s">
        <v>19129</v>
      </c>
      <c r="C6273" s="18" t="s">
        <v>28</v>
      </c>
      <c r="D6273" s="15" t="s">
        <v>19130</v>
      </c>
      <c r="E6273" s="18" t="s">
        <v>28</v>
      </c>
      <c r="F6273" s="19">
        <v>4.3</v>
      </c>
      <c r="G6273" s="19">
        <v>4.3</v>
      </c>
      <c r="H6273" s="19">
        <v>4.3</v>
      </c>
      <c r="I6273" s="18" t="s">
        <v>28</v>
      </c>
      <c r="J6273" s="18" t="s">
        <v>28</v>
      </c>
      <c r="K6273" s="18" t="s">
        <v>28</v>
      </c>
      <c r="L6273" s="18" t="s">
        <v>28</v>
      </c>
      <c r="M6273" s="18" t="s">
        <v>28</v>
      </c>
      <c r="N6273" s="17">
        <v>43874</v>
      </c>
      <c r="O6273" s="15" t="s">
        <v>30</v>
      </c>
      <c r="P6273" s="16" t="s">
        <v>17315</v>
      </c>
      <c r="Q6273" s="15" t="s">
        <v>583</v>
      </c>
      <c r="R6273" s="13" t="str">
        <f>HYPERLINK("https://my.pitchbook.com?c=211746-16T","View Company Online")</f>
        <v>View Company Online</v>
      </c>
    </row>
    <row r="6274" spans="1:18" hidden="1" x14ac:dyDescent="0.3">
      <c r="A6274" s="9" t="s">
        <v>19131</v>
      </c>
      <c r="B6274" s="9" t="s">
        <v>19132</v>
      </c>
      <c r="C6274" s="11" t="s">
        <v>28</v>
      </c>
      <c r="D6274" s="9" t="s">
        <v>19133</v>
      </c>
      <c r="E6274" s="11">
        <v>20.46</v>
      </c>
      <c r="F6274" s="10" t="s">
        <v>28</v>
      </c>
      <c r="G6274" s="10" t="s">
        <v>28</v>
      </c>
      <c r="H6274" s="10" t="s">
        <v>28</v>
      </c>
      <c r="I6274" s="11">
        <v>21.2</v>
      </c>
      <c r="J6274" s="11" t="s">
        <v>28</v>
      </c>
      <c r="K6274" s="11">
        <v>103.29</v>
      </c>
      <c r="L6274" s="11" t="s">
        <v>28</v>
      </c>
      <c r="M6274" s="11">
        <v>-24.4</v>
      </c>
      <c r="N6274" s="8">
        <v>43874</v>
      </c>
      <c r="O6274" s="9" t="s">
        <v>173</v>
      </c>
      <c r="P6274" s="12" t="s">
        <v>28</v>
      </c>
      <c r="Q6274" s="9" t="s">
        <v>119</v>
      </c>
      <c r="R6274" s="14" t="str">
        <f>HYPERLINK("https://my.pitchbook.com?c=225263-35T","View Company Online")</f>
        <v>View Company Online</v>
      </c>
    </row>
    <row r="6275" spans="1:18" hidden="1" x14ac:dyDescent="0.3">
      <c r="A6275" s="15" t="s">
        <v>19134</v>
      </c>
      <c r="B6275" s="15" t="s">
        <v>8090</v>
      </c>
      <c r="C6275" s="18" t="s">
        <v>28</v>
      </c>
      <c r="D6275" s="15" t="s">
        <v>8091</v>
      </c>
      <c r="E6275" s="18" t="s">
        <v>28</v>
      </c>
      <c r="F6275" s="19" t="s">
        <v>28</v>
      </c>
      <c r="G6275" s="19">
        <v>1.5</v>
      </c>
      <c r="H6275" s="19" t="s">
        <v>28</v>
      </c>
      <c r="I6275" s="18" t="s">
        <v>28</v>
      </c>
      <c r="J6275" s="18" t="s">
        <v>28</v>
      </c>
      <c r="K6275" s="18" t="s">
        <v>28</v>
      </c>
      <c r="L6275" s="18" t="s">
        <v>28</v>
      </c>
      <c r="M6275" s="18" t="s">
        <v>28</v>
      </c>
      <c r="N6275" s="17">
        <v>43874</v>
      </c>
      <c r="O6275" s="15" t="s">
        <v>73</v>
      </c>
      <c r="P6275" s="16" t="s">
        <v>6810</v>
      </c>
      <c r="Q6275" s="15" t="s">
        <v>95</v>
      </c>
      <c r="R6275" s="13" t="str">
        <f>HYPERLINK("https://my.pitchbook.com?c=171153-10T","View Company Online")</f>
        <v>View Company Online</v>
      </c>
    </row>
    <row r="6276" spans="1:18" hidden="1" x14ac:dyDescent="0.3">
      <c r="A6276" s="9" t="s">
        <v>19135</v>
      </c>
      <c r="B6276" s="9" t="s">
        <v>1926</v>
      </c>
      <c r="C6276" s="11" t="s">
        <v>28</v>
      </c>
      <c r="D6276" s="9" t="s">
        <v>1927</v>
      </c>
      <c r="E6276" s="11" t="s">
        <v>28</v>
      </c>
      <c r="F6276" s="10" t="s">
        <v>28</v>
      </c>
      <c r="G6276" s="10" t="s">
        <v>28</v>
      </c>
      <c r="H6276" s="10" t="s">
        <v>28</v>
      </c>
      <c r="I6276" s="11" t="s">
        <v>28</v>
      </c>
      <c r="J6276" s="11" t="s">
        <v>28</v>
      </c>
      <c r="K6276" s="11" t="s">
        <v>28</v>
      </c>
      <c r="L6276" s="11" t="s">
        <v>28</v>
      </c>
      <c r="M6276" s="11" t="s">
        <v>28</v>
      </c>
      <c r="N6276" s="8">
        <v>43873</v>
      </c>
      <c r="O6276" s="9" t="s">
        <v>30</v>
      </c>
      <c r="P6276" s="12" t="s">
        <v>2966</v>
      </c>
      <c r="Q6276" s="9" t="s">
        <v>240</v>
      </c>
      <c r="R6276" s="14" t="str">
        <f>HYPERLINK("https://my.pitchbook.com?c=134626-51T","View Company Online")</f>
        <v>View Company Online</v>
      </c>
    </row>
    <row r="6277" spans="1:18" hidden="1" x14ac:dyDescent="0.3">
      <c r="A6277" s="15" t="s">
        <v>19136</v>
      </c>
      <c r="B6277" s="15" t="s">
        <v>11521</v>
      </c>
      <c r="C6277" s="18" t="s">
        <v>28</v>
      </c>
      <c r="D6277" s="15" t="s">
        <v>11522</v>
      </c>
      <c r="E6277" s="18" t="s">
        <v>28</v>
      </c>
      <c r="F6277" s="19" t="s">
        <v>28</v>
      </c>
      <c r="G6277" s="19">
        <v>4.7300000000000004</v>
      </c>
      <c r="H6277" s="19" t="s">
        <v>28</v>
      </c>
      <c r="I6277" s="18" t="s">
        <v>28</v>
      </c>
      <c r="J6277" s="18" t="s">
        <v>28</v>
      </c>
      <c r="K6277" s="18" t="s">
        <v>28</v>
      </c>
      <c r="L6277" s="18" t="s">
        <v>28</v>
      </c>
      <c r="M6277" s="18" t="s">
        <v>28</v>
      </c>
      <c r="N6277" s="17">
        <v>43873</v>
      </c>
      <c r="O6277" s="15" t="s">
        <v>79</v>
      </c>
      <c r="P6277" s="16" t="s">
        <v>19137</v>
      </c>
      <c r="Q6277" s="15" t="s">
        <v>75</v>
      </c>
      <c r="R6277" s="13" t="str">
        <f>HYPERLINK("https://my.pitchbook.com?c=136150-30T","View Company Online")</f>
        <v>View Company Online</v>
      </c>
    </row>
    <row r="6278" spans="1:18" hidden="1" x14ac:dyDescent="0.3">
      <c r="A6278" s="9" t="s">
        <v>19138</v>
      </c>
      <c r="B6278" s="9" t="s">
        <v>16423</v>
      </c>
      <c r="C6278" s="11" t="s">
        <v>28</v>
      </c>
      <c r="D6278" s="9" t="s">
        <v>16424</v>
      </c>
      <c r="E6278" s="11" t="s">
        <v>28</v>
      </c>
      <c r="F6278" s="10" t="s">
        <v>28</v>
      </c>
      <c r="G6278" s="10">
        <v>110</v>
      </c>
      <c r="H6278" s="10" t="s">
        <v>28</v>
      </c>
      <c r="I6278" s="11" t="s">
        <v>28</v>
      </c>
      <c r="J6278" s="11" t="s">
        <v>28</v>
      </c>
      <c r="K6278" s="11">
        <v>253.38</v>
      </c>
      <c r="L6278" s="11" t="s">
        <v>28</v>
      </c>
      <c r="M6278" s="11" t="s">
        <v>28</v>
      </c>
      <c r="N6278" s="8">
        <v>43873</v>
      </c>
      <c r="O6278" s="9" t="s">
        <v>79</v>
      </c>
      <c r="P6278" s="12" t="s">
        <v>19139</v>
      </c>
      <c r="Q6278" s="9" t="s">
        <v>409</v>
      </c>
      <c r="R6278" s="14" t="str">
        <f>HYPERLINK("https://my.pitchbook.com?c=123522-67T","View Company Online")</f>
        <v>View Company Online</v>
      </c>
    </row>
    <row r="6279" spans="1:18" hidden="1" x14ac:dyDescent="0.3">
      <c r="A6279" s="15" t="s">
        <v>19140</v>
      </c>
      <c r="B6279" s="15" t="s">
        <v>19141</v>
      </c>
      <c r="C6279" s="18" t="s">
        <v>28</v>
      </c>
      <c r="D6279" s="15" t="s">
        <v>19142</v>
      </c>
      <c r="E6279" s="18" t="s">
        <v>28</v>
      </c>
      <c r="F6279" s="19" t="s">
        <v>28</v>
      </c>
      <c r="G6279" s="19">
        <v>0.12</v>
      </c>
      <c r="H6279" s="19" t="s">
        <v>28</v>
      </c>
      <c r="I6279" s="18" t="s">
        <v>28</v>
      </c>
      <c r="J6279" s="18" t="s">
        <v>28</v>
      </c>
      <c r="K6279" s="18" t="s">
        <v>28</v>
      </c>
      <c r="L6279" s="18" t="s">
        <v>28</v>
      </c>
      <c r="M6279" s="18" t="s">
        <v>28</v>
      </c>
      <c r="N6279" s="17">
        <v>43873</v>
      </c>
      <c r="O6279" s="15" t="s">
        <v>99</v>
      </c>
      <c r="P6279" s="16" t="s">
        <v>1896</v>
      </c>
      <c r="Q6279" s="15" t="s">
        <v>607</v>
      </c>
      <c r="R6279" s="13" t="str">
        <f>HYPERLINK("https://my.pitchbook.com?c=211106-98T","View Company Online")</f>
        <v>View Company Online</v>
      </c>
    </row>
    <row r="6280" spans="1:18" hidden="1" x14ac:dyDescent="0.3">
      <c r="A6280" s="9" t="s">
        <v>19143</v>
      </c>
      <c r="B6280" s="9" t="s">
        <v>19144</v>
      </c>
      <c r="C6280" s="11" t="s">
        <v>28</v>
      </c>
      <c r="D6280" s="9" t="s">
        <v>19145</v>
      </c>
      <c r="E6280" s="11" t="s">
        <v>28</v>
      </c>
      <c r="F6280" s="10" t="s">
        <v>28</v>
      </c>
      <c r="G6280" s="10">
        <v>500</v>
      </c>
      <c r="H6280" s="10" t="s">
        <v>28</v>
      </c>
      <c r="I6280" s="11" t="s">
        <v>28</v>
      </c>
      <c r="J6280" s="11" t="s">
        <v>28</v>
      </c>
      <c r="K6280" s="11" t="s">
        <v>28</v>
      </c>
      <c r="L6280" s="11" t="s">
        <v>28</v>
      </c>
      <c r="M6280" s="11" t="s">
        <v>28</v>
      </c>
      <c r="N6280" s="8">
        <v>43873</v>
      </c>
      <c r="O6280" s="9" t="s">
        <v>93</v>
      </c>
      <c r="P6280" s="12" t="s">
        <v>28</v>
      </c>
      <c r="Q6280" s="9" t="s">
        <v>85</v>
      </c>
      <c r="R6280" s="14" t="str">
        <f>HYPERLINK("https://my.pitchbook.com?c=165896-20T","View Company Online")</f>
        <v>View Company Online</v>
      </c>
    </row>
    <row r="6281" spans="1:18" hidden="1" x14ac:dyDescent="0.3">
      <c r="A6281" s="15" t="s">
        <v>19146</v>
      </c>
      <c r="B6281" s="15" t="s">
        <v>4343</v>
      </c>
      <c r="C6281" s="18" t="s">
        <v>28</v>
      </c>
      <c r="D6281" s="15" t="s">
        <v>4344</v>
      </c>
      <c r="E6281" s="18" t="s">
        <v>28</v>
      </c>
      <c r="F6281" s="19" t="s">
        <v>28</v>
      </c>
      <c r="G6281" s="19">
        <v>1.19</v>
      </c>
      <c r="H6281" s="19">
        <v>9.49</v>
      </c>
      <c r="I6281" s="18" t="s">
        <v>28</v>
      </c>
      <c r="J6281" s="18" t="s">
        <v>28</v>
      </c>
      <c r="K6281" s="18" t="s">
        <v>28</v>
      </c>
      <c r="L6281" s="18" t="s">
        <v>28</v>
      </c>
      <c r="M6281" s="18" t="s">
        <v>28</v>
      </c>
      <c r="N6281" s="17">
        <v>43872</v>
      </c>
      <c r="O6281" s="15" t="s">
        <v>73</v>
      </c>
      <c r="P6281" s="16" t="s">
        <v>19147</v>
      </c>
      <c r="Q6281" s="15" t="s">
        <v>2043</v>
      </c>
      <c r="R6281" s="13" t="str">
        <f>HYPERLINK("https://my.pitchbook.com?c=216056-26T","View Company Online")</f>
        <v>View Company Online</v>
      </c>
    </row>
    <row r="6282" spans="1:18" hidden="1" x14ac:dyDescent="0.3">
      <c r="A6282" s="9" t="s">
        <v>19148</v>
      </c>
      <c r="B6282" s="9" t="s">
        <v>11580</v>
      </c>
      <c r="C6282" s="11" t="s">
        <v>28</v>
      </c>
      <c r="D6282" s="9" t="s">
        <v>11581</v>
      </c>
      <c r="E6282" s="11" t="s">
        <v>28</v>
      </c>
      <c r="F6282" s="10" t="s">
        <v>28</v>
      </c>
      <c r="G6282" s="10" t="s">
        <v>28</v>
      </c>
      <c r="H6282" s="10" t="s">
        <v>28</v>
      </c>
      <c r="I6282" s="11" t="s">
        <v>28</v>
      </c>
      <c r="J6282" s="11" t="s">
        <v>28</v>
      </c>
      <c r="K6282" s="11" t="s">
        <v>28</v>
      </c>
      <c r="L6282" s="11" t="s">
        <v>28</v>
      </c>
      <c r="M6282" s="11" t="s">
        <v>28</v>
      </c>
      <c r="N6282" s="8">
        <v>43871</v>
      </c>
      <c r="O6282" s="9" t="s">
        <v>73</v>
      </c>
      <c r="P6282" s="12" t="s">
        <v>611</v>
      </c>
      <c r="Q6282" s="9" t="s">
        <v>119</v>
      </c>
      <c r="R6282" s="14" t="str">
        <f>HYPERLINK("https://my.pitchbook.com?c=138841-39T","View Company Online")</f>
        <v>View Company Online</v>
      </c>
    </row>
    <row r="6283" spans="1:18" hidden="1" x14ac:dyDescent="0.3">
      <c r="A6283" s="15" t="s">
        <v>19149</v>
      </c>
      <c r="B6283" s="15" t="s">
        <v>2428</v>
      </c>
      <c r="C6283" s="18" t="s">
        <v>28</v>
      </c>
      <c r="D6283" s="15" t="s">
        <v>2429</v>
      </c>
      <c r="E6283" s="18" t="s">
        <v>28</v>
      </c>
      <c r="F6283" s="19" t="s">
        <v>28</v>
      </c>
      <c r="G6283" s="19">
        <v>0.71</v>
      </c>
      <c r="H6283" s="19" t="s">
        <v>28</v>
      </c>
      <c r="I6283" s="18" t="s">
        <v>28</v>
      </c>
      <c r="J6283" s="18" t="s">
        <v>28</v>
      </c>
      <c r="K6283" s="18" t="s">
        <v>28</v>
      </c>
      <c r="L6283" s="18" t="s">
        <v>28</v>
      </c>
      <c r="M6283" s="18" t="s">
        <v>28</v>
      </c>
      <c r="N6283" s="17">
        <v>43871</v>
      </c>
      <c r="O6283" s="15" t="s">
        <v>99</v>
      </c>
      <c r="P6283" s="16" t="s">
        <v>18055</v>
      </c>
      <c r="Q6283" s="15" t="s">
        <v>37</v>
      </c>
      <c r="R6283" s="13" t="str">
        <f>HYPERLINK("https://my.pitchbook.com?c=138210-31T","View Company Online")</f>
        <v>View Company Online</v>
      </c>
    </row>
    <row r="6284" spans="1:18" hidden="1" x14ac:dyDescent="0.3">
      <c r="A6284" s="9" t="s">
        <v>19150</v>
      </c>
      <c r="B6284" s="9" t="s">
        <v>19151</v>
      </c>
      <c r="C6284" s="11" t="s">
        <v>28</v>
      </c>
      <c r="D6284" s="9" t="s">
        <v>19152</v>
      </c>
      <c r="E6284" s="11" t="s">
        <v>28</v>
      </c>
      <c r="F6284" s="10" t="s">
        <v>28</v>
      </c>
      <c r="G6284" s="10" t="s">
        <v>28</v>
      </c>
      <c r="H6284" s="10" t="s">
        <v>28</v>
      </c>
      <c r="I6284" s="11" t="s">
        <v>28</v>
      </c>
      <c r="J6284" s="11" t="s">
        <v>28</v>
      </c>
      <c r="K6284" s="11" t="s">
        <v>28</v>
      </c>
      <c r="L6284" s="11" t="s">
        <v>28</v>
      </c>
      <c r="M6284" s="11" t="s">
        <v>28</v>
      </c>
      <c r="N6284" s="8">
        <v>43871</v>
      </c>
      <c r="O6284" s="9" t="s">
        <v>30</v>
      </c>
      <c r="P6284" s="12" t="s">
        <v>19153</v>
      </c>
      <c r="Q6284" s="9" t="s">
        <v>75</v>
      </c>
      <c r="R6284" s="14" t="str">
        <f>HYPERLINK("https://my.pitchbook.com?c=131668-12T","View Company Online")</f>
        <v>View Company Online</v>
      </c>
    </row>
    <row r="6285" spans="1:18" hidden="1" x14ac:dyDescent="0.3">
      <c r="A6285" s="15" t="s">
        <v>19154</v>
      </c>
      <c r="B6285" s="15" t="s">
        <v>2271</v>
      </c>
      <c r="C6285" s="18" t="s">
        <v>28</v>
      </c>
      <c r="D6285" s="15" t="s">
        <v>19155</v>
      </c>
      <c r="E6285" s="18">
        <v>23.18</v>
      </c>
      <c r="F6285" s="19" t="s">
        <v>28</v>
      </c>
      <c r="G6285" s="19">
        <v>83.15</v>
      </c>
      <c r="H6285" s="19" t="s">
        <v>28</v>
      </c>
      <c r="I6285" s="18">
        <v>34.409999999999997</v>
      </c>
      <c r="J6285" s="18" t="s">
        <v>28</v>
      </c>
      <c r="K6285" s="18">
        <v>431.45</v>
      </c>
      <c r="L6285" s="18" t="s">
        <v>28</v>
      </c>
      <c r="M6285" s="18">
        <v>4.17</v>
      </c>
      <c r="N6285" s="17">
        <v>43871</v>
      </c>
      <c r="O6285" s="15" t="s">
        <v>159</v>
      </c>
      <c r="P6285" s="16" t="s">
        <v>19156</v>
      </c>
      <c r="Q6285" s="15" t="s">
        <v>658</v>
      </c>
      <c r="R6285" s="13" t="str">
        <f>HYPERLINK("https://my.pitchbook.com?c=172363-60T","View Company Online")</f>
        <v>View Company Online</v>
      </c>
    </row>
    <row r="6286" spans="1:18" hidden="1" x14ac:dyDescent="0.3">
      <c r="A6286" s="9" t="s">
        <v>19157</v>
      </c>
      <c r="B6286" s="9" t="s">
        <v>19158</v>
      </c>
      <c r="C6286" s="11" t="s">
        <v>28</v>
      </c>
      <c r="D6286" s="9" t="s">
        <v>19159</v>
      </c>
      <c r="E6286" s="11" t="s">
        <v>28</v>
      </c>
      <c r="F6286" s="10" t="s">
        <v>28</v>
      </c>
      <c r="G6286" s="10" t="s">
        <v>28</v>
      </c>
      <c r="H6286" s="10" t="s">
        <v>28</v>
      </c>
      <c r="I6286" s="11" t="s">
        <v>28</v>
      </c>
      <c r="J6286" s="11" t="s">
        <v>28</v>
      </c>
      <c r="K6286" s="11" t="s">
        <v>28</v>
      </c>
      <c r="L6286" s="11" t="s">
        <v>28</v>
      </c>
      <c r="M6286" s="11" t="s">
        <v>28</v>
      </c>
      <c r="N6286" s="8">
        <v>43871</v>
      </c>
      <c r="O6286" s="9" t="s">
        <v>173</v>
      </c>
      <c r="P6286" s="12" t="s">
        <v>28</v>
      </c>
      <c r="Q6286" s="9" t="s">
        <v>174</v>
      </c>
      <c r="R6286" s="14" t="str">
        <f>HYPERLINK("https://my.pitchbook.com?c=227536-21T","View Company Online")</f>
        <v>View Company Online</v>
      </c>
    </row>
    <row r="6287" spans="1:18" hidden="1" x14ac:dyDescent="0.3">
      <c r="A6287" s="15" t="s">
        <v>19160</v>
      </c>
      <c r="B6287" s="15" t="s">
        <v>2005</v>
      </c>
      <c r="C6287" s="18" t="s">
        <v>28</v>
      </c>
      <c r="D6287" s="15" t="s">
        <v>19161</v>
      </c>
      <c r="E6287" s="18">
        <v>58.95</v>
      </c>
      <c r="F6287" s="19" t="s">
        <v>28</v>
      </c>
      <c r="G6287" s="19">
        <v>341.74</v>
      </c>
      <c r="H6287" s="19">
        <v>2550.2600000000002</v>
      </c>
      <c r="I6287" s="18">
        <v>77.48</v>
      </c>
      <c r="J6287" s="18">
        <v>32.909999999999997</v>
      </c>
      <c r="K6287" s="18">
        <v>190.14</v>
      </c>
      <c r="L6287" s="18">
        <v>13.41</v>
      </c>
      <c r="M6287" s="18">
        <v>38.99</v>
      </c>
      <c r="N6287" s="17">
        <v>43868</v>
      </c>
      <c r="O6287" s="15" t="s">
        <v>423</v>
      </c>
      <c r="P6287" s="16" t="s">
        <v>28</v>
      </c>
      <c r="Q6287" s="15" t="s">
        <v>43</v>
      </c>
      <c r="R6287" s="13" t="str">
        <f>HYPERLINK("https://my.pitchbook.com?c=131297-59T","View Company Online")</f>
        <v>View Company Online</v>
      </c>
    </row>
    <row r="6288" spans="1:18" hidden="1" x14ac:dyDescent="0.3">
      <c r="A6288" s="9" t="s">
        <v>19162</v>
      </c>
      <c r="B6288" s="9" t="s">
        <v>11202</v>
      </c>
      <c r="C6288" s="11" t="s">
        <v>28</v>
      </c>
      <c r="D6288" s="9" t="s">
        <v>11203</v>
      </c>
      <c r="E6288" s="11">
        <v>249.41</v>
      </c>
      <c r="F6288" s="10" t="s">
        <v>28</v>
      </c>
      <c r="G6288" s="10" t="s">
        <v>28</v>
      </c>
      <c r="H6288" s="10" t="s">
        <v>28</v>
      </c>
      <c r="I6288" s="11">
        <v>257.11</v>
      </c>
      <c r="J6288" s="11" t="s">
        <v>28</v>
      </c>
      <c r="K6288" s="11">
        <v>299.24</v>
      </c>
      <c r="L6288" s="11" t="s">
        <v>28</v>
      </c>
      <c r="M6288" s="11">
        <v>168.36</v>
      </c>
      <c r="N6288" s="8">
        <v>43868</v>
      </c>
      <c r="O6288" s="9" t="s">
        <v>30</v>
      </c>
      <c r="P6288" s="12" t="s">
        <v>28</v>
      </c>
      <c r="Q6288" s="9" t="s">
        <v>1007</v>
      </c>
      <c r="R6288" s="14" t="str">
        <f>HYPERLINK("https://my.pitchbook.com?c=123761-53T","View Company Online")</f>
        <v>View Company Online</v>
      </c>
    </row>
    <row r="6289" spans="1:18" hidden="1" x14ac:dyDescent="0.3">
      <c r="A6289" s="15" t="s">
        <v>19163</v>
      </c>
      <c r="B6289" s="15" t="s">
        <v>10009</v>
      </c>
      <c r="C6289" s="18" t="s">
        <v>28</v>
      </c>
      <c r="D6289" s="15" t="s">
        <v>10010</v>
      </c>
      <c r="E6289" s="18" t="s">
        <v>28</v>
      </c>
      <c r="F6289" s="19" t="s">
        <v>28</v>
      </c>
      <c r="G6289" s="19">
        <v>4</v>
      </c>
      <c r="H6289" s="19" t="s">
        <v>28</v>
      </c>
      <c r="I6289" s="18" t="s">
        <v>28</v>
      </c>
      <c r="J6289" s="18" t="s">
        <v>28</v>
      </c>
      <c r="K6289" s="18" t="s">
        <v>28</v>
      </c>
      <c r="L6289" s="18" t="s">
        <v>28</v>
      </c>
      <c r="M6289" s="18" t="s">
        <v>28</v>
      </c>
      <c r="N6289" s="17">
        <v>43868</v>
      </c>
      <c r="O6289" s="15" t="s">
        <v>99</v>
      </c>
      <c r="P6289" s="16" t="s">
        <v>19164</v>
      </c>
      <c r="Q6289" s="15" t="s">
        <v>119</v>
      </c>
      <c r="R6289" s="13" t="str">
        <f>HYPERLINK("https://my.pitchbook.com?c=135012-52T","View Company Online")</f>
        <v>View Company Online</v>
      </c>
    </row>
    <row r="6290" spans="1:18" hidden="1" x14ac:dyDescent="0.3">
      <c r="A6290" s="9" t="s">
        <v>19165</v>
      </c>
      <c r="B6290" s="9" t="s">
        <v>19166</v>
      </c>
      <c r="C6290" s="11" t="s">
        <v>28</v>
      </c>
      <c r="D6290" s="9" t="s">
        <v>19167</v>
      </c>
      <c r="E6290" s="11" t="s">
        <v>28</v>
      </c>
      <c r="F6290" s="10" t="s">
        <v>28</v>
      </c>
      <c r="G6290" s="10" t="s">
        <v>28</v>
      </c>
      <c r="H6290" s="10" t="s">
        <v>28</v>
      </c>
      <c r="I6290" s="11" t="s">
        <v>28</v>
      </c>
      <c r="J6290" s="11" t="s">
        <v>28</v>
      </c>
      <c r="K6290" s="11" t="s">
        <v>28</v>
      </c>
      <c r="L6290" s="11" t="s">
        <v>28</v>
      </c>
      <c r="M6290" s="11" t="s">
        <v>28</v>
      </c>
      <c r="N6290" s="8">
        <v>43867</v>
      </c>
      <c r="O6290" s="9" t="s">
        <v>30</v>
      </c>
      <c r="P6290" s="12" t="s">
        <v>19168</v>
      </c>
      <c r="Q6290" s="9" t="s">
        <v>136</v>
      </c>
      <c r="R6290" s="14" t="str">
        <f>HYPERLINK("https://my.pitchbook.com?c=241127-92T","View Company Online")</f>
        <v>View Company Online</v>
      </c>
    </row>
    <row r="6291" spans="1:18" hidden="1" x14ac:dyDescent="0.3">
      <c r="A6291" s="15" t="s">
        <v>19169</v>
      </c>
      <c r="B6291" s="15" t="s">
        <v>4089</v>
      </c>
      <c r="C6291" s="18" t="s">
        <v>28</v>
      </c>
      <c r="D6291" s="15" t="s">
        <v>4090</v>
      </c>
      <c r="E6291" s="18">
        <v>-0.88</v>
      </c>
      <c r="F6291" s="19" t="s">
        <v>28</v>
      </c>
      <c r="G6291" s="19" t="s">
        <v>28</v>
      </c>
      <c r="H6291" s="19" t="s">
        <v>28</v>
      </c>
      <c r="I6291" s="18">
        <v>1.1200000000000001</v>
      </c>
      <c r="J6291" s="18" t="s">
        <v>28</v>
      </c>
      <c r="K6291" s="18">
        <v>35.049999999999997</v>
      </c>
      <c r="L6291" s="18" t="s">
        <v>28</v>
      </c>
      <c r="M6291" s="18">
        <v>-1.56</v>
      </c>
      <c r="N6291" s="17">
        <v>43867</v>
      </c>
      <c r="O6291" s="15" t="s">
        <v>73</v>
      </c>
      <c r="P6291" s="16" t="s">
        <v>19170</v>
      </c>
      <c r="Q6291" s="15" t="s">
        <v>75</v>
      </c>
      <c r="R6291" s="13" t="str">
        <f>HYPERLINK("https://my.pitchbook.com?c=302159-17T","View Company Online")</f>
        <v>View Company Online</v>
      </c>
    </row>
    <row r="6292" spans="1:18" hidden="1" x14ac:dyDescent="0.3">
      <c r="A6292" s="9" t="s">
        <v>19171</v>
      </c>
      <c r="B6292" s="9" t="s">
        <v>19172</v>
      </c>
      <c r="C6292" s="11" t="s">
        <v>28</v>
      </c>
      <c r="D6292" s="9" t="s">
        <v>19173</v>
      </c>
      <c r="E6292" s="11" t="s">
        <v>28</v>
      </c>
      <c r="F6292" s="10" t="s">
        <v>28</v>
      </c>
      <c r="G6292" s="10">
        <v>0.11</v>
      </c>
      <c r="H6292" s="10" t="s">
        <v>28</v>
      </c>
      <c r="I6292" s="11" t="s">
        <v>28</v>
      </c>
      <c r="J6292" s="11" t="s">
        <v>28</v>
      </c>
      <c r="K6292" s="11" t="s">
        <v>28</v>
      </c>
      <c r="L6292" s="11" t="s">
        <v>28</v>
      </c>
      <c r="M6292" s="11" t="s">
        <v>28</v>
      </c>
      <c r="N6292" s="8">
        <v>43867</v>
      </c>
      <c r="O6292" s="9" t="s">
        <v>58</v>
      </c>
      <c r="P6292" s="12" t="s">
        <v>28</v>
      </c>
      <c r="Q6292" s="9" t="s">
        <v>371</v>
      </c>
      <c r="R6292" s="14" t="str">
        <f>HYPERLINK("https://my.pitchbook.com?c=211193-65T","View Company Online")</f>
        <v>View Company Online</v>
      </c>
    </row>
    <row r="6293" spans="1:18" hidden="1" x14ac:dyDescent="0.3">
      <c r="A6293" s="15" t="s">
        <v>19174</v>
      </c>
      <c r="B6293" s="15" t="s">
        <v>19175</v>
      </c>
      <c r="C6293" s="18" t="s">
        <v>28</v>
      </c>
      <c r="D6293" s="15" t="s">
        <v>19176</v>
      </c>
      <c r="E6293" s="18" t="s">
        <v>28</v>
      </c>
      <c r="F6293" s="19">
        <v>212</v>
      </c>
      <c r="G6293" s="19">
        <v>212</v>
      </c>
      <c r="H6293" s="19">
        <v>212</v>
      </c>
      <c r="I6293" s="18" t="s">
        <v>28</v>
      </c>
      <c r="J6293" s="18" t="s">
        <v>28</v>
      </c>
      <c r="K6293" s="18">
        <v>506.76</v>
      </c>
      <c r="L6293" s="18">
        <v>0.42</v>
      </c>
      <c r="M6293" s="18" t="s">
        <v>28</v>
      </c>
      <c r="N6293" s="17">
        <v>43867</v>
      </c>
      <c r="O6293" s="15" t="s">
        <v>30</v>
      </c>
      <c r="P6293" s="16" t="s">
        <v>18592</v>
      </c>
      <c r="Q6293" s="15" t="s">
        <v>5132</v>
      </c>
      <c r="R6293" s="13" t="str">
        <f>HYPERLINK("https://my.pitchbook.com?c=135250-48T","View Company Online")</f>
        <v>View Company Online</v>
      </c>
    </row>
    <row r="6294" spans="1:18" hidden="1" x14ac:dyDescent="0.3">
      <c r="A6294" s="9" t="s">
        <v>19177</v>
      </c>
      <c r="B6294" s="9" t="s">
        <v>19178</v>
      </c>
      <c r="C6294" s="11" t="s">
        <v>28</v>
      </c>
      <c r="D6294" s="9" t="s">
        <v>19179</v>
      </c>
      <c r="E6294" s="11" t="s">
        <v>28</v>
      </c>
      <c r="F6294" s="10" t="s">
        <v>28</v>
      </c>
      <c r="G6294" s="10" t="s">
        <v>28</v>
      </c>
      <c r="H6294" s="10" t="s">
        <v>28</v>
      </c>
      <c r="I6294" s="11" t="s">
        <v>28</v>
      </c>
      <c r="J6294" s="11" t="s">
        <v>28</v>
      </c>
      <c r="K6294" s="11" t="s">
        <v>28</v>
      </c>
      <c r="L6294" s="11" t="s">
        <v>28</v>
      </c>
      <c r="M6294" s="11" t="s">
        <v>28</v>
      </c>
      <c r="N6294" s="8">
        <v>43867</v>
      </c>
      <c r="O6294" s="9" t="s">
        <v>52</v>
      </c>
      <c r="P6294" s="12" t="s">
        <v>4589</v>
      </c>
      <c r="Q6294" s="9" t="s">
        <v>14060</v>
      </c>
      <c r="R6294" s="14" t="str">
        <f>HYPERLINK("https://my.pitchbook.com?c=265455-82T","View Company Online")</f>
        <v>View Company Online</v>
      </c>
    </row>
    <row r="6295" spans="1:18" hidden="1" x14ac:dyDescent="0.3">
      <c r="A6295" s="15" t="s">
        <v>19180</v>
      </c>
      <c r="B6295" s="15" t="s">
        <v>19181</v>
      </c>
      <c r="C6295" s="18" t="s">
        <v>28</v>
      </c>
      <c r="D6295" s="15" t="s">
        <v>19182</v>
      </c>
      <c r="E6295" s="18" t="s">
        <v>28</v>
      </c>
      <c r="F6295" s="19" t="s">
        <v>28</v>
      </c>
      <c r="G6295" s="19" t="s">
        <v>28</v>
      </c>
      <c r="H6295" s="19" t="s">
        <v>28</v>
      </c>
      <c r="I6295" s="18" t="s">
        <v>28</v>
      </c>
      <c r="J6295" s="18" t="s">
        <v>28</v>
      </c>
      <c r="K6295" s="18" t="s">
        <v>28</v>
      </c>
      <c r="L6295" s="18" t="s">
        <v>28</v>
      </c>
      <c r="M6295" s="18" t="s">
        <v>28</v>
      </c>
      <c r="N6295" s="17">
        <v>43866</v>
      </c>
      <c r="O6295" s="15" t="s">
        <v>58</v>
      </c>
      <c r="P6295" s="16" t="s">
        <v>19183</v>
      </c>
      <c r="Q6295" s="15" t="s">
        <v>386</v>
      </c>
      <c r="R6295" s="13" t="str">
        <f>HYPERLINK("https://my.pitchbook.com?c=132940-45T","View Company Online")</f>
        <v>View Company Online</v>
      </c>
    </row>
    <row r="6296" spans="1:18" hidden="1" x14ac:dyDescent="0.3">
      <c r="A6296" s="9" t="s">
        <v>19184</v>
      </c>
      <c r="B6296" s="9" t="s">
        <v>6531</v>
      </c>
      <c r="C6296" s="11" t="s">
        <v>28</v>
      </c>
      <c r="D6296" s="9" t="s">
        <v>6532</v>
      </c>
      <c r="E6296" s="11">
        <v>11.2</v>
      </c>
      <c r="F6296" s="10" t="s">
        <v>28</v>
      </c>
      <c r="G6296" s="10">
        <v>311.36</v>
      </c>
      <c r="H6296" s="10" t="s">
        <v>28</v>
      </c>
      <c r="I6296" s="11">
        <v>24.86</v>
      </c>
      <c r="J6296" s="11" t="s">
        <v>28</v>
      </c>
      <c r="K6296" s="11">
        <v>97.71</v>
      </c>
      <c r="L6296" s="11" t="s">
        <v>28</v>
      </c>
      <c r="M6296" s="11">
        <v>4.58</v>
      </c>
      <c r="N6296" s="8">
        <v>43866</v>
      </c>
      <c r="O6296" s="9" t="s">
        <v>173</v>
      </c>
      <c r="P6296" s="12" t="s">
        <v>28</v>
      </c>
      <c r="Q6296" s="9" t="s">
        <v>880</v>
      </c>
      <c r="R6296" s="14" t="str">
        <f>HYPERLINK("https://my.pitchbook.com?c=127867-15T","View Company Online")</f>
        <v>View Company Online</v>
      </c>
    </row>
    <row r="6297" spans="1:18" hidden="1" x14ac:dyDescent="0.3">
      <c r="A6297" s="15" t="s">
        <v>19185</v>
      </c>
      <c r="B6297" s="15" t="s">
        <v>19186</v>
      </c>
      <c r="C6297" s="18" t="s">
        <v>28</v>
      </c>
      <c r="D6297" s="15" t="s">
        <v>19187</v>
      </c>
      <c r="E6297" s="18">
        <v>10.29</v>
      </c>
      <c r="F6297" s="19" t="s">
        <v>28</v>
      </c>
      <c r="G6297" s="19" t="s">
        <v>28</v>
      </c>
      <c r="H6297" s="19" t="s">
        <v>28</v>
      </c>
      <c r="I6297" s="18">
        <v>10.68</v>
      </c>
      <c r="J6297" s="18" t="s">
        <v>28</v>
      </c>
      <c r="K6297" s="18">
        <v>79</v>
      </c>
      <c r="L6297" s="18" t="s">
        <v>28</v>
      </c>
      <c r="M6297" s="18">
        <v>8.09</v>
      </c>
      <c r="N6297" s="17">
        <v>43866</v>
      </c>
      <c r="O6297" s="15" t="s">
        <v>173</v>
      </c>
      <c r="P6297" s="16" t="s">
        <v>28</v>
      </c>
      <c r="Q6297" s="15" t="s">
        <v>119</v>
      </c>
      <c r="R6297" s="13" t="str">
        <f>HYPERLINK("https://my.pitchbook.com?c=225253-18T","View Company Online")</f>
        <v>View Company Online</v>
      </c>
    </row>
    <row r="6298" spans="1:18" hidden="1" x14ac:dyDescent="0.3">
      <c r="A6298" s="9" t="s">
        <v>19188</v>
      </c>
      <c r="B6298" s="9" t="s">
        <v>19189</v>
      </c>
      <c r="C6298" s="11" t="s">
        <v>28</v>
      </c>
      <c r="D6298" s="9" t="s">
        <v>19190</v>
      </c>
      <c r="E6298" s="11" t="s">
        <v>28</v>
      </c>
      <c r="F6298" s="10" t="s">
        <v>28</v>
      </c>
      <c r="G6298" s="10" t="s">
        <v>28</v>
      </c>
      <c r="H6298" s="10" t="s">
        <v>28</v>
      </c>
      <c r="I6298" s="11" t="s">
        <v>28</v>
      </c>
      <c r="J6298" s="11" t="s">
        <v>28</v>
      </c>
      <c r="K6298" s="11" t="s">
        <v>28</v>
      </c>
      <c r="L6298" s="11" t="s">
        <v>28</v>
      </c>
      <c r="M6298" s="11" t="s">
        <v>28</v>
      </c>
      <c r="N6298" s="8">
        <v>43866</v>
      </c>
      <c r="O6298" s="9" t="s">
        <v>52</v>
      </c>
      <c r="P6298" s="12" t="s">
        <v>1880</v>
      </c>
      <c r="Q6298" s="9" t="s">
        <v>607</v>
      </c>
      <c r="R6298" s="14" t="str">
        <f>HYPERLINK("https://my.pitchbook.com?c=274798-36T","View Company Online")</f>
        <v>View Company Online</v>
      </c>
    </row>
    <row r="6299" spans="1:18" hidden="1" x14ac:dyDescent="0.3">
      <c r="A6299" s="15" t="s">
        <v>19191</v>
      </c>
      <c r="B6299" s="15" t="s">
        <v>19192</v>
      </c>
      <c r="C6299" s="18" t="s">
        <v>28</v>
      </c>
      <c r="D6299" s="15" t="s">
        <v>19193</v>
      </c>
      <c r="E6299" s="18" t="s">
        <v>28</v>
      </c>
      <c r="F6299" s="19" t="s">
        <v>28</v>
      </c>
      <c r="G6299" s="19" t="s">
        <v>28</v>
      </c>
      <c r="H6299" s="19" t="s">
        <v>28</v>
      </c>
      <c r="I6299" s="18" t="s">
        <v>28</v>
      </c>
      <c r="J6299" s="18" t="s">
        <v>28</v>
      </c>
      <c r="K6299" s="18" t="s">
        <v>28</v>
      </c>
      <c r="L6299" s="18" t="s">
        <v>28</v>
      </c>
      <c r="M6299" s="18" t="s">
        <v>28</v>
      </c>
      <c r="N6299" s="17">
        <v>43865</v>
      </c>
      <c r="O6299" s="15" t="s">
        <v>41</v>
      </c>
      <c r="P6299" s="16" t="s">
        <v>19194</v>
      </c>
      <c r="Q6299" s="15" t="s">
        <v>136</v>
      </c>
      <c r="R6299" s="13" t="str">
        <f>HYPERLINK("https://my.pitchbook.com?c=174097-81T","View Company Online")</f>
        <v>View Company Online</v>
      </c>
    </row>
    <row r="6300" spans="1:18" hidden="1" x14ac:dyDescent="0.3">
      <c r="A6300" s="9" t="s">
        <v>19195</v>
      </c>
      <c r="B6300" s="9" t="s">
        <v>834</v>
      </c>
      <c r="C6300" s="11" t="s">
        <v>28</v>
      </c>
      <c r="D6300" s="9" t="s">
        <v>835</v>
      </c>
      <c r="E6300" s="11" t="s">
        <v>28</v>
      </c>
      <c r="F6300" s="10" t="s">
        <v>28</v>
      </c>
      <c r="G6300" s="10">
        <v>0.25</v>
      </c>
      <c r="H6300" s="10" t="s">
        <v>28</v>
      </c>
      <c r="I6300" s="11" t="s">
        <v>28</v>
      </c>
      <c r="J6300" s="11" t="s">
        <v>28</v>
      </c>
      <c r="K6300" s="11" t="s">
        <v>28</v>
      </c>
      <c r="L6300" s="11" t="s">
        <v>28</v>
      </c>
      <c r="M6300" s="11" t="s">
        <v>28</v>
      </c>
      <c r="N6300" s="8">
        <v>43865</v>
      </c>
      <c r="O6300" s="9" t="s">
        <v>52</v>
      </c>
      <c r="P6300" s="12" t="s">
        <v>19196</v>
      </c>
      <c r="Q6300" s="9" t="s">
        <v>75</v>
      </c>
      <c r="R6300" s="14" t="str">
        <f>HYPERLINK("https://my.pitchbook.com?c=270497-71T","View Company Online")</f>
        <v>View Company Online</v>
      </c>
    </row>
    <row r="6301" spans="1:18" hidden="1" x14ac:dyDescent="0.3">
      <c r="A6301" s="15" t="s">
        <v>19197</v>
      </c>
      <c r="B6301" s="15" t="s">
        <v>19198</v>
      </c>
      <c r="C6301" s="18" t="s">
        <v>28</v>
      </c>
      <c r="D6301" s="15" t="s">
        <v>19199</v>
      </c>
      <c r="E6301" s="18" t="s">
        <v>28</v>
      </c>
      <c r="F6301" s="19">
        <v>533.09</v>
      </c>
      <c r="G6301" s="19">
        <v>479.78</v>
      </c>
      <c r="H6301" s="19">
        <v>533.09</v>
      </c>
      <c r="I6301" s="18" t="s">
        <v>28</v>
      </c>
      <c r="J6301" s="18" t="s">
        <v>28</v>
      </c>
      <c r="K6301" s="18" t="s">
        <v>28</v>
      </c>
      <c r="L6301" s="18" t="s">
        <v>28</v>
      </c>
      <c r="M6301" s="18" t="s">
        <v>28</v>
      </c>
      <c r="N6301" s="17">
        <v>43865</v>
      </c>
      <c r="O6301" s="15" t="s">
        <v>30</v>
      </c>
      <c r="P6301" s="16" t="s">
        <v>28</v>
      </c>
      <c r="Q6301" s="15" t="s">
        <v>169</v>
      </c>
      <c r="R6301" s="13" t="str">
        <f>HYPERLINK("https://my.pitchbook.com?c=131480-56T","View Company Online")</f>
        <v>View Company Online</v>
      </c>
    </row>
    <row r="6302" spans="1:18" hidden="1" x14ac:dyDescent="0.3">
      <c r="A6302" s="9" t="s">
        <v>19200</v>
      </c>
      <c r="B6302" s="9" t="s">
        <v>166</v>
      </c>
      <c r="C6302" s="11" t="s">
        <v>28</v>
      </c>
      <c r="D6302" s="9" t="s">
        <v>167</v>
      </c>
      <c r="E6302" s="11" t="s">
        <v>28</v>
      </c>
      <c r="F6302" s="10" t="s">
        <v>28</v>
      </c>
      <c r="G6302" s="10" t="s">
        <v>28</v>
      </c>
      <c r="H6302" s="10" t="s">
        <v>28</v>
      </c>
      <c r="I6302" s="11" t="s">
        <v>28</v>
      </c>
      <c r="J6302" s="11" t="s">
        <v>28</v>
      </c>
      <c r="K6302" s="11" t="s">
        <v>28</v>
      </c>
      <c r="L6302" s="11" t="s">
        <v>28</v>
      </c>
      <c r="M6302" s="11" t="s">
        <v>28</v>
      </c>
      <c r="N6302" s="8">
        <v>43864</v>
      </c>
      <c r="O6302" s="9" t="s">
        <v>41</v>
      </c>
      <c r="P6302" s="12" t="s">
        <v>168</v>
      </c>
      <c r="Q6302" s="9" t="s">
        <v>169</v>
      </c>
      <c r="R6302" s="14" t="str">
        <f>HYPERLINK("https://my.pitchbook.com?c=134352-01T","View Company Online")</f>
        <v>View Company Online</v>
      </c>
    </row>
    <row r="6303" spans="1:18" hidden="1" x14ac:dyDescent="0.3">
      <c r="A6303" s="15" t="s">
        <v>19201</v>
      </c>
      <c r="B6303" s="15" t="s">
        <v>5729</v>
      </c>
      <c r="C6303" s="18" t="s">
        <v>28</v>
      </c>
      <c r="D6303" s="15" t="s">
        <v>5730</v>
      </c>
      <c r="E6303" s="18" t="s">
        <v>28</v>
      </c>
      <c r="F6303" s="19" t="s">
        <v>28</v>
      </c>
      <c r="G6303" s="19" t="s">
        <v>28</v>
      </c>
      <c r="H6303" s="19" t="s">
        <v>28</v>
      </c>
      <c r="I6303" s="18" t="s">
        <v>28</v>
      </c>
      <c r="J6303" s="18" t="s">
        <v>28</v>
      </c>
      <c r="K6303" s="18" t="s">
        <v>28</v>
      </c>
      <c r="L6303" s="18" t="s">
        <v>28</v>
      </c>
      <c r="M6303" s="18" t="s">
        <v>28</v>
      </c>
      <c r="N6303" s="17">
        <v>43864</v>
      </c>
      <c r="O6303" s="15" t="s">
        <v>52</v>
      </c>
      <c r="P6303" s="16" t="s">
        <v>8895</v>
      </c>
      <c r="Q6303" s="15" t="s">
        <v>245</v>
      </c>
      <c r="R6303" s="13" t="str">
        <f>HYPERLINK("https://my.pitchbook.com?c=284628-07T","View Company Online")</f>
        <v>View Company Online</v>
      </c>
    </row>
    <row r="6304" spans="1:18" hidden="1" x14ac:dyDescent="0.3">
      <c r="A6304" s="9" t="s">
        <v>19202</v>
      </c>
      <c r="B6304" s="9" t="s">
        <v>19203</v>
      </c>
      <c r="C6304" s="11" t="s">
        <v>28</v>
      </c>
      <c r="D6304" s="9" t="s">
        <v>19204</v>
      </c>
      <c r="E6304" s="11" t="s">
        <v>28</v>
      </c>
      <c r="F6304" s="10" t="s">
        <v>28</v>
      </c>
      <c r="G6304" s="10" t="s">
        <v>28</v>
      </c>
      <c r="H6304" s="10" t="s">
        <v>28</v>
      </c>
      <c r="I6304" s="11" t="s">
        <v>28</v>
      </c>
      <c r="J6304" s="11" t="s">
        <v>28</v>
      </c>
      <c r="K6304" s="11" t="s">
        <v>28</v>
      </c>
      <c r="L6304" s="11" t="s">
        <v>28</v>
      </c>
      <c r="M6304" s="11" t="s">
        <v>28</v>
      </c>
      <c r="N6304" s="8">
        <v>43864</v>
      </c>
      <c r="O6304" s="9" t="s">
        <v>30</v>
      </c>
      <c r="P6304" s="12" t="s">
        <v>19205</v>
      </c>
      <c r="Q6304" s="9" t="s">
        <v>331</v>
      </c>
      <c r="R6304" s="14" t="str">
        <f>HYPERLINK("https://my.pitchbook.com?c=127603-63T","View Company Online")</f>
        <v>View Company Online</v>
      </c>
    </row>
    <row r="6305" spans="1:18" hidden="1" x14ac:dyDescent="0.3">
      <c r="A6305" s="15" t="s">
        <v>19206</v>
      </c>
      <c r="B6305" s="15" t="s">
        <v>19207</v>
      </c>
      <c r="C6305" s="18" t="s">
        <v>28</v>
      </c>
      <c r="D6305" s="15" t="s">
        <v>19208</v>
      </c>
      <c r="E6305" s="18" t="s">
        <v>28</v>
      </c>
      <c r="F6305" s="19" t="s">
        <v>28</v>
      </c>
      <c r="G6305" s="19" t="s">
        <v>28</v>
      </c>
      <c r="H6305" s="19" t="s">
        <v>28</v>
      </c>
      <c r="I6305" s="18" t="s">
        <v>28</v>
      </c>
      <c r="J6305" s="18" t="s">
        <v>28</v>
      </c>
      <c r="K6305" s="18" t="s">
        <v>28</v>
      </c>
      <c r="L6305" s="18" t="s">
        <v>28</v>
      </c>
      <c r="M6305" s="18" t="s">
        <v>28</v>
      </c>
      <c r="N6305" s="17">
        <v>43864</v>
      </c>
      <c r="O6305" s="15" t="s">
        <v>52</v>
      </c>
      <c r="P6305" s="16" t="s">
        <v>8895</v>
      </c>
      <c r="Q6305" s="15" t="s">
        <v>245</v>
      </c>
      <c r="R6305" s="13" t="str">
        <f>HYPERLINK("https://my.pitchbook.com?c=284643-46T","View Company Online")</f>
        <v>View Company Online</v>
      </c>
    </row>
    <row r="6306" spans="1:18" hidden="1" x14ac:dyDescent="0.3">
      <c r="A6306" s="9" t="s">
        <v>19209</v>
      </c>
      <c r="B6306" s="9" t="s">
        <v>966</v>
      </c>
      <c r="C6306" s="11" t="s">
        <v>28</v>
      </c>
      <c r="D6306" s="9" t="s">
        <v>18709</v>
      </c>
      <c r="E6306" s="11" t="s">
        <v>28</v>
      </c>
      <c r="F6306" s="10" t="s">
        <v>28</v>
      </c>
      <c r="G6306" s="10" t="s">
        <v>28</v>
      </c>
      <c r="H6306" s="10" t="s">
        <v>28</v>
      </c>
      <c r="I6306" s="11" t="s">
        <v>28</v>
      </c>
      <c r="J6306" s="11" t="s">
        <v>28</v>
      </c>
      <c r="K6306" s="11" t="s">
        <v>28</v>
      </c>
      <c r="L6306" s="11" t="s">
        <v>28</v>
      </c>
      <c r="M6306" s="11" t="s">
        <v>28</v>
      </c>
      <c r="N6306" s="8">
        <v>43864</v>
      </c>
      <c r="O6306" s="9" t="s">
        <v>52</v>
      </c>
      <c r="P6306" s="12" t="s">
        <v>8895</v>
      </c>
      <c r="Q6306" s="9" t="s">
        <v>75</v>
      </c>
      <c r="R6306" s="14" t="str">
        <f>HYPERLINK("https://my.pitchbook.com?c=284448-88T","View Company Online")</f>
        <v>View Company Online</v>
      </c>
    </row>
    <row r="6307" spans="1:18" hidden="1" x14ac:dyDescent="0.3">
      <c r="A6307" s="15" t="s">
        <v>19210</v>
      </c>
      <c r="B6307" s="15" t="s">
        <v>1988</v>
      </c>
      <c r="C6307" s="18" t="s">
        <v>28</v>
      </c>
      <c r="D6307" s="15" t="s">
        <v>1989</v>
      </c>
      <c r="E6307" s="18" t="s">
        <v>28</v>
      </c>
      <c r="F6307" s="19" t="s">
        <v>28</v>
      </c>
      <c r="G6307" s="19">
        <v>60</v>
      </c>
      <c r="H6307" s="19" t="s">
        <v>28</v>
      </c>
      <c r="I6307" s="18" t="s">
        <v>28</v>
      </c>
      <c r="J6307" s="18" t="s">
        <v>28</v>
      </c>
      <c r="K6307" s="18" t="s">
        <v>28</v>
      </c>
      <c r="L6307" s="18" t="s">
        <v>28</v>
      </c>
      <c r="M6307" s="18" t="s">
        <v>28</v>
      </c>
      <c r="N6307" s="17">
        <v>43864</v>
      </c>
      <c r="O6307" s="15" t="s">
        <v>79</v>
      </c>
      <c r="P6307" s="16" t="s">
        <v>19211</v>
      </c>
      <c r="Q6307" s="15" t="s">
        <v>75</v>
      </c>
      <c r="R6307" s="13" t="str">
        <f>HYPERLINK("https://my.pitchbook.com?c=131200-84T","View Company Online")</f>
        <v>View Company Online</v>
      </c>
    </row>
    <row r="6308" spans="1:18" hidden="1" x14ac:dyDescent="0.3">
      <c r="A6308" s="9" t="s">
        <v>19212</v>
      </c>
      <c r="B6308" s="9" t="s">
        <v>17016</v>
      </c>
      <c r="C6308" s="11" t="s">
        <v>28</v>
      </c>
      <c r="D6308" s="9" t="s">
        <v>17017</v>
      </c>
      <c r="E6308" s="11" t="s">
        <v>28</v>
      </c>
      <c r="F6308" s="10" t="s">
        <v>28</v>
      </c>
      <c r="G6308" s="10">
        <v>0.15</v>
      </c>
      <c r="H6308" s="10">
        <v>2.14</v>
      </c>
      <c r="I6308" s="11" t="s">
        <v>28</v>
      </c>
      <c r="J6308" s="11" t="s">
        <v>28</v>
      </c>
      <c r="K6308" s="11" t="s">
        <v>28</v>
      </c>
      <c r="L6308" s="11" t="s">
        <v>28</v>
      </c>
      <c r="M6308" s="11" t="s">
        <v>28</v>
      </c>
      <c r="N6308" s="8">
        <v>43863</v>
      </c>
      <c r="O6308" s="9" t="s">
        <v>52</v>
      </c>
      <c r="P6308" s="12" t="s">
        <v>3944</v>
      </c>
      <c r="Q6308" s="9" t="s">
        <v>85</v>
      </c>
      <c r="R6308" s="14" t="str">
        <f>HYPERLINK("https://my.pitchbook.com?c=133893-82T","View Company Online")</f>
        <v>View Company Online</v>
      </c>
    </row>
    <row r="6309" spans="1:18" hidden="1" x14ac:dyDescent="0.3">
      <c r="A6309" s="15" t="s">
        <v>19213</v>
      </c>
      <c r="B6309" s="15" t="s">
        <v>19214</v>
      </c>
      <c r="C6309" s="18" t="s">
        <v>28</v>
      </c>
      <c r="D6309" s="15" t="s">
        <v>19215</v>
      </c>
      <c r="E6309" s="18" t="s">
        <v>28</v>
      </c>
      <c r="F6309" s="19">
        <v>5.39</v>
      </c>
      <c r="G6309" s="19">
        <v>5.39</v>
      </c>
      <c r="H6309" s="19">
        <v>5.39</v>
      </c>
      <c r="I6309" s="18" t="s">
        <v>28</v>
      </c>
      <c r="J6309" s="18" t="s">
        <v>28</v>
      </c>
      <c r="K6309" s="18" t="s">
        <v>28</v>
      </c>
      <c r="L6309" s="18" t="s">
        <v>28</v>
      </c>
      <c r="M6309" s="18" t="s">
        <v>28</v>
      </c>
      <c r="N6309" s="17">
        <v>43863</v>
      </c>
      <c r="O6309" s="15" t="s">
        <v>30</v>
      </c>
      <c r="P6309" s="16" t="s">
        <v>10279</v>
      </c>
      <c r="Q6309" s="15" t="s">
        <v>855</v>
      </c>
      <c r="R6309" s="13" t="str">
        <f>HYPERLINK("https://my.pitchbook.com?c=213271-57T","View Company Online")</f>
        <v>View Company Online</v>
      </c>
    </row>
    <row r="6310" spans="1:18" hidden="1" x14ac:dyDescent="0.3">
      <c r="A6310" s="9" t="s">
        <v>19216</v>
      </c>
      <c r="B6310" s="9" t="s">
        <v>2432</v>
      </c>
      <c r="C6310" s="11" t="s">
        <v>28</v>
      </c>
      <c r="D6310" s="9" t="s">
        <v>2433</v>
      </c>
      <c r="E6310" s="11" t="s">
        <v>28</v>
      </c>
      <c r="F6310" s="10" t="s">
        <v>28</v>
      </c>
      <c r="G6310" s="10">
        <v>0.12</v>
      </c>
      <c r="H6310" s="10" t="s">
        <v>28</v>
      </c>
      <c r="I6310" s="11" t="s">
        <v>28</v>
      </c>
      <c r="J6310" s="11" t="s">
        <v>28</v>
      </c>
      <c r="K6310" s="11" t="s">
        <v>28</v>
      </c>
      <c r="L6310" s="11" t="s">
        <v>28</v>
      </c>
      <c r="M6310" s="11" t="s">
        <v>28</v>
      </c>
      <c r="N6310" s="8">
        <v>43862</v>
      </c>
      <c r="O6310" s="9" t="s">
        <v>99</v>
      </c>
      <c r="P6310" s="12" t="s">
        <v>4882</v>
      </c>
      <c r="Q6310" s="9" t="s">
        <v>75</v>
      </c>
      <c r="R6310" s="14" t="str">
        <f>HYPERLINK("https://my.pitchbook.com?c=210576-43T","View Company Online")</f>
        <v>View Company Online</v>
      </c>
    </row>
    <row r="6311" spans="1:18" hidden="1" x14ac:dyDescent="0.3">
      <c r="A6311" s="15" t="s">
        <v>19217</v>
      </c>
      <c r="B6311" s="15" t="s">
        <v>14670</v>
      </c>
      <c r="C6311" s="18" t="s">
        <v>28</v>
      </c>
      <c r="D6311" s="15" t="s">
        <v>14671</v>
      </c>
      <c r="E6311" s="18" t="s">
        <v>28</v>
      </c>
      <c r="F6311" s="19" t="s">
        <v>28</v>
      </c>
      <c r="G6311" s="19">
        <v>0.12</v>
      </c>
      <c r="H6311" s="19" t="s">
        <v>28</v>
      </c>
      <c r="I6311" s="18" t="s">
        <v>28</v>
      </c>
      <c r="J6311" s="18" t="s">
        <v>28</v>
      </c>
      <c r="K6311" s="18" t="s">
        <v>28</v>
      </c>
      <c r="L6311" s="18" t="s">
        <v>28</v>
      </c>
      <c r="M6311" s="18" t="s">
        <v>28</v>
      </c>
      <c r="N6311" s="17">
        <v>43862</v>
      </c>
      <c r="O6311" s="15" t="s">
        <v>379</v>
      </c>
      <c r="P6311" s="16" t="s">
        <v>28</v>
      </c>
      <c r="Q6311" s="15" t="s">
        <v>419</v>
      </c>
      <c r="R6311" s="13" t="str">
        <f>HYPERLINK("https://my.pitchbook.com?c=176608-63T","View Company Online")</f>
        <v>View Company Online</v>
      </c>
    </row>
    <row r="6312" spans="1:18" hidden="1" x14ac:dyDescent="0.3">
      <c r="A6312" s="9" t="s">
        <v>19218</v>
      </c>
      <c r="B6312" s="9" t="s">
        <v>19219</v>
      </c>
      <c r="C6312" s="11" t="s">
        <v>28</v>
      </c>
      <c r="D6312" s="9" t="s">
        <v>19220</v>
      </c>
      <c r="E6312" s="11" t="s">
        <v>28</v>
      </c>
      <c r="F6312" s="10" t="s">
        <v>28</v>
      </c>
      <c r="G6312" s="10" t="s">
        <v>28</v>
      </c>
      <c r="H6312" s="10" t="s">
        <v>28</v>
      </c>
      <c r="I6312" s="11" t="s">
        <v>28</v>
      </c>
      <c r="J6312" s="11" t="s">
        <v>28</v>
      </c>
      <c r="K6312" s="11" t="s">
        <v>28</v>
      </c>
      <c r="L6312" s="11" t="s">
        <v>28</v>
      </c>
      <c r="M6312" s="11" t="s">
        <v>28</v>
      </c>
      <c r="N6312" s="8">
        <v>43862</v>
      </c>
      <c r="O6312" s="9" t="s">
        <v>99</v>
      </c>
      <c r="P6312" s="12" t="s">
        <v>3825</v>
      </c>
      <c r="Q6312" s="9" t="s">
        <v>37</v>
      </c>
      <c r="R6312" s="14" t="str">
        <f>HYPERLINK("https://my.pitchbook.com?c=216036-37T","View Company Online")</f>
        <v>View Company Online</v>
      </c>
    </row>
    <row r="6313" spans="1:18" hidden="1" x14ac:dyDescent="0.3">
      <c r="A6313" s="15" t="s">
        <v>19221</v>
      </c>
      <c r="B6313" s="15" t="s">
        <v>19222</v>
      </c>
      <c r="C6313" s="18" t="s">
        <v>28</v>
      </c>
      <c r="D6313" s="15" t="s">
        <v>19223</v>
      </c>
      <c r="E6313" s="18" t="s">
        <v>28</v>
      </c>
      <c r="F6313" s="19" t="s">
        <v>28</v>
      </c>
      <c r="G6313" s="19" t="s">
        <v>28</v>
      </c>
      <c r="H6313" s="19" t="s">
        <v>28</v>
      </c>
      <c r="I6313" s="18" t="s">
        <v>28</v>
      </c>
      <c r="J6313" s="18" t="s">
        <v>28</v>
      </c>
      <c r="K6313" s="18" t="s">
        <v>28</v>
      </c>
      <c r="L6313" s="18" t="s">
        <v>28</v>
      </c>
      <c r="M6313" s="18" t="s">
        <v>28</v>
      </c>
      <c r="N6313" s="17">
        <v>43862</v>
      </c>
      <c r="O6313" s="15" t="s">
        <v>30</v>
      </c>
      <c r="P6313" s="16" t="s">
        <v>28</v>
      </c>
      <c r="Q6313" s="15" t="s">
        <v>1051</v>
      </c>
      <c r="R6313" s="13" t="str">
        <f>HYPERLINK("https://my.pitchbook.com?c=167818-42T","View Company Online")</f>
        <v>View Company Online</v>
      </c>
    </row>
    <row r="6314" spans="1:18" hidden="1" x14ac:dyDescent="0.3">
      <c r="A6314" s="9" t="s">
        <v>19224</v>
      </c>
      <c r="B6314" s="9" t="s">
        <v>19225</v>
      </c>
      <c r="C6314" s="11" t="s">
        <v>28</v>
      </c>
      <c r="D6314" s="9" t="s">
        <v>19226</v>
      </c>
      <c r="E6314" s="11" t="s">
        <v>28</v>
      </c>
      <c r="F6314" s="10">
        <v>1.06</v>
      </c>
      <c r="G6314" s="10">
        <v>1.06</v>
      </c>
      <c r="H6314" s="10">
        <v>1.06</v>
      </c>
      <c r="I6314" s="11" t="s">
        <v>28</v>
      </c>
      <c r="J6314" s="11" t="s">
        <v>28</v>
      </c>
      <c r="K6314" s="11" t="s">
        <v>28</v>
      </c>
      <c r="L6314" s="11" t="s">
        <v>28</v>
      </c>
      <c r="M6314" s="11" t="s">
        <v>28</v>
      </c>
      <c r="N6314" s="8">
        <v>43862</v>
      </c>
      <c r="O6314" s="9" t="s">
        <v>41</v>
      </c>
      <c r="P6314" s="12" t="s">
        <v>19227</v>
      </c>
      <c r="Q6314" s="9" t="s">
        <v>75</v>
      </c>
      <c r="R6314" s="14" t="str">
        <f>HYPERLINK("https://my.pitchbook.com?c=224537-41T","View Company Online")</f>
        <v>View Company Online</v>
      </c>
    </row>
    <row r="6315" spans="1:18" hidden="1" x14ac:dyDescent="0.3">
      <c r="A6315" s="15" t="s">
        <v>19228</v>
      </c>
      <c r="B6315" s="15" t="s">
        <v>13003</v>
      </c>
      <c r="C6315" s="18" t="s">
        <v>28</v>
      </c>
      <c r="D6315" s="15" t="s">
        <v>14679</v>
      </c>
      <c r="E6315" s="18" t="s">
        <v>28</v>
      </c>
      <c r="F6315" s="19" t="s">
        <v>28</v>
      </c>
      <c r="G6315" s="19" t="s">
        <v>28</v>
      </c>
      <c r="H6315" s="19" t="s">
        <v>28</v>
      </c>
      <c r="I6315" s="18" t="s">
        <v>28</v>
      </c>
      <c r="J6315" s="18" t="s">
        <v>28</v>
      </c>
      <c r="K6315" s="18" t="s">
        <v>28</v>
      </c>
      <c r="L6315" s="18" t="s">
        <v>28</v>
      </c>
      <c r="M6315" s="18">
        <v>19.38</v>
      </c>
      <c r="N6315" s="17">
        <v>43861</v>
      </c>
      <c r="O6315" s="15" t="s">
        <v>58</v>
      </c>
      <c r="P6315" s="16" t="s">
        <v>19229</v>
      </c>
      <c r="Q6315" s="15" t="s">
        <v>7449</v>
      </c>
      <c r="R6315" s="13" t="str">
        <f>HYPERLINK("https://my.pitchbook.com?c=134237-62T","View Company Online")</f>
        <v>View Company Online</v>
      </c>
    </row>
    <row r="6316" spans="1:18" hidden="1" x14ac:dyDescent="0.3">
      <c r="A6316" s="9" t="s">
        <v>19230</v>
      </c>
      <c r="B6316" s="9" t="s">
        <v>19231</v>
      </c>
      <c r="C6316" s="11" t="s">
        <v>28</v>
      </c>
      <c r="D6316" s="9" t="s">
        <v>19232</v>
      </c>
      <c r="E6316" s="11" t="s">
        <v>28</v>
      </c>
      <c r="F6316" s="10" t="s">
        <v>28</v>
      </c>
      <c r="G6316" s="10">
        <v>0.24</v>
      </c>
      <c r="H6316" s="10">
        <v>1.93</v>
      </c>
      <c r="I6316" s="11" t="s">
        <v>28</v>
      </c>
      <c r="J6316" s="11" t="s">
        <v>28</v>
      </c>
      <c r="K6316" s="11" t="s">
        <v>28</v>
      </c>
      <c r="L6316" s="11" t="s">
        <v>28</v>
      </c>
      <c r="M6316" s="11" t="s">
        <v>28</v>
      </c>
      <c r="N6316" s="8">
        <v>43861</v>
      </c>
      <c r="O6316" s="9" t="s">
        <v>73</v>
      </c>
      <c r="P6316" s="12" t="s">
        <v>15636</v>
      </c>
      <c r="Q6316" s="9" t="s">
        <v>95</v>
      </c>
      <c r="R6316" s="14" t="str">
        <f>HYPERLINK("https://my.pitchbook.com?c=167299-39T","View Company Online")</f>
        <v>View Company Online</v>
      </c>
    </row>
    <row r="6317" spans="1:18" hidden="1" x14ac:dyDescent="0.3">
      <c r="A6317" s="15" t="s">
        <v>19233</v>
      </c>
      <c r="B6317" s="15" t="s">
        <v>19234</v>
      </c>
      <c r="C6317" s="18" t="s">
        <v>28</v>
      </c>
      <c r="D6317" s="15" t="s">
        <v>19235</v>
      </c>
      <c r="E6317" s="18" t="s">
        <v>28</v>
      </c>
      <c r="F6317" s="19" t="s">
        <v>28</v>
      </c>
      <c r="G6317" s="19" t="s">
        <v>28</v>
      </c>
      <c r="H6317" s="19" t="s">
        <v>28</v>
      </c>
      <c r="I6317" s="18" t="s">
        <v>28</v>
      </c>
      <c r="J6317" s="18" t="s">
        <v>28</v>
      </c>
      <c r="K6317" s="18" t="s">
        <v>28</v>
      </c>
      <c r="L6317" s="18" t="s">
        <v>28</v>
      </c>
      <c r="M6317" s="18" t="s">
        <v>28</v>
      </c>
      <c r="N6317" s="17">
        <v>43861</v>
      </c>
      <c r="O6317" s="15" t="s">
        <v>73</v>
      </c>
      <c r="P6317" s="16" t="s">
        <v>28</v>
      </c>
      <c r="Q6317" s="15" t="s">
        <v>85</v>
      </c>
      <c r="R6317" s="13" t="str">
        <f>HYPERLINK("https://my.pitchbook.com?c=133034-50T","View Company Online")</f>
        <v>View Company Online</v>
      </c>
    </row>
    <row r="6318" spans="1:18" hidden="1" x14ac:dyDescent="0.3">
      <c r="A6318" s="9" t="s">
        <v>19236</v>
      </c>
      <c r="B6318" s="9" t="s">
        <v>19237</v>
      </c>
      <c r="C6318" s="11" t="s">
        <v>28</v>
      </c>
      <c r="D6318" s="9" t="s">
        <v>19238</v>
      </c>
      <c r="E6318" s="11" t="s">
        <v>28</v>
      </c>
      <c r="F6318" s="10">
        <v>54.38</v>
      </c>
      <c r="G6318" s="10">
        <v>54.38</v>
      </c>
      <c r="H6318" s="10">
        <v>54.38</v>
      </c>
      <c r="I6318" s="11" t="s">
        <v>28</v>
      </c>
      <c r="J6318" s="11" t="s">
        <v>28</v>
      </c>
      <c r="K6318" s="11">
        <v>33.19</v>
      </c>
      <c r="L6318" s="11">
        <v>1.64</v>
      </c>
      <c r="M6318" s="11" t="s">
        <v>28</v>
      </c>
      <c r="N6318" s="8">
        <v>43861</v>
      </c>
      <c r="O6318" s="9" t="s">
        <v>30</v>
      </c>
      <c r="P6318" s="12" t="s">
        <v>2005</v>
      </c>
      <c r="Q6318" s="9" t="s">
        <v>43</v>
      </c>
      <c r="R6318" s="14" t="str">
        <f>HYPERLINK("https://my.pitchbook.com?c=287921-62T","View Company Online")</f>
        <v>View Company Online</v>
      </c>
    </row>
    <row r="6319" spans="1:18" hidden="1" x14ac:dyDescent="0.3">
      <c r="A6319" s="15" t="s">
        <v>19239</v>
      </c>
      <c r="B6319" s="15" t="s">
        <v>19240</v>
      </c>
      <c r="C6319" s="18" t="s">
        <v>28</v>
      </c>
      <c r="D6319" s="15" t="s">
        <v>19241</v>
      </c>
      <c r="E6319" s="18" t="s">
        <v>28</v>
      </c>
      <c r="F6319" s="19">
        <v>7.53</v>
      </c>
      <c r="G6319" s="19">
        <v>7.53</v>
      </c>
      <c r="H6319" s="19">
        <v>7.53</v>
      </c>
      <c r="I6319" s="18" t="s">
        <v>28</v>
      </c>
      <c r="J6319" s="18" t="s">
        <v>28</v>
      </c>
      <c r="K6319" s="18">
        <v>22.8</v>
      </c>
      <c r="L6319" s="18">
        <v>0.33</v>
      </c>
      <c r="M6319" s="18" t="s">
        <v>28</v>
      </c>
      <c r="N6319" s="17">
        <v>43860</v>
      </c>
      <c r="O6319" s="15" t="s">
        <v>30</v>
      </c>
      <c r="P6319" s="16" t="s">
        <v>3609</v>
      </c>
      <c r="Q6319" s="15" t="s">
        <v>449</v>
      </c>
      <c r="R6319" s="13" t="str">
        <f>HYPERLINK("https://my.pitchbook.com?c=133313-68T","View Company Online")</f>
        <v>View Company Online</v>
      </c>
    </row>
    <row r="6320" spans="1:18" hidden="1" x14ac:dyDescent="0.3">
      <c r="A6320" s="9" t="s">
        <v>19242</v>
      </c>
      <c r="B6320" s="9" t="s">
        <v>19243</v>
      </c>
      <c r="C6320" s="11" t="s">
        <v>28</v>
      </c>
      <c r="D6320" s="9" t="s">
        <v>19244</v>
      </c>
      <c r="E6320" s="11" t="s">
        <v>28</v>
      </c>
      <c r="F6320" s="10">
        <v>48.42</v>
      </c>
      <c r="G6320" s="10">
        <v>48.42</v>
      </c>
      <c r="H6320" s="10">
        <v>48.42</v>
      </c>
      <c r="I6320" s="11" t="s">
        <v>28</v>
      </c>
      <c r="J6320" s="11" t="s">
        <v>28</v>
      </c>
      <c r="K6320" s="11">
        <v>17.36</v>
      </c>
      <c r="L6320" s="11">
        <v>2.79</v>
      </c>
      <c r="M6320" s="11" t="s">
        <v>28</v>
      </c>
      <c r="N6320" s="8">
        <v>43860</v>
      </c>
      <c r="O6320" s="9" t="s">
        <v>30</v>
      </c>
      <c r="P6320" s="12" t="s">
        <v>19245</v>
      </c>
      <c r="Q6320" s="9" t="s">
        <v>114</v>
      </c>
      <c r="R6320" s="14" t="str">
        <f>HYPERLINK("https://my.pitchbook.com?c=214201-00T","View Company Online")</f>
        <v>View Company Online</v>
      </c>
    </row>
    <row r="6321" spans="1:18" hidden="1" x14ac:dyDescent="0.3">
      <c r="A6321" s="15" t="s">
        <v>19246</v>
      </c>
      <c r="B6321" s="15" t="s">
        <v>6288</v>
      </c>
      <c r="C6321" s="18" t="s">
        <v>28</v>
      </c>
      <c r="D6321" s="15" t="s">
        <v>6289</v>
      </c>
      <c r="E6321" s="18" t="s">
        <v>28</v>
      </c>
      <c r="F6321" s="19" t="s">
        <v>28</v>
      </c>
      <c r="G6321" s="19">
        <v>1.1000000000000001</v>
      </c>
      <c r="H6321" s="19" t="s">
        <v>28</v>
      </c>
      <c r="I6321" s="18" t="s">
        <v>28</v>
      </c>
      <c r="J6321" s="18" t="s">
        <v>28</v>
      </c>
      <c r="K6321" s="18" t="s">
        <v>28</v>
      </c>
      <c r="L6321" s="18" t="s">
        <v>28</v>
      </c>
      <c r="M6321" s="18" t="s">
        <v>28</v>
      </c>
      <c r="N6321" s="17">
        <v>43860</v>
      </c>
      <c r="O6321" s="15" t="s">
        <v>99</v>
      </c>
      <c r="P6321" s="16" t="s">
        <v>19247</v>
      </c>
      <c r="Q6321" s="15" t="s">
        <v>37</v>
      </c>
      <c r="R6321" s="13" t="str">
        <f>HYPERLINK("https://my.pitchbook.com?c=155451-34T","View Company Online")</f>
        <v>View Company Online</v>
      </c>
    </row>
    <row r="6322" spans="1:18" hidden="1" x14ac:dyDescent="0.3">
      <c r="A6322" s="9" t="s">
        <v>19248</v>
      </c>
      <c r="B6322" s="9" t="s">
        <v>14953</v>
      </c>
      <c r="C6322" s="11" t="s">
        <v>28</v>
      </c>
      <c r="D6322" s="9" t="s">
        <v>14954</v>
      </c>
      <c r="E6322" s="11" t="s">
        <v>28</v>
      </c>
      <c r="F6322" s="10" t="s">
        <v>28</v>
      </c>
      <c r="G6322" s="10">
        <v>4.8499999999999996</v>
      </c>
      <c r="H6322" s="10" t="s">
        <v>28</v>
      </c>
      <c r="I6322" s="11" t="s">
        <v>28</v>
      </c>
      <c r="J6322" s="11" t="s">
        <v>28</v>
      </c>
      <c r="K6322" s="11" t="s">
        <v>28</v>
      </c>
      <c r="L6322" s="11" t="s">
        <v>28</v>
      </c>
      <c r="M6322" s="11" t="s">
        <v>28</v>
      </c>
      <c r="N6322" s="8">
        <v>43859</v>
      </c>
      <c r="O6322" s="9" t="s">
        <v>99</v>
      </c>
      <c r="P6322" s="12" t="s">
        <v>19249</v>
      </c>
      <c r="Q6322" s="9" t="s">
        <v>119</v>
      </c>
      <c r="R6322" s="14" t="str">
        <f>HYPERLINK("https://my.pitchbook.com?c=132243-04T","View Company Online")</f>
        <v>View Company Online</v>
      </c>
    </row>
    <row r="6323" spans="1:18" hidden="1" x14ac:dyDescent="0.3">
      <c r="A6323" s="15" t="s">
        <v>19250</v>
      </c>
      <c r="B6323" s="15" t="s">
        <v>12462</v>
      </c>
      <c r="C6323" s="18" t="s">
        <v>28</v>
      </c>
      <c r="D6323" s="15" t="s">
        <v>12463</v>
      </c>
      <c r="E6323" s="18" t="s">
        <v>28</v>
      </c>
      <c r="F6323" s="19" t="s">
        <v>28</v>
      </c>
      <c r="G6323" s="19">
        <v>2.2000000000000002</v>
      </c>
      <c r="H6323" s="19" t="s">
        <v>28</v>
      </c>
      <c r="I6323" s="18" t="s">
        <v>28</v>
      </c>
      <c r="J6323" s="18" t="s">
        <v>28</v>
      </c>
      <c r="K6323" s="18" t="s">
        <v>28</v>
      </c>
      <c r="L6323" s="18" t="s">
        <v>28</v>
      </c>
      <c r="M6323" s="18" t="s">
        <v>28</v>
      </c>
      <c r="N6323" s="17">
        <v>43858</v>
      </c>
      <c r="O6323" s="15" t="s">
        <v>73</v>
      </c>
      <c r="P6323" s="16" t="s">
        <v>19251</v>
      </c>
      <c r="Q6323" s="15" t="s">
        <v>37</v>
      </c>
      <c r="R6323" s="13" t="str">
        <f>HYPERLINK("https://my.pitchbook.com?c=207330-76T","View Company Online")</f>
        <v>View Company Online</v>
      </c>
    </row>
    <row r="6324" spans="1:18" hidden="1" x14ac:dyDescent="0.3">
      <c r="A6324" s="9" t="s">
        <v>19252</v>
      </c>
      <c r="B6324" s="9" t="s">
        <v>19253</v>
      </c>
      <c r="C6324" s="11" t="s">
        <v>28</v>
      </c>
      <c r="D6324" s="9" t="s">
        <v>19254</v>
      </c>
      <c r="E6324" s="11" t="s">
        <v>28</v>
      </c>
      <c r="F6324" s="10" t="s">
        <v>28</v>
      </c>
      <c r="G6324" s="10" t="s">
        <v>28</v>
      </c>
      <c r="H6324" s="10" t="s">
        <v>28</v>
      </c>
      <c r="I6324" s="11" t="s">
        <v>28</v>
      </c>
      <c r="J6324" s="11" t="s">
        <v>28</v>
      </c>
      <c r="K6324" s="11" t="s">
        <v>28</v>
      </c>
      <c r="L6324" s="11" t="s">
        <v>28</v>
      </c>
      <c r="M6324" s="11" t="s">
        <v>28</v>
      </c>
      <c r="N6324" s="8">
        <v>43858</v>
      </c>
      <c r="O6324" s="9" t="s">
        <v>173</v>
      </c>
      <c r="P6324" s="12" t="s">
        <v>28</v>
      </c>
      <c r="Q6324" s="9" t="s">
        <v>174</v>
      </c>
      <c r="R6324" s="14" t="str">
        <f>HYPERLINK("https://my.pitchbook.com?c=227535-94T","View Company Online")</f>
        <v>View Company Online</v>
      </c>
    </row>
    <row r="6325" spans="1:18" hidden="1" x14ac:dyDescent="0.3">
      <c r="A6325" s="15" t="s">
        <v>19255</v>
      </c>
      <c r="B6325" s="15" t="s">
        <v>19256</v>
      </c>
      <c r="C6325" s="18" t="s">
        <v>28</v>
      </c>
      <c r="D6325" s="15" t="s">
        <v>19257</v>
      </c>
      <c r="E6325" s="18" t="s">
        <v>28</v>
      </c>
      <c r="F6325" s="19" t="s">
        <v>28</v>
      </c>
      <c r="G6325" s="19" t="s">
        <v>28</v>
      </c>
      <c r="H6325" s="19" t="s">
        <v>28</v>
      </c>
      <c r="I6325" s="18" t="s">
        <v>28</v>
      </c>
      <c r="J6325" s="18" t="s">
        <v>28</v>
      </c>
      <c r="K6325" s="18" t="s">
        <v>28</v>
      </c>
      <c r="L6325" s="18" t="s">
        <v>28</v>
      </c>
      <c r="M6325" s="18" t="s">
        <v>28</v>
      </c>
      <c r="N6325" s="17">
        <v>43857</v>
      </c>
      <c r="O6325" s="15" t="s">
        <v>30</v>
      </c>
      <c r="P6325" s="16" t="s">
        <v>2386</v>
      </c>
      <c r="Q6325" s="15" t="s">
        <v>1035</v>
      </c>
      <c r="R6325" s="13" t="str">
        <f>HYPERLINK("https://my.pitchbook.com?c=135176-41T","View Company Online")</f>
        <v>View Company Online</v>
      </c>
    </row>
    <row r="6326" spans="1:18" hidden="1" x14ac:dyDescent="0.3">
      <c r="A6326" s="9" t="s">
        <v>19258</v>
      </c>
      <c r="B6326" s="9" t="s">
        <v>4608</v>
      </c>
      <c r="C6326" s="11" t="s">
        <v>28</v>
      </c>
      <c r="D6326" s="9" t="s">
        <v>4609</v>
      </c>
      <c r="E6326" s="11" t="s">
        <v>28</v>
      </c>
      <c r="F6326" s="10" t="s">
        <v>28</v>
      </c>
      <c r="G6326" s="10">
        <v>0.55000000000000004</v>
      </c>
      <c r="H6326" s="10" t="s">
        <v>28</v>
      </c>
      <c r="I6326" s="11" t="s">
        <v>28</v>
      </c>
      <c r="J6326" s="11" t="s">
        <v>28</v>
      </c>
      <c r="K6326" s="11" t="s">
        <v>28</v>
      </c>
      <c r="L6326" s="11" t="s">
        <v>28</v>
      </c>
      <c r="M6326" s="11" t="s">
        <v>28</v>
      </c>
      <c r="N6326" s="8">
        <v>43857</v>
      </c>
      <c r="O6326" s="9" t="s">
        <v>1639</v>
      </c>
      <c r="P6326" s="12" t="s">
        <v>28</v>
      </c>
      <c r="Q6326" s="9" t="s">
        <v>136</v>
      </c>
      <c r="R6326" s="14" t="str">
        <f>HYPERLINK("https://my.pitchbook.com?c=190299-88T","View Company Online")</f>
        <v>View Company Online</v>
      </c>
    </row>
    <row r="6327" spans="1:18" hidden="1" x14ac:dyDescent="0.3">
      <c r="A6327" s="15" t="s">
        <v>19259</v>
      </c>
      <c r="B6327" s="15" t="s">
        <v>3891</v>
      </c>
      <c r="C6327" s="18" t="s">
        <v>28</v>
      </c>
      <c r="D6327" s="15" t="s">
        <v>3892</v>
      </c>
      <c r="E6327" s="18" t="s">
        <v>28</v>
      </c>
      <c r="F6327" s="19" t="s">
        <v>28</v>
      </c>
      <c r="G6327" s="19" t="s">
        <v>28</v>
      </c>
      <c r="H6327" s="19" t="s">
        <v>28</v>
      </c>
      <c r="I6327" s="18" t="s">
        <v>28</v>
      </c>
      <c r="J6327" s="18" t="s">
        <v>28</v>
      </c>
      <c r="K6327" s="18" t="s">
        <v>28</v>
      </c>
      <c r="L6327" s="18" t="s">
        <v>28</v>
      </c>
      <c r="M6327" s="18" t="s">
        <v>28</v>
      </c>
      <c r="N6327" s="17">
        <v>43856</v>
      </c>
      <c r="O6327" s="15" t="s">
        <v>73</v>
      </c>
      <c r="P6327" s="16" t="s">
        <v>611</v>
      </c>
      <c r="Q6327" s="15" t="s">
        <v>119</v>
      </c>
      <c r="R6327" s="13" t="str">
        <f>HYPERLINK("https://my.pitchbook.com?c=138843-28T","View Company Online")</f>
        <v>View Company Online</v>
      </c>
    </row>
    <row r="6328" spans="1:18" hidden="1" x14ac:dyDescent="0.3">
      <c r="A6328" s="9" t="s">
        <v>19260</v>
      </c>
      <c r="B6328" s="9" t="s">
        <v>10602</v>
      </c>
      <c r="C6328" s="11" t="s">
        <v>28</v>
      </c>
      <c r="D6328" s="9" t="s">
        <v>10603</v>
      </c>
      <c r="E6328" s="11" t="s">
        <v>28</v>
      </c>
      <c r="F6328" s="10" t="s">
        <v>28</v>
      </c>
      <c r="G6328" s="10">
        <v>2.44</v>
      </c>
      <c r="H6328" s="10">
        <v>17.399999999999999</v>
      </c>
      <c r="I6328" s="11" t="s">
        <v>28</v>
      </c>
      <c r="J6328" s="11" t="s">
        <v>28</v>
      </c>
      <c r="K6328" s="11" t="s">
        <v>28</v>
      </c>
      <c r="L6328" s="11" t="s">
        <v>28</v>
      </c>
      <c r="M6328" s="11" t="s">
        <v>28</v>
      </c>
      <c r="N6328" s="8">
        <v>43855</v>
      </c>
      <c r="O6328" s="9" t="s">
        <v>73</v>
      </c>
      <c r="P6328" s="12" t="s">
        <v>19261</v>
      </c>
      <c r="Q6328" s="9" t="s">
        <v>75</v>
      </c>
      <c r="R6328" s="14" t="str">
        <f>HYPERLINK("https://my.pitchbook.com?c=134587-54T","View Company Online")</f>
        <v>View Company Online</v>
      </c>
    </row>
    <row r="6329" spans="1:18" hidden="1" x14ac:dyDescent="0.3">
      <c r="A6329" s="15" t="s">
        <v>19262</v>
      </c>
      <c r="B6329" s="15" t="s">
        <v>19263</v>
      </c>
      <c r="C6329" s="18" t="s">
        <v>28</v>
      </c>
      <c r="D6329" s="15" t="s">
        <v>19264</v>
      </c>
      <c r="E6329" s="18" t="s">
        <v>28</v>
      </c>
      <c r="F6329" s="19" t="s">
        <v>28</v>
      </c>
      <c r="G6329" s="19" t="s">
        <v>28</v>
      </c>
      <c r="H6329" s="19" t="s">
        <v>28</v>
      </c>
      <c r="I6329" s="18" t="s">
        <v>28</v>
      </c>
      <c r="J6329" s="18" t="s">
        <v>28</v>
      </c>
      <c r="K6329" s="18" t="s">
        <v>28</v>
      </c>
      <c r="L6329" s="18" t="s">
        <v>28</v>
      </c>
      <c r="M6329" s="18" t="s">
        <v>28</v>
      </c>
      <c r="N6329" s="17">
        <v>43854</v>
      </c>
      <c r="O6329" s="15" t="s">
        <v>173</v>
      </c>
      <c r="P6329" s="16" t="s">
        <v>28</v>
      </c>
      <c r="Q6329" s="15" t="s">
        <v>424</v>
      </c>
      <c r="R6329" s="13" t="str">
        <f>HYPERLINK("https://my.pitchbook.com?c=221086-54T","View Company Online")</f>
        <v>View Company Online</v>
      </c>
    </row>
    <row r="6330" spans="1:18" hidden="1" x14ac:dyDescent="0.3">
      <c r="A6330" s="9" t="s">
        <v>19265</v>
      </c>
      <c r="B6330" s="9" t="s">
        <v>10969</v>
      </c>
      <c r="C6330" s="11" t="s">
        <v>28</v>
      </c>
      <c r="D6330" s="9" t="s">
        <v>10970</v>
      </c>
      <c r="E6330" s="11" t="s">
        <v>28</v>
      </c>
      <c r="F6330" s="10" t="s">
        <v>28</v>
      </c>
      <c r="G6330" s="10">
        <v>9.75</v>
      </c>
      <c r="H6330" s="10">
        <v>121.87</v>
      </c>
      <c r="I6330" s="11" t="s">
        <v>28</v>
      </c>
      <c r="J6330" s="11" t="s">
        <v>28</v>
      </c>
      <c r="K6330" s="11" t="s">
        <v>28</v>
      </c>
      <c r="L6330" s="11" t="s">
        <v>28</v>
      </c>
      <c r="M6330" s="11" t="s">
        <v>28</v>
      </c>
      <c r="N6330" s="8">
        <v>43854</v>
      </c>
      <c r="O6330" s="9" t="s">
        <v>79</v>
      </c>
      <c r="P6330" s="12" t="s">
        <v>19266</v>
      </c>
      <c r="Q6330" s="9" t="s">
        <v>75</v>
      </c>
      <c r="R6330" s="14" t="str">
        <f>HYPERLINK("https://my.pitchbook.com?c=133039-36T","View Company Online")</f>
        <v>View Company Online</v>
      </c>
    </row>
    <row r="6331" spans="1:18" hidden="1" x14ac:dyDescent="0.3">
      <c r="A6331" s="15" t="s">
        <v>19267</v>
      </c>
      <c r="B6331" s="15" t="s">
        <v>19268</v>
      </c>
      <c r="C6331" s="18" t="s">
        <v>28</v>
      </c>
      <c r="D6331" s="15" t="s">
        <v>19269</v>
      </c>
      <c r="E6331" s="18" t="s">
        <v>28</v>
      </c>
      <c r="F6331" s="19" t="s">
        <v>28</v>
      </c>
      <c r="G6331" s="19" t="s">
        <v>28</v>
      </c>
      <c r="H6331" s="19" t="s">
        <v>28</v>
      </c>
      <c r="I6331" s="18" t="s">
        <v>28</v>
      </c>
      <c r="J6331" s="18" t="s">
        <v>28</v>
      </c>
      <c r="K6331" s="18" t="s">
        <v>28</v>
      </c>
      <c r="L6331" s="18" t="s">
        <v>28</v>
      </c>
      <c r="M6331" s="18" t="s">
        <v>28</v>
      </c>
      <c r="N6331" s="17">
        <v>43853</v>
      </c>
      <c r="O6331" s="15" t="s">
        <v>41</v>
      </c>
      <c r="P6331" s="16" t="s">
        <v>19270</v>
      </c>
      <c r="Q6331" s="15" t="s">
        <v>522</v>
      </c>
      <c r="R6331" s="13" t="str">
        <f>HYPERLINK("https://my.pitchbook.com?c=174881-71T","View Company Online")</f>
        <v>View Company Online</v>
      </c>
    </row>
    <row r="6332" spans="1:18" hidden="1" x14ac:dyDescent="0.3">
      <c r="A6332" s="9" t="s">
        <v>19271</v>
      </c>
      <c r="B6332" s="9" t="s">
        <v>19272</v>
      </c>
      <c r="C6332" s="11" t="s">
        <v>28</v>
      </c>
      <c r="D6332" s="9" t="s">
        <v>19273</v>
      </c>
      <c r="E6332" s="11" t="s">
        <v>28</v>
      </c>
      <c r="F6332" s="10">
        <v>87.32</v>
      </c>
      <c r="G6332" s="10">
        <v>87.32</v>
      </c>
      <c r="H6332" s="10">
        <v>87.32</v>
      </c>
      <c r="I6332" s="11" t="s">
        <v>28</v>
      </c>
      <c r="J6332" s="11" t="s">
        <v>28</v>
      </c>
      <c r="K6332" s="11" t="s">
        <v>28</v>
      </c>
      <c r="L6332" s="11" t="s">
        <v>28</v>
      </c>
      <c r="M6332" s="11" t="s">
        <v>28</v>
      </c>
      <c r="N6332" s="8">
        <v>43853</v>
      </c>
      <c r="O6332" s="9" t="s">
        <v>41</v>
      </c>
      <c r="P6332" s="12" t="s">
        <v>19274</v>
      </c>
      <c r="Q6332" s="9" t="s">
        <v>3973</v>
      </c>
      <c r="R6332" s="14" t="str">
        <f>HYPERLINK("https://my.pitchbook.com?c=132711-94T","View Company Online")</f>
        <v>View Company Online</v>
      </c>
    </row>
    <row r="6333" spans="1:18" hidden="1" x14ac:dyDescent="0.3">
      <c r="A6333" s="15" t="s">
        <v>19275</v>
      </c>
      <c r="B6333" s="15" t="s">
        <v>16584</v>
      </c>
      <c r="C6333" s="18" t="s">
        <v>28</v>
      </c>
      <c r="D6333" s="15" t="s">
        <v>16585</v>
      </c>
      <c r="E6333" s="18" t="s">
        <v>28</v>
      </c>
      <c r="F6333" s="19" t="s">
        <v>28</v>
      </c>
      <c r="G6333" s="19" t="s">
        <v>28</v>
      </c>
      <c r="H6333" s="19" t="s">
        <v>28</v>
      </c>
      <c r="I6333" s="18" t="s">
        <v>28</v>
      </c>
      <c r="J6333" s="18" t="s">
        <v>28</v>
      </c>
      <c r="K6333" s="18" t="s">
        <v>28</v>
      </c>
      <c r="L6333" s="18" t="s">
        <v>28</v>
      </c>
      <c r="M6333" s="18" t="s">
        <v>28</v>
      </c>
      <c r="N6333" s="17">
        <v>43852</v>
      </c>
      <c r="O6333" s="15" t="s">
        <v>99</v>
      </c>
      <c r="P6333" s="16" t="s">
        <v>3825</v>
      </c>
      <c r="Q6333" s="15" t="s">
        <v>263</v>
      </c>
      <c r="R6333" s="13" t="str">
        <f>HYPERLINK("https://my.pitchbook.com?c=156949-12T","View Company Online")</f>
        <v>View Company Online</v>
      </c>
    </row>
    <row r="6334" spans="1:18" hidden="1" x14ac:dyDescent="0.3">
      <c r="A6334" s="9" t="s">
        <v>19276</v>
      </c>
      <c r="B6334" s="9" t="s">
        <v>19277</v>
      </c>
      <c r="C6334" s="11" t="s">
        <v>28</v>
      </c>
      <c r="D6334" s="9" t="s">
        <v>19278</v>
      </c>
      <c r="E6334" s="11" t="s">
        <v>28</v>
      </c>
      <c r="F6334" s="10" t="s">
        <v>28</v>
      </c>
      <c r="G6334" s="10" t="s">
        <v>28</v>
      </c>
      <c r="H6334" s="10" t="s">
        <v>28</v>
      </c>
      <c r="I6334" s="11" t="s">
        <v>28</v>
      </c>
      <c r="J6334" s="11" t="s">
        <v>28</v>
      </c>
      <c r="K6334" s="11" t="s">
        <v>28</v>
      </c>
      <c r="L6334" s="11" t="s">
        <v>28</v>
      </c>
      <c r="M6334" s="11" t="s">
        <v>28</v>
      </c>
      <c r="N6334" s="8">
        <v>43851</v>
      </c>
      <c r="O6334" s="9" t="s">
        <v>173</v>
      </c>
      <c r="P6334" s="12" t="s">
        <v>28</v>
      </c>
      <c r="Q6334" s="9" t="s">
        <v>114</v>
      </c>
      <c r="R6334" s="14" t="str">
        <f>HYPERLINK("https://my.pitchbook.com?c=222633-01T","View Company Online")</f>
        <v>View Company Online</v>
      </c>
    </row>
    <row r="6335" spans="1:18" hidden="1" x14ac:dyDescent="0.3">
      <c r="A6335" s="15" t="s">
        <v>19279</v>
      </c>
      <c r="B6335" s="15" t="s">
        <v>15694</v>
      </c>
      <c r="C6335" s="18" t="s">
        <v>28</v>
      </c>
      <c r="D6335" s="15" t="s">
        <v>15695</v>
      </c>
      <c r="E6335" s="18" t="s">
        <v>28</v>
      </c>
      <c r="F6335" s="19" t="s">
        <v>28</v>
      </c>
      <c r="G6335" s="19">
        <v>1.47</v>
      </c>
      <c r="H6335" s="19" t="s">
        <v>28</v>
      </c>
      <c r="I6335" s="18" t="s">
        <v>28</v>
      </c>
      <c r="J6335" s="18" t="s">
        <v>28</v>
      </c>
      <c r="K6335" s="18" t="s">
        <v>28</v>
      </c>
      <c r="L6335" s="18" t="s">
        <v>28</v>
      </c>
      <c r="M6335" s="18" t="s">
        <v>28</v>
      </c>
      <c r="N6335" s="17">
        <v>43851</v>
      </c>
      <c r="O6335" s="15" t="s">
        <v>73</v>
      </c>
      <c r="P6335" s="16" t="s">
        <v>19280</v>
      </c>
      <c r="Q6335" s="15" t="s">
        <v>114</v>
      </c>
      <c r="R6335" s="13" t="str">
        <f>HYPERLINK("https://my.pitchbook.com?c=131851-63T","View Company Online")</f>
        <v>View Company Online</v>
      </c>
    </row>
    <row r="6336" spans="1:18" hidden="1" x14ac:dyDescent="0.3">
      <c r="A6336" s="9" t="s">
        <v>19281</v>
      </c>
      <c r="B6336" s="9" t="s">
        <v>19282</v>
      </c>
      <c r="C6336" s="11" t="s">
        <v>28</v>
      </c>
      <c r="D6336" s="9" t="s">
        <v>19283</v>
      </c>
      <c r="E6336" s="11" t="s">
        <v>28</v>
      </c>
      <c r="F6336" s="10" t="s">
        <v>28</v>
      </c>
      <c r="G6336" s="10" t="s">
        <v>28</v>
      </c>
      <c r="H6336" s="10" t="s">
        <v>28</v>
      </c>
      <c r="I6336" s="11" t="s">
        <v>28</v>
      </c>
      <c r="J6336" s="11" t="s">
        <v>28</v>
      </c>
      <c r="K6336" s="11" t="s">
        <v>28</v>
      </c>
      <c r="L6336" s="11" t="s">
        <v>28</v>
      </c>
      <c r="M6336" s="11" t="s">
        <v>28</v>
      </c>
      <c r="N6336" s="8">
        <v>43851</v>
      </c>
      <c r="O6336" s="9" t="s">
        <v>30</v>
      </c>
      <c r="P6336" s="12" t="s">
        <v>10056</v>
      </c>
      <c r="Q6336" s="9" t="s">
        <v>1793</v>
      </c>
      <c r="R6336" s="14" t="str">
        <f>HYPERLINK("https://my.pitchbook.com?c=136319-41T","View Company Online")</f>
        <v>View Company Online</v>
      </c>
    </row>
    <row r="6337" spans="1:18" hidden="1" x14ac:dyDescent="0.3">
      <c r="A6337" s="15" t="s">
        <v>19284</v>
      </c>
      <c r="B6337" s="15" t="s">
        <v>18117</v>
      </c>
      <c r="C6337" s="18" t="s">
        <v>28</v>
      </c>
      <c r="D6337" s="15" t="s">
        <v>18118</v>
      </c>
      <c r="E6337" s="18" t="s">
        <v>28</v>
      </c>
      <c r="F6337" s="19" t="s">
        <v>28</v>
      </c>
      <c r="G6337" s="19">
        <v>60</v>
      </c>
      <c r="H6337" s="19">
        <v>1300</v>
      </c>
      <c r="I6337" s="18" t="s">
        <v>28</v>
      </c>
      <c r="J6337" s="18" t="s">
        <v>28</v>
      </c>
      <c r="K6337" s="18" t="s">
        <v>28</v>
      </c>
      <c r="L6337" s="18" t="s">
        <v>28</v>
      </c>
      <c r="M6337" s="18" t="s">
        <v>28</v>
      </c>
      <c r="N6337" s="17">
        <v>43851</v>
      </c>
      <c r="O6337" s="15" t="s">
        <v>79</v>
      </c>
      <c r="P6337" s="16" t="s">
        <v>19285</v>
      </c>
      <c r="Q6337" s="15" t="s">
        <v>419</v>
      </c>
      <c r="R6337" s="13" t="str">
        <f>HYPERLINK("https://my.pitchbook.com?c=127571-86T","View Company Online")</f>
        <v>View Company Online</v>
      </c>
    </row>
    <row r="6338" spans="1:18" hidden="1" x14ac:dyDescent="0.3">
      <c r="A6338" s="9" t="s">
        <v>19286</v>
      </c>
      <c r="B6338" s="9" t="s">
        <v>19287</v>
      </c>
      <c r="C6338" s="11" t="s">
        <v>28</v>
      </c>
      <c r="D6338" s="9" t="s">
        <v>19288</v>
      </c>
      <c r="E6338" s="11" t="s">
        <v>28</v>
      </c>
      <c r="F6338" s="10" t="s">
        <v>28</v>
      </c>
      <c r="G6338" s="10">
        <v>245.75</v>
      </c>
      <c r="H6338" s="10" t="s">
        <v>28</v>
      </c>
      <c r="I6338" s="11" t="s">
        <v>28</v>
      </c>
      <c r="J6338" s="11" t="s">
        <v>28</v>
      </c>
      <c r="K6338" s="11" t="s">
        <v>28</v>
      </c>
      <c r="L6338" s="11" t="s">
        <v>28</v>
      </c>
      <c r="M6338" s="11" t="s">
        <v>28</v>
      </c>
      <c r="N6338" s="8">
        <v>43850</v>
      </c>
      <c r="O6338" s="9" t="s">
        <v>173</v>
      </c>
      <c r="P6338" s="12" t="s">
        <v>28</v>
      </c>
      <c r="Q6338" s="9" t="s">
        <v>240</v>
      </c>
      <c r="R6338" s="14" t="str">
        <f>HYPERLINK("https://my.pitchbook.com?c=243853-57T","View Company Online")</f>
        <v>View Company Online</v>
      </c>
    </row>
    <row r="6339" spans="1:18" hidden="1" x14ac:dyDescent="0.3">
      <c r="A6339" s="15" t="s">
        <v>19289</v>
      </c>
      <c r="B6339" s="15" t="s">
        <v>19290</v>
      </c>
      <c r="C6339" s="18" t="s">
        <v>28</v>
      </c>
      <c r="D6339" s="15" t="s">
        <v>19291</v>
      </c>
      <c r="E6339" s="18" t="s">
        <v>28</v>
      </c>
      <c r="F6339" s="19" t="s">
        <v>28</v>
      </c>
      <c r="G6339" s="19" t="s">
        <v>28</v>
      </c>
      <c r="H6339" s="19" t="s">
        <v>28</v>
      </c>
      <c r="I6339" s="18" t="s">
        <v>28</v>
      </c>
      <c r="J6339" s="18" t="s">
        <v>28</v>
      </c>
      <c r="K6339" s="18" t="s">
        <v>28</v>
      </c>
      <c r="L6339" s="18" t="s">
        <v>28</v>
      </c>
      <c r="M6339" s="18" t="s">
        <v>28</v>
      </c>
      <c r="N6339" s="17">
        <v>43846</v>
      </c>
      <c r="O6339" s="15" t="s">
        <v>30</v>
      </c>
      <c r="P6339" s="16" t="s">
        <v>28</v>
      </c>
      <c r="Q6339" s="15" t="s">
        <v>880</v>
      </c>
      <c r="R6339" s="13" t="str">
        <f>HYPERLINK("https://my.pitchbook.com?c=135330-13T","View Company Online")</f>
        <v>View Company Online</v>
      </c>
    </row>
    <row r="6340" spans="1:18" hidden="1" x14ac:dyDescent="0.3">
      <c r="A6340" s="9" t="s">
        <v>19292</v>
      </c>
      <c r="B6340" s="9" t="s">
        <v>19293</v>
      </c>
      <c r="C6340" s="11" t="s">
        <v>28</v>
      </c>
      <c r="D6340" s="9" t="s">
        <v>19294</v>
      </c>
      <c r="E6340" s="11" t="s">
        <v>28</v>
      </c>
      <c r="F6340" s="10" t="s">
        <v>28</v>
      </c>
      <c r="G6340" s="10" t="s">
        <v>28</v>
      </c>
      <c r="H6340" s="10" t="s">
        <v>28</v>
      </c>
      <c r="I6340" s="11" t="s">
        <v>28</v>
      </c>
      <c r="J6340" s="11" t="s">
        <v>28</v>
      </c>
      <c r="K6340" s="11" t="s">
        <v>28</v>
      </c>
      <c r="L6340" s="11" t="s">
        <v>28</v>
      </c>
      <c r="M6340" s="11" t="s">
        <v>28</v>
      </c>
      <c r="N6340" s="8">
        <v>43845</v>
      </c>
      <c r="O6340" s="9" t="s">
        <v>30</v>
      </c>
      <c r="P6340" s="12" t="s">
        <v>14503</v>
      </c>
      <c r="Q6340" s="9" t="s">
        <v>10313</v>
      </c>
      <c r="R6340" s="14" t="str">
        <f>HYPERLINK("https://my.pitchbook.com?c=130315-24T","View Company Online")</f>
        <v>View Company Online</v>
      </c>
    </row>
    <row r="6341" spans="1:18" hidden="1" x14ac:dyDescent="0.3">
      <c r="A6341" s="15" t="s">
        <v>19295</v>
      </c>
      <c r="B6341" s="15" t="s">
        <v>19296</v>
      </c>
      <c r="C6341" s="18" t="s">
        <v>28</v>
      </c>
      <c r="D6341" s="15" t="s">
        <v>19297</v>
      </c>
      <c r="E6341" s="18" t="s">
        <v>28</v>
      </c>
      <c r="F6341" s="19" t="s">
        <v>28</v>
      </c>
      <c r="G6341" s="19" t="s">
        <v>28</v>
      </c>
      <c r="H6341" s="19" t="s">
        <v>28</v>
      </c>
      <c r="I6341" s="18" t="s">
        <v>28</v>
      </c>
      <c r="J6341" s="18" t="s">
        <v>28</v>
      </c>
      <c r="K6341" s="18" t="s">
        <v>28</v>
      </c>
      <c r="L6341" s="18" t="s">
        <v>28</v>
      </c>
      <c r="M6341" s="18" t="s">
        <v>28</v>
      </c>
      <c r="N6341" s="17">
        <v>43843</v>
      </c>
      <c r="O6341" s="15" t="s">
        <v>30</v>
      </c>
      <c r="P6341" s="16" t="s">
        <v>19298</v>
      </c>
      <c r="Q6341" s="15" t="s">
        <v>95</v>
      </c>
      <c r="R6341" s="13" t="str">
        <f>HYPERLINK("https://my.pitchbook.com?c=167704-66T","View Company Online")</f>
        <v>View Company Online</v>
      </c>
    </row>
    <row r="6342" spans="1:18" hidden="1" x14ac:dyDescent="0.3">
      <c r="A6342" s="9" t="s">
        <v>19299</v>
      </c>
      <c r="B6342" s="9" t="s">
        <v>13740</v>
      </c>
      <c r="C6342" s="11" t="s">
        <v>28</v>
      </c>
      <c r="D6342" s="9" t="s">
        <v>13741</v>
      </c>
      <c r="E6342" s="11" t="s">
        <v>28</v>
      </c>
      <c r="F6342" s="10" t="s">
        <v>28</v>
      </c>
      <c r="G6342" s="10" t="s">
        <v>28</v>
      </c>
      <c r="H6342" s="10" t="s">
        <v>28</v>
      </c>
      <c r="I6342" s="11" t="s">
        <v>28</v>
      </c>
      <c r="J6342" s="11" t="s">
        <v>28</v>
      </c>
      <c r="K6342" s="11" t="s">
        <v>28</v>
      </c>
      <c r="L6342" s="11" t="s">
        <v>28</v>
      </c>
      <c r="M6342" s="11" t="s">
        <v>28</v>
      </c>
      <c r="N6342" s="8">
        <v>43842</v>
      </c>
      <c r="O6342" s="9" t="s">
        <v>379</v>
      </c>
      <c r="P6342" s="12" t="s">
        <v>19300</v>
      </c>
      <c r="Q6342" s="9" t="s">
        <v>95</v>
      </c>
      <c r="R6342" s="14" t="str">
        <f>HYPERLINK("https://my.pitchbook.com?c=284138-92T","View Company Online")</f>
        <v>View Company Online</v>
      </c>
    </row>
    <row r="6343" spans="1:18" hidden="1" x14ac:dyDescent="0.3">
      <c r="A6343" s="15" t="s">
        <v>19301</v>
      </c>
      <c r="B6343" s="15" t="s">
        <v>19302</v>
      </c>
      <c r="C6343" s="18" t="s">
        <v>28</v>
      </c>
      <c r="D6343" s="15" t="s">
        <v>19303</v>
      </c>
      <c r="E6343" s="18" t="s">
        <v>28</v>
      </c>
      <c r="F6343" s="19" t="s">
        <v>28</v>
      </c>
      <c r="G6343" s="19">
        <v>0.35</v>
      </c>
      <c r="H6343" s="19" t="s">
        <v>28</v>
      </c>
      <c r="I6343" s="18" t="s">
        <v>28</v>
      </c>
      <c r="J6343" s="18" t="s">
        <v>28</v>
      </c>
      <c r="K6343" s="18" t="s">
        <v>28</v>
      </c>
      <c r="L6343" s="18" t="s">
        <v>28</v>
      </c>
      <c r="M6343" s="18" t="s">
        <v>28</v>
      </c>
      <c r="N6343" s="17">
        <v>43840</v>
      </c>
      <c r="O6343" s="15" t="s">
        <v>99</v>
      </c>
      <c r="P6343" s="16" t="s">
        <v>19304</v>
      </c>
      <c r="Q6343" s="15" t="s">
        <v>75</v>
      </c>
      <c r="R6343" s="13" t="str">
        <f>HYPERLINK("https://my.pitchbook.com?c=167497-66T","View Company Online")</f>
        <v>View Company Online</v>
      </c>
    </row>
    <row r="6344" spans="1:18" hidden="1" x14ac:dyDescent="0.3">
      <c r="A6344" s="9" t="s">
        <v>19305</v>
      </c>
      <c r="B6344" s="9" t="s">
        <v>13828</v>
      </c>
      <c r="C6344" s="11" t="s">
        <v>28</v>
      </c>
      <c r="D6344" s="9" t="s">
        <v>13829</v>
      </c>
      <c r="E6344" s="11" t="s">
        <v>28</v>
      </c>
      <c r="F6344" s="10" t="s">
        <v>28</v>
      </c>
      <c r="G6344" s="10">
        <v>0.12</v>
      </c>
      <c r="H6344" s="10" t="s">
        <v>28</v>
      </c>
      <c r="I6344" s="11" t="s">
        <v>28</v>
      </c>
      <c r="J6344" s="11" t="s">
        <v>28</v>
      </c>
      <c r="K6344" s="11" t="s">
        <v>28</v>
      </c>
      <c r="L6344" s="11" t="s">
        <v>28</v>
      </c>
      <c r="M6344" s="11" t="s">
        <v>28</v>
      </c>
      <c r="N6344" s="8">
        <v>43840</v>
      </c>
      <c r="O6344" s="9" t="s">
        <v>379</v>
      </c>
      <c r="P6344" s="12" t="s">
        <v>19306</v>
      </c>
      <c r="Q6344" s="9" t="s">
        <v>75</v>
      </c>
      <c r="R6344" s="14" t="str">
        <f>HYPERLINK("https://my.pitchbook.com?c=210830-41T","View Company Online")</f>
        <v>View Company Online</v>
      </c>
    </row>
    <row r="6345" spans="1:18" hidden="1" x14ac:dyDescent="0.3">
      <c r="A6345" s="15" t="s">
        <v>19307</v>
      </c>
      <c r="B6345" s="15" t="s">
        <v>19308</v>
      </c>
      <c r="C6345" s="18" t="s">
        <v>28</v>
      </c>
      <c r="D6345" s="15" t="s">
        <v>19309</v>
      </c>
      <c r="E6345" s="18" t="s">
        <v>28</v>
      </c>
      <c r="F6345" s="19" t="s">
        <v>28</v>
      </c>
      <c r="G6345" s="19" t="s">
        <v>28</v>
      </c>
      <c r="H6345" s="19" t="s">
        <v>28</v>
      </c>
      <c r="I6345" s="18" t="s">
        <v>28</v>
      </c>
      <c r="J6345" s="18" t="s">
        <v>28</v>
      </c>
      <c r="K6345" s="18" t="s">
        <v>28</v>
      </c>
      <c r="L6345" s="18" t="s">
        <v>28</v>
      </c>
      <c r="M6345" s="18" t="s">
        <v>28</v>
      </c>
      <c r="N6345" s="17">
        <v>43840</v>
      </c>
      <c r="O6345" s="15" t="s">
        <v>173</v>
      </c>
      <c r="P6345" s="16" t="s">
        <v>28</v>
      </c>
      <c r="Q6345" s="15" t="s">
        <v>174</v>
      </c>
      <c r="R6345" s="13" t="str">
        <f>HYPERLINK("https://my.pitchbook.com?c=226682-11T","View Company Online")</f>
        <v>View Company Online</v>
      </c>
    </row>
    <row r="6346" spans="1:18" hidden="1" x14ac:dyDescent="0.3">
      <c r="A6346" s="9" t="s">
        <v>19310</v>
      </c>
      <c r="B6346" s="9" t="s">
        <v>11583</v>
      </c>
      <c r="C6346" s="11" t="s">
        <v>28</v>
      </c>
      <c r="D6346" s="9" t="s">
        <v>11584</v>
      </c>
      <c r="E6346" s="11" t="s">
        <v>28</v>
      </c>
      <c r="F6346" s="10" t="s">
        <v>28</v>
      </c>
      <c r="G6346" s="10">
        <v>0.4</v>
      </c>
      <c r="H6346" s="10" t="s">
        <v>28</v>
      </c>
      <c r="I6346" s="11" t="s">
        <v>28</v>
      </c>
      <c r="J6346" s="11" t="s">
        <v>28</v>
      </c>
      <c r="K6346" s="11" t="s">
        <v>28</v>
      </c>
      <c r="L6346" s="11" t="s">
        <v>28</v>
      </c>
      <c r="M6346" s="11" t="s">
        <v>28</v>
      </c>
      <c r="N6346" s="8">
        <v>43839</v>
      </c>
      <c r="O6346" s="9" t="s">
        <v>99</v>
      </c>
      <c r="P6346" s="12" t="s">
        <v>28</v>
      </c>
      <c r="Q6346" s="9" t="s">
        <v>37</v>
      </c>
      <c r="R6346" s="14" t="str">
        <f>HYPERLINK("https://my.pitchbook.com?c=136399-33T","View Company Online")</f>
        <v>View Company Online</v>
      </c>
    </row>
    <row r="6347" spans="1:18" hidden="1" x14ac:dyDescent="0.3">
      <c r="A6347" s="15" t="s">
        <v>19311</v>
      </c>
      <c r="B6347" s="15" t="s">
        <v>10001</v>
      </c>
      <c r="C6347" s="18" t="s">
        <v>28</v>
      </c>
      <c r="D6347" s="15" t="s">
        <v>10002</v>
      </c>
      <c r="E6347" s="18" t="s">
        <v>28</v>
      </c>
      <c r="F6347" s="19" t="s">
        <v>28</v>
      </c>
      <c r="G6347" s="19" t="s">
        <v>28</v>
      </c>
      <c r="H6347" s="19" t="s">
        <v>28</v>
      </c>
      <c r="I6347" s="18" t="s">
        <v>28</v>
      </c>
      <c r="J6347" s="18" t="s">
        <v>28</v>
      </c>
      <c r="K6347" s="18">
        <v>9.3699999999999992</v>
      </c>
      <c r="L6347" s="18" t="s">
        <v>28</v>
      </c>
      <c r="M6347" s="18" t="s">
        <v>28</v>
      </c>
      <c r="N6347" s="17">
        <v>43839</v>
      </c>
      <c r="O6347" s="15" t="s">
        <v>41</v>
      </c>
      <c r="P6347" s="16" t="s">
        <v>19312</v>
      </c>
      <c r="Q6347" s="15" t="s">
        <v>245</v>
      </c>
      <c r="R6347" s="13" t="str">
        <f>HYPERLINK("https://my.pitchbook.com?c=199148-95T","View Company Online")</f>
        <v>View Company Online</v>
      </c>
    </row>
    <row r="6348" spans="1:18" hidden="1" x14ac:dyDescent="0.3">
      <c r="A6348" s="9" t="s">
        <v>19313</v>
      </c>
      <c r="B6348" s="9" t="s">
        <v>17190</v>
      </c>
      <c r="C6348" s="11" t="s">
        <v>28</v>
      </c>
      <c r="D6348" s="9" t="s">
        <v>17191</v>
      </c>
      <c r="E6348" s="11" t="s">
        <v>28</v>
      </c>
      <c r="F6348" s="10" t="s">
        <v>28</v>
      </c>
      <c r="G6348" s="10">
        <v>0.37</v>
      </c>
      <c r="H6348" s="10" t="s">
        <v>28</v>
      </c>
      <c r="I6348" s="11" t="s">
        <v>28</v>
      </c>
      <c r="J6348" s="11" t="s">
        <v>28</v>
      </c>
      <c r="K6348" s="11" t="s">
        <v>28</v>
      </c>
      <c r="L6348" s="11" t="s">
        <v>28</v>
      </c>
      <c r="M6348" s="11" t="s">
        <v>28</v>
      </c>
      <c r="N6348" s="8">
        <v>43839</v>
      </c>
      <c r="O6348" s="9" t="s">
        <v>379</v>
      </c>
      <c r="P6348" s="12" t="s">
        <v>28</v>
      </c>
      <c r="Q6348" s="9" t="s">
        <v>362</v>
      </c>
      <c r="R6348" s="14" t="str">
        <f>HYPERLINK("https://my.pitchbook.com?c=164293-39T","View Company Online")</f>
        <v>View Company Online</v>
      </c>
    </row>
    <row r="6349" spans="1:18" hidden="1" x14ac:dyDescent="0.3">
      <c r="A6349" s="15" t="s">
        <v>19314</v>
      </c>
      <c r="B6349" s="15" t="s">
        <v>19315</v>
      </c>
      <c r="C6349" s="18" t="s">
        <v>28</v>
      </c>
      <c r="D6349" s="15" t="s">
        <v>19316</v>
      </c>
      <c r="E6349" s="18" t="s">
        <v>28</v>
      </c>
      <c r="F6349" s="19" t="s">
        <v>28</v>
      </c>
      <c r="G6349" s="19" t="s">
        <v>28</v>
      </c>
      <c r="H6349" s="19" t="s">
        <v>28</v>
      </c>
      <c r="I6349" s="18" t="s">
        <v>28</v>
      </c>
      <c r="J6349" s="18" t="s">
        <v>28</v>
      </c>
      <c r="K6349" s="18" t="s">
        <v>28</v>
      </c>
      <c r="L6349" s="18" t="s">
        <v>28</v>
      </c>
      <c r="M6349" s="18" t="s">
        <v>28</v>
      </c>
      <c r="N6349" s="17">
        <v>43838</v>
      </c>
      <c r="O6349" s="15" t="s">
        <v>30</v>
      </c>
      <c r="P6349" s="16" t="s">
        <v>19317</v>
      </c>
      <c r="Q6349" s="15" t="s">
        <v>75</v>
      </c>
      <c r="R6349" s="13" t="str">
        <f>HYPERLINK("https://my.pitchbook.com?c=129427-21T","View Company Online")</f>
        <v>View Company Online</v>
      </c>
    </row>
    <row r="6350" spans="1:18" hidden="1" x14ac:dyDescent="0.3">
      <c r="A6350" s="9" t="s">
        <v>19318</v>
      </c>
      <c r="B6350" s="9" t="s">
        <v>19319</v>
      </c>
      <c r="C6350" s="11" t="s">
        <v>28</v>
      </c>
      <c r="D6350" s="9" t="s">
        <v>19320</v>
      </c>
      <c r="E6350" s="11" t="s">
        <v>28</v>
      </c>
      <c r="F6350" s="10" t="s">
        <v>28</v>
      </c>
      <c r="G6350" s="10" t="s">
        <v>28</v>
      </c>
      <c r="H6350" s="10" t="s">
        <v>28</v>
      </c>
      <c r="I6350" s="11" t="s">
        <v>28</v>
      </c>
      <c r="J6350" s="11" t="s">
        <v>28</v>
      </c>
      <c r="K6350" s="11" t="s">
        <v>28</v>
      </c>
      <c r="L6350" s="11" t="s">
        <v>28</v>
      </c>
      <c r="M6350" s="11" t="s">
        <v>28</v>
      </c>
      <c r="N6350" s="8">
        <v>43838</v>
      </c>
      <c r="O6350" s="9" t="s">
        <v>30</v>
      </c>
      <c r="P6350" s="12" t="s">
        <v>5785</v>
      </c>
      <c r="Q6350" s="9" t="s">
        <v>245</v>
      </c>
      <c r="R6350" s="14" t="str">
        <f>HYPERLINK("https://my.pitchbook.com?c=209306-98T","View Company Online")</f>
        <v>View Company Online</v>
      </c>
    </row>
    <row r="6351" spans="1:18" hidden="1" x14ac:dyDescent="0.3">
      <c r="A6351" s="15" t="s">
        <v>19321</v>
      </c>
      <c r="B6351" s="15" t="s">
        <v>19322</v>
      </c>
      <c r="C6351" s="18" t="s">
        <v>28</v>
      </c>
      <c r="D6351" s="15" t="s">
        <v>19323</v>
      </c>
      <c r="E6351" s="18" t="s">
        <v>28</v>
      </c>
      <c r="F6351" s="19" t="s">
        <v>28</v>
      </c>
      <c r="G6351" s="19" t="s">
        <v>28</v>
      </c>
      <c r="H6351" s="19" t="s">
        <v>28</v>
      </c>
      <c r="I6351" s="18" t="s">
        <v>28</v>
      </c>
      <c r="J6351" s="18" t="s">
        <v>28</v>
      </c>
      <c r="K6351" s="18" t="s">
        <v>28</v>
      </c>
      <c r="L6351" s="18" t="s">
        <v>28</v>
      </c>
      <c r="M6351" s="18" t="s">
        <v>28</v>
      </c>
      <c r="N6351" s="17">
        <v>43838</v>
      </c>
      <c r="O6351" s="15" t="s">
        <v>41</v>
      </c>
      <c r="P6351" s="16" t="s">
        <v>19324</v>
      </c>
      <c r="Q6351" s="15" t="s">
        <v>95</v>
      </c>
      <c r="R6351" s="13" t="str">
        <f>HYPERLINK("https://my.pitchbook.com?c=256299-85T","View Company Online")</f>
        <v>View Company Online</v>
      </c>
    </row>
    <row r="6352" spans="1:18" hidden="1" x14ac:dyDescent="0.3">
      <c r="A6352" s="9" t="s">
        <v>19325</v>
      </c>
      <c r="B6352" s="9" t="s">
        <v>19326</v>
      </c>
      <c r="C6352" s="11" t="s">
        <v>28</v>
      </c>
      <c r="D6352" s="9" t="s">
        <v>19327</v>
      </c>
      <c r="E6352" s="11" t="s">
        <v>28</v>
      </c>
      <c r="F6352" s="10" t="s">
        <v>28</v>
      </c>
      <c r="G6352" s="10" t="s">
        <v>28</v>
      </c>
      <c r="H6352" s="10" t="s">
        <v>28</v>
      </c>
      <c r="I6352" s="11" t="s">
        <v>28</v>
      </c>
      <c r="J6352" s="11" t="s">
        <v>28</v>
      </c>
      <c r="K6352" s="11" t="s">
        <v>28</v>
      </c>
      <c r="L6352" s="11" t="s">
        <v>28</v>
      </c>
      <c r="M6352" s="11" t="s">
        <v>28</v>
      </c>
      <c r="N6352" s="8">
        <v>43838</v>
      </c>
      <c r="O6352" s="9" t="s">
        <v>30</v>
      </c>
      <c r="P6352" s="12" t="s">
        <v>19328</v>
      </c>
      <c r="Q6352" s="9" t="s">
        <v>136</v>
      </c>
      <c r="R6352" s="14" t="str">
        <f>HYPERLINK("https://my.pitchbook.com?c=129327-04T","View Company Online")</f>
        <v>View Company Online</v>
      </c>
    </row>
    <row r="6353" spans="1:18" hidden="1" x14ac:dyDescent="0.3">
      <c r="A6353" s="15" t="s">
        <v>19329</v>
      </c>
      <c r="B6353" s="15" t="s">
        <v>19330</v>
      </c>
      <c r="C6353" s="18" t="s">
        <v>28</v>
      </c>
      <c r="D6353" s="15" t="s">
        <v>19331</v>
      </c>
      <c r="E6353" s="18" t="s">
        <v>28</v>
      </c>
      <c r="F6353" s="19" t="s">
        <v>28</v>
      </c>
      <c r="G6353" s="19" t="s">
        <v>28</v>
      </c>
      <c r="H6353" s="19" t="s">
        <v>28</v>
      </c>
      <c r="I6353" s="18" t="s">
        <v>28</v>
      </c>
      <c r="J6353" s="18" t="s">
        <v>28</v>
      </c>
      <c r="K6353" s="18" t="s">
        <v>28</v>
      </c>
      <c r="L6353" s="18" t="s">
        <v>28</v>
      </c>
      <c r="M6353" s="18" t="s">
        <v>28</v>
      </c>
      <c r="N6353" s="17">
        <v>43837</v>
      </c>
      <c r="O6353" s="15" t="s">
        <v>30</v>
      </c>
      <c r="P6353" s="16" t="s">
        <v>19332</v>
      </c>
      <c r="Q6353" s="15" t="s">
        <v>692</v>
      </c>
      <c r="R6353" s="13" t="str">
        <f>HYPERLINK("https://my.pitchbook.com?c=216195-49T","View Company Online")</f>
        <v>View Company Online</v>
      </c>
    </row>
    <row r="6354" spans="1:18" hidden="1" x14ac:dyDescent="0.3">
      <c r="A6354" s="9" t="s">
        <v>19333</v>
      </c>
      <c r="B6354" s="9" t="s">
        <v>6062</v>
      </c>
      <c r="C6354" s="11" t="s">
        <v>28</v>
      </c>
      <c r="D6354" s="9" t="s">
        <v>6063</v>
      </c>
      <c r="E6354" s="11" t="s">
        <v>28</v>
      </c>
      <c r="F6354" s="10" t="s">
        <v>28</v>
      </c>
      <c r="G6354" s="10" t="s">
        <v>28</v>
      </c>
      <c r="H6354" s="10" t="s">
        <v>28</v>
      </c>
      <c r="I6354" s="11" t="s">
        <v>28</v>
      </c>
      <c r="J6354" s="11" t="s">
        <v>28</v>
      </c>
      <c r="K6354" s="11" t="s">
        <v>28</v>
      </c>
      <c r="L6354" s="11" t="s">
        <v>28</v>
      </c>
      <c r="M6354" s="11" t="s">
        <v>28</v>
      </c>
      <c r="N6354" s="8">
        <v>43837</v>
      </c>
      <c r="O6354" s="9" t="s">
        <v>73</v>
      </c>
      <c r="P6354" s="12" t="s">
        <v>9564</v>
      </c>
      <c r="Q6354" s="9" t="s">
        <v>75</v>
      </c>
      <c r="R6354" s="14" t="str">
        <f>HYPERLINK("https://my.pitchbook.com?c=124740-28T","View Company Online")</f>
        <v>View Company Online</v>
      </c>
    </row>
    <row r="6355" spans="1:18" hidden="1" x14ac:dyDescent="0.3">
      <c r="A6355" s="15" t="s">
        <v>19334</v>
      </c>
      <c r="B6355" s="15" t="s">
        <v>19335</v>
      </c>
      <c r="C6355" s="18" t="s">
        <v>28</v>
      </c>
      <c r="D6355" s="15" t="s">
        <v>19336</v>
      </c>
      <c r="E6355" s="18" t="s">
        <v>28</v>
      </c>
      <c r="F6355" s="19" t="s">
        <v>28</v>
      </c>
      <c r="G6355" s="19" t="s">
        <v>28</v>
      </c>
      <c r="H6355" s="19" t="s">
        <v>28</v>
      </c>
      <c r="I6355" s="18" t="s">
        <v>28</v>
      </c>
      <c r="J6355" s="18" t="s">
        <v>28</v>
      </c>
      <c r="K6355" s="18" t="s">
        <v>28</v>
      </c>
      <c r="L6355" s="18" t="s">
        <v>28</v>
      </c>
      <c r="M6355" s="18" t="s">
        <v>28</v>
      </c>
      <c r="N6355" s="17">
        <v>43837</v>
      </c>
      <c r="O6355" s="15" t="s">
        <v>30</v>
      </c>
      <c r="P6355" s="16" t="s">
        <v>19337</v>
      </c>
      <c r="Q6355" s="15" t="s">
        <v>75</v>
      </c>
      <c r="R6355" s="13" t="str">
        <f>HYPERLINK("https://my.pitchbook.com?c=129364-57T","View Company Online")</f>
        <v>View Company Online</v>
      </c>
    </row>
    <row r="6356" spans="1:18" hidden="1" x14ac:dyDescent="0.3">
      <c r="A6356" s="9" t="s">
        <v>19338</v>
      </c>
      <c r="B6356" s="9" t="s">
        <v>2351</v>
      </c>
      <c r="C6356" s="11" t="s">
        <v>28</v>
      </c>
      <c r="D6356" s="9" t="s">
        <v>2352</v>
      </c>
      <c r="E6356" s="11">
        <v>-5.1100000000000003</v>
      </c>
      <c r="F6356" s="10" t="s">
        <v>28</v>
      </c>
      <c r="G6356" s="10">
        <v>25</v>
      </c>
      <c r="H6356" s="10" t="s">
        <v>28</v>
      </c>
      <c r="I6356" s="11" t="s">
        <v>28</v>
      </c>
      <c r="J6356" s="11" t="s">
        <v>28</v>
      </c>
      <c r="K6356" s="11">
        <v>6.58</v>
      </c>
      <c r="L6356" s="11" t="s">
        <v>28</v>
      </c>
      <c r="M6356" s="11">
        <v>-5.16</v>
      </c>
      <c r="N6356" s="8">
        <v>43837</v>
      </c>
      <c r="O6356" s="9" t="s">
        <v>73</v>
      </c>
      <c r="P6356" s="12" t="s">
        <v>19339</v>
      </c>
      <c r="Q6356" s="9" t="s">
        <v>740</v>
      </c>
      <c r="R6356" s="14" t="str">
        <f>HYPERLINK("https://my.pitchbook.com?c=129278-71T","View Company Online")</f>
        <v>View Company Online</v>
      </c>
    </row>
    <row r="6357" spans="1:18" hidden="1" x14ac:dyDescent="0.3">
      <c r="A6357" s="15" t="s">
        <v>19340</v>
      </c>
      <c r="B6357" s="15" t="s">
        <v>3720</v>
      </c>
      <c r="C6357" s="18" t="s">
        <v>28</v>
      </c>
      <c r="D6357" s="15" t="s">
        <v>3721</v>
      </c>
      <c r="E6357" s="18" t="s">
        <v>28</v>
      </c>
      <c r="F6357" s="19" t="s">
        <v>28</v>
      </c>
      <c r="G6357" s="19">
        <v>1.8</v>
      </c>
      <c r="H6357" s="19" t="s">
        <v>28</v>
      </c>
      <c r="I6357" s="18" t="s">
        <v>28</v>
      </c>
      <c r="J6357" s="18" t="s">
        <v>28</v>
      </c>
      <c r="K6357" s="18" t="s">
        <v>28</v>
      </c>
      <c r="L6357" s="18" t="s">
        <v>28</v>
      </c>
      <c r="M6357" s="18" t="s">
        <v>28</v>
      </c>
      <c r="N6357" s="17">
        <v>43837</v>
      </c>
      <c r="O6357" s="15" t="s">
        <v>99</v>
      </c>
      <c r="P6357" s="16" t="s">
        <v>19341</v>
      </c>
      <c r="Q6357" s="15" t="s">
        <v>658</v>
      </c>
      <c r="R6357" s="13" t="str">
        <f>HYPERLINK("https://my.pitchbook.com?c=158701-96T","View Company Online")</f>
        <v>View Company Online</v>
      </c>
    </row>
    <row r="6358" spans="1:18" hidden="1" x14ac:dyDescent="0.3">
      <c r="A6358" s="9" t="s">
        <v>19342</v>
      </c>
      <c r="B6358" s="9" t="s">
        <v>19343</v>
      </c>
      <c r="C6358" s="11" t="s">
        <v>28</v>
      </c>
      <c r="D6358" s="9" t="s">
        <v>19344</v>
      </c>
      <c r="E6358" s="11" t="s">
        <v>28</v>
      </c>
      <c r="F6358" s="10" t="s">
        <v>28</v>
      </c>
      <c r="G6358" s="10">
        <v>120</v>
      </c>
      <c r="H6358" s="10">
        <v>255.32</v>
      </c>
      <c r="I6358" s="11" t="s">
        <v>28</v>
      </c>
      <c r="J6358" s="11" t="s">
        <v>28</v>
      </c>
      <c r="K6358" s="11" t="s">
        <v>28</v>
      </c>
      <c r="L6358" s="11" t="s">
        <v>28</v>
      </c>
      <c r="M6358" s="11" t="s">
        <v>28</v>
      </c>
      <c r="N6358" s="8">
        <v>43837</v>
      </c>
      <c r="O6358" s="9" t="s">
        <v>58</v>
      </c>
      <c r="P6358" s="12" t="s">
        <v>11471</v>
      </c>
      <c r="Q6358" s="9" t="s">
        <v>299</v>
      </c>
      <c r="R6358" s="14" t="str">
        <f>HYPERLINK("https://my.pitchbook.com?c=252815-32T","View Company Online")</f>
        <v>View Company Online</v>
      </c>
    </row>
    <row r="6359" spans="1:18" hidden="1" x14ac:dyDescent="0.3">
      <c r="A6359" s="15" t="s">
        <v>19345</v>
      </c>
      <c r="B6359" s="15" t="s">
        <v>19346</v>
      </c>
      <c r="C6359" s="18" t="s">
        <v>28</v>
      </c>
      <c r="D6359" s="15" t="s">
        <v>19347</v>
      </c>
      <c r="E6359" s="18" t="s">
        <v>28</v>
      </c>
      <c r="F6359" s="19" t="s">
        <v>28</v>
      </c>
      <c r="G6359" s="19">
        <v>0.36</v>
      </c>
      <c r="H6359" s="19" t="s">
        <v>28</v>
      </c>
      <c r="I6359" s="18" t="s">
        <v>28</v>
      </c>
      <c r="J6359" s="18" t="s">
        <v>28</v>
      </c>
      <c r="K6359" s="18">
        <v>0.51</v>
      </c>
      <c r="L6359" s="18" t="s">
        <v>28</v>
      </c>
      <c r="M6359" s="18" t="s">
        <v>28</v>
      </c>
      <c r="N6359" s="17">
        <v>43837</v>
      </c>
      <c r="O6359" s="15" t="s">
        <v>1639</v>
      </c>
      <c r="P6359" s="16" t="s">
        <v>28</v>
      </c>
      <c r="Q6359" s="15" t="s">
        <v>371</v>
      </c>
      <c r="R6359" s="13" t="str">
        <f>HYPERLINK("https://my.pitchbook.com?c=122948-92T","View Company Online")</f>
        <v>View Company Online</v>
      </c>
    </row>
    <row r="6360" spans="1:18" hidden="1" x14ac:dyDescent="0.3">
      <c r="A6360" s="9" t="s">
        <v>19348</v>
      </c>
      <c r="B6360" s="9" t="s">
        <v>9503</v>
      </c>
      <c r="C6360" s="11" t="s">
        <v>28</v>
      </c>
      <c r="D6360" s="9" t="s">
        <v>9504</v>
      </c>
      <c r="E6360" s="11" t="s">
        <v>28</v>
      </c>
      <c r="F6360" s="10" t="s">
        <v>28</v>
      </c>
      <c r="G6360" s="10">
        <v>0.37</v>
      </c>
      <c r="H6360" s="10" t="s">
        <v>28</v>
      </c>
      <c r="I6360" s="11" t="s">
        <v>28</v>
      </c>
      <c r="J6360" s="11" t="s">
        <v>28</v>
      </c>
      <c r="K6360" s="11" t="s">
        <v>28</v>
      </c>
      <c r="L6360" s="11" t="s">
        <v>28</v>
      </c>
      <c r="M6360" s="11" t="s">
        <v>28</v>
      </c>
      <c r="N6360" s="8">
        <v>43837</v>
      </c>
      <c r="O6360" s="9" t="s">
        <v>73</v>
      </c>
      <c r="P6360" s="12" t="s">
        <v>28</v>
      </c>
      <c r="Q6360" s="9" t="s">
        <v>1035</v>
      </c>
      <c r="R6360" s="14" t="str">
        <f>HYPERLINK("https://my.pitchbook.com?c=160999-66T","View Company Online")</f>
        <v>View Company Online</v>
      </c>
    </row>
    <row r="6361" spans="1:18" hidden="1" x14ac:dyDescent="0.3">
      <c r="A6361" s="15" t="s">
        <v>19349</v>
      </c>
      <c r="B6361" s="15" t="s">
        <v>19350</v>
      </c>
      <c r="C6361" s="18" t="s">
        <v>28</v>
      </c>
      <c r="D6361" s="15" t="s">
        <v>19351</v>
      </c>
      <c r="E6361" s="18" t="s">
        <v>28</v>
      </c>
      <c r="F6361" s="19" t="s">
        <v>28</v>
      </c>
      <c r="G6361" s="19" t="s">
        <v>28</v>
      </c>
      <c r="H6361" s="19" t="s">
        <v>28</v>
      </c>
      <c r="I6361" s="18" t="s">
        <v>28</v>
      </c>
      <c r="J6361" s="18" t="s">
        <v>28</v>
      </c>
      <c r="K6361" s="18">
        <v>60</v>
      </c>
      <c r="L6361" s="18" t="s">
        <v>28</v>
      </c>
      <c r="M6361" s="18" t="s">
        <v>28</v>
      </c>
      <c r="N6361" s="17">
        <v>43836</v>
      </c>
      <c r="O6361" s="15" t="s">
        <v>30</v>
      </c>
      <c r="P6361" s="16" t="s">
        <v>8837</v>
      </c>
      <c r="Q6361" s="15" t="s">
        <v>1007</v>
      </c>
      <c r="R6361" s="13" t="str">
        <f>HYPERLINK("https://my.pitchbook.com?c=129205-00T","View Company Online")</f>
        <v>View Company Online</v>
      </c>
    </row>
    <row r="6362" spans="1:18" hidden="1" x14ac:dyDescent="0.3">
      <c r="A6362" s="9" t="s">
        <v>19352</v>
      </c>
      <c r="B6362" s="9" t="s">
        <v>17222</v>
      </c>
      <c r="C6362" s="11" t="s">
        <v>28</v>
      </c>
      <c r="D6362" s="9" t="s">
        <v>17223</v>
      </c>
      <c r="E6362" s="11" t="s">
        <v>28</v>
      </c>
      <c r="F6362" s="10" t="s">
        <v>28</v>
      </c>
      <c r="G6362" s="10">
        <v>1.1000000000000001</v>
      </c>
      <c r="H6362" s="10" t="s">
        <v>28</v>
      </c>
      <c r="I6362" s="11" t="s">
        <v>28</v>
      </c>
      <c r="J6362" s="11" t="s">
        <v>28</v>
      </c>
      <c r="K6362" s="11" t="s">
        <v>28</v>
      </c>
      <c r="L6362" s="11" t="s">
        <v>28</v>
      </c>
      <c r="M6362" s="11" t="s">
        <v>28</v>
      </c>
      <c r="N6362" s="8">
        <v>43835</v>
      </c>
      <c r="O6362" s="9" t="s">
        <v>99</v>
      </c>
      <c r="P6362" s="12" t="s">
        <v>28</v>
      </c>
      <c r="Q6362" s="9" t="s">
        <v>399</v>
      </c>
      <c r="R6362" s="14" t="str">
        <f>HYPERLINK("https://my.pitchbook.com?c=207135-10T","View Company Online")</f>
        <v>View Company Online</v>
      </c>
    </row>
    <row r="6363" spans="1:18" hidden="1" x14ac:dyDescent="0.3">
      <c r="A6363" s="15" t="s">
        <v>19353</v>
      </c>
      <c r="B6363" s="15" t="s">
        <v>5312</v>
      </c>
      <c r="C6363" s="18" t="s">
        <v>28</v>
      </c>
      <c r="D6363" s="15" t="s">
        <v>5313</v>
      </c>
      <c r="E6363" s="18" t="s">
        <v>28</v>
      </c>
      <c r="F6363" s="19" t="s">
        <v>28</v>
      </c>
      <c r="G6363" s="19">
        <v>175</v>
      </c>
      <c r="H6363" s="19">
        <v>1000</v>
      </c>
      <c r="I6363" s="18" t="s">
        <v>28</v>
      </c>
      <c r="J6363" s="18" t="s">
        <v>28</v>
      </c>
      <c r="K6363" s="18" t="s">
        <v>28</v>
      </c>
      <c r="L6363" s="18" t="s">
        <v>28</v>
      </c>
      <c r="M6363" s="18" t="s">
        <v>28</v>
      </c>
      <c r="N6363" s="17">
        <v>43833</v>
      </c>
      <c r="O6363" s="15" t="s">
        <v>79</v>
      </c>
      <c r="P6363" s="16" t="s">
        <v>19354</v>
      </c>
      <c r="Q6363" s="15" t="s">
        <v>119</v>
      </c>
      <c r="R6363" s="13" t="str">
        <f>HYPERLINK("https://my.pitchbook.com?c=129100-33T","View Company Online")</f>
        <v>View Company Online</v>
      </c>
    </row>
    <row r="6364" spans="1:18" hidden="1" x14ac:dyDescent="0.3">
      <c r="A6364" s="9" t="s">
        <v>19355</v>
      </c>
      <c r="B6364" s="9" t="s">
        <v>19356</v>
      </c>
      <c r="C6364" s="11" t="s">
        <v>28</v>
      </c>
      <c r="D6364" s="9" t="s">
        <v>19357</v>
      </c>
      <c r="E6364" s="11" t="s">
        <v>28</v>
      </c>
      <c r="F6364" s="10">
        <v>15.38</v>
      </c>
      <c r="G6364" s="10">
        <v>15.38</v>
      </c>
      <c r="H6364" s="10">
        <v>15.38</v>
      </c>
      <c r="I6364" s="11" t="s">
        <v>28</v>
      </c>
      <c r="J6364" s="11" t="s">
        <v>28</v>
      </c>
      <c r="K6364" s="11" t="s">
        <v>28</v>
      </c>
      <c r="L6364" s="11" t="s">
        <v>28</v>
      </c>
      <c r="M6364" s="11" t="s">
        <v>28</v>
      </c>
      <c r="N6364" s="8">
        <v>43832</v>
      </c>
      <c r="O6364" s="9" t="s">
        <v>30</v>
      </c>
      <c r="P6364" s="12" t="s">
        <v>19358</v>
      </c>
      <c r="Q6364" s="9" t="s">
        <v>1088</v>
      </c>
      <c r="R6364" s="14" t="str">
        <f>HYPERLINK("https://my.pitchbook.com?c=136146-16T","View Company Online")</f>
        <v>View Company Online</v>
      </c>
    </row>
    <row r="6365" spans="1:18" hidden="1" x14ac:dyDescent="0.3">
      <c r="A6365" s="15" t="s">
        <v>19359</v>
      </c>
      <c r="B6365" s="15" t="s">
        <v>19360</v>
      </c>
      <c r="C6365" s="18" t="s">
        <v>28</v>
      </c>
      <c r="D6365" s="15" t="s">
        <v>19361</v>
      </c>
      <c r="E6365" s="18" t="s">
        <v>28</v>
      </c>
      <c r="F6365" s="19" t="s">
        <v>28</v>
      </c>
      <c r="G6365" s="19" t="s">
        <v>28</v>
      </c>
      <c r="H6365" s="19" t="s">
        <v>28</v>
      </c>
      <c r="I6365" s="18" t="s">
        <v>28</v>
      </c>
      <c r="J6365" s="18" t="s">
        <v>28</v>
      </c>
      <c r="K6365" s="18">
        <v>1.1200000000000001</v>
      </c>
      <c r="L6365" s="18" t="s">
        <v>28</v>
      </c>
      <c r="M6365" s="18">
        <v>1.06</v>
      </c>
      <c r="N6365" s="17">
        <v>43832</v>
      </c>
      <c r="O6365" s="15" t="s">
        <v>173</v>
      </c>
      <c r="P6365" s="16" t="s">
        <v>28</v>
      </c>
      <c r="Q6365" s="15" t="s">
        <v>174</v>
      </c>
      <c r="R6365" s="13" t="str">
        <f>HYPERLINK("https://my.pitchbook.com?c=222918-67T","View Company Online")</f>
        <v>View Company Online</v>
      </c>
    </row>
    <row r="6366" spans="1:18" hidden="1" x14ac:dyDescent="0.3">
      <c r="A6366" s="9" t="s">
        <v>19362</v>
      </c>
      <c r="B6366" s="9" t="s">
        <v>19363</v>
      </c>
      <c r="C6366" s="11" t="s">
        <v>28</v>
      </c>
      <c r="D6366" s="9" t="s">
        <v>19364</v>
      </c>
      <c r="E6366" s="11" t="s">
        <v>28</v>
      </c>
      <c r="F6366" s="10" t="s">
        <v>28</v>
      </c>
      <c r="G6366" s="10" t="s">
        <v>28</v>
      </c>
      <c r="H6366" s="10" t="s">
        <v>28</v>
      </c>
      <c r="I6366" s="11" t="s">
        <v>28</v>
      </c>
      <c r="J6366" s="11" t="s">
        <v>28</v>
      </c>
      <c r="K6366" s="11" t="s">
        <v>28</v>
      </c>
      <c r="L6366" s="11" t="s">
        <v>28</v>
      </c>
      <c r="M6366" s="11" t="s">
        <v>28</v>
      </c>
      <c r="N6366" s="8">
        <v>43832</v>
      </c>
      <c r="O6366" s="9" t="s">
        <v>30</v>
      </c>
      <c r="P6366" s="12" t="s">
        <v>19365</v>
      </c>
      <c r="Q6366" s="9" t="s">
        <v>136</v>
      </c>
      <c r="R6366" s="14" t="str">
        <f>HYPERLINK("https://my.pitchbook.com?c=165151-36T","View Company Online")</f>
        <v>View Company Online</v>
      </c>
    </row>
    <row r="6367" spans="1:18" hidden="1" x14ac:dyDescent="0.3">
      <c r="A6367" s="15" t="s">
        <v>19366</v>
      </c>
      <c r="B6367" s="15" t="s">
        <v>11897</v>
      </c>
      <c r="C6367" s="18" t="s">
        <v>28</v>
      </c>
      <c r="D6367" s="15" t="s">
        <v>11898</v>
      </c>
      <c r="E6367" s="18" t="s">
        <v>28</v>
      </c>
      <c r="F6367" s="19" t="s">
        <v>28</v>
      </c>
      <c r="G6367" s="19">
        <v>0.05</v>
      </c>
      <c r="H6367" s="19" t="s">
        <v>28</v>
      </c>
      <c r="I6367" s="18" t="s">
        <v>28</v>
      </c>
      <c r="J6367" s="18" t="s">
        <v>28</v>
      </c>
      <c r="K6367" s="18" t="s">
        <v>28</v>
      </c>
      <c r="L6367" s="18" t="s">
        <v>28</v>
      </c>
      <c r="M6367" s="18" t="s">
        <v>28</v>
      </c>
      <c r="N6367" s="17">
        <v>43832</v>
      </c>
      <c r="O6367" s="15" t="s">
        <v>379</v>
      </c>
      <c r="P6367" s="16" t="s">
        <v>28</v>
      </c>
      <c r="Q6367" s="15" t="s">
        <v>188</v>
      </c>
      <c r="R6367" s="13" t="str">
        <f>HYPERLINK("https://my.pitchbook.com?c=210986-11T","View Company Online")</f>
        <v>View Company Online</v>
      </c>
    </row>
    <row r="6368" spans="1:18" hidden="1" x14ac:dyDescent="0.3">
      <c r="A6368" s="9" t="s">
        <v>19367</v>
      </c>
      <c r="B6368" s="9" t="s">
        <v>16568</v>
      </c>
      <c r="C6368" s="11" t="s">
        <v>28</v>
      </c>
      <c r="D6368" s="9" t="s">
        <v>16569</v>
      </c>
      <c r="E6368" s="11" t="s">
        <v>28</v>
      </c>
      <c r="F6368" s="10" t="s">
        <v>28</v>
      </c>
      <c r="G6368" s="10" t="s">
        <v>28</v>
      </c>
      <c r="H6368" s="10" t="s">
        <v>28</v>
      </c>
      <c r="I6368" s="11" t="s">
        <v>28</v>
      </c>
      <c r="J6368" s="11" t="s">
        <v>28</v>
      </c>
      <c r="K6368" s="11" t="s">
        <v>28</v>
      </c>
      <c r="L6368" s="11" t="s">
        <v>28</v>
      </c>
      <c r="M6368" s="11" t="s">
        <v>28</v>
      </c>
      <c r="N6368" s="8">
        <v>43831</v>
      </c>
      <c r="O6368" s="9" t="s">
        <v>52</v>
      </c>
      <c r="P6368" s="12" t="s">
        <v>12362</v>
      </c>
      <c r="Q6368" s="9" t="s">
        <v>37</v>
      </c>
      <c r="R6368" s="14" t="str">
        <f>HYPERLINK("https://my.pitchbook.com?c=284374-09T","View Company Online")</f>
        <v>View Company Online</v>
      </c>
    </row>
    <row r="6369" spans="1:18" hidden="1" x14ac:dyDescent="0.3">
      <c r="A6369" s="15" t="s">
        <v>19368</v>
      </c>
      <c r="B6369" s="15" t="s">
        <v>19369</v>
      </c>
      <c r="C6369" s="18" t="s">
        <v>28</v>
      </c>
      <c r="D6369" s="15" t="s">
        <v>19370</v>
      </c>
      <c r="E6369" s="18" t="s">
        <v>28</v>
      </c>
      <c r="F6369" s="19" t="s">
        <v>28</v>
      </c>
      <c r="G6369" s="19" t="s">
        <v>28</v>
      </c>
      <c r="H6369" s="19" t="s">
        <v>28</v>
      </c>
      <c r="I6369" s="18" t="s">
        <v>28</v>
      </c>
      <c r="J6369" s="18" t="s">
        <v>28</v>
      </c>
      <c r="K6369" s="18" t="s">
        <v>28</v>
      </c>
      <c r="L6369" s="18" t="s">
        <v>28</v>
      </c>
      <c r="M6369" s="18" t="s">
        <v>28</v>
      </c>
      <c r="N6369" s="17">
        <v>43831</v>
      </c>
      <c r="O6369" s="15" t="s">
        <v>79</v>
      </c>
      <c r="P6369" s="16" t="s">
        <v>5531</v>
      </c>
      <c r="Q6369" s="15" t="s">
        <v>75</v>
      </c>
      <c r="R6369" s="13" t="str">
        <f>HYPERLINK("https://my.pitchbook.com?c=191737-18T","View Company Online")</f>
        <v>View Company Online</v>
      </c>
    </row>
    <row r="6370" spans="1:18" hidden="1" x14ac:dyDescent="0.3">
      <c r="A6370" s="9" t="s">
        <v>19371</v>
      </c>
      <c r="B6370" s="9" t="s">
        <v>4013</v>
      </c>
      <c r="C6370" s="11" t="s">
        <v>28</v>
      </c>
      <c r="D6370" s="9" t="s">
        <v>4014</v>
      </c>
      <c r="E6370" s="11" t="s">
        <v>28</v>
      </c>
      <c r="F6370" s="10" t="s">
        <v>28</v>
      </c>
      <c r="G6370" s="10" t="s">
        <v>28</v>
      </c>
      <c r="H6370" s="10" t="s">
        <v>28</v>
      </c>
      <c r="I6370" s="11" t="s">
        <v>28</v>
      </c>
      <c r="J6370" s="11" t="s">
        <v>28</v>
      </c>
      <c r="K6370" s="11" t="s">
        <v>28</v>
      </c>
      <c r="L6370" s="11" t="s">
        <v>28</v>
      </c>
      <c r="M6370" s="11" t="s">
        <v>28</v>
      </c>
      <c r="N6370" s="8">
        <v>43831</v>
      </c>
      <c r="O6370" s="9" t="s">
        <v>52</v>
      </c>
      <c r="P6370" s="12" t="s">
        <v>12362</v>
      </c>
      <c r="Q6370" s="9" t="s">
        <v>75</v>
      </c>
      <c r="R6370" s="14" t="str">
        <f>HYPERLINK("https://my.pitchbook.com?c=284167-18T","View Company Online")</f>
        <v>View Company Online</v>
      </c>
    </row>
    <row r="6371" spans="1:18" hidden="1" x14ac:dyDescent="0.3">
      <c r="A6371" s="15" t="s">
        <v>19372</v>
      </c>
      <c r="B6371" s="15" t="s">
        <v>19373</v>
      </c>
      <c r="C6371" s="18" t="s">
        <v>28</v>
      </c>
      <c r="D6371" s="15" t="s">
        <v>19374</v>
      </c>
      <c r="E6371" s="18" t="s">
        <v>28</v>
      </c>
      <c r="F6371" s="19" t="s">
        <v>28</v>
      </c>
      <c r="G6371" s="19" t="s">
        <v>28</v>
      </c>
      <c r="H6371" s="19" t="s">
        <v>28</v>
      </c>
      <c r="I6371" s="18" t="s">
        <v>28</v>
      </c>
      <c r="J6371" s="18" t="s">
        <v>28</v>
      </c>
      <c r="K6371" s="18" t="s">
        <v>28</v>
      </c>
      <c r="L6371" s="18" t="s">
        <v>28</v>
      </c>
      <c r="M6371" s="18" t="s">
        <v>28</v>
      </c>
      <c r="N6371" s="17">
        <v>43831</v>
      </c>
      <c r="O6371" s="15" t="s">
        <v>41</v>
      </c>
      <c r="P6371" s="16" t="s">
        <v>19375</v>
      </c>
      <c r="Q6371" s="15" t="s">
        <v>290</v>
      </c>
      <c r="R6371" s="13" t="str">
        <f>HYPERLINK("https://my.pitchbook.com?c=256954-69T","View Company Online")</f>
        <v>View Company Online</v>
      </c>
    </row>
    <row r="6372" spans="1:18" hidden="1" x14ac:dyDescent="0.3">
      <c r="A6372" s="9" t="s">
        <v>19376</v>
      </c>
      <c r="B6372" s="9" t="s">
        <v>19377</v>
      </c>
      <c r="C6372" s="11" t="s">
        <v>28</v>
      </c>
      <c r="D6372" s="9" t="s">
        <v>19378</v>
      </c>
      <c r="E6372" s="11" t="s">
        <v>28</v>
      </c>
      <c r="F6372" s="10" t="s">
        <v>28</v>
      </c>
      <c r="G6372" s="10" t="s">
        <v>28</v>
      </c>
      <c r="H6372" s="10" t="s">
        <v>28</v>
      </c>
      <c r="I6372" s="11" t="s">
        <v>28</v>
      </c>
      <c r="J6372" s="11" t="s">
        <v>28</v>
      </c>
      <c r="K6372" s="11" t="s">
        <v>28</v>
      </c>
      <c r="L6372" s="11" t="s">
        <v>28</v>
      </c>
      <c r="M6372" s="11" t="s">
        <v>28</v>
      </c>
      <c r="N6372" s="8">
        <v>43831</v>
      </c>
      <c r="O6372" s="9" t="s">
        <v>30</v>
      </c>
      <c r="P6372" s="12" t="s">
        <v>19379</v>
      </c>
      <c r="Q6372" s="9" t="s">
        <v>1007</v>
      </c>
      <c r="R6372" s="14" t="str">
        <f>HYPERLINK("https://my.pitchbook.com?c=244903-60T","View Company Online")</f>
        <v>View Company Online</v>
      </c>
    </row>
    <row r="6373" spans="1:18" hidden="1" x14ac:dyDescent="0.3">
      <c r="A6373" s="15" t="s">
        <v>19380</v>
      </c>
      <c r="B6373" s="15" t="s">
        <v>7505</v>
      </c>
      <c r="C6373" s="18" t="s">
        <v>28</v>
      </c>
      <c r="D6373" s="15" t="s">
        <v>7506</v>
      </c>
      <c r="E6373" s="18" t="s">
        <v>28</v>
      </c>
      <c r="F6373" s="19" t="s">
        <v>28</v>
      </c>
      <c r="G6373" s="19" t="s">
        <v>28</v>
      </c>
      <c r="H6373" s="19" t="s">
        <v>28</v>
      </c>
      <c r="I6373" s="18" t="s">
        <v>28</v>
      </c>
      <c r="J6373" s="18" t="s">
        <v>28</v>
      </c>
      <c r="K6373" s="18" t="s">
        <v>28</v>
      </c>
      <c r="L6373" s="18" t="s">
        <v>28</v>
      </c>
      <c r="M6373" s="18" t="s">
        <v>28</v>
      </c>
      <c r="N6373" s="17">
        <v>43831</v>
      </c>
      <c r="O6373" s="15" t="s">
        <v>52</v>
      </c>
      <c r="P6373" s="16" t="s">
        <v>19381</v>
      </c>
      <c r="Q6373" s="15" t="s">
        <v>1035</v>
      </c>
      <c r="R6373" s="13" t="str">
        <f>HYPERLINK("https://my.pitchbook.com?c=282766-51T","View Company Online")</f>
        <v>View Company Online</v>
      </c>
    </row>
    <row r="6374" spans="1:18" hidden="1" x14ac:dyDescent="0.3">
      <c r="A6374" s="9" t="s">
        <v>19382</v>
      </c>
      <c r="B6374" s="9" t="s">
        <v>4260</v>
      </c>
      <c r="C6374" s="11" t="s">
        <v>28</v>
      </c>
      <c r="D6374" s="9" t="s">
        <v>4261</v>
      </c>
      <c r="E6374" s="11" t="s">
        <v>28</v>
      </c>
      <c r="F6374" s="10" t="s">
        <v>28</v>
      </c>
      <c r="G6374" s="10" t="s">
        <v>28</v>
      </c>
      <c r="H6374" s="10" t="s">
        <v>28</v>
      </c>
      <c r="I6374" s="11" t="s">
        <v>28</v>
      </c>
      <c r="J6374" s="11" t="s">
        <v>28</v>
      </c>
      <c r="K6374" s="11" t="s">
        <v>28</v>
      </c>
      <c r="L6374" s="11" t="s">
        <v>28</v>
      </c>
      <c r="M6374" s="11" t="s">
        <v>28</v>
      </c>
      <c r="N6374" s="8">
        <v>43831</v>
      </c>
      <c r="O6374" s="9" t="s">
        <v>93</v>
      </c>
      <c r="P6374" s="12" t="s">
        <v>9551</v>
      </c>
      <c r="Q6374" s="9" t="s">
        <v>75</v>
      </c>
      <c r="R6374" s="14" t="str">
        <f>HYPERLINK("https://my.pitchbook.com?c=226412-65T","View Company Online")</f>
        <v>View Company Online</v>
      </c>
    </row>
    <row r="6375" spans="1:18" hidden="1" x14ac:dyDescent="0.3">
      <c r="A6375" s="15" t="s">
        <v>19383</v>
      </c>
      <c r="B6375" s="15" t="s">
        <v>19384</v>
      </c>
      <c r="C6375" s="18" t="s">
        <v>28</v>
      </c>
      <c r="D6375" s="15" t="s">
        <v>19385</v>
      </c>
      <c r="E6375" s="18" t="s">
        <v>28</v>
      </c>
      <c r="F6375" s="19" t="s">
        <v>28</v>
      </c>
      <c r="G6375" s="19" t="s">
        <v>28</v>
      </c>
      <c r="H6375" s="19" t="s">
        <v>28</v>
      </c>
      <c r="I6375" s="18" t="s">
        <v>28</v>
      </c>
      <c r="J6375" s="18" t="s">
        <v>28</v>
      </c>
      <c r="K6375" s="18" t="s">
        <v>28</v>
      </c>
      <c r="L6375" s="18" t="s">
        <v>28</v>
      </c>
      <c r="M6375" s="18" t="s">
        <v>28</v>
      </c>
      <c r="N6375" s="17">
        <v>43831</v>
      </c>
      <c r="O6375" s="15" t="s">
        <v>52</v>
      </c>
      <c r="P6375" s="16" t="s">
        <v>2830</v>
      </c>
      <c r="Q6375" s="15" t="s">
        <v>75</v>
      </c>
      <c r="R6375" s="13" t="str">
        <f>HYPERLINK("https://my.pitchbook.com?c=292625-83T","View Company Online")</f>
        <v>View Company Online</v>
      </c>
    </row>
    <row r="6376" spans="1:18" hidden="1" x14ac:dyDescent="0.3">
      <c r="A6376" s="9" t="s">
        <v>19386</v>
      </c>
      <c r="B6376" s="9" t="s">
        <v>19387</v>
      </c>
      <c r="C6376" s="11" t="s">
        <v>28</v>
      </c>
      <c r="D6376" s="9" t="s">
        <v>19388</v>
      </c>
      <c r="E6376" s="11" t="s">
        <v>28</v>
      </c>
      <c r="F6376" s="10" t="s">
        <v>28</v>
      </c>
      <c r="G6376" s="10" t="s">
        <v>28</v>
      </c>
      <c r="H6376" s="10" t="s">
        <v>28</v>
      </c>
      <c r="I6376" s="11" t="s">
        <v>28</v>
      </c>
      <c r="J6376" s="11" t="s">
        <v>28</v>
      </c>
      <c r="K6376" s="11" t="s">
        <v>28</v>
      </c>
      <c r="L6376" s="11" t="s">
        <v>28</v>
      </c>
      <c r="M6376" s="11" t="s">
        <v>28</v>
      </c>
      <c r="N6376" s="8">
        <v>43831</v>
      </c>
      <c r="O6376" s="9" t="s">
        <v>52</v>
      </c>
      <c r="P6376" s="12" t="s">
        <v>2830</v>
      </c>
      <c r="Q6376" s="9" t="s">
        <v>75</v>
      </c>
      <c r="R6376" s="14" t="str">
        <f>HYPERLINK("https://my.pitchbook.com?c=292606-30T","View Company Online")</f>
        <v>View Company Online</v>
      </c>
    </row>
    <row r="6377" spans="1:18" hidden="1" x14ac:dyDescent="0.3">
      <c r="A6377" s="15" t="s">
        <v>19389</v>
      </c>
      <c r="B6377" s="15" t="s">
        <v>19390</v>
      </c>
      <c r="C6377" s="18" t="s">
        <v>28</v>
      </c>
      <c r="D6377" s="15" t="s">
        <v>19391</v>
      </c>
      <c r="E6377" s="18" t="s">
        <v>28</v>
      </c>
      <c r="F6377" s="19" t="s">
        <v>28</v>
      </c>
      <c r="G6377" s="19" t="s">
        <v>28</v>
      </c>
      <c r="H6377" s="19" t="s">
        <v>28</v>
      </c>
      <c r="I6377" s="18" t="s">
        <v>28</v>
      </c>
      <c r="J6377" s="18" t="s">
        <v>28</v>
      </c>
      <c r="K6377" s="18" t="s">
        <v>28</v>
      </c>
      <c r="L6377" s="18" t="s">
        <v>28</v>
      </c>
      <c r="M6377" s="18" t="s">
        <v>28</v>
      </c>
      <c r="N6377" s="17">
        <v>43831</v>
      </c>
      <c r="O6377" s="15" t="s">
        <v>52</v>
      </c>
      <c r="P6377" s="16" t="s">
        <v>2830</v>
      </c>
      <c r="Q6377" s="15" t="s">
        <v>75</v>
      </c>
      <c r="R6377" s="13" t="str">
        <f>HYPERLINK("https://my.pitchbook.com?c=292611-88T","View Company Online")</f>
        <v>View Company Online</v>
      </c>
    </row>
    <row r="6378" spans="1:18" hidden="1" x14ac:dyDescent="0.3">
      <c r="A6378" s="9" t="s">
        <v>19392</v>
      </c>
      <c r="B6378" s="9" t="s">
        <v>884</v>
      </c>
      <c r="C6378" s="11" t="s">
        <v>28</v>
      </c>
      <c r="D6378" s="9" t="s">
        <v>14058</v>
      </c>
      <c r="E6378" s="11" t="s">
        <v>28</v>
      </c>
      <c r="F6378" s="10" t="s">
        <v>28</v>
      </c>
      <c r="G6378" s="10">
        <v>0.49</v>
      </c>
      <c r="H6378" s="10" t="s">
        <v>28</v>
      </c>
      <c r="I6378" s="11" t="s">
        <v>28</v>
      </c>
      <c r="J6378" s="11" t="s">
        <v>28</v>
      </c>
      <c r="K6378" s="11" t="s">
        <v>28</v>
      </c>
      <c r="L6378" s="11" t="s">
        <v>28</v>
      </c>
      <c r="M6378" s="11" t="s">
        <v>28</v>
      </c>
      <c r="N6378" s="8">
        <v>43831</v>
      </c>
      <c r="O6378" s="9" t="s">
        <v>73</v>
      </c>
      <c r="P6378" s="12" t="s">
        <v>19393</v>
      </c>
      <c r="Q6378" s="9" t="s">
        <v>14060</v>
      </c>
      <c r="R6378" s="14" t="str">
        <f>HYPERLINK("https://my.pitchbook.com?c=215658-19T","View Company Online")</f>
        <v>View Company Online</v>
      </c>
    </row>
    <row r="6379" spans="1:18" hidden="1" x14ac:dyDescent="0.3">
      <c r="A6379" s="15" t="s">
        <v>19394</v>
      </c>
      <c r="B6379" s="15" t="s">
        <v>12133</v>
      </c>
      <c r="C6379" s="18" t="s">
        <v>28</v>
      </c>
      <c r="D6379" s="15" t="s">
        <v>12134</v>
      </c>
      <c r="E6379" s="18" t="s">
        <v>28</v>
      </c>
      <c r="F6379" s="19" t="s">
        <v>28</v>
      </c>
      <c r="G6379" s="19">
        <v>1.7</v>
      </c>
      <c r="H6379" s="19" t="s">
        <v>28</v>
      </c>
      <c r="I6379" s="18" t="s">
        <v>28</v>
      </c>
      <c r="J6379" s="18" t="s">
        <v>28</v>
      </c>
      <c r="K6379" s="18" t="s">
        <v>28</v>
      </c>
      <c r="L6379" s="18" t="s">
        <v>28</v>
      </c>
      <c r="M6379" s="18" t="s">
        <v>28</v>
      </c>
      <c r="N6379" s="17">
        <v>43831</v>
      </c>
      <c r="O6379" s="15" t="s">
        <v>379</v>
      </c>
      <c r="P6379" s="16" t="s">
        <v>28</v>
      </c>
      <c r="Q6379" s="15" t="s">
        <v>95</v>
      </c>
      <c r="R6379" s="13" t="str">
        <f>HYPERLINK("https://my.pitchbook.com?c=178212-25T","View Company Online")</f>
        <v>View Company Online</v>
      </c>
    </row>
    <row r="6380" spans="1:18" hidden="1" x14ac:dyDescent="0.3">
      <c r="A6380" s="9" t="s">
        <v>19395</v>
      </c>
      <c r="B6380" s="9" t="s">
        <v>10216</v>
      </c>
      <c r="C6380" s="11" t="s">
        <v>28</v>
      </c>
      <c r="D6380" s="9" t="s">
        <v>10217</v>
      </c>
      <c r="E6380" s="11" t="s">
        <v>28</v>
      </c>
      <c r="F6380" s="10" t="s">
        <v>28</v>
      </c>
      <c r="G6380" s="10">
        <v>0.97</v>
      </c>
      <c r="H6380" s="10" t="s">
        <v>28</v>
      </c>
      <c r="I6380" s="11" t="s">
        <v>28</v>
      </c>
      <c r="J6380" s="11" t="s">
        <v>28</v>
      </c>
      <c r="K6380" s="11" t="s">
        <v>28</v>
      </c>
      <c r="L6380" s="11" t="s">
        <v>28</v>
      </c>
      <c r="M6380" s="11" t="s">
        <v>28</v>
      </c>
      <c r="N6380" s="8">
        <v>43831</v>
      </c>
      <c r="O6380" s="9" t="s">
        <v>9098</v>
      </c>
      <c r="P6380" s="12" t="s">
        <v>28</v>
      </c>
      <c r="Q6380" s="9" t="s">
        <v>119</v>
      </c>
      <c r="R6380" s="14" t="str">
        <f>HYPERLINK("https://my.pitchbook.com?c=196714-81T","View Company Online")</f>
        <v>View Company Online</v>
      </c>
    </row>
    <row r="6381" spans="1:18" hidden="1" x14ac:dyDescent="0.3">
      <c r="A6381" s="15" t="s">
        <v>19396</v>
      </c>
      <c r="B6381" s="15" t="s">
        <v>1902</v>
      </c>
      <c r="C6381" s="18" t="s">
        <v>28</v>
      </c>
      <c r="D6381" s="15" t="s">
        <v>1903</v>
      </c>
      <c r="E6381" s="18" t="s">
        <v>28</v>
      </c>
      <c r="F6381" s="19" t="s">
        <v>28</v>
      </c>
      <c r="G6381" s="19" t="s">
        <v>28</v>
      </c>
      <c r="H6381" s="19" t="s">
        <v>28</v>
      </c>
      <c r="I6381" s="18" t="s">
        <v>28</v>
      </c>
      <c r="J6381" s="18" t="s">
        <v>28</v>
      </c>
      <c r="K6381" s="18" t="s">
        <v>28</v>
      </c>
      <c r="L6381" s="18" t="s">
        <v>28</v>
      </c>
      <c r="M6381" s="18" t="s">
        <v>28</v>
      </c>
      <c r="N6381" s="17">
        <v>43831</v>
      </c>
      <c r="O6381" s="15" t="s">
        <v>52</v>
      </c>
      <c r="P6381" s="16" t="s">
        <v>17995</v>
      </c>
      <c r="Q6381" s="15" t="s">
        <v>114</v>
      </c>
      <c r="R6381" s="13" t="str">
        <f>HYPERLINK("https://my.pitchbook.com?c=266329-09T","View Company Online")</f>
        <v>View Company Online</v>
      </c>
    </row>
    <row r="6382" spans="1:18" hidden="1" x14ac:dyDescent="0.3">
      <c r="A6382" s="9" t="s">
        <v>19397</v>
      </c>
      <c r="B6382" s="9" t="s">
        <v>16717</v>
      </c>
      <c r="C6382" s="11" t="s">
        <v>28</v>
      </c>
      <c r="D6382" s="9" t="s">
        <v>16718</v>
      </c>
      <c r="E6382" s="11" t="s">
        <v>28</v>
      </c>
      <c r="F6382" s="10" t="s">
        <v>28</v>
      </c>
      <c r="G6382" s="10" t="s">
        <v>28</v>
      </c>
      <c r="H6382" s="10" t="s">
        <v>28</v>
      </c>
      <c r="I6382" s="11" t="s">
        <v>28</v>
      </c>
      <c r="J6382" s="11" t="s">
        <v>28</v>
      </c>
      <c r="K6382" s="11" t="s">
        <v>28</v>
      </c>
      <c r="L6382" s="11" t="s">
        <v>28</v>
      </c>
      <c r="M6382" s="11" t="s">
        <v>28</v>
      </c>
      <c r="N6382" s="8">
        <v>43831</v>
      </c>
      <c r="O6382" s="9" t="s">
        <v>52</v>
      </c>
      <c r="P6382" s="12" t="s">
        <v>6543</v>
      </c>
      <c r="Q6382" s="9" t="s">
        <v>75</v>
      </c>
      <c r="R6382" s="14" t="str">
        <f>HYPERLINK("https://my.pitchbook.com?c=243907-93T","View Company Online")</f>
        <v>View Company Online</v>
      </c>
    </row>
    <row r="6383" spans="1:18" hidden="1" x14ac:dyDescent="0.3">
      <c r="A6383" s="15" t="s">
        <v>19398</v>
      </c>
      <c r="B6383" s="15" t="s">
        <v>19399</v>
      </c>
      <c r="C6383" s="18" t="s">
        <v>28</v>
      </c>
      <c r="D6383" s="15" t="s">
        <v>19400</v>
      </c>
      <c r="E6383" s="18" t="s">
        <v>28</v>
      </c>
      <c r="F6383" s="19" t="s">
        <v>28</v>
      </c>
      <c r="G6383" s="19" t="s">
        <v>28</v>
      </c>
      <c r="H6383" s="19" t="s">
        <v>28</v>
      </c>
      <c r="I6383" s="18" t="s">
        <v>28</v>
      </c>
      <c r="J6383" s="18" t="s">
        <v>28</v>
      </c>
      <c r="K6383" s="18" t="s">
        <v>28</v>
      </c>
      <c r="L6383" s="18" t="s">
        <v>28</v>
      </c>
      <c r="M6383" s="18" t="s">
        <v>28</v>
      </c>
      <c r="N6383" s="17">
        <v>43831</v>
      </c>
      <c r="O6383" s="15" t="s">
        <v>73</v>
      </c>
      <c r="P6383" s="16" t="s">
        <v>19401</v>
      </c>
      <c r="Q6383" s="15" t="s">
        <v>1336</v>
      </c>
      <c r="R6383" s="13" t="str">
        <f>HYPERLINK("https://my.pitchbook.com?c=211354-93T","View Company Online")</f>
        <v>View Company Online</v>
      </c>
    </row>
    <row r="6384" spans="1:18" hidden="1" x14ac:dyDescent="0.3">
      <c r="A6384" s="9" t="s">
        <v>19402</v>
      </c>
      <c r="B6384" s="9" t="s">
        <v>9846</v>
      </c>
      <c r="C6384" s="11" t="s">
        <v>28</v>
      </c>
      <c r="D6384" s="9" t="s">
        <v>9847</v>
      </c>
      <c r="E6384" s="11" t="s">
        <v>28</v>
      </c>
      <c r="F6384" s="10" t="s">
        <v>28</v>
      </c>
      <c r="G6384" s="10" t="s">
        <v>28</v>
      </c>
      <c r="H6384" s="10" t="s">
        <v>28</v>
      </c>
      <c r="I6384" s="11" t="s">
        <v>28</v>
      </c>
      <c r="J6384" s="11" t="s">
        <v>28</v>
      </c>
      <c r="K6384" s="11" t="s">
        <v>28</v>
      </c>
      <c r="L6384" s="11" t="s">
        <v>28</v>
      </c>
      <c r="M6384" s="11" t="s">
        <v>28</v>
      </c>
      <c r="N6384" s="8">
        <v>43831</v>
      </c>
      <c r="O6384" s="9" t="s">
        <v>52</v>
      </c>
      <c r="P6384" s="12" t="s">
        <v>2830</v>
      </c>
      <c r="Q6384" s="9" t="s">
        <v>75</v>
      </c>
      <c r="R6384" s="14" t="str">
        <f>HYPERLINK("https://my.pitchbook.com?c=292616-83T","View Company Online")</f>
        <v>View Company Online</v>
      </c>
    </row>
    <row r="6385" spans="1:18" hidden="1" x14ac:dyDescent="0.3">
      <c r="A6385" s="15" t="s">
        <v>19403</v>
      </c>
      <c r="B6385" s="15" t="s">
        <v>11298</v>
      </c>
      <c r="C6385" s="18" t="s">
        <v>28</v>
      </c>
      <c r="D6385" s="15" t="s">
        <v>11299</v>
      </c>
      <c r="E6385" s="18" t="s">
        <v>28</v>
      </c>
      <c r="F6385" s="19" t="s">
        <v>28</v>
      </c>
      <c r="G6385" s="19" t="s">
        <v>28</v>
      </c>
      <c r="H6385" s="19" t="s">
        <v>28</v>
      </c>
      <c r="I6385" s="18" t="s">
        <v>28</v>
      </c>
      <c r="J6385" s="18" t="s">
        <v>28</v>
      </c>
      <c r="K6385" s="18" t="s">
        <v>28</v>
      </c>
      <c r="L6385" s="18" t="s">
        <v>28</v>
      </c>
      <c r="M6385" s="18" t="s">
        <v>28</v>
      </c>
      <c r="N6385" s="17">
        <v>43831</v>
      </c>
      <c r="O6385" s="15" t="s">
        <v>52</v>
      </c>
      <c r="P6385" s="16" t="s">
        <v>19381</v>
      </c>
      <c r="Q6385" s="15" t="s">
        <v>249</v>
      </c>
      <c r="R6385" s="13" t="str">
        <f>HYPERLINK("https://my.pitchbook.com?c=282868-39T","View Company Online")</f>
        <v>View Company Online</v>
      </c>
    </row>
    <row r="6386" spans="1:18" hidden="1" x14ac:dyDescent="0.3">
      <c r="A6386" s="9" t="s">
        <v>19404</v>
      </c>
      <c r="B6386" s="9" t="s">
        <v>19405</v>
      </c>
      <c r="C6386" s="11" t="s">
        <v>28</v>
      </c>
      <c r="D6386" s="9" t="s">
        <v>19406</v>
      </c>
      <c r="E6386" s="11" t="s">
        <v>28</v>
      </c>
      <c r="F6386" s="10" t="s">
        <v>28</v>
      </c>
      <c r="G6386" s="10">
        <v>0.11</v>
      </c>
      <c r="H6386" s="10" t="s">
        <v>28</v>
      </c>
      <c r="I6386" s="11" t="s">
        <v>28</v>
      </c>
      <c r="J6386" s="11" t="s">
        <v>28</v>
      </c>
      <c r="K6386" s="11" t="s">
        <v>28</v>
      </c>
      <c r="L6386" s="11" t="s">
        <v>28</v>
      </c>
      <c r="M6386" s="11" t="s">
        <v>28</v>
      </c>
      <c r="N6386" s="8">
        <v>43831</v>
      </c>
      <c r="O6386" s="9" t="s">
        <v>52</v>
      </c>
      <c r="P6386" s="12" t="s">
        <v>19407</v>
      </c>
      <c r="Q6386" s="9" t="s">
        <v>75</v>
      </c>
      <c r="R6386" s="14" t="str">
        <f>HYPERLINK("https://my.pitchbook.com?c=166309-39T","View Company Online")</f>
        <v>View Company Online</v>
      </c>
    </row>
    <row r="6387" spans="1:18" hidden="1" x14ac:dyDescent="0.3">
      <c r="A6387" s="15" t="s">
        <v>19408</v>
      </c>
      <c r="B6387" s="15" t="s">
        <v>4074</v>
      </c>
      <c r="C6387" s="18" t="s">
        <v>28</v>
      </c>
      <c r="D6387" s="15" t="s">
        <v>4075</v>
      </c>
      <c r="E6387" s="18" t="s">
        <v>28</v>
      </c>
      <c r="F6387" s="19" t="s">
        <v>28</v>
      </c>
      <c r="G6387" s="19">
        <v>0.04</v>
      </c>
      <c r="H6387" s="19" t="s">
        <v>28</v>
      </c>
      <c r="I6387" s="18" t="s">
        <v>28</v>
      </c>
      <c r="J6387" s="18" t="s">
        <v>28</v>
      </c>
      <c r="K6387" s="18" t="s">
        <v>28</v>
      </c>
      <c r="L6387" s="18" t="s">
        <v>28</v>
      </c>
      <c r="M6387" s="18" t="s">
        <v>28</v>
      </c>
      <c r="N6387" s="17">
        <v>43831</v>
      </c>
      <c r="O6387" s="15" t="s">
        <v>9098</v>
      </c>
      <c r="P6387" s="16" t="s">
        <v>28</v>
      </c>
      <c r="Q6387" s="15" t="s">
        <v>583</v>
      </c>
      <c r="R6387" s="13" t="str">
        <f>HYPERLINK("https://my.pitchbook.com?c=252516-88T","View Company Online")</f>
        <v>View Company Online</v>
      </c>
    </row>
    <row r="6388" spans="1:18" hidden="1" x14ac:dyDescent="0.3">
      <c r="A6388" s="9" t="s">
        <v>19409</v>
      </c>
      <c r="B6388" s="9" t="s">
        <v>19410</v>
      </c>
      <c r="C6388" s="11" t="s">
        <v>28</v>
      </c>
      <c r="D6388" s="9" t="s">
        <v>19411</v>
      </c>
      <c r="E6388" s="11" t="s">
        <v>28</v>
      </c>
      <c r="F6388" s="10" t="s">
        <v>28</v>
      </c>
      <c r="G6388" s="10" t="s">
        <v>28</v>
      </c>
      <c r="H6388" s="10" t="s">
        <v>28</v>
      </c>
      <c r="I6388" s="11" t="s">
        <v>28</v>
      </c>
      <c r="J6388" s="11" t="s">
        <v>28</v>
      </c>
      <c r="K6388" s="11" t="s">
        <v>28</v>
      </c>
      <c r="L6388" s="11" t="s">
        <v>28</v>
      </c>
      <c r="M6388" s="11" t="s">
        <v>28</v>
      </c>
      <c r="N6388" s="8">
        <v>43831</v>
      </c>
      <c r="O6388" s="9" t="s">
        <v>30</v>
      </c>
      <c r="P6388" s="12" t="s">
        <v>2729</v>
      </c>
      <c r="Q6388" s="9" t="s">
        <v>832</v>
      </c>
      <c r="R6388" s="14" t="str">
        <f>HYPERLINK("https://my.pitchbook.com?c=210816-73T","View Company Online")</f>
        <v>View Company Online</v>
      </c>
    </row>
    <row r="6389" spans="1:18" hidden="1" x14ac:dyDescent="0.3">
      <c r="A6389" s="15" t="s">
        <v>19412</v>
      </c>
      <c r="B6389" s="15" t="s">
        <v>19413</v>
      </c>
      <c r="C6389" s="18" t="s">
        <v>28</v>
      </c>
      <c r="D6389" s="15" t="s">
        <v>19414</v>
      </c>
      <c r="E6389" s="18" t="s">
        <v>28</v>
      </c>
      <c r="F6389" s="19" t="s">
        <v>28</v>
      </c>
      <c r="G6389" s="19">
        <v>7.0000000000000007E-2</v>
      </c>
      <c r="H6389" s="19" t="s">
        <v>28</v>
      </c>
      <c r="I6389" s="18" t="s">
        <v>28</v>
      </c>
      <c r="J6389" s="18" t="s">
        <v>28</v>
      </c>
      <c r="K6389" s="18" t="s">
        <v>28</v>
      </c>
      <c r="L6389" s="18" t="s">
        <v>28</v>
      </c>
      <c r="M6389" s="18" t="s">
        <v>28</v>
      </c>
      <c r="N6389" s="17">
        <v>43831</v>
      </c>
      <c r="O6389" s="15" t="s">
        <v>52</v>
      </c>
      <c r="P6389" s="16" t="s">
        <v>2864</v>
      </c>
      <c r="Q6389" s="15" t="s">
        <v>855</v>
      </c>
      <c r="R6389" s="13" t="str">
        <f>HYPERLINK("https://my.pitchbook.com?c=202261-33T","View Company Online")</f>
        <v>View Company Online</v>
      </c>
    </row>
    <row r="6390" spans="1:18" hidden="1" x14ac:dyDescent="0.3">
      <c r="A6390" s="9" t="s">
        <v>19415</v>
      </c>
      <c r="B6390" s="9" t="s">
        <v>19416</v>
      </c>
      <c r="C6390" s="11" t="s">
        <v>28</v>
      </c>
      <c r="D6390" s="9" t="s">
        <v>19417</v>
      </c>
      <c r="E6390" s="11" t="s">
        <v>28</v>
      </c>
      <c r="F6390" s="10" t="s">
        <v>28</v>
      </c>
      <c r="G6390" s="10" t="s">
        <v>28</v>
      </c>
      <c r="H6390" s="10" t="s">
        <v>28</v>
      </c>
      <c r="I6390" s="11" t="s">
        <v>28</v>
      </c>
      <c r="J6390" s="11" t="s">
        <v>28</v>
      </c>
      <c r="K6390" s="11" t="s">
        <v>28</v>
      </c>
      <c r="L6390" s="11" t="s">
        <v>28</v>
      </c>
      <c r="M6390" s="11" t="s">
        <v>28</v>
      </c>
      <c r="N6390" s="8">
        <v>43831</v>
      </c>
      <c r="O6390" s="9" t="s">
        <v>52</v>
      </c>
      <c r="P6390" s="12" t="s">
        <v>19418</v>
      </c>
      <c r="Q6390" s="9" t="s">
        <v>2916</v>
      </c>
      <c r="R6390" s="14" t="str">
        <f>HYPERLINK("https://my.pitchbook.com?c=227722-87T","View Company Online")</f>
        <v>View Company Online</v>
      </c>
    </row>
    <row r="6391" spans="1:18" hidden="1" x14ac:dyDescent="0.3">
      <c r="A6391" s="15" t="s">
        <v>19419</v>
      </c>
      <c r="B6391" s="15" t="s">
        <v>19420</v>
      </c>
      <c r="C6391" s="18" t="s">
        <v>28</v>
      </c>
      <c r="D6391" s="15" t="s">
        <v>19421</v>
      </c>
      <c r="E6391" s="18" t="s">
        <v>28</v>
      </c>
      <c r="F6391" s="19" t="s">
        <v>28</v>
      </c>
      <c r="G6391" s="19">
        <v>85.17</v>
      </c>
      <c r="H6391" s="19" t="s">
        <v>28</v>
      </c>
      <c r="I6391" s="18" t="s">
        <v>28</v>
      </c>
      <c r="J6391" s="18" t="s">
        <v>28</v>
      </c>
      <c r="K6391" s="18" t="s">
        <v>28</v>
      </c>
      <c r="L6391" s="18" t="s">
        <v>28</v>
      </c>
      <c r="M6391" s="18" t="s">
        <v>28</v>
      </c>
      <c r="N6391" s="17">
        <v>43831</v>
      </c>
      <c r="O6391" s="15" t="s">
        <v>93</v>
      </c>
      <c r="P6391" s="16" t="s">
        <v>343</v>
      </c>
      <c r="Q6391" s="15" t="s">
        <v>2939</v>
      </c>
      <c r="R6391" s="13" t="str">
        <f>HYPERLINK("https://my.pitchbook.com?c=208814-41T","View Company Online")</f>
        <v>View Company Online</v>
      </c>
    </row>
    <row r="6392" spans="1:18" hidden="1" x14ac:dyDescent="0.3">
      <c r="A6392" s="9" t="s">
        <v>19422</v>
      </c>
      <c r="B6392" s="9" t="s">
        <v>4243</v>
      </c>
      <c r="C6392" s="11" t="s">
        <v>28</v>
      </c>
      <c r="D6392" s="9" t="s">
        <v>4244</v>
      </c>
      <c r="E6392" s="11" t="s">
        <v>28</v>
      </c>
      <c r="F6392" s="10" t="s">
        <v>28</v>
      </c>
      <c r="G6392" s="10" t="s">
        <v>28</v>
      </c>
      <c r="H6392" s="10" t="s">
        <v>28</v>
      </c>
      <c r="I6392" s="11" t="s">
        <v>28</v>
      </c>
      <c r="J6392" s="11" t="s">
        <v>28</v>
      </c>
      <c r="K6392" s="11" t="s">
        <v>28</v>
      </c>
      <c r="L6392" s="11" t="s">
        <v>28</v>
      </c>
      <c r="M6392" s="11" t="s">
        <v>28</v>
      </c>
      <c r="N6392" s="8">
        <v>43831</v>
      </c>
      <c r="O6392" s="9" t="s">
        <v>99</v>
      </c>
      <c r="P6392" s="12" t="s">
        <v>4568</v>
      </c>
      <c r="Q6392" s="9" t="s">
        <v>37</v>
      </c>
      <c r="R6392" s="14" t="str">
        <f>HYPERLINK("https://my.pitchbook.com?c=242511-67T","View Company Online")</f>
        <v>View Company Online</v>
      </c>
    </row>
    <row r="6393" spans="1:18" hidden="1" x14ac:dyDescent="0.3">
      <c r="A6393" s="15" t="s">
        <v>19423</v>
      </c>
      <c r="B6393" s="15" t="s">
        <v>19424</v>
      </c>
      <c r="C6393" s="18" t="s">
        <v>28</v>
      </c>
      <c r="D6393" s="15" t="s">
        <v>19425</v>
      </c>
      <c r="E6393" s="18" t="s">
        <v>28</v>
      </c>
      <c r="F6393" s="19" t="s">
        <v>28</v>
      </c>
      <c r="G6393" s="19" t="s">
        <v>28</v>
      </c>
      <c r="H6393" s="19" t="s">
        <v>28</v>
      </c>
      <c r="I6393" s="18" t="s">
        <v>28</v>
      </c>
      <c r="J6393" s="18" t="s">
        <v>28</v>
      </c>
      <c r="K6393" s="18" t="s">
        <v>28</v>
      </c>
      <c r="L6393" s="18" t="s">
        <v>28</v>
      </c>
      <c r="M6393" s="18" t="s">
        <v>28</v>
      </c>
      <c r="N6393" s="17">
        <v>43831</v>
      </c>
      <c r="O6393" s="15" t="s">
        <v>30</v>
      </c>
      <c r="P6393" s="16" t="s">
        <v>19426</v>
      </c>
      <c r="Q6393" s="15" t="s">
        <v>75</v>
      </c>
      <c r="R6393" s="13" t="str">
        <f>HYPERLINK("https://my.pitchbook.com?c=256803-13T","View Company Online")</f>
        <v>View Company Online</v>
      </c>
    </row>
    <row r="6394" spans="1:18" hidden="1" x14ac:dyDescent="0.3">
      <c r="A6394" s="9" t="s">
        <v>19427</v>
      </c>
      <c r="B6394" s="9" t="s">
        <v>12251</v>
      </c>
      <c r="C6394" s="11" t="s">
        <v>28</v>
      </c>
      <c r="D6394" s="9" t="s">
        <v>12252</v>
      </c>
      <c r="E6394" s="11" t="s">
        <v>28</v>
      </c>
      <c r="F6394" s="10" t="s">
        <v>28</v>
      </c>
      <c r="G6394" s="10" t="s">
        <v>28</v>
      </c>
      <c r="H6394" s="10" t="s">
        <v>28</v>
      </c>
      <c r="I6394" s="11" t="s">
        <v>28</v>
      </c>
      <c r="J6394" s="11" t="s">
        <v>28</v>
      </c>
      <c r="K6394" s="11" t="s">
        <v>28</v>
      </c>
      <c r="L6394" s="11" t="s">
        <v>28</v>
      </c>
      <c r="M6394" s="11" t="s">
        <v>28</v>
      </c>
      <c r="N6394" s="8">
        <v>43831</v>
      </c>
      <c r="O6394" s="9" t="s">
        <v>99</v>
      </c>
      <c r="P6394" s="12" t="s">
        <v>6574</v>
      </c>
      <c r="Q6394" s="9" t="s">
        <v>249</v>
      </c>
      <c r="R6394" s="14" t="str">
        <f>HYPERLINK("https://my.pitchbook.com?c=218539-90T","View Company Online")</f>
        <v>View Company Online</v>
      </c>
    </row>
    <row r="6395" spans="1:18" hidden="1" x14ac:dyDescent="0.3">
      <c r="A6395" s="15" t="s">
        <v>19428</v>
      </c>
      <c r="B6395" s="15" t="s">
        <v>19429</v>
      </c>
      <c r="C6395" s="18" t="s">
        <v>28</v>
      </c>
      <c r="D6395" s="15" t="s">
        <v>19430</v>
      </c>
      <c r="E6395" s="18" t="s">
        <v>28</v>
      </c>
      <c r="F6395" s="19" t="s">
        <v>28</v>
      </c>
      <c r="G6395" s="19" t="s">
        <v>28</v>
      </c>
      <c r="H6395" s="19" t="s">
        <v>28</v>
      </c>
      <c r="I6395" s="18" t="s">
        <v>28</v>
      </c>
      <c r="J6395" s="18" t="s">
        <v>28</v>
      </c>
      <c r="K6395" s="18" t="s">
        <v>28</v>
      </c>
      <c r="L6395" s="18" t="s">
        <v>28</v>
      </c>
      <c r="M6395" s="18" t="s">
        <v>28</v>
      </c>
      <c r="N6395" s="17">
        <v>43831</v>
      </c>
      <c r="O6395" s="15" t="s">
        <v>41</v>
      </c>
      <c r="P6395" s="16" t="s">
        <v>19431</v>
      </c>
      <c r="Q6395" s="15" t="s">
        <v>75</v>
      </c>
      <c r="R6395" s="13" t="str">
        <f>HYPERLINK("https://my.pitchbook.com?c=208142-56T","View Company Online")</f>
        <v>View Company Online</v>
      </c>
    </row>
    <row r="6396" spans="1:18" hidden="1" x14ac:dyDescent="0.3">
      <c r="A6396" s="9" t="s">
        <v>19432</v>
      </c>
      <c r="B6396" s="9" t="s">
        <v>5446</v>
      </c>
      <c r="C6396" s="11" t="s">
        <v>28</v>
      </c>
      <c r="D6396" s="9" t="s">
        <v>5447</v>
      </c>
      <c r="E6396" s="11" t="s">
        <v>28</v>
      </c>
      <c r="F6396" s="10" t="s">
        <v>28</v>
      </c>
      <c r="G6396" s="10">
        <v>0.05</v>
      </c>
      <c r="H6396" s="10" t="s">
        <v>28</v>
      </c>
      <c r="I6396" s="11" t="s">
        <v>28</v>
      </c>
      <c r="J6396" s="11" t="s">
        <v>28</v>
      </c>
      <c r="K6396" s="11" t="s">
        <v>28</v>
      </c>
      <c r="L6396" s="11" t="s">
        <v>28</v>
      </c>
      <c r="M6396" s="11" t="s">
        <v>28</v>
      </c>
      <c r="N6396" s="8">
        <v>43831</v>
      </c>
      <c r="O6396" s="9" t="s">
        <v>47</v>
      </c>
      <c r="P6396" s="12" t="s">
        <v>13703</v>
      </c>
      <c r="Q6396" s="9" t="s">
        <v>362</v>
      </c>
      <c r="R6396" s="14" t="str">
        <f>HYPERLINK("https://my.pitchbook.com?c=228847-69T","View Company Online")</f>
        <v>View Company Online</v>
      </c>
    </row>
    <row r="6397" spans="1:18" hidden="1" x14ac:dyDescent="0.3">
      <c r="A6397" s="15" t="s">
        <v>19433</v>
      </c>
      <c r="B6397" s="15" t="s">
        <v>8475</v>
      </c>
      <c r="C6397" s="18" t="s">
        <v>28</v>
      </c>
      <c r="D6397" s="15" t="s">
        <v>8476</v>
      </c>
      <c r="E6397" s="18" t="s">
        <v>28</v>
      </c>
      <c r="F6397" s="19" t="s">
        <v>28</v>
      </c>
      <c r="G6397" s="19">
        <v>0.73</v>
      </c>
      <c r="H6397" s="19" t="s">
        <v>28</v>
      </c>
      <c r="I6397" s="18" t="s">
        <v>28</v>
      </c>
      <c r="J6397" s="18" t="s">
        <v>28</v>
      </c>
      <c r="K6397" s="18" t="s">
        <v>28</v>
      </c>
      <c r="L6397" s="18" t="s">
        <v>28</v>
      </c>
      <c r="M6397" s="18" t="s">
        <v>28</v>
      </c>
      <c r="N6397" s="17">
        <v>43831</v>
      </c>
      <c r="O6397" s="15" t="s">
        <v>379</v>
      </c>
      <c r="P6397" s="16" t="s">
        <v>28</v>
      </c>
      <c r="Q6397" s="15" t="s">
        <v>37</v>
      </c>
      <c r="R6397" s="13" t="str">
        <f>HYPERLINK("https://my.pitchbook.com?c=209726-74T","View Company Online")</f>
        <v>View Company Online</v>
      </c>
    </row>
    <row r="6398" spans="1:18" hidden="1" x14ac:dyDescent="0.3">
      <c r="A6398" s="9" t="s">
        <v>19434</v>
      </c>
      <c r="B6398" s="9" t="s">
        <v>13045</v>
      </c>
      <c r="C6398" s="11" t="s">
        <v>28</v>
      </c>
      <c r="D6398" s="9" t="s">
        <v>13046</v>
      </c>
      <c r="E6398" s="11" t="s">
        <v>28</v>
      </c>
      <c r="F6398" s="10" t="s">
        <v>28</v>
      </c>
      <c r="G6398" s="10" t="s">
        <v>28</v>
      </c>
      <c r="H6398" s="10" t="s">
        <v>28</v>
      </c>
      <c r="I6398" s="11" t="s">
        <v>28</v>
      </c>
      <c r="J6398" s="11" t="s">
        <v>28</v>
      </c>
      <c r="K6398" s="11" t="s">
        <v>28</v>
      </c>
      <c r="L6398" s="11" t="s">
        <v>28</v>
      </c>
      <c r="M6398" s="11" t="s">
        <v>28</v>
      </c>
      <c r="N6398" s="8">
        <v>43831</v>
      </c>
      <c r="O6398" s="9" t="s">
        <v>52</v>
      </c>
      <c r="P6398" s="12" t="s">
        <v>19435</v>
      </c>
      <c r="Q6398" s="9" t="s">
        <v>37</v>
      </c>
      <c r="R6398" s="14" t="str">
        <f>HYPERLINK("https://my.pitchbook.com?c=183806-74T","View Company Online")</f>
        <v>View Company Online</v>
      </c>
    </row>
    <row r="6399" spans="1:18" hidden="1" x14ac:dyDescent="0.3">
      <c r="A6399" s="15" t="s">
        <v>19436</v>
      </c>
      <c r="B6399" s="15" t="s">
        <v>16062</v>
      </c>
      <c r="C6399" s="18" t="s">
        <v>28</v>
      </c>
      <c r="D6399" s="15" t="s">
        <v>16063</v>
      </c>
      <c r="E6399" s="18" t="s">
        <v>28</v>
      </c>
      <c r="F6399" s="19" t="s">
        <v>28</v>
      </c>
      <c r="G6399" s="19" t="s">
        <v>28</v>
      </c>
      <c r="H6399" s="19" t="s">
        <v>28</v>
      </c>
      <c r="I6399" s="18" t="s">
        <v>28</v>
      </c>
      <c r="J6399" s="18" t="s">
        <v>28</v>
      </c>
      <c r="K6399" s="18" t="s">
        <v>28</v>
      </c>
      <c r="L6399" s="18" t="s">
        <v>28</v>
      </c>
      <c r="M6399" s="18" t="s">
        <v>28</v>
      </c>
      <c r="N6399" s="17">
        <v>43831</v>
      </c>
      <c r="O6399" s="15" t="s">
        <v>79</v>
      </c>
      <c r="P6399" s="16" t="s">
        <v>28</v>
      </c>
      <c r="Q6399" s="15" t="s">
        <v>3973</v>
      </c>
      <c r="R6399" s="13" t="str">
        <f>HYPERLINK("https://my.pitchbook.com?c=138395-80T","View Company Online")</f>
        <v>View Company Online</v>
      </c>
    </row>
    <row r="6400" spans="1:18" hidden="1" x14ac:dyDescent="0.3">
      <c r="A6400" s="9" t="s">
        <v>19437</v>
      </c>
      <c r="B6400" s="9" t="s">
        <v>19438</v>
      </c>
      <c r="C6400" s="11" t="s">
        <v>28</v>
      </c>
      <c r="D6400" s="9" t="s">
        <v>19439</v>
      </c>
      <c r="E6400" s="11" t="s">
        <v>28</v>
      </c>
      <c r="F6400" s="10" t="s">
        <v>28</v>
      </c>
      <c r="G6400" s="10" t="s">
        <v>28</v>
      </c>
      <c r="H6400" s="10" t="s">
        <v>28</v>
      </c>
      <c r="I6400" s="11" t="s">
        <v>28</v>
      </c>
      <c r="J6400" s="11" t="s">
        <v>28</v>
      </c>
      <c r="K6400" s="11" t="s">
        <v>28</v>
      </c>
      <c r="L6400" s="11" t="s">
        <v>28</v>
      </c>
      <c r="M6400" s="11" t="s">
        <v>28</v>
      </c>
      <c r="N6400" s="8">
        <v>43831</v>
      </c>
      <c r="O6400" s="9" t="s">
        <v>379</v>
      </c>
      <c r="P6400" s="12" t="s">
        <v>28</v>
      </c>
      <c r="Q6400" s="9" t="s">
        <v>386</v>
      </c>
      <c r="R6400" s="14" t="str">
        <f>HYPERLINK("https://my.pitchbook.com?c=216456-94T","View Company Online")</f>
        <v>View Company Online</v>
      </c>
    </row>
    <row r="6401" spans="1:18" hidden="1" x14ac:dyDescent="0.3">
      <c r="A6401" s="15" t="s">
        <v>19440</v>
      </c>
      <c r="B6401" s="15" t="s">
        <v>8893</v>
      </c>
      <c r="C6401" s="18" t="s">
        <v>28</v>
      </c>
      <c r="D6401" s="15" t="s">
        <v>8894</v>
      </c>
      <c r="E6401" s="18" t="s">
        <v>28</v>
      </c>
      <c r="F6401" s="19" t="s">
        <v>28</v>
      </c>
      <c r="G6401" s="19">
        <v>0.02</v>
      </c>
      <c r="H6401" s="19">
        <v>0.49</v>
      </c>
      <c r="I6401" s="18" t="s">
        <v>28</v>
      </c>
      <c r="J6401" s="18" t="s">
        <v>28</v>
      </c>
      <c r="K6401" s="18" t="s">
        <v>28</v>
      </c>
      <c r="L6401" s="18" t="s">
        <v>28</v>
      </c>
      <c r="M6401" s="18" t="s">
        <v>28</v>
      </c>
      <c r="N6401" s="17">
        <v>43831</v>
      </c>
      <c r="O6401" s="15" t="s">
        <v>52</v>
      </c>
      <c r="P6401" s="16" t="s">
        <v>7737</v>
      </c>
      <c r="Q6401" s="15" t="s">
        <v>1793</v>
      </c>
      <c r="R6401" s="13" t="str">
        <f>HYPERLINK("https://my.pitchbook.com?c=219814-93T","View Company Online")</f>
        <v>View Company Online</v>
      </c>
    </row>
    <row r="6402" spans="1:18" hidden="1" x14ac:dyDescent="0.3">
      <c r="A6402" s="9" t="s">
        <v>19441</v>
      </c>
      <c r="B6402" s="9" t="s">
        <v>9860</v>
      </c>
      <c r="C6402" s="11" t="s">
        <v>28</v>
      </c>
      <c r="D6402" s="9" t="s">
        <v>9861</v>
      </c>
      <c r="E6402" s="11" t="s">
        <v>28</v>
      </c>
      <c r="F6402" s="10" t="s">
        <v>28</v>
      </c>
      <c r="G6402" s="10">
        <v>0.05</v>
      </c>
      <c r="H6402" s="10" t="s">
        <v>28</v>
      </c>
      <c r="I6402" s="11" t="s">
        <v>28</v>
      </c>
      <c r="J6402" s="11" t="s">
        <v>28</v>
      </c>
      <c r="K6402" s="11" t="s">
        <v>28</v>
      </c>
      <c r="L6402" s="11" t="s">
        <v>28</v>
      </c>
      <c r="M6402" s="11" t="s">
        <v>28</v>
      </c>
      <c r="N6402" s="8">
        <v>43831</v>
      </c>
      <c r="O6402" s="9" t="s">
        <v>52</v>
      </c>
      <c r="P6402" s="12" t="s">
        <v>221</v>
      </c>
      <c r="Q6402" s="9" t="s">
        <v>75</v>
      </c>
      <c r="R6402" s="14" t="str">
        <f>HYPERLINK("https://my.pitchbook.com?c=200120-41T","View Company Online")</f>
        <v>View Company Online</v>
      </c>
    </row>
    <row r="6403" spans="1:18" hidden="1" x14ac:dyDescent="0.3">
      <c r="A6403" s="15" t="s">
        <v>19442</v>
      </c>
      <c r="B6403" s="15" t="s">
        <v>14826</v>
      </c>
      <c r="C6403" s="18" t="s">
        <v>28</v>
      </c>
      <c r="D6403" s="15" t="s">
        <v>14827</v>
      </c>
      <c r="E6403" s="18" t="s">
        <v>28</v>
      </c>
      <c r="F6403" s="19" t="s">
        <v>28</v>
      </c>
      <c r="G6403" s="19" t="s">
        <v>28</v>
      </c>
      <c r="H6403" s="19" t="s">
        <v>28</v>
      </c>
      <c r="I6403" s="18" t="s">
        <v>28</v>
      </c>
      <c r="J6403" s="18" t="s">
        <v>28</v>
      </c>
      <c r="K6403" s="18" t="s">
        <v>28</v>
      </c>
      <c r="L6403" s="18" t="s">
        <v>28</v>
      </c>
      <c r="M6403" s="18" t="s">
        <v>28</v>
      </c>
      <c r="N6403" s="17">
        <v>43831</v>
      </c>
      <c r="O6403" s="15" t="s">
        <v>93</v>
      </c>
      <c r="P6403" s="16" t="s">
        <v>18302</v>
      </c>
      <c r="Q6403" s="15" t="s">
        <v>75</v>
      </c>
      <c r="R6403" s="13" t="str">
        <f>HYPERLINK("https://my.pitchbook.com?c=166818-07T","View Company Online")</f>
        <v>View Company Online</v>
      </c>
    </row>
    <row r="6404" spans="1:18" hidden="1" x14ac:dyDescent="0.3">
      <c r="A6404" s="9" t="s">
        <v>19443</v>
      </c>
      <c r="B6404" s="9" t="s">
        <v>3591</v>
      </c>
      <c r="C6404" s="11" t="s">
        <v>28</v>
      </c>
      <c r="D6404" s="9" t="s">
        <v>3592</v>
      </c>
      <c r="E6404" s="11" t="s">
        <v>28</v>
      </c>
      <c r="F6404" s="10" t="s">
        <v>28</v>
      </c>
      <c r="G6404" s="10" t="s">
        <v>28</v>
      </c>
      <c r="H6404" s="10" t="s">
        <v>28</v>
      </c>
      <c r="I6404" s="11" t="s">
        <v>28</v>
      </c>
      <c r="J6404" s="11" t="s">
        <v>28</v>
      </c>
      <c r="K6404" s="11" t="s">
        <v>28</v>
      </c>
      <c r="L6404" s="11" t="s">
        <v>28</v>
      </c>
      <c r="M6404" s="11" t="s">
        <v>28</v>
      </c>
      <c r="N6404" s="8">
        <v>43831</v>
      </c>
      <c r="O6404" s="9" t="s">
        <v>99</v>
      </c>
      <c r="P6404" s="12" t="s">
        <v>19444</v>
      </c>
      <c r="Q6404" s="9" t="s">
        <v>616</v>
      </c>
      <c r="R6404" s="14" t="str">
        <f>HYPERLINK("https://my.pitchbook.com?c=250677-01T","View Company Online")</f>
        <v>View Company Online</v>
      </c>
    </row>
    <row r="6405" spans="1:18" hidden="1" x14ac:dyDescent="0.3">
      <c r="A6405" s="15" t="s">
        <v>19445</v>
      </c>
      <c r="B6405" s="15" t="s">
        <v>10864</v>
      </c>
      <c r="C6405" s="18" t="s">
        <v>28</v>
      </c>
      <c r="D6405" s="15" t="s">
        <v>10865</v>
      </c>
      <c r="E6405" s="18" t="s">
        <v>28</v>
      </c>
      <c r="F6405" s="19" t="s">
        <v>28</v>
      </c>
      <c r="G6405" s="19">
        <v>0.2</v>
      </c>
      <c r="H6405" s="19" t="s">
        <v>28</v>
      </c>
      <c r="I6405" s="18" t="s">
        <v>28</v>
      </c>
      <c r="J6405" s="18" t="s">
        <v>28</v>
      </c>
      <c r="K6405" s="18">
        <v>7.0000000000000007E-2</v>
      </c>
      <c r="L6405" s="18" t="s">
        <v>28</v>
      </c>
      <c r="M6405" s="18" t="s">
        <v>28</v>
      </c>
      <c r="N6405" s="17">
        <v>43831</v>
      </c>
      <c r="O6405" s="15" t="s">
        <v>47</v>
      </c>
      <c r="P6405" s="16" t="s">
        <v>19446</v>
      </c>
      <c r="Q6405" s="15" t="s">
        <v>1007</v>
      </c>
      <c r="R6405" s="13" t="str">
        <f>HYPERLINK("https://my.pitchbook.com?c=192859-21T","View Company Online")</f>
        <v>View Company Online</v>
      </c>
    </row>
    <row r="6406" spans="1:18" hidden="1" x14ac:dyDescent="0.3">
      <c r="A6406" s="9" t="s">
        <v>19447</v>
      </c>
      <c r="B6406" s="9" t="s">
        <v>19448</v>
      </c>
      <c r="C6406" s="11" t="s">
        <v>28</v>
      </c>
      <c r="D6406" s="9" t="s">
        <v>19449</v>
      </c>
      <c r="E6406" s="11" t="s">
        <v>28</v>
      </c>
      <c r="F6406" s="10" t="s">
        <v>28</v>
      </c>
      <c r="G6406" s="10" t="s">
        <v>28</v>
      </c>
      <c r="H6406" s="10" t="s">
        <v>28</v>
      </c>
      <c r="I6406" s="11" t="s">
        <v>28</v>
      </c>
      <c r="J6406" s="11" t="s">
        <v>28</v>
      </c>
      <c r="K6406" s="11" t="s">
        <v>28</v>
      </c>
      <c r="L6406" s="11" t="s">
        <v>28</v>
      </c>
      <c r="M6406" s="11" t="s">
        <v>28</v>
      </c>
      <c r="N6406" s="8">
        <v>43831</v>
      </c>
      <c r="O6406" s="9" t="s">
        <v>30</v>
      </c>
      <c r="P6406" s="12" t="s">
        <v>28</v>
      </c>
      <c r="Q6406" s="9" t="s">
        <v>245</v>
      </c>
      <c r="R6406" s="14" t="str">
        <f>HYPERLINK("https://my.pitchbook.com?c=269868-61T","View Company Online")</f>
        <v>View Company Online</v>
      </c>
    </row>
    <row r="6407" spans="1:18" hidden="1" x14ac:dyDescent="0.3">
      <c r="A6407" s="15" t="s">
        <v>19450</v>
      </c>
      <c r="B6407" s="15" t="s">
        <v>19451</v>
      </c>
      <c r="C6407" s="18" t="s">
        <v>28</v>
      </c>
      <c r="D6407" s="15" t="s">
        <v>19452</v>
      </c>
      <c r="E6407" s="18" t="s">
        <v>28</v>
      </c>
      <c r="F6407" s="19" t="s">
        <v>28</v>
      </c>
      <c r="G6407" s="19" t="s">
        <v>28</v>
      </c>
      <c r="H6407" s="19" t="s">
        <v>28</v>
      </c>
      <c r="I6407" s="18" t="s">
        <v>28</v>
      </c>
      <c r="J6407" s="18" t="s">
        <v>28</v>
      </c>
      <c r="K6407" s="18" t="s">
        <v>28</v>
      </c>
      <c r="L6407" s="18" t="s">
        <v>28</v>
      </c>
      <c r="M6407" s="18" t="s">
        <v>28</v>
      </c>
      <c r="N6407" s="17">
        <v>43831</v>
      </c>
      <c r="O6407" s="15" t="s">
        <v>30</v>
      </c>
      <c r="P6407" s="16" t="s">
        <v>17663</v>
      </c>
      <c r="Q6407" s="15" t="s">
        <v>880</v>
      </c>
      <c r="R6407" s="13" t="str">
        <f>HYPERLINK("https://my.pitchbook.com?c=259052-05T","View Company Online")</f>
        <v>View Company Online</v>
      </c>
    </row>
    <row r="6408" spans="1:18" hidden="1" x14ac:dyDescent="0.3">
      <c r="A6408" s="9" t="s">
        <v>19453</v>
      </c>
      <c r="B6408" s="9" t="s">
        <v>4842</v>
      </c>
      <c r="C6408" s="11" t="s">
        <v>28</v>
      </c>
      <c r="D6408" s="9" t="s">
        <v>4843</v>
      </c>
      <c r="E6408" s="11" t="s">
        <v>28</v>
      </c>
      <c r="F6408" s="10" t="s">
        <v>28</v>
      </c>
      <c r="G6408" s="10" t="s">
        <v>28</v>
      </c>
      <c r="H6408" s="10" t="s">
        <v>28</v>
      </c>
      <c r="I6408" s="11" t="s">
        <v>28</v>
      </c>
      <c r="J6408" s="11" t="s">
        <v>28</v>
      </c>
      <c r="K6408" s="11" t="s">
        <v>28</v>
      </c>
      <c r="L6408" s="11" t="s">
        <v>28</v>
      </c>
      <c r="M6408" s="11" t="s">
        <v>28</v>
      </c>
      <c r="N6408" s="8">
        <v>43831</v>
      </c>
      <c r="O6408" s="9" t="s">
        <v>73</v>
      </c>
      <c r="P6408" s="12" t="s">
        <v>12745</v>
      </c>
      <c r="Q6408" s="9" t="s">
        <v>75</v>
      </c>
      <c r="R6408" s="14" t="str">
        <f>HYPERLINK("https://my.pitchbook.com?c=227572-48T","View Company Online")</f>
        <v>View Company Online</v>
      </c>
    </row>
    <row r="6409" spans="1:18" hidden="1" x14ac:dyDescent="0.3">
      <c r="A6409" s="15" t="s">
        <v>19454</v>
      </c>
      <c r="B6409" s="15" t="s">
        <v>11743</v>
      </c>
      <c r="C6409" s="18" t="s">
        <v>28</v>
      </c>
      <c r="D6409" s="15" t="s">
        <v>11744</v>
      </c>
      <c r="E6409" s="18" t="s">
        <v>28</v>
      </c>
      <c r="F6409" s="19" t="s">
        <v>28</v>
      </c>
      <c r="G6409" s="19" t="s">
        <v>28</v>
      </c>
      <c r="H6409" s="19" t="s">
        <v>28</v>
      </c>
      <c r="I6409" s="18" t="s">
        <v>28</v>
      </c>
      <c r="J6409" s="18" t="s">
        <v>28</v>
      </c>
      <c r="K6409" s="18" t="s">
        <v>28</v>
      </c>
      <c r="L6409" s="18" t="s">
        <v>28</v>
      </c>
      <c r="M6409" s="18" t="s">
        <v>28</v>
      </c>
      <c r="N6409" s="17">
        <v>43831</v>
      </c>
      <c r="O6409" s="15" t="s">
        <v>52</v>
      </c>
      <c r="P6409" s="16" t="s">
        <v>2442</v>
      </c>
      <c r="Q6409" s="15" t="s">
        <v>75</v>
      </c>
      <c r="R6409" s="13" t="str">
        <f>HYPERLINK("https://my.pitchbook.com?c=266748-58T","View Company Online")</f>
        <v>View Company Online</v>
      </c>
    </row>
    <row r="6410" spans="1:18" hidden="1" x14ac:dyDescent="0.3">
      <c r="A6410" s="9" t="s">
        <v>19455</v>
      </c>
      <c r="B6410" s="9" t="s">
        <v>19456</v>
      </c>
      <c r="C6410" s="11" t="s">
        <v>28</v>
      </c>
      <c r="D6410" s="9" t="s">
        <v>19457</v>
      </c>
      <c r="E6410" s="11" t="s">
        <v>28</v>
      </c>
      <c r="F6410" s="10" t="s">
        <v>28</v>
      </c>
      <c r="G6410" s="10" t="s">
        <v>28</v>
      </c>
      <c r="H6410" s="10" t="s">
        <v>28</v>
      </c>
      <c r="I6410" s="11" t="s">
        <v>28</v>
      </c>
      <c r="J6410" s="11" t="s">
        <v>28</v>
      </c>
      <c r="K6410" s="11" t="s">
        <v>28</v>
      </c>
      <c r="L6410" s="11" t="s">
        <v>28</v>
      </c>
      <c r="M6410" s="11" t="s">
        <v>28</v>
      </c>
      <c r="N6410" s="8">
        <v>43831</v>
      </c>
      <c r="O6410" s="9" t="s">
        <v>52</v>
      </c>
      <c r="P6410" s="12" t="s">
        <v>7737</v>
      </c>
      <c r="Q6410" s="9" t="s">
        <v>75</v>
      </c>
      <c r="R6410" s="14" t="str">
        <f>HYPERLINK("https://my.pitchbook.com?c=219572-11T","View Company Online")</f>
        <v>View Company Online</v>
      </c>
    </row>
    <row r="6411" spans="1:18" hidden="1" x14ac:dyDescent="0.3">
      <c r="A6411" s="15" t="s">
        <v>19458</v>
      </c>
      <c r="B6411" s="15" t="s">
        <v>9299</v>
      </c>
      <c r="C6411" s="18" t="s">
        <v>28</v>
      </c>
      <c r="D6411" s="15" t="s">
        <v>9300</v>
      </c>
      <c r="E6411" s="18" t="s">
        <v>28</v>
      </c>
      <c r="F6411" s="19" t="s">
        <v>28</v>
      </c>
      <c r="G6411" s="19" t="s">
        <v>28</v>
      </c>
      <c r="H6411" s="19" t="s">
        <v>28</v>
      </c>
      <c r="I6411" s="18" t="s">
        <v>28</v>
      </c>
      <c r="J6411" s="18" t="s">
        <v>28</v>
      </c>
      <c r="K6411" s="18" t="s">
        <v>28</v>
      </c>
      <c r="L6411" s="18" t="s">
        <v>28</v>
      </c>
      <c r="M6411" s="18" t="s">
        <v>28</v>
      </c>
      <c r="N6411" s="17">
        <v>43831</v>
      </c>
      <c r="O6411" s="15" t="s">
        <v>52</v>
      </c>
      <c r="P6411" s="16" t="s">
        <v>3811</v>
      </c>
      <c r="Q6411" s="15" t="s">
        <v>1035</v>
      </c>
      <c r="R6411" s="13" t="str">
        <f>HYPERLINK("https://my.pitchbook.com?c=274520-98T","View Company Online")</f>
        <v>View Company Online</v>
      </c>
    </row>
    <row r="6412" spans="1:18" hidden="1" x14ac:dyDescent="0.3">
      <c r="A6412" s="9" t="s">
        <v>19459</v>
      </c>
      <c r="B6412" s="9" t="s">
        <v>7181</v>
      </c>
      <c r="C6412" s="11" t="s">
        <v>28</v>
      </c>
      <c r="D6412" s="9" t="s">
        <v>7182</v>
      </c>
      <c r="E6412" s="11" t="s">
        <v>28</v>
      </c>
      <c r="F6412" s="10" t="s">
        <v>28</v>
      </c>
      <c r="G6412" s="10" t="s">
        <v>28</v>
      </c>
      <c r="H6412" s="10" t="s">
        <v>28</v>
      </c>
      <c r="I6412" s="11" t="s">
        <v>28</v>
      </c>
      <c r="J6412" s="11" t="s">
        <v>28</v>
      </c>
      <c r="K6412" s="11" t="s">
        <v>28</v>
      </c>
      <c r="L6412" s="11" t="s">
        <v>28</v>
      </c>
      <c r="M6412" s="11" t="s">
        <v>28</v>
      </c>
      <c r="N6412" s="8">
        <v>43831</v>
      </c>
      <c r="O6412" s="9" t="s">
        <v>52</v>
      </c>
      <c r="P6412" s="12" t="s">
        <v>2915</v>
      </c>
      <c r="Q6412" s="9" t="s">
        <v>37</v>
      </c>
      <c r="R6412" s="14" t="str">
        <f>HYPERLINK("https://my.pitchbook.com?c=215644-42T","View Company Online")</f>
        <v>View Company Online</v>
      </c>
    </row>
    <row r="6413" spans="1:18" hidden="1" x14ac:dyDescent="0.3">
      <c r="A6413" s="15" t="s">
        <v>19460</v>
      </c>
      <c r="B6413" s="15" t="s">
        <v>19461</v>
      </c>
      <c r="C6413" s="18" t="s">
        <v>28</v>
      </c>
      <c r="D6413" s="15" t="s">
        <v>19462</v>
      </c>
      <c r="E6413" s="18" t="s">
        <v>28</v>
      </c>
      <c r="F6413" s="19" t="s">
        <v>28</v>
      </c>
      <c r="G6413" s="19">
        <v>3.65</v>
      </c>
      <c r="H6413" s="19" t="s">
        <v>28</v>
      </c>
      <c r="I6413" s="18" t="s">
        <v>28</v>
      </c>
      <c r="J6413" s="18" t="s">
        <v>28</v>
      </c>
      <c r="K6413" s="18" t="s">
        <v>28</v>
      </c>
      <c r="L6413" s="18" t="s">
        <v>28</v>
      </c>
      <c r="M6413" s="18" t="s">
        <v>28</v>
      </c>
      <c r="N6413" s="17">
        <v>43831</v>
      </c>
      <c r="O6413" s="15" t="s">
        <v>58</v>
      </c>
      <c r="P6413" s="16" t="s">
        <v>19463</v>
      </c>
      <c r="Q6413" s="15" t="s">
        <v>75</v>
      </c>
      <c r="R6413" s="13" t="str">
        <f>HYPERLINK("https://my.pitchbook.com?c=193585-42T","View Company Online")</f>
        <v>View Company Online</v>
      </c>
    </row>
    <row r="6414" spans="1:18" hidden="1" x14ac:dyDescent="0.3">
      <c r="A6414" s="9" t="s">
        <v>19464</v>
      </c>
      <c r="B6414" s="9" t="s">
        <v>11259</v>
      </c>
      <c r="C6414" s="11" t="s">
        <v>28</v>
      </c>
      <c r="D6414" s="9" t="s">
        <v>11260</v>
      </c>
      <c r="E6414" s="11" t="s">
        <v>28</v>
      </c>
      <c r="F6414" s="10" t="s">
        <v>28</v>
      </c>
      <c r="G6414" s="10" t="s">
        <v>28</v>
      </c>
      <c r="H6414" s="10" t="s">
        <v>28</v>
      </c>
      <c r="I6414" s="11" t="s">
        <v>28</v>
      </c>
      <c r="J6414" s="11" t="s">
        <v>28</v>
      </c>
      <c r="K6414" s="11" t="s">
        <v>28</v>
      </c>
      <c r="L6414" s="11" t="s">
        <v>28</v>
      </c>
      <c r="M6414" s="11" t="s">
        <v>28</v>
      </c>
      <c r="N6414" s="8">
        <v>43831</v>
      </c>
      <c r="O6414" s="9" t="s">
        <v>52</v>
      </c>
      <c r="P6414" s="12" t="s">
        <v>2830</v>
      </c>
      <c r="Q6414" s="9" t="s">
        <v>75</v>
      </c>
      <c r="R6414" s="14" t="str">
        <f>HYPERLINK("https://my.pitchbook.com?c=266586-85T","View Company Online")</f>
        <v>View Company Online</v>
      </c>
    </row>
    <row r="6415" spans="1:18" hidden="1" x14ac:dyDescent="0.3">
      <c r="A6415" s="15" t="s">
        <v>19465</v>
      </c>
      <c r="B6415" s="15" t="s">
        <v>19466</v>
      </c>
      <c r="C6415" s="18" t="s">
        <v>28</v>
      </c>
      <c r="D6415" s="15" t="s">
        <v>19467</v>
      </c>
      <c r="E6415" s="18" t="s">
        <v>28</v>
      </c>
      <c r="F6415" s="19" t="s">
        <v>28</v>
      </c>
      <c r="G6415" s="19" t="s">
        <v>28</v>
      </c>
      <c r="H6415" s="19" t="s">
        <v>28</v>
      </c>
      <c r="I6415" s="18" t="s">
        <v>28</v>
      </c>
      <c r="J6415" s="18" t="s">
        <v>28</v>
      </c>
      <c r="K6415" s="18" t="s">
        <v>28</v>
      </c>
      <c r="L6415" s="18" t="s">
        <v>28</v>
      </c>
      <c r="M6415" s="18" t="s">
        <v>28</v>
      </c>
      <c r="N6415" s="17">
        <v>43831</v>
      </c>
      <c r="O6415" s="15" t="s">
        <v>30</v>
      </c>
      <c r="P6415" s="16" t="s">
        <v>19468</v>
      </c>
      <c r="Q6415" s="15" t="s">
        <v>2620</v>
      </c>
      <c r="R6415" s="13" t="str">
        <f>HYPERLINK("https://my.pitchbook.com?c=262960-03T","View Company Online")</f>
        <v>View Company Online</v>
      </c>
    </row>
    <row r="6416" spans="1:18" hidden="1" x14ac:dyDescent="0.3">
      <c r="A6416" s="9" t="s">
        <v>19469</v>
      </c>
      <c r="B6416" s="9" t="s">
        <v>19470</v>
      </c>
      <c r="C6416" s="11" t="s">
        <v>28</v>
      </c>
      <c r="D6416" s="9" t="s">
        <v>19471</v>
      </c>
      <c r="E6416" s="11" t="s">
        <v>28</v>
      </c>
      <c r="F6416" s="10" t="s">
        <v>28</v>
      </c>
      <c r="G6416" s="10">
        <v>9.27</v>
      </c>
      <c r="H6416" s="10" t="s">
        <v>28</v>
      </c>
      <c r="I6416" s="11" t="s">
        <v>28</v>
      </c>
      <c r="J6416" s="11" t="s">
        <v>28</v>
      </c>
      <c r="K6416" s="11" t="s">
        <v>28</v>
      </c>
      <c r="L6416" s="11" t="s">
        <v>28</v>
      </c>
      <c r="M6416" s="11" t="s">
        <v>28</v>
      </c>
      <c r="N6416" s="8">
        <v>43831</v>
      </c>
      <c r="O6416" s="9" t="s">
        <v>79</v>
      </c>
      <c r="P6416" s="12" t="s">
        <v>19472</v>
      </c>
      <c r="Q6416" s="9" t="s">
        <v>37</v>
      </c>
      <c r="R6416" s="14" t="str">
        <f>HYPERLINK("https://my.pitchbook.com?c=193174-12T","View Company Online")</f>
        <v>View Company Online</v>
      </c>
    </row>
    <row r="6417" spans="1:18" hidden="1" x14ac:dyDescent="0.3">
      <c r="A6417" s="15" t="s">
        <v>19473</v>
      </c>
      <c r="B6417" s="15" t="s">
        <v>19474</v>
      </c>
      <c r="C6417" s="18" t="s">
        <v>28</v>
      </c>
      <c r="D6417" s="15" t="s">
        <v>19475</v>
      </c>
      <c r="E6417" s="18" t="s">
        <v>28</v>
      </c>
      <c r="F6417" s="19" t="s">
        <v>28</v>
      </c>
      <c r="G6417" s="19" t="s">
        <v>28</v>
      </c>
      <c r="H6417" s="19" t="s">
        <v>28</v>
      </c>
      <c r="I6417" s="18" t="s">
        <v>28</v>
      </c>
      <c r="J6417" s="18" t="s">
        <v>28</v>
      </c>
      <c r="K6417" s="18" t="s">
        <v>28</v>
      </c>
      <c r="L6417" s="18" t="s">
        <v>28</v>
      </c>
      <c r="M6417" s="18" t="s">
        <v>28</v>
      </c>
      <c r="N6417" s="17">
        <v>43831</v>
      </c>
      <c r="O6417" s="15" t="s">
        <v>52</v>
      </c>
      <c r="P6417" s="16" t="s">
        <v>6543</v>
      </c>
      <c r="Q6417" s="15" t="s">
        <v>95</v>
      </c>
      <c r="R6417" s="13" t="str">
        <f>HYPERLINK("https://my.pitchbook.com?c=243909-64T","View Company Online")</f>
        <v>View Company Online</v>
      </c>
    </row>
    <row r="6418" spans="1:18" hidden="1" x14ac:dyDescent="0.3">
      <c r="A6418" s="9" t="s">
        <v>19476</v>
      </c>
      <c r="B6418" s="9" t="s">
        <v>12302</v>
      </c>
      <c r="C6418" s="11" t="s">
        <v>28</v>
      </c>
      <c r="D6418" s="9" t="s">
        <v>12303</v>
      </c>
      <c r="E6418" s="11" t="s">
        <v>28</v>
      </c>
      <c r="F6418" s="10" t="s">
        <v>28</v>
      </c>
      <c r="G6418" s="10">
        <v>7.0000000000000007E-2</v>
      </c>
      <c r="H6418" s="10" t="s">
        <v>28</v>
      </c>
      <c r="I6418" s="11" t="s">
        <v>28</v>
      </c>
      <c r="J6418" s="11" t="s">
        <v>28</v>
      </c>
      <c r="K6418" s="11" t="s">
        <v>28</v>
      </c>
      <c r="L6418" s="11" t="s">
        <v>28</v>
      </c>
      <c r="M6418" s="11" t="s">
        <v>28</v>
      </c>
      <c r="N6418" s="8">
        <v>43831</v>
      </c>
      <c r="O6418" s="9" t="s">
        <v>52</v>
      </c>
      <c r="P6418" s="12" t="s">
        <v>6574</v>
      </c>
      <c r="Q6418" s="9" t="s">
        <v>404</v>
      </c>
      <c r="R6418" s="14" t="str">
        <f>HYPERLINK("https://my.pitchbook.com?c=179945-47T","View Company Online")</f>
        <v>View Company Online</v>
      </c>
    </row>
    <row r="6419" spans="1:18" hidden="1" x14ac:dyDescent="0.3">
      <c r="A6419" s="15" t="s">
        <v>19477</v>
      </c>
      <c r="B6419" s="15" t="s">
        <v>7057</v>
      </c>
      <c r="C6419" s="18" t="s">
        <v>28</v>
      </c>
      <c r="D6419" s="15" t="s">
        <v>7058</v>
      </c>
      <c r="E6419" s="18" t="s">
        <v>28</v>
      </c>
      <c r="F6419" s="19" t="s">
        <v>28</v>
      </c>
      <c r="G6419" s="19" t="s">
        <v>28</v>
      </c>
      <c r="H6419" s="19" t="s">
        <v>28</v>
      </c>
      <c r="I6419" s="18" t="s">
        <v>28</v>
      </c>
      <c r="J6419" s="18" t="s">
        <v>28</v>
      </c>
      <c r="K6419" s="18" t="s">
        <v>28</v>
      </c>
      <c r="L6419" s="18" t="s">
        <v>28</v>
      </c>
      <c r="M6419" s="18" t="s">
        <v>28</v>
      </c>
      <c r="N6419" s="17">
        <v>43831</v>
      </c>
      <c r="O6419" s="15" t="s">
        <v>93</v>
      </c>
      <c r="P6419" s="16" t="s">
        <v>19478</v>
      </c>
      <c r="Q6419" s="15" t="s">
        <v>114</v>
      </c>
      <c r="R6419" s="13" t="str">
        <f>HYPERLINK("https://my.pitchbook.com?c=278908-57T","View Company Online")</f>
        <v>View Company Online</v>
      </c>
    </row>
    <row r="6420" spans="1:18" hidden="1" x14ac:dyDescent="0.3">
      <c r="A6420" s="9" t="s">
        <v>19479</v>
      </c>
      <c r="B6420" s="9" t="s">
        <v>4574</v>
      </c>
      <c r="C6420" s="11" t="s">
        <v>28</v>
      </c>
      <c r="D6420" s="9" t="s">
        <v>4575</v>
      </c>
      <c r="E6420" s="11" t="s">
        <v>28</v>
      </c>
      <c r="F6420" s="10" t="s">
        <v>28</v>
      </c>
      <c r="G6420" s="10">
        <v>0.16</v>
      </c>
      <c r="H6420" s="10" t="s">
        <v>28</v>
      </c>
      <c r="I6420" s="11" t="s">
        <v>28</v>
      </c>
      <c r="J6420" s="11" t="s">
        <v>28</v>
      </c>
      <c r="K6420" s="11" t="s">
        <v>28</v>
      </c>
      <c r="L6420" s="11" t="s">
        <v>28</v>
      </c>
      <c r="M6420" s="11" t="s">
        <v>28</v>
      </c>
      <c r="N6420" s="8">
        <v>43831</v>
      </c>
      <c r="O6420" s="9" t="s">
        <v>9098</v>
      </c>
      <c r="P6420" s="12" t="s">
        <v>28</v>
      </c>
      <c r="Q6420" s="9" t="s">
        <v>566</v>
      </c>
      <c r="R6420" s="14" t="str">
        <f>HYPERLINK("https://my.pitchbook.com?c=194896-90T","View Company Online")</f>
        <v>View Company Online</v>
      </c>
    </row>
    <row r="6421" spans="1:18" hidden="1" x14ac:dyDescent="0.3">
      <c r="A6421" s="15" t="s">
        <v>19480</v>
      </c>
      <c r="B6421" s="15" t="s">
        <v>1303</v>
      </c>
      <c r="C6421" s="18" t="s">
        <v>28</v>
      </c>
      <c r="D6421" s="15" t="s">
        <v>1304</v>
      </c>
      <c r="E6421" s="18" t="s">
        <v>28</v>
      </c>
      <c r="F6421" s="19" t="s">
        <v>28</v>
      </c>
      <c r="G6421" s="19" t="s">
        <v>28</v>
      </c>
      <c r="H6421" s="19" t="s">
        <v>28</v>
      </c>
      <c r="I6421" s="18" t="s">
        <v>28</v>
      </c>
      <c r="J6421" s="18" t="s">
        <v>28</v>
      </c>
      <c r="K6421" s="18" t="s">
        <v>28</v>
      </c>
      <c r="L6421" s="18" t="s">
        <v>28</v>
      </c>
      <c r="M6421" s="18" t="s">
        <v>28</v>
      </c>
      <c r="N6421" s="17">
        <v>43831</v>
      </c>
      <c r="O6421" s="15" t="s">
        <v>58</v>
      </c>
      <c r="P6421" s="16" t="s">
        <v>19481</v>
      </c>
      <c r="Q6421" s="15" t="s">
        <v>245</v>
      </c>
      <c r="R6421" s="13" t="str">
        <f>HYPERLINK("https://my.pitchbook.com?c=273124-45T","View Company Online")</f>
        <v>View Company Online</v>
      </c>
    </row>
    <row r="6422" spans="1:18" hidden="1" x14ac:dyDescent="0.3">
      <c r="A6422" s="9" t="s">
        <v>19482</v>
      </c>
      <c r="B6422" s="9" t="s">
        <v>2048</v>
      </c>
      <c r="C6422" s="11" t="s">
        <v>28</v>
      </c>
      <c r="D6422" s="9" t="s">
        <v>2049</v>
      </c>
      <c r="E6422" s="11" t="s">
        <v>28</v>
      </c>
      <c r="F6422" s="10" t="s">
        <v>28</v>
      </c>
      <c r="G6422" s="10" t="s">
        <v>28</v>
      </c>
      <c r="H6422" s="10" t="s">
        <v>28</v>
      </c>
      <c r="I6422" s="11" t="s">
        <v>28</v>
      </c>
      <c r="J6422" s="11" t="s">
        <v>28</v>
      </c>
      <c r="K6422" s="11" t="s">
        <v>28</v>
      </c>
      <c r="L6422" s="11" t="s">
        <v>28</v>
      </c>
      <c r="M6422" s="11" t="s">
        <v>28</v>
      </c>
      <c r="N6422" s="8">
        <v>43831</v>
      </c>
      <c r="O6422" s="9" t="s">
        <v>79</v>
      </c>
      <c r="P6422" s="12" t="s">
        <v>16922</v>
      </c>
      <c r="Q6422" s="9" t="s">
        <v>1007</v>
      </c>
      <c r="R6422" s="14" t="str">
        <f>HYPERLINK("https://my.pitchbook.com?c=194277-52T","View Company Online")</f>
        <v>View Company Online</v>
      </c>
    </row>
    <row r="6423" spans="1:18" hidden="1" x14ac:dyDescent="0.3">
      <c r="A6423" s="15" t="s">
        <v>19483</v>
      </c>
      <c r="B6423" s="15" t="s">
        <v>82</v>
      </c>
      <c r="C6423" s="18" t="s">
        <v>28</v>
      </c>
      <c r="D6423" s="15" t="s">
        <v>83</v>
      </c>
      <c r="E6423" s="18" t="s">
        <v>28</v>
      </c>
      <c r="F6423" s="19" t="s">
        <v>28</v>
      </c>
      <c r="G6423" s="19">
        <v>2</v>
      </c>
      <c r="H6423" s="19" t="s">
        <v>28</v>
      </c>
      <c r="I6423" s="18" t="s">
        <v>28</v>
      </c>
      <c r="J6423" s="18" t="s">
        <v>28</v>
      </c>
      <c r="K6423" s="18" t="s">
        <v>28</v>
      </c>
      <c r="L6423" s="18" t="s">
        <v>28</v>
      </c>
      <c r="M6423" s="18" t="s">
        <v>28</v>
      </c>
      <c r="N6423" s="17">
        <v>43831</v>
      </c>
      <c r="O6423" s="15" t="s">
        <v>99</v>
      </c>
      <c r="P6423" s="16" t="s">
        <v>17589</v>
      </c>
      <c r="Q6423" s="15" t="s">
        <v>85</v>
      </c>
      <c r="R6423" s="13" t="str">
        <f>HYPERLINK("https://my.pitchbook.com?c=182401-48T","View Company Online")</f>
        <v>View Company Online</v>
      </c>
    </row>
    <row r="6424" spans="1:18" hidden="1" x14ac:dyDescent="0.3">
      <c r="A6424" s="9" t="s">
        <v>19484</v>
      </c>
      <c r="B6424" s="9" t="s">
        <v>19485</v>
      </c>
      <c r="C6424" s="11" t="s">
        <v>28</v>
      </c>
      <c r="D6424" s="9" t="s">
        <v>19486</v>
      </c>
      <c r="E6424" s="11" t="s">
        <v>28</v>
      </c>
      <c r="F6424" s="10" t="s">
        <v>28</v>
      </c>
      <c r="G6424" s="10">
        <v>7.0000000000000007E-2</v>
      </c>
      <c r="H6424" s="10" t="s">
        <v>28</v>
      </c>
      <c r="I6424" s="11" t="s">
        <v>28</v>
      </c>
      <c r="J6424" s="11" t="s">
        <v>28</v>
      </c>
      <c r="K6424" s="11" t="s">
        <v>28</v>
      </c>
      <c r="L6424" s="11" t="s">
        <v>28</v>
      </c>
      <c r="M6424" s="11" t="s">
        <v>28</v>
      </c>
      <c r="N6424" s="8">
        <v>43831</v>
      </c>
      <c r="O6424" s="9" t="s">
        <v>52</v>
      </c>
      <c r="P6424" s="12" t="s">
        <v>221</v>
      </c>
      <c r="Q6424" s="9" t="s">
        <v>245</v>
      </c>
      <c r="R6424" s="14" t="str">
        <f>HYPERLINK("https://my.pitchbook.com?c=215398-45T","View Company Online")</f>
        <v>View Company Online</v>
      </c>
    </row>
    <row r="6425" spans="1:18" hidden="1" x14ac:dyDescent="0.3">
      <c r="A6425" s="15" t="s">
        <v>19487</v>
      </c>
      <c r="B6425" s="15" t="s">
        <v>19488</v>
      </c>
      <c r="C6425" s="18" t="s">
        <v>28</v>
      </c>
      <c r="D6425" s="15" t="s">
        <v>19489</v>
      </c>
      <c r="E6425" s="18" t="s">
        <v>28</v>
      </c>
      <c r="F6425" s="19" t="s">
        <v>28</v>
      </c>
      <c r="G6425" s="19" t="s">
        <v>28</v>
      </c>
      <c r="H6425" s="19" t="s">
        <v>28</v>
      </c>
      <c r="I6425" s="18" t="s">
        <v>28</v>
      </c>
      <c r="J6425" s="18" t="s">
        <v>28</v>
      </c>
      <c r="K6425" s="18" t="s">
        <v>28</v>
      </c>
      <c r="L6425" s="18" t="s">
        <v>28</v>
      </c>
      <c r="M6425" s="18" t="s">
        <v>28</v>
      </c>
      <c r="N6425" s="17">
        <v>43831</v>
      </c>
      <c r="O6425" s="15" t="s">
        <v>52</v>
      </c>
      <c r="P6425" s="16" t="s">
        <v>2830</v>
      </c>
      <c r="Q6425" s="15" t="s">
        <v>245</v>
      </c>
      <c r="R6425" s="13" t="str">
        <f>HYPERLINK("https://my.pitchbook.com?c=292606-03T","View Company Online")</f>
        <v>View Company Online</v>
      </c>
    </row>
    <row r="6426" spans="1:18" hidden="1" x14ac:dyDescent="0.3">
      <c r="A6426" s="9" t="s">
        <v>19490</v>
      </c>
      <c r="B6426" s="9" t="s">
        <v>11514</v>
      </c>
      <c r="C6426" s="11" t="s">
        <v>28</v>
      </c>
      <c r="D6426" s="9" t="s">
        <v>11515</v>
      </c>
      <c r="E6426" s="11" t="s">
        <v>28</v>
      </c>
      <c r="F6426" s="10" t="s">
        <v>28</v>
      </c>
      <c r="G6426" s="10" t="s">
        <v>28</v>
      </c>
      <c r="H6426" s="10" t="s">
        <v>28</v>
      </c>
      <c r="I6426" s="11" t="s">
        <v>28</v>
      </c>
      <c r="J6426" s="11" t="s">
        <v>28</v>
      </c>
      <c r="K6426" s="11" t="s">
        <v>28</v>
      </c>
      <c r="L6426" s="11" t="s">
        <v>28</v>
      </c>
      <c r="M6426" s="11" t="s">
        <v>28</v>
      </c>
      <c r="N6426" s="8">
        <v>43831</v>
      </c>
      <c r="O6426" s="9" t="s">
        <v>52</v>
      </c>
      <c r="P6426" s="12" t="s">
        <v>10628</v>
      </c>
      <c r="Q6426" s="9" t="s">
        <v>37</v>
      </c>
      <c r="R6426" s="14" t="str">
        <f>HYPERLINK("https://my.pitchbook.com?c=183722-77T","View Company Online")</f>
        <v>View Company Online</v>
      </c>
    </row>
    <row r="6427" spans="1:18" hidden="1" x14ac:dyDescent="0.3">
      <c r="A6427" s="15" t="s">
        <v>19491</v>
      </c>
      <c r="B6427" s="15" t="s">
        <v>19492</v>
      </c>
      <c r="C6427" s="18" t="s">
        <v>28</v>
      </c>
      <c r="D6427" s="15" t="s">
        <v>19493</v>
      </c>
      <c r="E6427" s="18" t="s">
        <v>28</v>
      </c>
      <c r="F6427" s="19" t="s">
        <v>28</v>
      </c>
      <c r="G6427" s="19" t="s">
        <v>28</v>
      </c>
      <c r="H6427" s="19" t="s">
        <v>28</v>
      </c>
      <c r="I6427" s="18" t="s">
        <v>28</v>
      </c>
      <c r="J6427" s="18" t="s">
        <v>28</v>
      </c>
      <c r="K6427" s="18" t="s">
        <v>28</v>
      </c>
      <c r="L6427" s="18" t="s">
        <v>28</v>
      </c>
      <c r="M6427" s="18" t="s">
        <v>28</v>
      </c>
      <c r="N6427" s="17">
        <v>43831</v>
      </c>
      <c r="O6427" s="15" t="s">
        <v>99</v>
      </c>
      <c r="P6427" s="16" t="s">
        <v>19494</v>
      </c>
      <c r="Q6427" s="15" t="s">
        <v>75</v>
      </c>
      <c r="R6427" s="13" t="str">
        <f>HYPERLINK("https://my.pitchbook.com?c=215591-77T","View Company Online")</f>
        <v>View Company Online</v>
      </c>
    </row>
    <row r="6428" spans="1:18" hidden="1" x14ac:dyDescent="0.3">
      <c r="A6428" s="9" t="s">
        <v>19495</v>
      </c>
      <c r="B6428" s="9" t="s">
        <v>19496</v>
      </c>
      <c r="C6428" s="11" t="s">
        <v>28</v>
      </c>
      <c r="D6428" s="9" t="s">
        <v>19497</v>
      </c>
      <c r="E6428" s="11" t="s">
        <v>28</v>
      </c>
      <c r="F6428" s="10" t="s">
        <v>28</v>
      </c>
      <c r="G6428" s="10">
        <v>0.6</v>
      </c>
      <c r="H6428" s="10" t="s">
        <v>28</v>
      </c>
      <c r="I6428" s="11" t="s">
        <v>28</v>
      </c>
      <c r="J6428" s="11" t="s">
        <v>28</v>
      </c>
      <c r="K6428" s="11" t="s">
        <v>28</v>
      </c>
      <c r="L6428" s="11" t="s">
        <v>28</v>
      </c>
      <c r="M6428" s="11" t="s">
        <v>28</v>
      </c>
      <c r="N6428" s="8">
        <v>43831</v>
      </c>
      <c r="O6428" s="9" t="s">
        <v>79</v>
      </c>
      <c r="P6428" s="12" t="s">
        <v>19498</v>
      </c>
      <c r="Q6428" s="9" t="s">
        <v>409</v>
      </c>
      <c r="R6428" s="14" t="str">
        <f>HYPERLINK("https://my.pitchbook.com?c=133313-95T","View Company Online")</f>
        <v>View Company Online</v>
      </c>
    </row>
    <row r="6429" spans="1:18" hidden="1" x14ac:dyDescent="0.3">
      <c r="A6429" s="15" t="s">
        <v>19499</v>
      </c>
      <c r="B6429" s="15" t="s">
        <v>19500</v>
      </c>
      <c r="C6429" s="18" t="s">
        <v>28</v>
      </c>
      <c r="D6429" s="15" t="s">
        <v>19501</v>
      </c>
      <c r="E6429" s="18" t="s">
        <v>28</v>
      </c>
      <c r="F6429" s="19" t="s">
        <v>28</v>
      </c>
      <c r="G6429" s="19" t="s">
        <v>28</v>
      </c>
      <c r="H6429" s="19" t="s">
        <v>28</v>
      </c>
      <c r="I6429" s="18" t="s">
        <v>28</v>
      </c>
      <c r="J6429" s="18" t="s">
        <v>28</v>
      </c>
      <c r="K6429" s="18" t="s">
        <v>28</v>
      </c>
      <c r="L6429" s="18" t="s">
        <v>28</v>
      </c>
      <c r="M6429" s="18" t="s">
        <v>28</v>
      </c>
      <c r="N6429" s="17">
        <v>43831</v>
      </c>
      <c r="O6429" s="15" t="s">
        <v>93</v>
      </c>
      <c r="P6429" s="16" t="s">
        <v>5882</v>
      </c>
      <c r="Q6429" s="15" t="s">
        <v>409</v>
      </c>
      <c r="R6429" s="13" t="str">
        <f>HYPERLINK("https://my.pitchbook.com?c=174409-84T","View Company Online")</f>
        <v>View Company Online</v>
      </c>
    </row>
    <row r="6430" spans="1:18" hidden="1" x14ac:dyDescent="0.3">
      <c r="A6430" s="9" t="s">
        <v>19502</v>
      </c>
      <c r="B6430" s="9" t="s">
        <v>19503</v>
      </c>
      <c r="C6430" s="11" t="s">
        <v>28</v>
      </c>
      <c r="D6430" s="9" t="s">
        <v>19504</v>
      </c>
      <c r="E6430" s="11" t="s">
        <v>28</v>
      </c>
      <c r="F6430" s="10" t="s">
        <v>28</v>
      </c>
      <c r="G6430" s="10">
        <v>1</v>
      </c>
      <c r="H6430" s="10" t="s">
        <v>28</v>
      </c>
      <c r="I6430" s="11" t="s">
        <v>28</v>
      </c>
      <c r="J6430" s="11" t="s">
        <v>28</v>
      </c>
      <c r="K6430" s="11" t="s">
        <v>28</v>
      </c>
      <c r="L6430" s="11" t="s">
        <v>28</v>
      </c>
      <c r="M6430" s="11" t="s">
        <v>28</v>
      </c>
      <c r="N6430" s="8">
        <v>43831</v>
      </c>
      <c r="O6430" s="9" t="s">
        <v>47</v>
      </c>
      <c r="P6430" s="12" t="s">
        <v>28</v>
      </c>
      <c r="Q6430" s="9" t="s">
        <v>43</v>
      </c>
      <c r="R6430" s="14" t="str">
        <f>HYPERLINK("https://my.pitchbook.com?c=261992-44T","View Company Online")</f>
        <v>View Company Online</v>
      </c>
    </row>
    <row r="6431" spans="1:18" hidden="1" x14ac:dyDescent="0.3">
      <c r="A6431" s="15" t="s">
        <v>19505</v>
      </c>
      <c r="B6431" s="15" t="s">
        <v>19503</v>
      </c>
      <c r="C6431" s="18" t="s">
        <v>28</v>
      </c>
      <c r="D6431" s="15" t="s">
        <v>19504</v>
      </c>
      <c r="E6431" s="18" t="s">
        <v>28</v>
      </c>
      <c r="F6431" s="19" t="s">
        <v>28</v>
      </c>
      <c r="G6431" s="19">
        <v>0.15</v>
      </c>
      <c r="H6431" s="19" t="s">
        <v>28</v>
      </c>
      <c r="I6431" s="18" t="s">
        <v>28</v>
      </c>
      <c r="J6431" s="18" t="s">
        <v>28</v>
      </c>
      <c r="K6431" s="18" t="s">
        <v>28</v>
      </c>
      <c r="L6431" s="18" t="s">
        <v>28</v>
      </c>
      <c r="M6431" s="18" t="s">
        <v>28</v>
      </c>
      <c r="N6431" s="17">
        <v>43831</v>
      </c>
      <c r="O6431" s="15" t="s">
        <v>47</v>
      </c>
      <c r="P6431" s="16" t="s">
        <v>28</v>
      </c>
      <c r="Q6431" s="15" t="s">
        <v>43</v>
      </c>
      <c r="R6431" s="13" t="str">
        <f>HYPERLINK("https://my.pitchbook.com?c=261994-24T","View Company Online")</f>
        <v>View Company Online</v>
      </c>
    </row>
    <row r="6432" spans="1:18" hidden="1" x14ac:dyDescent="0.3">
      <c r="A6432" s="9" t="s">
        <v>19506</v>
      </c>
      <c r="B6432" s="9" t="s">
        <v>19507</v>
      </c>
      <c r="C6432" s="11" t="s">
        <v>28</v>
      </c>
      <c r="D6432" s="9" t="s">
        <v>28</v>
      </c>
      <c r="E6432" s="11" t="s">
        <v>28</v>
      </c>
      <c r="F6432" s="10" t="s">
        <v>28</v>
      </c>
      <c r="G6432" s="10">
        <v>0.41</v>
      </c>
      <c r="H6432" s="10" t="s">
        <v>28</v>
      </c>
      <c r="I6432" s="11" t="s">
        <v>28</v>
      </c>
      <c r="J6432" s="11" t="s">
        <v>28</v>
      </c>
      <c r="K6432" s="11" t="s">
        <v>28</v>
      </c>
      <c r="L6432" s="11" t="s">
        <v>28</v>
      </c>
      <c r="M6432" s="11" t="s">
        <v>28</v>
      </c>
      <c r="N6432" s="8">
        <v>43831</v>
      </c>
      <c r="O6432" s="9" t="s">
        <v>47</v>
      </c>
      <c r="P6432" s="12" t="s">
        <v>17478</v>
      </c>
      <c r="Q6432" s="9" t="s">
        <v>832</v>
      </c>
      <c r="R6432" s="14" t="str">
        <f>HYPERLINK("https://my.pitchbook.com?c=217657-36T","View Company Online")</f>
        <v>View Company Online</v>
      </c>
    </row>
    <row r="6433" spans="1:18" hidden="1" x14ac:dyDescent="0.3">
      <c r="A6433" s="15" t="s">
        <v>19508</v>
      </c>
      <c r="B6433" s="15" t="s">
        <v>19509</v>
      </c>
      <c r="C6433" s="18" t="s">
        <v>28</v>
      </c>
      <c r="D6433" s="15" t="s">
        <v>19510</v>
      </c>
      <c r="E6433" s="18" t="s">
        <v>28</v>
      </c>
      <c r="F6433" s="19" t="s">
        <v>28</v>
      </c>
      <c r="G6433" s="19" t="s">
        <v>28</v>
      </c>
      <c r="H6433" s="19" t="s">
        <v>28</v>
      </c>
      <c r="I6433" s="18" t="s">
        <v>28</v>
      </c>
      <c r="J6433" s="18" t="s">
        <v>28</v>
      </c>
      <c r="K6433" s="18" t="s">
        <v>28</v>
      </c>
      <c r="L6433" s="18" t="s">
        <v>28</v>
      </c>
      <c r="M6433" s="18" t="s">
        <v>28</v>
      </c>
      <c r="N6433" s="17">
        <v>43831</v>
      </c>
      <c r="O6433" s="15" t="s">
        <v>52</v>
      </c>
      <c r="P6433" s="16" t="s">
        <v>19511</v>
      </c>
      <c r="Q6433" s="15" t="s">
        <v>75</v>
      </c>
      <c r="R6433" s="13" t="str">
        <f>HYPERLINK("https://my.pitchbook.com?c=292941-28T","View Company Online")</f>
        <v>View Company Online</v>
      </c>
    </row>
    <row r="6434" spans="1:18" hidden="1" x14ac:dyDescent="0.3">
      <c r="A6434" s="9" t="s">
        <v>19512</v>
      </c>
      <c r="B6434" s="9" t="s">
        <v>19513</v>
      </c>
      <c r="C6434" s="11" t="s">
        <v>28</v>
      </c>
      <c r="D6434" s="9" t="s">
        <v>19514</v>
      </c>
      <c r="E6434" s="11" t="s">
        <v>28</v>
      </c>
      <c r="F6434" s="10" t="s">
        <v>28</v>
      </c>
      <c r="G6434" s="10" t="s">
        <v>28</v>
      </c>
      <c r="H6434" s="10" t="s">
        <v>28</v>
      </c>
      <c r="I6434" s="11" t="s">
        <v>28</v>
      </c>
      <c r="J6434" s="11" t="s">
        <v>28</v>
      </c>
      <c r="K6434" s="11" t="s">
        <v>28</v>
      </c>
      <c r="L6434" s="11" t="s">
        <v>28</v>
      </c>
      <c r="M6434" s="11" t="s">
        <v>28</v>
      </c>
      <c r="N6434" s="8">
        <v>43831</v>
      </c>
      <c r="O6434" s="9" t="s">
        <v>73</v>
      </c>
      <c r="P6434" s="12" t="s">
        <v>19515</v>
      </c>
      <c r="Q6434" s="9" t="s">
        <v>75</v>
      </c>
      <c r="R6434" s="14" t="str">
        <f>HYPERLINK("https://my.pitchbook.com?c=207698-32T","View Company Online")</f>
        <v>View Company Online</v>
      </c>
    </row>
    <row r="6435" spans="1:18" hidden="1" x14ac:dyDescent="0.3">
      <c r="A6435" s="15" t="s">
        <v>19516</v>
      </c>
      <c r="B6435" s="15" t="s">
        <v>6461</v>
      </c>
      <c r="C6435" s="18" t="s">
        <v>28</v>
      </c>
      <c r="D6435" s="15" t="s">
        <v>6462</v>
      </c>
      <c r="E6435" s="18" t="s">
        <v>28</v>
      </c>
      <c r="F6435" s="19" t="s">
        <v>28</v>
      </c>
      <c r="G6435" s="19">
        <v>0.49</v>
      </c>
      <c r="H6435" s="19" t="s">
        <v>28</v>
      </c>
      <c r="I6435" s="18" t="s">
        <v>28</v>
      </c>
      <c r="J6435" s="18" t="s">
        <v>28</v>
      </c>
      <c r="K6435" s="18" t="s">
        <v>28</v>
      </c>
      <c r="L6435" s="18" t="s">
        <v>28</v>
      </c>
      <c r="M6435" s="18" t="s">
        <v>28</v>
      </c>
      <c r="N6435" s="17">
        <v>43831</v>
      </c>
      <c r="O6435" s="15" t="s">
        <v>99</v>
      </c>
      <c r="P6435" s="16" t="s">
        <v>28</v>
      </c>
      <c r="Q6435" s="15" t="s">
        <v>37</v>
      </c>
      <c r="R6435" s="13" t="str">
        <f>HYPERLINK("https://my.pitchbook.com?c=210558-16T","View Company Online")</f>
        <v>View Company Online</v>
      </c>
    </row>
    <row r="6436" spans="1:18" hidden="1" x14ac:dyDescent="0.3">
      <c r="A6436" s="9" t="s">
        <v>19517</v>
      </c>
      <c r="B6436" s="9" t="s">
        <v>19518</v>
      </c>
      <c r="C6436" s="11" t="s">
        <v>28</v>
      </c>
      <c r="D6436" s="9" t="s">
        <v>19519</v>
      </c>
      <c r="E6436" s="11" t="s">
        <v>28</v>
      </c>
      <c r="F6436" s="10" t="s">
        <v>28</v>
      </c>
      <c r="G6436" s="10" t="s">
        <v>28</v>
      </c>
      <c r="H6436" s="10" t="s">
        <v>28</v>
      </c>
      <c r="I6436" s="11" t="s">
        <v>28</v>
      </c>
      <c r="J6436" s="11" t="s">
        <v>28</v>
      </c>
      <c r="K6436" s="11" t="s">
        <v>28</v>
      </c>
      <c r="L6436" s="11" t="s">
        <v>28</v>
      </c>
      <c r="M6436" s="11" t="s">
        <v>28</v>
      </c>
      <c r="N6436" s="8">
        <v>43831</v>
      </c>
      <c r="O6436" s="9" t="s">
        <v>79</v>
      </c>
      <c r="P6436" s="12" t="s">
        <v>2338</v>
      </c>
      <c r="Q6436" s="9" t="s">
        <v>3912</v>
      </c>
      <c r="R6436" s="14" t="str">
        <f>HYPERLINK("https://my.pitchbook.com?c=225018-73T","View Company Online")</f>
        <v>View Company Online</v>
      </c>
    </row>
    <row r="6437" spans="1:18" hidden="1" x14ac:dyDescent="0.3">
      <c r="A6437" s="15" t="s">
        <v>19520</v>
      </c>
      <c r="B6437" s="15" t="s">
        <v>4850</v>
      </c>
      <c r="C6437" s="18" t="s">
        <v>28</v>
      </c>
      <c r="D6437" s="15" t="s">
        <v>4851</v>
      </c>
      <c r="E6437" s="18" t="s">
        <v>28</v>
      </c>
      <c r="F6437" s="19" t="s">
        <v>28</v>
      </c>
      <c r="G6437" s="19" t="s">
        <v>28</v>
      </c>
      <c r="H6437" s="19" t="s">
        <v>28</v>
      </c>
      <c r="I6437" s="18" t="s">
        <v>28</v>
      </c>
      <c r="J6437" s="18" t="s">
        <v>28</v>
      </c>
      <c r="K6437" s="18" t="s">
        <v>28</v>
      </c>
      <c r="L6437" s="18" t="s">
        <v>28</v>
      </c>
      <c r="M6437" s="18" t="s">
        <v>28</v>
      </c>
      <c r="N6437" s="17">
        <v>43831</v>
      </c>
      <c r="O6437" s="15" t="s">
        <v>52</v>
      </c>
      <c r="P6437" s="16" t="s">
        <v>6543</v>
      </c>
      <c r="Q6437" s="15" t="s">
        <v>419</v>
      </c>
      <c r="R6437" s="13" t="str">
        <f>HYPERLINK("https://my.pitchbook.com?c=243881-47T","View Company Online")</f>
        <v>View Company Online</v>
      </c>
    </row>
    <row r="6438" spans="1:18" hidden="1" x14ac:dyDescent="0.3">
      <c r="A6438" s="9" t="s">
        <v>19521</v>
      </c>
      <c r="B6438" s="9" t="s">
        <v>19522</v>
      </c>
      <c r="C6438" s="11" t="s">
        <v>28</v>
      </c>
      <c r="D6438" s="9" t="s">
        <v>19523</v>
      </c>
      <c r="E6438" s="11" t="s">
        <v>28</v>
      </c>
      <c r="F6438" s="10" t="s">
        <v>28</v>
      </c>
      <c r="G6438" s="10" t="s">
        <v>28</v>
      </c>
      <c r="H6438" s="10" t="s">
        <v>28</v>
      </c>
      <c r="I6438" s="11" t="s">
        <v>28</v>
      </c>
      <c r="J6438" s="11" t="s">
        <v>28</v>
      </c>
      <c r="K6438" s="11" t="s">
        <v>28</v>
      </c>
      <c r="L6438" s="11" t="s">
        <v>28</v>
      </c>
      <c r="M6438" s="11" t="s">
        <v>28</v>
      </c>
      <c r="N6438" s="8">
        <v>43831</v>
      </c>
      <c r="O6438" s="9" t="s">
        <v>52</v>
      </c>
      <c r="P6438" s="12" t="s">
        <v>2830</v>
      </c>
      <c r="Q6438" s="9" t="s">
        <v>75</v>
      </c>
      <c r="R6438" s="14" t="str">
        <f>HYPERLINK("https://my.pitchbook.com?c=292633-21T","View Company Online")</f>
        <v>View Company Online</v>
      </c>
    </row>
    <row r="6439" spans="1:18" hidden="1" x14ac:dyDescent="0.3">
      <c r="A6439" s="15" t="s">
        <v>19524</v>
      </c>
      <c r="B6439" s="15" t="s">
        <v>19525</v>
      </c>
      <c r="C6439" s="18" t="s">
        <v>28</v>
      </c>
      <c r="D6439" s="15" t="s">
        <v>19526</v>
      </c>
      <c r="E6439" s="18" t="s">
        <v>28</v>
      </c>
      <c r="F6439" s="19" t="s">
        <v>28</v>
      </c>
      <c r="G6439" s="19" t="s">
        <v>28</v>
      </c>
      <c r="H6439" s="19" t="s">
        <v>28</v>
      </c>
      <c r="I6439" s="18" t="s">
        <v>28</v>
      </c>
      <c r="J6439" s="18" t="s">
        <v>28</v>
      </c>
      <c r="K6439" s="18" t="s">
        <v>28</v>
      </c>
      <c r="L6439" s="18" t="s">
        <v>28</v>
      </c>
      <c r="M6439" s="18" t="s">
        <v>28</v>
      </c>
      <c r="N6439" s="17">
        <v>43831</v>
      </c>
      <c r="O6439" s="15" t="s">
        <v>30</v>
      </c>
      <c r="P6439" s="16" t="s">
        <v>19527</v>
      </c>
      <c r="Q6439" s="15" t="s">
        <v>37</v>
      </c>
      <c r="R6439" s="13" t="str">
        <f>HYPERLINK("https://my.pitchbook.com?c=213389-02T","View Company Online")</f>
        <v>View Company Online</v>
      </c>
    </row>
    <row r="6440" spans="1:18" hidden="1" x14ac:dyDescent="0.3">
      <c r="A6440" s="9" t="s">
        <v>19528</v>
      </c>
      <c r="B6440" s="9" t="s">
        <v>11229</v>
      </c>
      <c r="C6440" s="11" t="s">
        <v>28</v>
      </c>
      <c r="D6440" s="9" t="s">
        <v>11230</v>
      </c>
      <c r="E6440" s="11" t="s">
        <v>28</v>
      </c>
      <c r="F6440" s="10" t="s">
        <v>28</v>
      </c>
      <c r="G6440" s="10" t="s">
        <v>28</v>
      </c>
      <c r="H6440" s="10" t="s">
        <v>28</v>
      </c>
      <c r="I6440" s="11" t="s">
        <v>28</v>
      </c>
      <c r="J6440" s="11" t="s">
        <v>28</v>
      </c>
      <c r="K6440" s="11" t="s">
        <v>28</v>
      </c>
      <c r="L6440" s="11" t="s">
        <v>28</v>
      </c>
      <c r="M6440" s="11" t="s">
        <v>28</v>
      </c>
      <c r="N6440" s="8">
        <v>43831</v>
      </c>
      <c r="O6440" s="9" t="s">
        <v>52</v>
      </c>
      <c r="P6440" s="12" t="s">
        <v>6543</v>
      </c>
      <c r="Q6440" s="9" t="s">
        <v>6348</v>
      </c>
      <c r="R6440" s="14" t="str">
        <f>HYPERLINK("https://my.pitchbook.com?c=243898-48T","View Company Online")</f>
        <v>View Company Online</v>
      </c>
    </row>
    <row r="6441" spans="1:18" hidden="1" x14ac:dyDescent="0.3">
      <c r="A6441" s="15" t="s">
        <v>19529</v>
      </c>
      <c r="B6441" s="15" t="s">
        <v>10531</v>
      </c>
      <c r="C6441" s="18" t="s">
        <v>28</v>
      </c>
      <c r="D6441" s="15" t="s">
        <v>10532</v>
      </c>
      <c r="E6441" s="18" t="s">
        <v>28</v>
      </c>
      <c r="F6441" s="19" t="s">
        <v>28</v>
      </c>
      <c r="G6441" s="19" t="s">
        <v>28</v>
      </c>
      <c r="H6441" s="19" t="s">
        <v>28</v>
      </c>
      <c r="I6441" s="18" t="s">
        <v>28</v>
      </c>
      <c r="J6441" s="18" t="s">
        <v>28</v>
      </c>
      <c r="K6441" s="18" t="s">
        <v>28</v>
      </c>
      <c r="L6441" s="18" t="s">
        <v>28</v>
      </c>
      <c r="M6441" s="18" t="s">
        <v>28</v>
      </c>
      <c r="N6441" s="17">
        <v>43831</v>
      </c>
      <c r="O6441" s="15" t="s">
        <v>52</v>
      </c>
      <c r="P6441" s="16" t="s">
        <v>2830</v>
      </c>
      <c r="Q6441" s="15" t="s">
        <v>75</v>
      </c>
      <c r="R6441" s="13" t="str">
        <f>HYPERLINK("https://my.pitchbook.com?c=262517-77T","View Company Online")</f>
        <v>View Company Online</v>
      </c>
    </row>
    <row r="6442" spans="1:18" hidden="1" x14ac:dyDescent="0.3">
      <c r="A6442" s="9" t="s">
        <v>19530</v>
      </c>
      <c r="B6442" s="9" t="s">
        <v>13083</v>
      </c>
      <c r="C6442" s="11" t="s">
        <v>28</v>
      </c>
      <c r="D6442" s="9" t="s">
        <v>13084</v>
      </c>
      <c r="E6442" s="11" t="s">
        <v>28</v>
      </c>
      <c r="F6442" s="10" t="s">
        <v>28</v>
      </c>
      <c r="G6442" s="10" t="s">
        <v>28</v>
      </c>
      <c r="H6442" s="10" t="s">
        <v>28</v>
      </c>
      <c r="I6442" s="11" t="s">
        <v>28</v>
      </c>
      <c r="J6442" s="11" t="s">
        <v>28</v>
      </c>
      <c r="K6442" s="11" t="s">
        <v>28</v>
      </c>
      <c r="L6442" s="11" t="s">
        <v>28</v>
      </c>
      <c r="M6442" s="11" t="s">
        <v>28</v>
      </c>
      <c r="N6442" s="8">
        <v>43831</v>
      </c>
      <c r="O6442" s="9" t="s">
        <v>52</v>
      </c>
      <c r="P6442" s="12" t="s">
        <v>1880</v>
      </c>
      <c r="Q6442" s="9" t="s">
        <v>37</v>
      </c>
      <c r="R6442" s="14" t="str">
        <f>HYPERLINK("https://my.pitchbook.com?c=264025-27T","View Company Online")</f>
        <v>View Company Online</v>
      </c>
    </row>
    <row r="6443" spans="1:18" hidden="1" x14ac:dyDescent="0.3">
      <c r="A6443" s="15" t="s">
        <v>19531</v>
      </c>
      <c r="B6443" s="15" t="s">
        <v>19532</v>
      </c>
      <c r="C6443" s="18" t="s">
        <v>28</v>
      </c>
      <c r="D6443" s="15" t="s">
        <v>19533</v>
      </c>
      <c r="E6443" s="18" t="s">
        <v>28</v>
      </c>
      <c r="F6443" s="19" t="s">
        <v>28</v>
      </c>
      <c r="G6443" s="19" t="s">
        <v>28</v>
      </c>
      <c r="H6443" s="19" t="s">
        <v>28</v>
      </c>
      <c r="I6443" s="18" t="s">
        <v>28</v>
      </c>
      <c r="J6443" s="18" t="s">
        <v>28</v>
      </c>
      <c r="K6443" s="18" t="s">
        <v>28</v>
      </c>
      <c r="L6443" s="18" t="s">
        <v>28</v>
      </c>
      <c r="M6443" s="18" t="s">
        <v>28</v>
      </c>
      <c r="N6443" s="17">
        <v>43831</v>
      </c>
      <c r="O6443" s="15" t="s">
        <v>52</v>
      </c>
      <c r="P6443" s="16" t="s">
        <v>19534</v>
      </c>
      <c r="Q6443" s="15" t="s">
        <v>263</v>
      </c>
      <c r="R6443" s="13" t="str">
        <f>HYPERLINK("https://my.pitchbook.com?c=267831-82T","View Company Online")</f>
        <v>View Company Online</v>
      </c>
    </row>
    <row r="6444" spans="1:18" hidden="1" x14ac:dyDescent="0.3">
      <c r="A6444" s="9" t="s">
        <v>19535</v>
      </c>
      <c r="B6444" s="9" t="s">
        <v>4340</v>
      </c>
      <c r="C6444" s="11" t="s">
        <v>28</v>
      </c>
      <c r="D6444" s="9" t="s">
        <v>4341</v>
      </c>
      <c r="E6444" s="11" t="s">
        <v>28</v>
      </c>
      <c r="F6444" s="10" t="s">
        <v>28</v>
      </c>
      <c r="G6444" s="10" t="s">
        <v>28</v>
      </c>
      <c r="H6444" s="10" t="s">
        <v>28</v>
      </c>
      <c r="I6444" s="11" t="s">
        <v>28</v>
      </c>
      <c r="J6444" s="11" t="s">
        <v>28</v>
      </c>
      <c r="K6444" s="11" t="s">
        <v>28</v>
      </c>
      <c r="L6444" s="11" t="s">
        <v>28</v>
      </c>
      <c r="M6444" s="11" t="s">
        <v>28</v>
      </c>
      <c r="N6444" s="8">
        <v>43831</v>
      </c>
      <c r="O6444" s="9" t="s">
        <v>52</v>
      </c>
      <c r="P6444" s="12" t="s">
        <v>19536</v>
      </c>
      <c r="Q6444" s="9" t="s">
        <v>75</v>
      </c>
      <c r="R6444" s="14" t="str">
        <f>HYPERLINK("https://my.pitchbook.com?c=297542-89T","View Company Online")</f>
        <v>View Company Online</v>
      </c>
    </row>
    <row r="6445" spans="1:18" hidden="1" x14ac:dyDescent="0.3">
      <c r="A6445" s="15" t="s">
        <v>19537</v>
      </c>
      <c r="B6445" s="15" t="s">
        <v>6962</v>
      </c>
      <c r="C6445" s="18" t="s">
        <v>28</v>
      </c>
      <c r="D6445" s="15" t="s">
        <v>6963</v>
      </c>
      <c r="E6445" s="18" t="s">
        <v>28</v>
      </c>
      <c r="F6445" s="19" t="s">
        <v>28</v>
      </c>
      <c r="G6445" s="19" t="s">
        <v>28</v>
      </c>
      <c r="H6445" s="19" t="s">
        <v>28</v>
      </c>
      <c r="I6445" s="18" t="s">
        <v>28</v>
      </c>
      <c r="J6445" s="18" t="s">
        <v>28</v>
      </c>
      <c r="K6445" s="18" t="s">
        <v>28</v>
      </c>
      <c r="L6445" s="18" t="s">
        <v>28</v>
      </c>
      <c r="M6445" s="18" t="s">
        <v>28</v>
      </c>
      <c r="N6445" s="17">
        <v>43831</v>
      </c>
      <c r="O6445" s="15" t="s">
        <v>52</v>
      </c>
      <c r="P6445" s="16" t="s">
        <v>6543</v>
      </c>
      <c r="Q6445" s="15" t="s">
        <v>75</v>
      </c>
      <c r="R6445" s="13" t="str">
        <f>HYPERLINK("https://my.pitchbook.com?c=243915-31T","View Company Online")</f>
        <v>View Company Online</v>
      </c>
    </row>
    <row r="6446" spans="1:18" hidden="1" x14ac:dyDescent="0.3">
      <c r="A6446" s="9" t="s">
        <v>19538</v>
      </c>
      <c r="B6446" s="9" t="s">
        <v>7263</v>
      </c>
      <c r="C6446" s="11" t="s">
        <v>28</v>
      </c>
      <c r="D6446" s="9" t="s">
        <v>7264</v>
      </c>
      <c r="E6446" s="11" t="s">
        <v>28</v>
      </c>
      <c r="F6446" s="10" t="s">
        <v>28</v>
      </c>
      <c r="G6446" s="10" t="s">
        <v>28</v>
      </c>
      <c r="H6446" s="10" t="s">
        <v>28</v>
      </c>
      <c r="I6446" s="11" t="s">
        <v>28</v>
      </c>
      <c r="J6446" s="11" t="s">
        <v>28</v>
      </c>
      <c r="K6446" s="11" t="s">
        <v>28</v>
      </c>
      <c r="L6446" s="11" t="s">
        <v>28</v>
      </c>
      <c r="M6446" s="11" t="s">
        <v>28</v>
      </c>
      <c r="N6446" s="8">
        <v>43831</v>
      </c>
      <c r="O6446" s="9" t="s">
        <v>52</v>
      </c>
      <c r="P6446" s="12" t="s">
        <v>2830</v>
      </c>
      <c r="Q6446" s="9" t="s">
        <v>1035</v>
      </c>
      <c r="R6446" s="14" t="str">
        <f>HYPERLINK("https://my.pitchbook.com?c=264297-88T","View Company Online")</f>
        <v>View Company Online</v>
      </c>
    </row>
    <row r="6447" spans="1:18" hidden="1" x14ac:dyDescent="0.3">
      <c r="A6447" s="15" t="s">
        <v>19539</v>
      </c>
      <c r="B6447" s="15" t="s">
        <v>19540</v>
      </c>
      <c r="C6447" s="18" t="s">
        <v>28</v>
      </c>
      <c r="D6447" s="15" t="s">
        <v>19541</v>
      </c>
      <c r="E6447" s="18" t="s">
        <v>28</v>
      </c>
      <c r="F6447" s="19" t="s">
        <v>28</v>
      </c>
      <c r="G6447" s="19">
        <v>9.69</v>
      </c>
      <c r="H6447" s="19" t="s">
        <v>28</v>
      </c>
      <c r="I6447" s="18" t="s">
        <v>28</v>
      </c>
      <c r="J6447" s="18" t="s">
        <v>28</v>
      </c>
      <c r="K6447" s="18" t="s">
        <v>28</v>
      </c>
      <c r="L6447" s="18" t="s">
        <v>28</v>
      </c>
      <c r="M6447" s="18" t="s">
        <v>28</v>
      </c>
      <c r="N6447" s="17">
        <v>43831</v>
      </c>
      <c r="O6447" s="15" t="s">
        <v>93</v>
      </c>
      <c r="P6447" s="16" t="s">
        <v>19478</v>
      </c>
      <c r="Q6447" s="15" t="s">
        <v>13990</v>
      </c>
      <c r="R6447" s="13" t="str">
        <f>HYPERLINK("https://my.pitchbook.com?c=188155-63T","View Company Online")</f>
        <v>View Company Online</v>
      </c>
    </row>
    <row r="6448" spans="1:18" hidden="1" x14ac:dyDescent="0.3">
      <c r="A6448" s="9" t="s">
        <v>19542</v>
      </c>
      <c r="B6448" s="9" t="s">
        <v>17343</v>
      </c>
      <c r="C6448" s="11" t="s">
        <v>28</v>
      </c>
      <c r="D6448" s="9" t="s">
        <v>17344</v>
      </c>
      <c r="E6448" s="11" t="s">
        <v>28</v>
      </c>
      <c r="F6448" s="10" t="s">
        <v>28</v>
      </c>
      <c r="G6448" s="10" t="s">
        <v>28</v>
      </c>
      <c r="H6448" s="10" t="s">
        <v>28</v>
      </c>
      <c r="I6448" s="11" t="s">
        <v>28</v>
      </c>
      <c r="J6448" s="11" t="s">
        <v>28</v>
      </c>
      <c r="K6448" s="11" t="s">
        <v>28</v>
      </c>
      <c r="L6448" s="11" t="s">
        <v>28</v>
      </c>
      <c r="M6448" s="11" t="s">
        <v>28</v>
      </c>
      <c r="N6448" s="8">
        <v>43831</v>
      </c>
      <c r="O6448" s="9" t="s">
        <v>47</v>
      </c>
      <c r="P6448" s="12" t="s">
        <v>19543</v>
      </c>
      <c r="Q6448" s="9" t="s">
        <v>583</v>
      </c>
      <c r="R6448" s="14" t="str">
        <f>HYPERLINK("https://my.pitchbook.com?c=210352-87T","View Company Online")</f>
        <v>View Company Online</v>
      </c>
    </row>
    <row r="6449" spans="1:18" hidden="1" x14ac:dyDescent="0.3">
      <c r="A6449" s="15" t="s">
        <v>19544</v>
      </c>
      <c r="B6449" s="15" t="s">
        <v>19545</v>
      </c>
      <c r="C6449" s="18" t="s">
        <v>28</v>
      </c>
      <c r="D6449" s="15" t="s">
        <v>19546</v>
      </c>
      <c r="E6449" s="18" t="s">
        <v>28</v>
      </c>
      <c r="F6449" s="19" t="s">
        <v>28</v>
      </c>
      <c r="G6449" s="19" t="s">
        <v>28</v>
      </c>
      <c r="H6449" s="19" t="s">
        <v>28</v>
      </c>
      <c r="I6449" s="18" t="s">
        <v>28</v>
      </c>
      <c r="J6449" s="18" t="s">
        <v>28</v>
      </c>
      <c r="K6449" s="18" t="s">
        <v>28</v>
      </c>
      <c r="L6449" s="18" t="s">
        <v>28</v>
      </c>
      <c r="M6449" s="18" t="s">
        <v>28</v>
      </c>
      <c r="N6449" s="17">
        <v>43831</v>
      </c>
      <c r="O6449" s="15" t="s">
        <v>41</v>
      </c>
      <c r="P6449" s="16" t="s">
        <v>19375</v>
      </c>
      <c r="Q6449" s="15" t="s">
        <v>290</v>
      </c>
      <c r="R6449" s="13" t="str">
        <f>HYPERLINK("https://my.pitchbook.com?c=256951-18T","View Company Online")</f>
        <v>View Company Online</v>
      </c>
    </row>
    <row r="6450" spans="1:18" hidden="1" x14ac:dyDescent="0.3">
      <c r="A6450" s="9" t="s">
        <v>19547</v>
      </c>
      <c r="B6450" s="9" t="s">
        <v>16280</v>
      </c>
      <c r="C6450" s="11" t="s">
        <v>28</v>
      </c>
      <c r="D6450" s="9" t="s">
        <v>16281</v>
      </c>
      <c r="E6450" s="11" t="s">
        <v>28</v>
      </c>
      <c r="F6450" s="10" t="s">
        <v>28</v>
      </c>
      <c r="G6450" s="10" t="s">
        <v>28</v>
      </c>
      <c r="H6450" s="10" t="s">
        <v>28</v>
      </c>
      <c r="I6450" s="11" t="s">
        <v>28</v>
      </c>
      <c r="J6450" s="11" t="s">
        <v>28</v>
      </c>
      <c r="K6450" s="11" t="s">
        <v>28</v>
      </c>
      <c r="L6450" s="11" t="s">
        <v>28</v>
      </c>
      <c r="M6450" s="11" t="s">
        <v>28</v>
      </c>
      <c r="N6450" s="8">
        <v>43831</v>
      </c>
      <c r="O6450" s="9" t="s">
        <v>99</v>
      </c>
      <c r="P6450" s="12" t="s">
        <v>28</v>
      </c>
      <c r="Q6450" s="9" t="s">
        <v>362</v>
      </c>
      <c r="R6450" s="14" t="str">
        <f>HYPERLINK("https://my.pitchbook.com?c=234204-04T","View Company Online")</f>
        <v>View Company Online</v>
      </c>
    </row>
    <row r="6451" spans="1:18" hidden="1" x14ac:dyDescent="0.3">
      <c r="A6451" s="15" t="s">
        <v>19548</v>
      </c>
      <c r="B6451" s="15" t="s">
        <v>19549</v>
      </c>
      <c r="C6451" s="18" t="s">
        <v>28</v>
      </c>
      <c r="D6451" s="15" t="s">
        <v>19550</v>
      </c>
      <c r="E6451" s="18" t="s">
        <v>28</v>
      </c>
      <c r="F6451" s="19" t="s">
        <v>28</v>
      </c>
      <c r="G6451" s="19">
        <v>7.0000000000000007E-2</v>
      </c>
      <c r="H6451" s="19" t="s">
        <v>28</v>
      </c>
      <c r="I6451" s="18" t="s">
        <v>28</v>
      </c>
      <c r="J6451" s="18" t="s">
        <v>28</v>
      </c>
      <c r="K6451" s="18" t="s">
        <v>28</v>
      </c>
      <c r="L6451" s="18" t="s">
        <v>28</v>
      </c>
      <c r="M6451" s="18" t="s">
        <v>28</v>
      </c>
      <c r="N6451" s="17">
        <v>43831</v>
      </c>
      <c r="O6451" s="15" t="s">
        <v>52</v>
      </c>
      <c r="P6451" s="16" t="s">
        <v>2864</v>
      </c>
      <c r="Q6451" s="15" t="s">
        <v>1793</v>
      </c>
      <c r="R6451" s="13" t="str">
        <f>HYPERLINK("https://my.pitchbook.com?c=202258-36T","View Company Online")</f>
        <v>View Company Online</v>
      </c>
    </row>
    <row r="6452" spans="1:18" hidden="1" x14ac:dyDescent="0.3">
      <c r="A6452" s="9" t="s">
        <v>19551</v>
      </c>
      <c r="B6452" s="9" t="s">
        <v>19552</v>
      </c>
      <c r="C6452" s="11" t="s">
        <v>28</v>
      </c>
      <c r="D6452" s="9" t="s">
        <v>19553</v>
      </c>
      <c r="E6452" s="11" t="s">
        <v>28</v>
      </c>
      <c r="F6452" s="10" t="s">
        <v>28</v>
      </c>
      <c r="G6452" s="10">
        <v>7.0000000000000007E-2</v>
      </c>
      <c r="H6452" s="10" t="s">
        <v>28</v>
      </c>
      <c r="I6452" s="11" t="s">
        <v>28</v>
      </c>
      <c r="J6452" s="11" t="s">
        <v>28</v>
      </c>
      <c r="K6452" s="11" t="s">
        <v>28</v>
      </c>
      <c r="L6452" s="11" t="s">
        <v>28</v>
      </c>
      <c r="M6452" s="11" t="s">
        <v>28</v>
      </c>
      <c r="N6452" s="8">
        <v>43831</v>
      </c>
      <c r="O6452" s="9" t="s">
        <v>52</v>
      </c>
      <c r="P6452" s="12" t="s">
        <v>2864</v>
      </c>
      <c r="Q6452" s="9" t="s">
        <v>740</v>
      </c>
      <c r="R6452" s="14" t="str">
        <f>HYPERLINK("https://my.pitchbook.com?c=202268-44T","View Company Online")</f>
        <v>View Company Online</v>
      </c>
    </row>
    <row r="6453" spans="1:18" hidden="1" x14ac:dyDescent="0.3">
      <c r="A6453" s="15" t="s">
        <v>19554</v>
      </c>
      <c r="B6453" s="15" t="s">
        <v>18525</v>
      </c>
      <c r="C6453" s="18" t="s">
        <v>28</v>
      </c>
      <c r="D6453" s="15" t="s">
        <v>18526</v>
      </c>
      <c r="E6453" s="18" t="s">
        <v>28</v>
      </c>
      <c r="F6453" s="19" t="s">
        <v>28</v>
      </c>
      <c r="G6453" s="19" t="s">
        <v>28</v>
      </c>
      <c r="H6453" s="19" t="s">
        <v>28</v>
      </c>
      <c r="I6453" s="18" t="s">
        <v>28</v>
      </c>
      <c r="J6453" s="18" t="s">
        <v>28</v>
      </c>
      <c r="K6453" s="18" t="s">
        <v>28</v>
      </c>
      <c r="L6453" s="18" t="s">
        <v>28</v>
      </c>
      <c r="M6453" s="18" t="s">
        <v>28</v>
      </c>
      <c r="N6453" s="17">
        <v>43831</v>
      </c>
      <c r="O6453" s="15" t="s">
        <v>52</v>
      </c>
      <c r="P6453" s="16" t="s">
        <v>2830</v>
      </c>
      <c r="Q6453" s="15" t="s">
        <v>75</v>
      </c>
      <c r="R6453" s="13" t="str">
        <f>HYPERLINK("https://my.pitchbook.com?c=266606-11T","View Company Online")</f>
        <v>View Company Online</v>
      </c>
    </row>
    <row r="6454" spans="1:18" hidden="1" x14ac:dyDescent="0.3">
      <c r="A6454" s="9" t="s">
        <v>19555</v>
      </c>
      <c r="B6454" s="9" t="s">
        <v>19556</v>
      </c>
      <c r="C6454" s="11" t="s">
        <v>28</v>
      </c>
      <c r="D6454" s="9" t="s">
        <v>19557</v>
      </c>
      <c r="E6454" s="11" t="s">
        <v>28</v>
      </c>
      <c r="F6454" s="10" t="s">
        <v>28</v>
      </c>
      <c r="G6454" s="10">
        <v>0.24</v>
      </c>
      <c r="H6454" s="10" t="s">
        <v>28</v>
      </c>
      <c r="I6454" s="11" t="s">
        <v>28</v>
      </c>
      <c r="J6454" s="11" t="s">
        <v>28</v>
      </c>
      <c r="K6454" s="11" t="s">
        <v>28</v>
      </c>
      <c r="L6454" s="11" t="s">
        <v>28</v>
      </c>
      <c r="M6454" s="11" t="s">
        <v>28</v>
      </c>
      <c r="N6454" s="8">
        <v>43831</v>
      </c>
      <c r="O6454" s="9" t="s">
        <v>99</v>
      </c>
      <c r="P6454" s="12" t="s">
        <v>19558</v>
      </c>
      <c r="Q6454" s="9" t="s">
        <v>119</v>
      </c>
      <c r="R6454" s="14" t="str">
        <f>HYPERLINK("https://my.pitchbook.com?c=183302-02T","View Company Online")</f>
        <v>View Company Online</v>
      </c>
    </row>
    <row r="6455" spans="1:18" hidden="1" x14ac:dyDescent="0.3">
      <c r="A6455" s="15" t="s">
        <v>19559</v>
      </c>
      <c r="B6455" s="15" t="s">
        <v>8337</v>
      </c>
      <c r="C6455" s="18" t="s">
        <v>28</v>
      </c>
      <c r="D6455" s="15" t="s">
        <v>8338</v>
      </c>
      <c r="E6455" s="18" t="s">
        <v>28</v>
      </c>
      <c r="F6455" s="19" t="s">
        <v>28</v>
      </c>
      <c r="G6455" s="19" t="s">
        <v>28</v>
      </c>
      <c r="H6455" s="19" t="s">
        <v>28</v>
      </c>
      <c r="I6455" s="18" t="s">
        <v>28</v>
      </c>
      <c r="J6455" s="18" t="s">
        <v>28</v>
      </c>
      <c r="K6455" s="18" t="s">
        <v>28</v>
      </c>
      <c r="L6455" s="18" t="s">
        <v>28</v>
      </c>
      <c r="M6455" s="18" t="s">
        <v>28</v>
      </c>
      <c r="N6455" s="17">
        <v>43831</v>
      </c>
      <c r="O6455" s="15" t="s">
        <v>52</v>
      </c>
      <c r="P6455" s="16" t="s">
        <v>16980</v>
      </c>
      <c r="Q6455" s="15" t="s">
        <v>75</v>
      </c>
      <c r="R6455" s="13" t="str">
        <f>HYPERLINK("https://my.pitchbook.com?c=295813-36T","View Company Online")</f>
        <v>View Company Online</v>
      </c>
    </row>
    <row r="6456" spans="1:18" hidden="1" x14ac:dyDescent="0.3">
      <c r="A6456" s="9" t="s">
        <v>19560</v>
      </c>
      <c r="B6456" s="9" t="s">
        <v>12369</v>
      </c>
      <c r="C6456" s="11" t="s">
        <v>28</v>
      </c>
      <c r="D6456" s="9" t="s">
        <v>12370</v>
      </c>
      <c r="E6456" s="11" t="s">
        <v>28</v>
      </c>
      <c r="F6456" s="10" t="s">
        <v>28</v>
      </c>
      <c r="G6456" s="10" t="s">
        <v>28</v>
      </c>
      <c r="H6456" s="10" t="s">
        <v>28</v>
      </c>
      <c r="I6456" s="11" t="s">
        <v>28</v>
      </c>
      <c r="J6456" s="11" t="s">
        <v>28</v>
      </c>
      <c r="K6456" s="11" t="s">
        <v>28</v>
      </c>
      <c r="L6456" s="11" t="s">
        <v>28</v>
      </c>
      <c r="M6456" s="11" t="s">
        <v>28</v>
      </c>
      <c r="N6456" s="8">
        <v>43831</v>
      </c>
      <c r="O6456" s="9" t="s">
        <v>52</v>
      </c>
      <c r="P6456" s="12" t="s">
        <v>1880</v>
      </c>
      <c r="Q6456" s="9" t="s">
        <v>75</v>
      </c>
      <c r="R6456" s="14" t="str">
        <f>HYPERLINK("https://my.pitchbook.com?c=274798-99T","View Company Online")</f>
        <v>View Company Online</v>
      </c>
    </row>
    <row r="6457" spans="1:18" hidden="1" x14ac:dyDescent="0.3">
      <c r="A6457" s="15" t="s">
        <v>19561</v>
      </c>
      <c r="B6457" s="15" t="s">
        <v>519</v>
      </c>
      <c r="C6457" s="18" t="s">
        <v>28</v>
      </c>
      <c r="D6457" s="15" t="s">
        <v>520</v>
      </c>
      <c r="E6457" s="18" t="s">
        <v>28</v>
      </c>
      <c r="F6457" s="19" t="s">
        <v>28</v>
      </c>
      <c r="G6457" s="19" t="s">
        <v>28</v>
      </c>
      <c r="H6457" s="19" t="s">
        <v>28</v>
      </c>
      <c r="I6457" s="18" t="s">
        <v>28</v>
      </c>
      <c r="J6457" s="18" t="s">
        <v>28</v>
      </c>
      <c r="K6457" s="18" t="s">
        <v>28</v>
      </c>
      <c r="L6457" s="18" t="s">
        <v>28</v>
      </c>
      <c r="M6457" s="18" t="s">
        <v>28</v>
      </c>
      <c r="N6457" s="17">
        <v>43831</v>
      </c>
      <c r="O6457" s="15" t="s">
        <v>52</v>
      </c>
      <c r="P6457" s="16" t="s">
        <v>2442</v>
      </c>
      <c r="Q6457" s="15" t="s">
        <v>522</v>
      </c>
      <c r="R6457" s="13" t="str">
        <f>HYPERLINK("https://my.pitchbook.com?c=263499-31T","View Company Online")</f>
        <v>View Company Online</v>
      </c>
    </row>
    <row r="6458" spans="1:18" hidden="1" x14ac:dyDescent="0.3">
      <c r="A6458" s="9" t="s">
        <v>19562</v>
      </c>
      <c r="B6458" s="9" t="s">
        <v>19563</v>
      </c>
      <c r="C6458" s="11" t="s">
        <v>28</v>
      </c>
      <c r="D6458" s="9" t="s">
        <v>19564</v>
      </c>
      <c r="E6458" s="11" t="s">
        <v>28</v>
      </c>
      <c r="F6458" s="10" t="s">
        <v>28</v>
      </c>
      <c r="G6458" s="10" t="s">
        <v>28</v>
      </c>
      <c r="H6458" s="10" t="s">
        <v>28</v>
      </c>
      <c r="I6458" s="11" t="s">
        <v>28</v>
      </c>
      <c r="J6458" s="11" t="s">
        <v>28</v>
      </c>
      <c r="K6458" s="11" t="s">
        <v>28</v>
      </c>
      <c r="L6458" s="11" t="s">
        <v>28</v>
      </c>
      <c r="M6458" s="11" t="s">
        <v>28</v>
      </c>
      <c r="N6458" s="8">
        <v>43831</v>
      </c>
      <c r="O6458" s="9" t="s">
        <v>30</v>
      </c>
      <c r="P6458" s="12" t="s">
        <v>18162</v>
      </c>
      <c r="Q6458" s="9" t="s">
        <v>692</v>
      </c>
      <c r="R6458" s="14" t="str">
        <f>HYPERLINK("https://my.pitchbook.com?c=175574-35T","View Company Online")</f>
        <v>View Company Online</v>
      </c>
    </row>
    <row r="6459" spans="1:18" hidden="1" x14ac:dyDescent="0.3">
      <c r="A6459" s="15" t="s">
        <v>19565</v>
      </c>
      <c r="B6459" s="15" t="s">
        <v>13819</v>
      </c>
      <c r="C6459" s="18" t="s">
        <v>28</v>
      </c>
      <c r="D6459" s="15" t="s">
        <v>13820</v>
      </c>
      <c r="E6459" s="18" t="s">
        <v>28</v>
      </c>
      <c r="F6459" s="19" t="s">
        <v>28</v>
      </c>
      <c r="G6459" s="19" t="s">
        <v>28</v>
      </c>
      <c r="H6459" s="19" t="s">
        <v>28</v>
      </c>
      <c r="I6459" s="18" t="s">
        <v>28</v>
      </c>
      <c r="J6459" s="18" t="s">
        <v>28</v>
      </c>
      <c r="K6459" s="18" t="s">
        <v>28</v>
      </c>
      <c r="L6459" s="18" t="s">
        <v>28</v>
      </c>
      <c r="M6459" s="18" t="s">
        <v>28</v>
      </c>
      <c r="N6459" s="17">
        <v>43831</v>
      </c>
      <c r="O6459" s="15" t="s">
        <v>41</v>
      </c>
      <c r="P6459" s="16" t="s">
        <v>19566</v>
      </c>
      <c r="Q6459" s="15" t="s">
        <v>2043</v>
      </c>
      <c r="R6459" s="13" t="str">
        <f>HYPERLINK("https://my.pitchbook.com?c=224356-51T","View Company Online")</f>
        <v>View Company Online</v>
      </c>
    </row>
    <row r="6460" spans="1:18" hidden="1" x14ac:dyDescent="0.3">
      <c r="A6460" s="9" t="s">
        <v>19567</v>
      </c>
      <c r="B6460" s="9" t="s">
        <v>12384</v>
      </c>
      <c r="C6460" s="11" t="s">
        <v>28</v>
      </c>
      <c r="D6460" s="9" t="s">
        <v>12385</v>
      </c>
      <c r="E6460" s="11" t="s">
        <v>28</v>
      </c>
      <c r="F6460" s="10" t="s">
        <v>28</v>
      </c>
      <c r="G6460" s="10" t="s">
        <v>28</v>
      </c>
      <c r="H6460" s="10" t="s">
        <v>28</v>
      </c>
      <c r="I6460" s="11" t="s">
        <v>28</v>
      </c>
      <c r="J6460" s="11" t="s">
        <v>28</v>
      </c>
      <c r="K6460" s="11" t="s">
        <v>28</v>
      </c>
      <c r="L6460" s="11" t="s">
        <v>28</v>
      </c>
      <c r="M6460" s="11" t="s">
        <v>28</v>
      </c>
      <c r="N6460" s="8">
        <v>43831</v>
      </c>
      <c r="O6460" s="9" t="s">
        <v>52</v>
      </c>
      <c r="P6460" s="12" t="s">
        <v>7737</v>
      </c>
      <c r="Q6460" s="9" t="s">
        <v>75</v>
      </c>
      <c r="R6460" s="14" t="str">
        <f>HYPERLINK("https://my.pitchbook.com?c=219570-04T","View Company Online")</f>
        <v>View Company Online</v>
      </c>
    </row>
    <row r="6461" spans="1:18" hidden="1" x14ac:dyDescent="0.3">
      <c r="A6461" s="15" t="s">
        <v>19568</v>
      </c>
      <c r="B6461" s="15" t="s">
        <v>19569</v>
      </c>
      <c r="C6461" s="18" t="s">
        <v>28</v>
      </c>
      <c r="D6461" s="15" t="s">
        <v>19570</v>
      </c>
      <c r="E6461" s="18" t="s">
        <v>28</v>
      </c>
      <c r="F6461" s="19" t="s">
        <v>28</v>
      </c>
      <c r="G6461" s="19" t="s">
        <v>28</v>
      </c>
      <c r="H6461" s="19" t="s">
        <v>28</v>
      </c>
      <c r="I6461" s="18" t="s">
        <v>28</v>
      </c>
      <c r="J6461" s="18" t="s">
        <v>28</v>
      </c>
      <c r="K6461" s="18" t="s">
        <v>28</v>
      </c>
      <c r="L6461" s="18" t="s">
        <v>28</v>
      </c>
      <c r="M6461" s="18" t="s">
        <v>28</v>
      </c>
      <c r="N6461" s="17">
        <v>43831</v>
      </c>
      <c r="O6461" s="15" t="s">
        <v>52</v>
      </c>
      <c r="P6461" s="16" t="s">
        <v>2442</v>
      </c>
      <c r="Q6461" s="15" t="s">
        <v>75</v>
      </c>
      <c r="R6461" s="13" t="str">
        <f>HYPERLINK("https://my.pitchbook.com?c=262518-76T","View Company Online")</f>
        <v>View Company Online</v>
      </c>
    </row>
    <row r="6462" spans="1:18" hidden="1" x14ac:dyDescent="0.3">
      <c r="A6462" s="9" t="s">
        <v>19571</v>
      </c>
      <c r="B6462" s="9" t="s">
        <v>9824</v>
      </c>
      <c r="C6462" s="11" t="s">
        <v>28</v>
      </c>
      <c r="D6462" s="9" t="s">
        <v>9825</v>
      </c>
      <c r="E6462" s="11" t="s">
        <v>28</v>
      </c>
      <c r="F6462" s="10" t="s">
        <v>28</v>
      </c>
      <c r="G6462" s="10" t="s">
        <v>28</v>
      </c>
      <c r="H6462" s="10" t="s">
        <v>28</v>
      </c>
      <c r="I6462" s="11" t="s">
        <v>28</v>
      </c>
      <c r="J6462" s="11" t="s">
        <v>28</v>
      </c>
      <c r="K6462" s="11" t="s">
        <v>28</v>
      </c>
      <c r="L6462" s="11" t="s">
        <v>28</v>
      </c>
      <c r="M6462" s="11" t="s">
        <v>28</v>
      </c>
      <c r="N6462" s="8">
        <v>43831</v>
      </c>
      <c r="O6462" s="9" t="s">
        <v>52</v>
      </c>
      <c r="P6462" s="12" t="s">
        <v>8261</v>
      </c>
      <c r="Q6462" s="9" t="s">
        <v>75</v>
      </c>
      <c r="R6462" s="14" t="str">
        <f>HYPERLINK("https://my.pitchbook.com?c=215855-65T","View Company Online")</f>
        <v>View Company Online</v>
      </c>
    </row>
    <row r="6463" spans="1:18" hidden="1" x14ac:dyDescent="0.3">
      <c r="A6463" s="15" t="s">
        <v>19572</v>
      </c>
      <c r="B6463" s="15" t="s">
        <v>15280</v>
      </c>
      <c r="C6463" s="18" t="s">
        <v>28</v>
      </c>
      <c r="D6463" s="15" t="s">
        <v>15281</v>
      </c>
      <c r="E6463" s="18" t="s">
        <v>28</v>
      </c>
      <c r="F6463" s="19" t="s">
        <v>28</v>
      </c>
      <c r="G6463" s="19">
        <v>0.37</v>
      </c>
      <c r="H6463" s="19" t="s">
        <v>28</v>
      </c>
      <c r="I6463" s="18" t="s">
        <v>28</v>
      </c>
      <c r="J6463" s="18" t="s">
        <v>28</v>
      </c>
      <c r="K6463" s="18" t="s">
        <v>28</v>
      </c>
      <c r="L6463" s="18" t="s">
        <v>28</v>
      </c>
      <c r="M6463" s="18" t="s">
        <v>28</v>
      </c>
      <c r="N6463" s="17">
        <v>43831</v>
      </c>
      <c r="O6463" s="15" t="s">
        <v>9098</v>
      </c>
      <c r="P6463" s="16" t="s">
        <v>28</v>
      </c>
      <c r="Q6463" s="15" t="s">
        <v>136</v>
      </c>
      <c r="R6463" s="13" t="str">
        <f>HYPERLINK("https://my.pitchbook.com?c=227042-47T","View Company Online")</f>
        <v>View Company Online</v>
      </c>
    </row>
    <row r="6464" spans="1:18" hidden="1" x14ac:dyDescent="0.3">
      <c r="A6464" s="9" t="s">
        <v>19573</v>
      </c>
      <c r="B6464" s="9" t="s">
        <v>11158</v>
      </c>
      <c r="C6464" s="11" t="s">
        <v>28</v>
      </c>
      <c r="D6464" s="9" t="s">
        <v>11159</v>
      </c>
      <c r="E6464" s="11" t="s">
        <v>28</v>
      </c>
      <c r="F6464" s="10" t="s">
        <v>28</v>
      </c>
      <c r="G6464" s="10" t="s">
        <v>28</v>
      </c>
      <c r="H6464" s="10" t="s">
        <v>28</v>
      </c>
      <c r="I6464" s="11" t="s">
        <v>28</v>
      </c>
      <c r="J6464" s="11" t="s">
        <v>28</v>
      </c>
      <c r="K6464" s="11" t="s">
        <v>28</v>
      </c>
      <c r="L6464" s="11" t="s">
        <v>28</v>
      </c>
      <c r="M6464" s="11" t="s">
        <v>28</v>
      </c>
      <c r="N6464" s="8">
        <v>43831</v>
      </c>
      <c r="O6464" s="9" t="s">
        <v>30</v>
      </c>
      <c r="P6464" s="12" t="s">
        <v>13674</v>
      </c>
      <c r="Q6464" s="9" t="s">
        <v>245</v>
      </c>
      <c r="R6464" s="14" t="str">
        <f>HYPERLINK("https://my.pitchbook.com?c=209161-72T","View Company Online")</f>
        <v>View Company Online</v>
      </c>
    </row>
    <row r="6465" spans="1:18" hidden="1" x14ac:dyDescent="0.3">
      <c r="A6465" s="15" t="s">
        <v>19574</v>
      </c>
      <c r="B6465" s="15" t="s">
        <v>19575</v>
      </c>
      <c r="C6465" s="18" t="s">
        <v>28</v>
      </c>
      <c r="D6465" s="15" t="s">
        <v>19576</v>
      </c>
      <c r="E6465" s="18" t="s">
        <v>28</v>
      </c>
      <c r="F6465" s="19" t="s">
        <v>28</v>
      </c>
      <c r="G6465" s="19" t="s">
        <v>28</v>
      </c>
      <c r="H6465" s="19" t="s">
        <v>28</v>
      </c>
      <c r="I6465" s="18" t="s">
        <v>28</v>
      </c>
      <c r="J6465" s="18" t="s">
        <v>28</v>
      </c>
      <c r="K6465" s="18" t="s">
        <v>28</v>
      </c>
      <c r="L6465" s="18" t="s">
        <v>28</v>
      </c>
      <c r="M6465" s="18" t="s">
        <v>28</v>
      </c>
      <c r="N6465" s="17">
        <v>43831</v>
      </c>
      <c r="O6465" s="15" t="s">
        <v>52</v>
      </c>
      <c r="P6465" s="16" t="s">
        <v>2830</v>
      </c>
      <c r="Q6465" s="15" t="s">
        <v>10419</v>
      </c>
      <c r="R6465" s="13" t="str">
        <f>HYPERLINK("https://my.pitchbook.com?c=292636-81T","View Company Online")</f>
        <v>View Company Online</v>
      </c>
    </row>
    <row r="6466" spans="1:18" hidden="1" x14ac:dyDescent="0.3">
      <c r="A6466" s="9" t="s">
        <v>19577</v>
      </c>
      <c r="B6466" s="9" t="s">
        <v>5585</v>
      </c>
      <c r="C6466" s="11" t="s">
        <v>28</v>
      </c>
      <c r="D6466" s="9" t="s">
        <v>5586</v>
      </c>
      <c r="E6466" s="11" t="s">
        <v>28</v>
      </c>
      <c r="F6466" s="10" t="s">
        <v>28</v>
      </c>
      <c r="G6466" s="10" t="s">
        <v>28</v>
      </c>
      <c r="H6466" s="10" t="s">
        <v>28</v>
      </c>
      <c r="I6466" s="11" t="s">
        <v>28</v>
      </c>
      <c r="J6466" s="11" t="s">
        <v>28</v>
      </c>
      <c r="K6466" s="11" t="s">
        <v>28</v>
      </c>
      <c r="L6466" s="11" t="s">
        <v>28</v>
      </c>
      <c r="M6466" s="11" t="s">
        <v>28</v>
      </c>
      <c r="N6466" s="8">
        <v>43831</v>
      </c>
      <c r="O6466" s="9" t="s">
        <v>73</v>
      </c>
      <c r="P6466" s="12" t="s">
        <v>2974</v>
      </c>
      <c r="Q6466" s="9" t="s">
        <v>37</v>
      </c>
      <c r="R6466" s="14" t="str">
        <f>HYPERLINK("https://my.pitchbook.com?c=178977-61T","View Company Online")</f>
        <v>View Company Online</v>
      </c>
    </row>
    <row r="6467" spans="1:18" hidden="1" x14ac:dyDescent="0.3">
      <c r="A6467" s="15" t="s">
        <v>19578</v>
      </c>
      <c r="B6467" s="15" t="s">
        <v>401</v>
      </c>
      <c r="C6467" s="18" t="s">
        <v>28</v>
      </c>
      <c r="D6467" s="15" t="s">
        <v>402</v>
      </c>
      <c r="E6467" s="18" t="s">
        <v>28</v>
      </c>
      <c r="F6467" s="19" t="s">
        <v>28</v>
      </c>
      <c r="G6467" s="19" t="s">
        <v>28</v>
      </c>
      <c r="H6467" s="19" t="s">
        <v>28</v>
      </c>
      <c r="I6467" s="18" t="s">
        <v>28</v>
      </c>
      <c r="J6467" s="18" t="s">
        <v>28</v>
      </c>
      <c r="K6467" s="18" t="s">
        <v>28</v>
      </c>
      <c r="L6467" s="18" t="s">
        <v>28</v>
      </c>
      <c r="M6467" s="18" t="s">
        <v>28</v>
      </c>
      <c r="N6467" s="17">
        <v>43831</v>
      </c>
      <c r="O6467" s="15" t="s">
        <v>52</v>
      </c>
      <c r="P6467" s="16" t="s">
        <v>2442</v>
      </c>
      <c r="Q6467" s="15" t="s">
        <v>404</v>
      </c>
      <c r="R6467" s="13" t="str">
        <f>HYPERLINK("https://my.pitchbook.com?c=263336-14T","View Company Online")</f>
        <v>View Company Online</v>
      </c>
    </row>
    <row r="6468" spans="1:18" hidden="1" x14ac:dyDescent="0.3">
      <c r="A6468" s="9" t="s">
        <v>19579</v>
      </c>
      <c r="B6468" s="9" t="s">
        <v>4247</v>
      </c>
      <c r="C6468" s="11" t="s">
        <v>28</v>
      </c>
      <c r="D6468" s="9" t="s">
        <v>4248</v>
      </c>
      <c r="E6468" s="11" t="s">
        <v>28</v>
      </c>
      <c r="F6468" s="10" t="s">
        <v>28</v>
      </c>
      <c r="G6468" s="10" t="s">
        <v>28</v>
      </c>
      <c r="H6468" s="10" t="s">
        <v>28</v>
      </c>
      <c r="I6468" s="11" t="s">
        <v>28</v>
      </c>
      <c r="J6468" s="11" t="s">
        <v>28</v>
      </c>
      <c r="K6468" s="11" t="s">
        <v>28</v>
      </c>
      <c r="L6468" s="11" t="s">
        <v>28</v>
      </c>
      <c r="M6468" s="11" t="s">
        <v>28</v>
      </c>
      <c r="N6468" s="8">
        <v>43831</v>
      </c>
      <c r="O6468" s="9" t="s">
        <v>52</v>
      </c>
      <c r="P6468" s="12" t="s">
        <v>2442</v>
      </c>
      <c r="Q6468" s="9" t="s">
        <v>37</v>
      </c>
      <c r="R6468" s="14" t="str">
        <f>HYPERLINK("https://my.pitchbook.com?c=261625-96T","View Company Online")</f>
        <v>View Company Online</v>
      </c>
    </row>
    <row r="6469" spans="1:18" hidden="1" x14ac:dyDescent="0.3">
      <c r="A6469" s="15" t="s">
        <v>19580</v>
      </c>
      <c r="B6469" s="15" t="s">
        <v>6852</v>
      </c>
      <c r="C6469" s="18" t="s">
        <v>28</v>
      </c>
      <c r="D6469" s="15" t="s">
        <v>6853</v>
      </c>
      <c r="E6469" s="18" t="s">
        <v>28</v>
      </c>
      <c r="F6469" s="19" t="s">
        <v>28</v>
      </c>
      <c r="G6469" s="19" t="s">
        <v>28</v>
      </c>
      <c r="H6469" s="19" t="s">
        <v>28</v>
      </c>
      <c r="I6469" s="18" t="s">
        <v>28</v>
      </c>
      <c r="J6469" s="18" t="s">
        <v>28</v>
      </c>
      <c r="K6469" s="18" t="s">
        <v>28</v>
      </c>
      <c r="L6469" s="18" t="s">
        <v>28</v>
      </c>
      <c r="M6469" s="18" t="s">
        <v>28</v>
      </c>
      <c r="N6469" s="17">
        <v>43831</v>
      </c>
      <c r="O6469" s="15" t="s">
        <v>52</v>
      </c>
      <c r="P6469" s="16" t="s">
        <v>7737</v>
      </c>
      <c r="Q6469" s="15" t="s">
        <v>75</v>
      </c>
      <c r="R6469" s="13" t="str">
        <f>HYPERLINK("https://my.pitchbook.com?c=219548-44T","View Company Online")</f>
        <v>View Company Online</v>
      </c>
    </row>
    <row r="6470" spans="1:18" hidden="1" x14ac:dyDescent="0.3">
      <c r="A6470" s="9" t="s">
        <v>19581</v>
      </c>
      <c r="B6470" s="9" t="s">
        <v>19346</v>
      </c>
      <c r="C6470" s="11" t="s">
        <v>28</v>
      </c>
      <c r="D6470" s="9" t="s">
        <v>19347</v>
      </c>
      <c r="E6470" s="11" t="s">
        <v>28</v>
      </c>
      <c r="F6470" s="10" t="s">
        <v>28</v>
      </c>
      <c r="G6470" s="10" t="s">
        <v>28</v>
      </c>
      <c r="H6470" s="10" t="s">
        <v>28</v>
      </c>
      <c r="I6470" s="11" t="s">
        <v>28</v>
      </c>
      <c r="J6470" s="11" t="s">
        <v>28</v>
      </c>
      <c r="K6470" s="11">
        <v>0.51</v>
      </c>
      <c r="L6470" s="11" t="s">
        <v>28</v>
      </c>
      <c r="M6470" s="11" t="s">
        <v>28</v>
      </c>
      <c r="N6470" s="8">
        <v>43831</v>
      </c>
      <c r="O6470" s="9" t="s">
        <v>52</v>
      </c>
      <c r="P6470" s="12" t="s">
        <v>2830</v>
      </c>
      <c r="Q6470" s="9" t="s">
        <v>371</v>
      </c>
      <c r="R6470" s="14" t="str">
        <f>HYPERLINK("https://my.pitchbook.com?c=266593-06T","View Company Online")</f>
        <v>View Company Online</v>
      </c>
    </row>
    <row r="6471" spans="1:18" hidden="1" x14ac:dyDescent="0.3">
      <c r="A6471" s="15" t="s">
        <v>19582</v>
      </c>
      <c r="B6471" s="15" t="s">
        <v>5171</v>
      </c>
      <c r="C6471" s="18" t="s">
        <v>28</v>
      </c>
      <c r="D6471" s="15" t="s">
        <v>5172</v>
      </c>
      <c r="E6471" s="18" t="s">
        <v>28</v>
      </c>
      <c r="F6471" s="19" t="s">
        <v>28</v>
      </c>
      <c r="G6471" s="19">
        <v>2.2999999999999998</v>
      </c>
      <c r="H6471" s="19" t="s">
        <v>28</v>
      </c>
      <c r="I6471" s="18" t="s">
        <v>28</v>
      </c>
      <c r="J6471" s="18" t="s">
        <v>28</v>
      </c>
      <c r="K6471" s="18">
        <v>0.25</v>
      </c>
      <c r="L6471" s="18" t="s">
        <v>28</v>
      </c>
      <c r="M6471" s="18" t="s">
        <v>28</v>
      </c>
      <c r="N6471" s="17">
        <v>43831</v>
      </c>
      <c r="O6471" s="15" t="s">
        <v>99</v>
      </c>
      <c r="P6471" s="16" t="s">
        <v>19583</v>
      </c>
      <c r="Q6471" s="15" t="s">
        <v>37</v>
      </c>
      <c r="R6471" s="13" t="str">
        <f>HYPERLINK("https://my.pitchbook.com?c=128354-86T","View Company Online")</f>
        <v>View Company Online</v>
      </c>
    </row>
    <row r="6472" spans="1:18" hidden="1" x14ac:dyDescent="0.3">
      <c r="A6472" s="9" t="s">
        <v>19584</v>
      </c>
      <c r="B6472" s="9" t="s">
        <v>16322</v>
      </c>
      <c r="C6472" s="11" t="s">
        <v>28</v>
      </c>
      <c r="D6472" s="9" t="s">
        <v>16323</v>
      </c>
      <c r="E6472" s="11" t="s">
        <v>28</v>
      </c>
      <c r="F6472" s="10" t="s">
        <v>28</v>
      </c>
      <c r="G6472" s="10">
        <v>0.03</v>
      </c>
      <c r="H6472" s="10" t="s">
        <v>28</v>
      </c>
      <c r="I6472" s="11" t="s">
        <v>28</v>
      </c>
      <c r="J6472" s="11" t="s">
        <v>28</v>
      </c>
      <c r="K6472" s="11" t="s">
        <v>28</v>
      </c>
      <c r="L6472" s="11" t="s">
        <v>28</v>
      </c>
      <c r="M6472" s="11" t="s">
        <v>28</v>
      </c>
      <c r="N6472" s="8">
        <v>43831</v>
      </c>
      <c r="O6472" s="9" t="s">
        <v>47</v>
      </c>
      <c r="P6472" s="12" t="s">
        <v>28</v>
      </c>
      <c r="Q6472" s="9" t="s">
        <v>37</v>
      </c>
      <c r="R6472" s="14" t="str">
        <f>HYPERLINK("https://my.pitchbook.com?c=207233-74T","View Company Online")</f>
        <v>View Company Online</v>
      </c>
    </row>
    <row r="6473" spans="1:18" hidden="1" x14ac:dyDescent="0.3">
      <c r="A6473" s="15" t="s">
        <v>19585</v>
      </c>
      <c r="B6473" s="15" t="s">
        <v>19586</v>
      </c>
      <c r="C6473" s="18" t="s">
        <v>28</v>
      </c>
      <c r="D6473" s="15" t="s">
        <v>19587</v>
      </c>
      <c r="E6473" s="18" t="s">
        <v>28</v>
      </c>
      <c r="F6473" s="19" t="s">
        <v>28</v>
      </c>
      <c r="G6473" s="19" t="s">
        <v>28</v>
      </c>
      <c r="H6473" s="19" t="s">
        <v>28</v>
      </c>
      <c r="I6473" s="18" t="s">
        <v>28</v>
      </c>
      <c r="J6473" s="18" t="s">
        <v>28</v>
      </c>
      <c r="K6473" s="18" t="s">
        <v>28</v>
      </c>
      <c r="L6473" s="18" t="s">
        <v>28</v>
      </c>
      <c r="M6473" s="18" t="s">
        <v>28</v>
      </c>
      <c r="N6473" s="17">
        <v>43831</v>
      </c>
      <c r="O6473" s="15" t="s">
        <v>30</v>
      </c>
      <c r="P6473" s="16" t="s">
        <v>19588</v>
      </c>
      <c r="Q6473" s="15" t="s">
        <v>880</v>
      </c>
      <c r="R6473" s="13" t="str">
        <f>HYPERLINK("https://my.pitchbook.com?c=268765-21T","View Company Online")</f>
        <v>View Company Online</v>
      </c>
    </row>
    <row r="6474" spans="1:18" hidden="1" x14ac:dyDescent="0.3">
      <c r="A6474" s="9" t="s">
        <v>19589</v>
      </c>
      <c r="B6474" s="9" t="s">
        <v>5706</v>
      </c>
      <c r="C6474" s="11" t="s">
        <v>28</v>
      </c>
      <c r="D6474" s="9" t="s">
        <v>5707</v>
      </c>
      <c r="E6474" s="11" t="s">
        <v>28</v>
      </c>
      <c r="F6474" s="10" t="s">
        <v>28</v>
      </c>
      <c r="G6474" s="10">
        <v>0.24</v>
      </c>
      <c r="H6474" s="10" t="s">
        <v>28</v>
      </c>
      <c r="I6474" s="11" t="s">
        <v>28</v>
      </c>
      <c r="J6474" s="11" t="s">
        <v>28</v>
      </c>
      <c r="K6474" s="11" t="s">
        <v>28</v>
      </c>
      <c r="L6474" s="11" t="s">
        <v>28</v>
      </c>
      <c r="M6474" s="11" t="s">
        <v>28</v>
      </c>
      <c r="N6474" s="8">
        <v>43831</v>
      </c>
      <c r="O6474" s="9" t="s">
        <v>73</v>
      </c>
      <c r="P6474" s="12" t="s">
        <v>19590</v>
      </c>
      <c r="Q6474" s="9" t="s">
        <v>75</v>
      </c>
      <c r="R6474" s="14" t="str">
        <f>HYPERLINK("https://my.pitchbook.com?c=185219-56T","View Company Online")</f>
        <v>View Company Online</v>
      </c>
    </row>
    <row r="6475" spans="1:18" hidden="1" x14ac:dyDescent="0.3">
      <c r="A6475" s="15" t="s">
        <v>19591</v>
      </c>
      <c r="B6475" s="15" t="s">
        <v>19592</v>
      </c>
      <c r="C6475" s="18" t="s">
        <v>28</v>
      </c>
      <c r="D6475" s="15" t="s">
        <v>19593</v>
      </c>
      <c r="E6475" s="18" t="s">
        <v>28</v>
      </c>
      <c r="F6475" s="19" t="s">
        <v>28</v>
      </c>
      <c r="G6475" s="19" t="s">
        <v>28</v>
      </c>
      <c r="H6475" s="19" t="s">
        <v>28</v>
      </c>
      <c r="I6475" s="18" t="s">
        <v>28</v>
      </c>
      <c r="J6475" s="18" t="s">
        <v>28</v>
      </c>
      <c r="K6475" s="18" t="s">
        <v>28</v>
      </c>
      <c r="L6475" s="18" t="s">
        <v>28</v>
      </c>
      <c r="M6475" s="18" t="s">
        <v>28</v>
      </c>
      <c r="N6475" s="17">
        <v>43831</v>
      </c>
      <c r="O6475" s="15" t="s">
        <v>52</v>
      </c>
      <c r="P6475" s="16" t="s">
        <v>19594</v>
      </c>
      <c r="Q6475" s="15" t="s">
        <v>136</v>
      </c>
      <c r="R6475" s="13" t="str">
        <f>HYPERLINK("https://my.pitchbook.com?c=269534-44T","View Company Online")</f>
        <v>View Company Online</v>
      </c>
    </row>
    <row r="6476" spans="1:18" hidden="1" x14ac:dyDescent="0.3">
      <c r="A6476" s="9" t="s">
        <v>19595</v>
      </c>
      <c r="B6476" s="9" t="s">
        <v>16588</v>
      </c>
      <c r="C6476" s="11" t="s">
        <v>28</v>
      </c>
      <c r="D6476" s="9" t="s">
        <v>16589</v>
      </c>
      <c r="E6476" s="11" t="s">
        <v>28</v>
      </c>
      <c r="F6476" s="10" t="s">
        <v>28</v>
      </c>
      <c r="G6476" s="10" t="s">
        <v>28</v>
      </c>
      <c r="H6476" s="10" t="s">
        <v>28</v>
      </c>
      <c r="I6476" s="11" t="s">
        <v>28</v>
      </c>
      <c r="J6476" s="11" t="s">
        <v>28</v>
      </c>
      <c r="K6476" s="11" t="s">
        <v>28</v>
      </c>
      <c r="L6476" s="11" t="s">
        <v>28</v>
      </c>
      <c r="M6476" s="11" t="s">
        <v>28</v>
      </c>
      <c r="N6476" s="8">
        <v>43831</v>
      </c>
      <c r="O6476" s="9" t="s">
        <v>52</v>
      </c>
      <c r="P6476" s="12" t="s">
        <v>2442</v>
      </c>
      <c r="Q6476" s="9" t="s">
        <v>37</v>
      </c>
      <c r="R6476" s="14" t="str">
        <f>HYPERLINK("https://my.pitchbook.com?c=266769-37T","View Company Online")</f>
        <v>View Company Online</v>
      </c>
    </row>
    <row r="6477" spans="1:18" hidden="1" x14ac:dyDescent="0.3">
      <c r="A6477" s="15" t="s">
        <v>19596</v>
      </c>
      <c r="B6477" s="15" t="s">
        <v>7319</v>
      </c>
      <c r="C6477" s="18" t="s">
        <v>28</v>
      </c>
      <c r="D6477" s="15" t="s">
        <v>7320</v>
      </c>
      <c r="E6477" s="18" t="s">
        <v>28</v>
      </c>
      <c r="F6477" s="19" t="s">
        <v>28</v>
      </c>
      <c r="G6477" s="19" t="s">
        <v>28</v>
      </c>
      <c r="H6477" s="19" t="s">
        <v>28</v>
      </c>
      <c r="I6477" s="18" t="s">
        <v>28</v>
      </c>
      <c r="J6477" s="18" t="s">
        <v>28</v>
      </c>
      <c r="K6477" s="18" t="s">
        <v>28</v>
      </c>
      <c r="L6477" s="18" t="s">
        <v>28</v>
      </c>
      <c r="M6477" s="18" t="s">
        <v>28</v>
      </c>
      <c r="N6477" s="17">
        <v>43831</v>
      </c>
      <c r="O6477" s="15" t="s">
        <v>52</v>
      </c>
      <c r="P6477" s="16" t="s">
        <v>2442</v>
      </c>
      <c r="Q6477" s="15" t="s">
        <v>37</v>
      </c>
      <c r="R6477" s="13" t="str">
        <f>HYPERLINK("https://my.pitchbook.com?c=264450-25T","View Company Online")</f>
        <v>View Company Online</v>
      </c>
    </row>
    <row r="6478" spans="1:18" hidden="1" x14ac:dyDescent="0.3">
      <c r="A6478" s="9" t="s">
        <v>19597</v>
      </c>
      <c r="B6478" s="9" t="s">
        <v>12445</v>
      </c>
      <c r="C6478" s="11" t="s">
        <v>28</v>
      </c>
      <c r="D6478" s="9" t="s">
        <v>12446</v>
      </c>
      <c r="E6478" s="11" t="s">
        <v>28</v>
      </c>
      <c r="F6478" s="10" t="s">
        <v>28</v>
      </c>
      <c r="G6478" s="10" t="s">
        <v>28</v>
      </c>
      <c r="H6478" s="10" t="s">
        <v>28</v>
      </c>
      <c r="I6478" s="11" t="s">
        <v>28</v>
      </c>
      <c r="J6478" s="11" t="s">
        <v>28</v>
      </c>
      <c r="K6478" s="11" t="s">
        <v>28</v>
      </c>
      <c r="L6478" s="11" t="s">
        <v>28</v>
      </c>
      <c r="M6478" s="11" t="s">
        <v>28</v>
      </c>
      <c r="N6478" s="8">
        <v>43831</v>
      </c>
      <c r="O6478" s="9" t="s">
        <v>52</v>
      </c>
      <c r="P6478" s="12" t="s">
        <v>2442</v>
      </c>
      <c r="Q6478" s="9" t="s">
        <v>75</v>
      </c>
      <c r="R6478" s="14" t="str">
        <f>HYPERLINK("https://my.pitchbook.com?c=267685-84T","View Company Online")</f>
        <v>View Company Online</v>
      </c>
    </row>
    <row r="6479" spans="1:18" hidden="1" x14ac:dyDescent="0.3">
      <c r="A6479" s="15" t="s">
        <v>19598</v>
      </c>
      <c r="B6479" s="15" t="s">
        <v>19599</v>
      </c>
      <c r="C6479" s="18" t="s">
        <v>28</v>
      </c>
      <c r="D6479" s="15" t="s">
        <v>19600</v>
      </c>
      <c r="E6479" s="18" t="s">
        <v>28</v>
      </c>
      <c r="F6479" s="19" t="s">
        <v>28</v>
      </c>
      <c r="G6479" s="19" t="s">
        <v>28</v>
      </c>
      <c r="H6479" s="19" t="s">
        <v>28</v>
      </c>
      <c r="I6479" s="18" t="s">
        <v>28</v>
      </c>
      <c r="J6479" s="18" t="s">
        <v>28</v>
      </c>
      <c r="K6479" s="18" t="s">
        <v>28</v>
      </c>
      <c r="L6479" s="18" t="s">
        <v>28</v>
      </c>
      <c r="M6479" s="18" t="s">
        <v>28</v>
      </c>
      <c r="N6479" s="17">
        <v>43831</v>
      </c>
      <c r="O6479" s="15" t="s">
        <v>379</v>
      </c>
      <c r="P6479" s="16" t="s">
        <v>28</v>
      </c>
      <c r="Q6479" s="15" t="s">
        <v>855</v>
      </c>
      <c r="R6479" s="13" t="str">
        <f>HYPERLINK("https://my.pitchbook.com?c=266705-29T","View Company Online")</f>
        <v>View Company Online</v>
      </c>
    </row>
    <row r="6480" spans="1:18" hidden="1" x14ac:dyDescent="0.3">
      <c r="A6480" s="9" t="s">
        <v>19601</v>
      </c>
      <c r="B6480" s="9" t="s">
        <v>19602</v>
      </c>
      <c r="C6480" s="11" t="s">
        <v>28</v>
      </c>
      <c r="D6480" s="9" t="s">
        <v>19603</v>
      </c>
      <c r="E6480" s="11" t="s">
        <v>28</v>
      </c>
      <c r="F6480" s="10" t="s">
        <v>28</v>
      </c>
      <c r="G6480" s="10" t="s">
        <v>28</v>
      </c>
      <c r="H6480" s="10" t="s">
        <v>28</v>
      </c>
      <c r="I6480" s="11" t="s">
        <v>28</v>
      </c>
      <c r="J6480" s="11" t="s">
        <v>28</v>
      </c>
      <c r="K6480" s="11" t="s">
        <v>28</v>
      </c>
      <c r="L6480" s="11" t="s">
        <v>28</v>
      </c>
      <c r="M6480" s="11" t="s">
        <v>28</v>
      </c>
      <c r="N6480" s="8">
        <v>43831</v>
      </c>
      <c r="O6480" s="9" t="s">
        <v>30</v>
      </c>
      <c r="P6480" s="12" t="s">
        <v>18162</v>
      </c>
      <c r="Q6480" s="9" t="s">
        <v>692</v>
      </c>
      <c r="R6480" s="14" t="str">
        <f>HYPERLINK("https://my.pitchbook.com?c=175576-06T","View Company Online")</f>
        <v>View Company Online</v>
      </c>
    </row>
    <row r="6481" spans="1:18" hidden="1" x14ac:dyDescent="0.3">
      <c r="A6481" s="15" t="s">
        <v>19604</v>
      </c>
      <c r="B6481" s="15" t="s">
        <v>4420</v>
      </c>
      <c r="C6481" s="18" t="s">
        <v>28</v>
      </c>
      <c r="D6481" s="15" t="s">
        <v>4421</v>
      </c>
      <c r="E6481" s="18" t="s">
        <v>28</v>
      </c>
      <c r="F6481" s="19" t="s">
        <v>28</v>
      </c>
      <c r="G6481" s="19" t="s">
        <v>28</v>
      </c>
      <c r="H6481" s="19" t="s">
        <v>28</v>
      </c>
      <c r="I6481" s="18" t="s">
        <v>28</v>
      </c>
      <c r="J6481" s="18" t="s">
        <v>28</v>
      </c>
      <c r="K6481" s="18" t="s">
        <v>28</v>
      </c>
      <c r="L6481" s="18" t="s">
        <v>28</v>
      </c>
      <c r="M6481" s="18" t="s">
        <v>28</v>
      </c>
      <c r="N6481" s="17">
        <v>43831</v>
      </c>
      <c r="O6481" s="15" t="s">
        <v>73</v>
      </c>
      <c r="P6481" s="16" t="s">
        <v>5679</v>
      </c>
      <c r="Q6481" s="15" t="s">
        <v>419</v>
      </c>
      <c r="R6481" s="13" t="str">
        <f>HYPERLINK("https://my.pitchbook.com?c=207584-56T","View Company Online")</f>
        <v>View Company Online</v>
      </c>
    </row>
    <row r="6482" spans="1:18" hidden="1" x14ac:dyDescent="0.3">
      <c r="A6482" s="9" t="s">
        <v>19605</v>
      </c>
      <c r="B6482" s="9" t="s">
        <v>19606</v>
      </c>
      <c r="C6482" s="11" t="s">
        <v>28</v>
      </c>
      <c r="D6482" s="9" t="s">
        <v>19607</v>
      </c>
      <c r="E6482" s="11" t="s">
        <v>28</v>
      </c>
      <c r="F6482" s="10" t="s">
        <v>28</v>
      </c>
      <c r="G6482" s="10" t="s">
        <v>28</v>
      </c>
      <c r="H6482" s="10" t="s">
        <v>28</v>
      </c>
      <c r="I6482" s="11" t="s">
        <v>28</v>
      </c>
      <c r="J6482" s="11" t="s">
        <v>28</v>
      </c>
      <c r="K6482" s="11" t="s">
        <v>28</v>
      </c>
      <c r="L6482" s="11" t="s">
        <v>28</v>
      </c>
      <c r="M6482" s="11" t="s">
        <v>28</v>
      </c>
      <c r="N6482" s="8">
        <v>43831</v>
      </c>
      <c r="O6482" s="9" t="s">
        <v>52</v>
      </c>
      <c r="P6482" s="12" t="s">
        <v>2830</v>
      </c>
      <c r="Q6482" s="9" t="s">
        <v>75</v>
      </c>
      <c r="R6482" s="14" t="str">
        <f>HYPERLINK("https://my.pitchbook.com?c=292170-25T","View Company Online")</f>
        <v>View Company Online</v>
      </c>
    </row>
    <row r="6483" spans="1:18" hidden="1" x14ac:dyDescent="0.3">
      <c r="A6483" s="15" t="s">
        <v>19608</v>
      </c>
      <c r="B6483" s="15" t="s">
        <v>6132</v>
      </c>
      <c r="C6483" s="18" t="s">
        <v>28</v>
      </c>
      <c r="D6483" s="15" t="s">
        <v>6133</v>
      </c>
      <c r="E6483" s="18" t="s">
        <v>28</v>
      </c>
      <c r="F6483" s="19" t="s">
        <v>28</v>
      </c>
      <c r="G6483" s="19" t="s">
        <v>28</v>
      </c>
      <c r="H6483" s="19" t="s">
        <v>28</v>
      </c>
      <c r="I6483" s="18" t="s">
        <v>28</v>
      </c>
      <c r="J6483" s="18" t="s">
        <v>28</v>
      </c>
      <c r="K6483" s="18" t="s">
        <v>28</v>
      </c>
      <c r="L6483" s="18" t="s">
        <v>28</v>
      </c>
      <c r="M6483" s="18" t="s">
        <v>28</v>
      </c>
      <c r="N6483" s="17">
        <v>43831</v>
      </c>
      <c r="O6483" s="15" t="s">
        <v>52</v>
      </c>
      <c r="P6483" s="16" t="s">
        <v>5013</v>
      </c>
      <c r="Q6483" s="15" t="s">
        <v>75</v>
      </c>
      <c r="R6483" s="13" t="str">
        <f>HYPERLINK("https://my.pitchbook.com?c=256067-29T","View Company Online")</f>
        <v>View Company Online</v>
      </c>
    </row>
    <row r="6484" spans="1:18" hidden="1" x14ac:dyDescent="0.3">
      <c r="A6484" s="9" t="s">
        <v>19609</v>
      </c>
      <c r="B6484" s="9" t="s">
        <v>3953</v>
      </c>
      <c r="C6484" s="11" t="s">
        <v>28</v>
      </c>
      <c r="D6484" s="9" t="s">
        <v>3954</v>
      </c>
      <c r="E6484" s="11" t="s">
        <v>28</v>
      </c>
      <c r="F6484" s="10" t="s">
        <v>28</v>
      </c>
      <c r="G6484" s="10" t="s">
        <v>28</v>
      </c>
      <c r="H6484" s="10" t="s">
        <v>28</v>
      </c>
      <c r="I6484" s="11" t="s">
        <v>28</v>
      </c>
      <c r="J6484" s="11" t="s">
        <v>28</v>
      </c>
      <c r="K6484" s="11" t="s">
        <v>28</v>
      </c>
      <c r="L6484" s="11" t="s">
        <v>28</v>
      </c>
      <c r="M6484" s="11" t="s">
        <v>28</v>
      </c>
      <c r="N6484" s="8">
        <v>43831</v>
      </c>
      <c r="O6484" s="9" t="s">
        <v>52</v>
      </c>
      <c r="P6484" s="12" t="s">
        <v>2830</v>
      </c>
      <c r="Q6484" s="9" t="s">
        <v>75</v>
      </c>
      <c r="R6484" s="14" t="str">
        <f>HYPERLINK("https://my.pitchbook.com?c=292613-68T","View Company Online")</f>
        <v>View Company Online</v>
      </c>
    </row>
    <row r="6485" spans="1:18" hidden="1" x14ac:dyDescent="0.3">
      <c r="A6485" s="15" t="s">
        <v>19610</v>
      </c>
      <c r="B6485" s="15" t="s">
        <v>12960</v>
      </c>
      <c r="C6485" s="18" t="s">
        <v>28</v>
      </c>
      <c r="D6485" s="15" t="s">
        <v>12961</v>
      </c>
      <c r="E6485" s="18" t="s">
        <v>28</v>
      </c>
      <c r="F6485" s="19" t="s">
        <v>28</v>
      </c>
      <c r="G6485" s="19">
        <v>0.01</v>
      </c>
      <c r="H6485" s="19" t="s">
        <v>28</v>
      </c>
      <c r="I6485" s="18" t="s">
        <v>28</v>
      </c>
      <c r="J6485" s="18" t="s">
        <v>28</v>
      </c>
      <c r="K6485" s="18" t="s">
        <v>28</v>
      </c>
      <c r="L6485" s="18" t="s">
        <v>28</v>
      </c>
      <c r="M6485" s="18" t="s">
        <v>28</v>
      </c>
      <c r="N6485" s="17">
        <v>43831</v>
      </c>
      <c r="O6485" s="15" t="s">
        <v>379</v>
      </c>
      <c r="P6485" s="16" t="s">
        <v>28</v>
      </c>
      <c r="Q6485" s="15" t="s">
        <v>285</v>
      </c>
      <c r="R6485" s="13" t="str">
        <f>HYPERLINK("https://my.pitchbook.com?c=184336-57T","View Company Online")</f>
        <v>View Company Online</v>
      </c>
    </row>
    <row r="6486" spans="1:18" hidden="1" x14ac:dyDescent="0.3">
      <c r="A6486" s="9" t="s">
        <v>19611</v>
      </c>
      <c r="B6486" s="9" t="s">
        <v>7458</v>
      </c>
      <c r="C6486" s="11" t="s">
        <v>28</v>
      </c>
      <c r="D6486" s="9" t="s">
        <v>7459</v>
      </c>
      <c r="E6486" s="11" t="s">
        <v>28</v>
      </c>
      <c r="F6486" s="10" t="s">
        <v>28</v>
      </c>
      <c r="G6486" s="10">
        <v>0.03</v>
      </c>
      <c r="H6486" s="10" t="s">
        <v>28</v>
      </c>
      <c r="I6486" s="11" t="s">
        <v>28</v>
      </c>
      <c r="J6486" s="11" t="s">
        <v>28</v>
      </c>
      <c r="K6486" s="11" t="s">
        <v>28</v>
      </c>
      <c r="L6486" s="11" t="s">
        <v>28</v>
      </c>
      <c r="M6486" s="11" t="s">
        <v>28</v>
      </c>
      <c r="N6486" s="8">
        <v>43831</v>
      </c>
      <c r="O6486" s="9" t="s">
        <v>379</v>
      </c>
      <c r="P6486" s="12" t="s">
        <v>19612</v>
      </c>
      <c r="Q6486" s="9" t="s">
        <v>136</v>
      </c>
      <c r="R6486" s="14" t="str">
        <f>HYPERLINK("https://my.pitchbook.com?c=189682-21T","View Company Online")</f>
        <v>View Company Online</v>
      </c>
    </row>
    <row r="6487" spans="1:18" hidden="1" x14ac:dyDescent="0.3">
      <c r="A6487" s="15" t="s">
        <v>19613</v>
      </c>
      <c r="B6487" s="15" t="s">
        <v>11321</v>
      </c>
      <c r="C6487" s="18" t="s">
        <v>28</v>
      </c>
      <c r="D6487" s="15" t="s">
        <v>11322</v>
      </c>
      <c r="E6487" s="18" t="s">
        <v>28</v>
      </c>
      <c r="F6487" s="19" t="s">
        <v>28</v>
      </c>
      <c r="G6487" s="19">
        <v>0.24</v>
      </c>
      <c r="H6487" s="19" t="s">
        <v>28</v>
      </c>
      <c r="I6487" s="18" t="s">
        <v>28</v>
      </c>
      <c r="J6487" s="18" t="s">
        <v>28</v>
      </c>
      <c r="K6487" s="18" t="s">
        <v>28</v>
      </c>
      <c r="L6487" s="18" t="s">
        <v>28</v>
      </c>
      <c r="M6487" s="18" t="s">
        <v>28</v>
      </c>
      <c r="N6487" s="17">
        <v>43831</v>
      </c>
      <c r="O6487" s="15" t="s">
        <v>99</v>
      </c>
      <c r="P6487" s="16" t="s">
        <v>28</v>
      </c>
      <c r="Q6487" s="15" t="s">
        <v>583</v>
      </c>
      <c r="R6487" s="13" t="str">
        <f>HYPERLINK("https://my.pitchbook.com?c=185938-21T","View Company Online")</f>
        <v>View Company Online</v>
      </c>
    </row>
    <row r="6488" spans="1:18" hidden="1" x14ac:dyDescent="0.3">
      <c r="A6488" s="9" t="s">
        <v>19614</v>
      </c>
      <c r="B6488" s="9" t="s">
        <v>10634</v>
      </c>
      <c r="C6488" s="11" t="s">
        <v>28</v>
      </c>
      <c r="D6488" s="9" t="s">
        <v>10635</v>
      </c>
      <c r="E6488" s="11" t="s">
        <v>28</v>
      </c>
      <c r="F6488" s="10" t="s">
        <v>28</v>
      </c>
      <c r="G6488" s="10">
        <v>0.05</v>
      </c>
      <c r="H6488" s="10" t="s">
        <v>28</v>
      </c>
      <c r="I6488" s="11" t="s">
        <v>28</v>
      </c>
      <c r="J6488" s="11" t="s">
        <v>28</v>
      </c>
      <c r="K6488" s="11" t="s">
        <v>28</v>
      </c>
      <c r="L6488" s="11" t="s">
        <v>28</v>
      </c>
      <c r="M6488" s="11" t="s">
        <v>28</v>
      </c>
      <c r="N6488" s="8">
        <v>43831</v>
      </c>
      <c r="O6488" s="9" t="s">
        <v>52</v>
      </c>
      <c r="P6488" s="12" t="s">
        <v>2864</v>
      </c>
      <c r="Q6488" s="9" t="s">
        <v>75</v>
      </c>
      <c r="R6488" s="14" t="str">
        <f>HYPERLINK("https://my.pitchbook.com?c=202252-06T","View Company Online")</f>
        <v>View Company Online</v>
      </c>
    </row>
    <row r="6489" spans="1:18" hidden="1" x14ac:dyDescent="0.3">
      <c r="A6489" s="15" t="s">
        <v>19615</v>
      </c>
      <c r="B6489" s="15" t="s">
        <v>8970</v>
      </c>
      <c r="C6489" s="18" t="s">
        <v>28</v>
      </c>
      <c r="D6489" s="15" t="s">
        <v>8971</v>
      </c>
      <c r="E6489" s="18" t="s">
        <v>28</v>
      </c>
      <c r="F6489" s="19" t="s">
        <v>28</v>
      </c>
      <c r="G6489" s="19" t="s">
        <v>28</v>
      </c>
      <c r="H6489" s="19" t="s">
        <v>28</v>
      </c>
      <c r="I6489" s="18" t="s">
        <v>28</v>
      </c>
      <c r="J6489" s="18" t="s">
        <v>28</v>
      </c>
      <c r="K6489" s="18" t="s">
        <v>28</v>
      </c>
      <c r="L6489" s="18" t="s">
        <v>28</v>
      </c>
      <c r="M6489" s="18" t="s">
        <v>28</v>
      </c>
      <c r="N6489" s="17">
        <v>43831</v>
      </c>
      <c r="O6489" s="15" t="s">
        <v>52</v>
      </c>
      <c r="P6489" s="16" t="s">
        <v>2830</v>
      </c>
      <c r="Q6489" s="15" t="s">
        <v>75</v>
      </c>
      <c r="R6489" s="13" t="str">
        <f>HYPERLINK("https://my.pitchbook.com?c=264284-20T","View Company Online")</f>
        <v>View Company Online</v>
      </c>
    </row>
    <row r="6490" spans="1:18" hidden="1" x14ac:dyDescent="0.3">
      <c r="A6490" s="9" t="s">
        <v>19616</v>
      </c>
      <c r="B6490" s="9" t="s">
        <v>19617</v>
      </c>
      <c r="C6490" s="11" t="s">
        <v>28</v>
      </c>
      <c r="D6490" s="9" t="s">
        <v>19618</v>
      </c>
      <c r="E6490" s="11" t="s">
        <v>28</v>
      </c>
      <c r="F6490" s="10" t="s">
        <v>28</v>
      </c>
      <c r="G6490" s="10" t="s">
        <v>28</v>
      </c>
      <c r="H6490" s="10" t="s">
        <v>28</v>
      </c>
      <c r="I6490" s="11" t="s">
        <v>28</v>
      </c>
      <c r="J6490" s="11" t="s">
        <v>28</v>
      </c>
      <c r="K6490" s="11" t="s">
        <v>28</v>
      </c>
      <c r="L6490" s="11" t="s">
        <v>28</v>
      </c>
      <c r="M6490" s="11" t="s">
        <v>28</v>
      </c>
      <c r="N6490" s="8">
        <v>43831</v>
      </c>
      <c r="O6490" s="9" t="s">
        <v>30</v>
      </c>
      <c r="P6490" s="12" t="s">
        <v>16459</v>
      </c>
      <c r="Q6490" s="9" t="s">
        <v>43</v>
      </c>
      <c r="R6490" s="14" t="str">
        <f>HYPERLINK("https://my.pitchbook.com?c=172151-56T","View Company Online")</f>
        <v>View Company Online</v>
      </c>
    </row>
    <row r="6491" spans="1:18" hidden="1" x14ac:dyDescent="0.3">
      <c r="A6491" s="15" t="s">
        <v>19619</v>
      </c>
      <c r="B6491" s="15" t="s">
        <v>4920</v>
      </c>
      <c r="C6491" s="18" t="s">
        <v>28</v>
      </c>
      <c r="D6491" s="15" t="s">
        <v>4921</v>
      </c>
      <c r="E6491" s="18" t="s">
        <v>28</v>
      </c>
      <c r="F6491" s="19" t="s">
        <v>28</v>
      </c>
      <c r="G6491" s="19" t="s">
        <v>28</v>
      </c>
      <c r="H6491" s="19" t="s">
        <v>28</v>
      </c>
      <c r="I6491" s="18" t="s">
        <v>28</v>
      </c>
      <c r="J6491" s="18" t="s">
        <v>28</v>
      </c>
      <c r="K6491" s="18" t="s">
        <v>28</v>
      </c>
      <c r="L6491" s="18" t="s">
        <v>28</v>
      </c>
      <c r="M6491" s="18" t="s">
        <v>28</v>
      </c>
      <c r="N6491" s="17">
        <v>43831</v>
      </c>
      <c r="O6491" s="15" t="s">
        <v>52</v>
      </c>
      <c r="P6491" s="16" t="s">
        <v>6790</v>
      </c>
      <c r="Q6491" s="15" t="s">
        <v>75</v>
      </c>
      <c r="R6491" s="13" t="str">
        <f>HYPERLINK("https://my.pitchbook.com?c=284382-19T","View Company Online")</f>
        <v>View Company Online</v>
      </c>
    </row>
    <row r="6492" spans="1:18" hidden="1" x14ac:dyDescent="0.3">
      <c r="A6492" s="9" t="s">
        <v>19620</v>
      </c>
      <c r="B6492" s="9" t="s">
        <v>19621</v>
      </c>
      <c r="C6492" s="11" t="s">
        <v>28</v>
      </c>
      <c r="D6492" s="9" t="s">
        <v>19622</v>
      </c>
      <c r="E6492" s="11" t="s">
        <v>28</v>
      </c>
      <c r="F6492" s="10" t="s">
        <v>28</v>
      </c>
      <c r="G6492" s="10" t="s">
        <v>28</v>
      </c>
      <c r="H6492" s="10" t="s">
        <v>28</v>
      </c>
      <c r="I6492" s="11" t="s">
        <v>28</v>
      </c>
      <c r="J6492" s="11" t="s">
        <v>28</v>
      </c>
      <c r="K6492" s="11" t="s">
        <v>28</v>
      </c>
      <c r="L6492" s="11" t="s">
        <v>28</v>
      </c>
      <c r="M6492" s="11" t="s">
        <v>28</v>
      </c>
      <c r="N6492" s="8">
        <v>43831</v>
      </c>
      <c r="O6492" s="9" t="s">
        <v>30</v>
      </c>
      <c r="P6492" s="12" t="s">
        <v>28</v>
      </c>
      <c r="Q6492" s="9" t="s">
        <v>10676</v>
      </c>
      <c r="R6492" s="14" t="str">
        <f>HYPERLINK("https://my.pitchbook.com?c=266834-62T","View Company Online")</f>
        <v>View Company Online</v>
      </c>
    </row>
    <row r="6493" spans="1:18" hidden="1" x14ac:dyDescent="0.3">
      <c r="A6493" s="15" t="s">
        <v>19623</v>
      </c>
      <c r="B6493" s="15" t="s">
        <v>19624</v>
      </c>
      <c r="C6493" s="18" t="s">
        <v>28</v>
      </c>
      <c r="D6493" s="15" t="s">
        <v>19625</v>
      </c>
      <c r="E6493" s="18" t="s">
        <v>28</v>
      </c>
      <c r="F6493" s="19" t="s">
        <v>28</v>
      </c>
      <c r="G6493" s="19" t="s">
        <v>28</v>
      </c>
      <c r="H6493" s="19" t="s">
        <v>28</v>
      </c>
      <c r="I6493" s="18" t="s">
        <v>28</v>
      </c>
      <c r="J6493" s="18" t="s">
        <v>28</v>
      </c>
      <c r="K6493" s="18" t="s">
        <v>28</v>
      </c>
      <c r="L6493" s="18" t="s">
        <v>28</v>
      </c>
      <c r="M6493" s="18" t="s">
        <v>28</v>
      </c>
      <c r="N6493" s="17">
        <v>43831</v>
      </c>
      <c r="O6493" s="15" t="s">
        <v>30</v>
      </c>
      <c r="P6493" s="16" t="s">
        <v>28</v>
      </c>
      <c r="Q6493" s="15" t="s">
        <v>169</v>
      </c>
      <c r="R6493" s="13" t="str">
        <f>HYPERLINK("https://my.pitchbook.com?c=268087-69T","View Company Online")</f>
        <v>View Company Online</v>
      </c>
    </row>
    <row r="6494" spans="1:18" hidden="1" x14ac:dyDescent="0.3">
      <c r="A6494" s="9" t="s">
        <v>19626</v>
      </c>
      <c r="B6494" s="9" t="s">
        <v>10738</v>
      </c>
      <c r="C6494" s="11" t="s">
        <v>28</v>
      </c>
      <c r="D6494" s="9" t="s">
        <v>10739</v>
      </c>
      <c r="E6494" s="11" t="s">
        <v>28</v>
      </c>
      <c r="F6494" s="10" t="s">
        <v>28</v>
      </c>
      <c r="G6494" s="10" t="s">
        <v>28</v>
      </c>
      <c r="H6494" s="10" t="s">
        <v>28</v>
      </c>
      <c r="I6494" s="11" t="s">
        <v>28</v>
      </c>
      <c r="J6494" s="11" t="s">
        <v>28</v>
      </c>
      <c r="K6494" s="11" t="s">
        <v>28</v>
      </c>
      <c r="L6494" s="11" t="s">
        <v>28</v>
      </c>
      <c r="M6494" s="11" t="s">
        <v>28</v>
      </c>
      <c r="N6494" s="8">
        <v>43831</v>
      </c>
      <c r="O6494" s="9" t="s">
        <v>52</v>
      </c>
      <c r="P6494" s="12" t="s">
        <v>1970</v>
      </c>
      <c r="Q6494" s="9" t="s">
        <v>245</v>
      </c>
      <c r="R6494" s="14" t="str">
        <f>HYPERLINK("https://my.pitchbook.com?c=292865-23T","View Company Online")</f>
        <v>View Company Online</v>
      </c>
    </row>
    <row r="6495" spans="1:18" hidden="1" x14ac:dyDescent="0.3">
      <c r="A6495" s="15" t="s">
        <v>19627</v>
      </c>
      <c r="B6495" s="15" t="s">
        <v>1492</v>
      </c>
      <c r="C6495" s="18" t="s">
        <v>28</v>
      </c>
      <c r="D6495" s="15" t="s">
        <v>1493</v>
      </c>
      <c r="E6495" s="18" t="s">
        <v>28</v>
      </c>
      <c r="F6495" s="19" t="s">
        <v>28</v>
      </c>
      <c r="G6495" s="19" t="s">
        <v>28</v>
      </c>
      <c r="H6495" s="19" t="s">
        <v>28</v>
      </c>
      <c r="I6495" s="18" t="s">
        <v>28</v>
      </c>
      <c r="J6495" s="18" t="s">
        <v>28</v>
      </c>
      <c r="K6495" s="18" t="s">
        <v>28</v>
      </c>
      <c r="L6495" s="18" t="s">
        <v>28</v>
      </c>
      <c r="M6495" s="18" t="s">
        <v>28</v>
      </c>
      <c r="N6495" s="17">
        <v>43831</v>
      </c>
      <c r="O6495" s="15" t="s">
        <v>52</v>
      </c>
      <c r="P6495" s="16" t="s">
        <v>19628</v>
      </c>
      <c r="Q6495" s="15" t="s">
        <v>75</v>
      </c>
      <c r="R6495" s="13" t="str">
        <f>HYPERLINK("https://my.pitchbook.com?c=270364-96T","View Company Online")</f>
        <v>View Company Online</v>
      </c>
    </row>
    <row r="6496" spans="1:18" hidden="1" x14ac:dyDescent="0.3">
      <c r="A6496" s="9" t="s">
        <v>19629</v>
      </c>
      <c r="B6496" s="9" t="s">
        <v>19630</v>
      </c>
      <c r="C6496" s="11" t="s">
        <v>28</v>
      </c>
      <c r="D6496" s="9" t="s">
        <v>19631</v>
      </c>
      <c r="E6496" s="11" t="s">
        <v>28</v>
      </c>
      <c r="F6496" s="10" t="s">
        <v>28</v>
      </c>
      <c r="G6496" s="10" t="s">
        <v>28</v>
      </c>
      <c r="H6496" s="10" t="s">
        <v>28</v>
      </c>
      <c r="I6496" s="11" t="s">
        <v>28</v>
      </c>
      <c r="J6496" s="11" t="s">
        <v>28</v>
      </c>
      <c r="K6496" s="11" t="s">
        <v>28</v>
      </c>
      <c r="L6496" s="11" t="s">
        <v>28</v>
      </c>
      <c r="M6496" s="11" t="s">
        <v>28</v>
      </c>
      <c r="N6496" s="8">
        <v>43831</v>
      </c>
      <c r="O6496" s="9" t="s">
        <v>52</v>
      </c>
      <c r="P6496" s="12" t="s">
        <v>1880</v>
      </c>
      <c r="Q6496" s="9" t="s">
        <v>95</v>
      </c>
      <c r="R6496" s="14" t="str">
        <f>HYPERLINK("https://my.pitchbook.com?c=274755-52T","View Company Online")</f>
        <v>View Company Online</v>
      </c>
    </row>
    <row r="6497" spans="1:18" hidden="1" x14ac:dyDescent="0.3">
      <c r="A6497" s="15" t="s">
        <v>19632</v>
      </c>
      <c r="B6497" s="15" t="s">
        <v>4997</v>
      </c>
      <c r="C6497" s="18" t="s">
        <v>28</v>
      </c>
      <c r="D6497" s="15" t="s">
        <v>4998</v>
      </c>
      <c r="E6497" s="18" t="s">
        <v>28</v>
      </c>
      <c r="F6497" s="19" t="s">
        <v>28</v>
      </c>
      <c r="G6497" s="19">
        <v>0.09</v>
      </c>
      <c r="H6497" s="19" t="s">
        <v>28</v>
      </c>
      <c r="I6497" s="18" t="s">
        <v>28</v>
      </c>
      <c r="J6497" s="18" t="s">
        <v>28</v>
      </c>
      <c r="K6497" s="18" t="s">
        <v>28</v>
      </c>
      <c r="L6497" s="18" t="s">
        <v>28</v>
      </c>
      <c r="M6497" s="18" t="s">
        <v>28</v>
      </c>
      <c r="N6497" s="17">
        <v>43831</v>
      </c>
      <c r="O6497" s="15" t="s">
        <v>379</v>
      </c>
      <c r="P6497" s="16" t="s">
        <v>19633</v>
      </c>
      <c r="Q6497" s="15" t="s">
        <v>75</v>
      </c>
      <c r="R6497" s="13" t="str">
        <f>HYPERLINK("https://my.pitchbook.com?c=189130-60T","View Company Online")</f>
        <v>View Company Online</v>
      </c>
    </row>
    <row r="6498" spans="1:18" hidden="1" x14ac:dyDescent="0.3">
      <c r="A6498" s="9" t="s">
        <v>19634</v>
      </c>
      <c r="B6498" s="9" t="s">
        <v>19635</v>
      </c>
      <c r="C6498" s="11" t="s">
        <v>28</v>
      </c>
      <c r="D6498" s="9" t="s">
        <v>19636</v>
      </c>
      <c r="E6498" s="11">
        <v>3.11</v>
      </c>
      <c r="F6498" s="10" t="s">
        <v>28</v>
      </c>
      <c r="G6498" s="10" t="s">
        <v>28</v>
      </c>
      <c r="H6498" s="10" t="s">
        <v>28</v>
      </c>
      <c r="I6498" s="11">
        <v>3.11</v>
      </c>
      <c r="J6498" s="11" t="s">
        <v>28</v>
      </c>
      <c r="K6498" s="11">
        <v>0.75</v>
      </c>
      <c r="L6498" s="11" t="s">
        <v>28</v>
      </c>
      <c r="M6498" s="11">
        <v>3.15</v>
      </c>
      <c r="N6498" s="8">
        <v>43830</v>
      </c>
      <c r="O6498" s="9" t="s">
        <v>173</v>
      </c>
      <c r="P6498" s="12" t="s">
        <v>28</v>
      </c>
      <c r="Q6498" s="9" t="s">
        <v>174</v>
      </c>
      <c r="R6498" s="14" t="str">
        <f>HYPERLINK("https://my.pitchbook.com?c=224995-33T","View Company Online")</f>
        <v>View Company Online</v>
      </c>
    </row>
    <row r="6499" spans="1:18" hidden="1" x14ac:dyDescent="0.3">
      <c r="A6499" s="15" t="s">
        <v>19637</v>
      </c>
      <c r="B6499" s="15" t="s">
        <v>19638</v>
      </c>
      <c r="C6499" s="18" t="s">
        <v>28</v>
      </c>
      <c r="D6499" s="15" t="s">
        <v>19639</v>
      </c>
      <c r="E6499" s="18" t="s">
        <v>28</v>
      </c>
      <c r="F6499" s="19" t="s">
        <v>28</v>
      </c>
      <c r="G6499" s="19">
        <v>1.0900000000000001</v>
      </c>
      <c r="H6499" s="19" t="s">
        <v>28</v>
      </c>
      <c r="I6499" s="18" t="s">
        <v>28</v>
      </c>
      <c r="J6499" s="18" t="s">
        <v>28</v>
      </c>
      <c r="K6499" s="18" t="s">
        <v>28</v>
      </c>
      <c r="L6499" s="18" t="s">
        <v>28</v>
      </c>
      <c r="M6499" s="18" t="s">
        <v>28</v>
      </c>
      <c r="N6499" s="17">
        <v>43827</v>
      </c>
      <c r="O6499" s="15" t="s">
        <v>73</v>
      </c>
      <c r="P6499" s="16" t="s">
        <v>19640</v>
      </c>
      <c r="Q6499" s="15" t="s">
        <v>37</v>
      </c>
      <c r="R6499" s="13" t="str">
        <f>HYPERLINK("https://my.pitchbook.com?c=156950-11T","View Company Online")</f>
        <v>View Company Online</v>
      </c>
    </row>
    <row r="6500" spans="1:18" hidden="1" x14ac:dyDescent="0.3">
      <c r="A6500" s="9" t="s">
        <v>19641</v>
      </c>
      <c r="B6500" s="9" t="s">
        <v>19642</v>
      </c>
      <c r="C6500" s="11" t="s">
        <v>28</v>
      </c>
      <c r="D6500" s="9" t="s">
        <v>19643</v>
      </c>
      <c r="E6500" s="11" t="s">
        <v>28</v>
      </c>
      <c r="F6500" s="10" t="s">
        <v>28</v>
      </c>
      <c r="G6500" s="10" t="s">
        <v>28</v>
      </c>
      <c r="H6500" s="10" t="s">
        <v>28</v>
      </c>
      <c r="I6500" s="11" t="s">
        <v>28</v>
      </c>
      <c r="J6500" s="11" t="s">
        <v>28</v>
      </c>
      <c r="K6500" s="11" t="s">
        <v>28</v>
      </c>
      <c r="L6500" s="11" t="s">
        <v>28</v>
      </c>
      <c r="M6500" s="11" t="s">
        <v>28</v>
      </c>
      <c r="N6500" s="8">
        <v>43826</v>
      </c>
      <c r="O6500" s="9" t="s">
        <v>30</v>
      </c>
      <c r="P6500" s="12" t="s">
        <v>19644</v>
      </c>
      <c r="Q6500" s="9" t="s">
        <v>5347</v>
      </c>
      <c r="R6500" s="14" t="str">
        <f>HYPERLINK("https://my.pitchbook.com?c=126157-78T","View Company Online")</f>
        <v>View Company Online</v>
      </c>
    </row>
    <row r="6501" spans="1:18" hidden="1" x14ac:dyDescent="0.3">
      <c r="A6501" s="15" t="s">
        <v>19645</v>
      </c>
      <c r="B6501" s="15" t="s">
        <v>19646</v>
      </c>
      <c r="C6501" s="18" t="s">
        <v>28</v>
      </c>
      <c r="D6501" s="15" t="s">
        <v>19647</v>
      </c>
      <c r="E6501" s="18" t="s">
        <v>28</v>
      </c>
      <c r="F6501" s="19">
        <v>80.290000000000006</v>
      </c>
      <c r="G6501" s="19">
        <v>62.79</v>
      </c>
      <c r="H6501" s="19">
        <v>80.290000000000006</v>
      </c>
      <c r="I6501" s="18" t="s">
        <v>28</v>
      </c>
      <c r="J6501" s="18" t="s">
        <v>28</v>
      </c>
      <c r="K6501" s="18" t="s">
        <v>28</v>
      </c>
      <c r="L6501" s="18" t="s">
        <v>28</v>
      </c>
      <c r="M6501" s="18" t="s">
        <v>28</v>
      </c>
      <c r="N6501" s="17">
        <v>43826</v>
      </c>
      <c r="O6501" s="15" t="s">
        <v>30</v>
      </c>
      <c r="P6501" s="16" t="s">
        <v>28</v>
      </c>
      <c r="Q6501" s="15" t="s">
        <v>5132</v>
      </c>
      <c r="R6501" s="13" t="str">
        <f>HYPERLINK("https://my.pitchbook.com?c=133374-43T","View Company Online")</f>
        <v>View Company Online</v>
      </c>
    </row>
    <row r="6502" spans="1:18" hidden="1" x14ac:dyDescent="0.3">
      <c r="A6502" s="9" t="s">
        <v>19648</v>
      </c>
      <c r="B6502" s="9" t="s">
        <v>19649</v>
      </c>
      <c r="C6502" s="11" t="s">
        <v>28</v>
      </c>
      <c r="D6502" s="9" t="s">
        <v>19650</v>
      </c>
      <c r="E6502" s="11" t="s">
        <v>28</v>
      </c>
      <c r="F6502" s="10">
        <v>60.86</v>
      </c>
      <c r="G6502" s="10">
        <v>60.86</v>
      </c>
      <c r="H6502" s="10">
        <v>60.86</v>
      </c>
      <c r="I6502" s="11" t="s">
        <v>28</v>
      </c>
      <c r="J6502" s="11" t="s">
        <v>28</v>
      </c>
      <c r="K6502" s="11">
        <v>18.239999999999998</v>
      </c>
      <c r="L6502" s="11">
        <v>3.34</v>
      </c>
      <c r="M6502" s="11" t="s">
        <v>28</v>
      </c>
      <c r="N6502" s="8">
        <v>43826</v>
      </c>
      <c r="O6502" s="9" t="s">
        <v>30</v>
      </c>
      <c r="P6502" s="12" t="s">
        <v>716</v>
      </c>
      <c r="Q6502" s="9" t="s">
        <v>75</v>
      </c>
      <c r="R6502" s="14" t="str">
        <f>HYPERLINK("https://my.pitchbook.com?c=169894-00T","View Company Online")</f>
        <v>View Company Online</v>
      </c>
    </row>
    <row r="6503" spans="1:18" hidden="1" x14ac:dyDescent="0.3">
      <c r="A6503" s="15" t="s">
        <v>19651</v>
      </c>
      <c r="B6503" s="15" t="s">
        <v>11394</v>
      </c>
      <c r="C6503" s="18" t="s">
        <v>28</v>
      </c>
      <c r="D6503" s="15" t="s">
        <v>11395</v>
      </c>
      <c r="E6503" s="18" t="s">
        <v>28</v>
      </c>
      <c r="F6503" s="19" t="s">
        <v>28</v>
      </c>
      <c r="G6503" s="19" t="s">
        <v>28</v>
      </c>
      <c r="H6503" s="19" t="s">
        <v>28</v>
      </c>
      <c r="I6503" s="18" t="s">
        <v>28</v>
      </c>
      <c r="J6503" s="18" t="s">
        <v>28</v>
      </c>
      <c r="K6503" s="18" t="s">
        <v>28</v>
      </c>
      <c r="L6503" s="18" t="s">
        <v>28</v>
      </c>
      <c r="M6503" s="18" t="s">
        <v>28</v>
      </c>
      <c r="N6503" s="17">
        <v>43826</v>
      </c>
      <c r="O6503" s="15" t="s">
        <v>52</v>
      </c>
      <c r="P6503" s="16" t="s">
        <v>6543</v>
      </c>
      <c r="Q6503" s="15" t="s">
        <v>54</v>
      </c>
      <c r="R6503" s="13" t="str">
        <f>HYPERLINK("https://my.pitchbook.com?c=131356-54T","View Company Online")</f>
        <v>View Company Online</v>
      </c>
    </row>
    <row r="6504" spans="1:18" hidden="1" x14ac:dyDescent="0.3">
      <c r="A6504" s="9" t="s">
        <v>19652</v>
      </c>
      <c r="B6504" s="9" t="s">
        <v>19653</v>
      </c>
      <c r="C6504" s="11" t="s">
        <v>28</v>
      </c>
      <c r="D6504" s="9" t="s">
        <v>19654</v>
      </c>
      <c r="E6504" s="11" t="s">
        <v>28</v>
      </c>
      <c r="F6504" s="10" t="s">
        <v>28</v>
      </c>
      <c r="G6504" s="10" t="s">
        <v>28</v>
      </c>
      <c r="H6504" s="10" t="s">
        <v>28</v>
      </c>
      <c r="I6504" s="11" t="s">
        <v>28</v>
      </c>
      <c r="J6504" s="11" t="s">
        <v>28</v>
      </c>
      <c r="K6504" s="11" t="s">
        <v>28</v>
      </c>
      <c r="L6504" s="11" t="s">
        <v>28</v>
      </c>
      <c r="M6504" s="11" t="s">
        <v>28</v>
      </c>
      <c r="N6504" s="8">
        <v>43826</v>
      </c>
      <c r="O6504" s="9" t="s">
        <v>173</v>
      </c>
      <c r="P6504" s="12" t="s">
        <v>28</v>
      </c>
      <c r="Q6504" s="9" t="s">
        <v>240</v>
      </c>
      <c r="R6504" s="14" t="str">
        <f>HYPERLINK("https://my.pitchbook.com?c=225425-89T","View Company Online")</f>
        <v>View Company Online</v>
      </c>
    </row>
    <row r="6505" spans="1:18" hidden="1" x14ac:dyDescent="0.3">
      <c r="A6505" s="15" t="s">
        <v>19655</v>
      </c>
      <c r="B6505" s="15" t="s">
        <v>19656</v>
      </c>
      <c r="C6505" s="18" t="s">
        <v>28</v>
      </c>
      <c r="D6505" s="15" t="s">
        <v>19657</v>
      </c>
      <c r="E6505" s="18" t="s">
        <v>28</v>
      </c>
      <c r="F6505" s="19" t="s">
        <v>28</v>
      </c>
      <c r="G6505" s="19" t="s">
        <v>28</v>
      </c>
      <c r="H6505" s="19" t="s">
        <v>28</v>
      </c>
      <c r="I6505" s="18" t="s">
        <v>28</v>
      </c>
      <c r="J6505" s="18" t="s">
        <v>28</v>
      </c>
      <c r="K6505" s="18" t="s">
        <v>28</v>
      </c>
      <c r="L6505" s="18" t="s">
        <v>28</v>
      </c>
      <c r="M6505" s="18" t="s">
        <v>28</v>
      </c>
      <c r="N6505" s="17">
        <v>43825</v>
      </c>
      <c r="O6505" s="15" t="s">
        <v>173</v>
      </c>
      <c r="P6505" s="16" t="s">
        <v>28</v>
      </c>
      <c r="Q6505" s="15" t="s">
        <v>174</v>
      </c>
      <c r="R6505" s="13" t="str">
        <f>HYPERLINK("https://my.pitchbook.com?c=224571-61T","View Company Online")</f>
        <v>View Company Online</v>
      </c>
    </row>
    <row r="6506" spans="1:18" hidden="1" x14ac:dyDescent="0.3">
      <c r="A6506" s="9" t="s">
        <v>19658</v>
      </c>
      <c r="B6506" s="9" t="s">
        <v>14102</v>
      </c>
      <c r="C6506" s="11" t="s">
        <v>28</v>
      </c>
      <c r="D6506" s="9" t="s">
        <v>17354</v>
      </c>
      <c r="E6506" s="11" t="s">
        <v>28</v>
      </c>
      <c r="F6506" s="10" t="s">
        <v>28</v>
      </c>
      <c r="G6506" s="10">
        <v>0.12</v>
      </c>
      <c r="H6506" s="10" t="s">
        <v>28</v>
      </c>
      <c r="I6506" s="11" t="s">
        <v>28</v>
      </c>
      <c r="J6506" s="11" t="s">
        <v>28</v>
      </c>
      <c r="K6506" s="11" t="s">
        <v>28</v>
      </c>
      <c r="L6506" s="11" t="s">
        <v>28</v>
      </c>
      <c r="M6506" s="11" t="s">
        <v>28</v>
      </c>
      <c r="N6506" s="8">
        <v>43824</v>
      </c>
      <c r="O6506" s="9" t="s">
        <v>379</v>
      </c>
      <c r="P6506" s="12" t="s">
        <v>19659</v>
      </c>
      <c r="Q6506" s="9" t="s">
        <v>3912</v>
      </c>
      <c r="R6506" s="14" t="str">
        <f>HYPERLINK("https://my.pitchbook.com?c=194494-24T","View Company Online")</f>
        <v>View Company Online</v>
      </c>
    </row>
    <row r="6507" spans="1:18" hidden="1" x14ac:dyDescent="0.3">
      <c r="A6507" s="15" t="s">
        <v>19660</v>
      </c>
      <c r="B6507" s="15" t="s">
        <v>15824</v>
      </c>
      <c r="C6507" s="18" t="s">
        <v>28</v>
      </c>
      <c r="D6507" s="15" t="s">
        <v>15825</v>
      </c>
      <c r="E6507" s="18" t="s">
        <v>28</v>
      </c>
      <c r="F6507" s="19" t="s">
        <v>28</v>
      </c>
      <c r="G6507" s="19">
        <v>5.8</v>
      </c>
      <c r="H6507" s="19" t="s">
        <v>28</v>
      </c>
      <c r="I6507" s="18" t="s">
        <v>28</v>
      </c>
      <c r="J6507" s="18" t="s">
        <v>28</v>
      </c>
      <c r="K6507" s="18" t="s">
        <v>28</v>
      </c>
      <c r="L6507" s="18" t="s">
        <v>28</v>
      </c>
      <c r="M6507" s="18" t="s">
        <v>28</v>
      </c>
      <c r="N6507" s="17">
        <v>43822</v>
      </c>
      <c r="O6507" s="15" t="s">
        <v>79</v>
      </c>
      <c r="P6507" s="16" t="s">
        <v>19661</v>
      </c>
      <c r="Q6507" s="15" t="s">
        <v>75</v>
      </c>
      <c r="R6507" s="13" t="str">
        <f>HYPERLINK("https://my.pitchbook.com?c=114740-29T","View Company Online")</f>
        <v>View Company Online</v>
      </c>
    </row>
    <row r="6508" spans="1:18" hidden="1" x14ac:dyDescent="0.3">
      <c r="A6508" s="9" t="s">
        <v>19662</v>
      </c>
      <c r="B6508" s="9" t="s">
        <v>19663</v>
      </c>
      <c r="C6508" s="11" t="s">
        <v>28</v>
      </c>
      <c r="D6508" s="9" t="s">
        <v>19664</v>
      </c>
      <c r="E6508" s="11" t="s">
        <v>28</v>
      </c>
      <c r="F6508" s="10" t="s">
        <v>28</v>
      </c>
      <c r="G6508" s="10" t="s">
        <v>28</v>
      </c>
      <c r="H6508" s="10" t="s">
        <v>28</v>
      </c>
      <c r="I6508" s="11" t="s">
        <v>28</v>
      </c>
      <c r="J6508" s="11" t="s">
        <v>28</v>
      </c>
      <c r="K6508" s="11">
        <v>5.88</v>
      </c>
      <c r="L6508" s="11" t="s">
        <v>28</v>
      </c>
      <c r="M6508" s="11">
        <v>5.73</v>
      </c>
      <c r="N6508" s="8">
        <v>43822</v>
      </c>
      <c r="O6508" s="9" t="s">
        <v>173</v>
      </c>
      <c r="P6508" s="12" t="s">
        <v>28</v>
      </c>
      <c r="Q6508" s="9" t="s">
        <v>174</v>
      </c>
      <c r="R6508" s="14" t="str">
        <f>HYPERLINK("https://my.pitchbook.com?c=224369-65T","View Company Online")</f>
        <v>View Company Online</v>
      </c>
    </row>
    <row r="6509" spans="1:18" hidden="1" x14ac:dyDescent="0.3">
      <c r="A6509" s="15" t="s">
        <v>19665</v>
      </c>
      <c r="B6509" s="15" t="s">
        <v>4089</v>
      </c>
      <c r="C6509" s="18" t="s">
        <v>28</v>
      </c>
      <c r="D6509" s="15" t="s">
        <v>4090</v>
      </c>
      <c r="E6509" s="18">
        <v>-0.88</v>
      </c>
      <c r="F6509" s="19" t="s">
        <v>28</v>
      </c>
      <c r="G6509" s="19" t="s">
        <v>28</v>
      </c>
      <c r="H6509" s="19" t="s">
        <v>28</v>
      </c>
      <c r="I6509" s="18">
        <v>1.1200000000000001</v>
      </c>
      <c r="J6509" s="18" t="s">
        <v>28</v>
      </c>
      <c r="K6509" s="18">
        <v>35.049999999999997</v>
      </c>
      <c r="L6509" s="18" t="s">
        <v>28</v>
      </c>
      <c r="M6509" s="18">
        <v>-1.56</v>
      </c>
      <c r="N6509" s="17">
        <v>43822</v>
      </c>
      <c r="O6509" s="15" t="s">
        <v>79</v>
      </c>
      <c r="P6509" s="16" t="s">
        <v>19666</v>
      </c>
      <c r="Q6509" s="15" t="s">
        <v>75</v>
      </c>
      <c r="R6509" s="13" t="str">
        <f>HYPERLINK("https://my.pitchbook.com?c=155791-00T","View Company Online")</f>
        <v>View Company Online</v>
      </c>
    </row>
    <row r="6510" spans="1:18" hidden="1" x14ac:dyDescent="0.3">
      <c r="A6510" s="9" t="s">
        <v>19667</v>
      </c>
      <c r="B6510" s="9" t="s">
        <v>1871</v>
      </c>
      <c r="C6510" s="11" t="s">
        <v>28</v>
      </c>
      <c r="D6510" s="9" t="s">
        <v>1872</v>
      </c>
      <c r="E6510" s="11" t="s">
        <v>28</v>
      </c>
      <c r="F6510" s="10" t="s">
        <v>28</v>
      </c>
      <c r="G6510" s="10" t="s">
        <v>28</v>
      </c>
      <c r="H6510" s="10" t="s">
        <v>28</v>
      </c>
      <c r="I6510" s="11" t="s">
        <v>28</v>
      </c>
      <c r="J6510" s="11" t="s">
        <v>28</v>
      </c>
      <c r="K6510" s="11" t="s">
        <v>28</v>
      </c>
      <c r="L6510" s="11" t="s">
        <v>28</v>
      </c>
      <c r="M6510" s="11" t="s">
        <v>28</v>
      </c>
      <c r="N6510" s="8">
        <v>43822</v>
      </c>
      <c r="O6510" s="9" t="s">
        <v>173</v>
      </c>
      <c r="P6510" s="12" t="s">
        <v>28</v>
      </c>
      <c r="Q6510" s="9" t="s">
        <v>174</v>
      </c>
      <c r="R6510" s="14" t="str">
        <f>HYPERLINK("https://my.pitchbook.com?c=224977-24T","View Company Online")</f>
        <v>View Company Online</v>
      </c>
    </row>
    <row r="6511" spans="1:18" hidden="1" x14ac:dyDescent="0.3">
      <c r="A6511" s="15" t="s">
        <v>19668</v>
      </c>
      <c r="B6511" s="15" t="s">
        <v>19669</v>
      </c>
      <c r="C6511" s="18" t="s">
        <v>28</v>
      </c>
      <c r="D6511" s="15" t="s">
        <v>19670</v>
      </c>
      <c r="E6511" s="18" t="s">
        <v>28</v>
      </c>
      <c r="F6511" s="19" t="s">
        <v>28</v>
      </c>
      <c r="G6511" s="19" t="s">
        <v>28</v>
      </c>
      <c r="H6511" s="19" t="s">
        <v>28</v>
      </c>
      <c r="I6511" s="18" t="s">
        <v>28</v>
      </c>
      <c r="J6511" s="18" t="s">
        <v>28</v>
      </c>
      <c r="K6511" s="18" t="s">
        <v>28</v>
      </c>
      <c r="L6511" s="18" t="s">
        <v>28</v>
      </c>
      <c r="M6511" s="18" t="s">
        <v>28</v>
      </c>
      <c r="N6511" s="17">
        <v>43822</v>
      </c>
      <c r="O6511" s="15" t="s">
        <v>30</v>
      </c>
      <c r="P6511" s="16" t="s">
        <v>19332</v>
      </c>
      <c r="Q6511" s="15" t="s">
        <v>18018</v>
      </c>
      <c r="R6511" s="13" t="str">
        <f>HYPERLINK("https://my.pitchbook.com?c=216198-91T","View Company Online")</f>
        <v>View Company Online</v>
      </c>
    </row>
    <row r="6512" spans="1:18" hidden="1" x14ac:dyDescent="0.3">
      <c r="A6512" s="9" t="s">
        <v>19671</v>
      </c>
      <c r="B6512" s="9" t="s">
        <v>8475</v>
      </c>
      <c r="C6512" s="11" t="s">
        <v>28</v>
      </c>
      <c r="D6512" s="9" t="s">
        <v>8476</v>
      </c>
      <c r="E6512" s="11" t="s">
        <v>28</v>
      </c>
      <c r="F6512" s="10" t="s">
        <v>28</v>
      </c>
      <c r="G6512" s="10">
        <v>0.1</v>
      </c>
      <c r="H6512" s="10" t="s">
        <v>28</v>
      </c>
      <c r="I6512" s="11" t="s">
        <v>28</v>
      </c>
      <c r="J6512" s="11" t="s">
        <v>28</v>
      </c>
      <c r="K6512" s="11" t="s">
        <v>28</v>
      </c>
      <c r="L6512" s="11" t="s">
        <v>28</v>
      </c>
      <c r="M6512" s="11" t="s">
        <v>28</v>
      </c>
      <c r="N6512" s="8">
        <v>43819</v>
      </c>
      <c r="O6512" s="9" t="s">
        <v>47</v>
      </c>
      <c r="P6512" s="12" t="s">
        <v>19672</v>
      </c>
      <c r="Q6512" s="9" t="s">
        <v>37</v>
      </c>
      <c r="R6512" s="14" t="str">
        <f>HYPERLINK("https://my.pitchbook.com?c=131777-65T","View Company Online")</f>
        <v>View Company Online</v>
      </c>
    </row>
    <row r="6513" spans="1:18" hidden="1" x14ac:dyDescent="0.3">
      <c r="A6513" s="15" t="s">
        <v>19673</v>
      </c>
      <c r="B6513" s="15" t="s">
        <v>19674</v>
      </c>
      <c r="C6513" s="18" t="s">
        <v>28</v>
      </c>
      <c r="D6513" s="15" t="s">
        <v>19675</v>
      </c>
      <c r="E6513" s="18" t="s">
        <v>28</v>
      </c>
      <c r="F6513" s="19" t="s">
        <v>28</v>
      </c>
      <c r="G6513" s="19" t="s">
        <v>28</v>
      </c>
      <c r="H6513" s="19" t="s">
        <v>28</v>
      </c>
      <c r="I6513" s="18" t="s">
        <v>28</v>
      </c>
      <c r="J6513" s="18" t="s">
        <v>28</v>
      </c>
      <c r="K6513" s="18">
        <v>88.68</v>
      </c>
      <c r="L6513" s="18" t="s">
        <v>28</v>
      </c>
      <c r="M6513" s="18" t="s">
        <v>28</v>
      </c>
      <c r="N6513" s="17">
        <v>43819</v>
      </c>
      <c r="O6513" s="15" t="s">
        <v>30</v>
      </c>
      <c r="P6513" s="16" t="s">
        <v>3647</v>
      </c>
      <c r="Q6513" s="15" t="s">
        <v>136</v>
      </c>
      <c r="R6513" s="13" t="str">
        <f>HYPERLINK("https://my.pitchbook.com?c=214211-80T","View Company Online")</f>
        <v>View Company Online</v>
      </c>
    </row>
    <row r="6514" spans="1:18" hidden="1" x14ac:dyDescent="0.3">
      <c r="A6514" s="9" t="s">
        <v>19676</v>
      </c>
      <c r="B6514" s="9" t="s">
        <v>19677</v>
      </c>
      <c r="C6514" s="11" t="s">
        <v>28</v>
      </c>
      <c r="D6514" s="9" t="s">
        <v>19678</v>
      </c>
      <c r="E6514" s="11" t="s">
        <v>28</v>
      </c>
      <c r="F6514" s="10" t="s">
        <v>28</v>
      </c>
      <c r="G6514" s="10" t="s">
        <v>28</v>
      </c>
      <c r="H6514" s="10" t="s">
        <v>28</v>
      </c>
      <c r="I6514" s="11" t="s">
        <v>28</v>
      </c>
      <c r="J6514" s="11" t="s">
        <v>28</v>
      </c>
      <c r="K6514" s="11" t="s">
        <v>28</v>
      </c>
      <c r="L6514" s="11" t="s">
        <v>28</v>
      </c>
      <c r="M6514" s="11" t="s">
        <v>28</v>
      </c>
      <c r="N6514" s="8">
        <v>43819</v>
      </c>
      <c r="O6514" s="9" t="s">
        <v>173</v>
      </c>
      <c r="P6514" s="12" t="s">
        <v>28</v>
      </c>
      <c r="Q6514" s="9" t="s">
        <v>174</v>
      </c>
      <c r="R6514" s="14" t="str">
        <f>HYPERLINK("https://my.pitchbook.com?c=224370-28T","View Company Online")</f>
        <v>View Company Online</v>
      </c>
    </row>
    <row r="6515" spans="1:18" hidden="1" x14ac:dyDescent="0.3">
      <c r="A6515" s="15" t="s">
        <v>19679</v>
      </c>
      <c r="B6515" s="15" t="s">
        <v>19680</v>
      </c>
      <c r="C6515" s="18" t="s">
        <v>28</v>
      </c>
      <c r="D6515" s="15" t="s">
        <v>19681</v>
      </c>
      <c r="E6515" s="18" t="s">
        <v>28</v>
      </c>
      <c r="F6515" s="19">
        <v>8.99</v>
      </c>
      <c r="G6515" s="19">
        <v>8.99</v>
      </c>
      <c r="H6515" s="19">
        <v>8.99</v>
      </c>
      <c r="I6515" s="18" t="s">
        <v>28</v>
      </c>
      <c r="J6515" s="18" t="s">
        <v>28</v>
      </c>
      <c r="K6515" s="18" t="s">
        <v>28</v>
      </c>
      <c r="L6515" s="18" t="s">
        <v>28</v>
      </c>
      <c r="M6515" s="18" t="s">
        <v>28</v>
      </c>
      <c r="N6515" s="17">
        <v>43819</v>
      </c>
      <c r="O6515" s="15" t="s">
        <v>30</v>
      </c>
      <c r="P6515" s="16" t="s">
        <v>3058</v>
      </c>
      <c r="Q6515" s="15" t="s">
        <v>43</v>
      </c>
      <c r="R6515" s="13" t="str">
        <f>HYPERLINK("https://my.pitchbook.com?c=133811-20T","View Company Online")</f>
        <v>View Company Online</v>
      </c>
    </row>
    <row r="6516" spans="1:18" hidden="1" x14ac:dyDescent="0.3">
      <c r="A6516" s="9" t="s">
        <v>19682</v>
      </c>
      <c r="B6516" s="9" t="s">
        <v>19683</v>
      </c>
      <c r="C6516" s="11" t="s">
        <v>28</v>
      </c>
      <c r="D6516" s="9" t="s">
        <v>19684</v>
      </c>
      <c r="E6516" s="11" t="s">
        <v>28</v>
      </c>
      <c r="F6516" s="10" t="s">
        <v>28</v>
      </c>
      <c r="G6516" s="10" t="s">
        <v>28</v>
      </c>
      <c r="H6516" s="10" t="s">
        <v>28</v>
      </c>
      <c r="I6516" s="11" t="s">
        <v>28</v>
      </c>
      <c r="J6516" s="11" t="s">
        <v>28</v>
      </c>
      <c r="K6516" s="11" t="s">
        <v>28</v>
      </c>
      <c r="L6516" s="11" t="s">
        <v>28</v>
      </c>
      <c r="M6516" s="11" t="s">
        <v>28</v>
      </c>
      <c r="N6516" s="8">
        <v>43818</v>
      </c>
      <c r="O6516" s="9" t="s">
        <v>30</v>
      </c>
      <c r="P6516" s="12" t="s">
        <v>19685</v>
      </c>
      <c r="Q6516" s="9" t="s">
        <v>399</v>
      </c>
      <c r="R6516" s="14" t="str">
        <f>HYPERLINK("https://my.pitchbook.com?c=213480-46T","View Company Online")</f>
        <v>View Company Online</v>
      </c>
    </row>
    <row r="6517" spans="1:18" hidden="1" x14ac:dyDescent="0.3">
      <c r="A6517" s="15" t="s">
        <v>19686</v>
      </c>
      <c r="B6517" s="15" t="s">
        <v>19687</v>
      </c>
      <c r="C6517" s="18" t="s">
        <v>28</v>
      </c>
      <c r="D6517" s="15" t="s">
        <v>19688</v>
      </c>
      <c r="E6517" s="18" t="s">
        <v>28</v>
      </c>
      <c r="F6517" s="19" t="s">
        <v>28</v>
      </c>
      <c r="G6517" s="19">
        <v>0.05</v>
      </c>
      <c r="H6517" s="19" t="s">
        <v>28</v>
      </c>
      <c r="I6517" s="18" t="s">
        <v>28</v>
      </c>
      <c r="J6517" s="18" t="s">
        <v>28</v>
      </c>
      <c r="K6517" s="18" t="s">
        <v>28</v>
      </c>
      <c r="L6517" s="18" t="s">
        <v>28</v>
      </c>
      <c r="M6517" s="18" t="s">
        <v>28</v>
      </c>
      <c r="N6517" s="17">
        <v>43818</v>
      </c>
      <c r="O6517" s="15" t="s">
        <v>47</v>
      </c>
      <c r="P6517" s="16" t="s">
        <v>19689</v>
      </c>
      <c r="Q6517" s="15" t="s">
        <v>75</v>
      </c>
      <c r="R6517" s="13" t="str">
        <f>HYPERLINK("https://my.pitchbook.com?c=130848-13T","View Company Online")</f>
        <v>View Company Online</v>
      </c>
    </row>
    <row r="6518" spans="1:18" hidden="1" x14ac:dyDescent="0.3">
      <c r="A6518" s="9" t="s">
        <v>19690</v>
      </c>
      <c r="B6518" s="9" t="s">
        <v>19691</v>
      </c>
      <c r="C6518" s="11" t="s">
        <v>28</v>
      </c>
      <c r="D6518" s="9" t="s">
        <v>19692</v>
      </c>
      <c r="E6518" s="11" t="s">
        <v>28</v>
      </c>
      <c r="F6518" s="10">
        <v>860.4</v>
      </c>
      <c r="G6518" s="10">
        <v>860.4</v>
      </c>
      <c r="H6518" s="10">
        <v>860.4</v>
      </c>
      <c r="I6518" s="11" t="s">
        <v>28</v>
      </c>
      <c r="J6518" s="11" t="s">
        <v>28</v>
      </c>
      <c r="K6518" s="11" t="s">
        <v>28</v>
      </c>
      <c r="L6518" s="11" t="s">
        <v>28</v>
      </c>
      <c r="M6518" s="11" t="s">
        <v>28</v>
      </c>
      <c r="N6518" s="8">
        <v>43818</v>
      </c>
      <c r="O6518" s="9" t="s">
        <v>30</v>
      </c>
      <c r="P6518" s="12" t="s">
        <v>19693</v>
      </c>
      <c r="Q6518" s="9" t="s">
        <v>2043</v>
      </c>
      <c r="R6518" s="14" t="str">
        <f>HYPERLINK("https://my.pitchbook.com?c=131498-56T","View Company Online")</f>
        <v>View Company Online</v>
      </c>
    </row>
    <row r="6519" spans="1:18" hidden="1" x14ac:dyDescent="0.3">
      <c r="A6519" s="15" t="s">
        <v>19694</v>
      </c>
      <c r="B6519" s="15" t="s">
        <v>19695</v>
      </c>
      <c r="C6519" s="18" t="s">
        <v>28</v>
      </c>
      <c r="D6519" s="15" t="s">
        <v>19696</v>
      </c>
      <c r="E6519" s="18" t="s">
        <v>28</v>
      </c>
      <c r="F6519" s="19">
        <v>232.48</v>
      </c>
      <c r="G6519" s="19">
        <v>232.48</v>
      </c>
      <c r="H6519" s="19">
        <v>232.48</v>
      </c>
      <c r="I6519" s="18" t="s">
        <v>28</v>
      </c>
      <c r="J6519" s="18" t="s">
        <v>28</v>
      </c>
      <c r="K6519" s="18" t="s">
        <v>28</v>
      </c>
      <c r="L6519" s="18" t="s">
        <v>28</v>
      </c>
      <c r="M6519" s="18" t="s">
        <v>28</v>
      </c>
      <c r="N6519" s="17">
        <v>43818</v>
      </c>
      <c r="O6519" s="15" t="s">
        <v>30</v>
      </c>
      <c r="P6519" s="16" t="s">
        <v>10925</v>
      </c>
      <c r="Q6519" s="15" t="s">
        <v>85</v>
      </c>
      <c r="R6519" s="13" t="str">
        <f>HYPERLINK("https://my.pitchbook.com?c=128644-30T","View Company Online")</f>
        <v>View Company Online</v>
      </c>
    </row>
    <row r="6520" spans="1:18" hidden="1" x14ac:dyDescent="0.3">
      <c r="A6520" s="9" t="s">
        <v>19697</v>
      </c>
      <c r="B6520" s="9" t="s">
        <v>19698</v>
      </c>
      <c r="C6520" s="11" t="s">
        <v>28</v>
      </c>
      <c r="D6520" s="9" t="s">
        <v>19699</v>
      </c>
      <c r="E6520" s="11" t="s">
        <v>28</v>
      </c>
      <c r="F6520" s="10" t="s">
        <v>28</v>
      </c>
      <c r="G6520" s="10" t="s">
        <v>28</v>
      </c>
      <c r="H6520" s="10" t="s">
        <v>28</v>
      </c>
      <c r="I6520" s="11" t="s">
        <v>28</v>
      </c>
      <c r="J6520" s="11" t="s">
        <v>28</v>
      </c>
      <c r="K6520" s="11" t="s">
        <v>28</v>
      </c>
      <c r="L6520" s="11" t="s">
        <v>28</v>
      </c>
      <c r="M6520" s="11" t="s">
        <v>28</v>
      </c>
      <c r="N6520" s="8">
        <v>43818</v>
      </c>
      <c r="O6520" s="9" t="s">
        <v>30</v>
      </c>
      <c r="P6520" s="12" t="s">
        <v>4393</v>
      </c>
      <c r="Q6520" s="9" t="s">
        <v>1336</v>
      </c>
      <c r="R6520" s="14" t="str">
        <f>HYPERLINK("https://my.pitchbook.com?c=214212-07T","View Company Online")</f>
        <v>View Company Online</v>
      </c>
    </row>
    <row r="6521" spans="1:18" hidden="1" x14ac:dyDescent="0.3">
      <c r="A6521" s="15" t="s">
        <v>19700</v>
      </c>
      <c r="B6521" s="15" t="s">
        <v>11495</v>
      </c>
      <c r="C6521" s="18" t="s">
        <v>28</v>
      </c>
      <c r="D6521" s="15" t="s">
        <v>19701</v>
      </c>
      <c r="E6521" s="18" t="s">
        <v>28</v>
      </c>
      <c r="F6521" s="19" t="s">
        <v>28</v>
      </c>
      <c r="G6521" s="19" t="s">
        <v>28</v>
      </c>
      <c r="H6521" s="19" t="s">
        <v>28</v>
      </c>
      <c r="I6521" s="18" t="s">
        <v>28</v>
      </c>
      <c r="J6521" s="18" t="s">
        <v>28</v>
      </c>
      <c r="K6521" s="18" t="s">
        <v>28</v>
      </c>
      <c r="L6521" s="18" t="s">
        <v>28</v>
      </c>
      <c r="M6521" s="18" t="s">
        <v>28</v>
      </c>
      <c r="N6521" s="17">
        <v>43818</v>
      </c>
      <c r="O6521" s="15" t="s">
        <v>30</v>
      </c>
      <c r="P6521" s="16" t="s">
        <v>19683</v>
      </c>
      <c r="Q6521" s="15" t="s">
        <v>240</v>
      </c>
      <c r="R6521" s="13" t="str">
        <f>HYPERLINK("https://my.pitchbook.com?c=136765-45T","View Company Online")</f>
        <v>View Company Online</v>
      </c>
    </row>
    <row r="6522" spans="1:18" hidden="1" x14ac:dyDescent="0.3">
      <c r="A6522" s="9" t="s">
        <v>19702</v>
      </c>
      <c r="B6522" s="9" t="s">
        <v>2610</v>
      </c>
      <c r="C6522" s="11" t="s">
        <v>28</v>
      </c>
      <c r="D6522" s="9" t="s">
        <v>2611</v>
      </c>
      <c r="E6522" s="11" t="s">
        <v>28</v>
      </c>
      <c r="F6522" s="10" t="s">
        <v>28</v>
      </c>
      <c r="G6522" s="10">
        <v>0.69</v>
      </c>
      <c r="H6522" s="10">
        <v>4.68</v>
      </c>
      <c r="I6522" s="11" t="s">
        <v>28</v>
      </c>
      <c r="J6522" s="11" t="s">
        <v>28</v>
      </c>
      <c r="K6522" s="11" t="s">
        <v>28</v>
      </c>
      <c r="L6522" s="11" t="s">
        <v>28</v>
      </c>
      <c r="M6522" s="11" t="s">
        <v>28</v>
      </c>
      <c r="N6522" s="8">
        <v>43818</v>
      </c>
      <c r="O6522" s="9" t="s">
        <v>73</v>
      </c>
      <c r="P6522" s="12" t="s">
        <v>28</v>
      </c>
      <c r="Q6522" s="9" t="s">
        <v>583</v>
      </c>
      <c r="R6522" s="14" t="str">
        <f>HYPERLINK("https://my.pitchbook.com?c=128604-07T","View Company Online")</f>
        <v>View Company Online</v>
      </c>
    </row>
    <row r="6523" spans="1:18" hidden="1" x14ac:dyDescent="0.3">
      <c r="A6523" s="15" t="s">
        <v>19703</v>
      </c>
      <c r="B6523" s="15" t="s">
        <v>19704</v>
      </c>
      <c r="C6523" s="18" t="s">
        <v>28</v>
      </c>
      <c r="D6523" s="15" t="s">
        <v>19705</v>
      </c>
      <c r="E6523" s="18" t="s">
        <v>28</v>
      </c>
      <c r="F6523" s="19" t="s">
        <v>28</v>
      </c>
      <c r="G6523" s="19">
        <v>5.62</v>
      </c>
      <c r="H6523" s="19" t="s">
        <v>28</v>
      </c>
      <c r="I6523" s="18" t="s">
        <v>28</v>
      </c>
      <c r="J6523" s="18" t="s">
        <v>28</v>
      </c>
      <c r="K6523" s="18">
        <v>10.14</v>
      </c>
      <c r="L6523" s="18" t="s">
        <v>28</v>
      </c>
      <c r="M6523" s="18" t="s">
        <v>28</v>
      </c>
      <c r="N6523" s="17">
        <v>43817</v>
      </c>
      <c r="O6523" s="15" t="s">
        <v>79</v>
      </c>
      <c r="P6523" s="16" t="s">
        <v>19706</v>
      </c>
      <c r="Q6523" s="15" t="s">
        <v>75</v>
      </c>
      <c r="R6523" s="13" t="str">
        <f>HYPERLINK("https://my.pitchbook.com?c=133045-66T","View Company Online")</f>
        <v>View Company Online</v>
      </c>
    </row>
    <row r="6524" spans="1:18" hidden="1" x14ac:dyDescent="0.3">
      <c r="A6524" s="9" t="s">
        <v>19707</v>
      </c>
      <c r="B6524" s="9" t="s">
        <v>9418</v>
      </c>
      <c r="C6524" s="11" t="s">
        <v>28</v>
      </c>
      <c r="D6524" s="9" t="s">
        <v>9419</v>
      </c>
      <c r="E6524" s="11" t="s">
        <v>28</v>
      </c>
      <c r="F6524" s="10">
        <v>12.2</v>
      </c>
      <c r="G6524" s="10">
        <v>12.2</v>
      </c>
      <c r="H6524" s="10">
        <v>12.2</v>
      </c>
      <c r="I6524" s="11" t="s">
        <v>28</v>
      </c>
      <c r="J6524" s="11" t="s">
        <v>28</v>
      </c>
      <c r="K6524" s="11" t="s">
        <v>28</v>
      </c>
      <c r="L6524" s="11" t="s">
        <v>28</v>
      </c>
      <c r="M6524" s="11" t="s">
        <v>28</v>
      </c>
      <c r="N6524" s="8">
        <v>43817</v>
      </c>
      <c r="O6524" s="9" t="s">
        <v>41</v>
      </c>
      <c r="P6524" s="12" t="s">
        <v>19708</v>
      </c>
      <c r="Q6524" s="9" t="s">
        <v>75</v>
      </c>
      <c r="R6524" s="14" t="str">
        <f>HYPERLINK("https://my.pitchbook.com?c=185066-20T","View Company Online")</f>
        <v>View Company Online</v>
      </c>
    </row>
    <row r="6525" spans="1:18" hidden="1" x14ac:dyDescent="0.3">
      <c r="A6525" s="15" t="s">
        <v>19709</v>
      </c>
      <c r="B6525" s="15" t="s">
        <v>19710</v>
      </c>
      <c r="C6525" s="18" t="s">
        <v>28</v>
      </c>
      <c r="D6525" s="15" t="s">
        <v>19711</v>
      </c>
      <c r="E6525" s="18" t="s">
        <v>28</v>
      </c>
      <c r="F6525" s="19">
        <v>905</v>
      </c>
      <c r="G6525" s="19">
        <v>905</v>
      </c>
      <c r="H6525" s="19">
        <v>905</v>
      </c>
      <c r="I6525" s="18" t="s">
        <v>28</v>
      </c>
      <c r="J6525" s="18" t="s">
        <v>28</v>
      </c>
      <c r="K6525" s="18" t="s">
        <v>28</v>
      </c>
      <c r="L6525" s="18" t="s">
        <v>28</v>
      </c>
      <c r="M6525" s="18" t="s">
        <v>28</v>
      </c>
      <c r="N6525" s="17">
        <v>43817</v>
      </c>
      <c r="O6525" s="15" t="s">
        <v>30</v>
      </c>
      <c r="P6525" s="16" t="s">
        <v>19712</v>
      </c>
      <c r="Q6525" s="15" t="s">
        <v>692</v>
      </c>
      <c r="R6525" s="13" t="str">
        <f>HYPERLINK("https://my.pitchbook.com?c=117517-15T","View Company Online")</f>
        <v>View Company Online</v>
      </c>
    </row>
    <row r="6526" spans="1:18" hidden="1" x14ac:dyDescent="0.3">
      <c r="A6526" s="9" t="s">
        <v>19713</v>
      </c>
      <c r="B6526" s="9" t="s">
        <v>19714</v>
      </c>
      <c r="C6526" s="11" t="s">
        <v>28</v>
      </c>
      <c r="D6526" s="9" t="s">
        <v>19715</v>
      </c>
      <c r="E6526" s="11" t="s">
        <v>28</v>
      </c>
      <c r="F6526" s="10">
        <v>12.18</v>
      </c>
      <c r="G6526" s="10">
        <v>0.93</v>
      </c>
      <c r="H6526" s="10">
        <v>12.18</v>
      </c>
      <c r="I6526" s="11" t="s">
        <v>28</v>
      </c>
      <c r="J6526" s="11" t="s">
        <v>28</v>
      </c>
      <c r="K6526" s="11" t="s">
        <v>28</v>
      </c>
      <c r="L6526" s="11" t="s">
        <v>28</v>
      </c>
      <c r="M6526" s="11" t="s">
        <v>28</v>
      </c>
      <c r="N6526" s="8">
        <v>43816</v>
      </c>
      <c r="O6526" s="9" t="s">
        <v>30</v>
      </c>
      <c r="P6526" s="12" t="s">
        <v>18400</v>
      </c>
      <c r="Q6526" s="9" t="s">
        <v>37</v>
      </c>
      <c r="R6526" s="14" t="str">
        <f>HYPERLINK("https://my.pitchbook.com?c=216197-83T","View Company Online")</f>
        <v>View Company Online</v>
      </c>
    </row>
    <row r="6527" spans="1:18" hidden="1" x14ac:dyDescent="0.3">
      <c r="A6527" s="15" t="s">
        <v>19716</v>
      </c>
      <c r="B6527" s="15" t="s">
        <v>19717</v>
      </c>
      <c r="C6527" s="18" t="s">
        <v>28</v>
      </c>
      <c r="D6527" s="15" t="s">
        <v>19718</v>
      </c>
      <c r="E6527" s="18">
        <v>217.61</v>
      </c>
      <c r="F6527" s="19" t="s">
        <v>28</v>
      </c>
      <c r="G6527" s="19" t="s">
        <v>28</v>
      </c>
      <c r="H6527" s="19" t="s">
        <v>28</v>
      </c>
      <c r="I6527" s="18">
        <v>500.66</v>
      </c>
      <c r="J6527" s="18" t="s">
        <v>28</v>
      </c>
      <c r="K6527" s="18">
        <v>3658.97</v>
      </c>
      <c r="L6527" s="18" t="s">
        <v>28</v>
      </c>
      <c r="M6527" s="18">
        <v>39.380000000000003</v>
      </c>
      <c r="N6527" s="17">
        <v>43816</v>
      </c>
      <c r="O6527" s="15" t="s">
        <v>173</v>
      </c>
      <c r="P6527" s="16" t="s">
        <v>28</v>
      </c>
      <c r="Q6527" s="15" t="s">
        <v>362</v>
      </c>
      <c r="R6527" s="13" t="str">
        <f>HYPERLINK("https://my.pitchbook.com?c=187062-13T","View Company Online")</f>
        <v>View Company Online</v>
      </c>
    </row>
    <row r="6528" spans="1:18" hidden="1" x14ac:dyDescent="0.3">
      <c r="A6528" s="9" t="s">
        <v>19719</v>
      </c>
      <c r="B6528" s="9" t="s">
        <v>19720</v>
      </c>
      <c r="C6528" s="11" t="s">
        <v>28</v>
      </c>
      <c r="D6528" s="9" t="s">
        <v>19721</v>
      </c>
      <c r="E6528" s="11" t="s">
        <v>28</v>
      </c>
      <c r="F6528" s="10" t="s">
        <v>28</v>
      </c>
      <c r="G6528" s="10" t="s">
        <v>28</v>
      </c>
      <c r="H6528" s="10" t="s">
        <v>28</v>
      </c>
      <c r="I6528" s="11" t="s">
        <v>28</v>
      </c>
      <c r="J6528" s="11" t="s">
        <v>28</v>
      </c>
      <c r="K6528" s="11" t="s">
        <v>28</v>
      </c>
      <c r="L6528" s="11" t="s">
        <v>28</v>
      </c>
      <c r="M6528" s="11" t="s">
        <v>28</v>
      </c>
      <c r="N6528" s="8">
        <v>43816</v>
      </c>
      <c r="O6528" s="9" t="s">
        <v>41</v>
      </c>
      <c r="P6528" s="12" t="s">
        <v>11612</v>
      </c>
      <c r="Q6528" s="9" t="s">
        <v>409</v>
      </c>
      <c r="R6528" s="14" t="str">
        <f>HYPERLINK("https://my.pitchbook.com?c=128301-94T","View Company Online")</f>
        <v>View Company Online</v>
      </c>
    </row>
    <row r="6529" spans="1:18" hidden="1" x14ac:dyDescent="0.3">
      <c r="A6529" s="15" t="s">
        <v>19722</v>
      </c>
      <c r="B6529" s="15" t="s">
        <v>19723</v>
      </c>
      <c r="C6529" s="18" t="s">
        <v>28</v>
      </c>
      <c r="D6529" s="15" t="s">
        <v>19724</v>
      </c>
      <c r="E6529" s="18" t="s">
        <v>28</v>
      </c>
      <c r="F6529" s="19" t="s">
        <v>28</v>
      </c>
      <c r="G6529" s="19" t="s">
        <v>28</v>
      </c>
      <c r="H6529" s="19" t="s">
        <v>28</v>
      </c>
      <c r="I6529" s="18" t="s">
        <v>28</v>
      </c>
      <c r="J6529" s="18" t="s">
        <v>28</v>
      </c>
      <c r="K6529" s="18" t="s">
        <v>28</v>
      </c>
      <c r="L6529" s="18" t="s">
        <v>28</v>
      </c>
      <c r="M6529" s="18" t="s">
        <v>28</v>
      </c>
      <c r="N6529" s="17">
        <v>43816</v>
      </c>
      <c r="O6529" s="15" t="s">
        <v>173</v>
      </c>
      <c r="P6529" s="16" t="s">
        <v>28</v>
      </c>
      <c r="Q6529" s="15" t="s">
        <v>174</v>
      </c>
      <c r="R6529" s="13" t="str">
        <f>HYPERLINK("https://my.pitchbook.com?c=227751-31T","View Company Online")</f>
        <v>View Company Online</v>
      </c>
    </row>
    <row r="6530" spans="1:18" hidden="1" x14ac:dyDescent="0.3">
      <c r="A6530" s="9" t="s">
        <v>19725</v>
      </c>
      <c r="B6530" s="9" t="s">
        <v>3486</v>
      </c>
      <c r="C6530" s="11" t="s">
        <v>28</v>
      </c>
      <c r="D6530" s="9" t="s">
        <v>3487</v>
      </c>
      <c r="E6530" s="11">
        <v>4.7300000000000004</v>
      </c>
      <c r="F6530" s="10" t="s">
        <v>28</v>
      </c>
      <c r="G6530" s="10">
        <v>54</v>
      </c>
      <c r="H6530" s="10" t="s">
        <v>28</v>
      </c>
      <c r="I6530" s="11">
        <v>9.49</v>
      </c>
      <c r="J6530" s="11" t="s">
        <v>28</v>
      </c>
      <c r="K6530" s="11">
        <v>89.68</v>
      </c>
      <c r="L6530" s="11" t="s">
        <v>28</v>
      </c>
      <c r="M6530" s="11">
        <v>3.51</v>
      </c>
      <c r="N6530" s="8">
        <v>43816</v>
      </c>
      <c r="O6530" s="9" t="s">
        <v>93</v>
      </c>
      <c r="P6530" s="12" t="s">
        <v>19726</v>
      </c>
      <c r="Q6530" s="9" t="s">
        <v>263</v>
      </c>
      <c r="R6530" s="14" t="str">
        <f>HYPERLINK("https://my.pitchbook.com?c=128285-56T","View Company Online")</f>
        <v>View Company Online</v>
      </c>
    </row>
    <row r="6531" spans="1:18" hidden="1" x14ac:dyDescent="0.3">
      <c r="A6531" s="15" t="s">
        <v>19727</v>
      </c>
      <c r="B6531" s="15" t="s">
        <v>9021</v>
      </c>
      <c r="C6531" s="18" t="s">
        <v>28</v>
      </c>
      <c r="D6531" s="15" t="s">
        <v>9022</v>
      </c>
      <c r="E6531" s="18" t="s">
        <v>28</v>
      </c>
      <c r="F6531" s="19" t="s">
        <v>28</v>
      </c>
      <c r="G6531" s="19" t="s">
        <v>28</v>
      </c>
      <c r="H6531" s="19" t="s">
        <v>28</v>
      </c>
      <c r="I6531" s="18" t="s">
        <v>28</v>
      </c>
      <c r="J6531" s="18" t="s">
        <v>28</v>
      </c>
      <c r="K6531" s="18" t="s">
        <v>28</v>
      </c>
      <c r="L6531" s="18" t="s">
        <v>28</v>
      </c>
      <c r="M6531" s="18" t="s">
        <v>28</v>
      </c>
      <c r="N6531" s="17">
        <v>43815</v>
      </c>
      <c r="O6531" s="15" t="s">
        <v>99</v>
      </c>
      <c r="P6531" s="16" t="s">
        <v>19728</v>
      </c>
      <c r="Q6531" s="15" t="s">
        <v>362</v>
      </c>
      <c r="R6531" s="13" t="str">
        <f>HYPERLINK("https://my.pitchbook.com?c=128904-94T","View Company Online")</f>
        <v>View Company Online</v>
      </c>
    </row>
    <row r="6532" spans="1:18" hidden="1" x14ac:dyDescent="0.3">
      <c r="A6532" s="9" t="s">
        <v>19729</v>
      </c>
      <c r="B6532" s="9" t="s">
        <v>19730</v>
      </c>
      <c r="C6532" s="11" t="s">
        <v>28</v>
      </c>
      <c r="D6532" s="9" t="s">
        <v>19731</v>
      </c>
      <c r="E6532" s="11" t="s">
        <v>28</v>
      </c>
      <c r="F6532" s="10" t="s">
        <v>28</v>
      </c>
      <c r="G6532" s="10" t="s">
        <v>28</v>
      </c>
      <c r="H6532" s="10" t="s">
        <v>28</v>
      </c>
      <c r="I6532" s="11" t="s">
        <v>28</v>
      </c>
      <c r="J6532" s="11" t="s">
        <v>28</v>
      </c>
      <c r="K6532" s="11" t="s">
        <v>28</v>
      </c>
      <c r="L6532" s="11" t="s">
        <v>28</v>
      </c>
      <c r="M6532" s="11" t="s">
        <v>28</v>
      </c>
      <c r="N6532" s="8">
        <v>43815</v>
      </c>
      <c r="O6532" s="9" t="s">
        <v>173</v>
      </c>
      <c r="P6532" s="12" t="s">
        <v>28</v>
      </c>
      <c r="Q6532" s="9" t="s">
        <v>174</v>
      </c>
      <c r="R6532" s="14" t="str">
        <f>HYPERLINK("https://my.pitchbook.com?c=226403-47T","View Company Online")</f>
        <v>View Company Online</v>
      </c>
    </row>
    <row r="6533" spans="1:18" hidden="1" x14ac:dyDescent="0.3">
      <c r="A6533" s="15" t="s">
        <v>19732</v>
      </c>
      <c r="B6533" s="15" t="s">
        <v>5452</v>
      </c>
      <c r="C6533" s="18" t="s">
        <v>28</v>
      </c>
      <c r="D6533" s="15" t="s">
        <v>5453</v>
      </c>
      <c r="E6533" s="18" t="s">
        <v>28</v>
      </c>
      <c r="F6533" s="19" t="s">
        <v>28</v>
      </c>
      <c r="G6533" s="19">
        <v>0.12</v>
      </c>
      <c r="H6533" s="19" t="s">
        <v>28</v>
      </c>
      <c r="I6533" s="18" t="s">
        <v>28</v>
      </c>
      <c r="J6533" s="18" t="s">
        <v>28</v>
      </c>
      <c r="K6533" s="18" t="s">
        <v>28</v>
      </c>
      <c r="L6533" s="18" t="s">
        <v>28</v>
      </c>
      <c r="M6533" s="18" t="s">
        <v>28</v>
      </c>
      <c r="N6533" s="17">
        <v>43814</v>
      </c>
      <c r="O6533" s="15" t="s">
        <v>99</v>
      </c>
      <c r="P6533" s="16" t="s">
        <v>17432</v>
      </c>
      <c r="Q6533" s="15" t="s">
        <v>75</v>
      </c>
      <c r="R6533" s="13" t="str">
        <f>HYPERLINK("https://my.pitchbook.com?c=133058-62T","View Company Online")</f>
        <v>View Company Online</v>
      </c>
    </row>
    <row r="6534" spans="1:18" hidden="1" x14ac:dyDescent="0.3">
      <c r="A6534" s="9" t="s">
        <v>19733</v>
      </c>
      <c r="B6534" s="9" t="s">
        <v>19734</v>
      </c>
      <c r="C6534" s="11" t="s">
        <v>28</v>
      </c>
      <c r="D6534" s="9" t="s">
        <v>19735</v>
      </c>
      <c r="E6534" s="11" t="s">
        <v>28</v>
      </c>
      <c r="F6534" s="10" t="s">
        <v>28</v>
      </c>
      <c r="G6534" s="10" t="s">
        <v>28</v>
      </c>
      <c r="H6534" s="10" t="s">
        <v>28</v>
      </c>
      <c r="I6534" s="11" t="s">
        <v>28</v>
      </c>
      <c r="J6534" s="11" t="s">
        <v>28</v>
      </c>
      <c r="K6534" s="11" t="s">
        <v>28</v>
      </c>
      <c r="L6534" s="11" t="s">
        <v>28</v>
      </c>
      <c r="M6534" s="11" t="s">
        <v>28</v>
      </c>
      <c r="N6534" s="8">
        <v>43813</v>
      </c>
      <c r="O6534" s="9" t="s">
        <v>30</v>
      </c>
      <c r="P6534" s="12" t="s">
        <v>5444</v>
      </c>
      <c r="Q6534" s="9" t="s">
        <v>95</v>
      </c>
      <c r="R6534" s="14" t="str">
        <f>HYPERLINK("https://my.pitchbook.com?c=211729-15T","View Company Online")</f>
        <v>View Company Online</v>
      </c>
    </row>
    <row r="6535" spans="1:18" hidden="1" x14ac:dyDescent="0.3">
      <c r="A6535" s="15" t="s">
        <v>19736</v>
      </c>
      <c r="B6535" s="15" t="s">
        <v>4256</v>
      </c>
      <c r="C6535" s="18" t="s">
        <v>28</v>
      </c>
      <c r="D6535" s="15" t="s">
        <v>4257</v>
      </c>
      <c r="E6535" s="18" t="s">
        <v>28</v>
      </c>
      <c r="F6535" s="19" t="s">
        <v>28</v>
      </c>
      <c r="G6535" s="19">
        <v>0.12</v>
      </c>
      <c r="H6535" s="19" t="s">
        <v>28</v>
      </c>
      <c r="I6535" s="18" t="s">
        <v>28</v>
      </c>
      <c r="J6535" s="18" t="s">
        <v>28</v>
      </c>
      <c r="K6535" s="18" t="s">
        <v>28</v>
      </c>
      <c r="L6535" s="18" t="s">
        <v>28</v>
      </c>
      <c r="M6535" s="18" t="s">
        <v>28</v>
      </c>
      <c r="N6535" s="17">
        <v>43811</v>
      </c>
      <c r="O6535" s="15" t="s">
        <v>99</v>
      </c>
      <c r="P6535" s="16" t="s">
        <v>19737</v>
      </c>
      <c r="Q6535" s="15" t="s">
        <v>75</v>
      </c>
      <c r="R6535" s="13" t="str">
        <f>HYPERLINK("https://my.pitchbook.com?c=138711-25T","View Company Online")</f>
        <v>View Company Online</v>
      </c>
    </row>
    <row r="6536" spans="1:18" hidden="1" x14ac:dyDescent="0.3">
      <c r="A6536" s="9" t="s">
        <v>19738</v>
      </c>
      <c r="B6536" s="9" t="s">
        <v>19739</v>
      </c>
      <c r="C6536" s="11" t="s">
        <v>28</v>
      </c>
      <c r="D6536" s="9" t="s">
        <v>19740</v>
      </c>
      <c r="E6536" s="11" t="s">
        <v>28</v>
      </c>
      <c r="F6536" s="10" t="s">
        <v>28</v>
      </c>
      <c r="G6536" s="10">
        <v>0.36</v>
      </c>
      <c r="H6536" s="10" t="s">
        <v>28</v>
      </c>
      <c r="I6536" s="11" t="s">
        <v>28</v>
      </c>
      <c r="J6536" s="11" t="s">
        <v>28</v>
      </c>
      <c r="K6536" s="11" t="s">
        <v>28</v>
      </c>
      <c r="L6536" s="11" t="s">
        <v>28</v>
      </c>
      <c r="M6536" s="11" t="s">
        <v>28</v>
      </c>
      <c r="N6536" s="8">
        <v>43811</v>
      </c>
      <c r="O6536" s="9" t="s">
        <v>79</v>
      </c>
      <c r="P6536" s="12" t="s">
        <v>19741</v>
      </c>
      <c r="Q6536" s="9" t="s">
        <v>414</v>
      </c>
      <c r="R6536" s="14" t="str">
        <f>HYPERLINK("https://my.pitchbook.com?c=194628-07T","View Company Online")</f>
        <v>View Company Online</v>
      </c>
    </row>
    <row r="6537" spans="1:18" hidden="1" x14ac:dyDescent="0.3">
      <c r="A6537" s="15" t="s">
        <v>19742</v>
      </c>
      <c r="B6537" s="15" t="s">
        <v>19743</v>
      </c>
      <c r="C6537" s="18" t="s">
        <v>28</v>
      </c>
      <c r="D6537" s="15" t="s">
        <v>19744</v>
      </c>
      <c r="E6537" s="18" t="s">
        <v>28</v>
      </c>
      <c r="F6537" s="19">
        <v>176.25</v>
      </c>
      <c r="G6537" s="19">
        <v>176.25</v>
      </c>
      <c r="H6537" s="19">
        <v>176.25</v>
      </c>
      <c r="I6537" s="18" t="s">
        <v>28</v>
      </c>
      <c r="J6537" s="18" t="s">
        <v>28</v>
      </c>
      <c r="K6537" s="18" t="s">
        <v>28</v>
      </c>
      <c r="L6537" s="18" t="s">
        <v>28</v>
      </c>
      <c r="M6537" s="18" t="s">
        <v>28</v>
      </c>
      <c r="N6537" s="17">
        <v>43811</v>
      </c>
      <c r="O6537" s="15" t="s">
        <v>30</v>
      </c>
      <c r="P6537" s="16" t="s">
        <v>19745</v>
      </c>
      <c r="Q6537" s="15" t="s">
        <v>13990</v>
      </c>
      <c r="R6537" s="13" t="str">
        <f>HYPERLINK("https://my.pitchbook.com?c=203072-50T","View Company Online")</f>
        <v>View Company Online</v>
      </c>
    </row>
    <row r="6538" spans="1:18" hidden="1" x14ac:dyDescent="0.3">
      <c r="A6538" s="9" t="s">
        <v>19746</v>
      </c>
      <c r="B6538" s="9" t="s">
        <v>3770</v>
      </c>
      <c r="C6538" s="11" t="s">
        <v>28</v>
      </c>
      <c r="D6538" s="9" t="s">
        <v>3771</v>
      </c>
      <c r="E6538" s="11" t="s">
        <v>28</v>
      </c>
      <c r="F6538" s="10" t="s">
        <v>28</v>
      </c>
      <c r="G6538" s="10">
        <v>0.95</v>
      </c>
      <c r="H6538" s="10" t="s">
        <v>28</v>
      </c>
      <c r="I6538" s="11" t="s">
        <v>28</v>
      </c>
      <c r="J6538" s="11" t="s">
        <v>28</v>
      </c>
      <c r="K6538" s="11" t="s">
        <v>28</v>
      </c>
      <c r="L6538" s="11" t="s">
        <v>28</v>
      </c>
      <c r="M6538" s="11" t="s">
        <v>28</v>
      </c>
      <c r="N6538" s="8">
        <v>43811</v>
      </c>
      <c r="O6538" s="9" t="s">
        <v>79</v>
      </c>
      <c r="P6538" s="12" t="s">
        <v>19747</v>
      </c>
      <c r="Q6538" s="9" t="s">
        <v>607</v>
      </c>
      <c r="R6538" s="14" t="str">
        <f>HYPERLINK("https://my.pitchbook.com?c=128519-38T","View Company Online")</f>
        <v>View Company Online</v>
      </c>
    </row>
    <row r="6539" spans="1:18" hidden="1" x14ac:dyDescent="0.3">
      <c r="A6539" s="15" t="s">
        <v>19748</v>
      </c>
      <c r="B6539" s="15" t="s">
        <v>19749</v>
      </c>
      <c r="C6539" s="18" t="s">
        <v>28</v>
      </c>
      <c r="D6539" s="15" t="s">
        <v>19750</v>
      </c>
      <c r="E6539" s="18" t="s">
        <v>28</v>
      </c>
      <c r="F6539" s="19">
        <v>1.43</v>
      </c>
      <c r="G6539" s="19">
        <v>1.43</v>
      </c>
      <c r="H6539" s="19">
        <v>1.43</v>
      </c>
      <c r="I6539" s="18" t="s">
        <v>28</v>
      </c>
      <c r="J6539" s="18" t="s">
        <v>28</v>
      </c>
      <c r="K6539" s="18" t="s">
        <v>28</v>
      </c>
      <c r="L6539" s="18" t="s">
        <v>28</v>
      </c>
      <c r="M6539" s="18" t="s">
        <v>28</v>
      </c>
      <c r="N6539" s="17">
        <v>43811</v>
      </c>
      <c r="O6539" s="15" t="s">
        <v>30</v>
      </c>
      <c r="P6539" s="16" t="s">
        <v>19751</v>
      </c>
      <c r="Q6539" s="15" t="s">
        <v>136</v>
      </c>
      <c r="R6539" s="13" t="str">
        <f>HYPERLINK("https://my.pitchbook.com?c=133779-70T","View Company Online")</f>
        <v>View Company Online</v>
      </c>
    </row>
    <row r="6540" spans="1:18" hidden="1" x14ac:dyDescent="0.3">
      <c r="A6540" s="9" t="s">
        <v>19752</v>
      </c>
      <c r="B6540" s="9" t="s">
        <v>19753</v>
      </c>
      <c r="C6540" s="11" t="s">
        <v>28</v>
      </c>
      <c r="D6540" s="9" t="s">
        <v>19754</v>
      </c>
      <c r="E6540" s="11" t="s">
        <v>28</v>
      </c>
      <c r="F6540" s="10" t="s">
        <v>28</v>
      </c>
      <c r="G6540" s="10" t="s">
        <v>28</v>
      </c>
      <c r="H6540" s="10" t="s">
        <v>28</v>
      </c>
      <c r="I6540" s="11" t="s">
        <v>28</v>
      </c>
      <c r="J6540" s="11" t="s">
        <v>28</v>
      </c>
      <c r="K6540" s="11" t="s">
        <v>28</v>
      </c>
      <c r="L6540" s="11" t="s">
        <v>28</v>
      </c>
      <c r="M6540" s="11" t="s">
        <v>28</v>
      </c>
      <c r="N6540" s="8">
        <v>43811</v>
      </c>
      <c r="O6540" s="9" t="s">
        <v>41</v>
      </c>
      <c r="P6540" s="12" t="s">
        <v>19755</v>
      </c>
      <c r="Q6540" s="9" t="s">
        <v>183</v>
      </c>
      <c r="R6540" s="14" t="str">
        <f>HYPERLINK("https://my.pitchbook.com?c=224534-89T","View Company Online")</f>
        <v>View Company Online</v>
      </c>
    </row>
    <row r="6541" spans="1:18" hidden="1" x14ac:dyDescent="0.3">
      <c r="A6541" s="15" t="s">
        <v>19756</v>
      </c>
      <c r="B6541" s="15" t="s">
        <v>9459</v>
      </c>
      <c r="C6541" s="18" t="s">
        <v>28</v>
      </c>
      <c r="D6541" s="15" t="s">
        <v>9460</v>
      </c>
      <c r="E6541" s="18" t="s">
        <v>28</v>
      </c>
      <c r="F6541" s="19" t="s">
        <v>28</v>
      </c>
      <c r="G6541" s="19">
        <v>2.21</v>
      </c>
      <c r="H6541" s="19" t="s">
        <v>28</v>
      </c>
      <c r="I6541" s="18" t="s">
        <v>28</v>
      </c>
      <c r="J6541" s="18" t="s">
        <v>28</v>
      </c>
      <c r="K6541" s="18" t="s">
        <v>28</v>
      </c>
      <c r="L6541" s="18" t="s">
        <v>28</v>
      </c>
      <c r="M6541" s="18" t="s">
        <v>28</v>
      </c>
      <c r="N6541" s="17">
        <v>43810</v>
      </c>
      <c r="O6541" s="15" t="s">
        <v>79</v>
      </c>
      <c r="P6541" s="16" t="s">
        <v>9461</v>
      </c>
      <c r="Q6541" s="15" t="s">
        <v>583</v>
      </c>
      <c r="R6541" s="13" t="str">
        <f>HYPERLINK("https://my.pitchbook.com?c=127936-54T","View Company Online")</f>
        <v>View Company Online</v>
      </c>
    </row>
    <row r="6542" spans="1:18" hidden="1" x14ac:dyDescent="0.3">
      <c r="A6542" s="9" t="s">
        <v>19757</v>
      </c>
      <c r="B6542" s="9" t="s">
        <v>19758</v>
      </c>
      <c r="C6542" s="11" t="s">
        <v>28</v>
      </c>
      <c r="D6542" s="9" t="s">
        <v>19759</v>
      </c>
      <c r="E6542" s="11" t="s">
        <v>28</v>
      </c>
      <c r="F6542" s="10" t="s">
        <v>28</v>
      </c>
      <c r="G6542" s="10" t="s">
        <v>28</v>
      </c>
      <c r="H6542" s="10" t="s">
        <v>28</v>
      </c>
      <c r="I6542" s="11" t="s">
        <v>28</v>
      </c>
      <c r="J6542" s="11" t="s">
        <v>28</v>
      </c>
      <c r="K6542" s="11">
        <v>42.57</v>
      </c>
      <c r="L6542" s="11" t="s">
        <v>28</v>
      </c>
      <c r="M6542" s="11" t="s">
        <v>28</v>
      </c>
      <c r="N6542" s="8">
        <v>43810</v>
      </c>
      <c r="O6542" s="9" t="s">
        <v>30</v>
      </c>
      <c r="P6542" s="12" t="s">
        <v>954</v>
      </c>
      <c r="Q6542" s="9" t="s">
        <v>75</v>
      </c>
      <c r="R6542" s="14" t="str">
        <f>HYPERLINK("https://my.pitchbook.com?c=124278-58T","View Company Online")</f>
        <v>View Company Online</v>
      </c>
    </row>
    <row r="6543" spans="1:18" x14ac:dyDescent="0.3">
      <c r="A6543" s="15" t="s">
        <v>19760</v>
      </c>
      <c r="B6543" s="15" t="s">
        <v>19761</v>
      </c>
      <c r="C6543" s="18" t="s">
        <v>28</v>
      </c>
      <c r="D6543" s="15" t="s">
        <v>19762</v>
      </c>
      <c r="E6543" s="18">
        <v>-0.04</v>
      </c>
      <c r="F6543" s="19">
        <v>1.2</v>
      </c>
      <c r="G6543" s="19">
        <v>2.2999999999999998</v>
      </c>
      <c r="H6543" s="19">
        <v>3.46</v>
      </c>
      <c r="I6543" s="18">
        <v>-0.02</v>
      </c>
      <c r="J6543" s="18">
        <v>-147.08000000000001</v>
      </c>
      <c r="K6543" s="18">
        <v>0.62</v>
      </c>
      <c r="L6543" s="18">
        <v>5.53</v>
      </c>
      <c r="M6543" s="18">
        <v>-7.0000000000000007E-2</v>
      </c>
      <c r="N6543" s="17">
        <v>43810</v>
      </c>
      <c r="O6543" s="15" t="s">
        <v>30</v>
      </c>
      <c r="P6543" s="16" t="s">
        <v>2347</v>
      </c>
      <c r="Q6543" s="15" t="s">
        <v>696</v>
      </c>
      <c r="R6543" s="13" t="str">
        <f>HYPERLINK("https://my.pitchbook.com?c=198677-89T","View Company Online")</f>
        <v>View Company Online</v>
      </c>
    </row>
    <row r="6544" spans="1:18" hidden="1" x14ac:dyDescent="0.3">
      <c r="A6544" s="9" t="s">
        <v>19763</v>
      </c>
      <c r="B6544" s="9" t="s">
        <v>15048</v>
      </c>
      <c r="C6544" s="11" t="s">
        <v>28</v>
      </c>
      <c r="D6544" s="9" t="s">
        <v>15049</v>
      </c>
      <c r="E6544" s="11" t="s">
        <v>28</v>
      </c>
      <c r="F6544" s="10" t="s">
        <v>28</v>
      </c>
      <c r="G6544" s="10">
        <v>7.5</v>
      </c>
      <c r="H6544" s="10" t="s">
        <v>28</v>
      </c>
      <c r="I6544" s="11" t="s">
        <v>28</v>
      </c>
      <c r="J6544" s="11" t="s">
        <v>28</v>
      </c>
      <c r="K6544" s="11" t="s">
        <v>28</v>
      </c>
      <c r="L6544" s="11" t="s">
        <v>28</v>
      </c>
      <c r="M6544" s="11" t="s">
        <v>28</v>
      </c>
      <c r="N6544" s="8">
        <v>43810</v>
      </c>
      <c r="O6544" s="9" t="s">
        <v>73</v>
      </c>
      <c r="P6544" s="12" t="s">
        <v>19764</v>
      </c>
      <c r="Q6544" s="9" t="s">
        <v>75</v>
      </c>
      <c r="R6544" s="14" t="str">
        <f>HYPERLINK("https://my.pitchbook.com?c=135088-39T","View Company Online")</f>
        <v>View Company Online</v>
      </c>
    </row>
    <row r="6545" spans="1:18" hidden="1" x14ac:dyDescent="0.3">
      <c r="A6545" s="15" t="s">
        <v>19765</v>
      </c>
      <c r="B6545" s="15" t="s">
        <v>19766</v>
      </c>
      <c r="C6545" s="18" t="s">
        <v>28</v>
      </c>
      <c r="D6545" s="15" t="s">
        <v>19767</v>
      </c>
      <c r="E6545" s="18" t="s">
        <v>28</v>
      </c>
      <c r="F6545" s="19" t="s">
        <v>28</v>
      </c>
      <c r="G6545" s="19" t="s">
        <v>28</v>
      </c>
      <c r="H6545" s="19" t="s">
        <v>28</v>
      </c>
      <c r="I6545" s="18" t="s">
        <v>28</v>
      </c>
      <c r="J6545" s="18" t="s">
        <v>28</v>
      </c>
      <c r="K6545" s="18" t="s">
        <v>28</v>
      </c>
      <c r="L6545" s="18" t="s">
        <v>28</v>
      </c>
      <c r="M6545" s="18" t="s">
        <v>28</v>
      </c>
      <c r="N6545" s="17">
        <v>43810</v>
      </c>
      <c r="O6545" s="15" t="s">
        <v>30</v>
      </c>
      <c r="P6545" s="16" t="s">
        <v>19768</v>
      </c>
      <c r="Q6545" s="15" t="s">
        <v>1527</v>
      </c>
      <c r="R6545" s="13" t="str">
        <f>HYPERLINK("https://my.pitchbook.com?c=127911-79T","View Company Online")</f>
        <v>View Company Online</v>
      </c>
    </row>
    <row r="6546" spans="1:18" hidden="1" x14ac:dyDescent="0.3">
      <c r="A6546" s="9" t="s">
        <v>19769</v>
      </c>
      <c r="B6546" s="9" t="s">
        <v>421</v>
      </c>
      <c r="C6546" s="11" t="s">
        <v>28</v>
      </c>
      <c r="D6546" s="9" t="s">
        <v>422</v>
      </c>
      <c r="E6546" s="11">
        <v>321.42</v>
      </c>
      <c r="F6546" s="10" t="s">
        <v>28</v>
      </c>
      <c r="G6546" s="10">
        <v>1957.79</v>
      </c>
      <c r="H6546" s="10">
        <v>9836.36</v>
      </c>
      <c r="I6546" s="11">
        <v>341.87</v>
      </c>
      <c r="J6546" s="11">
        <v>28.77</v>
      </c>
      <c r="K6546" s="11">
        <v>760.55</v>
      </c>
      <c r="L6546" s="11">
        <v>12.93</v>
      </c>
      <c r="M6546" s="11">
        <v>207.07</v>
      </c>
      <c r="N6546" s="8">
        <v>43810</v>
      </c>
      <c r="O6546" s="9" t="s">
        <v>173</v>
      </c>
      <c r="P6546" s="12" t="s">
        <v>28</v>
      </c>
      <c r="Q6546" s="9" t="s">
        <v>424</v>
      </c>
      <c r="R6546" s="14" t="str">
        <f>HYPERLINK("https://my.pitchbook.com?c=126502-66T","View Company Online")</f>
        <v>View Company Online</v>
      </c>
    </row>
    <row r="6547" spans="1:18" hidden="1" x14ac:dyDescent="0.3">
      <c r="A6547" s="15" t="s">
        <v>19770</v>
      </c>
      <c r="B6547" s="15" t="s">
        <v>11235</v>
      </c>
      <c r="C6547" s="18" t="s">
        <v>28</v>
      </c>
      <c r="D6547" s="15" t="s">
        <v>11236</v>
      </c>
      <c r="E6547" s="18" t="s">
        <v>28</v>
      </c>
      <c r="F6547" s="19">
        <v>6000</v>
      </c>
      <c r="G6547" s="19">
        <v>6000</v>
      </c>
      <c r="H6547" s="19">
        <v>6000</v>
      </c>
      <c r="I6547" s="18" t="s">
        <v>28</v>
      </c>
      <c r="J6547" s="18" t="s">
        <v>28</v>
      </c>
      <c r="K6547" s="18" t="s">
        <v>28</v>
      </c>
      <c r="L6547" s="18" t="s">
        <v>28</v>
      </c>
      <c r="M6547" s="18" t="s">
        <v>28</v>
      </c>
      <c r="N6547" s="17">
        <v>43809</v>
      </c>
      <c r="O6547" s="15" t="s">
        <v>30</v>
      </c>
      <c r="P6547" s="16" t="s">
        <v>28</v>
      </c>
      <c r="Q6547" s="15" t="s">
        <v>226</v>
      </c>
      <c r="R6547" s="13" t="str">
        <f>HYPERLINK("https://my.pitchbook.com?c=125311-87T","View Company Online")</f>
        <v>View Company Online</v>
      </c>
    </row>
    <row r="6548" spans="1:18" hidden="1" x14ac:dyDescent="0.3">
      <c r="A6548" s="9" t="s">
        <v>19771</v>
      </c>
      <c r="B6548" s="9" t="s">
        <v>15980</v>
      </c>
      <c r="C6548" s="11" t="s">
        <v>28</v>
      </c>
      <c r="D6548" s="9" t="s">
        <v>15981</v>
      </c>
      <c r="E6548" s="11" t="s">
        <v>28</v>
      </c>
      <c r="F6548" s="10" t="s">
        <v>28</v>
      </c>
      <c r="G6548" s="10" t="s">
        <v>28</v>
      </c>
      <c r="H6548" s="10" t="s">
        <v>28</v>
      </c>
      <c r="I6548" s="11" t="s">
        <v>28</v>
      </c>
      <c r="J6548" s="11" t="s">
        <v>28</v>
      </c>
      <c r="K6548" s="11">
        <v>0.12</v>
      </c>
      <c r="L6548" s="11" t="s">
        <v>28</v>
      </c>
      <c r="M6548" s="11" t="s">
        <v>28</v>
      </c>
      <c r="N6548" s="8">
        <v>43809</v>
      </c>
      <c r="O6548" s="9" t="s">
        <v>58</v>
      </c>
      <c r="P6548" s="12" t="s">
        <v>19772</v>
      </c>
      <c r="Q6548" s="9" t="s">
        <v>95</v>
      </c>
      <c r="R6548" s="14" t="str">
        <f>HYPERLINK("https://my.pitchbook.com?c=170583-58T","View Company Online")</f>
        <v>View Company Online</v>
      </c>
    </row>
    <row r="6549" spans="1:18" hidden="1" x14ac:dyDescent="0.3">
      <c r="A6549" s="15" t="s">
        <v>19773</v>
      </c>
      <c r="B6549" s="15" t="s">
        <v>19774</v>
      </c>
      <c r="C6549" s="18" t="s">
        <v>28</v>
      </c>
      <c r="D6549" s="15" t="s">
        <v>19775</v>
      </c>
      <c r="E6549" s="18" t="s">
        <v>28</v>
      </c>
      <c r="F6549" s="19" t="s">
        <v>28</v>
      </c>
      <c r="G6549" s="19" t="s">
        <v>28</v>
      </c>
      <c r="H6549" s="19" t="s">
        <v>28</v>
      </c>
      <c r="I6549" s="18" t="s">
        <v>28</v>
      </c>
      <c r="J6549" s="18" t="s">
        <v>28</v>
      </c>
      <c r="K6549" s="18" t="s">
        <v>28</v>
      </c>
      <c r="L6549" s="18" t="s">
        <v>28</v>
      </c>
      <c r="M6549" s="18" t="s">
        <v>28</v>
      </c>
      <c r="N6549" s="17">
        <v>43809</v>
      </c>
      <c r="O6549" s="15" t="s">
        <v>173</v>
      </c>
      <c r="P6549" s="16" t="s">
        <v>28</v>
      </c>
      <c r="Q6549" s="15" t="s">
        <v>240</v>
      </c>
      <c r="R6549" s="13" t="str">
        <f>HYPERLINK("https://my.pitchbook.com?c=225079-12T","View Company Online")</f>
        <v>View Company Online</v>
      </c>
    </row>
    <row r="6550" spans="1:18" hidden="1" x14ac:dyDescent="0.3">
      <c r="A6550" s="9" t="s">
        <v>19776</v>
      </c>
      <c r="B6550" s="9" t="s">
        <v>16681</v>
      </c>
      <c r="C6550" s="11" t="s">
        <v>28</v>
      </c>
      <c r="D6550" s="9" t="s">
        <v>19777</v>
      </c>
      <c r="E6550" s="11" t="s">
        <v>28</v>
      </c>
      <c r="F6550" s="10" t="s">
        <v>28</v>
      </c>
      <c r="G6550" s="10">
        <v>21.43</v>
      </c>
      <c r="H6550" s="10" t="s">
        <v>28</v>
      </c>
      <c r="I6550" s="11" t="s">
        <v>28</v>
      </c>
      <c r="J6550" s="11" t="s">
        <v>28</v>
      </c>
      <c r="K6550" s="11" t="s">
        <v>28</v>
      </c>
      <c r="L6550" s="11" t="s">
        <v>28</v>
      </c>
      <c r="M6550" s="11" t="s">
        <v>28</v>
      </c>
      <c r="N6550" s="8">
        <v>43808</v>
      </c>
      <c r="O6550" s="9" t="s">
        <v>79</v>
      </c>
      <c r="P6550" s="12" t="s">
        <v>19778</v>
      </c>
      <c r="Q6550" s="9" t="s">
        <v>566</v>
      </c>
      <c r="R6550" s="14" t="str">
        <f>HYPERLINK("https://my.pitchbook.com?c=127859-23T","View Company Online")</f>
        <v>View Company Online</v>
      </c>
    </row>
    <row r="6551" spans="1:18" hidden="1" x14ac:dyDescent="0.3">
      <c r="A6551" s="15" t="s">
        <v>19779</v>
      </c>
      <c r="B6551" s="15" t="s">
        <v>19780</v>
      </c>
      <c r="C6551" s="18" t="s">
        <v>28</v>
      </c>
      <c r="D6551" s="15" t="s">
        <v>19781</v>
      </c>
      <c r="E6551" s="18" t="s">
        <v>28</v>
      </c>
      <c r="F6551" s="19" t="s">
        <v>28</v>
      </c>
      <c r="G6551" s="19" t="s">
        <v>28</v>
      </c>
      <c r="H6551" s="19" t="s">
        <v>28</v>
      </c>
      <c r="I6551" s="18" t="s">
        <v>28</v>
      </c>
      <c r="J6551" s="18" t="s">
        <v>28</v>
      </c>
      <c r="K6551" s="18" t="s">
        <v>28</v>
      </c>
      <c r="L6551" s="18" t="s">
        <v>28</v>
      </c>
      <c r="M6551" s="18" t="s">
        <v>28</v>
      </c>
      <c r="N6551" s="17">
        <v>43808</v>
      </c>
      <c r="O6551" s="15" t="s">
        <v>30</v>
      </c>
      <c r="P6551" s="16" t="s">
        <v>19782</v>
      </c>
      <c r="Q6551" s="15" t="s">
        <v>8610</v>
      </c>
      <c r="R6551" s="13" t="str">
        <f>HYPERLINK("https://my.pitchbook.com?c=153852-31T","View Company Online")</f>
        <v>View Company Online</v>
      </c>
    </row>
    <row r="6552" spans="1:18" hidden="1" x14ac:dyDescent="0.3">
      <c r="A6552" s="9" t="s">
        <v>19783</v>
      </c>
      <c r="B6552" s="9" t="s">
        <v>12187</v>
      </c>
      <c r="C6552" s="11" t="s">
        <v>28</v>
      </c>
      <c r="D6552" s="9" t="s">
        <v>12188</v>
      </c>
      <c r="E6552" s="11" t="s">
        <v>28</v>
      </c>
      <c r="F6552" s="10" t="s">
        <v>28</v>
      </c>
      <c r="G6552" s="10" t="s">
        <v>28</v>
      </c>
      <c r="H6552" s="10" t="s">
        <v>28</v>
      </c>
      <c r="I6552" s="11" t="s">
        <v>28</v>
      </c>
      <c r="J6552" s="11" t="s">
        <v>28</v>
      </c>
      <c r="K6552" s="11" t="s">
        <v>28</v>
      </c>
      <c r="L6552" s="11" t="s">
        <v>28</v>
      </c>
      <c r="M6552" s="11" t="s">
        <v>28</v>
      </c>
      <c r="N6552" s="8">
        <v>43808</v>
      </c>
      <c r="O6552" s="9" t="s">
        <v>52</v>
      </c>
      <c r="P6552" s="12" t="s">
        <v>4338</v>
      </c>
      <c r="Q6552" s="9" t="s">
        <v>3912</v>
      </c>
      <c r="R6552" s="14" t="str">
        <f>HYPERLINK("https://my.pitchbook.com?c=295569-37T","View Company Online")</f>
        <v>View Company Online</v>
      </c>
    </row>
    <row r="6553" spans="1:18" hidden="1" x14ac:dyDescent="0.3">
      <c r="A6553" s="15" t="s">
        <v>19784</v>
      </c>
      <c r="B6553" s="15" t="s">
        <v>19785</v>
      </c>
      <c r="C6553" s="18" t="s">
        <v>28</v>
      </c>
      <c r="D6553" s="15" t="s">
        <v>19786</v>
      </c>
      <c r="E6553" s="18" t="s">
        <v>28</v>
      </c>
      <c r="F6553" s="19" t="s">
        <v>28</v>
      </c>
      <c r="G6553" s="19" t="s">
        <v>28</v>
      </c>
      <c r="H6553" s="19" t="s">
        <v>28</v>
      </c>
      <c r="I6553" s="18" t="s">
        <v>28</v>
      </c>
      <c r="J6553" s="18" t="s">
        <v>28</v>
      </c>
      <c r="K6553" s="18" t="s">
        <v>28</v>
      </c>
      <c r="L6553" s="18" t="s">
        <v>28</v>
      </c>
      <c r="M6553" s="18" t="s">
        <v>28</v>
      </c>
      <c r="N6553" s="17">
        <v>43808</v>
      </c>
      <c r="O6553" s="15" t="s">
        <v>173</v>
      </c>
      <c r="P6553" s="16" t="s">
        <v>28</v>
      </c>
      <c r="Q6553" s="15" t="s">
        <v>174</v>
      </c>
      <c r="R6553" s="13" t="str">
        <f>HYPERLINK("https://my.pitchbook.com?c=227755-63T","View Company Online")</f>
        <v>View Company Online</v>
      </c>
    </row>
    <row r="6554" spans="1:18" hidden="1" x14ac:dyDescent="0.3">
      <c r="A6554" s="9" t="s">
        <v>19787</v>
      </c>
      <c r="B6554" s="9" t="s">
        <v>14379</v>
      </c>
      <c r="C6554" s="11" t="s">
        <v>28</v>
      </c>
      <c r="D6554" s="9" t="s">
        <v>14380</v>
      </c>
      <c r="E6554" s="11" t="s">
        <v>28</v>
      </c>
      <c r="F6554" s="10" t="s">
        <v>28</v>
      </c>
      <c r="G6554" s="10">
        <v>0.12</v>
      </c>
      <c r="H6554" s="10" t="s">
        <v>28</v>
      </c>
      <c r="I6554" s="11" t="s">
        <v>28</v>
      </c>
      <c r="J6554" s="11" t="s">
        <v>28</v>
      </c>
      <c r="K6554" s="11" t="s">
        <v>28</v>
      </c>
      <c r="L6554" s="11" t="s">
        <v>28</v>
      </c>
      <c r="M6554" s="11" t="s">
        <v>28</v>
      </c>
      <c r="N6554" s="8">
        <v>43805</v>
      </c>
      <c r="O6554" s="9" t="s">
        <v>99</v>
      </c>
      <c r="P6554" s="12" t="s">
        <v>19788</v>
      </c>
      <c r="Q6554" s="9" t="s">
        <v>119</v>
      </c>
      <c r="R6554" s="14" t="str">
        <f>HYPERLINK("https://my.pitchbook.com?c=133779-16T","View Company Online")</f>
        <v>View Company Online</v>
      </c>
    </row>
    <row r="6555" spans="1:18" hidden="1" x14ac:dyDescent="0.3">
      <c r="A6555" s="15" t="s">
        <v>19789</v>
      </c>
      <c r="B6555" s="15" t="s">
        <v>19790</v>
      </c>
      <c r="C6555" s="18" t="s">
        <v>28</v>
      </c>
      <c r="D6555" s="15" t="s">
        <v>19791</v>
      </c>
      <c r="E6555" s="18" t="s">
        <v>28</v>
      </c>
      <c r="F6555" s="19" t="s">
        <v>28</v>
      </c>
      <c r="G6555" s="19" t="s">
        <v>28</v>
      </c>
      <c r="H6555" s="19" t="s">
        <v>28</v>
      </c>
      <c r="I6555" s="18" t="s">
        <v>28</v>
      </c>
      <c r="J6555" s="18" t="s">
        <v>28</v>
      </c>
      <c r="K6555" s="18" t="s">
        <v>28</v>
      </c>
      <c r="L6555" s="18" t="s">
        <v>28</v>
      </c>
      <c r="M6555" s="18" t="s">
        <v>28</v>
      </c>
      <c r="N6555" s="17">
        <v>43805</v>
      </c>
      <c r="O6555" s="15" t="s">
        <v>41</v>
      </c>
      <c r="P6555" s="16" t="s">
        <v>19792</v>
      </c>
      <c r="Q6555" s="15" t="s">
        <v>43</v>
      </c>
      <c r="R6555" s="13" t="str">
        <f>HYPERLINK("https://my.pitchbook.com?c=224552-53T","View Company Online")</f>
        <v>View Company Online</v>
      </c>
    </row>
    <row r="6556" spans="1:18" hidden="1" x14ac:dyDescent="0.3">
      <c r="A6556" s="9" t="s">
        <v>19793</v>
      </c>
      <c r="B6556" s="9" t="s">
        <v>19794</v>
      </c>
      <c r="C6556" s="11" t="s">
        <v>28</v>
      </c>
      <c r="D6556" s="9" t="s">
        <v>19795</v>
      </c>
      <c r="E6556" s="11" t="s">
        <v>28</v>
      </c>
      <c r="F6556" s="10" t="s">
        <v>28</v>
      </c>
      <c r="G6556" s="10">
        <v>1.1499999999999999</v>
      </c>
      <c r="H6556" s="10" t="s">
        <v>28</v>
      </c>
      <c r="I6556" s="11" t="s">
        <v>28</v>
      </c>
      <c r="J6556" s="11" t="s">
        <v>28</v>
      </c>
      <c r="K6556" s="11" t="s">
        <v>28</v>
      </c>
      <c r="L6556" s="11" t="s">
        <v>28</v>
      </c>
      <c r="M6556" s="11" t="s">
        <v>28</v>
      </c>
      <c r="N6556" s="8">
        <v>43804</v>
      </c>
      <c r="O6556" s="9" t="s">
        <v>99</v>
      </c>
      <c r="P6556" s="12" t="s">
        <v>28</v>
      </c>
      <c r="Q6556" s="9" t="s">
        <v>114</v>
      </c>
      <c r="R6556" s="14" t="str">
        <f>HYPERLINK("https://my.pitchbook.com?c=166858-84T","View Company Online")</f>
        <v>View Company Online</v>
      </c>
    </row>
    <row r="6557" spans="1:18" hidden="1" x14ac:dyDescent="0.3">
      <c r="A6557" s="15" t="s">
        <v>19796</v>
      </c>
      <c r="B6557" s="15" t="s">
        <v>14189</v>
      </c>
      <c r="C6557" s="18" t="s">
        <v>28</v>
      </c>
      <c r="D6557" s="15" t="s">
        <v>14190</v>
      </c>
      <c r="E6557" s="18" t="s">
        <v>28</v>
      </c>
      <c r="F6557" s="19" t="s">
        <v>28</v>
      </c>
      <c r="G6557" s="19">
        <v>10</v>
      </c>
      <c r="H6557" s="19" t="s">
        <v>28</v>
      </c>
      <c r="I6557" s="18" t="s">
        <v>28</v>
      </c>
      <c r="J6557" s="18" t="s">
        <v>28</v>
      </c>
      <c r="K6557" s="18" t="s">
        <v>28</v>
      </c>
      <c r="L6557" s="18" t="s">
        <v>28</v>
      </c>
      <c r="M6557" s="18" t="s">
        <v>28</v>
      </c>
      <c r="N6557" s="17">
        <v>43804</v>
      </c>
      <c r="O6557" s="15" t="s">
        <v>73</v>
      </c>
      <c r="P6557" s="16" t="s">
        <v>19797</v>
      </c>
      <c r="Q6557" s="15" t="s">
        <v>37</v>
      </c>
      <c r="R6557" s="13" t="str">
        <f>HYPERLINK("https://my.pitchbook.com?c=127522-72T","View Company Online")</f>
        <v>View Company Online</v>
      </c>
    </row>
    <row r="6558" spans="1:18" hidden="1" x14ac:dyDescent="0.3">
      <c r="A6558" s="9" t="s">
        <v>19798</v>
      </c>
      <c r="B6558" s="9" t="s">
        <v>19799</v>
      </c>
      <c r="C6558" s="11" t="s">
        <v>28</v>
      </c>
      <c r="D6558" s="9" t="s">
        <v>19800</v>
      </c>
      <c r="E6558" s="11" t="s">
        <v>28</v>
      </c>
      <c r="F6558" s="10">
        <v>17.29</v>
      </c>
      <c r="G6558" s="10">
        <v>17.29</v>
      </c>
      <c r="H6558" s="10">
        <v>17.29</v>
      </c>
      <c r="I6558" s="11" t="s">
        <v>28</v>
      </c>
      <c r="J6558" s="11" t="s">
        <v>28</v>
      </c>
      <c r="K6558" s="11" t="s">
        <v>28</v>
      </c>
      <c r="L6558" s="11" t="s">
        <v>28</v>
      </c>
      <c r="M6558" s="11" t="s">
        <v>28</v>
      </c>
      <c r="N6558" s="8">
        <v>43804</v>
      </c>
      <c r="O6558" s="9" t="s">
        <v>41</v>
      </c>
      <c r="P6558" s="12" t="s">
        <v>343</v>
      </c>
      <c r="Q6558" s="9" t="s">
        <v>285</v>
      </c>
      <c r="R6558" s="14" t="str">
        <f>HYPERLINK("https://my.pitchbook.com?c=138519-64T","View Company Online")</f>
        <v>View Company Online</v>
      </c>
    </row>
    <row r="6559" spans="1:18" hidden="1" x14ac:dyDescent="0.3">
      <c r="A6559" s="15" t="s">
        <v>19801</v>
      </c>
      <c r="B6559" s="15" t="s">
        <v>12729</v>
      </c>
      <c r="C6559" s="18" t="s">
        <v>28</v>
      </c>
      <c r="D6559" s="15" t="s">
        <v>12730</v>
      </c>
      <c r="E6559" s="18" t="s">
        <v>28</v>
      </c>
      <c r="F6559" s="19" t="s">
        <v>28</v>
      </c>
      <c r="G6559" s="19">
        <v>9.08</v>
      </c>
      <c r="H6559" s="19" t="s">
        <v>28</v>
      </c>
      <c r="I6559" s="18" t="s">
        <v>28</v>
      </c>
      <c r="J6559" s="18" t="s">
        <v>28</v>
      </c>
      <c r="K6559" s="18" t="s">
        <v>28</v>
      </c>
      <c r="L6559" s="18" t="s">
        <v>28</v>
      </c>
      <c r="M6559" s="18" t="s">
        <v>28</v>
      </c>
      <c r="N6559" s="17">
        <v>43804</v>
      </c>
      <c r="O6559" s="15" t="s">
        <v>99</v>
      </c>
      <c r="P6559" s="16" t="s">
        <v>19802</v>
      </c>
      <c r="Q6559" s="15" t="s">
        <v>566</v>
      </c>
      <c r="R6559" s="13" t="str">
        <f>HYPERLINK("https://my.pitchbook.com?c=123286-33T","View Company Online")</f>
        <v>View Company Online</v>
      </c>
    </row>
    <row r="6560" spans="1:18" hidden="1" x14ac:dyDescent="0.3">
      <c r="A6560" s="9" t="s">
        <v>19803</v>
      </c>
      <c r="B6560" s="9" t="s">
        <v>19804</v>
      </c>
      <c r="C6560" s="11" t="s">
        <v>28</v>
      </c>
      <c r="D6560" s="9" t="s">
        <v>19805</v>
      </c>
      <c r="E6560" s="11" t="s">
        <v>28</v>
      </c>
      <c r="F6560" s="10">
        <v>0.6</v>
      </c>
      <c r="G6560" s="10">
        <v>0.6</v>
      </c>
      <c r="H6560" s="10">
        <v>0.6</v>
      </c>
      <c r="I6560" s="11" t="s">
        <v>28</v>
      </c>
      <c r="J6560" s="11" t="s">
        <v>28</v>
      </c>
      <c r="K6560" s="11" t="s">
        <v>28</v>
      </c>
      <c r="L6560" s="11" t="s">
        <v>28</v>
      </c>
      <c r="M6560" s="11" t="s">
        <v>28</v>
      </c>
      <c r="N6560" s="8">
        <v>43804</v>
      </c>
      <c r="O6560" s="9" t="s">
        <v>30</v>
      </c>
      <c r="P6560" s="12" t="s">
        <v>19806</v>
      </c>
      <c r="Q6560" s="9" t="s">
        <v>75</v>
      </c>
      <c r="R6560" s="14" t="str">
        <f>HYPERLINK("https://my.pitchbook.com?c=133775-20T","View Company Online")</f>
        <v>View Company Online</v>
      </c>
    </row>
    <row r="6561" spans="1:18" hidden="1" x14ac:dyDescent="0.3">
      <c r="A6561" s="15" t="s">
        <v>19807</v>
      </c>
      <c r="B6561" s="15" t="s">
        <v>19808</v>
      </c>
      <c r="C6561" s="18" t="s">
        <v>28</v>
      </c>
      <c r="D6561" s="15" t="s">
        <v>19809</v>
      </c>
      <c r="E6561" s="18" t="s">
        <v>28</v>
      </c>
      <c r="F6561" s="19" t="s">
        <v>28</v>
      </c>
      <c r="G6561" s="19" t="s">
        <v>28</v>
      </c>
      <c r="H6561" s="19" t="s">
        <v>28</v>
      </c>
      <c r="I6561" s="18" t="s">
        <v>28</v>
      </c>
      <c r="J6561" s="18" t="s">
        <v>28</v>
      </c>
      <c r="K6561" s="18" t="s">
        <v>28</v>
      </c>
      <c r="L6561" s="18" t="s">
        <v>28</v>
      </c>
      <c r="M6561" s="18" t="s">
        <v>28</v>
      </c>
      <c r="N6561" s="17">
        <v>43804</v>
      </c>
      <c r="O6561" s="15" t="s">
        <v>52</v>
      </c>
      <c r="P6561" s="16" t="s">
        <v>4500</v>
      </c>
      <c r="Q6561" s="15" t="s">
        <v>43</v>
      </c>
      <c r="R6561" s="13" t="str">
        <f>HYPERLINK("https://my.pitchbook.com?c=276703-30T","View Company Online")</f>
        <v>View Company Online</v>
      </c>
    </row>
    <row r="6562" spans="1:18" hidden="1" x14ac:dyDescent="0.3">
      <c r="A6562" s="9" t="s">
        <v>19810</v>
      </c>
      <c r="B6562" s="9" t="s">
        <v>15794</v>
      </c>
      <c r="C6562" s="11" t="s">
        <v>28</v>
      </c>
      <c r="D6562" s="9" t="s">
        <v>15795</v>
      </c>
      <c r="E6562" s="11" t="s">
        <v>28</v>
      </c>
      <c r="F6562" s="10">
        <v>2.63</v>
      </c>
      <c r="G6562" s="10">
        <v>2.63</v>
      </c>
      <c r="H6562" s="10">
        <v>2.63</v>
      </c>
      <c r="I6562" s="11" t="s">
        <v>28</v>
      </c>
      <c r="J6562" s="11" t="s">
        <v>28</v>
      </c>
      <c r="K6562" s="11" t="s">
        <v>28</v>
      </c>
      <c r="L6562" s="11" t="s">
        <v>28</v>
      </c>
      <c r="M6562" s="11" t="s">
        <v>28</v>
      </c>
      <c r="N6562" s="8">
        <v>43804</v>
      </c>
      <c r="O6562" s="9" t="s">
        <v>30</v>
      </c>
      <c r="P6562" s="12" t="s">
        <v>19751</v>
      </c>
      <c r="Q6562" s="9" t="s">
        <v>95</v>
      </c>
      <c r="R6562" s="14" t="str">
        <f>HYPERLINK("https://my.pitchbook.com?c=130995-64T","View Company Online")</f>
        <v>View Company Online</v>
      </c>
    </row>
    <row r="6563" spans="1:18" hidden="1" x14ac:dyDescent="0.3">
      <c r="A6563" s="15" t="s">
        <v>19811</v>
      </c>
      <c r="B6563" s="15" t="s">
        <v>19812</v>
      </c>
      <c r="C6563" s="18" t="s">
        <v>28</v>
      </c>
      <c r="D6563" s="15" t="s">
        <v>19813</v>
      </c>
      <c r="E6563" s="18" t="s">
        <v>28</v>
      </c>
      <c r="F6563" s="19">
        <v>2.63</v>
      </c>
      <c r="G6563" s="19">
        <v>2.63</v>
      </c>
      <c r="H6563" s="19">
        <v>2.63</v>
      </c>
      <c r="I6563" s="18" t="s">
        <v>28</v>
      </c>
      <c r="J6563" s="18" t="s">
        <v>28</v>
      </c>
      <c r="K6563" s="18" t="s">
        <v>28</v>
      </c>
      <c r="L6563" s="18" t="s">
        <v>28</v>
      </c>
      <c r="M6563" s="18" t="s">
        <v>28</v>
      </c>
      <c r="N6563" s="17">
        <v>43804</v>
      </c>
      <c r="O6563" s="15" t="s">
        <v>30</v>
      </c>
      <c r="P6563" s="16" t="s">
        <v>19751</v>
      </c>
      <c r="Q6563" s="15" t="s">
        <v>95</v>
      </c>
      <c r="R6563" s="13" t="str">
        <f>HYPERLINK("https://my.pitchbook.com?c=133777-45T","View Company Online")</f>
        <v>View Company Online</v>
      </c>
    </row>
    <row r="6564" spans="1:18" hidden="1" x14ac:dyDescent="0.3">
      <c r="A6564" s="9" t="s">
        <v>19814</v>
      </c>
      <c r="B6564" s="9" t="s">
        <v>19815</v>
      </c>
      <c r="C6564" s="11" t="s">
        <v>28</v>
      </c>
      <c r="D6564" s="9" t="s">
        <v>19816</v>
      </c>
      <c r="E6564" s="11" t="s">
        <v>28</v>
      </c>
      <c r="F6564" s="10" t="s">
        <v>28</v>
      </c>
      <c r="G6564" s="10" t="s">
        <v>28</v>
      </c>
      <c r="H6564" s="10" t="s">
        <v>28</v>
      </c>
      <c r="I6564" s="11" t="s">
        <v>28</v>
      </c>
      <c r="J6564" s="11" t="s">
        <v>28</v>
      </c>
      <c r="K6564" s="11" t="s">
        <v>28</v>
      </c>
      <c r="L6564" s="11" t="s">
        <v>28</v>
      </c>
      <c r="M6564" s="11" t="s">
        <v>28</v>
      </c>
      <c r="N6564" s="8">
        <v>43803</v>
      </c>
      <c r="O6564" s="9" t="s">
        <v>30</v>
      </c>
      <c r="P6564" s="12" t="s">
        <v>19817</v>
      </c>
      <c r="Q6564" s="9" t="s">
        <v>307</v>
      </c>
      <c r="R6564" s="14" t="str">
        <f>HYPERLINK("https://my.pitchbook.com?c=134592-49T","View Company Online")</f>
        <v>View Company Online</v>
      </c>
    </row>
    <row r="6565" spans="1:18" hidden="1" x14ac:dyDescent="0.3">
      <c r="A6565" s="15" t="s">
        <v>19818</v>
      </c>
      <c r="B6565" s="15" t="s">
        <v>10383</v>
      </c>
      <c r="C6565" s="18" t="s">
        <v>28</v>
      </c>
      <c r="D6565" s="15" t="s">
        <v>10384</v>
      </c>
      <c r="E6565" s="18" t="s">
        <v>28</v>
      </c>
      <c r="F6565" s="19" t="s">
        <v>28</v>
      </c>
      <c r="G6565" s="19">
        <v>0.01</v>
      </c>
      <c r="H6565" s="19" t="s">
        <v>28</v>
      </c>
      <c r="I6565" s="18" t="s">
        <v>28</v>
      </c>
      <c r="J6565" s="18" t="s">
        <v>28</v>
      </c>
      <c r="K6565" s="18" t="s">
        <v>28</v>
      </c>
      <c r="L6565" s="18" t="s">
        <v>28</v>
      </c>
      <c r="M6565" s="18" t="s">
        <v>28</v>
      </c>
      <c r="N6565" s="17">
        <v>43803</v>
      </c>
      <c r="O6565" s="15" t="s">
        <v>52</v>
      </c>
      <c r="P6565" s="16" t="s">
        <v>4500</v>
      </c>
      <c r="Q6565" s="15" t="s">
        <v>855</v>
      </c>
      <c r="R6565" s="13" t="str">
        <f>HYPERLINK("https://my.pitchbook.com?c=132330-70T","View Company Online")</f>
        <v>View Company Online</v>
      </c>
    </row>
    <row r="6566" spans="1:18" hidden="1" x14ac:dyDescent="0.3">
      <c r="A6566" s="9" t="s">
        <v>19819</v>
      </c>
      <c r="B6566" s="9" t="s">
        <v>19820</v>
      </c>
      <c r="C6566" s="11" t="s">
        <v>28</v>
      </c>
      <c r="D6566" s="9" t="s">
        <v>19821</v>
      </c>
      <c r="E6566" s="11" t="s">
        <v>28</v>
      </c>
      <c r="F6566" s="10" t="s">
        <v>28</v>
      </c>
      <c r="G6566" s="10" t="s">
        <v>28</v>
      </c>
      <c r="H6566" s="10" t="s">
        <v>28</v>
      </c>
      <c r="I6566" s="11" t="s">
        <v>28</v>
      </c>
      <c r="J6566" s="11" t="s">
        <v>28</v>
      </c>
      <c r="K6566" s="11" t="s">
        <v>28</v>
      </c>
      <c r="L6566" s="11" t="s">
        <v>28</v>
      </c>
      <c r="M6566" s="11" t="s">
        <v>28</v>
      </c>
      <c r="N6566" s="8">
        <v>43802</v>
      </c>
      <c r="O6566" s="9" t="s">
        <v>41</v>
      </c>
      <c r="P6566" s="12" t="s">
        <v>19822</v>
      </c>
      <c r="Q6566" s="9" t="s">
        <v>37</v>
      </c>
      <c r="R6566" s="14" t="str">
        <f>HYPERLINK("https://my.pitchbook.com?c=300262-69T","View Company Online")</f>
        <v>View Company Online</v>
      </c>
    </row>
    <row r="6567" spans="1:18" hidden="1" x14ac:dyDescent="0.3">
      <c r="A6567" s="15" t="s">
        <v>19823</v>
      </c>
      <c r="B6567" s="15" t="s">
        <v>19824</v>
      </c>
      <c r="C6567" s="18" t="s">
        <v>28</v>
      </c>
      <c r="D6567" s="15" t="s">
        <v>19825</v>
      </c>
      <c r="E6567" s="18">
        <v>339.67</v>
      </c>
      <c r="F6567" s="19" t="s">
        <v>28</v>
      </c>
      <c r="G6567" s="19" t="s">
        <v>28</v>
      </c>
      <c r="H6567" s="19" t="s">
        <v>28</v>
      </c>
      <c r="I6567" s="18">
        <v>339.67</v>
      </c>
      <c r="J6567" s="18" t="s">
        <v>28</v>
      </c>
      <c r="K6567" s="18">
        <v>0</v>
      </c>
      <c r="L6567" s="18" t="s">
        <v>28</v>
      </c>
      <c r="M6567" s="18">
        <v>339.58</v>
      </c>
      <c r="N6567" s="17">
        <v>43801</v>
      </c>
      <c r="O6567" s="15" t="s">
        <v>173</v>
      </c>
      <c r="P6567" s="16" t="s">
        <v>28</v>
      </c>
      <c r="Q6567" s="15" t="s">
        <v>160</v>
      </c>
      <c r="R6567" s="13" t="str">
        <f>HYPERLINK("https://my.pitchbook.com?c=224965-54T","View Company Online")</f>
        <v>View Company Online</v>
      </c>
    </row>
    <row r="6568" spans="1:18" hidden="1" x14ac:dyDescent="0.3">
      <c r="A6568" s="9" t="s">
        <v>19826</v>
      </c>
      <c r="B6568" s="9" t="s">
        <v>19827</v>
      </c>
      <c r="C6568" s="11" t="s">
        <v>28</v>
      </c>
      <c r="D6568" s="9" t="s">
        <v>19828</v>
      </c>
      <c r="E6568" s="11" t="s">
        <v>28</v>
      </c>
      <c r="F6568" s="10" t="s">
        <v>28</v>
      </c>
      <c r="G6568" s="10">
        <v>0.16</v>
      </c>
      <c r="H6568" s="10">
        <v>2.17</v>
      </c>
      <c r="I6568" s="11" t="s">
        <v>28</v>
      </c>
      <c r="J6568" s="11" t="s">
        <v>28</v>
      </c>
      <c r="K6568" s="11" t="s">
        <v>28</v>
      </c>
      <c r="L6568" s="11" t="s">
        <v>28</v>
      </c>
      <c r="M6568" s="11" t="s">
        <v>28</v>
      </c>
      <c r="N6568" s="8">
        <v>43801</v>
      </c>
      <c r="O6568" s="9" t="s">
        <v>1639</v>
      </c>
      <c r="P6568" s="12" t="s">
        <v>28</v>
      </c>
      <c r="Q6568" s="9" t="s">
        <v>607</v>
      </c>
      <c r="R6568" s="14" t="str">
        <f>HYPERLINK("https://my.pitchbook.com?c=215489-17T","View Company Online")</f>
        <v>View Company Online</v>
      </c>
    </row>
    <row r="6569" spans="1:18" hidden="1" x14ac:dyDescent="0.3">
      <c r="A6569" s="15" t="s">
        <v>19829</v>
      </c>
      <c r="B6569" s="15" t="s">
        <v>19830</v>
      </c>
      <c r="C6569" s="18" t="s">
        <v>28</v>
      </c>
      <c r="D6569" s="15" t="s">
        <v>19831</v>
      </c>
      <c r="E6569" s="18" t="s">
        <v>28</v>
      </c>
      <c r="F6569" s="19">
        <v>1.32</v>
      </c>
      <c r="G6569" s="19">
        <v>1.32</v>
      </c>
      <c r="H6569" s="19">
        <v>1.32</v>
      </c>
      <c r="I6569" s="18" t="s">
        <v>28</v>
      </c>
      <c r="J6569" s="18" t="s">
        <v>28</v>
      </c>
      <c r="K6569" s="18">
        <v>0.99</v>
      </c>
      <c r="L6569" s="18">
        <v>1.34</v>
      </c>
      <c r="M6569" s="18" t="s">
        <v>28</v>
      </c>
      <c r="N6569" s="17">
        <v>43801</v>
      </c>
      <c r="O6569" s="15" t="s">
        <v>30</v>
      </c>
      <c r="P6569" s="16" t="s">
        <v>4616</v>
      </c>
      <c r="Q6569" s="15" t="s">
        <v>114</v>
      </c>
      <c r="R6569" s="13" t="str">
        <f>HYPERLINK("https://my.pitchbook.com?c=257862-34T","View Company Online")</f>
        <v>View Company Online</v>
      </c>
    </row>
    <row r="6570" spans="1:18" hidden="1" x14ac:dyDescent="0.3">
      <c r="A6570" s="9" t="s">
        <v>19832</v>
      </c>
      <c r="B6570" s="9" t="s">
        <v>985</v>
      </c>
      <c r="C6570" s="11" t="s">
        <v>28</v>
      </c>
      <c r="D6570" s="9" t="s">
        <v>986</v>
      </c>
      <c r="E6570" s="11" t="s">
        <v>28</v>
      </c>
      <c r="F6570" s="10" t="s">
        <v>28</v>
      </c>
      <c r="G6570" s="10" t="s">
        <v>28</v>
      </c>
      <c r="H6570" s="10" t="s">
        <v>28</v>
      </c>
      <c r="I6570" s="11" t="s">
        <v>28</v>
      </c>
      <c r="J6570" s="11" t="s">
        <v>28</v>
      </c>
      <c r="K6570" s="11">
        <v>4.5599999999999996</v>
      </c>
      <c r="L6570" s="11" t="s">
        <v>28</v>
      </c>
      <c r="M6570" s="11" t="s">
        <v>28</v>
      </c>
      <c r="N6570" s="8">
        <v>43800</v>
      </c>
      <c r="O6570" s="9" t="s">
        <v>79</v>
      </c>
      <c r="P6570" s="12" t="s">
        <v>19833</v>
      </c>
      <c r="Q6570" s="9" t="s">
        <v>37</v>
      </c>
      <c r="R6570" s="14" t="str">
        <f>HYPERLINK("https://my.pitchbook.com?c=120024-10T","View Company Online")</f>
        <v>View Company Online</v>
      </c>
    </row>
    <row r="6571" spans="1:18" hidden="1" x14ac:dyDescent="0.3">
      <c r="A6571" s="15" t="s">
        <v>19834</v>
      </c>
      <c r="B6571" s="15" t="s">
        <v>1148</v>
      </c>
      <c r="C6571" s="18" t="s">
        <v>28</v>
      </c>
      <c r="D6571" s="15" t="s">
        <v>5149</v>
      </c>
      <c r="E6571" s="18">
        <v>-6.65</v>
      </c>
      <c r="F6571" s="19" t="s">
        <v>28</v>
      </c>
      <c r="G6571" s="19" t="s">
        <v>28</v>
      </c>
      <c r="H6571" s="19" t="s">
        <v>28</v>
      </c>
      <c r="I6571" s="18">
        <v>-5.88</v>
      </c>
      <c r="J6571" s="18" t="s">
        <v>28</v>
      </c>
      <c r="K6571" s="18">
        <v>0.66</v>
      </c>
      <c r="L6571" s="18" t="s">
        <v>28</v>
      </c>
      <c r="M6571" s="18">
        <v>-10.1</v>
      </c>
      <c r="N6571" s="17">
        <v>43800</v>
      </c>
      <c r="O6571" s="15" t="s">
        <v>30</v>
      </c>
      <c r="P6571" s="16" t="s">
        <v>17097</v>
      </c>
      <c r="Q6571" s="15" t="s">
        <v>299</v>
      </c>
      <c r="R6571" s="13" t="str">
        <f>HYPERLINK("https://my.pitchbook.com?c=213521-86T","View Company Online")</f>
        <v>View Company Online</v>
      </c>
    </row>
    <row r="6572" spans="1:18" hidden="1" x14ac:dyDescent="0.3">
      <c r="A6572" s="9" t="s">
        <v>19835</v>
      </c>
      <c r="B6572" s="9" t="s">
        <v>888</v>
      </c>
      <c r="C6572" s="11" t="s">
        <v>28</v>
      </c>
      <c r="D6572" s="9" t="s">
        <v>12240</v>
      </c>
      <c r="E6572" s="11" t="s">
        <v>28</v>
      </c>
      <c r="F6572" s="10" t="s">
        <v>28</v>
      </c>
      <c r="G6572" s="10">
        <v>4</v>
      </c>
      <c r="H6572" s="10" t="s">
        <v>28</v>
      </c>
      <c r="I6572" s="11" t="s">
        <v>28</v>
      </c>
      <c r="J6572" s="11" t="s">
        <v>28</v>
      </c>
      <c r="K6572" s="11">
        <v>0.35</v>
      </c>
      <c r="L6572" s="11" t="s">
        <v>28</v>
      </c>
      <c r="M6572" s="11" t="s">
        <v>28</v>
      </c>
      <c r="N6572" s="8">
        <v>43800</v>
      </c>
      <c r="O6572" s="9" t="s">
        <v>79</v>
      </c>
      <c r="P6572" s="12" t="s">
        <v>3539</v>
      </c>
      <c r="Q6572" s="9" t="s">
        <v>213</v>
      </c>
      <c r="R6572" s="14" t="str">
        <f>HYPERLINK("https://my.pitchbook.com?c=137354-68T","View Company Online")</f>
        <v>View Company Online</v>
      </c>
    </row>
    <row r="6573" spans="1:18" hidden="1" x14ac:dyDescent="0.3">
      <c r="A6573" s="15" t="s">
        <v>19836</v>
      </c>
      <c r="B6573" s="15" t="s">
        <v>13634</v>
      </c>
      <c r="C6573" s="18" t="s">
        <v>28</v>
      </c>
      <c r="D6573" s="15" t="s">
        <v>13635</v>
      </c>
      <c r="E6573" s="18" t="s">
        <v>28</v>
      </c>
      <c r="F6573" s="19" t="s">
        <v>28</v>
      </c>
      <c r="G6573" s="19">
        <v>0.24</v>
      </c>
      <c r="H6573" s="19" t="s">
        <v>28</v>
      </c>
      <c r="I6573" s="18" t="s">
        <v>28</v>
      </c>
      <c r="J6573" s="18" t="s">
        <v>28</v>
      </c>
      <c r="K6573" s="18" t="s">
        <v>28</v>
      </c>
      <c r="L6573" s="18" t="s">
        <v>28</v>
      </c>
      <c r="M6573" s="18" t="s">
        <v>28</v>
      </c>
      <c r="N6573" s="17">
        <v>43800</v>
      </c>
      <c r="O6573" s="15" t="s">
        <v>379</v>
      </c>
      <c r="P6573" s="16" t="s">
        <v>28</v>
      </c>
      <c r="Q6573" s="15" t="s">
        <v>75</v>
      </c>
      <c r="R6573" s="13" t="str">
        <f>HYPERLINK("https://my.pitchbook.com?c=172102-06T","View Company Online")</f>
        <v>View Company Online</v>
      </c>
    </row>
    <row r="6574" spans="1:18" hidden="1" x14ac:dyDescent="0.3">
      <c r="A6574" s="9" t="s">
        <v>19837</v>
      </c>
      <c r="B6574" s="9" t="s">
        <v>19838</v>
      </c>
      <c r="C6574" s="11" t="s">
        <v>28</v>
      </c>
      <c r="D6574" s="9" t="s">
        <v>19839</v>
      </c>
      <c r="E6574" s="11" t="s">
        <v>28</v>
      </c>
      <c r="F6574" s="10" t="s">
        <v>28</v>
      </c>
      <c r="G6574" s="10" t="s">
        <v>28</v>
      </c>
      <c r="H6574" s="10" t="s">
        <v>28</v>
      </c>
      <c r="I6574" s="11" t="s">
        <v>28</v>
      </c>
      <c r="J6574" s="11" t="s">
        <v>28</v>
      </c>
      <c r="K6574" s="11" t="s">
        <v>28</v>
      </c>
      <c r="L6574" s="11" t="s">
        <v>28</v>
      </c>
      <c r="M6574" s="11" t="s">
        <v>28</v>
      </c>
      <c r="N6574" s="8">
        <v>43800</v>
      </c>
      <c r="O6574" s="9" t="s">
        <v>30</v>
      </c>
      <c r="P6574" s="12" t="s">
        <v>5312</v>
      </c>
      <c r="Q6574" s="9" t="s">
        <v>119</v>
      </c>
      <c r="R6574" s="14" t="str">
        <f>HYPERLINK("https://my.pitchbook.com?c=130088-62T","View Company Online")</f>
        <v>View Company Online</v>
      </c>
    </row>
    <row r="6575" spans="1:18" hidden="1" x14ac:dyDescent="0.3">
      <c r="A6575" s="15" t="s">
        <v>19840</v>
      </c>
      <c r="B6575" s="15" t="s">
        <v>10760</v>
      </c>
      <c r="C6575" s="18" t="s">
        <v>28</v>
      </c>
      <c r="D6575" s="15" t="s">
        <v>10761</v>
      </c>
      <c r="E6575" s="18" t="s">
        <v>28</v>
      </c>
      <c r="F6575" s="19" t="s">
        <v>28</v>
      </c>
      <c r="G6575" s="19">
        <v>0.36</v>
      </c>
      <c r="H6575" s="19">
        <v>2.36</v>
      </c>
      <c r="I6575" s="18" t="s">
        <v>28</v>
      </c>
      <c r="J6575" s="18" t="s">
        <v>28</v>
      </c>
      <c r="K6575" s="18" t="s">
        <v>28</v>
      </c>
      <c r="L6575" s="18" t="s">
        <v>28</v>
      </c>
      <c r="M6575" s="18" t="s">
        <v>28</v>
      </c>
      <c r="N6575" s="17">
        <v>43800</v>
      </c>
      <c r="O6575" s="15" t="s">
        <v>379</v>
      </c>
      <c r="P6575" s="16" t="s">
        <v>19841</v>
      </c>
      <c r="Q6575" s="15" t="s">
        <v>75</v>
      </c>
      <c r="R6575" s="13" t="str">
        <f>HYPERLINK("https://my.pitchbook.com?c=191088-19T","View Company Online")</f>
        <v>View Company Online</v>
      </c>
    </row>
    <row r="6576" spans="1:18" hidden="1" x14ac:dyDescent="0.3">
      <c r="A6576" s="9" t="s">
        <v>19842</v>
      </c>
      <c r="B6576" s="9" t="s">
        <v>19843</v>
      </c>
      <c r="C6576" s="11" t="s">
        <v>28</v>
      </c>
      <c r="D6576" s="9" t="s">
        <v>19844</v>
      </c>
      <c r="E6576" s="11" t="s">
        <v>28</v>
      </c>
      <c r="F6576" s="10">
        <v>288.74</v>
      </c>
      <c r="G6576" s="10">
        <v>288.74</v>
      </c>
      <c r="H6576" s="10">
        <v>288.74</v>
      </c>
      <c r="I6576" s="11" t="s">
        <v>28</v>
      </c>
      <c r="J6576" s="11" t="s">
        <v>28</v>
      </c>
      <c r="K6576" s="11" t="s">
        <v>28</v>
      </c>
      <c r="L6576" s="11" t="s">
        <v>28</v>
      </c>
      <c r="M6576" s="11" t="s">
        <v>28</v>
      </c>
      <c r="N6576" s="8">
        <v>43800</v>
      </c>
      <c r="O6576" s="9" t="s">
        <v>41</v>
      </c>
      <c r="P6576" s="12" t="s">
        <v>182</v>
      </c>
      <c r="Q6576" s="9" t="s">
        <v>183</v>
      </c>
      <c r="R6576" s="14" t="str">
        <f>HYPERLINK("https://my.pitchbook.com?c=121515-58T","View Company Online")</f>
        <v>View Company Online</v>
      </c>
    </row>
    <row r="6577" spans="1:18" hidden="1" x14ac:dyDescent="0.3">
      <c r="A6577" s="15" t="s">
        <v>19845</v>
      </c>
      <c r="B6577" s="15" t="s">
        <v>14034</v>
      </c>
      <c r="C6577" s="18" t="s">
        <v>28</v>
      </c>
      <c r="D6577" s="15" t="s">
        <v>14035</v>
      </c>
      <c r="E6577" s="18" t="s">
        <v>28</v>
      </c>
      <c r="F6577" s="19" t="s">
        <v>28</v>
      </c>
      <c r="G6577" s="19">
        <v>1.5</v>
      </c>
      <c r="H6577" s="19" t="s">
        <v>28</v>
      </c>
      <c r="I6577" s="18" t="s">
        <v>28</v>
      </c>
      <c r="J6577" s="18" t="s">
        <v>28</v>
      </c>
      <c r="K6577" s="18" t="s">
        <v>28</v>
      </c>
      <c r="L6577" s="18" t="s">
        <v>28</v>
      </c>
      <c r="M6577" s="18" t="s">
        <v>28</v>
      </c>
      <c r="N6577" s="17">
        <v>43800</v>
      </c>
      <c r="O6577" s="15" t="s">
        <v>1639</v>
      </c>
      <c r="P6577" s="16" t="s">
        <v>28</v>
      </c>
      <c r="Q6577" s="15" t="s">
        <v>75</v>
      </c>
      <c r="R6577" s="13" t="str">
        <f>HYPERLINK("https://my.pitchbook.com?c=128573-02T","View Company Online")</f>
        <v>View Company Online</v>
      </c>
    </row>
    <row r="6578" spans="1:18" hidden="1" x14ac:dyDescent="0.3">
      <c r="A6578" s="9" t="s">
        <v>19846</v>
      </c>
      <c r="B6578" s="9" t="s">
        <v>14130</v>
      </c>
      <c r="C6578" s="11" t="s">
        <v>28</v>
      </c>
      <c r="D6578" s="9" t="s">
        <v>14131</v>
      </c>
      <c r="E6578" s="11" t="s">
        <v>28</v>
      </c>
      <c r="F6578" s="10" t="s">
        <v>28</v>
      </c>
      <c r="G6578" s="10">
        <v>0.15</v>
      </c>
      <c r="H6578" s="10">
        <v>1.99</v>
      </c>
      <c r="I6578" s="11" t="s">
        <v>28</v>
      </c>
      <c r="J6578" s="11" t="s">
        <v>28</v>
      </c>
      <c r="K6578" s="11" t="s">
        <v>28</v>
      </c>
      <c r="L6578" s="11" t="s">
        <v>28</v>
      </c>
      <c r="M6578" s="11" t="s">
        <v>28</v>
      </c>
      <c r="N6578" s="8">
        <v>43800</v>
      </c>
      <c r="O6578" s="9" t="s">
        <v>52</v>
      </c>
      <c r="P6578" s="12" t="s">
        <v>3944</v>
      </c>
      <c r="Q6578" s="9" t="s">
        <v>75</v>
      </c>
      <c r="R6578" s="14" t="str">
        <f>HYPERLINK("https://my.pitchbook.com?c=139038-85T","View Company Online")</f>
        <v>View Company Online</v>
      </c>
    </row>
    <row r="6579" spans="1:18" hidden="1" x14ac:dyDescent="0.3">
      <c r="A6579" s="15" t="s">
        <v>19847</v>
      </c>
      <c r="B6579" s="15" t="s">
        <v>19848</v>
      </c>
      <c r="C6579" s="18" t="s">
        <v>28</v>
      </c>
      <c r="D6579" s="15" t="s">
        <v>19849</v>
      </c>
      <c r="E6579" s="18">
        <v>17.27</v>
      </c>
      <c r="F6579" s="19" t="s">
        <v>28</v>
      </c>
      <c r="G6579" s="19" t="s">
        <v>28</v>
      </c>
      <c r="H6579" s="19" t="s">
        <v>28</v>
      </c>
      <c r="I6579" s="18">
        <v>25.09</v>
      </c>
      <c r="J6579" s="18" t="s">
        <v>28</v>
      </c>
      <c r="K6579" s="18">
        <v>154.5</v>
      </c>
      <c r="L6579" s="18" t="s">
        <v>28</v>
      </c>
      <c r="M6579" s="18">
        <v>11.68</v>
      </c>
      <c r="N6579" s="17">
        <v>43800</v>
      </c>
      <c r="O6579" s="15" t="s">
        <v>159</v>
      </c>
      <c r="P6579" s="16" t="s">
        <v>18342</v>
      </c>
      <c r="Q6579" s="15" t="s">
        <v>19850</v>
      </c>
      <c r="R6579" s="13" t="str">
        <f>HYPERLINK("https://my.pitchbook.com?c=173476-99T","View Company Online")</f>
        <v>View Company Online</v>
      </c>
    </row>
    <row r="6580" spans="1:18" hidden="1" x14ac:dyDescent="0.3">
      <c r="A6580" s="9" t="s">
        <v>19851</v>
      </c>
      <c r="B6580" s="9" t="s">
        <v>17618</v>
      </c>
      <c r="C6580" s="11" t="s">
        <v>28</v>
      </c>
      <c r="D6580" s="9" t="s">
        <v>17619</v>
      </c>
      <c r="E6580" s="11" t="s">
        <v>28</v>
      </c>
      <c r="F6580" s="10" t="s">
        <v>28</v>
      </c>
      <c r="G6580" s="10">
        <v>2</v>
      </c>
      <c r="H6580" s="10" t="s">
        <v>28</v>
      </c>
      <c r="I6580" s="11" t="s">
        <v>28</v>
      </c>
      <c r="J6580" s="11" t="s">
        <v>28</v>
      </c>
      <c r="K6580" s="11" t="s">
        <v>28</v>
      </c>
      <c r="L6580" s="11" t="s">
        <v>28</v>
      </c>
      <c r="M6580" s="11" t="s">
        <v>28</v>
      </c>
      <c r="N6580" s="8">
        <v>43800</v>
      </c>
      <c r="O6580" s="9" t="s">
        <v>379</v>
      </c>
      <c r="P6580" s="12" t="s">
        <v>28</v>
      </c>
      <c r="Q6580" s="9" t="s">
        <v>386</v>
      </c>
      <c r="R6580" s="14" t="str">
        <f>HYPERLINK("https://my.pitchbook.com?c=164736-01T","View Company Online")</f>
        <v>View Company Online</v>
      </c>
    </row>
    <row r="6581" spans="1:18" hidden="1" x14ac:dyDescent="0.3">
      <c r="A6581" s="15" t="s">
        <v>19852</v>
      </c>
      <c r="B6581" s="15" t="s">
        <v>19853</v>
      </c>
      <c r="C6581" s="18" t="s">
        <v>28</v>
      </c>
      <c r="D6581" s="15" t="s">
        <v>19854</v>
      </c>
      <c r="E6581" s="18" t="s">
        <v>28</v>
      </c>
      <c r="F6581" s="19" t="s">
        <v>28</v>
      </c>
      <c r="G6581" s="19" t="s">
        <v>28</v>
      </c>
      <c r="H6581" s="19" t="s">
        <v>28</v>
      </c>
      <c r="I6581" s="18" t="s">
        <v>28</v>
      </c>
      <c r="J6581" s="18" t="s">
        <v>28</v>
      </c>
      <c r="K6581" s="18" t="s">
        <v>28</v>
      </c>
      <c r="L6581" s="18" t="s">
        <v>28</v>
      </c>
      <c r="M6581" s="18" t="s">
        <v>28</v>
      </c>
      <c r="N6581" s="17">
        <v>43800</v>
      </c>
      <c r="O6581" s="15" t="s">
        <v>30</v>
      </c>
      <c r="P6581" s="16" t="s">
        <v>28</v>
      </c>
      <c r="Q6581" s="15" t="s">
        <v>19855</v>
      </c>
      <c r="R6581" s="13" t="str">
        <f>HYPERLINK("https://my.pitchbook.com?c=138398-50T","View Company Online")</f>
        <v>View Company Online</v>
      </c>
    </row>
    <row r="6582" spans="1:18" hidden="1" x14ac:dyDescent="0.3">
      <c r="A6582" s="9" t="s">
        <v>19856</v>
      </c>
      <c r="B6582" s="9" t="s">
        <v>19857</v>
      </c>
      <c r="C6582" s="11" t="s">
        <v>28</v>
      </c>
      <c r="D6582" s="9" t="s">
        <v>19858</v>
      </c>
      <c r="E6582" s="11" t="s">
        <v>28</v>
      </c>
      <c r="F6582" s="10" t="s">
        <v>28</v>
      </c>
      <c r="G6582" s="10">
        <v>0.38</v>
      </c>
      <c r="H6582" s="10" t="s">
        <v>28</v>
      </c>
      <c r="I6582" s="11" t="s">
        <v>28</v>
      </c>
      <c r="J6582" s="11" t="s">
        <v>28</v>
      </c>
      <c r="K6582" s="11" t="s">
        <v>28</v>
      </c>
      <c r="L6582" s="11" t="s">
        <v>28</v>
      </c>
      <c r="M6582" s="11" t="s">
        <v>28</v>
      </c>
      <c r="N6582" s="8">
        <v>43800</v>
      </c>
      <c r="O6582" s="9" t="s">
        <v>73</v>
      </c>
      <c r="P6582" s="12" t="s">
        <v>19147</v>
      </c>
      <c r="Q6582" s="9" t="s">
        <v>75</v>
      </c>
      <c r="R6582" s="14" t="str">
        <f>HYPERLINK("https://my.pitchbook.com?c=216055-90T","View Company Online")</f>
        <v>View Company Online</v>
      </c>
    </row>
    <row r="6583" spans="1:18" hidden="1" x14ac:dyDescent="0.3">
      <c r="A6583" s="15" t="s">
        <v>19859</v>
      </c>
      <c r="B6583" s="15" t="s">
        <v>19860</v>
      </c>
      <c r="C6583" s="18" t="s">
        <v>28</v>
      </c>
      <c r="D6583" s="15" t="s">
        <v>19861</v>
      </c>
      <c r="E6583" s="18" t="s">
        <v>28</v>
      </c>
      <c r="F6583" s="19" t="s">
        <v>28</v>
      </c>
      <c r="G6583" s="19" t="s">
        <v>28</v>
      </c>
      <c r="H6583" s="19" t="s">
        <v>28</v>
      </c>
      <c r="I6583" s="18" t="s">
        <v>28</v>
      </c>
      <c r="J6583" s="18" t="s">
        <v>28</v>
      </c>
      <c r="K6583" s="18" t="s">
        <v>28</v>
      </c>
      <c r="L6583" s="18" t="s">
        <v>28</v>
      </c>
      <c r="M6583" s="18" t="s">
        <v>28</v>
      </c>
      <c r="N6583" s="17">
        <v>43800</v>
      </c>
      <c r="O6583" s="15" t="s">
        <v>30</v>
      </c>
      <c r="P6583" s="16" t="s">
        <v>15577</v>
      </c>
      <c r="Q6583" s="15" t="s">
        <v>5347</v>
      </c>
      <c r="R6583" s="13" t="str">
        <f>HYPERLINK("https://my.pitchbook.com?c=140328-55T","View Company Online")</f>
        <v>View Company Online</v>
      </c>
    </row>
    <row r="6584" spans="1:18" hidden="1" x14ac:dyDescent="0.3">
      <c r="A6584" s="9" t="s">
        <v>19862</v>
      </c>
      <c r="B6584" s="9" t="s">
        <v>19863</v>
      </c>
      <c r="C6584" s="11" t="s">
        <v>28</v>
      </c>
      <c r="D6584" s="9" t="s">
        <v>19864</v>
      </c>
      <c r="E6584" s="11" t="s">
        <v>28</v>
      </c>
      <c r="F6584" s="10" t="s">
        <v>28</v>
      </c>
      <c r="G6584" s="10">
        <v>0.5</v>
      </c>
      <c r="H6584" s="10" t="s">
        <v>28</v>
      </c>
      <c r="I6584" s="11" t="s">
        <v>28</v>
      </c>
      <c r="J6584" s="11" t="s">
        <v>28</v>
      </c>
      <c r="K6584" s="11" t="s">
        <v>28</v>
      </c>
      <c r="L6584" s="11" t="s">
        <v>28</v>
      </c>
      <c r="M6584" s="11" t="s">
        <v>28</v>
      </c>
      <c r="N6584" s="8">
        <v>43800</v>
      </c>
      <c r="O6584" s="9" t="s">
        <v>99</v>
      </c>
      <c r="P6584" s="12" t="s">
        <v>19865</v>
      </c>
      <c r="Q6584" s="9" t="s">
        <v>85</v>
      </c>
      <c r="R6584" s="14" t="str">
        <f>HYPERLINK("https://my.pitchbook.com?c=129521-17T","View Company Online")</f>
        <v>View Company Online</v>
      </c>
    </row>
    <row r="6585" spans="1:18" hidden="1" x14ac:dyDescent="0.3">
      <c r="A6585" s="15" t="s">
        <v>19866</v>
      </c>
      <c r="B6585" s="15" t="s">
        <v>19867</v>
      </c>
      <c r="C6585" s="18" t="s">
        <v>28</v>
      </c>
      <c r="D6585" s="15" t="s">
        <v>19868</v>
      </c>
      <c r="E6585" s="18" t="s">
        <v>28</v>
      </c>
      <c r="F6585" s="19" t="s">
        <v>28</v>
      </c>
      <c r="G6585" s="19" t="s">
        <v>28</v>
      </c>
      <c r="H6585" s="19" t="s">
        <v>28</v>
      </c>
      <c r="I6585" s="18" t="s">
        <v>28</v>
      </c>
      <c r="J6585" s="18" t="s">
        <v>28</v>
      </c>
      <c r="K6585" s="18" t="s">
        <v>28</v>
      </c>
      <c r="L6585" s="18" t="s">
        <v>28</v>
      </c>
      <c r="M6585" s="18" t="s">
        <v>28</v>
      </c>
      <c r="N6585" s="17">
        <v>43800</v>
      </c>
      <c r="O6585" s="15" t="s">
        <v>30</v>
      </c>
      <c r="P6585" s="16" t="s">
        <v>19869</v>
      </c>
      <c r="Q6585" s="15" t="s">
        <v>114</v>
      </c>
      <c r="R6585" s="13" t="str">
        <f>HYPERLINK("https://my.pitchbook.com?c=131224-60T","View Company Online")</f>
        <v>View Company Online</v>
      </c>
    </row>
    <row r="6586" spans="1:18" hidden="1" x14ac:dyDescent="0.3">
      <c r="A6586" s="9" t="s">
        <v>19870</v>
      </c>
      <c r="B6586" s="9" t="s">
        <v>19871</v>
      </c>
      <c r="C6586" s="11" t="s">
        <v>28</v>
      </c>
      <c r="D6586" s="9" t="s">
        <v>19872</v>
      </c>
      <c r="E6586" s="11" t="s">
        <v>28</v>
      </c>
      <c r="F6586" s="10" t="s">
        <v>28</v>
      </c>
      <c r="G6586" s="10" t="s">
        <v>28</v>
      </c>
      <c r="H6586" s="10" t="s">
        <v>28</v>
      </c>
      <c r="I6586" s="11" t="s">
        <v>28</v>
      </c>
      <c r="J6586" s="11" t="s">
        <v>28</v>
      </c>
      <c r="K6586" s="11" t="s">
        <v>28</v>
      </c>
      <c r="L6586" s="11" t="s">
        <v>28</v>
      </c>
      <c r="M6586" s="11" t="s">
        <v>28</v>
      </c>
      <c r="N6586" s="8">
        <v>43800</v>
      </c>
      <c r="O6586" s="9" t="s">
        <v>30</v>
      </c>
      <c r="P6586" s="12" t="s">
        <v>4655</v>
      </c>
      <c r="Q6586" s="9" t="s">
        <v>75</v>
      </c>
      <c r="R6586" s="14" t="str">
        <f>HYPERLINK("https://my.pitchbook.com?c=171115-21T","View Company Online")</f>
        <v>View Company Online</v>
      </c>
    </row>
    <row r="6587" spans="1:18" hidden="1" x14ac:dyDescent="0.3">
      <c r="A6587" s="15" t="s">
        <v>19873</v>
      </c>
      <c r="B6587" s="15" t="s">
        <v>19874</v>
      </c>
      <c r="C6587" s="18" t="s">
        <v>28</v>
      </c>
      <c r="D6587" s="15" t="s">
        <v>19875</v>
      </c>
      <c r="E6587" s="18" t="s">
        <v>28</v>
      </c>
      <c r="F6587" s="19">
        <v>53.96</v>
      </c>
      <c r="G6587" s="19">
        <v>53.96</v>
      </c>
      <c r="H6587" s="19">
        <v>53.96</v>
      </c>
      <c r="I6587" s="18" t="s">
        <v>28</v>
      </c>
      <c r="J6587" s="18" t="s">
        <v>28</v>
      </c>
      <c r="K6587" s="18">
        <v>45.67</v>
      </c>
      <c r="L6587" s="18">
        <v>1.18</v>
      </c>
      <c r="M6587" s="18">
        <v>2.69</v>
      </c>
      <c r="N6587" s="17">
        <v>43799</v>
      </c>
      <c r="O6587" s="15" t="s">
        <v>30</v>
      </c>
      <c r="P6587" s="16" t="s">
        <v>19876</v>
      </c>
      <c r="Q6587" s="15" t="s">
        <v>213</v>
      </c>
      <c r="R6587" s="13" t="str">
        <f>HYPERLINK("https://my.pitchbook.com?c=124586-20T","View Company Online")</f>
        <v>View Company Online</v>
      </c>
    </row>
    <row r="6588" spans="1:18" hidden="1" x14ac:dyDescent="0.3">
      <c r="A6588" s="9" t="s">
        <v>19877</v>
      </c>
      <c r="B6588" s="9" t="s">
        <v>19878</v>
      </c>
      <c r="C6588" s="11" t="s">
        <v>28</v>
      </c>
      <c r="D6588" s="9" t="s">
        <v>19879</v>
      </c>
      <c r="E6588" s="11" t="s">
        <v>28</v>
      </c>
      <c r="F6588" s="10" t="s">
        <v>28</v>
      </c>
      <c r="G6588" s="10">
        <v>3.13</v>
      </c>
      <c r="H6588" s="10" t="s">
        <v>28</v>
      </c>
      <c r="I6588" s="11" t="s">
        <v>28</v>
      </c>
      <c r="J6588" s="11" t="s">
        <v>28</v>
      </c>
      <c r="K6588" s="11" t="s">
        <v>28</v>
      </c>
      <c r="L6588" s="11" t="s">
        <v>28</v>
      </c>
      <c r="M6588" s="11" t="s">
        <v>28</v>
      </c>
      <c r="N6588" s="8">
        <v>43799</v>
      </c>
      <c r="O6588" s="9" t="s">
        <v>73</v>
      </c>
      <c r="P6588" s="12" t="s">
        <v>28</v>
      </c>
      <c r="Q6588" s="9" t="s">
        <v>449</v>
      </c>
      <c r="R6588" s="14" t="str">
        <f>HYPERLINK("https://my.pitchbook.com?c=210996-28T","View Company Online")</f>
        <v>View Company Online</v>
      </c>
    </row>
    <row r="6589" spans="1:18" hidden="1" x14ac:dyDescent="0.3">
      <c r="A6589" s="15" t="s">
        <v>19880</v>
      </c>
      <c r="B6589" s="15" t="s">
        <v>3307</v>
      </c>
      <c r="C6589" s="18" t="s">
        <v>28</v>
      </c>
      <c r="D6589" s="15" t="s">
        <v>3308</v>
      </c>
      <c r="E6589" s="18" t="s">
        <v>28</v>
      </c>
      <c r="F6589" s="19" t="s">
        <v>28</v>
      </c>
      <c r="G6589" s="19">
        <v>12</v>
      </c>
      <c r="H6589" s="19" t="s">
        <v>28</v>
      </c>
      <c r="I6589" s="18" t="s">
        <v>28</v>
      </c>
      <c r="J6589" s="18" t="s">
        <v>28</v>
      </c>
      <c r="K6589" s="18">
        <v>0.61</v>
      </c>
      <c r="L6589" s="18" t="s">
        <v>28</v>
      </c>
      <c r="M6589" s="18" t="s">
        <v>28</v>
      </c>
      <c r="N6589" s="17">
        <v>43798</v>
      </c>
      <c r="O6589" s="15" t="s">
        <v>73</v>
      </c>
      <c r="P6589" s="16" t="s">
        <v>19881</v>
      </c>
      <c r="Q6589" s="15" t="s">
        <v>119</v>
      </c>
      <c r="R6589" s="13" t="str">
        <f>HYPERLINK("https://my.pitchbook.com?c=127284-94T","View Company Online")</f>
        <v>View Company Online</v>
      </c>
    </row>
    <row r="6590" spans="1:18" hidden="1" x14ac:dyDescent="0.3">
      <c r="A6590" s="9" t="s">
        <v>19882</v>
      </c>
      <c r="B6590" s="9" t="s">
        <v>19883</v>
      </c>
      <c r="C6590" s="11" t="s">
        <v>28</v>
      </c>
      <c r="D6590" s="9" t="s">
        <v>19884</v>
      </c>
      <c r="E6590" s="11" t="s">
        <v>28</v>
      </c>
      <c r="F6590" s="10" t="s">
        <v>28</v>
      </c>
      <c r="G6590" s="10" t="s">
        <v>28</v>
      </c>
      <c r="H6590" s="10" t="s">
        <v>28</v>
      </c>
      <c r="I6590" s="11" t="s">
        <v>28</v>
      </c>
      <c r="J6590" s="11" t="s">
        <v>28</v>
      </c>
      <c r="K6590" s="11" t="s">
        <v>28</v>
      </c>
      <c r="L6590" s="11" t="s">
        <v>28</v>
      </c>
      <c r="M6590" s="11" t="s">
        <v>28</v>
      </c>
      <c r="N6590" s="8">
        <v>43798</v>
      </c>
      <c r="O6590" s="9" t="s">
        <v>30</v>
      </c>
      <c r="P6590" s="12" t="s">
        <v>19885</v>
      </c>
      <c r="Q6590" s="9" t="s">
        <v>299</v>
      </c>
      <c r="R6590" s="14" t="str">
        <f>HYPERLINK("https://my.pitchbook.com?c=216197-29T","View Company Online")</f>
        <v>View Company Online</v>
      </c>
    </row>
    <row r="6591" spans="1:18" hidden="1" x14ac:dyDescent="0.3">
      <c r="A6591" s="15" t="s">
        <v>19886</v>
      </c>
      <c r="B6591" s="15" t="s">
        <v>11994</v>
      </c>
      <c r="C6591" s="18" t="s">
        <v>28</v>
      </c>
      <c r="D6591" s="15" t="s">
        <v>11995</v>
      </c>
      <c r="E6591" s="18" t="s">
        <v>28</v>
      </c>
      <c r="F6591" s="19" t="s">
        <v>28</v>
      </c>
      <c r="G6591" s="19">
        <v>2.1</v>
      </c>
      <c r="H6591" s="19" t="s">
        <v>28</v>
      </c>
      <c r="I6591" s="18" t="s">
        <v>28</v>
      </c>
      <c r="J6591" s="18" t="s">
        <v>28</v>
      </c>
      <c r="K6591" s="18" t="s">
        <v>28</v>
      </c>
      <c r="L6591" s="18" t="s">
        <v>28</v>
      </c>
      <c r="M6591" s="18" t="s">
        <v>28</v>
      </c>
      <c r="N6591" s="17">
        <v>43798</v>
      </c>
      <c r="O6591" s="15" t="s">
        <v>73</v>
      </c>
      <c r="P6591" s="16" t="s">
        <v>19887</v>
      </c>
      <c r="Q6591" s="15" t="s">
        <v>696</v>
      </c>
      <c r="R6591" s="13" t="str">
        <f>HYPERLINK("https://my.pitchbook.com?c=133772-23T","View Company Online")</f>
        <v>View Company Online</v>
      </c>
    </row>
    <row r="6592" spans="1:18" hidden="1" x14ac:dyDescent="0.3">
      <c r="A6592" s="9" t="s">
        <v>19888</v>
      </c>
      <c r="B6592" s="9" t="s">
        <v>19889</v>
      </c>
      <c r="C6592" s="11" t="s">
        <v>28</v>
      </c>
      <c r="D6592" s="9" t="s">
        <v>19890</v>
      </c>
      <c r="E6592" s="11" t="s">
        <v>28</v>
      </c>
      <c r="F6592" s="10" t="s">
        <v>28</v>
      </c>
      <c r="G6592" s="10" t="s">
        <v>28</v>
      </c>
      <c r="H6592" s="10" t="s">
        <v>28</v>
      </c>
      <c r="I6592" s="11" t="s">
        <v>28</v>
      </c>
      <c r="J6592" s="11" t="s">
        <v>28</v>
      </c>
      <c r="K6592" s="11" t="s">
        <v>28</v>
      </c>
      <c r="L6592" s="11" t="s">
        <v>28</v>
      </c>
      <c r="M6592" s="11" t="s">
        <v>28</v>
      </c>
      <c r="N6592" s="8">
        <v>43798</v>
      </c>
      <c r="O6592" s="9" t="s">
        <v>58</v>
      </c>
      <c r="P6592" s="12" t="s">
        <v>19891</v>
      </c>
      <c r="Q6592" s="9" t="s">
        <v>245</v>
      </c>
      <c r="R6592" s="14" t="str">
        <f>HYPERLINK("https://my.pitchbook.com?c=212081-23T","View Company Online")</f>
        <v>View Company Online</v>
      </c>
    </row>
    <row r="6593" spans="1:18" hidden="1" x14ac:dyDescent="0.3">
      <c r="A6593" s="15" t="s">
        <v>19892</v>
      </c>
      <c r="B6593" s="15" t="s">
        <v>10756</v>
      </c>
      <c r="C6593" s="18" t="s">
        <v>28</v>
      </c>
      <c r="D6593" s="15" t="s">
        <v>10757</v>
      </c>
      <c r="E6593" s="18" t="s">
        <v>28</v>
      </c>
      <c r="F6593" s="19" t="s">
        <v>28</v>
      </c>
      <c r="G6593" s="19" t="s">
        <v>28</v>
      </c>
      <c r="H6593" s="19" t="s">
        <v>28</v>
      </c>
      <c r="I6593" s="18" t="s">
        <v>28</v>
      </c>
      <c r="J6593" s="18" t="s">
        <v>28</v>
      </c>
      <c r="K6593" s="18" t="s">
        <v>28</v>
      </c>
      <c r="L6593" s="18" t="s">
        <v>28</v>
      </c>
      <c r="M6593" s="18" t="s">
        <v>28</v>
      </c>
      <c r="N6593" s="17">
        <v>43797</v>
      </c>
      <c r="O6593" s="15" t="s">
        <v>1639</v>
      </c>
      <c r="P6593" s="16" t="s">
        <v>28</v>
      </c>
      <c r="Q6593" s="15" t="s">
        <v>54</v>
      </c>
      <c r="R6593" s="13" t="str">
        <f>HYPERLINK("https://my.pitchbook.com?c=177039-19T","View Company Online")</f>
        <v>View Company Online</v>
      </c>
    </row>
    <row r="6594" spans="1:18" hidden="1" x14ac:dyDescent="0.3">
      <c r="A6594" s="9" t="s">
        <v>19893</v>
      </c>
      <c r="B6594" s="9" t="s">
        <v>19894</v>
      </c>
      <c r="C6594" s="11" t="s">
        <v>28</v>
      </c>
      <c r="D6594" s="9" t="s">
        <v>19895</v>
      </c>
      <c r="E6594" s="11" t="s">
        <v>28</v>
      </c>
      <c r="F6594" s="10" t="s">
        <v>28</v>
      </c>
      <c r="G6594" s="10" t="s">
        <v>28</v>
      </c>
      <c r="H6594" s="10" t="s">
        <v>28</v>
      </c>
      <c r="I6594" s="11" t="s">
        <v>28</v>
      </c>
      <c r="J6594" s="11" t="s">
        <v>28</v>
      </c>
      <c r="K6594" s="11">
        <v>7.44</v>
      </c>
      <c r="L6594" s="11" t="s">
        <v>28</v>
      </c>
      <c r="M6594" s="11">
        <v>5.67</v>
      </c>
      <c r="N6594" s="8">
        <v>43797</v>
      </c>
      <c r="O6594" s="9" t="s">
        <v>173</v>
      </c>
      <c r="P6594" s="12" t="s">
        <v>28</v>
      </c>
      <c r="Q6594" s="9" t="s">
        <v>174</v>
      </c>
      <c r="R6594" s="14" t="str">
        <f>HYPERLINK("https://my.pitchbook.com?c=227651-77T","View Company Online")</f>
        <v>View Company Online</v>
      </c>
    </row>
    <row r="6595" spans="1:18" hidden="1" x14ac:dyDescent="0.3">
      <c r="A6595" s="15" t="s">
        <v>19896</v>
      </c>
      <c r="B6595" s="15" t="s">
        <v>14374</v>
      </c>
      <c r="C6595" s="18" t="s">
        <v>28</v>
      </c>
      <c r="D6595" s="15" t="s">
        <v>14693</v>
      </c>
      <c r="E6595" s="18">
        <v>141.04</v>
      </c>
      <c r="F6595" s="19" t="s">
        <v>28</v>
      </c>
      <c r="G6595" s="19">
        <v>257.23</v>
      </c>
      <c r="H6595" s="19" t="s">
        <v>28</v>
      </c>
      <c r="I6595" s="18">
        <v>258.36</v>
      </c>
      <c r="J6595" s="18" t="s">
        <v>28</v>
      </c>
      <c r="K6595" s="18">
        <v>461.48</v>
      </c>
      <c r="L6595" s="18" t="s">
        <v>28</v>
      </c>
      <c r="M6595" s="18">
        <v>40.82</v>
      </c>
      <c r="N6595" s="17">
        <v>43796</v>
      </c>
      <c r="O6595" s="15" t="s">
        <v>93</v>
      </c>
      <c r="P6595" s="16" t="s">
        <v>19897</v>
      </c>
      <c r="Q6595" s="15" t="s">
        <v>1068</v>
      </c>
      <c r="R6595" s="13" t="str">
        <f>HYPERLINK("https://my.pitchbook.com?c=156769-12T","View Company Online")</f>
        <v>View Company Online</v>
      </c>
    </row>
    <row r="6596" spans="1:18" hidden="1" x14ac:dyDescent="0.3">
      <c r="A6596" s="9" t="s">
        <v>19898</v>
      </c>
      <c r="B6596" s="9" t="s">
        <v>19899</v>
      </c>
      <c r="C6596" s="11" t="s">
        <v>28</v>
      </c>
      <c r="D6596" s="9" t="s">
        <v>19900</v>
      </c>
      <c r="E6596" s="11" t="s">
        <v>28</v>
      </c>
      <c r="F6596" s="10" t="s">
        <v>28</v>
      </c>
      <c r="G6596" s="10">
        <v>0.44</v>
      </c>
      <c r="H6596" s="10" t="s">
        <v>28</v>
      </c>
      <c r="I6596" s="11" t="s">
        <v>28</v>
      </c>
      <c r="J6596" s="11" t="s">
        <v>28</v>
      </c>
      <c r="K6596" s="11" t="s">
        <v>28</v>
      </c>
      <c r="L6596" s="11" t="s">
        <v>28</v>
      </c>
      <c r="M6596" s="11" t="s">
        <v>28</v>
      </c>
      <c r="N6596" s="8">
        <v>43795</v>
      </c>
      <c r="O6596" s="9" t="s">
        <v>99</v>
      </c>
      <c r="P6596" s="12" t="s">
        <v>19901</v>
      </c>
      <c r="Q6596" s="9" t="s">
        <v>136</v>
      </c>
      <c r="R6596" s="14" t="str">
        <f>HYPERLINK("https://my.pitchbook.com?c=127270-90T","View Company Online")</f>
        <v>View Company Online</v>
      </c>
    </row>
    <row r="6597" spans="1:18" hidden="1" x14ac:dyDescent="0.3">
      <c r="A6597" s="15" t="s">
        <v>19902</v>
      </c>
      <c r="B6597" s="15" t="s">
        <v>19903</v>
      </c>
      <c r="C6597" s="18" t="s">
        <v>28</v>
      </c>
      <c r="D6597" s="15" t="s">
        <v>19904</v>
      </c>
      <c r="E6597" s="18" t="s">
        <v>28</v>
      </c>
      <c r="F6597" s="19" t="s">
        <v>28</v>
      </c>
      <c r="G6597" s="19" t="s">
        <v>28</v>
      </c>
      <c r="H6597" s="19" t="s">
        <v>28</v>
      </c>
      <c r="I6597" s="18" t="s">
        <v>28</v>
      </c>
      <c r="J6597" s="18" t="s">
        <v>28</v>
      </c>
      <c r="K6597" s="18" t="s">
        <v>28</v>
      </c>
      <c r="L6597" s="18" t="s">
        <v>28</v>
      </c>
      <c r="M6597" s="18" t="s">
        <v>28</v>
      </c>
      <c r="N6597" s="17">
        <v>43795</v>
      </c>
      <c r="O6597" s="15" t="s">
        <v>52</v>
      </c>
      <c r="P6597" s="16" t="s">
        <v>4500</v>
      </c>
      <c r="Q6597" s="15" t="s">
        <v>583</v>
      </c>
      <c r="R6597" s="13" t="str">
        <f>HYPERLINK("https://my.pitchbook.com?c=276493-24T","View Company Online")</f>
        <v>View Company Online</v>
      </c>
    </row>
    <row r="6598" spans="1:18" hidden="1" x14ac:dyDescent="0.3">
      <c r="A6598" s="9" t="s">
        <v>19905</v>
      </c>
      <c r="B6598" s="9" t="s">
        <v>19906</v>
      </c>
      <c r="C6598" s="11" t="s">
        <v>28</v>
      </c>
      <c r="D6598" s="9" t="s">
        <v>19907</v>
      </c>
      <c r="E6598" s="11" t="s">
        <v>28</v>
      </c>
      <c r="F6598" s="10" t="s">
        <v>28</v>
      </c>
      <c r="G6598" s="10" t="s">
        <v>28</v>
      </c>
      <c r="H6598" s="10" t="s">
        <v>28</v>
      </c>
      <c r="I6598" s="11" t="s">
        <v>28</v>
      </c>
      <c r="J6598" s="11" t="s">
        <v>28</v>
      </c>
      <c r="K6598" s="11" t="s">
        <v>28</v>
      </c>
      <c r="L6598" s="11" t="s">
        <v>28</v>
      </c>
      <c r="M6598" s="11" t="s">
        <v>28</v>
      </c>
      <c r="N6598" s="8">
        <v>43794</v>
      </c>
      <c r="O6598" s="9" t="s">
        <v>30</v>
      </c>
      <c r="P6598" s="12" t="s">
        <v>19908</v>
      </c>
      <c r="Q6598" s="9" t="s">
        <v>95</v>
      </c>
      <c r="R6598" s="14" t="str">
        <f>HYPERLINK("https://my.pitchbook.com?c=132386-77T","View Company Online")</f>
        <v>View Company Online</v>
      </c>
    </row>
    <row r="6599" spans="1:18" hidden="1" x14ac:dyDescent="0.3">
      <c r="A6599" s="15" t="s">
        <v>19909</v>
      </c>
      <c r="B6599" s="15" t="s">
        <v>19910</v>
      </c>
      <c r="C6599" s="18" t="s">
        <v>28</v>
      </c>
      <c r="D6599" s="15" t="s">
        <v>19911</v>
      </c>
      <c r="E6599" s="18" t="s">
        <v>28</v>
      </c>
      <c r="F6599" s="19" t="s">
        <v>28</v>
      </c>
      <c r="G6599" s="19" t="s">
        <v>28</v>
      </c>
      <c r="H6599" s="19" t="s">
        <v>28</v>
      </c>
      <c r="I6599" s="18" t="s">
        <v>28</v>
      </c>
      <c r="J6599" s="18" t="s">
        <v>28</v>
      </c>
      <c r="K6599" s="18" t="s">
        <v>28</v>
      </c>
      <c r="L6599" s="18" t="s">
        <v>28</v>
      </c>
      <c r="M6599" s="18" t="s">
        <v>28</v>
      </c>
      <c r="N6599" s="17">
        <v>43794</v>
      </c>
      <c r="O6599" s="15" t="s">
        <v>58</v>
      </c>
      <c r="P6599" s="16" t="s">
        <v>11193</v>
      </c>
      <c r="Q6599" s="15" t="s">
        <v>95</v>
      </c>
      <c r="R6599" s="13" t="str">
        <f>HYPERLINK("https://my.pitchbook.com?c=276029-92T","View Company Online")</f>
        <v>View Company Online</v>
      </c>
    </row>
    <row r="6600" spans="1:18" hidden="1" x14ac:dyDescent="0.3">
      <c r="A6600" s="9" t="s">
        <v>19912</v>
      </c>
      <c r="B6600" s="9" t="s">
        <v>19913</v>
      </c>
      <c r="C6600" s="11" t="s">
        <v>28</v>
      </c>
      <c r="D6600" s="9" t="s">
        <v>19914</v>
      </c>
      <c r="E6600" s="11" t="s">
        <v>28</v>
      </c>
      <c r="F6600" s="10" t="s">
        <v>28</v>
      </c>
      <c r="G6600" s="10" t="s">
        <v>28</v>
      </c>
      <c r="H6600" s="10" t="s">
        <v>28</v>
      </c>
      <c r="I6600" s="11" t="s">
        <v>28</v>
      </c>
      <c r="J6600" s="11" t="s">
        <v>28</v>
      </c>
      <c r="K6600" s="11" t="s">
        <v>28</v>
      </c>
      <c r="L6600" s="11" t="s">
        <v>28</v>
      </c>
      <c r="M6600" s="11" t="s">
        <v>28</v>
      </c>
      <c r="N6600" s="8">
        <v>43791</v>
      </c>
      <c r="O6600" s="9" t="s">
        <v>173</v>
      </c>
      <c r="P6600" s="12" t="s">
        <v>28</v>
      </c>
      <c r="Q6600" s="9" t="s">
        <v>174</v>
      </c>
      <c r="R6600" s="14" t="str">
        <f>HYPERLINK("https://my.pitchbook.com?c=224695-90T","View Company Online")</f>
        <v>View Company Online</v>
      </c>
    </row>
    <row r="6601" spans="1:18" hidden="1" x14ac:dyDescent="0.3">
      <c r="A6601" s="15" t="s">
        <v>19915</v>
      </c>
      <c r="B6601" s="15" t="s">
        <v>11327</v>
      </c>
      <c r="C6601" s="18" t="s">
        <v>28</v>
      </c>
      <c r="D6601" s="15" t="s">
        <v>11328</v>
      </c>
      <c r="E6601" s="18" t="s">
        <v>28</v>
      </c>
      <c r="F6601" s="19" t="s">
        <v>28</v>
      </c>
      <c r="G6601" s="19" t="s">
        <v>28</v>
      </c>
      <c r="H6601" s="19" t="s">
        <v>28</v>
      </c>
      <c r="I6601" s="18" t="s">
        <v>28</v>
      </c>
      <c r="J6601" s="18" t="s">
        <v>28</v>
      </c>
      <c r="K6601" s="18" t="s">
        <v>28</v>
      </c>
      <c r="L6601" s="18" t="s">
        <v>28</v>
      </c>
      <c r="M6601" s="18" t="s">
        <v>28</v>
      </c>
      <c r="N6601" s="17">
        <v>43788</v>
      </c>
      <c r="O6601" s="15" t="s">
        <v>52</v>
      </c>
      <c r="P6601" s="16" t="s">
        <v>15106</v>
      </c>
      <c r="Q6601" s="15" t="s">
        <v>583</v>
      </c>
      <c r="R6601" s="13" t="str">
        <f>HYPERLINK("https://my.pitchbook.com?c=126993-97T","View Company Online")</f>
        <v>View Company Online</v>
      </c>
    </row>
    <row r="6602" spans="1:18" hidden="1" x14ac:dyDescent="0.3">
      <c r="A6602" s="9" t="s">
        <v>19916</v>
      </c>
      <c r="B6602" s="9" t="s">
        <v>19917</v>
      </c>
      <c r="C6602" s="11" t="s">
        <v>28</v>
      </c>
      <c r="D6602" s="9" t="s">
        <v>19918</v>
      </c>
      <c r="E6602" s="11" t="s">
        <v>28</v>
      </c>
      <c r="F6602" s="10">
        <v>905.99</v>
      </c>
      <c r="G6602" s="10">
        <v>905.99</v>
      </c>
      <c r="H6602" s="10">
        <v>905.99</v>
      </c>
      <c r="I6602" s="11" t="s">
        <v>28</v>
      </c>
      <c r="J6602" s="11" t="s">
        <v>28</v>
      </c>
      <c r="K6602" s="11" t="s">
        <v>28</v>
      </c>
      <c r="L6602" s="11" t="s">
        <v>28</v>
      </c>
      <c r="M6602" s="11" t="s">
        <v>28</v>
      </c>
      <c r="N6602" s="8">
        <v>43788</v>
      </c>
      <c r="O6602" s="9" t="s">
        <v>30</v>
      </c>
      <c r="P6602" s="12" t="s">
        <v>19919</v>
      </c>
      <c r="Q6602" s="9" t="s">
        <v>4901</v>
      </c>
      <c r="R6602" s="14" t="str">
        <f>HYPERLINK("https://my.pitchbook.com?c=122274-55T","View Company Online")</f>
        <v>View Company Online</v>
      </c>
    </row>
    <row r="6603" spans="1:18" hidden="1" x14ac:dyDescent="0.3">
      <c r="A6603" s="15" t="s">
        <v>19920</v>
      </c>
      <c r="B6603" s="15" t="s">
        <v>8484</v>
      </c>
      <c r="C6603" s="18" t="s">
        <v>28</v>
      </c>
      <c r="D6603" s="15" t="s">
        <v>11710</v>
      </c>
      <c r="E6603" s="18" t="s">
        <v>28</v>
      </c>
      <c r="F6603" s="19" t="s">
        <v>28</v>
      </c>
      <c r="G6603" s="19">
        <v>97.94</v>
      </c>
      <c r="H6603" s="19" t="s">
        <v>28</v>
      </c>
      <c r="I6603" s="18" t="s">
        <v>28</v>
      </c>
      <c r="J6603" s="18" t="s">
        <v>28</v>
      </c>
      <c r="K6603" s="18" t="s">
        <v>28</v>
      </c>
      <c r="L6603" s="18" t="s">
        <v>28</v>
      </c>
      <c r="M6603" s="18" t="s">
        <v>28</v>
      </c>
      <c r="N6603" s="17">
        <v>43788</v>
      </c>
      <c r="O6603" s="15" t="s">
        <v>73</v>
      </c>
      <c r="P6603" s="16" t="s">
        <v>19921</v>
      </c>
      <c r="Q6603" s="15" t="s">
        <v>114</v>
      </c>
      <c r="R6603" s="13" t="str">
        <f>HYPERLINK("https://my.pitchbook.com?c=126684-64T","View Company Online")</f>
        <v>View Company Online</v>
      </c>
    </row>
    <row r="6604" spans="1:18" hidden="1" x14ac:dyDescent="0.3">
      <c r="A6604" s="9" t="s">
        <v>19922</v>
      </c>
      <c r="B6604" s="9" t="s">
        <v>1731</v>
      </c>
      <c r="C6604" s="11" t="s">
        <v>28</v>
      </c>
      <c r="D6604" s="9" t="s">
        <v>1732</v>
      </c>
      <c r="E6604" s="11" t="s">
        <v>28</v>
      </c>
      <c r="F6604" s="10" t="s">
        <v>28</v>
      </c>
      <c r="G6604" s="10">
        <v>0.55000000000000004</v>
      </c>
      <c r="H6604" s="10" t="s">
        <v>28</v>
      </c>
      <c r="I6604" s="11" t="s">
        <v>28</v>
      </c>
      <c r="J6604" s="11" t="s">
        <v>28</v>
      </c>
      <c r="K6604" s="11" t="s">
        <v>28</v>
      </c>
      <c r="L6604" s="11" t="s">
        <v>28</v>
      </c>
      <c r="M6604" s="11" t="s">
        <v>28</v>
      </c>
      <c r="N6604" s="8">
        <v>43787</v>
      </c>
      <c r="O6604" s="9" t="s">
        <v>99</v>
      </c>
      <c r="P6604" s="12" t="s">
        <v>19923</v>
      </c>
      <c r="Q6604" s="9" t="s">
        <v>1734</v>
      </c>
      <c r="R6604" s="14" t="str">
        <f>HYPERLINK("https://my.pitchbook.com?c=180846-73T","View Company Online")</f>
        <v>View Company Online</v>
      </c>
    </row>
    <row r="6605" spans="1:18" hidden="1" x14ac:dyDescent="0.3">
      <c r="A6605" s="15" t="s">
        <v>19924</v>
      </c>
      <c r="B6605" s="15" t="s">
        <v>11923</v>
      </c>
      <c r="C6605" s="18" t="s">
        <v>28</v>
      </c>
      <c r="D6605" s="15" t="s">
        <v>11924</v>
      </c>
      <c r="E6605" s="18" t="s">
        <v>28</v>
      </c>
      <c r="F6605" s="19" t="s">
        <v>28</v>
      </c>
      <c r="G6605" s="19">
        <v>0.34</v>
      </c>
      <c r="H6605" s="19" t="s">
        <v>28</v>
      </c>
      <c r="I6605" s="18" t="s">
        <v>28</v>
      </c>
      <c r="J6605" s="18" t="s">
        <v>28</v>
      </c>
      <c r="K6605" s="18" t="s">
        <v>28</v>
      </c>
      <c r="L6605" s="18" t="s">
        <v>28</v>
      </c>
      <c r="M6605" s="18" t="s">
        <v>28</v>
      </c>
      <c r="N6605" s="17">
        <v>43787</v>
      </c>
      <c r="O6605" s="15" t="s">
        <v>93</v>
      </c>
      <c r="P6605" s="16" t="s">
        <v>19925</v>
      </c>
      <c r="Q6605" s="15" t="s">
        <v>37</v>
      </c>
      <c r="R6605" s="13" t="str">
        <f>HYPERLINK("https://my.pitchbook.com?c=158074-75T","View Company Online")</f>
        <v>View Company Online</v>
      </c>
    </row>
    <row r="6606" spans="1:18" hidden="1" x14ac:dyDescent="0.3">
      <c r="A6606" s="9" t="s">
        <v>19926</v>
      </c>
      <c r="B6606" s="9" t="s">
        <v>7476</v>
      </c>
      <c r="C6606" s="11" t="s">
        <v>28</v>
      </c>
      <c r="D6606" s="9" t="s">
        <v>7477</v>
      </c>
      <c r="E6606" s="11" t="s">
        <v>28</v>
      </c>
      <c r="F6606" s="10" t="s">
        <v>28</v>
      </c>
      <c r="G6606" s="10">
        <v>0.13</v>
      </c>
      <c r="H6606" s="10">
        <v>1.79</v>
      </c>
      <c r="I6606" s="11" t="s">
        <v>28</v>
      </c>
      <c r="J6606" s="11" t="s">
        <v>28</v>
      </c>
      <c r="K6606" s="11" t="s">
        <v>28</v>
      </c>
      <c r="L6606" s="11" t="s">
        <v>28</v>
      </c>
      <c r="M6606" s="11" t="s">
        <v>28</v>
      </c>
      <c r="N6606" s="8">
        <v>43786</v>
      </c>
      <c r="O6606" s="9" t="s">
        <v>52</v>
      </c>
      <c r="P6606" s="12" t="s">
        <v>3944</v>
      </c>
      <c r="Q6606" s="9" t="s">
        <v>37</v>
      </c>
      <c r="R6606" s="14" t="str">
        <f>HYPERLINK("https://my.pitchbook.com?c=173264-68T","View Company Online")</f>
        <v>View Company Online</v>
      </c>
    </row>
    <row r="6607" spans="1:18" hidden="1" x14ac:dyDescent="0.3">
      <c r="A6607" s="15" t="s">
        <v>19927</v>
      </c>
      <c r="B6607" s="15" t="s">
        <v>19928</v>
      </c>
      <c r="C6607" s="18" t="s">
        <v>28</v>
      </c>
      <c r="D6607" s="15" t="s">
        <v>19929</v>
      </c>
      <c r="E6607" s="18" t="s">
        <v>28</v>
      </c>
      <c r="F6607" s="19" t="s">
        <v>28</v>
      </c>
      <c r="G6607" s="19" t="s">
        <v>28</v>
      </c>
      <c r="H6607" s="19" t="s">
        <v>28</v>
      </c>
      <c r="I6607" s="18" t="s">
        <v>28</v>
      </c>
      <c r="J6607" s="18" t="s">
        <v>28</v>
      </c>
      <c r="K6607" s="18" t="s">
        <v>28</v>
      </c>
      <c r="L6607" s="18" t="s">
        <v>28</v>
      </c>
      <c r="M6607" s="18" t="s">
        <v>28</v>
      </c>
      <c r="N6607" s="17">
        <v>43784</v>
      </c>
      <c r="O6607" s="15" t="s">
        <v>30</v>
      </c>
      <c r="P6607" s="16" t="s">
        <v>19930</v>
      </c>
      <c r="Q6607" s="15" t="s">
        <v>75</v>
      </c>
      <c r="R6607" s="13" t="str">
        <f>HYPERLINK("https://my.pitchbook.com?c=135932-59T","View Company Online")</f>
        <v>View Company Online</v>
      </c>
    </row>
    <row r="6608" spans="1:18" hidden="1" x14ac:dyDescent="0.3">
      <c r="A6608" s="9" t="s">
        <v>19931</v>
      </c>
      <c r="B6608" s="9" t="s">
        <v>11959</v>
      </c>
      <c r="C6608" s="11" t="s">
        <v>28</v>
      </c>
      <c r="D6608" s="9" t="s">
        <v>11960</v>
      </c>
      <c r="E6608" s="11" t="s">
        <v>28</v>
      </c>
      <c r="F6608" s="10" t="s">
        <v>28</v>
      </c>
      <c r="G6608" s="10">
        <v>2.5</v>
      </c>
      <c r="H6608" s="10" t="s">
        <v>28</v>
      </c>
      <c r="I6608" s="11" t="s">
        <v>28</v>
      </c>
      <c r="J6608" s="11" t="s">
        <v>28</v>
      </c>
      <c r="K6608" s="11" t="s">
        <v>28</v>
      </c>
      <c r="L6608" s="11" t="s">
        <v>28</v>
      </c>
      <c r="M6608" s="11" t="s">
        <v>28</v>
      </c>
      <c r="N6608" s="8">
        <v>43783</v>
      </c>
      <c r="O6608" s="9" t="s">
        <v>99</v>
      </c>
      <c r="P6608" s="12" t="s">
        <v>19932</v>
      </c>
      <c r="Q6608" s="9" t="s">
        <v>75</v>
      </c>
      <c r="R6608" s="14" t="str">
        <f>HYPERLINK("https://my.pitchbook.com?c=130213-81T","View Company Online")</f>
        <v>View Company Online</v>
      </c>
    </row>
    <row r="6609" spans="1:18" hidden="1" x14ac:dyDescent="0.3">
      <c r="A6609" s="15" t="s">
        <v>19933</v>
      </c>
      <c r="B6609" s="15" t="s">
        <v>2966</v>
      </c>
      <c r="C6609" s="18" t="s">
        <v>28</v>
      </c>
      <c r="D6609" s="15" t="s">
        <v>2967</v>
      </c>
      <c r="E6609" s="18" t="s">
        <v>28</v>
      </c>
      <c r="F6609" s="19" t="s">
        <v>28</v>
      </c>
      <c r="G6609" s="19" t="s">
        <v>28</v>
      </c>
      <c r="H6609" s="19" t="s">
        <v>28</v>
      </c>
      <c r="I6609" s="18" t="s">
        <v>28</v>
      </c>
      <c r="J6609" s="18" t="s">
        <v>28</v>
      </c>
      <c r="K6609" s="18" t="s">
        <v>28</v>
      </c>
      <c r="L6609" s="18" t="s">
        <v>28</v>
      </c>
      <c r="M6609" s="18" t="s">
        <v>28</v>
      </c>
      <c r="N6609" s="17">
        <v>43783</v>
      </c>
      <c r="O6609" s="15" t="s">
        <v>173</v>
      </c>
      <c r="P6609" s="16" t="s">
        <v>28</v>
      </c>
      <c r="Q6609" s="15" t="s">
        <v>240</v>
      </c>
      <c r="R6609" s="13" t="str">
        <f>HYPERLINK("https://my.pitchbook.com?c=226371-70T","View Company Online")</f>
        <v>View Company Online</v>
      </c>
    </row>
    <row r="6610" spans="1:18" hidden="1" x14ac:dyDescent="0.3">
      <c r="A6610" s="9" t="s">
        <v>19934</v>
      </c>
      <c r="B6610" s="9" t="s">
        <v>19935</v>
      </c>
      <c r="C6610" s="11" t="s">
        <v>28</v>
      </c>
      <c r="D6610" s="9" t="s">
        <v>19936</v>
      </c>
      <c r="E6610" s="11" t="s">
        <v>28</v>
      </c>
      <c r="F6610" s="10">
        <v>27.62</v>
      </c>
      <c r="G6610" s="10">
        <v>27.62</v>
      </c>
      <c r="H6610" s="10">
        <v>27.62</v>
      </c>
      <c r="I6610" s="11" t="s">
        <v>28</v>
      </c>
      <c r="J6610" s="11" t="s">
        <v>28</v>
      </c>
      <c r="K6610" s="11" t="s">
        <v>28</v>
      </c>
      <c r="L6610" s="11" t="s">
        <v>28</v>
      </c>
      <c r="M6610" s="11" t="s">
        <v>28</v>
      </c>
      <c r="N6610" s="8">
        <v>43783</v>
      </c>
      <c r="O6610" s="9" t="s">
        <v>30</v>
      </c>
      <c r="P6610" s="12" t="s">
        <v>2330</v>
      </c>
      <c r="Q6610" s="9" t="s">
        <v>43</v>
      </c>
      <c r="R6610" s="14" t="str">
        <f>HYPERLINK("https://my.pitchbook.com?c=211727-08T","View Company Online")</f>
        <v>View Company Online</v>
      </c>
    </row>
    <row r="6611" spans="1:18" hidden="1" x14ac:dyDescent="0.3">
      <c r="A6611" s="15" t="s">
        <v>19937</v>
      </c>
      <c r="B6611" s="15" t="s">
        <v>1510</v>
      </c>
      <c r="C6611" s="18" t="s">
        <v>28</v>
      </c>
      <c r="D6611" s="15" t="s">
        <v>1511</v>
      </c>
      <c r="E6611" s="18" t="s">
        <v>28</v>
      </c>
      <c r="F6611" s="19" t="s">
        <v>28</v>
      </c>
      <c r="G6611" s="19">
        <v>0.49</v>
      </c>
      <c r="H6611" s="19" t="s">
        <v>28</v>
      </c>
      <c r="I6611" s="18" t="s">
        <v>28</v>
      </c>
      <c r="J6611" s="18" t="s">
        <v>28</v>
      </c>
      <c r="K6611" s="18" t="s">
        <v>28</v>
      </c>
      <c r="L6611" s="18" t="s">
        <v>28</v>
      </c>
      <c r="M6611" s="18" t="s">
        <v>28</v>
      </c>
      <c r="N6611" s="17">
        <v>43781</v>
      </c>
      <c r="O6611" s="15" t="s">
        <v>73</v>
      </c>
      <c r="P6611" s="16" t="s">
        <v>19938</v>
      </c>
      <c r="Q6611" s="15" t="s">
        <v>75</v>
      </c>
      <c r="R6611" s="13" t="str">
        <f>HYPERLINK("https://my.pitchbook.com?c=124742-98T","View Company Online")</f>
        <v>View Company Online</v>
      </c>
    </row>
    <row r="6612" spans="1:18" hidden="1" x14ac:dyDescent="0.3">
      <c r="A6612" s="9" t="s">
        <v>19939</v>
      </c>
      <c r="B6612" s="9" t="s">
        <v>3609</v>
      </c>
      <c r="C6612" s="11" t="s">
        <v>28</v>
      </c>
      <c r="D6612" s="9" t="s">
        <v>3610</v>
      </c>
      <c r="E6612" s="11">
        <v>338</v>
      </c>
      <c r="F6612" s="10" t="s">
        <v>28</v>
      </c>
      <c r="G6612" s="10">
        <v>1153.55</v>
      </c>
      <c r="H6612" s="10" t="s">
        <v>28</v>
      </c>
      <c r="I6612" s="11">
        <v>442.81</v>
      </c>
      <c r="J6612" s="11" t="s">
        <v>28</v>
      </c>
      <c r="K6612" s="11">
        <v>4678.92</v>
      </c>
      <c r="L6612" s="11" t="s">
        <v>28</v>
      </c>
      <c r="M6612" s="11">
        <v>243.73</v>
      </c>
      <c r="N6612" s="8">
        <v>43781</v>
      </c>
      <c r="O6612" s="9" t="s">
        <v>159</v>
      </c>
      <c r="P6612" s="12" t="s">
        <v>28</v>
      </c>
      <c r="Q6612" s="9" t="s">
        <v>109</v>
      </c>
      <c r="R6612" s="14" t="str">
        <f>HYPERLINK("https://my.pitchbook.com?c=181887-49T","View Company Online")</f>
        <v>View Company Online</v>
      </c>
    </row>
    <row r="6613" spans="1:18" hidden="1" x14ac:dyDescent="0.3">
      <c r="A6613" s="15" t="s">
        <v>19940</v>
      </c>
      <c r="B6613" s="15" t="s">
        <v>19941</v>
      </c>
      <c r="C6613" s="18" t="s">
        <v>28</v>
      </c>
      <c r="D6613" s="15" t="s">
        <v>19942</v>
      </c>
      <c r="E6613" s="18" t="s">
        <v>28</v>
      </c>
      <c r="F6613" s="19" t="s">
        <v>28</v>
      </c>
      <c r="G6613" s="19" t="s">
        <v>28</v>
      </c>
      <c r="H6613" s="19" t="s">
        <v>28</v>
      </c>
      <c r="I6613" s="18" t="s">
        <v>28</v>
      </c>
      <c r="J6613" s="18" t="s">
        <v>28</v>
      </c>
      <c r="K6613" s="18" t="s">
        <v>28</v>
      </c>
      <c r="L6613" s="18" t="s">
        <v>28</v>
      </c>
      <c r="M6613" s="18" t="s">
        <v>28</v>
      </c>
      <c r="N6613" s="17">
        <v>43780</v>
      </c>
      <c r="O6613" s="15" t="s">
        <v>173</v>
      </c>
      <c r="P6613" s="16" t="s">
        <v>28</v>
      </c>
      <c r="Q6613" s="15" t="s">
        <v>174</v>
      </c>
      <c r="R6613" s="13" t="str">
        <f>HYPERLINK("https://my.pitchbook.com?c=221244-94T","View Company Online")</f>
        <v>View Company Online</v>
      </c>
    </row>
    <row r="6614" spans="1:18" hidden="1" x14ac:dyDescent="0.3">
      <c r="A6614" s="9" t="s">
        <v>19943</v>
      </c>
      <c r="B6614" s="9" t="s">
        <v>10909</v>
      </c>
      <c r="C6614" s="11" t="s">
        <v>28</v>
      </c>
      <c r="D6614" s="9" t="s">
        <v>10910</v>
      </c>
      <c r="E6614" s="11" t="s">
        <v>28</v>
      </c>
      <c r="F6614" s="10" t="s">
        <v>28</v>
      </c>
      <c r="G6614" s="10" t="s">
        <v>28</v>
      </c>
      <c r="H6614" s="10" t="s">
        <v>28</v>
      </c>
      <c r="I6614" s="11" t="s">
        <v>28</v>
      </c>
      <c r="J6614" s="11" t="s">
        <v>28</v>
      </c>
      <c r="K6614" s="11" t="s">
        <v>28</v>
      </c>
      <c r="L6614" s="11" t="s">
        <v>28</v>
      </c>
      <c r="M6614" s="11" t="s">
        <v>28</v>
      </c>
      <c r="N6614" s="8">
        <v>43780</v>
      </c>
      <c r="O6614" s="9" t="s">
        <v>52</v>
      </c>
      <c r="P6614" s="12" t="s">
        <v>19944</v>
      </c>
      <c r="Q6614" s="9" t="s">
        <v>75</v>
      </c>
      <c r="R6614" s="14" t="str">
        <f>HYPERLINK("https://my.pitchbook.com?c=251978-50T","View Company Online")</f>
        <v>View Company Online</v>
      </c>
    </row>
    <row r="6615" spans="1:18" hidden="1" x14ac:dyDescent="0.3">
      <c r="A6615" s="15" t="s">
        <v>19945</v>
      </c>
      <c r="B6615" s="15" t="s">
        <v>19946</v>
      </c>
      <c r="C6615" s="18" t="s">
        <v>28</v>
      </c>
      <c r="D6615" s="15" t="s">
        <v>19947</v>
      </c>
      <c r="E6615" s="18" t="s">
        <v>28</v>
      </c>
      <c r="F6615" s="19" t="s">
        <v>28</v>
      </c>
      <c r="G6615" s="19" t="s">
        <v>28</v>
      </c>
      <c r="H6615" s="19" t="s">
        <v>28</v>
      </c>
      <c r="I6615" s="18" t="s">
        <v>28</v>
      </c>
      <c r="J6615" s="18" t="s">
        <v>28</v>
      </c>
      <c r="K6615" s="18" t="s">
        <v>28</v>
      </c>
      <c r="L6615" s="18" t="s">
        <v>28</v>
      </c>
      <c r="M6615" s="18" t="s">
        <v>28</v>
      </c>
      <c r="N6615" s="17">
        <v>43780</v>
      </c>
      <c r="O6615" s="15" t="s">
        <v>173</v>
      </c>
      <c r="P6615" s="16" t="s">
        <v>28</v>
      </c>
      <c r="Q6615" s="15" t="s">
        <v>114</v>
      </c>
      <c r="R6615" s="13" t="str">
        <f>HYPERLINK("https://my.pitchbook.com?c=227468-44T","View Company Online")</f>
        <v>View Company Online</v>
      </c>
    </row>
    <row r="6616" spans="1:18" hidden="1" x14ac:dyDescent="0.3">
      <c r="A6616" s="9" t="s">
        <v>19948</v>
      </c>
      <c r="B6616" s="9" t="s">
        <v>11882</v>
      </c>
      <c r="C6616" s="11" t="s">
        <v>28</v>
      </c>
      <c r="D6616" s="9" t="s">
        <v>11883</v>
      </c>
      <c r="E6616" s="11" t="s">
        <v>28</v>
      </c>
      <c r="F6616" s="10" t="s">
        <v>28</v>
      </c>
      <c r="G6616" s="10">
        <v>1.23</v>
      </c>
      <c r="H6616" s="10" t="s">
        <v>28</v>
      </c>
      <c r="I6616" s="11" t="s">
        <v>28</v>
      </c>
      <c r="J6616" s="11" t="s">
        <v>28</v>
      </c>
      <c r="K6616" s="11" t="s">
        <v>28</v>
      </c>
      <c r="L6616" s="11" t="s">
        <v>28</v>
      </c>
      <c r="M6616" s="11" t="s">
        <v>28</v>
      </c>
      <c r="N6616" s="8">
        <v>43780</v>
      </c>
      <c r="O6616" s="9" t="s">
        <v>79</v>
      </c>
      <c r="P6616" s="12" t="s">
        <v>19949</v>
      </c>
      <c r="Q6616" s="9" t="s">
        <v>75</v>
      </c>
      <c r="R6616" s="14" t="str">
        <f>HYPERLINK("https://my.pitchbook.com?c=126718-66T","View Company Online")</f>
        <v>View Company Online</v>
      </c>
    </row>
    <row r="6617" spans="1:18" hidden="1" x14ac:dyDescent="0.3">
      <c r="A6617" s="15" t="s">
        <v>19950</v>
      </c>
      <c r="B6617" s="15" t="s">
        <v>18751</v>
      </c>
      <c r="C6617" s="18" t="s">
        <v>28</v>
      </c>
      <c r="D6617" s="15" t="s">
        <v>18752</v>
      </c>
      <c r="E6617" s="18" t="s">
        <v>28</v>
      </c>
      <c r="F6617" s="19" t="s">
        <v>28</v>
      </c>
      <c r="G6617" s="19" t="s">
        <v>28</v>
      </c>
      <c r="H6617" s="19" t="s">
        <v>28</v>
      </c>
      <c r="I6617" s="18" t="s">
        <v>28</v>
      </c>
      <c r="J6617" s="18" t="s">
        <v>28</v>
      </c>
      <c r="K6617" s="18" t="s">
        <v>28</v>
      </c>
      <c r="L6617" s="18" t="s">
        <v>28</v>
      </c>
      <c r="M6617" s="18" t="s">
        <v>28</v>
      </c>
      <c r="N6617" s="17">
        <v>43779</v>
      </c>
      <c r="O6617" s="15" t="s">
        <v>99</v>
      </c>
      <c r="P6617" s="16" t="s">
        <v>19951</v>
      </c>
      <c r="Q6617" s="15" t="s">
        <v>4773</v>
      </c>
      <c r="R6617" s="13" t="str">
        <f>HYPERLINK("https://my.pitchbook.com?c=193344-76T","View Company Online")</f>
        <v>View Company Online</v>
      </c>
    </row>
    <row r="6618" spans="1:18" hidden="1" x14ac:dyDescent="0.3">
      <c r="A6618" s="9" t="s">
        <v>19952</v>
      </c>
      <c r="B6618" s="9" t="s">
        <v>19953</v>
      </c>
      <c r="C6618" s="11" t="s">
        <v>28</v>
      </c>
      <c r="D6618" s="9" t="s">
        <v>19954</v>
      </c>
      <c r="E6618" s="11" t="s">
        <v>28</v>
      </c>
      <c r="F6618" s="10" t="s">
        <v>28</v>
      </c>
      <c r="G6618" s="10" t="s">
        <v>28</v>
      </c>
      <c r="H6618" s="10" t="s">
        <v>28</v>
      </c>
      <c r="I6618" s="11" t="s">
        <v>28</v>
      </c>
      <c r="J6618" s="11" t="s">
        <v>28</v>
      </c>
      <c r="K6618" s="11" t="s">
        <v>28</v>
      </c>
      <c r="L6618" s="11" t="s">
        <v>28</v>
      </c>
      <c r="M6618" s="11" t="s">
        <v>28</v>
      </c>
      <c r="N6618" s="8">
        <v>43776</v>
      </c>
      <c r="O6618" s="9" t="s">
        <v>41</v>
      </c>
      <c r="P6618" s="12" t="s">
        <v>19955</v>
      </c>
      <c r="Q6618" s="9" t="s">
        <v>136</v>
      </c>
      <c r="R6618" s="14" t="str">
        <f>HYPERLINK("https://my.pitchbook.com?c=126129-34T","View Company Online")</f>
        <v>View Company Online</v>
      </c>
    </row>
    <row r="6619" spans="1:18" hidden="1" x14ac:dyDescent="0.3">
      <c r="A6619" s="15" t="s">
        <v>19956</v>
      </c>
      <c r="B6619" s="15" t="s">
        <v>19957</v>
      </c>
      <c r="C6619" s="18" t="s">
        <v>28</v>
      </c>
      <c r="D6619" s="15" t="s">
        <v>19958</v>
      </c>
      <c r="E6619" s="18" t="s">
        <v>28</v>
      </c>
      <c r="F6619" s="19" t="s">
        <v>28</v>
      </c>
      <c r="G6619" s="19">
        <v>0.49</v>
      </c>
      <c r="H6619" s="19" t="s">
        <v>28</v>
      </c>
      <c r="I6619" s="18" t="s">
        <v>28</v>
      </c>
      <c r="J6619" s="18" t="s">
        <v>28</v>
      </c>
      <c r="K6619" s="18" t="s">
        <v>28</v>
      </c>
      <c r="L6619" s="18" t="s">
        <v>28</v>
      </c>
      <c r="M6619" s="18" t="s">
        <v>28</v>
      </c>
      <c r="N6619" s="17">
        <v>43776</v>
      </c>
      <c r="O6619" s="15" t="s">
        <v>58</v>
      </c>
      <c r="P6619" s="16" t="s">
        <v>876</v>
      </c>
      <c r="Q6619" s="15" t="s">
        <v>226</v>
      </c>
      <c r="R6619" s="13" t="str">
        <f>HYPERLINK("https://my.pitchbook.com?c=133763-41T","View Company Online")</f>
        <v>View Company Online</v>
      </c>
    </row>
    <row r="6620" spans="1:18" hidden="1" x14ac:dyDescent="0.3">
      <c r="A6620" s="9" t="s">
        <v>19959</v>
      </c>
      <c r="B6620" s="9" t="s">
        <v>19960</v>
      </c>
      <c r="C6620" s="11" t="s">
        <v>28</v>
      </c>
      <c r="D6620" s="9" t="s">
        <v>19961</v>
      </c>
      <c r="E6620" s="11" t="s">
        <v>28</v>
      </c>
      <c r="F6620" s="10" t="s">
        <v>28</v>
      </c>
      <c r="G6620" s="10">
        <v>4.91</v>
      </c>
      <c r="H6620" s="10" t="s">
        <v>28</v>
      </c>
      <c r="I6620" s="11" t="s">
        <v>28</v>
      </c>
      <c r="J6620" s="11" t="s">
        <v>28</v>
      </c>
      <c r="K6620" s="11" t="s">
        <v>28</v>
      </c>
      <c r="L6620" s="11" t="s">
        <v>28</v>
      </c>
      <c r="M6620" s="11" t="s">
        <v>28</v>
      </c>
      <c r="N6620" s="8">
        <v>43775</v>
      </c>
      <c r="O6620" s="9" t="s">
        <v>58</v>
      </c>
      <c r="P6620" s="12" t="s">
        <v>19962</v>
      </c>
      <c r="Q6620" s="9" t="s">
        <v>386</v>
      </c>
      <c r="R6620" s="14" t="str">
        <f>HYPERLINK("https://my.pitchbook.com?c=200035-90T","View Company Online")</f>
        <v>View Company Online</v>
      </c>
    </row>
    <row r="6621" spans="1:18" hidden="1" x14ac:dyDescent="0.3">
      <c r="A6621" s="15" t="s">
        <v>19963</v>
      </c>
      <c r="B6621" s="15" t="s">
        <v>19964</v>
      </c>
      <c r="C6621" s="18" t="s">
        <v>28</v>
      </c>
      <c r="D6621" s="15" t="s">
        <v>19965</v>
      </c>
      <c r="E6621" s="18" t="s">
        <v>28</v>
      </c>
      <c r="F6621" s="19" t="s">
        <v>28</v>
      </c>
      <c r="G6621" s="19" t="s">
        <v>28</v>
      </c>
      <c r="H6621" s="19" t="s">
        <v>28</v>
      </c>
      <c r="I6621" s="18" t="s">
        <v>28</v>
      </c>
      <c r="J6621" s="18" t="s">
        <v>28</v>
      </c>
      <c r="K6621" s="18" t="s">
        <v>28</v>
      </c>
      <c r="L6621" s="18" t="s">
        <v>28</v>
      </c>
      <c r="M6621" s="18" t="s">
        <v>28</v>
      </c>
      <c r="N6621" s="17">
        <v>43775</v>
      </c>
      <c r="O6621" s="15" t="s">
        <v>30</v>
      </c>
      <c r="P6621" s="16" t="s">
        <v>19966</v>
      </c>
      <c r="Q6621" s="15" t="s">
        <v>37</v>
      </c>
      <c r="R6621" s="13" t="str">
        <f>HYPERLINK("https://my.pitchbook.com?c=158778-64T","View Company Online")</f>
        <v>View Company Online</v>
      </c>
    </row>
    <row r="6622" spans="1:18" hidden="1" x14ac:dyDescent="0.3">
      <c r="A6622" s="9" t="s">
        <v>19967</v>
      </c>
      <c r="B6622" s="9" t="s">
        <v>9391</v>
      </c>
      <c r="C6622" s="11" t="s">
        <v>28</v>
      </c>
      <c r="D6622" s="9" t="s">
        <v>9392</v>
      </c>
      <c r="E6622" s="11" t="s">
        <v>28</v>
      </c>
      <c r="F6622" s="10" t="s">
        <v>28</v>
      </c>
      <c r="G6622" s="10">
        <v>0.15</v>
      </c>
      <c r="H6622" s="10" t="s">
        <v>28</v>
      </c>
      <c r="I6622" s="11" t="s">
        <v>28</v>
      </c>
      <c r="J6622" s="11" t="s">
        <v>28</v>
      </c>
      <c r="K6622" s="11" t="s">
        <v>28</v>
      </c>
      <c r="L6622" s="11" t="s">
        <v>28</v>
      </c>
      <c r="M6622" s="11" t="s">
        <v>28</v>
      </c>
      <c r="N6622" s="8">
        <v>43774</v>
      </c>
      <c r="O6622" s="9" t="s">
        <v>99</v>
      </c>
      <c r="P6622" s="12" t="s">
        <v>3825</v>
      </c>
      <c r="Q6622" s="9" t="s">
        <v>75</v>
      </c>
      <c r="R6622" s="14" t="str">
        <f>HYPERLINK("https://my.pitchbook.com?c=184776-31T","View Company Online")</f>
        <v>View Company Online</v>
      </c>
    </row>
    <row r="6623" spans="1:18" hidden="1" x14ac:dyDescent="0.3">
      <c r="A6623" s="15" t="s">
        <v>19968</v>
      </c>
      <c r="B6623" s="15" t="s">
        <v>13779</v>
      </c>
      <c r="C6623" s="18" t="s">
        <v>28</v>
      </c>
      <c r="D6623" s="15" t="s">
        <v>13780</v>
      </c>
      <c r="E6623" s="18" t="s">
        <v>28</v>
      </c>
      <c r="F6623" s="19" t="s">
        <v>28</v>
      </c>
      <c r="G6623" s="19">
        <v>14.3</v>
      </c>
      <c r="H6623" s="19">
        <v>100</v>
      </c>
      <c r="I6623" s="18" t="s">
        <v>28</v>
      </c>
      <c r="J6623" s="18" t="s">
        <v>28</v>
      </c>
      <c r="K6623" s="18" t="s">
        <v>28</v>
      </c>
      <c r="L6623" s="18" t="s">
        <v>28</v>
      </c>
      <c r="M6623" s="18" t="s">
        <v>28</v>
      </c>
      <c r="N6623" s="17">
        <v>43774</v>
      </c>
      <c r="O6623" s="15" t="s">
        <v>79</v>
      </c>
      <c r="P6623" s="16" t="s">
        <v>19969</v>
      </c>
      <c r="Q6623" s="15" t="s">
        <v>1341</v>
      </c>
      <c r="R6623" s="13" t="str">
        <f>HYPERLINK("https://my.pitchbook.com?c=125774-56T","View Company Online")</f>
        <v>View Company Online</v>
      </c>
    </row>
    <row r="6624" spans="1:18" hidden="1" x14ac:dyDescent="0.3">
      <c r="A6624" s="9" t="s">
        <v>19970</v>
      </c>
      <c r="B6624" s="9" t="s">
        <v>19971</v>
      </c>
      <c r="C6624" s="11" t="s">
        <v>28</v>
      </c>
      <c r="D6624" s="9" t="s">
        <v>19972</v>
      </c>
      <c r="E6624" s="11" t="s">
        <v>28</v>
      </c>
      <c r="F6624" s="10" t="s">
        <v>28</v>
      </c>
      <c r="G6624" s="10" t="s">
        <v>28</v>
      </c>
      <c r="H6624" s="10" t="s">
        <v>28</v>
      </c>
      <c r="I6624" s="11" t="s">
        <v>28</v>
      </c>
      <c r="J6624" s="11" t="s">
        <v>28</v>
      </c>
      <c r="K6624" s="11" t="s">
        <v>28</v>
      </c>
      <c r="L6624" s="11" t="s">
        <v>28</v>
      </c>
      <c r="M6624" s="11" t="s">
        <v>28</v>
      </c>
      <c r="N6624" s="8">
        <v>43773</v>
      </c>
      <c r="O6624" s="9" t="s">
        <v>79</v>
      </c>
      <c r="P6624" s="12" t="s">
        <v>19973</v>
      </c>
      <c r="Q6624" s="9" t="s">
        <v>75</v>
      </c>
      <c r="R6624" s="14" t="str">
        <f>HYPERLINK("https://my.pitchbook.com?c=135110-71T","View Company Online")</f>
        <v>View Company Online</v>
      </c>
    </row>
    <row r="6625" spans="1:18" hidden="1" x14ac:dyDescent="0.3">
      <c r="A6625" s="15" t="s">
        <v>19974</v>
      </c>
      <c r="B6625" s="15" t="s">
        <v>19975</v>
      </c>
      <c r="C6625" s="18" t="s">
        <v>28</v>
      </c>
      <c r="D6625" s="15" t="s">
        <v>19976</v>
      </c>
      <c r="E6625" s="18" t="s">
        <v>28</v>
      </c>
      <c r="F6625" s="19" t="s">
        <v>28</v>
      </c>
      <c r="G6625" s="19" t="s">
        <v>28</v>
      </c>
      <c r="H6625" s="19" t="s">
        <v>28</v>
      </c>
      <c r="I6625" s="18" t="s">
        <v>28</v>
      </c>
      <c r="J6625" s="18" t="s">
        <v>28</v>
      </c>
      <c r="K6625" s="18" t="s">
        <v>28</v>
      </c>
      <c r="L6625" s="18" t="s">
        <v>28</v>
      </c>
      <c r="M6625" s="18" t="s">
        <v>28</v>
      </c>
      <c r="N6625" s="17">
        <v>43773</v>
      </c>
      <c r="O6625" s="15" t="s">
        <v>30</v>
      </c>
      <c r="P6625" s="16" t="s">
        <v>19977</v>
      </c>
      <c r="Q6625" s="15" t="s">
        <v>362</v>
      </c>
      <c r="R6625" s="13" t="str">
        <f>HYPERLINK("https://my.pitchbook.com?c=130324-51T","View Company Online")</f>
        <v>View Company Online</v>
      </c>
    </row>
    <row r="6626" spans="1:18" hidden="1" x14ac:dyDescent="0.3">
      <c r="A6626" s="9" t="s">
        <v>19978</v>
      </c>
      <c r="B6626" s="9" t="s">
        <v>19979</v>
      </c>
      <c r="C6626" s="11" t="s">
        <v>28</v>
      </c>
      <c r="D6626" s="9" t="s">
        <v>19980</v>
      </c>
      <c r="E6626" s="11" t="s">
        <v>28</v>
      </c>
      <c r="F6626" s="10" t="s">
        <v>28</v>
      </c>
      <c r="G6626" s="10" t="s">
        <v>28</v>
      </c>
      <c r="H6626" s="10" t="s">
        <v>28</v>
      </c>
      <c r="I6626" s="11" t="s">
        <v>28</v>
      </c>
      <c r="J6626" s="11" t="s">
        <v>28</v>
      </c>
      <c r="K6626" s="11" t="s">
        <v>28</v>
      </c>
      <c r="L6626" s="11" t="s">
        <v>28</v>
      </c>
      <c r="M6626" s="11" t="s">
        <v>28</v>
      </c>
      <c r="N6626" s="8">
        <v>43773</v>
      </c>
      <c r="O6626" s="9" t="s">
        <v>30</v>
      </c>
      <c r="P6626" s="12" t="s">
        <v>19981</v>
      </c>
      <c r="Q6626" s="9" t="s">
        <v>855</v>
      </c>
      <c r="R6626" s="14" t="str">
        <f>HYPERLINK("https://my.pitchbook.com?c=300265-12T","View Company Online")</f>
        <v>View Company Online</v>
      </c>
    </row>
    <row r="6627" spans="1:18" hidden="1" x14ac:dyDescent="0.3">
      <c r="A6627" s="15" t="s">
        <v>19982</v>
      </c>
      <c r="B6627" s="15" t="s">
        <v>18610</v>
      </c>
      <c r="C6627" s="18" t="s">
        <v>28</v>
      </c>
      <c r="D6627" s="15" t="s">
        <v>18611</v>
      </c>
      <c r="E6627" s="18" t="s">
        <v>28</v>
      </c>
      <c r="F6627" s="19" t="s">
        <v>28</v>
      </c>
      <c r="G6627" s="19" t="s">
        <v>28</v>
      </c>
      <c r="H6627" s="19" t="s">
        <v>28</v>
      </c>
      <c r="I6627" s="18" t="s">
        <v>28</v>
      </c>
      <c r="J6627" s="18" t="s">
        <v>28</v>
      </c>
      <c r="K6627" s="18" t="s">
        <v>28</v>
      </c>
      <c r="L6627" s="18" t="s">
        <v>28</v>
      </c>
      <c r="M6627" s="18" t="s">
        <v>28</v>
      </c>
      <c r="N6627" s="17">
        <v>43770</v>
      </c>
      <c r="O6627" s="15" t="s">
        <v>99</v>
      </c>
      <c r="P6627" s="16" t="s">
        <v>19983</v>
      </c>
      <c r="Q6627" s="15" t="s">
        <v>95</v>
      </c>
      <c r="R6627" s="13" t="str">
        <f>HYPERLINK("https://my.pitchbook.com?c=125642-26T","View Company Online")</f>
        <v>View Company Online</v>
      </c>
    </row>
    <row r="6628" spans="1:18" hidden="1" x14ac:dyDescent="0.3">
      <c r="A6628" s="9" t="s">
        <v>19984</v>
      </c>
      <c r="B6628" s="9" t="s">
        <v>19985</v>
      </c>
      <c r="C6628" s="11" t="s">
        <v>28</v>
      </c>
      <c r="D6628" s="9" t="s">
        <v>19986</v>
      </c>
      <c r="E6628" s="11" t="s">
        <v>28</v>
      </c>
      <c r="F6628" s="10" t="s">
        <v>28</v>
      </c>
      <c r="G6628" s="10">
        <v>1420.1</v>
      </c>
      <c r="H6628" s="10" t="s">
        <v>28</v>
      </c>
      <c r="I6628" s="11" t="s">
        <v>28</v>
      </c>
      <c r="J6628" s="11" t="s">
        <v>28</v>
      </c>
      <c r="K6628" s="11">
        <v>23222.61</v>
      </c>
      <c r="L6628" s="11" t="s">
        <v>28</v>
      </c>
      <c r="M6628" s="11">
        <v>4203.38</v>
      </c>
      <c r="N6628" s="8">
        <v>43770</v>
      </c>
      <c r="O6628" s="9" t="s">
        <v>423</v>
      </c>
      <c r="P6628" s="12" t="s">
        <v>28</v>
      </c>
      <c r="Q6628" s="9" t="s">
        <v>59</v>
      </c>
      <c r="R6628" s="14" t="str">
        <f>HYPERLINK("https://my.pitchbook.com?c=268193-98T","View Company Online")</f>
        <v>View Company Online</v>
      </c>
    </row>
    <row r="6629" spans="1:18" hidden="1" x14ac:dyDescent="0.3">
      <c r="A6629" s="15" t="s">
        <v>19987</v>
      </c>
      <c r="B6629" s="15" t="s">
        <v>19988</v>
      </c>
      <c r="C6629" s="18" t="s">
        <v>28</v>
      </c>
      <c r="D6629" s="15" t="s">
        <v>19989</v>
      </c>
      <c r="E6629" s="18" t="s">
        <v>28</v>
      </c>
      <c r="F6629" s="19">
        <v>12.1</v>
      </c>
      <c r="G6629" s="19">
        <v>6.05</v>
      </c>
      <c r="H6629" s="19">
        <v>12.1</v>
      </c>
      <c r="I6629" s="18" t="s">
        <v>28</v>
      </c>
      <c r="J6629" s="18" t="s">
        <v>28</v>
      </c>
      <c r="K6629" s="18" t="s">
        <v>28</v>
      </c>
      <c r="L6629" s="18" t="s">
        <v>28</v>
      </c>
      <c r="M6629" s="18" t="s">
        <v>28</v>
      </c>
      <c r="N6629" s="17">
        <v>43770</v>
      </c>
      <c r="O6629" s="15" t="s">
        <v>30</v>
      </c>
      <c r="P6629" s="16" t="s">
        <v>19990</v>
      </c>
      <c r="Q6629" s="15" t="s">
        <v>136</v>
      </c>
      <c r="R6629" s="13" t="str">
        <f>HYPERLINK("https://my.pitchbook.com?c=216195-76T","View Company Online")</f>
        <v>View Company Online</v>
      </c>
    </row>
    <row r="6630" spans="1:18" hidden="1" x14ac:dyDescent="0.3">
      <c r="A6630" s="9" t="s">
        <v>19991</v>
      </c>
      <c r="B6630" s="9" t="s">
        <v>13155</v>
      </c>
      <c r="C6630" s="11" t="s">
        <v>28</v>
      </c>
      <c r="D6630" s="9" t="s">
        <v>13156</v>
      </c>
      <c r="E6630" s="11">
        <v>23.76</v>
      </c>
      <c r="F6630" s="10" t="s">
        <v>28</v>
      </c>
      <c r="G6630" s="10" t="s">
        <v>28</v>
      </c>
      <c r="H6630" s="10" t="s">
        <v>28</v>
      </c>
      <c r="I6630" s="11">
        <v>30.24</v>
      </c>
      <c r="J6630" s="11" t="s">
        <v>28</v>
      </c>
      <c r="K6630" s="11">
        <v>171.52</v>
      </c>
      <c r="L6630" s="11" t="s">
        <v>28</v>
      </c>
      <c r="M6630" s="11">
        <v>14.32</v>
      </c>
      <c r="N6630" s="8">
        <v>43770</v>
      </c>
      <c r="O6630" s="9" t="s">
        <v>93</v>
      </c>
      <c r="P6630" s="12" t="s">
        <v>19992</v>
      </c>
      <c r="Q6630" s="9" t="s">
        <v>245</v>
      </c>
      <c r="R6630" s="14" t="str">
        <f>HYPERLINK("https://my.pitchbook.com?c=121443-76T","View Company Online")</f>
        <v>View Company Online</v>
      </c>
    </row>
    <row r="6631" spans="1:18" hidden="1" x14ac:dyDescent="0.3">
      <c r="A6631" s="15" t="s">
        <v>19993</v>
      </c>
      <c r="B6631" s="15" t="s">
        <v>19994</v>
      </c>
      <c r="C6631" s="18" t="s">
        <v>28</v>
      </c>
      <c r="D6631" s="15" t="s">
        <v>19995</v>
      </c>
      <c r="E6631" s="18" t="s">
        <v>28</v>
      </c>
      <c r="F6631" s="19" t="s">
        <v>28</v>
      </c>
      <c r="G6631" s="19" t="s">
        <v>28</v>
      </c>
      <c r="H6631" s="19" t="s">
        <v>28</v>
      </c>
      <c r="I6631" s="18" t="s">
        <v>28</v>
      </c>
      <c r="J6631" s="18" t="s">
        <v>28</v>
      </c>
      <c r="K6631" s="18" t="s">
        <v>28</v>
      </c>
      <c r="L6631" s="18" t="s">
        <v>28</v>
      </c>
      <c r="M6631" s="18" t="s">
        <v>28</v>
      </c>
      <c r="N6631" s="17">
        <v>43770</v>
      </c>
      <c r="O6631" s="15" t="s">
        <v>30</v>
      </c>
      <c r="P6631" s="16" t="s">
        <v>19996</v>
      </c>
      <c r="Q6631" s="15" t="s">
        <v>280</v>
      </c>
      <c r="R6631" s="13" t="str">
        <f>HYPERLINK("https://my.pitchbook.com?c=156722-05T","View Company Online")</f>
        <v>View Company Online</v>
      </c>
    </row>
    <row r="6632" spans="1:18" hidden="1" x14ac:dyDescent="0.3">
      <c r="A6632" s="9" t="s">
        <v>19997</v>
      </c>
      <c r="B6632" s="9" t="s">
        <v>19998</v>
      </c>
      <c r="C6632" s="11" t="s">
        <v>28</v>
      </c>
      <c r="D6632" s="9" t="s">
        <v>19999</v>
      </c>
      <c r="E6632" s="11" t="s">
        <v>28</v>
      </c>
      <c r="F6632" s="10" t="s">
        <v>28</v>
      </c>
      <c r="G6632" s="10" t="s">
        <v>28</v>
      </c>
      <c r="H6632" s="10" t="s">
        <v>28</v>
      </c>
      <c r="I6632" s="11" t="s">
        <v>28</v>
      </c>
      <c r="J6632" s="11" t="s">
        <v>28</v>
      </c>
      <c r="K6632" s="11" t="s">
        <v>28</v>
      </c>
      <c r="L6632" s="11" t="s">
        <v>28</v>
      </c>
      <c r="M6632" s="11" t="s">
        <v>28</v>
      </c>
      <c r="N6632" s="8">
        <v>43770</v>
      </c>
      <c r="O6632" s="9" t="s">
        <v>73</v>
      </c>
      <c r="P6632" s="12" t="s">
        <v>20000</v>
      </c>
      <c r="Q6632" s="9" t="s">
        <v>1213</v>
      </c>
      <c r="R6632" s="14" t="str">
        <f>HYPERLINK("https://my.pitchbook.com?c=125959-51T","View Company Online")</f>
        <v>View Company Online</v>
      </c>
    </row>
    <row r="6633" spans="1:18" hidden="1" x14ac:dyDescent="0.3">
      <c r="A6633" s="15" t="s">
        <v>20001</v>
      </c>
      <c r="B6633" s="15" t="s">
        <v>5837</v>
      </c>
      <c r="C6633" s="18" t="s">
        <v>28</v>
      </c>
      <c r="D6633" s="15" t="s">
        <v>5838</v>
      </c>
      <c r="E6633" s="18" t="s">
        <v>28</v>
      </c>
      <c r="F6633" s="19" t="s">
        <v>28</v>
      </c>
      <c r="G6633" s="19">
        <v>3.67</v>
      </c>
      <c r="H6633" s="19" t="s">
        <v>28</v>
      </c>
      <c r="I6633" s="18" t="s">
        <v>28</v>
      </c>
      <c r="J6633" s="18" t="s">
        <v>28</v>
      </c>
      <c r="K6633" s="18">
        <v>3.29</v>
      </c>
      <c r="L6633" s="18" t="s">
        <v>28</v>
      </c>
      <c r="M6633" s="18" t="s">
        <v>28</v>
      </c>
      <c r="N6633" s="17">
        <v>43770</v>
      </c>
      <c r="O6633" s="15" t="s">
        <v>73</v>
      </c>
      <c r="P6633" s="16" t="s">
        <v>20002</v>
      </c>
      <c r="Q6633" s="15" t="s">
        <v>75</v>
      </c>
      <c r="R6633" s="13" t="str">
        <f>HYPERLINK("https://my.pitchbook.com?c=127710-73T","View Company Online")</f>
        <v>View Company Online</v>
      </c>
    </row>
    <row r="6634" spans="1:18" hidden="1" x14ac:dyDescent="0.3">
      <c r="A6634" s="9" t="s">
        <v>20003</v>
      </c>
      <c r="B6634" s="9" t="s">
        <v>20004</v>
      </c>
      <c r="C6634" s="11" t="s">
        <v>28</v>
      </c>
      <c r="D6634" s="9" t="s">
        <v>20005</v>
      </c>
      <c r="E6634" s="11" t="s">
        <v>28</v>
      </c>
      <c r="F6634" s="10">
        <v>32.700000000000003</v>
      </c>
      <c r="G6634" s="10">
        <v>32.700000000000003</v>
      </c>
      <c r="H6634" s="10">
        <v>32.700000000000003</v>
      </c>
      <c r="I6634" s="11" t="s">
        <v>28</v>
      </c>
      <c r="J6634" s="11" t="s">
        <v>28</v>
      </c>
      <c r="K6634" s="11" t="s">
        <v>28</v>
      </c>
      <c r="L6634" s="11" t="s">
        <v>28</v>
      </c>
      <c r="M6634" s="11" t="s">
        <v>28</v>
      </c>
      <c r="N6634" s="8">
        <v>43770</v>
      </c>
      <c r="O6634" s="9" t="s">
        <v>30</v>
      </c>
      <c r="P6634" s="12" t="s">
        <v>20006</v>
      </c>
      <c r="Q6634" s="9" t="s">
        <v>855</v>
      </c>
      <c r="R6634" s="14" t="str">
        <f>HYPERLINK("https://my.pitchbook.com?c=123095-53T","View Company Online")</f>
        <v>View Company Online</v>
      </c>
    </row>
    <row r="6635" spans="1:18" hidden="1" x14ac:dyDescent="0.3">
      <c r="A6635" s="15" t="s">
        <v>20007</v>
      </c>
      <c r="B6635" s="15" t="s">
        <v>20008</v>
      </c>
      <c r="C6635" s="18" t="s">
        <v>28</v>
      </c>
      <c r="D6635" s="15" t="s">
        <v>20009</v>
      </c>
      <c r="E6635" s="18" t="s">
        <v>28</v>
      </c>
      <c r="F6635" s="19" t="s">
        <v>28</v>
      </c>
      <c r="G6635" s="19" t="s">
        <v>28</v>
      </c>
      <c r="H6635" s="19" t="s">
        <v>28</v>
      </c>
      <c r="I6635" s="18" t="s">
        <v>28</v>
      </c>
      <c r="J6635" s="18" t="s">
        <v>28</v>
      </c>
      <c r="K6635" s="18" t="s">
        <v>28</v>
      </c>
      <c r="L6635" s="18" t="s">
        <v>28</v>
      </c>
      <c r="M6635" s="18" t="s">
        <v>28</v>
      </c>
      <c r="N6635" s="17">
        <v>43770</v>
      </c>
      <c r="O6635" s="15" t="s">
        <v>73</v>
      </c>
      <c r="P6635" s="16" t="s">
        <v>20000</v>
      </c>
      <c r="Q6635" s="15" t="s">
        <v>119</v>
      </c>
      <c r="R6635" s="13" t="str">
        <f>HYPERLINK("https://my.pitchbook.com?c=125968-78T","View Company Online")</f>
        <v>View Company Online</v>
      </c>
    </row>
    <row r="6636" spans="1:18" hidden="1" x14ac:dyDescent="0.3">
      <c r="A6636" s="9" t="s">
        <v>20010</v>
      </c>
      <c r="B6636" s="9" t="s">
        <v>20011</v>
      </c>
      <c r="C6636" s="11" t="s">
        <v>28</v>
      </c>
      <c r="D6636" s="9" t="s">
        <v>20012</v>
      </c>
      <c r="E6636" s="11" t="s">
        <v>28</v>
      </c>
      <c r="F6636" s="10" t="s">
        <v>28</v>
      </c>
      <c r="G6636" s="10" t="s">
        <v>28</v>
      </c>
      <c r="H6636" s="10" t="s">
        <v>28</v>
      </c>
      <c r="I6636" s="11" t="s">
        <v>28</v>
      </c>
      <c r="J6636" s="11" t="s">
        <v>28</v>
      </c>
      <c r="K6636" s="11" t="s">
        <v>28</v>
      </c>
      <c r="L6636" s="11" t="s">
        <v>28</v>
      </c>
      <c r="M6636" s="11" t="s">
        <v>28</v>
      </c>
      <c r="N6636" s="8">
        <v>43770</v>
      </c>
      <c r="O6636" s="9" t="s">
        <v>41</v>
      </c>
      <c r="P6636" s="12" t="s">
        <v>20013</v>
      </c>
      <c r="Q6636" s="9" t="s">
        <v>245</v>
      </c>
      <c r="R6636" s="14" t="str">
        <f>HYPERLINK("https://my.pitchbook.com?c=246255-04T","View Company Online")</f>
        <v>View Company Online</v>
      </c>
    </row>
    <row r="6637" spans="1:18" hidden="1" x14ac:dyDescent="0.3">
      <c r="A6637" s="15" t="s">
        <v>20014</v>
      </c>
      <c r="B6637" s="15" t="s">
        <v>20015</v>
      </c>
      <c r="C6637" s="18" t="s">
        <v>28</v>
      </c>
      <c r="D6637" s="15" t="s">
        <v>20016</v>
      </c>
      <c r="E6637" s="18" t="s">
        <v>28</v>
      </c>
      <c r="F6637" s="19" t="s">
        <v>28</v>
      </c>
      <c r="G6637" s="19" t="s">
        <v>28</v>
      </c>
      <c r="H6637" s="19" t="s">
        <v>28</v>
      </c>
      <c r="I6637" s="18" t="s">
        <v>28</v>
      </c>
      <c r="J6637" s="18" t="s">
        <v>28</v>
      </c>
      <c r="K6637" s="18" t="s">
        <v>28</v>
      </c>
      <c r="L6637" s="18" t="s">
        <v>28</v>
      </c>
      <c r="M6637" s="18" t="s">
        <v>28</v>
      </c>
      <c r="N6637" s="17">
        <v>43770</v>
      </c>
      <c r="O6637" s="15" t="s">
        <v>52</v>
      </c>
      <c r="P6637" s="16" t="s">
        <v>20017</v>
      </c>
      <c r="Q6637" s="15" t="s">
        <v>245</v>
      </c>
      <c r="R6637" s="13" t="str">
        <f>HYPERLINK("https://my.pitchbook.com?c=284411-26T","View Company Online")</f>
        <v>View Company Online</v>
      </c>
    </row>
    <row r="6638" spans="1:18" hidden="1" x14ac:dyDescent="0.3">
      <c r="A6638" s="9" t="s">
        <v>20018</v>
      </c>
      <c r="B6638" s="9" t="s">
        <v>20019</v>
      </c>
      <c r="C6638" s="11" t="s">
        <v>28</v>
      </c>
      <c r="D6638" s="9" t="s">
        <v>20020</v>
      </c>
      <c r="E6638" s="11" t="s">
        <v>28</v>
      </c>
      <c r="F6638" s="10" t="s">
        <v>28</v>
      </c>
      <c r="G6638" s="10" t="s">
        <v>28</v>
      </c>
      <c r="H6638" s="10" t="s">
        <v>28</v>
      </c>
      <c r="I6638" s="11" t="s">
        <v>28</v>
      </c>
      <c r="J6638" s="11" t="s">
        <v>28</v>
      </c>
      <c r="K6638" s="11" t="s">
        <v>28</v>
      </c>
      <c r="L6638" s="11" t="s">
        <v>28</v>
      </c>
      <c r="M6638" s="11" t="s">
        <v>28</v>
      </c>
      <c r="N6638" s="8">
        <v>43770</v>
      </c>
      <c r="O6638" s="9" t="s">
        <v>73</v>
      </c>
      <c r="P6638" s="12" t="s">
        <v>20000</v>
      </c>
      <c r="Q6638" s="9" t="s">
        <v>37</v>
      </c>
      <c r="R6638" s="14" t="str">
        <f>HYPERLINK("https://my.pitchbook.com?c=125975-62T","View Company Online")</f>
        <v>View Company Online</v>
      </c>
    </row>
    <row r="6639" spans="1:18" hidden="1" x14ac:dyDescent="0.3">
      <c r="A6639" s="15" t="s">
        <v>20021</v>
      </c>
      <c r="B6639" s="15" t="s">
        <v>10704</v>
      </c>
      <c r="C6639" s="18" t="s">
        <v>28</v>
      </c>
      <c r="D6639" s="15" t="s">
        <v>10705</v>
      </c>
      <c r="E6639" s="18" t="s">
        <v>28</v>
      </c>
      <c r="F6639" s="19" t="s">
        <v>28</v>
      </c>
      <c r="G6639" s="19" t="s">
        <v>28</v>
      </c>
      <c r="H6639" s="19" t="s">
        <v>28</v>
      </c>
      <c r="I6639" s="18" t="s">
        <v>28</v>
      </c>
      <c r="J6639" s="18" t="s">
        <v>28</v>
      </c>
      <c r="K6639" s="18" t="s">
        <v>28</v>
      </c>
      <c r="L6639" s="18" t="s">
        <v>28</v>
      </c>
      <c r="M6639" s="18" t="s">
        <v>28</v>
      </c>
      <c r="N6639" s="17">
        <v>43770</v>
      </c>
      <c r="O6639" s="15" t="s">
        <v>79</v>
      </c>
      <c r="P6639" s="16" t="s">
        <v>20022</v>
      </c>
      <c r="Q6639" s="15" t="s">
        <v>114</v>
      </c>
      <c r="R6639" s="13" t="str">
        <f>HYPERLINK("https://my.pitchbook.com?c=183907-00T","View Company Online")</f>
        <v>View Company Online</v>
      </c>
    </row>
    <row r="6640" spans="1:18" hidden="1" x14ac:dyDescent="0.3">
      <c r="A6640" s="9" t="s">
        <v>20023</v>
      </c>
      <c r="B6640" s="9" t="s">
        <v>9192</v>
      </c>
      <c r="C6640" s="11" t="s">
        <v>28</v>
      </c>
      <c r="D6640" s="9" t="s">
        <v>9193</v>
      </c>
      <c r="E6640" s="11" t="s">
        <v>28</v>
      </c>
      <c r="F6640" s="10" t="s">
        <v>28</v>
      </c>
      <c r="G6640" s="10">
        <v>0.98</v>
      </c>
      <c r="H6640" s="10" t="s">
        <v>28</v>
      </c>
      <c r="I6640" s="11" t="s">
        <v>28</v>
      </c>
      <c r="J6640" s="11" t="s">
        <v>28</v>
      </c>
      <c r="K6640" s="11" t="s">
        <v>28</v>
      </c>
      <c r="L6640" s="11" t="s">
        <v>28</v>
      </c>
      <c r="M6640" s="11" t="s">
        <v>28</v>
      </c>
      <c r="N6640" s="8">
        <v>43770</v>
      </c>
      <c r="O6640" s="9" t="s">
        <v>99</v>
      </c>
      <c r="P6640" s="12" t="s">
        <v>20024</v>
      </c>
      <c r="Q6640" s="9" t="s">
        <v>1336</v>
      </c>
      <c r="R6640" s="14" t="str">
        <f>HYPERLINK("https://my.pitchbook.com?c=128904-76T","View Company Online")</f>
        <v>View Company Online</v>
      </c>
    </row>
    <row r="6641" spans="1:18" hidden="1" x14ac:dyDescent="0.3">
      <c r="A6641" s="15" t="s">
        <v>20025</v>
      </c>
      <c r="B6641" s="15" t="s">
        <v>8042</v>
      </c>
      <c r="C6641" s="18" t="s">
        <v>28</v>
      </c>
      <c r="D6641" s="15" t="s">
        <v>8043</v>
      </c>
      <c r="E6641" s="18" t="s">
        <v>28</v>
      </c>
      <c r="F6641" s="19" t="s">
        <v>28</v>
      </c>
      <c r="G6641" s="19" t="s">
        <v>28</v>
      </c>
      <c r="H6641" s="19" t="s">
        <v>28</v>
      </c>
      <c r="I6641" s="18" t="s">
        <v>28</v>
      </c>
      <c r="J6641" s="18" t="s">
        <v>28</v>
      </c>
      <c r="K6641" s="18" t="s">
        <v>28</v>
      </c>
      <c r="L6641" s="18" t="s">
        <v>28</v>
      </c>
      <c r="M6641" s="18" t="s">
        <v>28</v>
      </c>
      <c r="N6641" s="17">
        <v>43770</v>
      </c>
      <c r="O6641" s="15" t="s">
        <v>99</v>
      </c>
      <c r="P6641" s="16" t="s">
        <v>20026</v>
      </c>
      <c r="Q6641" s="15" t="s">
        <v>75</v>
      </c>
      <c r="R6641" s="13" t="str">
        <f>HYPERLINK("https://my.pitchbook.com?c=124760-71T","View Company Online")</f>
        <v>View Company Online</v>
      </c>
    </row>
    <row r="6642" spans="1:18" hidden="1" x14ac:dyDescent="0.3">
      <c r="A6642" s="9" t="s">
        <v>20027</v>
      </c>
      <c r="B6642" s="9" t="s">
        <v>20028</v>
      </c>
      <c r="C6642" s="11" t="s">
        <v>28</v>
      </c>
      <c r="D6642" s="9" t="s">
        <v>20029</v>
      </c>
      <c r="E6642" s="11" t="s">
        <v>28</v>
      </c>
      <c r="F6642" s="10">
        <v>274.72000000000003</v>
      </c>
      <c r="G6642" s="10">
        <v>137.36000000000001</v>
      </c>
      <c r="H6642" s="10">
        <v>274.72000000000003</v>
      </c>
      <c r="I6642" s="11" t="s">
        <v>28</v>
      </c>
      <c r="J6642" s="11" t="s">
        <v>28</v>
      </c>
      <c r="K6642" s="11" t="s">
        <v>28</v>
      </c>
      <c r="L6642" s="11" t="s">
        <v>28</v>
      </c>
      <c r="M6642" s="11" t="s">
        <v>28</v>
      </c>
      <c r="N6642" s="8">
        <v>43770</v>
      </c>
      <c r="O6642" s="9" t="s">
        <v>30</v>
      </c>
      <c r="P6642" s="12" t="s">
        <v>20030</v>
      </c>
      <c r="Q6642" s="9" t="s">
        <v>109</v>
      </c>
      <c r="R6642" s="14" t="str">
        <f>HYPERLINK("https://my.pitchbook.com?c=123546-79T","View Company Online")</f>
        <v>View Company Online</v>
      </c>
    </row>
    <row r="6643" spans="1:18" hidden="1" x14ac:dyDescent="0.3">
      <c r="A6643" s="15" t="s">
        <v>20031</v>
      </c>
      <c r="B6643" s="15" t="s">
        <v>20032</v>
      </c>
      <c r="C6643" s="18" t="s">
        <v>28</v>
      </c>
      <c r="D6643" s="15" t="s">
        <v>20033</v>
      </c>
      <c r="E6643" s="18" t="s">
        <v>28</v>
      </c>
      <c r="F6643" s="19" t="s">
        <v>28</v>
      </c>
      <c r="G6643" s="19" t="s">
        <v>28</v>
      </c>
      <c r="H6643" s="19" t="s">
        <v>28</v>
      </c>
      <c r="I6643" s="18" t="s">
        <v>28</v>
      </c>
      <c r="J6643" s="18" t="s">
        <v>28</v>
      </c>
      <c r="K6643" s="18" t="s">
        <v>28</v>
      </c>
      <c r="L6643" s="18" t="s">
        <v>28</v>
      </c>
      <c r="M6643" s="18" t="s">
        <v>28</v>
      </c>
      <c r="N6643" s="17">
        <v>43770</v>
      </c>
      <c r="O6643" s="15" t="s">
        <v>30</v>
      </c>
      <c r="P6643" s="16" t="s">
        <v>20034</v>
      </c>
      <c r="Q6643" s="15" t="s">
        <v>136</v>
      </c>
      <c r="R6643" s="13" t="str">
        <f>HYPERLINK("https://my.pitchbook.com?c=197233-75T","View Company Online")</f>
        <v>View Company Online</v>
      </c>
    </row>
    <row r="6644" spans="1:18" hidden="1" x14ac:dyDescent="0.3">
      <c r="A6644" s="9" t="s">
        <v>20035</v>
      </c>
      <c r="B6644" s="9" t="s">
        <v>1351</v>
      </c>
      <c r="C6644" s="11" t="s">
        <v>28</v>
      </c>
      <c r="D6644" s="9" t="s">
        <v>1352</v>
      </c>
      <c r="E6644" s="11" t="s">
        <v>28</v>
      </c>
      <c r="F6644" s="10" t="s">
        <v>28</v>
      </c>
      <c r="G6644" s="10">
        <v>4.9000000000000004</v>
      </c>
      <c r="H6644" s="10" t="s">
        <v>28</v>
      </c>
      <c r="I6644" s="11" t="s">
        <v>28</v>
      </c>
      <c r="J6644" s="11" t="s">
        <v>28</v>
      </c>
      <c r="K6644" s="11" t="s">
        <v>28</v>
      </c>
      <c r="L6644" s="11" t="s">
        <v>28</v>
      </c>
      <c r="M6644" s="11" t="s">
        <v>28</v>
      </c>
      <c r="N6644" s="8">
        <v>43770</v>
      </c>
      <c r="O6644" s="9" t="s">
        <v>99</v>
      </c>
      <c r="P6644" s="12" t="s">
        <v>14200</v>
      </c>
      <c r="Q6644" s="9" t="s">
        <v>37</v>
      </c>
      <c r="R6644" s="14" t="str">
        <f>HYPERLINK("https://my.pitchbook.com?c=160684-12T","View Company Online")</f>
        <v>View Company Online</v>
      </c>
    </row>
    <row r="6645" spans="1:18" hidden="1" x14ac:dyDescent="0.3">
      <c r="A6645" s="15" t="s">
        <v>20036</v>
      </c>
      <c r="B6645" s="15" t="s">
        <v>20037</v>
      </c>
      <c r="C6645" s="18" t="s">
        <v>28</v>
      </c>
      <c r="D6645" s="15" t="s">
        <v>20038</v>
      </c>
      <c r="E6645" s="18" t="s">
        <v>28</v>
      </c>
      <c r="F6645" s="19" t="s">
        <v>28</v>
      </c>
      <c r="G6645" s="19" t="s">
        <v>28</v>
      </c>
      <c r="H6645" s="19" t="s">
        <v>28</v>
      </c>
      <c r="I6645" s="18" t="s">
        <v>28</v>
      </c>
      <c r="J6645" s="18" t="s">
        <v>28</v>
      </c>
      <c r="K6645" s="18" t="s">
        <v>28</v>
      </c>
      <c r="L6645" s="18" t="s">
        <v>28</v>
      </c>
      <c r="M6645" s="18" t="s">
        <v>28</v>
      </c>
      <c r="N6645" s="17">
        <v>43770</v>
      </c>
      <c r="O6645" s="15" t="s">
        <v>30</v>
      </c>
      <c r="P6645" s="16" t="s">
        <v>20039</v>
      </c>
      <c r="Q6645" s="15" t="s">
        <v>285</v>
      </c>
      <c r="R6645" s="13" t="str">
        <f>HYPERLINK("https://my.pitchbook.com?c=196156-54T","View Company Online")</f>
        <v>View Company Online</v>
      </c>
    </row>
    <row r="6646" spans="1:18" hidden="1" x14ac:dyDescent="0.3">
      <c r="A6646" s="9" t="s">
        <v>20040</v>
      </c>
      <c r="B6646" s="9" t="s">
        <v>20041</v>
      </c>
      <c r="C6646" s="11" t="s">
        <v>28</v>
      </c>
      <c r="D6646" s="9" t="s">
        <v>20042</v>
      </c>
      <c r="E6646" s="11" t="s">
        <v>28</v>
      </c>
      <c r="F6646" s="10">
        <v>403.99</v>
      </c>
      <c r="G6646" s="10">
        <v>403.99</v>
      </c>
      <c r="H6646" s="10">
        <v>403.99</v>
      </c>
      <c r="I6646" s="11" t="s">
        <v>28</v>
      </c>
      <c r="J6646" s="11" t="s">
        <v>28</v>
      </c>
      <c r="K6646" s="11" t="s">
        <v>28</v>
      </c>
      <c r="L6646" s="11" t="s">
        <v>28</v>
      </c>
      <c r="M6646" s="11" t="s">
        <v>28</v>
      </c>
      <c r="N6646" s="8">
        <v>43770</v>
      </c>
      <c r="O6646" s="9" t="s">
        <v>41</v>
      </c>
      <c r="P6646" s="12" t="s">
        <v>20043</v>
      </c>
      <c r="Q6646" s="9" t="s">
        <v>43</v>
      </c>
      <c r="R6646" s="14" t="str">
        <f>HYPERLINK("https://my.pitchbook.com?c=178300-36T","View Company Online")</f>
        <v>View Company Online</v>
      </c>
    </row>
    <row r="6647" spans="1:18" hidden="1" x14ac:dyDescent="0.3">
      <c r="A6647" s="15" t="s">
        <v>20044</v>
      </c>
      <c r="B6647" s="15" t="s">
        <v>20045</v>
      </c>
      <c r="C6647" s="18" t="s">
        <v>28</v>
      </c>
      <c r="D6647" s="15" t="s">
        <v>20046</v>
      </c>
      <c r="E6647" s="18" t="s">
        <v>28</v>
      </c>
      <c r="F6647" s="19">
        <v>47.7</v>
      </c>
      <c r="G6647" s="19">
        <v>47.7</v>
      </c>
      <c r="H6647" s="19">
        <v>47.7</v>
      </c>
      <c r="I6647" s="18" t="s">
        <v>28</v>
      </c>
      <c r="J6647" s="18" t="s">
        <v>28</v>
      </c>
      <c r="K6647" s="18" t="s">
        <v>28</v>
      </c>
      <c r="L6647" s="18" t="s">
        <v>28</v>
      </c>
      <c r="M6647" s="18" t="s">
        <v>28</v>
      </c>
      <c r="N6647" s="17">
        <v>43770</v>
      </c>
      <c r="O6647" s="15" t="s">
        <v>30</v>
      </c>
      <c r="P6647" s="16" t="s">
        <v>16459</v>
      </c>
      <c r="Q6647" s="15" t="s">
        <v>43</v>
      </c>
      <c r="R6647" s="13" t="str">
        <f>HYPERLINK("https://my.pitchbook.com?c=213238-63T","View Company Online")</f>
        <v>View Company Online</v>
      </c>
    </row>
    <row r="6648" spans="1:18" hidden="1" x14ac:dyDescent="0.3">
      <c r="A6648" s="9" t="s">
        <v>20047</v>
      </c>
      <c r="B6648" s="9" t="s">
        <v>20048</v>
      </c>
      <c r="C6648" s="11" t="s">
        <v>28</v>
      </c>
      <c r="D6648" s="9" t="s">
        <v>20049</v>
      </c>
      <c r="E6648" s="11" t="s">
        <v>28</v>
      </c>
      <c r="F6648" s="10">
        <v>4.9000000000000004</v>
      </c>
      <c r="G6648" s="10">
        <v>4.9000000000000004</v>
      </c>
      <c r="H6648" s="10">
        <v>4.9000000000000004</v>
      </c>
      <c r="I6648" s="11" t="s">
        <v>28</v>
      </c>
      <c r="J6648" s="11" t="s">
        <v>28</v>
      </c>
      <c r="K6648" s="11" t="s">
        <v>28</v>
      </c>
      <c r="L6648" s="11" t="s">
        <v>28</v>
      </c>
      <c r="M6648" s="11" t="s">
        <v>28</v>
      </c>
      <c r="N6648" s="8">
        <v>43770</v>
      </c>
      <c r="O6648" s="9" t="s">
        <v>30</v>
      </c>
      <c r="P6648" s="12" t="s">
        <v>17345</v>
      </c>
      <c r="Q6648" s="9" t="s">
        <v>43</v>
      </c>
      <c r="R6648" s="14" t="str">
        <f>HYPERLINK("https://my.pitchbook.com?c=213441-58T","View Company Online")</f>
        <v>View Company Online</v>
      </c>
    </row>
    <row r="6649" spans="1:18" hidden="1" x14ac:dyDescent="0.3">
      <c r="A6649" s="15" t="s">
        <v>20050</v>
      </c>
      <c r="B6649" s="15" t="s">
        <v>20051</v>
      </c>
      <c r="C6649" s="18" t="s">
        <v>28</v>
      </c>
      <c r="D6649" s="15" t="s">
        <v>20052</v>
      </c>
      <c r="E6649" s="18" t="s">
        <v>28</v>
      </c>
      <c r="F6649" s="19">
        <v>143</v>
      </c>
      <c r="G6649" s="19">
        <v>73</v>
      </c>
      <c r="H6649" s="19">
        <v>143</v>
      </c>
      <c r="I6649" s="18" t="s">
        <v>28</v>
      </c>
      <c r="J6649" s="18" t="s">
        <v>28</v>
      </c>
      <c r="K6649" s="18" t="s">
        <v>28</v>
      </c>
      <c r="L6649" s="18" t="s">
        <v>28</v>
      </c>
      <c r="M6649" s="18" t="s">
        <v>28</v>
      </c>
      <c r="N6649" s="17">
        <v>43770</v>
      </c>
      <c r="O6649" s="15" t="s">
        <v>30</v>
      </c>
      <c r="P6649" s="16" t="s">
        <v>2372</v>
      </c>
      <c r="Q6649" s="15" t="s">
        <v>75</v>
      </c>
      <c r="R6649" s="13" t="str">
        <f>HYPERLINK("https://my.pitchbook.com?c=128394-82T","View Company Online")</f>
        <v>View Company Online</v>
      </c>
    </row>
    <row r="6650" spans="1:18" hidden="1" x14ac:dyDescent="0.3">
      <c r="A6650" s="9" t="s">
        <v>20053</v>
      </c>
      <c r="B6650" s="9" t="s">
        <v>20054</v>
      </c>
      <c r="C6650" s="11" t="s">
        <v>28</v>
      </c>
      <c r="D6650" s="9" t="s">
        <v>20055</v>
      </c>
      <c r="E6650" s="11" t="s">
        <v>28</v>
      </c>
      <c r="F6650" s="10" t="s">
        <v>28</v>
      </c>
      <c r="G6650" s="10" t="s">
        <v>28</v>
      </c>
      <c r="H6650" s="10" t="s">
        <v>28</v>
      </c>
      <c r="I6650" s="11" t="s">
        <v>28</v>
      </c>
      <c r="J6650" s="11" t="s">
        <v>28</v>
      </c>
      <c r="K6650" s="11" t="s">
        <v>28</v>
      </c>
      <c r="L6650" s="11" t="s">
        <v>28</v>
      </c>
      <c r="M6650" s="11" t="s">
        <v>28</v>
      </c>
      <c r="N6650" s="8">
        <v>43769</v>
      </c>
      <c r="O6650" s="9" t="s">
        <v>30</v>
      </c>
      <c r="P6650" s="12" t="s">
        <v>20056</v>
      </c>
      <c r="Q6650" s="9" t="s">
        <v>616</v>
      </c>
      <c r="R6650" s="14" t="str">
        <f>HYPERLINK("https://my.pitchbook.com?c=121260-79T","View Company Online")</f>
        <v>View Company Online</v>
      </c>
    </row>
    <row r="6651" spans="1:18" hidden="1" x14ac:dyDescent="0.3">
      <c r="A6651" s="15" t="s">
        <v>20057</v>
      </c>
      <c r="B6651" s="15" t="s">
        <v>20058</v>
      </c>
      <c r="C6651" s="18" t="s">
        <v>28</v>
      </c>
      <c r="D6651" s="15" t="s">
        <v>20059</v>
      </c>
      <c r="E6651" s="18" t="s">
        <v>28</v>
      </c>
      <c r="F6651" s="19" t="s">
        <v>28</v>
      </c>
      <c r="G6651" s="19" t="s">
        <v>28</v>
      </c>
      <c r="H6651" s="19" t="s">
        <v>28</v>
      </c>
      <c r="I6651" s="18" t="s">
        <v>28</v>
      </c>
      <c r="J6651" s="18" t="s">
        <v>28</v>
      </c>
      <c r="K6651" s="18" t="s">
        <v>28</v>
      </c>
      <c r="L6651" s="18" t="s">
        <v>28</v>
      </c>
      <c r="M6651" s="18" t="s">
        <v>28</v>
      </c>
      <c r="N6651" s="17">
        <v>43769</v>
      </c>
      <c r="O6651" s="15" t="s">
        <v>41</v>
      </c>
      <c r="P6651" s="16" t="s">
        <v>20060</v>
      </c>
      <c r="Q6651" s="15" t="s">
        <v>371</v>
      </c>
      <c r="R6651" s="13" t="str">
        <f>HYPERLINK("https://my.pitchbook.com?c=274933-18T","View Company Online")</f>
        <v>View Company Online</v>
      </c>
    </row>
    <row r="6652" spans="1:18" hidden="1" x14ac:dyDescent="0.3">
      <c r="A6652" s="9" t="s">
        <v>20061</v>
      </c>
      <c r="B6652" s="9" t="s">
        <v>20062</v>
      </c>
      <c r="C6652" s="11" t="s">
        <v>28</v>
      </c>
      <c r="D6652" s="9" t="s">
        <v>20063</v>
      </c>
      <c r="E6652" s="11" t="s">
        <v>28</v>
      </c>
      <c r="F6652" s="10" t="s">
        <v>28</v>
      </c>
      <c r="G6652" s="10" t="s">
        <v>28</v>
      </c>
      <c r="H6652" s="10" t="s">
        <v>28</v>
      </c>
      <c r="I6652" s="11" t="s">
        <v>28</v>
      </c>
      <c r="J6652" s="11" t="s">
        <v>28</v>
      </c>
      <c r="K6652" s="11" t="s">
        <v>28</v>
      </c>
      <c r="L6652" s="11" t="s">
        <v>28</v>
      </c>
      <c r="M6652" s="11" t="s">
        <v>28</v>
      </c>
      <c r="N6652" s="8">
        <v>43768</v>
      </c>
      <c r="O6652" s="9" t="s">
        <v>30</v>
      </c>
      <c r="P6652" s="12" t="s">
        <v>20064</v>
      </c>
      <c r="Q6652" s="9" t="s">
        <v>136</v>
      </c>
      <c r="R6652" s="14" t="str">
        <f>HYPERLINK("https://my.pitchbook.com?c=227806-39T","View Company Online")</f>
        <v>View Company Online</v>
      </c>
    </row>
    <row r="6653" spans="1:18" hidden="1" x14ac:dyDescent="0.3">
      <c r="A6653" s="15" t="s">
        <v>20065</v>
      </c>
      <c r="B6653" s="15" t="s">
        <v>9258</v>
      </c>
      <c r="C6653" s="18" t="s">
        <v>28</v>
      </c>
      <c r="D6653" s="15" t="s">
        <v>9259</v>
      </c>
      <c r="E6653" s="18" t="s">
        <v>28</v>
      </c>
      <c r="F6653" s="19" t="s">
        <v>28</v>
      </c>
      <c r="G6653" s="19">
        <v>0.2</v>
      </c>
      <c r="H6653" s="19" t="s">
        <v>28</v>
      </c>
      <c r="I6653" s="18" t="s">
        <v>28</v>
      </c>
      <c r="J6653" s="18" t="s">
        <v>28</v>
      </c>
      <c r="K6653" s="18" t="s">
        <v>28</v>
      </c>
      <c r="L6653" s="18" t="s">
        <v>28</v>
      </c>
      <c r="M6653" s="18" t="s">
        <v>28</v>
      </c>
      <c r="N6653" s="17">
        <v>43768</v>
      </c>
      <c r="O6653" s="15" t="s">
        <v>99</v>
      </c>
      <c r="P6653" s="16" t="s">
        <v>20066</v>
      </c>
      <c r="Q6653" s="15" t="s">
        <v>75</v>
      </c>
      <c r="R6653" s="13" t="str">
        <f>HYPERLINK("https://my.pitchbook.com?c=132579-10T","View Company Online")</f>
        <v>View Company Online</v>
      </c>
    </row>
    <row r="6654" spans="1:18" hidden="1" x14ac:dyDescent="0.3">
      <c r="A6654" s="9" t="s">
        <v>20067</v>
      </c>
      <c r="B6654" s="9" t="s">
        <v>20068</v>
      </c>
      <c r="C6654" s="11" t="s">
        <v>28</v>
      </c>
      <c r="D6654" s="9" t="s">
        <v>20069</v>
      </c>
      <c r="E6654" s="11" t="s">
        <v>28</v>
      </c>
      <c r="F6654" s="10" t="s">
        <v>28</v>
      </c>
      <c r="G6654" s="10">
        <v>0.61</v>
      </c>
      <c r="H6654" s="10" t="s">
        <v>28</v>
      </c>
      <c r="I6654" s="11" t="s">
        <v>28</v>
      </c>
      <c r="J6654" s="11" t="s">
        <v>28</v>
      </c>
      <c r="K6654" s="11" t="s">
        <v>28</v>
      </c>
      <c r="L6654" s="11" t="s">
        <v>28</v>
      </c>
      <c r="M6654" s="11" t="s">
        <v>28</v>
      </c>
      <c r="N6654" s="8">
        <v>43768</v>
      </c>
      <c r="O6654" s="9" t="s">
        <v>79</v>
      </c>
      <c r="P6654" s="12" t="s">
        <v>20070</v>
      </c>
      <c r="Q6654" s="9" t="s">
        <v>249</v>
      </c>
      <c r="R6654" s="14" t="str">
        <f>HYPERLINK("https://my.pitchbook.com?c=181496-44T","View Company Online")</f>
        <v>View Company Online</v>
      </c>
    </row>
    <row r="6655" spans="1:18" hidden="1" x14ac:dyDescent="0.3">
      <c r="A6655" s="15" t="s">
        <v>20071</v>
      </c>
      <c r="B6655" s="15" t="s">
        <v>18354</v>
      </c>
      <c r="C6655" s="18" t="s">
        <v>28</v>
      </c>
      <c r="D6655" s="15" t="s">
        <v>18355</v>
      </c>
      <c r="E6655" s="18" t="s">
        <v>28</v>
      </c>
      <c r="F6655" s="19" t="s">
        <v>28</v>
      </c>
      <c r="G6655" s="19">
        <v>3.5</v>
      </c>
      <c r="H6655" s="19" t="s">
        <v>28</v>
      </c>
      <c r="I6655" s="18" t="s">
        <v>28</v>
      </c>
      <c r="J6655" s="18" t="s">
        <v>28</v>
      </c>
      <c r="K6655" s="18" t="s">
        <v>28</v>
      </c>
      <c r="L6655" s="18" t="s">
        <v>28</v>
      </c>
      <c r="M6655" s="18" t="s">
        <v>28</v>
      </c>
      <c r="N6655" s="17">
        <v>43767</v>
      </c>
      <c r="O6655" s="15" t="s">
        <v>79</v>
      </c>
      <c r="P6655" s="16" t="s">
        <v>20072</v>
      </c>
      <c r="Q6655" s="15" t="s">
        <v>75</v>
      </c>
      <c r="R6655" s="13" t="str">
        <f>HYPERLINK("https://my.pitchbook.com?c=128604-70T","View Company Online")</f>
        <v>View Company Online</v>
      </c>
    </row>
    <row r="6656" spans="1:18" hidden="1" x14ac:dyDescent="0.3">
      <c r="A6656" s="9" t="s">
        <v>20073</v>
      </c>
      <c r="B6656" s="9" t="s">
        <v>20074</v>
      </c>
      <c r="C6656" s="11" t="s">
        <v>28</v>
      </c>
      <c r="D6656" s="9" t="s">
        <v>20075</v>
      </c>
      <c r="E6656" s="11" t="s">
        <v>28</v>
      </c>
      <c r="F6656" s="10" t="s">
        <v>28</v>
      </c>
      <c r="G6656" s="10" t="s">
        <v>28</v>
      </c>
      <c r="H6656" s="10" t="s">
        <v>28</v>
      </c>
      <c r="I6656" s="11" t="s">
        <v>28</v>
      </c>
      <c r="J6656" s="11" t="s">
        <v>28</v>
      </c>
      <c r="K6656" s="11" t="s">
        <v>28</v>
      </c>
      <c r="L6656" s="11" t="s">
        <v>28</v>
      </c>
      <c r="M6656" s="11" t="s">
        <v>28</v>
      </c>
      <c r="N6656" s="8">
        <v>43767</v>
      </c>
      <c r="O6656" s="9" t="s">
        <v>30</v>
      </c>
      <c r="P6656" s="12" t="s">
        <v>4196</v>
      </c>
      <c r="Q6656" s="9" t="s">
        <v>43</v>
      </c>
      <c r="R6656" s="14" t="str">
        <f>HYPERLINK("https://my.pitchbook.com?c=178239-61T","View Company Online")</f>
        <v>View Company Online</v>
      </c>
    </row>
    <row r="6657" spans="1:18" hidden="1" x14ac:dyDescent="0.3">
      <c r="A6657" s="15" t="s">
        <v>20076</v>
      </c>
      <c r="B6657" s="15" t="s">
        <v>20077</v>
      </c>
      <c r="C6657" s="18" t="s">
        <v>28</v>
      </c>
      <c r="D6657" s="15" t="s">
        <v>20078</v>
      </c>
      <c r="E6657" s="18" t="s">
        <v>28</v>
      </c>
      <c r="F6657" s="19" t="s">
        <v>28</v>
      </c>
      <c r="G6657" s="19" t="s">
        <v>28</v>
      </c>
      <c r="H6657" s="19" t="s">
        <v>28</v>
      </c>
      <c r="I6657" s="18" t="s">
        <v>28</v>
      </c>
      <c r="J6657" s="18" t="s">
        <v>28</v>
      </c>
      <c r="K6657" s="18" t="s">
        <v>28</v>
      </c>
      <c r="L6657" s="18" t="s">
        <v>28</v>
      </c>
      <c r="M6657" s="18" t="s">
        <v>28</v>
      </c>
      <c r="N6657" s="17">
        <v>43767</v>
      </c>
      <c r="O6657" s="15" t="s">
        <v>173</v>
      </c>
      <c r="P6657" s="16" t="s">
        <v>28</v>
      </c>
      <c r="Q6657" s="15" t="s">
        <v>174</v>
      </c>
      <c r="R6657" s="13" t="str">
        <f>HYPERLINK("https://my.pitchbook.com?c=226394-20T","View Company Online")</f>
        <v>View Company Online</v>
      </c>
    </row>
    <row r="6658" spans="1:18" hidden="1" x14ac:dyDescent="0.3">
      <c r="A6658" s="9" t="s">
        <v>20079</v>
      </c>
      <c r="B6658" s="9" t="s">
        <v>20080</v>
      </c>
      <c r="C6658" s="11" t="s">
        <v>28</v>
      </c>
      <c r="D6658" s="9" t="s">
        <v>20081</v>
      </c>
      <c r="E6658" s="11" t="s">
        <v>28</v>
      </c>
      <c r="F6658" s="10" t="s">
        <v>28</v>
      </c>
      <c r="G6658" s="10">
        <v>7.0000000000000007E-2</v>
      </c>
      <c r="H6658" s="10" t="s">
        <v>28</v>
      </c>
      <c r="I6658" s="11" t="s">
        <v>28</v>
      </c>
      <c r="J6658" s="11" t="s">
        <v>28</v>
      </c>
      <c r="K6658" s="11" t="s">
        <v>28</v>
      </c>
      <c r="L6658" s="11" t="s">
        <v>28</v>
      </c>
      <c r="M6658" s="11" t="s">
        <v>28</v>
      </c>
      <c r="N6658" s="8">
        <v>43767</v>
      </c>
      <c r="O6658" s="9" t="s">
        <v>99</v>
      </c>
      <c r="P6658" s="12" t="s">
        <v>14200</v>
      </c>
      <c r="Q6658" s="9" t="s">
        <v>285</v>
      </c>
      <c r="R6658" s="14" t="str">
        <f>HYPERLINK("https://my.pitchbook.com?c=133760-17T","View Company Online")</f>
        <v>View Company Online</v>
      </c>
    </row>
    <row r="6659" spans="1:18" hidden="1" x14ac:dyDescent="0.3">
      <c r="A6659" s="15" t="s">
        <v>20082</v>
      </c>
      <c r="B6659" s="15" t="s">
        <v>20083</v>
      </c>
      <c r="C6659" s="18" t="s">
        <v>28</v>
      </c>
      <c r="D6659" s="15" t="s">
        <v>20084</v>
      </c>
      <c r="E6659" s="18" t="s">
        <v>28</v>
      </c>
      <c r="F6659" s="19">
        <v>125.03</v>
      </c>
      <c r="G6659" s="19">
        <v>111.03</v>
      </c>
      <c r="H6659" s="19">
        <v>125.03</v>
      </c>
      <c r="I6659" s="18" t="s">
        <v>28</v>
      </c>
      <c r="J6659" s="18" t="s">
        <v>28</v>
      </c>
      <c r="K6659" s="18" t="s">
        <v>28</v>
      </c>
      <c r="L6659" s="18" t="s">
        <v>28</v>
      </c>
      <c r="M6659" s="18" t="s">
        <v>28</v>
      </c>
      <c r="N6659" s="17">
        <v>43767</v>
      </c>
      <c r="O6659" s="15" t="s">
        <v>30</v>
      </c>
      <c r="P6659" s="16" t="s">
        <v>4262</v>
      </c>
      <c r="Q6659" s="15" t="s">
        <v>1336</v>
      </c>
      <c r="R6659" s="13" t="str">
        <f>HYPERLINK("https://my.pitchbook.com?c=130413-52T","View Company Online")</f>
        <v>View Company Online</v>
      </c>
    </row>
    <row r="6660" spans="1:18" hidden="1" x14ac:dyDescent="0.3">
      <c r="A6660" s="9" t="s">
        <v>20085</v>
      </c>
      <c r="B6660" s="9" t="s">
        <v>14401</v>
      </c>
      <c r="C6660" s="11" t="s">
        <v>28</v>
      </c>
      <c r="D6660" s="9" t="s">
        <v>20086</v>
      </c>
      <c r="E6660" s="11" t="s">
        <v>28</v>
      </c>
      <c r="F6660" s="10" t="s">
        <v>28</v>
      </c>
      <c r="G6660" s="10">
        <v>338.89</v>
      </c>
      <c r="H6660" s="10">
        <v>1705.08</v>
      </c>
      <c r="I6660" s="11" t="s">
        <v>28</v>
      </c>
      <c r="J6660" s="11" t="s">
        <v>28</v>
      </c>
      <c r="K6660" s="11">
        <v>490.15</v>
      </c>
      <c r="L6660" s="11">
        <v>3.48</v>
      </c>
      <c r="M6660" s="11">
        <v>73.81</v>
      </c>
      <c r="N6660" s="8">
        <v>43766</v>
      </c>
      <c r="O6660" s="9" t="s">
        <v>173</v>
      </c>
      <c r="P6660" s="12" t="s">
        <v>28</v>
      </c>
      <c r="Q6660" s="9" t="s">
        <v>18014</v>
      </c>
      <c r="R6660" s="14" t="str">
        <f>HYPERLINK("https://my.pitchbook.com?c=134593-48T","View Company Online")</f>
        <v>View Company Online</v>
      </c>
    </row>
    <row r="6661" spans="1:18" hidden="1" x14ac:dyDescent="0.3">
      <c r="A6661" s="15" t="s">
        <v>20087</v>
      </c>
      <c r="B6661" s="15" t="s">
        <v>20088</v>
      </c>
      <c r="C6661" s="18" t="s">
        <v>28</v>
      </c>
      <c r="D6661" s="15" t="s">
        <v>20089</v>
      </c>
      <c r="E6661" s="18">
        <v>256.12</v>
      </c>
      <c r="F6661" s="19" t="s">
        <v>28</v>
      </c>
      <c r="G6661" s="19">
        <v>396.4</v>
      </c>
      <c r="H6661" s="19">
        <v>1238.8599999999999</v>
      </c>
      <c r="I6661" s="18">
        <v>390.04</v>
      </c>
      <c r="J6661" s="18">
        <v>3.18</v>
      </c>
      <c r="K6661" s="18">
        <v>1338.78</v>
      </c>
      <c r="L6661" s="18">
        <v>0.93</v>
      </c>
      <c r="M6661" s="18">
        <v>246.21</v>
      </c>
      <c r="N6661" s="17">
        <v>43766</v>
      </c>
      <c r="O6661" s="15" t="s">
        <v>173</v>
      </c>
      <c r="P6661" s="16" t="s">
        <v>28</v>
      </c>
      <c r="Q6661" s="15" t="s">
        <v>409</v>
      </c>
      <c r="R6661" s="13" t="str">
        <f>HYPERLINK("https://my.pitchbook.com?c=157809-79T","View Company Online")</f>
        <v>View Company Online</v>
      </c>
    </row>
    <row r="6662" spans="1:18" hidden="1" x14ac:dyDescent="0.3">
      <c r="A6662" s="9" t="s">
        <v>20090</v>
      </c>
      <c r="B6662" s="9" t="s">
        <v>11897</v>
      </c>
      <c r="C6662" s="11" t="s">
        <v>28</v>
      </c>
      <c r="D6662" s="9" t="s">
        <v>11898</v>
      </c>
      <c r="E6662" s="11" t="s">
        <v>28</v>
      </c>
      <c r="F6662" s="10" t="s">
        <v>28</v>
      </c>
      <c r="G6662" s="10">
        <v>0.05</v>
      </c>
      <c r="H6662" s="10" t="s">
        <v>28</v>
      </c>
      <c r="I6662" s="11" t="s">
        <v>28</v>
      </c>
      <c r="J6662" s="11" t="s">
        <v>28</v>
      </c>
      <c r="K6662" s="11" t="s">
        <v>28</v>
      </c>
      <c r="L6662" s="11" t="s">
        <v>28</v>
      </c>
      <c r="M6662" s="11" t="s">
        <v>28</v>
      </c>
      <c r="N6662" s="8">
        <v>43766</v>
      </c>
      <c r="O6662" s="9" t="s">
        <v>52</v>
      </c>
      <c r="P6662" s="12" t="s">
        <v>20091</v>
      </c>
      <c r="Q6662" s="9" t="s">
        <v>188</v>
      </c>
      <c r="R6662" s="14" t="str">
        <f>HYPERLINK("https://my.pitchbook.com?c=166491-73T","View Company Online")</f>
        <v>View Company Online</v>
      </c>
    </row>
    <row r="6663" spans="1:18" hidden="1" x14ac:dyDescent="0.3">
      <c r="A6663" s="15" t="s">
        <v>20092</v>
      </c>
      <c r="B6663" s="15" t="s">
        <v>10365</v>
      </c>
      <c r="C6663" s="18" t="s">
        <v>28</v>
      </c>
      <c r="D6663" s="15" t="s">
        <v>10366</v>
      </c>
      <c r="E6663" s="18" t="s">
        <v>28</v>
      </c>
      <c r="F6663" s="19" t="s">
        <v>28</v>
      </c>
      <c r="G6663" s="19">
        <v>0.17</v>
      </c>
      <c r="H6663" s="19" t="s">
        <v>28</v>
      </c>
      <c r="I6663" s="18" t="s">
        <v>28</v>
      </c>
      <c r="J6663" s="18" t="s">
        <v>28</v>
      </c>
      <c r="K6663" s="18" t="s">
        <v>28</v>
      </c>
      <c r="L6663" s="18" t="s">
        <v>28</v>
      </c>
      <c r="M6663" s="18" t="s">
        <v>28</v>
      </c>
      <c r="N6663" s="17">
        <v>43766</v>
      </c>
      <c r="O6663" s="15" t="s">
        <v>1639</v>
      </c>
      <c r="P6663" s="16" t="s">
        <v>28</v>
      </c>
      <c r="Q6663" s="15" t="s">
        <v>75</v>
      </c>
      <c r="R6663" s="13" t="str">
        <f>HYPERLINK("https://my.pitchbook.com?c=125801-47T","View Company Online")</f>
        <v>View Company Online</v>
      </c>
    </row>
    <row r="6664" spans="1:18" hidden="1" x14ac:dyDescent="0.3">
      <c r="A6664" s="9" t="s">
        <v>20093</v>
      </c>
      <c r="B6664" s="9" t="s">
        <v>11366</v>
      </c>
      <c r="C6664" s="11" t="s">
        <v>28</v>
      </c>
      <c r="D6664" s="9" t="s">
        <v>11367</v>
      </c>
      <c r="E6664" s="11" t="s">
        <v>28</v>
      </c>
      <c r="F6664" s="10" t="s">
        <v>28</v>
      </c>
      <c r="G6664" s="10">
        <v>1.1000000000000001</v>
      </c>
      <c r="H6664" s="10" t="s">
        <v>28</v>
      </c>
      <c r="I6664" s="11" t="s">
        <v>28</v>
      </c>
      <c r="J6664" s="11" t="s">
        <v>28</v>
      </c>
      <c r="K6664" s="11" t="s">
        <v>28</v>
      </c>
      <c r="L6664" s="11" t="s">
        <v>28</v>
      </c>
      <c r="M6664" s="11" t="s">
        <v>28</v>
      </c>
      <c r="N6664" s="8">
        <v>43762</v>
      </c>
      <c r="O6664" s="9" t="s">
        <v>52</v>
      </c>
      <c r="P6664" s="12" t="s">
        <v>20094</v>
      </c>
      <c r="Q6664" s="9" t="s">
        <v>1035</v>
      </c>
      <c r="R6664" s="14" t="str">
        <f>HYPERLINK("https://my.pitchbook.com?c=212022-37T","View Company Online")</f>
        <v>View Company Online</v>
      </c>
    </row>
    <row r="6665" spans="1:18" hidden="1" x14ac:dyDescent="0.3">
      <c r="A6665" s="15" t="s">
        <v>20095</v>
      </c>
      <c r="B6665" s="15" t="s">
        <v>4196</v>
      </c>
      <c r="C6665" s="18" t="s">
        <v>28</v>
      </c>
      <c r="D6665" s="15" t="s">
        <v>4197</v>
      </c>
      <c r="E6665" s="18">
        <v>-45.01</v>
      </c>
      <c r="F6665" s="19" t="s">
        <v>28</v>
      </c>
      <c r="G6665" s="19">
        <v>331</v>
      </c>
      <c r="H6665" s="19" t="s">
        <v>28</v>
      </c>
      <c r="I6665" s="18">
        <v>-37.21</v>
      </c>
      <c r="J6665" s="18" t="s">
        <v>28</v>
      </c>
      <c r="K6665" s="18">
        <v>115.27</v>
      </c>
      <c r="L6665" s="18" t="s">
        <v>28</v>
      </c>
      <c r="M6665" s="18">
        <v>-33.26</v>
      </c>
      <c r="N6665" s="17">
        <v>43762</v>
      </c>
      <c r="O6665" s="15" t="s">
        <v>159</v>
      </c>
      <c r="P6665" s="16" t="s">
        <v>28</v>
      </c>
      <c r="Q6665" s="15" t="s">
        <v>583</v>
      </c>
      <c r="R6665" s="13" t="str">
        <f>HYPERLINK("https://my.pitchbook.com?c=125362-09T","View Company Online")</f>
        <v>View Company Online</v>
      </c>
    </row>
    <row r="6666" spans="1:18" hidden="1" x14ac:dyDescent="0.3">
      <c r="A6666" s="9" t="s">
        <v>20096</v>
      </c>
      <c r="B6666" s="9" t="s">
        <v>13992</v>
      </c>
      <c r="C6666" s="11" t="s">
        <v>28</v>
      </c>
      <c r="D6666" s="9" t="s">
        <v>13993</v>
      </c>
      <c r="E6666" s="11" t="s">
        <v>28</v>
      </c>
      <c r="F6666" s="10" t="s">
        <v>28</v>
      </c>
      <c r="G6666" s="10" t="s">
        <v>28</v>
      </c>
      <c r="H6666" s="10" t="s">
        <v>28</v>
      </c>
      <c r="I6666" s="11" t="s">
        <v>28</v>
      </c>
      <c r="J6666" s="11" t="s">
        <v>28</v>
      </c>
      <c r="K6666" s="11" t="s">
        <v>28</v>
      </c>
      <c r="L6666" s="11" t="s">
        <v>28</v>
      </c>
      <c r="M6666" s="11" t="s">
        <v>28</v>
      </c>
      <c r="N6666" s="8">
        <v>43762</v>
      </c>
      <c r="O6666" s="9" t="s">
        <v>52</v>
      </c>
      <c r="P6666" s="12" t="s">
        <v>2235</v>
      </c>
      <c r="Q6666" s="9" t="s">
        <v>8035</v>
      </c>
      <c r="R6666" s="14" t="str">
        <f>HYPERLINK("https://my.pitchbook.com?c=172981-90T","View Company Online")</f>
        <v>View Company Online</v>
      </c>
    </row>
    <row r="6667" spans="1:18" hidden="1" x14ac:dyDescent="0.3">
      <c r="A6667" s="15" t="s">
        <v>20097</v>
      </c>
      <c r="B6667" s="15" t="s">
        <v>20098</v>
      </c>
      <c r="C6667" s="18" t="s">
        <v>28</v>
      </c>
      <c r="D6667" s="15" t="s">
        <v>20099</v>
      </c>
      <c r="E6667" s="18" t="s">
        <v>28</v>
      </c>
      <c r="F6667" s="19">
        <v>43.81</v>
      </c>
      <c r="G6667" s="19">
        <v>43.81</v>
      </c>
      <c r="H6667" s="19">
        <v>43.81</v>
      </c>
      <c r="I6667" s="18" t="s">
        <v>28</v>
      </c>
      <c r="J6667" s="18" t="s">
        <v>28</v>
      </c>
      <c r="K6667" s="18" t="s">
        <v>28</v>
      </c>
      <c r="L6667" s="18" t="s">
        <v>28</v>
      </c>
      <c r="M6667" s="18" t="s">
        <v>28</v>
      </c>
      <c r="N6667" s="17">
        <v>43762</v>
      </c>
      <c r="O6667" s="15" t="s">
        <v>30</v>
      </c>
      <c r="P6667" s="16" t="s">
        <v>16515</v>
      </c>
      <c r="Q6667" s="15" t="s">
        <v>263</v>
      </c>
      <c r="R6667" s="13" t="str">
        <f>HYPERLINK("https://my.pitchbook.com?c=124540-57T","View Company Online")</f>
        <v>View Company Online</v>
      </c>
    </row>
    <row r="6668" spans="1:18" hidden="1" x14ac:dyDescent="0.3">
      <c r="A6668" s="9" t="s">
        <v>20100</v>
      </c>
      <c r="B6668" s="9" t="s">
        <v>7660</v>
      </c>
      <c r="C6668" s="11" t="s">
        <v>28</v>
      </c>
      <c r="D6668" s="9" t="s">
        <v>7661</v>
      </c>
      <c r="E6668" s="11" t="s">
        <v>28</v>
      </c>
      <c r="F6668" s="10" t="s">
        <v>28</v>
      </c>
      <c r="G6668" s="10">
        <v>0.04</v>
      </c>
      <c r="H6668" s="10" t="s">
        <v>28</v>
      </c>
      <c r="I6668" s="11" t="s">
        <v>28</v>
      </c>
      <c r="J6668" s="11" t="s">
        <v>28</v>
      </c>
      <c r="K6668" s="11" t="s">
        <v>28</v>
      </c>
      <c r="L6668" s="11" t="s">
        <v>28</v>
      </c>
      <c r="M6668" s="11" t="s">
        <v>28</v>
      </c>
      <c r="N6668" s="8">
        <v>43761</v>
      </c>
      <c r="O6668" s="9" t="s">
        <v>52</v>
      </c>
      <c r="P6668" s="12" t="s">
        <v>8261</v>
      </c>
      <c r="Q6668" s="9" t="s">
        <v>75</v>
      </c>
      <c r="R6668" s="14" t="str">
        <f>HYPERLINK("https://my.pitchbook.com?c=199582-39T","View Company Online")</f>
        <v>View Company Online</v>
      </c>
    </row>
    <row r="6669" spans="1:18" hidden="1" x14ac:dyDescent="0.3">
      <c r="A6669" s="15" t="s">
        <v>20101</v>
      </c>
      <c r="B6669" s="15" t="s">
        <v>17375</v>
      </c>
      <c r="C6669" s="18" t="s">
        <v>28</v>
      </c>
      <c r="D6669" s="15" t="s">
        <v>17376</v>
      </c>
      <c r="E6669" s="18" t="s">
        <v>28</v>
      </c>
      <c r="F6669" s="19" t="s">
        <v>28</v>
      </c>
      <c r="G6669" s="19">
        <v>0.28999999999999998</v>
      </c>
      <c r="H6669" s="19" t="s">
        <v>28</v>
      </c>
      <c r="I6669" s="18" t="s">
        <v>28</v>
      </c>
      <c r="J6669" s="18" t="s">
        <v>28</v>
      </c>
      <c r="K6669" s="18" t="s">
        <v>28</v>
      </c>
      <c r="L6669" s="18" t="s">
        <v>28</v>
      </c>
      <c r="M6669" s="18" t="s">
        <v>28</v>
      </c>
      <c r="N6669" s="17">
        <v>43761</v>
      </c>
      <c r="O6669" s="15" t="s">
        <v>99</v>
      </c>
      <c r="P6669" s="16" t="s">
        <v>20102</v>
      </c>
      <c r="Q6669" s="15" t="s">
        <v>37</v>
      </c>
      <c r="R6669" s="13" t="str">
        <f>HYPERLINK("https://my.pitchbook.com?c=125646-31T","View Company Online")</f>
        <v>View Company Online</v>
      </c>
    </row>
    <row r="6670" spans="1:18" hidden="1" x14ac:dyDescent="0.3">
      <c r="A6670" s="9" t="s">
        <v>20103</v>
      </c>
      <c r="B6670" s="9" t="s">
        <v>4890</v>
      </c>
      <c r="C6670" s="11" t="s">
        <v>28</v>
      </c>
      <c r="D6670" s="9" t="s">
        <v>4891</v>
      </c>
      <c r="E6670" s="11" t="s">
        <v>28</v>
      </c>
      <c r="F6670" s="10" t="s">
        <v>28</v>
      </c>
      <c r="G6670" s="10">
        <v>9</v>
      </c>
      <c r="H6670" s="10" t="s">
        <v>28</v>
      </c>
      <c r="I6670" s="11" t="s">
        <v>28</v>
      </c>
      <c r="J6670" s="11" t="s">
        <v>28</v>
      </c>
      <c r="K6670" s="11" t="s">
        <v>28</v>
      </c>
      <c r="L6670" s="11" t="s">
        <v>28</v>
      </c>
      <c r="M6670" s="11" t="s">
        <v>28</v>
      </c>
      <c r="N6670" s="8">
        <v>43761</v>
      </c>
      <c r="O6670" s="9" t="s">
        <v>73</v>
      </c>
      <c r="P6670" s="12" t="s">
        <v>20104</v>
      </c>
      <c r="Q6670" s="9" t="s">
        <v>75</v>
      </c>
      <c r="R6670" s="14" t="str">
        <f>HYPERLINK("https://my.pitchbook.com?c=123288-58T","View Company Online")</f>
        <v>View Company Online</v>
      </c>
    </row>
    <row r="6671" spans="1:18" hidden="1" x14ac:dyDescent="0.3">
      <c r="A6671" s="15" t="s">
        <v>20105</v>
      </c>
      <c r="B6671" s="15" t="s">
        <v>20106</v>
      </c>
      <c r="C6671" s="18" t="s">
        <v>28</v>
      </c>
      <c r="D6671" s="15" t="s">
        <v>20107</v>
      </c>
      <c r="E6671" s="18" t="s">
        <v>28</v>
      </c>
      <c r="F6671" s="19" t="s">
        <v>28</v>
      </c>
      <c r="G6671" s="19" t="s">
        <v>28</v>
      </c>
      <c r="H6671" s="19" t="s">
        <v>28</v>
      </c>
      <c r="I6671" s="18" t="s">
        <v>28</v>
      </c>
      <c r="J6671" s="18" t="s">
        <v>28</v>
      </c>
      <c r="K6671" s="18" t="s">
        <v>28</v>
      </c>
      <c r="L6671" s="18" t="s">
        <v>28</v>
      </c>
      <c r="M6671" s="18" t="s">
        <v>28</v>
      </c>
      <c r="N6671" s="17">
        <v>43760</v>
      </c>
      <c r="O6671" s="15" t="s">
        <v>173</v>
      </c>
      <c r="P6671" s="16" t="s">
        <v>28</v>
      </c>
      <c r="Q6671" s="15" t="s">
        <v>174</v>
      </c>
      <c r="R6671" s="13" t="str">
        <f>HYPERLINK("https://my.pitchbook.com?c=251547-04T","View Company Online")</f>
        <v>View Company Online</v>
      </c>
    </row>
    <row r="6672" spans="1:18" hidden="1" x14ac:dyDescent="0.3">
      <c r="A6672" s="9" t="s">
        <v>20108</v>
      </c>
      <c r="B6672" s="9" t="s">
        <v>8705</v>
      </c>
      <c r="C6672" s="11" t="s">
        <v>28</v>
      </c>
      <c r="D6672" s="9" t="s">
        <v>13312</v>
      </c>
      <c r="E6672" s="11" t="s">
        <v>28</v>
      </c>
      <c r="F6672" s="10" t="s">
        <v>28</v>
      </c>
      <c r="G6672" s="10" t="s">
        <v>28</v>
      </c>
      <c r="H6672" s="10">
        <v>1000</v>
      </c>
      <c r="I6672" s="11" t="s">
        <v>28</v>
      </c>
      <c r="J6672" s="11" t="s">
        <v>28</v>
      </c>
      <c r="K6672" s="11">
        <v>150</v>
      </c>
      <c r="L6672" s="11">
        <v>6.67</v>
      </c>
      <c r="M6672" s="11" t="s">
        <v>28</v>
      </c>
      <c r="N6672" s="8">
        <v>43754</v>
      </c>
      <c r="O6672" s="9" t="s">
        <v>93</v>
      </c>
      <c r="P6672" s="12" t="s">
        <v>20109</v>
      </c>
      <c r="Q6672" s="9" t="s">
        <v>37</v>
      </c>
      <c r="R6672" s="14" t="str">
        <f>HYPERLINK("https://my.pitchbook.com?c=125479-45T","View Company Online")</f>
        <v>View Company Online</v>
      </c>
    </row>
    <row r="6673" spans="1:18" hidden="1" x14ac:dyDescent="0.3">
      <c r="A6673" s="15" t="s">
        <v>20110</v>
      </c>
      <c r="B6673" s="15" t="s">
        <v>20111</v>
      </c>
      <c r="C6673" s="18" t="s">
        <v>28</v>
      </c>
      <c r="D6673" s="15" t="s">
        <v>20112</v>
      </c>
      <c r="E6673" s="18" t="s">
        <v>28</v>
      </c>
      <c r="F6673" s="19" t="s">
        <v>28</v>
      </c>
      <c r="G6673" s="19" t="s">
        <v>28</v>
      </c>
      <c r="H6673" s="19" t="s">
        <v>28</v>
      </c>
      <c r="I6673" s="18" t="s">
        <v>28</v>
      </c>
      <c r="J6673" s="18" t="s">
        <v>28</v>
      </c>
      <c r="K6673" s="18" t="s">
        <v>28</v>
      </c>
      <c r="L6673" s="18" t="s">
        <v>28</v>
      </c>
      <c r="M6673" s="18" t="s">
        <v>28</v>
      </c>
      <c r="N6673" s="17">
        <v>43754</v>
      </c>
      <c r="O6673" s="15" t="s">
        <v>79</v>
      </c>
      <c r="P6673" s="16" t="s">
        <v>28</v>
      </c>
      <c r="Q6673" s="15" t="s">
        <v>75</v>
      </c>
      <c r="R6673" s="13" t="str">
        <f>HYPERLINK("https://my.pitchbook.com?c=205265-89T","View Company Online")</f>
        <v>View Company Online</v>
      </c>
    </row>
    <row r="6674" spans="1:18" hidden="1" x14ac:dyDescent="0.3">
      <c r="A6674" s="9" t="s">
        <v>20113</v>
      </c>
      <c r="B6674" s="9" t="s">
        <v>20114</v>
      </c>
      <c r="C6674" s="11" t="s">
        <v>28</v>
      </c>
      <c r="D6674" s="9" t="s">
        <v>20115</v>
      </c>
      <c r="E6674" s="11" t="s">
        <v>28</v>
      </c>
      <c r="F6674" s="10">
        <v>8.91</v>
      </c>
      <c r="G6674" s="10">
        <v>8.91</v>
      </c>
      <c r="H6674" s="10">
        <v>8.91</v>
      </c>
      <c r="I6674" s="11" t="s">
        <v>28</v>
      </c>
      <c r="J6674" s="11" t="s">
        <v>28</v>
      </c>
      <c r="K6674" s="11" t="s">
        <v>28</v>
      </c>
      <c r="L6674" s="11" t="s">
        <v>28</v>
      </c>
      <c r="M6674" s="11" t="s">
        <v>28</v>
      </c>
      <c r="N6674" s="8">
        <v>43754</v>
      </c>
      <c r="O6674" s="9" t="s">
        <v>30</v>
      </c>
      <c r="P6674" s="12" t="s">
        <v>10279</v>
      </c>
      <c r="Q6674" s="9" t="s">
        <v>75</v>
      </c>
      <c r="R6674" s="14" t="str">
        <f>HYPERLINK("https://my.pitchbook.com?c=213269-95T","View Company Online")</f>
        <v>View Company Online</v>
      </c>
    </row>
    <row r="6675" spans="1:18" hidden="1" x14ac:dyDescent="0.3">
      <c r="A6675" s="15" t="s">
        <v>20116</v>
      </c>
      <c r="B6675" s="15" t="s">
        <v>20117</v>
      </c>
      <c r="C6675" s="18" t="s">
        <v>28</v>
      </c>
      <c r="D6675" s="15" t="s">
        <v>20118</v>
      </c>
      <c r="E6675" s="18" t="s">
        <v>28</v>
      </c>
      <c r="F6675" s="19" t="s">
        <v>28</v>
      </c>
      <c r="G6675" s="19">
        <v>0.16</v>
      </c>
      <c r="H6675" s="19" t="s">
        <v>28</v>
      </c>
      <c r="I6675" s="18" t="s">
        <v>28</v>
      </c>
      <c r="J6675" s="18" t="s">
        <v>28</v>
      </c>
      <c r="K6675" s="18" t="s">
        <v>28</v>
      </c>
      <c r="L6675" s="18" t="s">
        <v>28</v>
      </c>
      <c r="M6675" s="18" t="s">
        <v>28</v>
      </c>
      <c r="N6675" s="17">
        <v>43754</v>
      </c>
      <c r="O6675" s="15" t="s">
        <v>1639</v>
      </c>
      <c r="P6675" s="16" t="s">
        <v>28</v>
      </c>
      <c r="Q6675" s="15" t="s">
        <v>105</v>
      </c>
      <c r="R6675" s="13" t="str">
        <f>HYPERLINK("https://my.pitchbook.com?c=124818-04T","View Company Online")</f>
        <v>View Company Online</v>
      </c>
    </row>
    <row r="6676" spans="1:18" hidden="1" x14ac:dyDescent="0.3">
      <c r="A6676" s="9" t="s">
        <v>20119</v>
      </c>
      <c r="B6676" s="9" t="s">
        <v>11135</v>
      </c>
      <c r="C6676" s="11" t="s">
        <v>28</v>
      </c>
      <c r="D6676" s="9" t="s">
        <v>11136</v>
      </c>
      <c r="E6676" s="11" t="s">
        <v>28</v>
      </c>
      <c r="F6676" s="10" t="s">
        <v>28</v>
      </c>
      <c r="G6676" s="10">
        <v>0.05</v>
      </c>
      <c r="H6676" s="10">
        <v>0.69</v>
      </c>
      <c r="I6676" s="11" t="s">
        <v>28</v>
      </c>
      <c r="J6676" s="11" t="s">
        <v>28</v>
      </c>
      <c r="K6676" s="11" t="s">
        <v>28</v>
      </c>
      <c r="L6676" s="11" t="s">
        <v>28</v>
      </c>
      <c r="M6676" s="11" t="s">
        <v>28</v>
      </c>
      <c r="N6676" s="8">
        <v>43753</v>
      </c>
      <c r="O6676" s="9" t="s">
        <v>52</v>
      </c>
      <c r="P6676" s="12" t="s">
        <v>2915</v>
      </c>
      <c r="Q6676" s="9" t="s">
        <v>37</v>
      </c>
      <c r="R6676" s="14" t="str">
        <f>HYPERLINK("https://my.pitchbook.com?c=130092-13T","View Company Online")</f>
        <v>View Company Online</v>
      </c>
    </row>
    <row r="6677" spans="1:18" hidden="1" x14ac:dyDescent="0.3">
      <c r="A6677" s="15" t="s">
        <v>20120</v>
      </c>
      <c r="B6677" s="15" t="s">
        <v>11398</v>
      </c>
      <c r="C6677" s="18" t="s">
        <v>28</v>
      </c>
      <c r="D6677" s="15" t="s">
        <v>11399</v>
      </c>
      <c r="E6677" s="18" t="s">
        <v>28</v>
      </c>
      <c r="F6677" s="19" t="s">
        <v>28</v>
      </c>
      <c r="G6677" s="19">
        <v>0.99</v>
      </c>
      <c r="H6677" s="19" t="s">
        <v>28</v>
      </c>
      <c r="I6677" s="18" t="s">
        <v>28</v>
      </c>
      <c r="J6677" s="18" t="s">
        <v>28</v>
      </c>
      <c r="K6677" s="18" t="s">
        <v>28</v>
      </c>
      <c r="L6677" s="18" t="s">
        <v>28</v>
      </c>
      <c r="M6677" s="18" t="s">
        <v>28</v>
      </c>
      <c r="N6677" s="17">
        <v>43753</v>
      </c>
      <c r="O6677" s="15" t="s">
        <v>99</v>
      </c>
      <c r="P6677" s="16" t="s">
        <v>20121</v>
      </c>
      <c r="Q6677" s="15" t="s">
        <v>37</v>
      </c>
      <c r="R6677" s="13" t="str">
        <f>HYPERLINK("https://my.pitchbook.com?c=133045-03T","View Company Online")</f>
        <v>View Company Online</v>
      </c>
    </row>
    <row r="6678" spans="1:18" hidden="1" x14ac:dyDescent="0.3">
      <c r="A6678" s="9" t="s">
        <v>20122</v>
      </c>
      <c r="B6678" s="9" t="s">
        <v>20123</v>
      </c>
      <c r="C6678" s="11" t="s">
        <v>28</v>
      </c>
      <c r="D6678" s="9" t="s">
        <v>20124</v>
      </c>
      <c r="E6678" s="11" t="s">
        <v>28</v>
      </c>
      <c r="F6678" s="10" t="s">
        <v>28</v>
      </c>
      <c r="G6678" s="10">
        <v>0.04</v>
      </c>
      <c r="H6678" s="10" t="s">
        <v>28</v>
      </c>
      <c r="I6678" s="11" t="s">
        <v>28</v>
      </c>
      <c r="J6678" s="11" t="s">
        <v>28</v>
      </c>
      <c r="K6678" s="11" t="s">
        <v>28</v>
      </c>
      <c r="L6678" s="11" t="s">
        <v>28</v>
      </c>
      <c r="M6678" s="11" t="s">
        <v>28</v>
      </c>
      <c r="N6678" s="8">
        <v>43753</v>
      </c>
      <c r="O6678" s="9" t="s">
        <v>52</v>
      </c>
      <c r="P6678" s="12" t="s">
        <v>20125</v>
      </c>
      <c r="Q6678" s="9" t="s">
        <v>75</v>
      </c>
      <c r="R6678" s="14" t="str">
        <f>HYPERLINK("https://my.pitchbook.com?c=189063-82T","View Company Online")</f>
        <v>View Company Online</v>
      </c>
    </row>
    <row r="6679" spans="1:18" hidden="1" x14ac:dyDescent="0.3">
      <c r="A6679" s="15" t="s">
        <v>20126</v>
      </c>
      <c r="B6679" s="15" t="s">
        <v>20127</v>
      </c>
      <c r="C6679" s="18" t="s">
        <v>28</v>
      </c>
      <c r="D6679" s="15" t="s">
        <v>20128</v>
      </c>
      <c r="E6679" s="18" t="s">
        <v>28</v>
      </c>
      <c r="F6679" s="19" t="s">
        <v>28</v>
      </c>
      <c r="G6679" s="19">
        <v>14.55</v>
      </c>
      <c r="H6679" s="19" t="s">
        <v>28</v>
      </c>
      <c r="I6679" s="18" t="s">
        <v>28</v>
      </c>
      <c r="J6679" s="18" t="s">
        <v>28</v>
      </c>
      <c r="K6679" s="18" t="s">
        <v>28</v>
      </c>
      <c r="L6679" s="18" t="s">
        <v>28</v>
      </c>
      <c r="M6679" s="18" t="s">
        <v>28</v>
      </c>
      <c r="N6679" s="17">
        <v>43752</v>
      </c>
      <c r="O6679" s="15" t="s">
        <v>73</v>
      </c>
      <c r="P6679" s="16" t="s">
        <v>20129</v>
      </c>
      <c r="Q6679" s="15" t="s">
        <v>37</v>
      </c>
      <c r="R6679" s="13" t="str">
        <f>HYPERLINK("https://my.pitchbook.com?c=136845-46T","View Company Online")</f>
        <v>View Company Online</v>
      </c>
    </row>
    <row r="6680" spans="1:18" hidden="1" x14ac:dyDescent="0.3">
      <c r="A6680" s="9" t="s">
        <v>20130</v>
      </c>
      <c r="B6680" s="9" t="s">
        <v>20131</v>
      </c>
      <c r="C6680" s="11" t="s">
        <v>28</v>
      </c>
      <c r="D6680" s="9" t="s">
        <v>20132</v>
      </c>
      <c r="E6680" s="11" t="s">
        <v>28</v>
      </c>
      <c r="F6680" s="10" t="s">
        <v>28</v>
      </c>
      <c r="G6680" s="10" t="s">
        <v>28</v>
      </c>
      <c r="H6680" s="10" t="s">
        <v>28</v>
      </c>
      <c r="I6680" s="11" t="s">
        <v>28</v>
      </c>
      <c r="J6680" s="11" t="s">
        <v>28</v>
      </c>
      <c r="K6680" s="11" t="s">
        <v>28</v>
      </c>
      <c r="L6680" s="11" t="s">
        <v>28</v>
      </c>
      <c r="M6680" s="11" t="s">
        <v>28</v>
      </c>
      <c r="N6680" s="8">
        <v>43752</v>
      </c>
      <c r="O6680" s="9" t="s">
        <v>30</v>
      </c>
      <c r="P6680" s="12" t="s">
        <v>20133</v>
      </c>
      <c r="Q6680" s="9" t="s">
        <v>105</v>
      </c>
      <c r="R6680" s="14" t="str">
        <f>HYPERLINK("https://my.pitchbook.com?c=132251-14T","View Company Online")</f>
        <v>View Company Online</v>
      </c>
    </row>
    <row r="6681" spans="1:18" hidden="1" x14ac:dyDescent="0.3">
      <c r="A6681" s="15" t="s">
        <v>20134</v>
      </c>
      <c r="B6681" s="15" t="s">
        <v>4953</v>
      </c>
      <c r="C6681" s="18" t="s">
        <v>28</v>
      </c>
      <c r="D6681" s="15" t="s">
        <v>20135</v>
      </c>
      <c r="E6681" s="18">
        <v>5496.59</v>
      </c>
      <c r="F6681" s="19" t="s">
        <v>28</v>
      </c>
      <c r="G6681" s="19">
        <v>1236.6400000000001</v>
      </c>
      <c r="H6681" s="19" t="s">
        <v>28</v>
      </c>
      <c r="I6681" s="18">
        <v>5947.36</v>
      </c>
      <c r="J6681" s="18" t="s">
        <v>28</v>
      </c>
      <c r="K6681" s="18">
        <v>7223.84</v>
      </c>
      <c r="L6681" s="18" t="s">
        <v>28</v>
      </c>
      <c r="M6681" s="18">
        <v>5817.48</v>
      </c>
      <c r="N6681" s="17">
        <v>43752</v>
      </c>
      <c r="O6681" s="15" t="s">
        <v>423</v>
      </c>
      <c r="P6681" s="16" t="s">
        <v>28</v>
      </c>
      <c r="Q6681" s="15" t="s">
        <v>348</v>
      </c>
      <c r="R6681" s="13" t="str">
        <f>HYPERLINK("https://my.pitchbook.com?c=124869-43T","View Company Online")</f>
        <v>View Company Online</v>
      </c>
    </row>
    <row r="6682" spans="1:18" hidden="1" x14ac:dyDescent="0.3">
      <c r="A6682" s="9" t="s">
        <v>20136</v>
      </c>
      <c r="B6682" s="9" t="s">
        <v>13083</v>
      </c>
      <c r="C6682" s="11" t="s">
        <v>28</v>
      </c>
      <c r="D6682" s="9" t="s">
        <v>13084</v>
      </c>
      <c r="E6682" s="11" t="s">
        <v>28</v>
      </c>
      <c r="F6682" s="10" t="s">
        <v>28</v>
      </c>
      <c r="G6682" s="10" t="s">
        <v>28</v>
      </c>
      <c r="H6682" s="10" t="s">
        <v>28</v>
      </c>
      <c r="I6682" s="11" t="s">
        <v>28</v>
      </c>
      <c r="J6682" s="11" t="s">
        <v>28</v>
      </c>
      <c r="K6682" s="11" t="s">
        <v>28</v>
      </c>
      <c r="L6682" s="11" t="s">
        <v>28</v>
      </c>
      <c r="M6682" s="11" t="s">
        <v>28</v>
      </c>
      <c r="N6682" s="8">
        <v>43752</v>
      </c>
      <c r="O6682" s="9" t="s">
        <v>379</v>
      </c>
      <c r="P6682" s="12" t="s">
        <v>28</v>
      </c>
      <c r="Q6682" s="9" t="s">
        <v>37</v>
      </c>
      <c r="R6682" s="14" t="str">
        <f>HYPERLINK("https://my.pitchbook.com?c=133104-25T","View Company Online")</f>
        <v>View Company Online</v>
      </c>
    </row>
    <row r="6683" spans="1:18" hidden="1" x14ac:dyDescent="0.3">
      <c r="A6683" s="15" t="s">
        <v>20137</v>
      </c>
      <c r="B6683" s="15" t="s">
        <v>5549</v>
      </c>
      <c r="C6683" s="18" t="s">
        <v>28</v>
      </c>
      <c r="D6683" s="15" t="s">
        <v>5550</v>
      </c>
      <c r="E6683" s="18" t="s">
        <v>28</v>
      </c>
      <c r="F6683" s="19" t="s">
        <v>28</v>
      </c>
      <c r="G6683" s="19">
        <v>10</v>
      </c>
      <c r="H6683" s="19" t="s">
        <v>28</v>
      </c>
      <c r="I6683" s="18" t="s">
        <v>28</v>
      </c>
      <c r="J6683" s="18" t="s">
        <v>28</v>
      </c>
      <c r="K6683" s="18" t="s">
        <v>28</v>
      </c>
      <c r="L6683" s="18" t="s">
        <v>28</v>
      </c>
      <c r="M6683" s="18" t="s">
        <v>28</v>
      </c>
      <c r="N6683" s="17">
        <v>43749</v>
      </c>
      <c r="O6683" s="15" t="s">
        <v>73</v>
      </c>
      <c r="P6683" s="16" t="s">
        <v>20138</v>
      </c>
      <c r="Q6683" s="15" t="s">
        <v>404</v>
      </c>
      <c r="R6683" s="13" t="str">
        <f>HYPERLINK("https://my.pitchbook.com?c=125594-65T","View Company Online")</f>
        <v>View Company Online</v>
      </c>
    </row>
    <row r="6684" spans="1:18" hidden="1" x14ac:dyDescent="0.3">
      <c r="A6684" s="9" t="s">
        <v>20139</v>
      </c>
      <c r="B6684" s="9" t="s">
        <v>20140</v>
      </c>
      <c r="C6684" s="11" t="s">
        <v>28</v>
      </c>
      <c r="D6684" s="9" t="s">
        <v>20141</v>
      </c>
      <c r="E6684" s="11" t="s">
        <v>28</v>
      </c>
      <c r="F6684" s="10" t="s">
        <v>28</v>
      </c>
      <c r="G6684" s="10">
        <v>0.53</v>
      </c>
      <c r="H6684" s="10" t="s">
        <v>28</v>
      </c>
      <c r="I6684" s="11" t="s">
        <v>28</v>
      </c>
      <c r="J6684" s="11" t="s">
        <v>28</v>
      </c>
      <c r="K6684" s="11" t="s">
        <v>28</v>
      </c>
      <c r="L6684" s="11" t="s">
        <v>28</v>
      </c>
      <c r="M6684" s="11" t="s">
        <v>28</v>
      </c>
      <c r="N6684" s="8">
        <v>43749</v>
      </c>
      <c r="O6684" s="9" t="s">
        <v>99</v>
      </c>
      <c r="P6684" s="12" t="s">
        <v>20142</v>
      </c>
      <c r="Q6684" s="9" t="s">
        <v>9184</v>
      </c>
      <c r="R6684" s="14" t="str">
        <f>HYPERLINK("https://my.pitchbook.com?c=124655-23T","View Company Online")</f>
        <v>View Company Online</v>
      </c>
    </row>
    <row r="6685" spans="1:18" hidden="1" x14ac:dyDescent="0.3">
      <c r="A6685" s="15" t="s">
        <v>20143</v>
      </c>
      <c r="B6685" s="15" t="s">
        <v>20144</v>
      </c>
      <c r="C6685" s="18" t="s">
        <v>28</v>
      </c>
      <c r="D6685" s="15" t="s">
        <v>20145</v>
      </c>
      <c r="E6685" s="18" t="s">
        <v>28</v>
      </c>
      <c r="F6685" s="19" t="s">
        <v>28</v>
      </c>
      <c r="G6685" s="19" t="s">
        <v>28</v>
      </c>
      <c r="H6685" s="19" t="s">
        <v>28</v>
      </c>
      <c r="I6685" s="18" t="s">
        <v>28</v>
      </c>
      <c r="J6685" s="18" t="s">
        <v>28</v>
      </c>
      <c r="K6685" s="18" t="s">
        <v>28</v>
      </c>
      <c r="L6685" s="18" t="s">
        <v>28</v>
      </c>
      <c r="M6685" s="18" t="s">
        <v>28</v>
      </c>
      <c r="N6685" s="17">
        <v>43749</v>
      </c>
      <c r="O6685" s="15" t="s">
        <v>30</v>
      </c>
      <c r="P6685" s="16" t="s">
        <v>18354</v>
      </c>
      <c r="Q6685" s="15" t="s">
        <v>1853</v>
      </c>
      <c r="R6685" s="13" t="str">
        <f>HYPERLINK("https://my.pitchbook.com?c=140902-75T","View Company Online")</f>
        <v>View Company Online</v>
      </c>
    </row>
    <row r="6686" spans="1:18" hidden="1" x14ac:dyDescent="0.3">
      <c r="A6686" s="9" t="s">
        <v>20146</v>
      </c>
      <c r="B6686" s="9" t="s">
        <v>20147</v>
      </c>
      <c r="C6686" s="11" t="s">
        <v>28</v>
      </c>
      <c r="D6686" s="9" t="s">
        <v>20148</v>
      </c>
      <c r="E6686" s="11" t="s">
        <v>28</v>
      </c>
      <c r="F6686" s="10" t="s">
        <v>28</v>
      </c>
      <c r="G6686" s="10" t="s">
        <v>28</v>
      </c>
      <c r="H6686" s="10" t="s">
        <v>28</v>
      </c>
      <c r="I6686" s="11" t="s">
        <v>28</v>
      </c>
      <c r="J6686" s="11" t="s">
        <v>28</v>
      </c>
      <c r="K6686" s="11" t="s">
        <v>28</v>
      </c>
      <c r="L6686" s="11" t="s">
        <v>28</v>
      </c>
      <c r="M6686" s="11" t="s">
        <v>28</v>
      </c>
      <c r="N6686" s="8">
        <v>43748</v>
      </c>
      <c r="O6686" s="9" t="s">
        <v>173</v>
      </c>
      <c r="P6686" s="12" t="s">
        <v>28</v>
      </c>
      <c r="Q6686" s="9" t="s">
        <v>174</v>
      </c>
      <c r="R6686" s="14" t="str">
        <f>HYPERLINK("https://my.pitchbook.com?c=223969-42T","View Company Online")</f>
        <v>View Company Online</v>
      </c>
    </row>
    <row r="6687" spans="1:18" hidden="1" x14ac:dyDescent="0.3">
      <c r="A6687" s="15" t="s">
        <v>20149</v>
      </c>
      <c r="B6687" s="15" t="s">
        <v>20150</v>
      </c>
      <c r="C6687" s="18" t="s">
        <v>28</v>
      </c>
      <c r="D6687" s="15" t="s">
        <v>20151</v>
      </c>
      <c r="E6687" s="18" t="s">
        <v>28</v>
      </c>
      <c r="F6687" s="19" t="s">
        <v>28</v>
      </c>
      <c r="G6687" s="19" t="s">
        <v>28</v>
      </c>
      <c r="H6687" s="19" t="s">
        <v>28</v>
      </c>
      <c r="I6687" s="18" t="s">
        <v>28</v>
      </c>
      <c r="J6687" s="18" t="s">
        <v>28</v>
      </c>
      <c r="K6687" s="18" t="s">
        <v>28</v>
      </c>
      <c r="L6687" s="18" t="s">
        <v>28</v>
      </c>
      <c r="M6687" s="18" t="s">
        <v>28</v>
      </c>
      <c r="N6687" s="17">
        <v>43747</v>
      </c>
      <c r="O6687" s="15" t="s">
        <v>52</v>
      </c>
      <c r="P6687" s="16" t="s">
        <v>4500</v>
      </c>
      <c r="Q6687" s="15" t="s">
        <v>19855</v>
      </c>
      <c r="R6687" s="13" t="str">
        <f>HYPERLINK("https://my.pitchbook.com?c=268064-47T","View Company Online")</f>
        <v>View Company Online</v>
      </c>
    </row>
    <row r="6688" spans="1:18" hidden="1" x14ac:dyDescent="0.3">
      <c r="A6688" s="9" t="s">
        <v>20152</v>
      </c>
      <c r="B6688" s="9" t="s">
        <v>4207</v>
      </c>
      <c r="C6688" s="11" t="s">
        <v>28</v>
      </c>
      <c r="D6688" s="9" t="s">
        <v>4208</v>
      </c>
      <c r="E6688" s="11" t="s">
        <v>28</v>
      </c>
      <c r="F6688" s="10" t="s">
        <v>28</v>
      </c>
      <c r="G6688" s="10">
        <v>2.15</v>
      </c>
      <c r="H6688" s="10" t="s">
        <v>28</v>
      </c>
      <c r="I6688" s="11" t="s">
        <v>28</v>
      </c>
      <c r="J6688" s="11" t="s">
        <v>28</v>
      </c>
      <c r="K6688" s="11" t="s">
        <v>28</v>
      </c>
      <c r="L6688" s="11" t="s">
        <v>28</v>
      </c>
      <c r="M6688" s="11" t="s">
        <v>28</v>
      </c>
      <c r="N6688" s="8">
        <v>43747</v>
      </c>
      <c r="O6688" s="9" t="s">
        <v>73</v>
      </c>
      <c r="P6688" s="12" t="s">
        <v>20153</v>
      </c>
      <c r="Q6688" s="9" t="s">
        <v>43</v>
      </c>
      <c r="R6688" s="14" t="str">
        <f>HYPERLINK("https://my.pitchbook.com?c=130546-45T","View Company Online")</f>
        <v>View Company Online</v>
      </c>
    </row>
    <row r="6689" spans="1:18" hidden="1" x14ac:dyDescent="0.3">
      <c r="A6689" s="15" t="s">
        <v>20154</v>
      </c>
      <c r="B6689" s="15" t="s">
        <v>20155</v>
      </c>
      <c r="C6689" s="18" t="s">
        <v>28</v>
      </c>
      <c r="D6689" s="15" t="s">
        <v>20156</v>
      </c>
      <c r="E6689" s="18" t="s">
        <v>28</v>
      </c>
      <c r="F6689" s="19" t="s">
        <v>28</v>
      </c>
      <c r="G6689" s="19">
        <v>1.7</v>
      </c>
      <c r="H6689" s="19" t="s">
        <v>28</v>
      </c>
      <c r="I6689" s="18" t="s">
        <v>28</v>
      </c>
      <c r="J6689" s="18" t="s">
        <v>28</v>
      </c>
      <c r="K6689" s="18">
        <v>0.91</v>
      </c>
      <c r="L6689" s="18" t="s">
        <v>28</v>
      </c>
      <c r="M6689" s="18" t="s">
        <v>28</v>
      </c>
      <c r="N6689" s="17">
        <v>43747</v>
      </c>
      <c r="O6689" s="15" t="s">
        <v>73</v>
      </c>
      <c r="P6689" s="16" t="s">
        <v>20157</v>
      </c>
      <c r="Q6689" s="15" t="s">
        <v>136</v>
      </c>
      <c r="R6689" s="13" t="str">
        <f>HYPERLINK("https://my.pitchbook.com?c=129505-60T","View Company Online")</f>
        <v>View Company Online</v>
      </c>
    </row>
    <row r="6690" spans="1:18" hidden="1" x14ac:dyDescent="0.3">
      <c r="A6690" s="9" t="s">
        <v>20158</v>
      </c>
      <c r="B6690" s="9" t="s">
        <v>13913</v>
      </c>
      <c r="C6690" s="11" t="s">
        <v>28</v>
      </c>
      <c r="D6690" s="9" t="s">
        <v>13914</v>
      </c>
      <c r="E6690" s="11" t="s">
        <v>28</v>
      </c>
      <c r="F6690" s="10" t="s">
        <v>28</v>
      </c>
      <c r="G6690" s="10" t="s">
        <v>28</v>
      </c>
      <c r="H6690" s="10" t="s">
        <v>28</v>
      </c>
      <c r="I6690" s="11" t="s">
        <v>28</v>
      </c>
      <c r="J6690" s="11" t="s">
        <v>28</v>
      </c>
      <c r="K6690" s="11" t="s">
        <v>28</v>
      </c>
      <c r="L6690" s="11" t="s">
        <v>28</v>
      </c>
      <c r="M6690" s="11" t="s">
        <v>28</v>
      </c>
      <c r="N6690" s="8">
        <v>43747</v>
      </c>
      <c r="O6690" s="9" t="s">
        <v>99</v>
      </c>
      <c r="P6690" s="12" t="s">
        <v>20159</v>
      </c>
      <c r="Q6690" s="9" t="s">
        <v>75</v>
      </c>
      <c r="R6690" s="14" t="str">
        <f>HYPERLINK("https://my.pitchbook.com?c=124757-29T","View Company Online")</f>
        <v>View Company Online</v>
      </c>
    </row>
    <row r="6691" spans="1:18" hidden="1" x14ac:dyDescent="0.3">
      <c r="A6691" s="15" t="s">
        <v>20160</v>
      </c>
      <c r="B6691" s="15" t="s">
        <v>16176</v>
      </c>
      <c r="C6691" s="18" t="s">
        <v>28</v>
      </c>
      <c r="D6691" s="15" t="s">
        <v>16177</v>
      </c>
      <c r="E6691" s="18" t="s">
        <v>28</v>
      </c>
      <c r="F6691" s="19" t="s">
        <v>28</v>
      </c>
      <c r="G6691" s="19">
        <v>10</v>
      </c>
      <c r="H6691" s="19" t="s">
        <v>28</v>
      </c>
      <c r="I6691" s="18" t="s">
        <v>28</v>
      </c>
      <c r="J6691" s="18" t="s">
        <v>28</v>
      </c>
      <c r="K6691" s="18" t="s">
        <v>28</v>
      </c>
      <c r="L6691" s="18" t="s">
        <v>28</v>
      </c>
      <c r="M6691" s="18" t="s">
        <v>28</v>
      </c>
      <c r="N6691" s="17">
        <v>43747</v>
      </c>
      <c r="O6691" s="15" t="s">
        <v>73</v>
      </c>
      <c r="P6691" s="16" t="s">
        <v>20161</v>
      </c>
      <c r="Q6691" s="15" t="s">
        <v>37</v>
      </c>
      <c r="R6691" s="13" t="str">
        <f>HYPERLINK("https://my.pitchbook.com?c=127517-50T","View Company Online")</f>
        <v>View Company Online</v>
      </c>
    </row>
    <row r="6692" spans="1:18" hidden="1" x14ac:dyDescent="0.3">
      <c r="A6692" s="9" t="s">
        <v>20162</v>
      </c>
      <c r="B6692" s="9" t="s">
        <v>20163</v>
      </c>
      <c r="C6692" s="11" t="s">
        <v>28</v>
      </c>
      <c r="D6692" s="9" t="s">
        <v>20164</v>
      </c>
      <c r="E6692" s="11" t="s">
        <v>28</v>
      </c>
      <c r="F6692" s="10" t="s">
        <v>28</v>
      </c>
      <c r="G6692" s="10">
        <v>3.81</v>
      </c>
      <c r="H6692" s="10" t="s">
        <v>28</v>
      </c>
      <c r="I6692" s="11" t="s">
        <v>28</v>
      </c>
      <c r="J6692" s="11" t="s">
        <v>28</v>
      </c>
      <c r="K6692" s="11" t="s">
        <v>28</v>
      </c>
      <c r="L6692" s="11" t="s">
        <v>28</v>
      </c>
      <c r="M6692" s="11" t="s">
        <v>28</v>
      </c>
      <c r="N6692" s="8">
        <v>43746</v>
      </c>
      <c r="O6692" s="9" t="s">
        <v>79</v>
      </c>
      <c r="P6692" s="12" t="s">
        <v>3430</v>
      </c>
      <c r="Q6692" s="9" t="s">
        <v>880</v>
      </c>
      <c r="R6692" s="14" t="str">
        <f>HYPERLINK("https://my.pitchbook.com?c=212269-60T","View Company Online")</f>
        <v>View Company Online</v>
      </c>
    </row>
    <row r="6693" spans="1:18" hidden="1" x14ac:dyDescent="0.3">
      <c r="A6693" s="15" t="s">
        <v>20165</v>
      </c>
      <c r="B6693" s="15" t="s">
        <v>11637</v>
      </c>
      <c r="C6693" s="18" t="s">
        <v>28</v>
      </c>
      <c r="D6693" s="15" t="s">
        <v>11638</v>
      </c>
      <c r="E6693" s="18" t="s">
        <v>28</v>
      </c>
      <c r="F6693" s="19" t="s">
        <v>28</v>
      </c>
      <c r="G6693" s="19" t="s">
        <v>28</v>
      </c>
      <c r="H6693" s="19" t="s">
        <v>28</v>
      </c>
      <c r="I6693" s="18" t="s">
        <v>28</v>
      </c>
      <c r="J6693" s="18" t="s">
        <v>28</v>
      </c>
      <c r="K6693" s="18" t="s">
        <v>28</v>
      </c>
      <c r="L6693" s="18" t="s">
        <v>28</v>
      </c>
      <c r="M6693" s="18" t="s">
        <v>28</v>
      </c>
      <c r="N6693" s="17">
        <v>43745</v>
      </c>
      <c r="O6693" s="15" t="s">
        <v>52</v>
      </c>
      <c r="P6693" s="16" t="s">
        <v>1880</v>
      </c>
      <c r="Q6693" s="15" t="s">
        <v>75</v>
      </c>
      <c r="R6693" s="13" t="str">
        <f>HYPERLINK("https://my.pitchbook.com?c=126205-12T","View Company Online")</f>
        <v>View Company Online</v>
      </c>
    </row>
    <row r="6694" spans="1:18" hidden="1" x14ac:dyDescent="0.3">
      <c r="A6694" s="9" t="s">
        <v>20166</v>
      </c>
      <c r="B6694" s="9" t="s">
        <v>20167</v>
      </c>
      <c r="C6694" s="11" t="s">
        <v>28</v>
      </c>
      <c r="D6694" s="9" t="s">
        <v>20168</v>
      </c>
      <c r="E6694" s="11" t="s">
        <v>28</v>
      </c>
      <c r="F6694" s="10" t="s">
        <v>28</v>
      </c>
      <c r="G6694" s="10" t="s">
        <v>28</v>
      </c>
      <c r="H6694" s="10" t="s">
        <v>28</v>
      </c>
      <c r="I6694" s="11" t="s">
        <v>28</v>
      </c>
      <c r="J6694" s="11" t="s">
        <v>28</v>
      </c>
      <c r="K6694" s="11" t="s">
        <v>28</v>
      </c>
      <c r="L6694" s="11" t="s">
        <v>28</v>
      </c>
      <c r="M6694" s="11" t="s">
        <v>28</v>
      </c>
      <c r="N6694" s="8">
        <v>43745</v>
      </c>
      <c r="O6694" s="9" t="s">
        <v>52</v>
      </c>
      <c r="P6694" s="12" t="s">
        <v>1880</v>
      </c>
      <c r="Q6694" s="9" t="s">
        <v>263</v>
      </c>
      <c r="R6694" s="14" t="str">
        <f>HYPERLINK("https://my.pitchbook.com?c=126198-82T","View Company Online")</f>
        <v>View Company Online</v>
      </c>
    </row>
    <row r="6695" spans="1:18" hidden="1" x14ac:dyDescent="0.3">
      <c r="A6695" s="15" t="s">
        <v>20169</v>
      </c>
      <c r="B6695" s="15" t="s">
        <v>17758</v>
      </c>
      <c r="C6695" s="18" t="s">
        <v>28</v>
      </c>
      <c r="D6695" s="15" t="s">
        <v>17759</v>
      </c>
      <c r="E6695" s="18" t="s">
        <v>28</v>
      </c>
      <c r="F6695" s="19" t="s">
        <v>28</v>
      </c>
      <c r="G6695" s="19" t="s">
        <v>28</v>
      </c>
      <c r="H6695" s="19" t="s">
        <v>28</v>
      </c>
      <c r="I6695" s="18" t="s">
        <v>28</v>
      </c>
      <c r="J6695" s="18" t="s">
        <v>28</v>
      </c>
      <c r="K6695" s="18" t="s">
        <v>28</v>
      </c>
      <c r="L6695" s="18" t="s">
        <v>28</v>
      </c>
      <c r="M6695" s="18" t="s">
        <v>28</v>
      </c>
      <c r="N6695" s="17">
        <v>43745</v>
      </c>
      <c r="O6695" s="15" t="s">
        <v>52</v>
      </c>
      <c r="P6695" s="16" t="s">
        <v>20170</v>
      </c>
      <c r="Q6695" s="15" t="s">
        <v>566</v>
      </c>
      <c r="R6695" s="13" t="str">
        <f>HYPERLINK("https://my.pitchbook.com?c=126199-09T","View Company Online")</f>
        <v>View Company Online</v>
      </c>
    </row>
    <row r="6696" spans="1:18" hidden="1" x14ac:dyDescent="0.3">
      <c r="A6696" s="9" t="s">
        <v>20171</v>
      </c>
      <c r="B6696" s="9" t="s">
        <v>18152</v>
      </c>
      <c r="C6696" s="11" t="s">
        <v>28</v>
      </c>
      <c r="D6696" s="9" t="s">
        <v>18153</v>
      </c>
      <c r="E6696" s="11" t="s">
        <v>28</v>
      </c>
      <c r="F6696" s="10" t="s">
        <v>28</v>
      </c>
      <c r="G6696" s="10" t="s">
        <v>28</v>
      </c>
      <c r="H6696" s="10" t="s">
        <v>28</v>
      </c>
      <c r="I6696" s="11" t="s">
        <v>28</v>
      </c>
      <c r="J6696" s="11" t="s">
        <v>28</v>
      </c>
      <c r="K6696" s="11" t="s">
        <v>28</v>
      </c>
      <c r="L6696" s="11" t="s">
        <v>28</v>
      </c>
      <c r="M6696" s="11" t="s">
        <v>28</v>
      </c>
      <c r="N6696" s="8">
        <v>43745</v>
      </c>
      <c r="O6696" s="9" t="s">
        <v>52</v>
      </c>
      <c r="P6696" s="12" t="s">
        <v>1880</v>
      </c>
      <c r="Q6696" s="9" t="s">
        <v>95</v>
      </c>
      <c r="R6696" s="14" t="str">
        <f>HYPERLINK("https://my.pitchbook.com?c=126195-67T","View Company Online")</f>
        <v>View Company Online</v>
      </c>
    </row>
    <row r="6697" spans="1:18" hidden="1" x14ac:dyDescent="0.3">
      <c r="A6697" s="15" t="s">
        <v>20172</v>
      </c>
      <c r="B6697" s="15" t="s">
        <v>15154</v>
      </c>
      <c r="C6697" s="18" t="s">
        <v>28</v>
      </c>
      <c r="D6697" s="15" t="s">
        <v>15155</v>
      </c>
      <c r="E6697" s="18" t="s">
        <v>28</v>
      </c>
      <c r="F6697" s="19" t="s">
        <v>28</v>
      </c>
      <c r="G6697" s="19">
        <v>34</v>
      </c>
      <c r="H6697" s="19" t="s">
        <v>28</v>
      </c>
      <c r="I6697" s="18" t="s">
        <v>28</v>
      </c>
      <c r="J6697" s="18" t="s">
        <v>28</v>
      </c>
      <c r="K6697" s="18" t="s">
        <v>28</v>
      </c>
      <c r="L6697" s="18" t="s">
        <v>28</v>
      </c>
      <c r="M6697" s="18" t="s">
        <v>28</v>
      </c>
      <c r="N6697" s="17">
        <v>43742</v>
      </c>
      <c r="O6697" s="15" t="s">
        <v>73</v>
      </c>
      <c r="P6697" s="16" t="s">
        <v>20173</v>
      </c>
      <c r="Q6697" s="15" t="s">
        <v>85</v>
      </c>
      <c r="R6697" s="13" t="str">
        <f>HYPERLINK("https://my.pitchbook.com?c=124790-41T","View Company Online")</f>
        <v>View Company Online</v>
      </c>
    </row>
    <row r="6698" spans="1:18" hidden="1" x14ac:dyDescent="0.3">
      <c r="A6698" s="9" t="s">
        <v>20174</v>
      </c>
      <c r="B6698" s="9" t="s">
        <v>20175</v>
      </c>
      <c r="C6698" s="11" t="s">
        <v>28</v>
      </c>
      <c r="D6698" s="9" t="s">
        <v>20176</v>
      </c>
      <c r="E6698" s="11" t="s">
        <v>28</v>
      </c>
      <c r="F6698" s="10" t="s">
        <v>28</v>
      </c>
      <c r="G6698" s="10" t="s">
        <v>28</v>
      </c>
      <c r="H6698" s="10" t="s">
        <v>28</v>
      </c>
      <c r="I6698" s="11" t="s">
        <v>28</v>
      </c>
      <c r="J6698" s="11" t="s">
        <v>28</v>
      </c>
      <c r="K6698" s="11">
        <v>3.01</v>
      </c>
      <c r="L6698" s="11" t="s">
        <v>28</v>
      </c>
      <c r="M6698" s="11">
        <v>2.77</v>
      </c>
      <c r="N6698" s="8">
        <v>43742</v>
      </c>
      <c r="O6698" s="9" t="s">
        <v>173</v>
      </c>
      <c r="P6698" s="12" t="s">
        <v>28</v>
      </c>
      <c r="Q6698" s="9" t="s">
        <v>240</v>
      </c>
      <c r="R6698" s="14" t="str">
        <f>HYPERLINK("https://my.pitchbook.com?c=224368-66T","View Company Online")</f>
        <v>View Company Online</v>
      </c>
    </row>
    <row r="6699" spans="1:18" hidden="1" x14ac:dyDescent="0.3">
      <c r="A6699" s="15" t="s">
        <v>20177</v>
      </c>
      <c r="B6699" s="15" t="s">
        <v>10224</v>
      </c>
      <c r="C6699" s="18" t="s">
        <v>28</v>
      </c>
      <c r="D6699" s="15" t="s">
        <v>10225</v>
      </c>
      <c r="E6699" s="18" t="s">
        <v>28</v>
      </c>
      <c r="F6699" s="19" t="s">
        <v>28</v>
      </c>
      <c r="G6699" s="19">
        <v>0.61</v>
      </c>
      <c r="H6699" s="19" t="s">
        <v>28</v>
      </c>
      <c r="I6699" s="18" t="s">
        <v>28</v>
      </c>
      <c r="J6699" s="18" t="s">
        <v>28</v>
      </c>
      <c r="K6699" s="18" t="s">
        <v>28</v>
      </c>
      <c r="L6699" s="18" t="s">
        <v>28</v>
      </c>
      <c r="M6699" s="18" t="s">
        <v>28</v>
      </c>
      <c r="N6699" s="17">
        <v>43741</v>
      </c>
      <c r="O6699" s="15" t="s">
        <v>73</v>
      </c>
      <c r="P6699" s="16" t="s">
        <v>20178</v>
      </c>
      <c r="Q6699" s="15" t="s">
        <v>37</v>
      </c>
      <c r="R6699" s="13" t="str">
        <f>HYPERLINK("https://my.pitchbook.com?c=128804-68T","View Company Online")</f>
        <v>View Company Online</v>
      </c>
    </row>
    <row r="6700" spans="1:18" hidden="1" x14ac:dyDescent="0.3">
      <c r="A6700" s="9" t="s">
        <v>20179</v>
      </c>
      <c r="B6700" s="9" t="s">
        <v>20180</v>
      </c>
      <c r="C6700" s="11" t="s">
        <v>28</v>
      </c>
      <c r="D6700" s="9" t="s">
        <v>20181</v>
      </c>
      <c r="E6700" s="11" t="s">
        <v>28</v>
      </c>
      <c r="F6700" s="10" t="s">
        <v>28</v>
      </c>
      <c r="G6700" s="10" t="s">
        <v>28</v>
      </c>
      <c r="H6700" s="10" t="s">
        <v>28</v>
      </c>
      <c r="I6700" s="11" t="s">
        <v>28</v>
      </c>
      <c r="J6700" s="11" t="s">
        <v>28</v>
      </c>
      <c r="K6700" s="11" t="s">
        <v>28</v>
      </c>
      <c r="L6700" s="11" t="s">
        <v>28</v>
      </c>
      <c r="M6700" s="11" t="s">
        <v>28</v>
      </c>
      <c r="N6700" s="8">
        <v>43741</v>
      </c>
      <c r="O6700" s="9" t="s">
        <v>30</v>
      </c>
      <c r="P6700" s="12" t="s">
        <v>20182</v>
      </c>
      <c r="Q6700" s="9" t="s">
        <v>136</v>
      </c>
      <c r="R6700" s="14" t="str">
        <f>HYPERLINK("https://my.pitchbook.com?c=226577-26T","View Company Online")</f>
        <v>View Company Online</v>
      </c>
    </row>
    <row r="6701" spans="1:18" hidden="1" x14ac:dyDescent="0.3">
      <c r="A6701" s="15" t="s">
        <v>20183</v>
      </c>
      <c r="B6701" s="15" t="s">
        <v>11298</v>
      </c>
      <c r="C6701" s="18" t="s">
        <v>28</v>
      </c>
      <c r="D6701" s="15" t="s">
        <v>11299</v>
      </c>
      <c r="E6701" s="18" t="s">
        <v>28</v>
      </c>
      <c r="F6701" s="19" t="s">
        <v>28</v>
      </c>
      <c r="G6701" s="19">
        <v>0.32</v>
      </c>
      <c r="H6701" s="19" t="s">
        <v>28</v>
      </c>
      <c r="I6701" s="18" t="s">
        <v>28</v>
      </c>
      <c r="J6701" s="18" t="s">
        <v>28</v>
      </c>
      <c r="K6701" s="18" t="s">
        <v>28</v>
      </c>
      <c r="L6701" s="18" t="s">
        <v>28</v>
      </c>
      <c r="M6701" s="18" t="s">
        <v>28</v>
      </c>
      <c r="N6701" s="17">
        <v>43740</v>
      </c>
      <c r="O6701" s="15" t="s">
        <v>79</v>
      </c>
      <c r="P6701" s="16" t="s">
        <v>20184</v>
      </c>
      <c r="Q6701" s="15" t="s">
        <v>249</v>
      </c>
      <c r="R6701" s="13" t="str">
        <f>HYPERLINK("https://my.pitchbook.com?c=130758-13T","View Company Online")</f>
        <v>View Company Online</v>
      </c>
    </row>
    <row r="6702" spans="1:18" hidden="1" x14ac:dyDescent="0.3">
      <c r="A6702" s="9" t="s">
        <v>20185</v>
      </c>
      <c r="B6702" s="9" t="s">
        <v>20186</v>
      </c>
      <c r="C6702" s="11" t="s">
        <v>28</v>
      </c>
      <c r="D6702" s="9" t="s">
        <v>20187</v>
      </c>
      <c r="E6702" s="11" t="s">
        <v>28</v>
      </c>
      <c r="F6702" s="10" t="s">
        <v>28</v>
      </c>
      <c r="G6702" s="10" t="s">
        <v>28</v>
      </c>
      <c r="H6702" s="10" t="s">
        <v>28</v>
      </c>
      <c r="I6702" s="11" t="s">
        <v>28</v>
      </c>
      <c r="J6702" s="11" t="s">
        <v>28</v>
      </c>
      <c r="K6702" s="11" t="s">
        <v>28</v>
      </c>
      <c r="L6702" s="11" t="s">
        <v>28</v>
      </c>
      <c r="M6702" s="11" t="s">
        <v>28</v>
      </c>
      <c r="N6702" s="8">
        <v>43740</v>
      </c>
      <c r="O6702" s="9" t="s">
        <v>99</v>
      </c>
      <c r="P6702" s="12" t="s">
        <v>18538</v>
      </c>
      <c r="Q6702" s="9" t="s">
        <v>75</v>
      </c>
      <c r="R6702" s="14" t="str">
        <f>HYPERLINK("https://my.pitchbook.com?c=120131-20T","View Company Online")</f>
        <v>View Company Online</v>
      </c>
    </row>
    <row r="6703" spans="1:18" hidden="1" x14ac:dyDescent="0.3">
      <c r="A6703" s="15" t="s">
        <v>20188</v>
      </c>
      <c r="B6703" s="15" t="s">
        <v>20189</v>
      </c>
      <c r="C6703" s="18" t="s">
        <v>28</v>
      </c>
      <c r="D6703" s="15" t="s">
        <v>20190</v>
      </c>
      <c r="E6703" s="18" t="s">
        <v>28</v>
      </c>
      <c r="F6703" s="19" t="s">
        <v>28</v>
      </c>
      <c r="G6703" s="19" t="s">
        <v>28</v>
      </c>
      <c r="H6703" s="19" t="s">
        <v>28</v>
      </c>
      <c r="I6703" s="18" t="s">
        <v>28</v>
      </c>
      <c r="J6703" s="18" t="s">
        <v>28</v>
      </c>
      <c r="K6703" s="18" t="s">
        <v>28</v>
      </c>
      <c r="L6703" s="18" t="s">
        <v>28</v>
      </c>
      <c r="M6703" s="18" t="s">
        <v>28</v>
      </c>
      <c r="N6703" s="17">
        <v>43740</v>
      </c>
      <c r="O6703" s="15" t="s">
        <v>79</v>
      </c>
      <c r="P6703" s="16" t="s">
        <v>20191</v>
      </c>
      <c r="Q6703" s="15" t="s">
        <v>8669</v>
      </c>
      <c r="R6703" s="13" t="str">
        <f>HYPERLINK("https://my.pitchbook.com?c=124884-01T","View Company Online")</f>
        <v>View Company Online</v>
      </c>
    </row>
    <row r="6704" spans="1:18" hidden="1" x14ac:dyDescent="0.3">
      <c r="A6704" s="9" t="s">
        <v>20192</v>
      </c>
      <c r="B6704" s="9" t="s">
        <v>16901</v>
      </c>
      <c r="C6704" s="11" t="s">
        <v>28</v>
      </c>
      <c r="D6704" s="9" t="s">
        <v>16902</v>
      </c>
      <c r="E6704" s="11" t="s">
        <v>28</v>
      </c>
      <c r="F6704" s="10" t="s">
        <v>28</v>
      </c>
      <c r="G6704" s="10" t="s">
        <v>28</v>
      </c>
      <c r="H6704" s="10" t="s">
        <v>28</v>
      </c>
      <c r="I6704" s="11" t="s">
        <v>28</v>
      </c>
      <c r="J6704" s="11" t="s">
        <v>28</v>
      </c>
      <c r="K6704" s="11" t="s">
        <v>28</v>
      </c>
      <c r="L6704" s="11" t="s">
        <v>28</v>
      </c>
      <c r="M6704" s="11" t="s">
        <v>28</v>
      </c>
      <c r="N6704" s="8">
        <v>43740</v>
      </c>
      <c r="O6704" s="9" t="s">
        <v>52</v>
      </c>
      <c r="P6704" s="12" t="s">
        <v>16928</v>
      </c>
      <c r="Q6704" s="9" t="s">
        <v>386</v>
      </c>
      <c r="R6704" s="14" t="str">
        <f>HYPERLINK("https://my.pitchbook.com?c=284441-59T","View Company Online")</f>
        <v>View Company Online</v>
      </c>
    </row>
    <row r="6705" spans="1:18" hidden="1" x14ac:dyDescent="0.3">
      <c r="A6705" s="15" t="s">
        <v>20193</v>
      </c>
      <c r="B6705" s="15" t="s">
        <v>20194</v>
      </c>
      <c r="C6705" s="18" t="s">
        <v>28</v>
      </c>
      <c r="D6705" s="15" t="s">
        <v>20195</v>
      </c>
      <c r="E6705" s="18" t="s">
        <v>28</v>
      </c>
      <c r="F6705" s="19" t="s">
        <v>28</v>
      </c>
      <c r="G6705" s="19" t="s">
        <v>28</v>
      </c>
      <c r="H6705" s="19" t="s">
        <v>28</v>
      </c>
      <c r="I6705" s="18" t="s">
        <v>28</v>
      </c>
      <c r="J6705" s="18" t="s">
        <v>28</v>
      </c>
      <c r="K6705" s="18" t="s">
        <v>28</v>
      </c>
      <c r="L6705" s="18" t="s">
        <v>28</v>
      </c>
      <c r="M6705" s="18" t="s">
        <v>28</v>
      </c>
      <c r="N6705" s="17">
        <v>43740</v>
      </c>
      <c r="O6705" s="15" t="s">
        <v>30</v>
      </c>
      <c r="P6705" s="16" t="s">
        <v>4827</v>
      </c>
      <c r="Q6705" s="15" t="s">
        <v>10313</v>
      </c>
      <c r="R6705" s="13" t="str">
        <f>HYPERLINK("https://my.pitchbook.com?c=127318-60T","View Company Online")</f>
        <v>View Company Online</v>
      </c>
    </row>
    <row r="6706" spans="1:18" hidden="1" x14ac:dyDescent="0.3">
      <c r="A6706" s="9" t="s">
        <v>20196</v>
      </c>
      <c r="B6706" s="9" t="s">
        <v>11369</v>
      </c>
      <c r="C6706" s="11" t="s">
        <v>28</v>
      </c>
      <c r="D6706" s="9" t="s">
        <v>11370</v>
      </c>
      <c r="E6706" s="11" t="s">
        <v>28</v>
      </c>
      <c r="F6706" s="10" t="s">
        <v>28</v>
      </c>
      <c r="G6706" s="10" t="s">
        <v>28</v>
      </c>
      <c r="H6706" s="10" t="s">
        <v>28</v>
      </c>
      <c r="I6706" s="11" t="s">
        <v>28</v>
      </c>
      <c r="J6706" s="11" t="s">
        <v>28</v>
      </c>
      <c r="K6706" s="11" t="s">
        <v>28</v>
      </c>
      <c r="L6706" s="11" t="s">
        <v>28</v>
      </c>
      <c r="M6706" s="11" t="s">
        <v>28</v>
      </c>
      <c r="N6706" s="8">
        <v>43739</v>
      </c>
      <c r="O6706" s="9" t="s">
        <v>99</v>
      </c>
      <c r="P6706" s="12" t="s">
        <v>611</v>
      </c>
      <c r="Q6706" s="9" t="s">
        <v>75</v>
      </c>
      <c r="R6706" s="14" t="str">
        <f>HYPERLINK("https://my.pitchbook.com?c=124723-54T","View Company Online")</f>
        <v>View Company Online</v>
      </c>
    </row>
    <row r="6707" spans="1:18" hidden="1" x14ac:dyDescent="0.3">
      <c r="A6707" s="15" t="s">
        <v>20197</v>
      </c>
      <c r="B6707" s="15" t="s">
        <v>20198</v>
      </c>
      <c r="C6707" s="18" t="s">
        <v>28</v>
      </c>
      <c r="D6707" s="15" t="s">
        <v>20199</v>
      </c>
      <c r="E6707" s="18" t="s">
        <v>28</v>
      </c>
      <c r="F6707" s="19" t="s">
        <v>28</v>
      </c>
      <c r="G6707" s="19">
        <v>20</v>
      </c>
      <c r="H6707" s="19">
        <v>40.82</v>
      </c>
      <c r="I6707" s="18" t="s">
        <v>28</v>
      </c>
      <c r="J6707" s="18" t="s">
        <v>28</v>
      </c>
      <c r="K6707" s="18" t="s">
        <v>28</v>
      </c>
      <c r="L6707" s="18" t="s">
        <v>28</v>
      </c>
      <c r="M6707" s="18" t="s">
        <v>28</v>
      </c>
      <c r="N6707" s="17">
        <v>43739</v>
      </c>
      <c r="O6707" s="15" t="s">
        <v>79</v>
      </c>
      <c r="P6707" s="16" t="s">
        <v>20200</v>
      </c>
      <c r="Q6707" s="15" t="s">
        <v>37</v>
      </c>
      <c r="R6707" s="13" t="str">
        <f>HYPERLINK("https://my.pitchbook.com?c=126517-51T","View Company Online")</f>
        <v>View Company Online</v>
      </c>
    </row>
    <row r="6708" spans="1:18" hidden="1" x14ac:dyDescent="0.3">
      <c r="A6708" s="9" t="s">
        <v>20201</v>
      </c>
      <c r="B6708" s="9" t="s">
        <v>20202</v>
      </c>
      <c r="C6708" s="11" t="s">
        <v>28</v>
      </c>
      <c r="D6708" s="9" t="s">
        <v>20203</v>
      </c>
      <c r="E6708" s="11" t="s">
        <v>28</v>
      </c>
      <c r="F6708" s="10" t="s">
        <v>28</v>
      </c>
      <c r="G6708" s="10" t="s">
        <v>28</v>
      </c>
      <c r="H6708" s="10" t="s">
        <v>28</v>
      </c>
      <c r="I6708" s="11" t="s">
        <v>28</v>
      </c>
      <c r="J6708" s="11" t="s">
        <v>28</v>
      </c>
      <c r="K6708" s="11" t="s">
        <v>28</v>
      </c>
      <c r="L6708" s="11" t="s">
        <v>28</v>
      </c>
      <c r="M6708" s="11" t="s">
        <v>28</v>
      </c>
      <c r="N6708" s="8">
        <v>43739</v>
      </c>
      <c r="O6708" s="9" t="s">
        <v>79</v>
      </c>
      <c r="P6708" s="12" t="s">
        <v>611</v>
      </c>
      <c r="Q6708" s="9" t="s">
        <v>95</v>
      </c>
      <c r="R6708" s="14" t="str">
        <f>HYPERLINK("https://my.pitchbook.com?c=191923-21T","View Company Online")</f>
        <v>View Company Online</v>
      </c>
    </row>
    <row r="6709" spans="1:18" hidden="1" x14ac:dyDescent="0.3">
      <c r="A6709" s="15" t="s">
        <v>20204</v>
      </c>
      <c r="B6709" s="15" t="s">
        <v>13653</v>
      </c>
      <c r="C6709" s="18" t="s">
        <v>28</v>
      </c>
      <c r="D6709" s="15" t="s">
        <v>13654</v>
      </c>
      <c r="E6709" s="18" t="s">
        <v>28</v>
      </c>
      <c r="F6709" s="19" t="s">
        <v>28</v>
      </c>
      <c r="G6709" s="19">
        <v>0.05</v>
      </c>
      <c r="H6709" s="19" t="s">
        <v>28</v>
      </c>
      <c r="I6709" s="18" t="s">
        <v>28</v>
      </c>
      <c r="J6709" s="18" t="s">
        <v>28</v>
      </c>
      <c r="K6709" s="18" t="s">
        <v>28</v>
      </c>
      <c r="L6709" s="18" t="s">
        <v>28</v>
      </c>
      <c r="M6709" s="18" t="s">
        <v>28</v>
      </c>
      <c r="N6709" s="17">
        <v>43739</v>
      </c>
      <c r="O6709" s="15" t="s">
        <v>379</v>
      </c>
      <c r="P6709" s="16" t="s">
        <v>28</v>
      </c>
      <c r="Q6709" s="15" t="s">
        <v>740</v>
      </c>
      <c r="R6709" s="13" t="str">
        <f>HYPERLINK("https://my.pitchbook.com?c=192598-57T","View Company Online")</f>
        <v>View Company Online</v>
      </c>
    </row>
    <row r="6710" spans="1:18" hidden="1" x14ac:dyDescent="0.3">
      <c r="A6710" s="9" t="s">
        <v>20205</v>
      </c>
      <c r="B6710" s="9" t="s">
        <v>20206</v>
      </c>
      <c r="C6710" s="11" t="s">
        <v>28</v>
      </c>
      <c r="D6710" s="9" t="s">
        <v>20207</v>
      </c>
      <c r="E6710" s="11" t="s">
        <v>28</v>
      </c>
      <c r="F6710" s="10" t="s">
        <v>28</v>
      </c>
      <c r="G6710" s="10" t="s">
        <v>28</v>
      </c>
      <c r="H6710" s="10" t="s">
        <v>28</v>
      </c>
      <c r="I6710" s="11" t="s">
        <v>28</v>
      </c>
      <c r="J6710" s="11" t="s">
        <v>28</v>
      </c>
      <c r="K6710" s="11" t="s">
        <v>28</v>
      </c>
      <c r="L6710" s="11" t="s">
        <v>28</v>
      </c>
      <c r="M6710" s="11" t="s">
        <v>28</v>
      </c>
      <c r="N6710" s="8">
        <v>43739</v>
      </c>
      <c r="O6710" s="9" t="s">
        <v>30</v>
      </c>
      <c r="P6710" s="12" t="s">
        <v>14833</v>
      </c>
      <c r="Q6710" s="9" t="s">
        <v>95</v>
      </c>
      <c r="R6710" s="14" t="str">
        <f>HYPERLINK("https://my.pitchbook.com?c=160677-73T","View Company Online")</f>
        <v>View Company Online</v>
      </c>
    </row>
    <row r="6711" spans="1:18" hidden="1" x14ac:dyDescent="0.3">
      <c r="A6711" s="15" t="s">
        <v>20208</v>
      </c>
      <c r="B6711" s="15" t="s">
        <v>20209</v>
      </c>
      <c r="C6711" s="18" t="s">
        <v>28</v>
      </c>
      <c r="D6711" s="15" t="s">
        <v>20210</v>
      </c>
      <c r="E6711" s="18" t="s">
        <v>28</v>
      </c>
      <c r="F6711" s="19" t="s">
        <v>28</v>
      </c>
      <c r="G6711" s="19">
        <v>0.19</v>
      </c>
      <c r="H6711" s="19" t="s">
        <v>28</v>
      </c>
      <c r="I6711" s="18" t="s">
        <v>28</v>
      </c>
      <c r="J6711" s="18" t="s">
        <v>28</v>
      </c>
      <c r="K6711" s="18" t="s">
        <v>28</v>
      </c>
      <c r="L6711" s="18" t="s">
        <v>28</v>
      </c>
      <c r="M6711" s="18" t="s">
        <v>28</v>
      </c>
      <c r="N6711" s="17">
        <v>43739</v>
      </c>
      <c r="O6711" s="15" t="s">
        <v>99</v>
      </c>
      <c r="P6711" s="16" t="s">
        <v>11017</v>
      </c>
      <c r="Q6711" s="15" t="s">
        <v>114</v>
      </c>
      <c r="R6711" s="13" t="str">
        <f>HYPERLINK("https://my.pitchbook.com?c=122964-67T","View Company Online")</f>
        <v>View Company Online</v>
      </c>
    </row>
    <row r="6712" spans="1:18" hidden="1" x14ac:dyDescent="0.3">
      <c r="A6712" s="9" t="s">
        <v>20211</v>
      </c>
      <c r="B6712" s="9" t="s">
        <v>206</v>
      </c>
      <c r="C6712" s="11" t="s">
        <v>28</v>
      </c>
      <c r="D6712" s="9" t="s">
        <v>207</v>
      </c>
      <c r="E6712" s="11" t="s">
        <v>28</v>
      </c>
      <c r="F6712" s="10" t="s">
        <v>28</v>
      </c>
      <c r="G6712" s="10">
        <v>30</v>
      </c>
      <c r="H6712" s="10" t="s">
        <v>28</v>
      </c>
      <c r="I6712" s="11" t="s">
        <v>28</v>
      </c>
      <c r="J6712" s="11" t="s">
        <v>28</v>
      </c>
      <c r="K6712" s="11" t="s">
        <v>28</v>
      </c>
      <c r="L6712" s="11" t="s">
        <v>28</v>
      </c>
      <c r="M6712" s="11" t="s">
        <v>28</v>
      </c>
      <c r="N6712" s="8">
        <v>43739</v>
      </c>
      <c r="O6712" s="9" t="s">
        <v>73</v>
      </c>
      <c r="P6712" s="12" t="s">
        <v>20212</v>
      </c>
      <c r="Q6712" s="9" t="s">
        <v>85</v>
      </c>
      <c r="R6712" s="14" t="str">
        <f>HYPERLINK("https://my.pitchbook.com?c=125963-11T","View Company Online")</f>
        <v>View Company Online</v>
      </c>
    </row>
    <row r="6713" spans="1:18" hidden="1" x14ac:dyDescent="0.3">
      <c r="A6713" s="15" t="s">
        <v>20213</v>
      </c>
      <c r="B6713" s="15" t="s">
        <v>20214</v>
      </c>
      <c r="C6713" s="18" t="s">
        <v>28</v>
      </c>
      <c r="D6713" s="15" t="s">
        <v>20215</v>
      </c>
      <c r="E6713" s="18" t="s">
        <v>28</v>
      </c>
      <c r="F6713" s="19" t="s">
        <v>28</v>
      </c>
      <c r="G6713" s="19" t="s">
        <v>28</v>
      </c>
      <c r="H6713" s="19" t="s">
        <v>28</v>
      </c>
      <c r="I6713" s="18" t="s">
        <v>28</v>
      </c>
      <c r="J6713" s="18" t="s">
        <v>28</v>
      </c>
      <c r="K6713" s="18" t="s">
        <v>28</v>
      </c>
      <c r="L6713" s="18" t="s">
        <v>28</v>
      </c>
      <c r="M6713" s="18" t="s">
        <v>28</v>
      </c>
      <c r="N6713" s="17">
        <v>43739</v>
      </c>
      <c r="O6713" s="15" t="s">
        <v>30</v>
      </c>
      <c r="P6713" s="16" t="s">
        <v>28</v>
      </c>
      <c r="Q6713" s="15" t="s">
        <v>2988</v>
      </c>
      <c r="R6713" s="13" t="str">
        <f>HYPERLINK("https://my.pitchbook.com?c=170493-49T","View Company Online")</f>
        <v>View Company Online</v>
      </c>
    </row>
    <row r="6714" spans="1:18" hidden="1" x14ac:dyDescent="0.3">
      <c r="A6714" s="9" t="s">
        <v>20216</v>
      </c>
      <c r="B6714" s="9" t="s">
        <v>20217</v>
      </c>
      <c r="C6714" s="11" t="s">
        <v>28</v>
      </c>
      <c r="D6714" s="9" t="s">
        <v>20218</v>
      </c>
      <c r="E6714" s="11" t="s">
        <v>28</v>
      </c>
      <c r="F6714" s="10" t="s">
        <v>28</v>
      </c>
      <c r="G6714" s="10" t="s">
        <v>28</v>
      </c>
      <c r="H6714" s="10" t="s">
        <v>28</v>
      </c>
      <c r="I6714" s="11" t="s">
        <v>28</v>
      </c>
      <c r="J6714" s="11" t="s">
        <v>28</v>
      </c>
      <c r="K6714" s="11" t="s">
        <v>28</v>
      </c>
      <c r="L6714" s="11" t="s">
        <v>28</v>
      </c>
      <c r="M6714" s="11" t="s">
        <v>28</v>
      </c>
      <c r="N6714" s="8">
        <v>43739</v>
      </c>
      <c r="O6714" s="9" t="s">
        <v>30</v>
      </c>
      <c r="P6714" s="12" t="s">
        <v>20219</v>
      </c>
      <c r="Q6714" s="9" t="s">
        <v>95</v>
      </c>
      <c r="R6714" s="14" t="str">
        <f>HYPERLINK("https://my.pitchbook.com?c=134594-92T","View Company Online")</f>
        <v>View Company Online</v>
      </c>
    </row>
    <row r="6715" spans="1:18" hidden="1" x14ac:dyDescent="0.3">
      <c r="A6715" s="15" t="s">
        <v>20220</v>
      </c>
      <c r="B6715" s="15" t="s">
        <v>7282</v>
      </c>
      <c r="C6715" s="18" t="s">
        <v>28</v>
      </c>
      <c r="D6715" s="15" t="s">
        <v>7283</v>
      </c>
      <c r="E6715" s="18" t="s">
        <v>28</v>
      </c>
      <c r="F6715" s="19" t="s">
        <v>28</v>
      </c>
      <c r="G6715" s="19" t="s">
        <v>28</v>
      </c>
      <c r="H6715" s="19" t="s">
        <v>28</v>
      </c>
      <c r="I6715" s="18" t="s">
        <v>28</v>
      </c>
      <c r="J6715" s="18" t="s">
        <v>28</v>
      </c>
      <c r="K6715" s="18" t="s">
        <v>28</v>
      </c>
      <c r="L6715" s="18" t="s">
        <v>28</v>
      </c>
      <c r="M6715" s="18" t="s">
        <v>28</v>
      </c>
      <c r="N6715" s="17">
        <v>43739</v>
      </c>
      <c r="O6715" s="15" t="s">
        <v>93</v>
      </c>
      <c r="P6715" s="16" t="s">
        <v>20221</v>
      </c>
      <c r="Q6715" s="15" t="s">
        <v>1144</v>
      </c>
      <c r="R6715" s="13" t="str">
        <f>HYPERLINK("https://my.pitchbook.com?c=124167-79T","View Company Online")</f>
        <v>View Company Online</v>
      </c>
    </row>
    <row r="6716" spans="1:18" hidden="1" x14ac:dyDescent="0.3">
      <c r="A6716" s="9" t="s">
        <v>20222</v>
      </c>
      <c r="B6716" s="9" t="s">
        <v>20223</v>
      </c>
      <c r="C6716" s="11" t="s">
        <v>28</v>
      </c>
      <c r="D6716" s="9" t="s">
        <v>20224</v>
      </c>
      <c r="E6716" s="11" t="s">
        <v>28</v>
      </c>
      <c r="F6716" s="10" t="s">
        <v>28</v>
      </c>
      <c r="G6716" s="10" t="s">
        <v>28</v>
      </c>
      <c r="H6716" s="10" t="s">
        <v>28</v>
      </c>
      <c r="I6716" s="11" t="s">
        <v>28</v>
      </c>
      <c r="J6716" s="11" t="s">
        <v>28</v>
      </c>
      <c r="K6716" s="11" t="s">
        <v>28</v>
      </c>
      <c r="L6716" s="11" t="s">
        <v>28</v>
      </c>
      <c r="M6716" s="11" t="s">
        <v>28</v>
      </c>
      <c r="N6716" s="8">
        <v>43739</v>
      </c>
      <c r="O6716" s="9" t="s">
        <v>73</v>
      </c>
      <c r="P6716" s="12" t="s">
        <v>20225</v>
      </c>
      <c r="Q6716" s="9" t="s">
        <v>75</v>
      </c>
      <c r="R6716" s="14" t="str">
        <f>HYPERLINK("https://my.pitchbook.com?c=124167-07T","View Company Online")</f>
        <v>View Company Online</v>
      </c>
    </row>
    <row r="6717" spans="1:18" hidden="1" x14ac:dyDescent="0.3">
      <c r="A6717" s="15" t="s">
        <v>20226</v>
      </c>
      <c r="B6717" s="15" t="s">
        <v>11867</v>
      </c>
      <c r="C6717" s="18" t="s">
        <v>28</v>
      </c>
      <c r="D6717" s="15" t="s">
        <v>11868</v>
      </c>
      <c r="E6717" s="18" t="s">
        <v>28</v>
      </c>
      <c r="F6717" s="19" t="s">
        <v>28</v>
      </c>
      <c r="G6717" s="19">
        <v>0.36</v>
      </c>
      <c r="H6717" s="19">
        <v>2.5</v>
      </c>
      <c r="I6717" s="18" t="s">
        <v>28</v>
      </c>
      <c r="J6717" s="18" t="s">
        <v>28</v>
      </c>
      <c r="K6717" s="18" t="s">
        <v>28</v>
      </c>
      <c r="L6717" s="18" t="s">
        <v>28</v>
      </c>
      <c r="M6717" s="18" t="s">
        <v>28</v>
      </c>
      <c r="N6717" s="17">
        <v>43739</v>
      </c>
      <c r="O6717" s="15" t="s">
        <v>99</v>
      </c>
      <c r="P6717" s="16" t="s">
        <v>28</v>
      </c>
      <c r="Q6717" s="15" t="s">
        <v>404</v>
      </c>
      <c r="R6717" s="13" t="str">
        <f>HYPERLINK("https://my.pitchbook.com?c=226372-51T","View Company Online")</f>
        <v>View Company Online</v>
      </c>
    </row>
    <row r="6718" spans="1:18" hidden="1" x14ac:dyDescent="0.3">
      <c r="A6718" s="9" t="s">
        <v>20227</v>
      </c>
      <c r="B6718" s="9" t="s">
        <v>20228</v>
      </c>
      <c r="C6718" s="11" t="s">
        <v>28</v>
      </c>
      <c r="D6718" s="9" t="s">
        <v>20229</v>
      </c>
      <c r="E6718" s="11" t="s">
        <v>28</v>
      </c>
      <c r="F6718" s="10" t="s">
        <v>28</v>
      </c>
      <c r="G6718" s="10" t="s">
        <v>28</v>
      </c>
      <c r="H6718" s="10" t="s">
        <v>28</v>
      </c>
      <c r="I6718" s="11" t="s">
        <v>28</v>
      </c>
      <c r="J6718" s="11" t="s">
        <v>28</v>
      </c>
      <c r="K6718" s="11" t="s">
        <v>28</v>
      </c>
      <c r="L6718" s="11" t="s">
        <v>28</v>
      </c>
      <c r="M6718" s="11" t="s">
        <v>28</v>
      </c>
      <c r="N6718" s="8">
        <v>43739</v>
      </c>
      <c r="O6718" s="9" t="s">
        <v>99</v>
      </c>
      <c r="P6718" s="12" t="s">
        <v>28</v>
      </c>
      <c r="Q6718" s="9" t="s">
        <v>386</v>
      </c>
      <c r="R6718" s="14" t="str">
        <f>HYPERLINK("https://my.pitchbook.com?c=133133-14T","View Company Online")</f>
        <v>View Company Online</v>
      </c>
    </row>
    <row r="6719" spans="1:18" hidden="1" x14ac:dyDescent="0.3">
      <c r="A6719" s="15" t="s">
        <v>20230</v>
      </c>
      <c r="B6719" s="15" t="s">
        <v>18869</v>
      </c>
      <c r="C6719" s="18" t="s">
        <v>28</v>
      </c>
      <c r="D6719" s="15" t="s">
        <v>18870</v>
      </c>
      <c r="E6719" s="18" t="s">
        <v>28</v>
      </c>
      <c r="F6719" s="19" t="s">
        <v>28</v>
      </c>
      <c r="G6719" s="19">
        <v>1.94</v>
      </c>
      <c r="H6719" s="19" t="s">
        <v>28</v>
      </c>
      <c r="I6719" s="18" t="s">
        <v>28</v>
      </c>
      <c r="J6719" s="18" t="s">
        <v>28</v>
      </c>
      <c r="K6719" s="18" t="s">
        <v>28</v>
      </c>
      <c r="L6719" s="18" t="s">
        <v>28</v>
      </c>
      <c r="M6719" s="18" t="s">
        <v>28</v>
      </c>
      <c r="N6719" s="17">
        <v>43739</v>
      </c>
      <c r="O6719" s="15" t="s">
        <v>79</v>
      </c>
      <c r="P6719" s="16" t="s">
        <v>28</v>
      </c>
      <c r="Q6719" s="15" t="s">
        <v>75</v>
      </c>
      <c r="R6719" s="13" t="str">
        <f>HYPERLINK("https://my.pitchbook.com?c=157847-41T","View Company Online")</f>
        <v>View Company Online</v>
      </c>
    </row>
    <row r="6720" spans="1:18" hidden="1" x14ac:dyDescent="0.3">
      <c r="A6720" s="9" t="s">
        <v>20231</v>
      </c>
      <c r="B6720" s="9" t="s">
        <v>4624</v>
      </c>
      <c r="C6720" s="11" t="s">
        <v>28</v>
      </c>
      <c r="D6720" s="9" t="s">
        <v>4625</v>
      </c>
      <c r="E6720" s="11" t="s">
        <v>28</v>
      </c>
      <c r="F6720" s="10" t="s">
        <v>28</v>
      </c>
      <c r="G6720" s="10">
        <v>4.8</v>
      </c>
      <c r="H6720" s="10" t="s">
        <v>28</v>
      </c>
      <c r="I6720" s="11" t="s">
        <v>28</v>
      </c>
      <c r="J6720" s="11" t="s">
        <v>28</v>
      </c>
      <c r="K6720" s="11" t="s">
        <v>28</v>
      </c>
      <c r="L6720" s="11" t="s">
        <v>28</v>
      </c>
      <c r="M6720" s="11" t="s">
        <v>28</v>
      </c>
      <c r="N6720" s="8">
        <v>43738</v>
      </c>
      <c r="O6720" s="9" t="s">
        <v>99</v>
      </c>
      <c r="P6720" s="12" t="s">
        <v>20232</v>
      </c>
      <c r="Q6720" s="9" t="s">
        <v>43</v>
      </c>
      <c r="R6720" s="14" t="str">
        <f>HYPERLINK("https://my.pitchbook.com?c=132651-01T","View Company Online")</f>
        <v>View Company Online</v>
      </c>
    </row>
    <row r="6721" spans="1:18" hidden="1" x14ac:dyDescent="0.3">
      <c r="A6721" s="15" t="s">
        <v>20233</v>
      </c>
      <c r="B6721" s="15" t="s">
        <v>17821</v>
      </c>
      <c r="C6721" s="18" t="s">
        <v>28</v>
      </c>
      <c r="D6721" s="15" t="s">
        <v>17822</v>
      </c>
      <c r="E6721" s="18" t="s">
        <v>28</v>
      </c>
      <c r="F6721" s="19" t="s">
        <v>28</v>
      </c>
      <c r="G6721" s="19" t="s">
        <v>28</v>
      </c>
      <c r="H6721" s="19" t="s">
        <v>28</v>
      </c>
      <c r="I6721" s="18" t="s">
        <v>28</v>
      </c>
      <c r="J6721" s="18" t="s">
        <v>28</v>
      </c>
      <c r="K6721" s="18" t="s">
        <v>28</v>
      </c>
      <c r="L6721" s="18" t="s">
        <v>28</v>
      </c>
      <c r="M6721" s="18" t="s">
        <v>28</v>
      </c>
      <c r="N6721" s="17">
        <v>43738</v>
      </c>
      <c r="O6721" s="15" t="s">
        <v>99</v>
      </c>
      <c r="P6721" s="16" t="s">
        <v>20234</v>
      </c>
      <c r="Q6721" s="15" t="s">
        <v>583</v>
      </c>
      <c r="R6721" s="13" t="str">
        <f>HYPERLINK("https://my.pitchbook.com?c=225240-40T","View Company Online")</f>
        <v>View Company Online</v>
      </c>
    </row>
    <row r="6722" spans="1:18" hidden="1" x14ac:dyDescent="0.3">
      <c r="A6722" s="9" t="s">
        <v>20235</v>
      </c>
      <c r="B6722" s="9" t="s">
        <v>20236</v>
      </c>
      <c r="C6722" s="11" t="s">
        <v>28</v>
      </c>
      <c r="D6722" s="9" t="s">
        <v>20237</v>
      </c>
      <c r="E6722" s="11" t="s">
        <v>28</v>
      </c>
      <c r="F6722" s="10" t="s">
        <v>28</v>
      </c>
      <c r="G6722" s="10" t="s">
        <v>28</v>
      </c>
      <c r="H6722" s="10" t="s">
        <v>28</v>
      </c>
      <c r="I6722" s="11" t="s">
        <v>28</v>
      </c>
      <c r="J6722" s="11" t="s">
        <v>28</v>
      </c>
      <c r="K6722" s="11">
        <v>126.69</v>
      </c>
      <c r="L6722" s="11" t="s">
        <v>28</v>
      </c>
      <c r="M6722" s="11" t="s">
        <v>28</v>
      </c>
      <c r="N6722" s="8">
        <v>43738</v>
      </c>
      <c r="O6722" s="9" t="s">
        <v>30</v>
      </c>
      <c r="P6722" s="12" t="s">
        <v>15708</v>
      </c>
      <c r="Q6722" s="9" t="s">
        <v>362</v>
      </c>
      <c r="R6722" s="14" t="str">
        <f>HYPERLINK("https://my.pitchbook.com?c=126829-90T","View Company Online")</f>
        <v>View Company Online</v>
      </c>
    </row>
    <row r="6723" spans="1:18" hidden="1" x14ac:dyDescent="0.3">
      <c r="A6723" s="15" t="s">
        <v>20238</v>
      </c>
      <c r="B6723" s="15" t="s">
        <v>8280</v>
      </c>
      <c r="C6723" s="18" t="s">
        <v>28</v>
      </c>
      <c r="D6723" s="15" t="s">
        <v>8281</v>
      </c>
      <c r="E6723" s="18" t="s">
        <v>28</v>
      </c>
      <c r="F6723" s="19">
        <v>255.5</v>
      </c>
      <c r="G6723" s="19">
        <v>211.45</v>
      </c>
      <c r="H6723" s="19">
        <v>255.5</v>
      </c>
      <c r="I6723" s="18" t="s">
        <v>28</v>
      </c>
      <c r="J6723" s="18" t="s">
        <v>28</v>
      </c>
      <c r="K6723" s="18" t="s">
        <v>28</v>
      </c>
      <c r="L6723" s="18" t="s">
        <v>28</v>
      </c>
      <c r="M6723" s="18" t="s">
        <v>28</v>
      </c>
      <c r="N6723" s="17">
        <v>43738</v>
      </c>
      <c r="O6723" s="15" t="s">
        <v>30</v>
      </c>
      <c r="P6723" s="16" t="s">
        <v>20239</v>
      </c>
      <c r="Q6723" s="15" t="s">
        <v>1088</v>
      </c>
      <c r="R6723" s="13" t="str">
        <f>HYPERLINK("https://my.pitchbook.com?c=194821-12T","View Company Online")</f>
        <v>View Company Online</v>
      </c>
    </row>
    <row r="6724" spans="1:18" hidden="1" x14ac:dyDescent="0.3">
      <c r="A6724" s="9" t="s">
        <v>20240</v>
      </c>
      <c r="B6724" s="9" t="s">
        <v>20241</v>
      </c>
      <c r="C6724" s="11" t="s">
        <v>28</v>
      </c>
      <c r="D6724" s="9" t="s">
        <v>20242</v>
      </c>
      <c r="E6724" s="11" t="s">
        <v>28</v>
      </c>
      <c r="F6724" s="10">
        <v>808.59</v>
      </c>
      <c r="G6724" s="10">
        <v>808.59</v>
      </c>
      <c r="H6724" s="10">
        <v>808.59</v>
      </c>
      <c r="I6724" s="11" t="s">
        <v>28</v>
      </c>
      <c r="J6724" s="11" t="s">
        <v>28</v>
      </c>
      <c r="K6724" s="11" t="s">
        <v>28</v>
      </c>
      <c r="L6724" s="11" t="s">
        <v>28</v>
      </c>
      <c r="M6724" s="11" t="s">
        <v>28</v>
      </c>
      <c r="N6724" s="8">
        <v>43738</v>
      </c>
      <c r="O6724" s="9" t="s">
        <v>30</v>
      </c>
      <c r="P6724" s="12" t="s">
        <v>20243</v>
      </c>
      <c r="Q6724" s="9" t="s">
        <v>1035</v>
      </c>
      <c r="R6724" s="14" t="str">
        <f>HYPERLINK("https://my.pitchbook.com?c=131687-11T","View Company Online")</f>
        <v>View Company Online</v>
      </c>
    </row>
    <row r="6725" spans="1:18" hidden="1" x14ac:dyDescent="0.3">
      <c r="A6725" s="15" t="s">
        <v>20244</v>
      </c>
      <c r="B6725" s="15" t="s">
        <v>20245</v>
      </c>
      <c r="C6725" s="18" t="s">
        <v>28</v>
      </c>
      <c r="D6725" s="15" t="s">
        <v>20246</v>
      </c>
      <c r="E6725" s="18" t="s">
        <v>28</v>
      </c>
      <c r="F6725" s="19" t="s">
        <v>28</v>
      </c>
      <c r="G6725" s="19" t="s">
        <v>28</v>
      </c>
      <c r="H6725" s="19" t="s">
        <v>28</v>
      </c>
      <c r="I6725" s="18" t="s">
        <v>28</v>
      </c>
      <c r="J6725" s="18" t="s">
        <v>28</v>
      </c>
      <c r="K6725" s="18" t="s">
        <v>28</v>
      </c>
      <c r="L6725" s="18" t="s">
        <v>28</v>
      </c>
      <c r="M6725" s="18" t="s">
        <v>28</v>
      </c>
      <c r="N6725" s="17">
        <v>43737</v>
      </c>
      <c r="O6725" s="15" t="s">
        <v>173</v>
      </c>
      <c r="P6725" s="16" t="s">
        <v>28</v>
      </c>
      <c r="Q6725" s="15" t="s">
        <v>174</v>
      </c>
      <c r="R6725" s="13" t="str">
        <f>HYPERLINK("https://my.pitchbook.com?c=227220-58T","View Company Online")</f>
        <v>View Company Online</v>
      </c>
    </row>
    <row r="6726" spans="1:18" hidden="1" x14ac:dyDescent="0.3">
      <c r="A6726" s="9" t="s">
        <v>20247</v>
      </c>
      <c r="B6726" s="9" t="s">
        <v>20248</v>
      </c>
      <c r="C6726" s="11" t="s">
        <v>28</v>
      </c>
      <c r="D6726" s="9" t="s">
        <v>20249</v>
      </c>
      <c r="E6726" s="11" t="s">
        <v>28</v>
      </c>
      <c r="F6726" s="10" t="s">
        <v>28</v>
      </c>
      <c r="G6726" s="10" t="s">
        <v>28</v>
      </c>
      <c r="H6726" s="10" t="s">
        <v>28</v>
      </c>
      <c r="I6726" s="11" t="s">
        <v>28</v>
      </c>
      <c r="J6726" s="11" t="s">
        <v>28</v>
      </c>
      <c r="K6726" s="11" t="s">
        <v>28</v>
      </c>
      <c r="L6726" s="11" t="s">
        <v>28</v>
      </c>
      <c r="M6726" s="11" t="s">
        <v>28</v>
      </c>
      <c r="N6726" s="8">
        <v>43735</v>
      </c>
      <c r="O6726" s="9" t="s">
        <v>30</v>
      </c>
      <c r="P6726" s="12" t="s">
        <v>20250</v>
      </c>
      <c r="Q6726" s="9" t="s">
        <v>114</v>
      </c>
      <c r="R6726" s="14" t="str">
        <f>HYPERLINK("https://my.pitchbook.com?c=289456-48T","View Company Online")</f>
        <v>View Company Online</v>
      </c>
    </row>
    <row r="6727" spans="1:18" hidden="1" x14ac:dyDescent="0.3">
      <c r="A6727" s="15" t="s">
        <v>20251</v>
      </c>
      <c r="B6727" s="15" t="s">
        <v>10299</v>
      </c>
      <c r="C6727" s="18" t="s">
        <v>28</v>
      </c>
      <c r="D6727" s="15" t="s">
        <v>10300</v>
      </c>
      <c r="E6727" s="18" t="s">
        <v>28</v>
      </c>
      <c r="F6727" s="19" t="s">
        <v>28</v>
      </c>
      <c r="G6727" s="19" t="s">
        <v>28</v>
      </c>
      <c r="H6727" s="19" t="s">
        <v>28</v>
      </c>
      <c r="I6727" s="18" t="s">
        <v>28</v>
      </c>
      <c r="J6727" s="18" t="s">
        <v>28</v>
      </c>
      <c r="K6727" s="18" t="s">
        <v>28</v>
      </c>
      <c r="L6727" s="18" t="s">
        <v>28</v>
      </c>
      <c r="M6727" s="18" t="s">
        <v>28</v>
      </c>
      <c r="N6727" s="17">
        <v>43735</v>
      </c>
      <c r="O6727" s="15" t="s">
        <v>41</v>
      </c>
      <c r="P6727" s="16" t="s">
        <v>20252</v>
      </c>
      <c r="Q6727" s="15" t="s">
        <v>54</v>
      </c>
      <c r="R6727" s="13" t="str">
        <f>HYPERLINK("https://my.pitchbook.com?c=130888-36T","View Company Online")</f>
        <v>View Company Online</v>
      </c>
    </row>
    <row r="6728" spans="1:18" hidden="1" x14ac:dyDescent="0.3">
      <c r="A6728" s="9" t="s">
        <v>20253</v>
      </c>
      <c r="B6728" s="9" t="s">
        <v>20254</v>
      </c>
      <c r="C6728" s="11" t="s">
        <v>28</v>
      </c>
      <c r="D6728" s="9" t="s">
        <v>20255</v>
      </c>
      <c r="E6728" s="11" t="s">
        <v>28</v>
      </c>
      <c r="F6728" s="10" t="s">
        <v>28</v>
      </c>
      <c r="G6728" s="10" t="s">
        <v>28</v>
      </c>
      <c r="H6728" s="10" t="s">
        <v>28</v>
      </c>
      <c r="I6728" s="11" t="s">
        <v>28</v>
      </c>
      <c r="J6728" s="11" t="s">
        <v>28</v>
      </c>
      <c r="K6728" s="11" t="s">
        <v>28</v>
      </c>
      <c r="L6728" s="11" t="s">
        <v>28</v>
      </c>
      <c r="M6728" s="11" t="s">
        <v>28</v>
      </c>
      <c r="N6728" s="8">
        <v>43734</v>
      </c>
      <c r="O6728" s="9" t="s">
        <v>79</v>
      </c>
      <c r="P6728" s="12" t="s">
        <v>20256</v>
      </c>
      <c r="Q6728" s="9" t="s">
        <v>1361</v>
      </c>
      <c r="R6728" s="14" t="str">
        <f>HYPERLINK("https://my.pitchbook.com?c=241997-23T","View Company Online")</f>
        <v>View Company Online</v>
      </c>
    </row>
    <row r="6729" spans="1:18" hidden="1" x14ac:dyDescent="0.3">
      <c r="A6729" s="15" t="s">
        <v>20257</v>
      </c>
      <c r="B6729" s="15" t="s">
        <v>20258</v>
      </c>
      <c r="C6729" s="18" t="s">
        <v>28</v>
      </c>
      <c r="D6729" s="15" t="s">
        <v>20259</v>
      </c>
      <c r="E6729" s="18" t="s">
        <v>28</v>
      </c>
      <c r="F6729" s="19">
        <v>13.75</v>
      </c>
      <c r="G6729" s="19">
        <v>13.75</v>
      </c>
      <c r="H6729" s="19">
        <v>13.75</v>
      </c>
      <c r="I6729" s="18" t="s">
        <v>28</v>
      </c>
      <c r="J6729" s="18" t="s">
        <v>28</v>
      </c>
      <c r="K6729" s="18" t="s">
        <v>28</v>
      </c>
      <c r="L6729" s="18" t="s">
        <v>28</v>
      </c>
      <c r="M6729" s="18" t="s">
        <v>28</v>
      </c>
      <c r="N6729" s="17">
        <v>43734</v>
      </c>
      <c r="O6729" s="15" t="s">
        <v>30</v>
      </c>
      <c r="P6729" s="16" t="s">
        <v>20260</v>
      </c>
      <c r="Q6729" s="15" t="s">
        <v>1144</v>
      </c>
      <c r="R6729" s="13" t="str">
        <f>HYPERLINK("https://my.pitchbook.com?c=216221-95T","View Company Online")</f>
        <v>View Company Online</v>
      </c>
    </row>
    <row r="6730" spans="1:18" hidden="1" x14ac:dyDescent="0.3">
      <c r="A6730" s="9" t="s">
        <v>20261</v>
      </c>
      <c r="B6730" s="9" t="s">
        <v>20262</v>
      </c>
      <c r="C6730" s="11" t="s">
        <v>28</v>
      </c>
      <c r="D6730" s="9" t="s">
        <v>20263</v>
      </c>
      <c r="E6730" s="11" t="s">
        <v>28</v>
      </c>
      <c r="F6730" s="10" t="s">
        <v>28</v>
      </c>
      <c r="G6730" s="10" t="s">
        <v>28</v>
      </c>
      <c r="H6730" s="10" t="s">
        <v>28</v>
      </c>
      <c r="I6730" s="11" t="s">
        <v>28</v>
      </c>
      <c r="J6730" s="11" t="s">
        <v>28</v>
      </c>
      <c r="K6730" s="11" t="s">
        <v>28</v>
      </c>
      <c r="L6730" s="11" t="s">
        <v>28</v>
      </c>
      <c r="M6730" s="11" t="s">
        <v>28</v>
      </c>
      <c r="N6730" s="8">
        <v>43734</v>
      </c>
      <c r="O6730" s="9" t="s">
        <v>173</v>
      </c>
      <c r="P6730" s="12" t="s">
        <v>28</v>
      </c>
      <c r="Q6730" s="9" t="s">
        <v>240</v>
      </c>
      <c r="R6730" s="14" t="str">
        <f>HYPERLINK("https://my.pitchbook.com?c=227535-49T","View Company Online")</f>
        <v>View Company Online</v>
      </c>
    </row>
    <row r="6731" spans="1:18" hidden="1" x14ac:dyDescent="0.3">
      <c r="A6731" s="15" t="s">
        <v>20264</v>
      </c>
      <c r="B6731" s="15" t="s">
        <v>20265</v>
      </c>
      <c r="C6731" s="18" t="s">
        <v>28</v>
      </c>
      <c r="D6731" s="15" t="s">
        <v>20266</v>
      </c>
      <c r="E6731" s="18" t="s">
        <v>28</v>
      </c>
      <c r="F6731" s="19" t="s">
        <v>28</v>
      </c>
      <c r="G6731" s="19">
        <v>0.97</v>
      </c>
      <c r="H6731" s="19" t="s">
        <v>28</v>
      </c>
      <c r="I6731" s="18" t="s">
        <v>28</v>
      </c>
      <c r="J6731" s="18" t="s">
        <v>28</v>
      </c>
      <c r="K6731" s="18" t="s">
        <v>28</v>
      </c>
      <c r="L6731" s="18" t="s">
        <v>28</v>
      </c>
      <c r="M6731" s="18" t="s">
        <v>28</v>
      </c>
      <c r="N6731" s="17">
        <v>43732</v>
      </c>
      <c r="O6731" s="15" t="s">
        <v>99</v>
      </c>
      <c r="P6731" s="16" t="s">
        <v>20267</v>
      </c>
      <c r="Q6731" s="15" t="s">
        <v>37</v>
      </c>
      <c r="R6731" s="13" t="str">
        <f>HYPERLINK("https://my.pitchbook.com?c=124712-20T","View Company Online")</f>
        <v>View Company Online</v>
      </c>
    </row>
    <row r="6732" spans="1:18" hidden="1" x14ac:dyDescent="0.3">
      <c r="A6732" s="9" t="s">
        <v>20268</v>
      </c>
      <c r="B6732" s="9" t="s">
        <v>20269</v>
      </c>
      <c r="C6732" s="11" t="s">
        <v>28</v>
      </c>
      <c r="D6732" s="9" t="s">
        <v>20270</v>
      </c>
      <c r="E6732" s="11" t="s">
        <v>28</v>
      </c>
      <c r="F6732" s="10" t="s">
        <v>28</v>
      </c>
      <c r="G6732" s="10" t="s">
        <v>28</v>
      </c>
      <c r="H6732" s="10" t="s">
        <v>28</v>
      </c>
      <c r="I6732" s="11" t="s">
        <v>28</v>
      </c>
      <c r="J6732" s="11" t="s">
        <v>28</v>
      </c>
      <c r="K6732" s="11" t="s">
        <v>28</v>
      </c>
      <c r="L6732" s="11" t="s">
        <v>28</v>
      </c>
      <c r="M6732" s="11" t="s">
        <v>28</v>
      </c>
      <c r="N6732" s="8">
        <v>43732</v>
      </c>
      <c r="O6732" s="9" t="s">
        <v>30</v>
      </c>
      <c r="P6732" s="12" t="s">
        <v>20271</v>
      </c>
      <c r="Q6732" s="9" t="s">
        <v>136</v>
      </c>
      <c r="R6732" s="14" t="str">
        <f>HYPERLINK("https://my.pitchbook.com?c=122591-80T","View Company Online")</f>
        <v>View Company Online</v>
      </c>
    </row>
    <row r="6733" spans="1:18" hidden="1" x14ac:dyDescent="0.3">
      <c r="A6733" s="15" t="s">
        <v>20272</v>
      </c>
      <c r="B6733" s="15" t="s">
        <v>11553</v>
      </c>
      <c r="C6733" s="18" t="s">
        <v>28</v>
      </c>
      <c r="D6733" s="15" t="s">
        <v>11554</v>
      </c>
      <c r="E6733" s="18" t="s">
        <v>28</v>
      </c>
      <c r="F6733" s="19" t="s">
        <v>28</v>
      </c>
      <c r="G6733" s="19">
        <v>4.37</v>
      </c>
      <c r="H6733" s="19">
        <v>24.26</v>
      </c>
      <c r="I6733" s="18" t="s">
        <v>28</v>
      </c>
      <c r="J6733" s="18" t="s">
        <v>28</v>
      </c>
      <c r="K6733" s="18" t="s">
        <v>28</v>
      </c>
      <c r="L6733" s="18" t="s">
        <v>28</v>
      </c>
      <c r="M6733" s="18" t="s">
        <v>28</v>
      </c>
      <c r="N6733" s="17">
        <v>43732</v>
      </c>
      <c r="O6733" s="15" t="s">
        <v>73</v>
      </c>
      <c r="P6733" s="16" t="s">
        <v>20273</v>
      </c>
      <c r="Q6733" s="15" t="s">
        <v>75</v>
      </c>
      <c r="R6733" s="13" t="str">
        <f>HYPERLINK("https://my.pitchbook.com?c=124800-76T","View Company Online")</f>
        <v>View Company Online</v>
      </c>
    </row>
    <row r="6734" spans="1:18" hidden="1" x14ac:dyDescent="0.3">
      <c r="A6734" s="9" t="s">
        <v>20274</v>
      </c>
      <c r="B6734" s="9" t="s">
        <v>20275</v>
      </c>
      <c r="C6734" s="11" t="s">
        <v>28</v>
      </c>
      <c r="D6734" s="9" t="s">
        <v>20276</v>
      </c>
      <c r="E6734" s="11" t="s">
        <v>28</v>
      </c>
      <c r="F6734" s="10" t="s">
        <v>28</v>
      </c>
      <c r="G6734" s="10" t="s">
        <v>28</v>
      </c>
      <c r="H6734" s="10" t="s">
        <v>28</v>
      </c>
      <c r="I6734" s="11" t="s">
        <v>28</v>
      </c>
      <c r="J6734" s="11" t="s">
        <v>28</v>
      </c>
      <c r="K6734" s="11" t="s">
        <v>28</v>
      </c>
      <c r="L6734" s="11" t="s">
        <v>28</v>
      </c>
      <c r="M6734" s="11" t="s">
        <v>28</v>
      </c>
      <c r="N6734" s="8">
        <v>43729</v>
      </c>
      <c r="O6734" s="9" t="s">
        <v>30</v>
      </c>
      <c r="P6734" s="12" t="s">
        <v>4239</v>
      </c>
      <c r="Q6734" s="9" t="s">
        <v>3048</v>
      </c>
      <c r="R6734" s="14" t="str">
        <f>HYPERLINK("https://my.pitchbook.com?c=127368-55T","View Company Online")</f>
        <v>View Company Online</v>
      </c>
    </row>
    <row r="6735" spans="1:18" hidden="1" x14ac:dyDescent="0.3">
      <c r="A6735" s="15" t="s">
        <v>20277</v>
      </c>
      <c r="B6735" s="15" t="s">
        <v>15669</v>
      </c>
      <c r="C6735" s="18" t="s">
        <v>28</v>
      </c>
      <c r="D6735" s="15" t="s">
        <v>15670</v>
      </c>
      <c r="E6735" s="18" t="s">
        <v>28</v>
      </c>
      <c r="F6735" s="19" t="s">
        <v>28</v>
      </c>
      <c r="G6735" s="19">
        <v>12.16</v>
      </c>
      <c r="H6735" s="19" t="s">
        <v>28</v>
      </c>
      <c r="I6735" s="18" t="s">
        <v>28</v>
      </c>
      <c r="J6735" s="18" t="s">
        <v>28</v>
      </c>
      <c r="K6735" s="18" t="s">
        <v>28</v>
      </c>
      <c r="L6735" s="18" t="s">
        <v>28</v>
      </c>
      <c r="M6735" s="18" t="s">
        <v>28</v>
      </c>
      <c r="N6735" s="17">
        <v>43728</v>
      </c>
      <c r="O6735" s="15" t="s">
        <v>73</v>
      </c>
      <c r="P6735" s="16" t="s">
        <v>20278</v>
      </c>
      <c r="Q6735" s="15" t="s">
        <v>362</v>
      </c>
      <c r="R6735" s="13" t="str">
        <f>HYPERLINK("https://my.pitchbook.com?c=123658-03T","View Company Online")</f>
        <v>View Company Online</v>
      </c>
    </row>
    <row r="6736" spans="1:18" hidden="1" x14ac:dyDescent="0.3">
      <c r="A6736" s="9" t="s">
        <v>20279</v>
      </c>
      <c r="B6736" s="9" t="s">
        <v>20280</v>
      </c>
      <c r="C6736" s="11" t="s">
        <v>28</v>
      </c>
      <c r="D6736" s="9" t="s">
        <v>20281</v>
      </c>
      <c r="E6736" s="11" t="s">
        <v>28</v>
      </c>
      <c r="F6736" s="10">
        <v>10.29</v>
      </c>
      <c r="G6736" s="10">
        <v>10.29</v>
      </c>
      <c r="H6736" s="10">
        <v>10.29</v>
      </c>
      <c r="I6736" s="11" t="s">
        <v>28</v>
      </c>
      <c r="J6736" s="11" t="s">
        <v>28</v>
      </c>
      <c r="K6736" s="11" t="s">
        <v>28</v>
      </c>
      <c r="L6736" s="11" t="s">
        <v>28</v>
      </c>
      <c r="M6736" s="11" t="s">
        <v>28</v>
      </c>
      <c r="N6736" s="8">
        <v>43728</v>
      </c>
      <c r="O6736" s="9" t="s">
        <v>30</v>
      </c>
      <c r="P6736" s="12" t="s">
        <v>20282</v>
      </c>
      <c r="Q6736" s="9" t="s">
        <v>119</v>
      </c>
      <c r="R6736" s="14" t="str">
        <f>HYPERLINK("https://my.pitchbook.com?c=211914-28T","View Company Online")</f>
        <v>View Company Online</v>
      </c>
    </row>
    <row r="6737" spans="1:18" hidden="1" x14ac:dyDescent="0.3">
      <c r="A6737" s="15" t="s">
        <v>20283</v>
      </c>
      <c r="B6737" s="15" t="s">
        <v>251</v>
      </c>
      <c r="C6737" s="18" t="s">
        <v>28</v>
      </c>
      <c r="D6737" s="15" t="s">
        <v>252</v>
      </c>
      <c r="E6737" s="18" t="s">
        <v>28</v>
      </c>
      <c r="F6737" s="19" t="s">
        <v>28</v>
      </c>
      <c r="G6737" s="19">
        <v>0.04</v>
      </c>
      <c r="H6737" s="19" t="s">
        <v>28</v>
      </c>
      <c r="I6737" s="18" t="s">
        <v>28</v>
      </c>
      <c r="J6737" s="18" t="s">
        <v>28</v>
      </c>
      <c r="K6737" s="18" t="s">
        <v>28</v>
      </c>
      <c r="L6737" s="18" t="s">
        <v>28</v>
      </c>
      <c r="M6737" s="18" t="s">
        <v>28</v>
      </c>
      <c r="N6737" s="17">
        <v>43727</v>
      </c>
      <c r="O6737" s="15" t="s">
        <v>99</v>
      </c>
      <c r="P6737" s="16" t="s">
        <v>20284</v>
      </c>
      <c r="Q6737" s="15" t="s">
        <v>114</v>
      </c>
      <c r="R6737" s="13" t="str">
        <f>HYPERLINK("https://my.pitchbook.com?c=133805-98T","View Company Online")</f>
        <v>View Company Online</v>
      </c>
    </row>
    <row r="6738" spans="1:18" hidden="1" x14ac:dyDescent="0.3">
      <c r="A6738" s="9" t="s">
        <v>20285</v>
      </c>
      <c r="B6738" s="9" t="s">
        <v>20286</v>
      </c>
      <c r="C6738" s="11" t="s">
        <v>28</v>
      </c>
      <c r="D6738" s="9" t="s">
        <v>20287</v>
      </c>
      <c r="E6738" s="11" t="s">
        <v>28</v>
      </c>
      <c r="F6738" s="10" t="s">
        <v>28</v>
      </c>
      <c r="G6738" s="10">
        <v>0.04</v>
      </c>
      <c r="H6738" s="10" t="s">
        <v>28</v>
      </c>
      <c r="I6738" s="11" t="s">
        <v>28</v>
      </c>
      <c r="J6738" s="11" t="s">
        <v>28</v>
      </c>
      <c r="K6738" s="11" t="s">
        <v>28</v>
      </c>
      <c r="L6738" s="11" t="s">
        <v>28</v>
      </c>
      <c r="M6738" s="11" t="s">
        <v>28</v>
      </c>
      <c r="N6738" s="8">
        <v>43727</v>
      </c>
      <c r="O6738" s="9" t="s">
        <v>58</v>
      </c>
      <c r="P6738" s="12" t="s">
        <v>20284</v>
      </c>
      <c r="Q6738" s="9" t="s">
        <v>414</v>
      </c>
      <c r="R6738" s="14" t="str">
        <f>HYPERLINK("https://my.pitchbook.com?c=124676-74T","View Company Online")</f>
        <v>View Company Online</v>
      </c>
    </row>
    <row r="6739" spans="1:18" hidden="1" x14ac:dyDescent="0.3">
      <c r="A6739" s="15" t="s">
        <v>20288</v>
      </c>
      <c r="B6739" s="15" t="s">
        <v>13276</v>
      </c>
      <c r="C6739" s="18" t="s">
        <v>28</v>
      </c>
      <c r="D6739" s="15" t="s">
        <v>13277</v>
      </c>
      <c r="E6739" s="18" t="s">
        <v>28</v>
      </c>
      <c r="F6739" s="19" t="s">
        <v>28</v>
      </c>
      <c r="G6739" s="19">
        <v>0.67</v>
      </c>
      <c r="H6739" s="19" t="s">
        <v>28</v>
      </c>
      <c r="I6739" s="18" t="s">
        <v>28</v>
      </c>
      <c r="J6739" s="18" t="s">
        <v>28</v>
      </c>
      <c r="K6739" s="18" t="s">
        <v>28</v>
      </c>
      <c r="L6739" s="18" t="s">
        <v>28</v>
      </c>
      <c r="M6739" s="18" t="s">
        <v>28</v>
      </c>
      <c r="N6739" s="17">
        <v>43726</v>
      </c>
      <c r="O6739" s="15" t="s">
        <v>73</v>
      </c>
      <c r="P6739" s="16" t="s">
        <v>20289</v>
      </c>
      <c r="Q6739" s="15" t="s">
        <v>583</v>
      </c>
      <c r="R6739" s="13" t="str">
        <f>HYPERLINK("https://my.pitchbook.com?c=123699-79T","View Company Online")</f>
        <v>View Company Online</v>
      </c>
    </row>
    <row r="6740" spans="1:18" hidden="1" x14ac:dyDescent="0.3">
      <c r="A6740" s="9" t="s">
        <v>20290</v>
      </c>
      <c r="B6740" s="9" t="s">
        <v>20291</v>
      </c>
      <c r="C6740" s="11" t="s">
        <v>28</v>
      </c>
      <c r="D6740" s="9" t="s">
        <v>20292</v>
      </c>
      <c r="E6740" s="11" t="s">
        <v>28</v>
      </c>
      <c r="F6740" s="10" t="s">
        <v>28</v>
      </c>
      <c r="G6740" s="10">
        <v>0.02</v>
      </c>
      <c r="H6740" s="10">
        <v>0.33</v>
      </c>
      <c r="I6740" s="11" t="s">
        <v>28</v>
      </c>
      <c r="J6740" s="11" t="s">
        <v>28</v>
      </c>
      <c r="K6740" s="11" t="s">
        <v>28</v>
      </c>
      <c r="L6740" s="11" t="s">
        <v>28</v>
      </c>
      <c r="M6740" s="11" t="s">
        <v>28</v>
      </c>
      <c r="N6740" s="8">
        <v>43725</v>
      </c>
      <c r="O6740" s="9" t="s">
        <v>52</v>
      </c>
      <c r="P6740" s="12" t="s">
        <v>20293</v>
      </c>
      <c r="Q6740" s="9" t="s">
        <v>43</v>
      </c>
      <c r="R6740" s="14" t="str">
        <f>HYPERLINK("https://my.pitchbook.com?c=125687-89T","View Company Online")</f>
        <v>View Company Online</v>
      </c>
    </row>
    <row r="6741" spans="1:18" hidden="1" x14ac:dyDescent="0.3">
      <c r="A6741" s="15" t="s">
        <v>20294</v>
      </c>
      <c r="B6741" s="15" t="s">
        <v>11241</v>
      </c>
      <c r="C6741" s="18" t="s">
        <v>28</v>
      </c>
      <c r="D6741" s="15" t="s">
        <v>11242</v>
      </c>
      <c r="E6741" s="18" t="s">
        <v>28</v>
      </c>
      <c r="F6741" s="19" t="s">
        <v>28</v>
      </c>
      <c r="G6741" s="19">
        <v>10</v>
      </c>
      <c r="H6741" s="19" t="s">
        <v>28</v>
      </c>
      <c r="I6741" s="18" t="s">
        <v>28</v>
      </c>
      <c r="J6741" s="18" t="s">
        <v>28</v>
      </c>
      <c r="K6741" s="18" t="s">
        <v>28</v>
      </c>
      <c r="L6741" s="18" t="s">
        <v>28</v>
      </c>
      <c r="M6741" s="18" t="s">
        <v>28</v>
      </c>
      <c r="N6741" s="17">
        <v>43725</v>
      </c>
      <c r="O6741" s="15" t="s">
        <v>99</v>
      </c>
      <c r="P6741" s="16" t="s">
        <v>15476</v>
      </c>
      <c r="Q6741" s="15" t="s">
        <v>386</v>
      </c>
      <c r="R6741" s="13" t="str">
        <f>HYPERLINK("https://my.pitchbook.com?c=180256-06T","View Company Online")</f>
        <v>View Company Online</v>
      </c>
    </row>
    <row r="6742" spans="1:18" hidden="1" x14ac:dyDescent="0.3">
      <c r="A6742" s="9" t="s">
        <v>20295</v>
      </c>
      <c r="B6742" s="9" t="s">
        <v>13832</v>
      </c>
      <c r="C6742" s="11" t="s">
        <v>28</v>
      </c>
      <c r="D6742" s="9" t="s">
        <v>13833</v>
      </c>
      <c r="E6742" s="11" t="s">
        <v>28</v>
      </c>
      <c r="F6742" s="10" t="s">
        <v>28</v>
      </c>
      <c r="G6742" s="10">
        <v>13</v>
      </c>
      <c r="H6742" s="10" t="s">
        <v>28</v>
      </c>
      <c r="I6742" s="11" t="s">
        <v>28</v>
      </c>
      <c r="J6742" s="11" t="s">
        <v>28</v>
      </c>
      <c r="K6742" s="11" t="s">
        <v>28</v>
      </c>
      <c r="L6742" s="11" t="s">
        <v>28</v>
      </c>
      <c r="M6742" s="11" t="s">
        <v>28</v>
      </c>
      <c r="N6742" s="8">
        <v>43725</v>
      </c>
      <c r="O6742" s="9" t="s">
        <v>73</v>
      </c>
      <c r="P6742" s="12" t="s">
        <v>20296</v>
      </c>
      <c r="Q6742" s="9" t="s">
        <v>37</v>
      </c>
      <c r="R6742" s="14" t="str">
        <f>HYPERLINK("https://my.pitchbook.com?c=124064-47T","View Company Online")</f>
        <v>View Company Online</v>
      </c>
    </row>
    <row r="6743" spans="1:18" hidden="1" x14ac:dyDescent="0.3">
      <c r="A6743" s="15" t="s">
        <v>20297</v>
      </c>
      <c r="B6743" s="15" t="s">
        <v>20298</v>
      </c>
      <c r="C6743" s="18" t="s">
        <v>28</v>
      </c>
      <c r="D6743" s="15" t="s">
        <v>20299</v>
      </c>
      <c r="E6743" s="18" t="s">
        <v>28</v>
      </c>
      <c r="F6743" s="19" t="s">
        <v>28</v>
      </c>
      <c r="G6743" s="19" t="s">
        <v>28</v>
      </c>
      <c r="H6743" s="19" t="s">
        <v>28</v>
      </c>
      <c r="I6743" s="18" t="s">
        <v>28</v>
      </c>
      <c r="J6743" s="18" t="s">
        <v>28</v>
      </c>
      <c r="K6743" s="18" t="s">
        <v>28</v>
      </c>
      <c r="L6743" s="18" t="s">
        <v>28</v>
      </c>
      <c r="M6743" s="18" t="s">
        <v>28</v>
      </c>
      <c r="N6743" s="17">
        <v>43724</v>
      </c>
      <c r="O6743" s="15" t="s">
        <v>30</v>
      </c>
      <c r="P6743" s="16" t="s">
        <v>6531</v>
      </c>
      <c r="Q6743" s="15" t="s">
        <v>386</v>
      </c>
      <c r="R6743" s="13" t="str">
        <f>HYPERLINK("https://my.pitchbook.com?c=137030-95T","View Company Online")</f>
        <v>View Company Online</v>
      </c>
    </row>
    <row r="6744" spans="1:18" hidden="1" x14ac:dyDescent="0.3">
      <c r="A6744" s="9" t="s">
        <v>20300</v>
      </c>
      <c r="B6744" s="9" t="s">
        <v>20301</v>
      </c>
      <c r="C6744" s="11" t="s">
        <v>28</v>
      </c>
      <c r="D6744" s="9" t="s">
        <v>20302</v>
      </c>
      <c r="E6744" s="11" t="s">
        <v>28</v>
      </c>
      <c r="F6744" s="10" t="s">
        <v>28</v>
      </c>
      <c r="G6744" s="10">
        <v>28</v>
      </c>
      <c r="H6744" s="10" t="s">
        <v>28</v>
      </c>
      <c r="I6744" s="11" t="s">
        <v>28</v>
      </c>
      <c r="J6744" s="11" t="s">
        <v>28</v>
      </c>
      <c r="K6744" s="11" t="s">
        <v>28</v>
      </c>
      <c r="L6744" s="11" t="s">
        <v>28</v>
      </c>
      <c r="M6744" s="11" t="s">
        <v>28</v>
      </c>
      <c r="N6744" s="8">
        <v>43723</v>
      </c>
      <c r="O6744" s="9" t="s">
        <v>93</v>
      </c>
      <c r="P6744" s="12" t="s">
        <v>20303</v>
      </c>
      <c r="Q6744" s="9" t="s">
        <v>249</v>
      </c>
      <c r="R6744" s="14" t="str">
        <f>HYPERLINK("https://my.pitchbook.com?c=125916-22T","View Company Online")</f>
        <v>View Company Online</v>
      </c>
    </row>
    <row r="6745" spans="1:18" hidden="1" x14ac:dyDescent="0.3">
      <c r="A6745" s="15" t="s">
        <v>20304</v>
      </c>
      <c r="B6745" s="15" t="s">
        <v>20305</v>
      </c>
      <c r="C6745" s="18" t="s">
        <v>28</v>
      </c>
      <c r="D6745" s="15" t="s">
        <v>20306</v>
      </c>
      <c r="E6745" s="18" t="s">
        <v>28</v>
      </c>
      <c r="F6745" s="19" t="s">
        <v>28</v>
      </c>
      <c r="G6745" s="19">
        <v>0.09</v>
      </c>
      <c r="H6745" s="19">
        <v>1.47</v>
      </c>
      <c r="I6745" s="18" t="s">
        <v>28</v>
      </c>
      <c r="J6745" s="18" t="s">
        <v>28</v>
      </c>
      <c r="K6745" s="18" t="s">
        <v>28</v>
      </c>
      <c r="L6745" s="18" t="s">
        <v>28</v>
      </c>
      <c r="M6745" s="18" t="s">
        <v>28</v>
      </c>
      <c r="N6745" s="17">
        <v>43721</v>
      </c>
      <c r="O6745" s="15" t="s">
        <v>379</v>
      </c>
      <c r="P6745" s="16" t="s">
        <v>20307</v>
      </c>
      <c r="Q6745" s="15" t="s">
        <v>75</v>
      </c>
      <c r="R6745" s="13" t="str">
        <f>HYPERLINK("https://my.pitchbook.com?c=133135-84T","View Company Online")</f>
        <v>View Company Online</v>
      </c>
    </row>
    <row r="6746" spans="1:18" hidden="1" x14ac:dyDescent="0.3">
      <c r="A6746" s="9" t="s">
        <v>20308</v>
      </c>
      <c r="B6746" s="9" t="s">
        <v>20309</v>
      </c>
      <c r="C6746" s="11" t="s">
        <v>28</v>
      </c>
      <c r="D6746" s="9" t="s">
        <v>20310</v>
      </c>
      <c r="E6746" s="11" t="s">
        <v>28</v>
      </c>
      <c r="F6746" s="10" t="s">
        <v>28</v>
      </c>
      <c r="G6746" s="10" t="s">
        <v>28</v>
      </c>
      <c r="H6746" s="10" t="s">
        <v>28</v>
      </c>
      <c r="I6746" s="11" t="s">
        <v>28</v>
      </c>
      <c r="J6746" s="11" t="s">
        <v>28</v>
      </c>
      <c r="K6746" s="11" t="s">
        <v>28</v>
      </c>
      <c r="L6746" s="11" t="s">
        <v>28</v>
      </c>
      <c r="M6746" s="11" t="s">
        <v>28</v>
      </c>
      <c r="N6746" s="8">
        <v>43721</v>
      </c>
      <c r="O6746" s="9" t="s">
        <v>41</v>
      </c>
      <c r="P6746" s="12" t="s">
        <v>16385</v>
      </c>
      <c r="Q6746" s="9" t="s">
        <v>43</v>
      </c>
      <c r="R6746" s="14" t="str">
        <f>HYPERLINK("https://my.pitchbook.com?c=204583-51T","View Company Online")</f>
        <v>View Company Online</v>
      </c>
    </row>
    <row r="6747" spans="1:18" hidden="1" x14ac:dyDescent="0.3">
      <c r="A6747" s="15" t="s">
        <v>20311</v>
      </c>
      <c r="B6747" s="15" t="s">
        <v>20312</v>
      </c>
      <c r="C6747" s="18" t="s">
        <v>28</v>
      </c>
      <c r="D6747" s="15" t="s">
        <v>20313</v>
      </c>
      <c r="E6747" s="18" t="s">
        <v>28</v>
      </c>
      <c r="F6747" s="19" t="s">
        <v>28</v>
      </c>
      <c r="G6747" s="19">
        <v>1.1000000000000001</v>
      </c>
      <c r="H6747" s="19" t="s">
        <v>28</v>
      </c>
      <c r="I6747" s="18" t="s">
        <v>28</v>
      </c>
      <c r="J6747" s="18" t="s">
        <v>28</v>
      </c>
      <c r="K6747" s="18" t="s">
        <v>28</v>
      </c>
      <c r="L6747" s="18" t="s">
        <v>28</v>
      </c>
      <c r="M6747" s="18" t="s">
        <v>28</v>
      </c>
      <c r="N6747" s="17">
        <v>43720</v>
      </c>
      <c r="O6747" s="15" t="s">
        <v>79</v>
      </c>
      <c r="P6747" s="16" t="s">
        <v>20314</v>
      </c>
      <c r="Q6747" s="15" t="s">
        <v>1088</v>
      </c>
      <c r="R6747" s="13" t="str">
        <f>HYPERLINK("https://my.pitchbook.com?c=126652-78T","View Company Online")</f>
        <v>View Company Online</v>
      </c>
    </row>
    <row r="6748" spans="1:18" hidden="1" x14ac:dyDescent="0.3">
      <c r="A6748" s="9" t="s">
        <v>20315</v>
      </c>
      <c r="B6748" s="9" t="s">
        <v>8883</v>
      </c>
      <c r="C6748" s="11" t="s">
        <v>28</v>
      </c>
      <c r="D6748" s="9" t="s">
        <v>8884</v>
      </c>
      <c r="E6748" s="11" t="s">
        <v>28</v>
      </c>
      <c r="F6748" s="10" t="s">
        <v>28</v>
      </c>
      <c r="G6748" s="10">
        <v>22</v>
      </c>
      <c r="H6748" s="10" t="s">
        <v>28</v>
      </c>
      <c r="I6748" s="11" t="s">
        <v>28</v>
      </c>
      <c r="J6748" s="11" t="s">
        <v>28</v>
      </c>
      <c r="K6748" s="11" t="s">
        <v>28</v>
      </c>
      <c r="L6748" s="11" t="s">
        <v>28</v>
      </c>
      <c r="M6748" s="11" t="s">
        <v>28</v>
      </c>
      <c r="N6748" s="8">
        <v>43720</v>
      </c>
      <c r="O6748" s="9" t="s">
        <v>73</v>
      </c>
      <c r="P6748" s="12" t="s">
        <v>20316</v>
      </c>
      <c r="Q6748" s="9" t="s">
        <v>136</v>
      </c>
      <c r="R6748" s="14" t="str">
        <f>HYPERLINK("https://my.pitchbook.com?c=121340-17T","View Company Online")</f>
        <v>View Company Online</v>
      </c>
    </row>
    <row r="6749" spans="1:18" hidden="1" x14ac:dyDescent="0.3">
      <c r="A6749" s="15" t="s">
        <v>20317</v>
      </c>
      <c r="B6749" s="15" t="s">
        <v>13573</v>
      </c>
      <c r="C6749" s="18" t="s">
        <v>28</v>
      </c>
      <c r="D6749" s="15" t="s">
        <v>13574</v>
      </c>
      <c r="E6749" s="18" t="s">
        <v>28</v>
      </c>
      <c r="F6749" s="19" t="s">
        <v>28</v>
      </c>
      <c r="G6749" s="19">
        <v>1.47</v>
      </c>
      <c r="H6749" s="19" t="s">
        <v>28</v>
      </c>
      <c r="I6749" s="18" t="s">
        <v>28</v>
      </c>
      <c r="J6749" s="18" t="s">
        <v>28</v>
      </c>
      <c r="K6749" s="18" t="s">
        <v>28</v>
      </c>
      <c r="L6749" s="18" t="s">
        <v>28</v>
      </c>
      <c r="M6749" s="18" t="s">
        <v>28</v>
      </c>
      <c r="N6749" s="17">
        <v>43719</v>
      </c>
      <c r="O6749" s="15" t="s">
        <v>73</v>
      </c>
      <c r="P6749" s="16" t="s">
        <v>20318</v>
      </c>
      <c r="Q6749" s="15" t="s">
        <v>37</v>
      </c>
      <c r="R6749" s="13" t="str">
        <f>HYPERLINK("https://my.pitchbook.com?c=124660-99T","View Company Online")</f>
        <v>View Company Online</v>
      </c>
    </row>
    <row r="6750" spans="1:18" hidden="1" x14ac:dyDescent="0.3">
      <c r="A6750" s="9" t="s">
        <v>20319</v>
      </c>
      <c r="B6750" s="9" t="s">
        <v>12867</v>
      </c>
      <c r="C6750" s="11" t="s">
        <v>28</v>
      </c>
      <c r="D6750" s="9" t="s">
        <v>12868</v>
      </c>
      <c r="E6750" s="11" t="s">
        <v>28</v>
      </c>
      <c r="F6750" s="10" t="s">
        <v>28</v>
      </c>
      <c r="G6750" s="10">
        <v>16.350000000000001</v>
      </c>
      <c r="H6750" s="10" t="s">
        <v>28</v>
      </c>
      <c r="I6750" s="11" t="s">
        <v>28</v>
      </c>
      <c r="J6750" s="11" t="s">
        <v>28</v>
      </c>
      <c r="K6750" s="11" t="s">
        <v>28</v>
      </c>
      <c r="L6750" s="11" t="s">
        <v>28</v>
      </c>
      <c r="M6750" s="11" t="s">
        <v>28</v>
      </c>
      <c r="N6750" s="8">
        <v>43718</v>
      </c>
      <c r="O6750" s="9" t="s">
        <v>73</v>
      </c>
      <c r="P6750" s="12" t="s">
        <v>20320</v>
      </c>
      <c r="Q6750" s="9" t="s">
        <v>37</v>
      </c>
      <c r="R6750" s="14" t="str">
        <f>HYPERLINK("https://my.pitchbook.com?c=123289-84T","View Company Online")</f>
        <v>View Company Online</v>
      </c>
    </row>
    <row r="6751" spans="1:18" hidden="1" x14ac:dyDescent="0.3">
      <c r="A6751" s="15" t="s">
        <v>20321</v>
      </c>
      <c r="B6751" s="15" t="s">
        <v>8637</v>
      </c>
      <c r="C6751" s="18" t="s">
        <v>28</v>
      </c>
      <c r="D6751" s="15" t="s">
        <v>8638</v>
      </c>
      <c r="E6751" s="18" t="s">
        <v>28</v>
      </c>
      <c r="F6751" s="19" t="s">
        <v>28</v>
      </c>
      <c r="G6751" s="19">
        <v>250</v>
      </c>
      <c r="H6751" s="19">
        <v>1000</v>
      </c>
      <c r="I6751" s="18" t="s">
        <v>28</v>
      </c>
      <c r="J6751" s="18" t="s">
        <v>28</v>
      </c>
      <c r="K6751" s="18" t="s">
        <v>28</v>
      </c>
      <c r="L6751" s="18" t="s">
        <v>28</v>
      </c>
      <c r="M6751" s="18" t="s">
        <v>28</v>
      </c>
      <c r="N6751" s="17">
        <v>43718</v>
      </c>
      <c r="O6751" s="15" t="s">
        <v>79</v>
      </c>
      <c r="P6751" s="16" t="s">
        <v>20322</v>
      </c>
      <c r="Q6751" s="15" t="s">
        <v>119</v>
      </c>
      <c r="R6751" s="13" t="str">
        <f>HYPERLINK("https://my.pitchbook.com?c=123187-69T","View Company Online")</f>
        <v>View Company Online</v>
      </c>
    </row>
    <row r="6752" spans="1:18" hidden="1" x14ac:dyDescent="0.3">
      <c r="A6752" s="9" t="s">
        <v>20323</v>
      </c>
      <c r="B6752" s="9" t="s">
        <v>20324</v>
      </c>
      <c r="C6752" s="11" t="s">
        <v>28</v>
      </c>
      <c r="D6752" s="9" t="s">
        <v>20325</v>
      </c>
      <c r="E6752" s="11" t="s">
        <v>28</v>
      </c>
      <c r="F6752" s="10" t="s">
        <v>28</v>
      </c>
      <c r="G6752" s="10" t="s">
        <v>28</v>
      </c>
      <c r="H6752" s="10" t="s">
        <v>28</v>
      </c>
      <c r="I6752" s="11" t="s">
        <v>28</v>
      </c>
      <c r="J6752" s="11" t="s">
        <v>28</v>
      </c>
      <c r="K6752" s="11" t="s">
        <v>28</v>
      </c>
      <c r="L6752" s="11" t="s">
        <v>28</v>
      </c>
      <c r="M6752" s="11" t="s">
        <v>28</v>
      </c>
      <c r="N6752" s="8">
        <v>43718</v>
      </c>
      <c r="O6752" s="9" t="s">
        <v>52</v>
      </c>
      <c r="P6752" s="12" t="s">
        <v>28</v>
      </c>
      <c r="Q6752" s="9" t="s">
        <v>583</v>
      </c>
      <c r="R6752" s="14" t="str">
        <f>HYPERLINK("https://my.pitchbook.com?c=134951-41T","View Company Online")</f>
        <v>View Company Online</v>
      </c>
    </row>
    <row r="6753" spans="1:18" hidden="1" x14ac:dyDescent="0.3">
      <c r="A6753" s="15" t="s">
        <v>20326</v>
      </c>
      <c r="B6753" s="15" t="s">
        <v>10909</v>
      </c>
      <c r="C6753" s="18" t="s">
        <v>28</v>
      </c>
      <c r="D6753" s="15" t="s">
        <v>10910</v>
      </c>
      <c r="E6753" s="18" t="s">
        <v>28</v>
      </c>
      <c r="F6753" s="19" t="s">
        <v>28</v>
      </c>
      <c r="G6753" s="19">
        <v>0.17</v>
      </c>
      <c r="H6753" s="19" t="s">
        <v>28</v>
      </c>
      <c r="I6753" s="18" t="s">
        <v>28</v>
      </c>
      <c r="J6753" s="18" t="s">
        <v>28</v>
      </c>
      <c r="K6753" s="18" t="s">
        <v>28</v>
      </c>
      <c r="L6753" s="18" t="s">
        <v>28</v>
      </c>
      <c r="M6753" s="18" t="s">
        <v>28</v>
      </c>
      <c r="N6753" s="17">
        <v>43717</v>
      </c>
      <c r="O6753" s="15" t="s">
        <v>379</v>
      </c>
      <c r="P6753" s="16" t="s">
        <v>20327</v>
      </c>
      <c r="Q6753" s="15" t="s">
        <v>75</v>
      </c>
      <c r="R6753" s="13" t="str">
        <f>HYPERLINK("https://my.pitchbook.com?c=251970-40T","View Company Online")</f>
        <v>View Company Online</v>
      </c>
    </row>
    <row r="6754" spans="1:18" hidden="1" x14ac:dyDescent="0.3">
      <c r="A6754" s="9" t="s">
        <v>20328</v>
      </c>
      <c r="B6754" s="9" t="s">
        <v>20329</v>
      </c>
      <c r="C6754" s="11" t="s">
        <v>28</v>
      </c>
      <c r="D6754" s="9" t="s">
        <v>20330</v>
      </c>
      <c r="E6754" s="11" t="s">
        <v>28</v>
      </c>
      <c r="F6754" s="10" t="s">
        <v>28</v>
      </c>
      <c r="G6754" s="10">
        <v>0.61</v>
      </c>
      <c r="H6754" s="10" t="s">
        <v>28</v>
      </c>
      <c r="I6754" s="11" t="s">
        <v>28</v>
      </c>
      <c r="J6754" s="11" t="s">
        <v>28</v>
      </c>
      <c r="K6754" s="11" t="s">
        <v>28</v>
      </c>
      <c r="L6754" s="11" t="s">
        <v>28</v>
      </c>
      <c r="M6754" s="11" t="s">
        <v>28</v>
      </c>
      <c r="N6754" s="8">
        <v>43717</v>
      </c>
      <c r="O6754" s="9" t="s">
        <v>73</v>
      </c>
      <c r="P6754" s="12" t="s">
        <v>20331</v>
      </c>
      <c r="Q6754" s="9" t="s">
        <v>119</v>
      </c>
      <c r="R6754" s="14" t="str">
        <f>HYPERLINK("https://my.pitchbook.com?c=125637-40T","View Company Online")</f>
        <v>View Company Online</v>
      </c>
    </row>
    <row r="6755" spans="1:18" hidden="1" x14ac:dyDescent="0.3">
      <c r="A6755" s="15" t="s">
        <v>20332</v>
      </c>
      <c r="B6755" s="15" t="s">
        <v>20333</v>
      </c>
      <c r="C6755" s="18" t="s">
        <v>28</v>
      </c>
      <c r="D6755" s="15" t="s">
        <v>20334</v>
      </c>
      <c r="E6755" s="18" t="s">
        <v>28</v>
      </c>
      <c r="F6755" s="19" t="s">
        <v>28</v>
      </c>
      <c r="G6755" s="19" t="s">
        <v>28</v>
      </c>
      <c r="H6755" s="19" t="s">
        <v>28</v>
      </c>
      <c r="I6755" s="18" t="s">
        <v>28</v>
      </c>
      <c r="J6755" s="18" t="s">
        <v>28</v>
      </c>
      <c r="K6755" s="18" t="s">
        <v>28</v>
      </c>
      <c r="L6755" s="18" t="s">
        <v>28</v>
      </c>
      <c r="M6755" s="18" t="s">
        <v>28</v>
      </c>
      <c r="N6755" s="17">
        <v>43717</v>
      </c>
      <c r="O6755" s="15" t="s">
        <v>173</v>
      </c>
      <c r="P6755" s="16" t="s">
        <v>28</v>
      </c>
      <c r="Q6755" s="15" t="s">
        <v>174</v>
      </c>
      <c r="R6755" s="13" t="str">
        <f>HYPERLINK("https://my.pitchbook.com?c=227756-80T","View Company Online")</f>
        <v>View Company Online</v>
      </c>
    </row>
    <row r="6756" spans="1:18" hidden="1" x14ac:dyDescent="0.3">
      <c r="A6756" s="9" t="s">
        <v>20335</v>
      </c>
      <c r="B6756" s="9" t="s">
        <v>4256</v>
      </c>
      <c r="C6756" s="11" t="s">
        <v>28</v>
      </c>
      <c r="D6756" s="9" t="s">
        <v>4257</v>
      </c>
      <c r="E6756" s="11" t="s">
        <v>28</v>
      </c>
      <c r="F6756" s="10" t="s">
        <v>28</v>
      </c>
      <c r="G6756" s="10" t="s">
        <v>28</v>
      </c>
      <c r="H6756" s="10" t="s">
        <v>28</v>
      </c>
      <c r="I6756" s="11" t="s">
        <v>28</v>
      </c>
      <c r="J6756" s="11" t="s">
        <v>28</v>
      </c>
      <c r="K6756" s="11" t="s">
        <v>28</v>
      </c>
      <c r="L6756" s="11" t="s">
        <v>28</v>
      </c>
      <c r="M6756" s="11" t="s">
        <v>28</v>
      </c>
      <c r="N6756" s="8">
        <v>43714</v>
      </c>
      <c r="O6756" s="9" t="s">
        <v>52</v>
      </c>
      <c r="P6756" s="12" t="s">
        <v>2830</v>
      </c>
      <c r="Q6756" s="9" t="s">
        <v>75</v>
      </c>
      <c r="R6756" s="14" t="str">
        <f>HYPERLINK("https://my.pitchbook.com?c=261616-69T","View Company Online")</f>
        <v>View Company Online</v>
      </c>
    </row>
    <row r="6757" spans="1:18" hidden="1" x14ac:dyDescent="0.3">
      <c r="A6757" s="15" t="s">
        <v>20336</v>
      </c>
      <c r="B6757" s="15" t="s">
        <v>149</v>
      </c>
      <c r="C6757" s="18" t="s">
        <v>28</v>
      </c>
      <c r="D6757" s="15" t="s">
        <v>150</v>
      </c>
      <c r="E6757" s="18" t="s">
        <v>28</v>
      </c>
      <c r="F6757" s="19" t="s">
        <v>28</v>
      </c>
      <c r="G6757" s="19">
        <v>4.92</v>
      </c>
      <c r="H6757" s="19" t="s">
        <v>28</v>
      </c>
      <c r="I6757" s="18" t="s">
        <v>28</v>
      </c>
      <c r="J6757" s="18" t="s">
        <v>28</v>
      </c>
      <c r="K6757" s="18" t="s">
        <v>28</v>
      </c>
      <c r="L6757" s="18" t="s">
        <v>28</v>
      </c>
      <c r="M6757" s="18" t="s">
        <v>28</v>
      </c>
      <c r="N6757" s="17">
        <v>43714</v>
      </c>
      <c r="O6757" s="15" t="s">
        <v>73</v>
      </c>
      <c r="P6757" s="16" t="s">
        <v>20337</v>
      </c>
      <c r="Q6757" s="15" t="s">
        <v>114</v>
      </c>
      <c r="R6757" s="13" t="str">
        <f>HYPERLINK("https://my.pitchbook.com?c=169354-72T","View Company Online")</f>
        <v>View Company Online</v>
      </c>
    </row>
    <row r="6758" spans="1:18" hidden="1" x14ac:dyDescent="0.3">
      <c r="A6758" s="9" t="s">
        <v>20338</v>
      </c>
      <c r="B6758" s="9" t="s">
        <v>16423</v>
      </c>
      <c r="C6758" s="11" t="s">
        <v>28</v>
      </c>
      <c r="D6758" s="9" t="s">
        <v>16424</v>
      </c>
      <c r="E6758" s="11" t="s">
        <v>28</v>
      </c>
      <c r="F6758" s="10" t="s">
        <v>28</v>
      </c>
      <c r="G6758" s="10">
        <v>1.41</v>
      </c>
      <c r="H6758" s="10" t="s">
        <v>28</v>
      </c>
      <c r="I6758" s="11" t="s">
        <v>28</v>
      </c>
      <c r="J6758" s="11" t="s">
        <v>28</v>
      </c>
      <c r="K6758" s="11">
        <v>253.38</v>
      </c>
      <c r="L6758" s="11" t="s">
        <v>28</v>
      </c>
      <c r="M6758" s="11" t="s">
        <v>28</v>
      </c>
      <c r="N6758" s="8">
        <v>43714</v>
      </c>
      <c r="O6758" s="9" t="s">
        <v>79</v>
      </c>
      <c r="P6758" s="12" t="s">
        <v>19170</v>
      </c>
      <c r="Q6758" s="9" t="s">
        <v>409</v>
      </c>
      <c r="R6758" s="14" t="str">
        <f>HYPERLINK("https://my.pitchbook.com?c=302210-38T","View Company Online")</f>
        <v>View Company Online</v>
      </c>
    </row>
    <row r="6759" spans="1:18" hidden="1" x14ac:dyDescent="0.3">
      <c r="A6759" s="15" t="s">
        <v>20339</v>
      </c>
      <c r="B6759" s="15" t="s">
        <v>14499</v>
      </c>
      <c r="C6759" s="18" t="s">
        <v>28</v>
      </c>
      <c r="D6759" s="15" t="s">
        <v>14500</v>
      </c>
      <c r="E6759" s="18" t="s">
        <v>28</v>
      </c>
      <c r="F6759" s="19" t="s">
        <v>28</v>
      </c>
      <c r="G6759" s="19" t="s">
        <v>28</v>
      </c>
      <c r="H6759" s="19" t="s">
        <v>28</v>
      </c>
      <c r="I6759" s="18" t="s">
        <v>28</v>
      </c>
      <c r="J6759" s="18" t="s">
        <v>28</v>
      </c>
      <c r="K6759" s="18" t="s">
        <v>28</v>
      </c>
      <c r="L6759" s="18" t="s">
        <v>28</v>
      </c>
      <c r="M6759" s="18" t="s">
        <v>28</v>
      </c>
      <c r="N6759" s="17">
        <v>43714</v>
      </c>
      <c r="O6759" s="15" t="s">
        <v>52</v>
      </c>
      <c r="P6759" s="16" t="s">
        <v>2830</v>
      </c>
      <c r="Q6759" s="15" t="s">
        <v>75</v>
      </c>
      <c r="R6759" s="13" t="str">
        <f>HYPERLINK("https://my.pitchbook.com?c=261621-82T","View Company Online")</f>
        <v>View Company Online</v>
      </c>
    </row>
    <row r="6760" spans="1:18" hidden="1" x14ac:dyDescent="0.3">
      <c r="A6760" s="9" t="s">
        <v>20340</v>
      </c>
      <c r="B6760" s="9" t="s">
        <v>20341</v>
      </c>
      <c r="C6760" s="11" t="s">
        <v>28</v>
      </c>
      <c r="D6760" s="9" t="s">
        <v>20342</v>
      </c>
      <c r="E6760" s="11" t="s">
        <v>28</v>
      </c>
      <c r="F6760" s="10" t="s">
        <v>28</v>
      </c>
      <c r="G6760" s="10" t="s">
        <v>28</v>
      </c>
      <c r="H6760" s="10" t="s">
        <v>28</v>
      </c>
      <c r="I6760" s="11" t="s">
        <v>28</v>
      </c>
      <c r="J6760" s="11" t="s">
        <v>28</v>
      </c>
      <c r="K6760" s="11" t="s">
        <v>28</v>
      </c>
      <c r="L6760" s="11" t="s">
        <v>28</v>
      </c>
      <c r="M6760" s="11" t="s">
        <v>28</v>
      </c>
      <c r="N6760" s="8">
        <v>43714</v>
      </c>
      <c r="O6760" s="9" t="s">
        <v>99</v>
      </c>
      <c r="P6760" s="12" t="s">
        <v>611</v>
      </c>
      <c r="Q6760" s="9" t="s">
        <v>75</v>
      </c>
      <c r="R6760" s="14" t="str">
        <f>HYPERLINK("https://my.pitchbook.com?c=124769-44T","View Company Online")</f>
        <v>View Company Online</v>
      </c>
    </row>
    <row r="6761" spans="1:18" hidden="1" x14ac:dyDescent="0.3">
      <c r="A6761" s="15" t="s">
        <v>20343</v>
      </c>
      <c r="B6761" s="15" t="s">
        <v>14666</v>
      </c>
      <c r="C6761" s="18" t="s">
        <v>28</v>
      </c>
      <c r="D6761" s="15" t="s">
        <v>14667</v>
      </c>
      <c r="E6761" s="18" t="s">
        <v>28</v>
      </c>
      <c r="F6761" s="19" t="s">
        <v>28</v>
      </c>
      <c r="G6761" s="19">
        <v>24.63</v>
      </c>
      <c r="H6761" s="19" t="s">
        <v>28</v>
      </c>
      <c r="I6761" s="18" t="s">
        <v>28</v>
      </c>
      <c r="J6761" s="18" t="s">
        <v>28</v>
      </c>
      <c r="K6761" s="18" t="s">
        <v>28</v>
      </c>
      <c r="L6761" s="18" t="s">
        <v>28</v>
      </c>
      <c r="M6761" s="18" t="s">
        <v>28</v>
      </c>
      <c r="N6761" s="17">
        <v>43713</v>
      </c>
      <c r="O6761" s="15" t="s">
        <v>93</v>
      </c>
      <c r="P6761" s="16" t="s">
        <v>20344</v>
      </c>
      <c r="Q6761" s="15" t="s">
        <v>43</v>
      </c>
      <c r="R6761" s="13" t="str">
        <f>HYPERLINK("https://my.pitchbook.com?c=127684-72T","View Company Online")</f>
        <v>View Company Online</v>
      </c>
    </row>
    <row r="6762" spans="1:18" hidden="1" x14ac:dyDescent="0.3">
      <c r="A6762" s="9" t="s">
        <v>20345</v>
      </c>
      <c r="B6762" s="9" t="s">
        <v>9325</v>
      </c>
      <c r="C6762" s="11" t="s">
        <v>28</v>
      </c>
      <c r="D6762" s="9" t="s">
        <v>9326</v>
      </c>
      <c r="E6762" s="11" t="s">
        <v>28</v>
      </c>
      <c r="F6762" s="10" t="s">
        <v>28</v>
      </c>
      <c r="G6762" s="10">
        <v>0.55000000000000004</v>
      </c>
      <c r="H6762" s="10" t="s">
        <v>28</v>
      </c>
      <c r="I6762" s="11" t="s">
        <v>28</v>
      </c>
      <c r="J6762" s="11" t="s">
        <v>28</v>
      </c>
      <c r="K6762" s="11" t="s">
        <v>28</v>
      </c>
      <c r="L6762" s="11" t="s">
        <v>28</v>
      </c>
      <c r="M6762" s="11" t="s">
        <v>28</v>
      </c>
      <c r="N6762" s="8">
        <v>43713</v>
      </c>
      <c r="O6762" s="9" t="s">
        <v>99</v>
      </c>
      <c r="P6762" s="12" t="s">
        <v>20346</v>
      </c>
      <c r="Q6762" s="9" t="s">
        <v>54</v>
      </c>
      <c r="R6762" s="14" t="str">
        <f>HYPERLINK("https://my.pitchbook.com?c=132390-37T","View Company Online")</f>
        <v>View Company Online</v>
      </c>
    </row>
    <row r="6763" spans="1:18" hidden="1" x14ac:dyDescent="0.3">
      <c r="A6763" s="15" t="s">
        <v>20347</v>
      </c>
      <c r="B6763" s="15" t="s">
        <v>1351</v>
      </c>
      <c r="C6763" s="18" t="s">
        <v>28</v>
      </c>
      <c r="D6763" s="15" t="s">
        <v>1352</v>
      </c>
      <c r="E6763" s="18" t="s">
        <v>28</v>
      </c>
      <c r="F6763" s="19" t="s">
        <v>28</v>
      </c>
      <c r="G6763" s="19">
        <v>4.8499999999999996</v>
      </c>
      <c r="H6763" s="19" t="s">
        <v>28</v>
      </c>
      <c r="I6763" s="18" t="s">
        <v>28</v>
      </c>
      <c r="J6763" s="18" t="s">
        <v>28</v>
      </c>
      <c r="K6763" s="18" t="s">
        <v>28</v>
      </c>
      <c r="L6763" s="18" t="s">
        <v>28</v>
      </c>
      <c r="M6763" s="18" t="s">
        <v>28</v>
      </c>
      <c r="N6763" s="17">
        <v>43713</v>
      </c>
      <c r="O6763" s="15" t="s">
        <v>73</v>
      </c>
      <c r="P6763" s="16" t="s">
        <v>20348</v>
      </c>
      <c r="Q6763" s="15" t="s">
        <v>37</v>
      </c>
      <c r="R6763" s="13" t="str">
        <f>HYPERLINK("https://my.pitchbook.com?c=131052-25T","View Company Online")</f>
        <v>View Company Online</v>
      </c>
    </row>
    <row r="6764" spans="1:18" hidden="1" x14ac:dyDescent="0.3">
      <c r="A6764" s="9" t="s">
        <v>20349</v>
      </c>
      <c r="B6764" s="9" t="s">
        <v>12812</v>
      </c>
      <c r="C6764" s="11" t="s">
        <v>28</v>
      </c>
      <c r="D6764" s="9" t="s">
        <v>12813</v>
      </c>
      <c r="E6764" s="11" t="s">
        <v>28</v>
      </c>
      <c r="F6764" s="10" t="s">
        <v>28</v>
      </c>
      <c r="G6764" s="10">
        <v>4.93</v>
      </c>
      <c r="H6764" s="10" t="s">
        <v>28</v>
      </c>
      <c r="I6764" s="11" t="s">
        <v>28</v>
      </c>
      <c r="J6764" s="11" t="s">
        <v>28</v>
      </c>
      <c r="K6764" s="11" t="s">
        <v>28</v>
      </c>
      <c r="L6764" s="11" t="s">
        <v>28</v>
      </c>
      <c r="M6764" s="11" t="s">
        <v>28</v>
      </c>
      <c r="N6764" s="8">
        <v>43713</v>
      </c>
      <c r="O6764" s="9" t="s">
        <v>79</v>
      </c>
      <c r="P6764" s="12" t="s">
        <v>20348</v>
      </c>
      <c r="Q6764" s="9" t="s">
        <v>419</v>
      </c>
      <c r="R6764" s="14" t="str">
        <f>HYPERLINK("https://my.pitchbook.com?c=128633-41T","View Company Online")</f>
        <v>View Company Online</v>
      </c>
    </row>
    <row r="6765" spans="1:18" hidden="1" x14ac:dyDescent="0.3">
      <c r="A6765" s="15" t="s">
        <v>20350</v>
      </c>
      <c r="B6765" s="15" t="s">
        <v>16643</v>
      </c>
      <c r="C6765" s="18" t="s">
        <v>28</v>
      </c>
      <c r="D6765" s="15" t="s">
        <v>16644</v>
      </c>
      <c r="E6765" s="18" t="s">
        <v>28</v>
      </c>
      <c r="F6765" s="19" t="s">
        <v>28</v>
      </c>
      <c r="G6765" s="19" t="s">
        <v>28</v>
      </c>
      <c r="H6765" s="19" t="s">
        <v>28</v>
      </c>
      <c r="I6765" s="18" t="s">
        <v>28</v>
      </c>
      <c r="J6765" s="18" t="s">
        <v>28</v>
      </c>
      <c r="K6765" s="18" t="s">
        <v>28</v>
      </c>
      <c r="L6765" s="18" t="s">
        <v>28</v>
      </c>
      <c r="M6765" s="18" t="s">
        <v>28</v>
      </c>
      <c r="N6765" s="17">
        <v>43713</v>
      </c>
      <c r="O6765" s="15" t="s">
        <v>79</v>
      </c>
      <c r="P6765" s="16" t="s">
        <v>20351</v>
      </c>
      <c r="Q6765" s="15" t="s">
        <v>37</v>
      </c>
      <c r="R6765" s="13" t="str">
        <f>HYPERLINK("https://my.pitchbook.com?c=125686-18T","View Company Online")</f>
        <v>View Company Online</v>
      </c>
    </row>
    <row r="6766" spans="1:18" hidden="1" x14ac:dyDescent="0.3">
      <c r="A6766" s="9" t="s">
        <v>20352</v>
      </c>
      <c r="B6766" s="9" t="s">
        <v>13854</v>
      </c>
      <c r="C6766" s="11" t="s">
        <v>28</v>
      </c>
      <c r="D6766" s="9" t="s">
        <v>13855</v>
      </c>
      <c r="E6766" s="11" t="s">
        <v>28</v>
      </c>
      <c r="F6766" s="10" t="s">
        <v>28</v>
      </c>
      <c r="G6766" s="10" t="s">
        <v>28</v>
      </c>
      <c r="H6766" s="10" t="s">
        <v>28</v>
      </c>
      <c r="I6766" s="11" t="s">
        <v>28</v>
      </c>
      <c r="J6766" s="11" t="s">
        <v>28</v>
      </c>
      <c r="K6766" s="11" t="s">
        <v>28</v>
      </c>
      <c r="L6766" s="11" t="s">
        <v>28</v>
      </c>
      <c r="M6766" s="11" t="s">
        <v>28</v>
      </c>
      <c r="N6766" s="8">
        <v>43712</v>
      </c>
      <c r="O6766" s="9" t="s">
        <v>99</v>
      </c>
      <c r="P6766" s="12" t="s">
        <v>611</v>
      </c>
      <c r="Q6766" s="9" t="s">
        <v>832</v>
      </c>
      <c r="R6766" s="14" t="str">
        <f>HYPERLINK("https://my.pitchbook.com?c=124754-77T","View Company Online")</f>
        <v>View Company Online</v>
      </c>
    </row>
    <row r="6767" spans="1:18" hidden="1" x14ac:dyDescent="0.3">
      <c r="A6767" s="15" t="s">
        <v>20353</v>
      </c>
      <c r="B6767" s="15" t="s">
        <v>20155</v>
      </c>
      <c r="C6767" s="18" t="s">
        <v>28</v>
      </c>
      <c r="D6767" s="15" t="s">
        <v>20156</v>
      </c>
      <c r="E6767" s="18" t="s">
        <v>28</v>
      </c>
      <c r="F6767" s="19" t="s">
        <v>28</v>
      </c>
      <c r="G6767" s="19">
        <v>0.05</v>
      </c>
      <c r="H6767" s="19" t="s">
        <v>28</v>
      </c>
      <c r="I6767" s="18" t="s">
        <v>28</v>
      </c>
      <c r="J6767" s="18" t="s">
        <v>28</v>
      </c>
      <c r="K6767" s="18">
        <v>0.91</v>
      </c>
      <c r="L6767" s="18" t="s">
        <v>28</v>
      </c>
      <c r="M6767" s="18" t="s">
        <v>28</v>
      </c>
      <c r="N6767" s="17">
        <v>43711</v>
      </c>
      <c r="O6767" s="15" t="s">
        <v>47</v>
      </c>
      <c r="P6767" s="16" t="s">
        <v>17806</v>
      </c>
      <c r="Q6767" s="15" t="s">
        <v>136</v>
      </c>
      <c r="R6767" s="13" t="str">
        <f>HYPERLINK("https://my.pitchbook.com?c=129512-71T","View Company Online")</f>
        <v>View Company Online</v>
      </c>
    </row>
    <row r="6768" spans="1:18" hidden="1" x14ac:dyDescent="0.3">
      <c r="A6768" s="9" t="s">
        <v>20354</v>
      </c>
      <c r="B6768" s="9" t="s">
        <v>6521</v>
      </c>
      <c r="C6768" s="11" t="s">
        <v>28</v>
      </c>
      <c r="D6768" s="9" t="s">
        <v>6522</v>
      </c>
      <c r="E6768" s="11" t="s">
        <v>28</v>
      </c>
      <c r="F6768" s="10" t="s">
        <v>28</v>
      </c>
      <c r="G6768" s="10" t="s">
        <v>28</v>
      </c>
      <c r="H6768" s="10" t="s">
        <v>28</v>
      </c>
      <c r="I6768" s="11" t="s">
        <v>28</v>
      </c>
      <c r="J6768" s="11" t="s">
        <v>28</v>
      </c>
      <c r="K6768" s="11" t="s">
        <v>28</v>
      </c>
      <c r="L6768" s="11" t="s">
        <v>28</v>
      </c>
      <c r="M6768" s="11" t="s">
        <v>28</v>
      </c>
      <c r="N6768" s="8">
        <v>43711</v>
      </c>
      <c r="O6768" s="9" t="s">
        <v>58</v>
      </c>
      <c r="P6768" s="12" t="s">
        <v>20355</v>
      </c>
      <c r="Q6768" s="9" t="s">
        <v>75</v>
      </c>
      <c r="R6768" s="14" t="str">
        <f>HYPERLINK("https://my.pitchbook.com?c=220066-03T","View Company Online")</f>
        <v>View Company Online</v>
      </c>
    </row>
    <row r="6769" spans="1:18" x14ac:dyDescent="0.3">
      <c r="A6769" s="15" t="s">
        <v>20356</v>
      </c>
      <c r="B6769" s="15" t="s">
        <v>20357</v>
      </c>
      <c r="C6769" s="18">
        <v>5.77</v>
      </c>
      <c r="D6769" s="15" t="s">
        <v>20358</v>
      </c>
      <c r="E6769" s="18">
        <v>32.86</v>
      </c>
      <c r="F6769" s="19">
        <v>245.05</v>
      </c>
      <c r="G6769" s="19">
        <v>247.11</v>
      </c>
      <c r="H6769" s="19">
        <v>253</v>
      </c>
      <c r="I6769" s="18">
        <v>42.47</v>
      </c>
      <c r="J6769" s="18">
        <v>5.96</v>
      </c>
      <c r="K6769" s="18">
        <v>199.99</v>
      </c>
      <c r="L6769" s="18">
        <v>1.27</v>
      </c>
      <c r="M6769" s="18">
        <v>19.2</v>
      </c>
      <c r="N6769" s="17">
        <v>43711</v>
      </c>
      <c r="O6769" s="15" t="s">
        <v>41</v>
      </c>
      <c r="P6769" s="16" t="s">
        <v>20359</v>
      </c>
      <c r="Q6769" s="15" t="s">
        <v>2916</v>
      </c>
      <c r="R6769" s="13" t="str">
        <f>HYPERLINK("https://my.pitchbook.com?c=121145-95T","View Company Online")</f>
        <v>View Company Online</v>
      </c>
    </row>
    <row r="6770" spans="1:18" hidden="1" x14ac:dyDescent="0.3">
      <c r="A6770" s="9" t="s">
        <v>20360</v>
      </c>
      <c r="B6770" s="9" t="s">
        <v>20361</v>
      </c>
      <c r="C6770" s="11" t="s">
        <v>28</v>
      </c>
      <c r="D6770" s="9" t="s">
        <v>20362</v>
      </c>
      <c r="E6770" s="11" t="s">
        <v>28</v>
      </c>
      <c r="F6770" s="10" t="s">
        <v>28</v>
      </c>
      <c r="G6770" s="10" t="s">
        <v>28</v>
      </c>
      <c r="H6770" s="10" t="s">
        <v>28</v>
      </c>
      <c r="I6770" s="11" t="s">
        <v>28</v>
      </c>
      <c r="J6770" s="11" t="s">
        <v>28</v>
      </c>
      <c r="K6770" s="11" t="s">
        <v>28</v>
      </c>
      <c r="L6770" s="11" t="s">
        <v>28</v>
      </c>
      <c r="M6770" s="11" t="s">
        <v>28</v>
      </c>
      <c r="N6770" s="8">
        <v>43711</v>
      </c>
      <c r="O6770" s="9" t="s">
        <v>30</v>
      </c>
      <c r="P6770" s="12" t="s">
        <v>18527</v>
      </c>
      <c r="Q6770" s="9" t="s">
        <v>75</v>
      </c>
      <c r="R6770" s="14" t="str">
        <f>HYPERLINK("https://my.pitchbook.com?c=211775-86T","View Company Online")</f>
        <v>View Company Online</v>
      </c>
    </row>
    <row r="6771" spans="1:18" hidden="1" x14ac:dyDescent="0.3">
      <c r="A6771" s="15" t="s">
        <v>20363</v>
      </c>
      <c r="B6771" s="15" t="s">
        <v>20364</v>
      </c>
      <c r="C6771" s="18" t="s">
        <v>28</v>
      </c>
      <c r="D6771" s="15" t="s">
        <v>20365</v>
      </c>
      <c r="E6771" s="18" t="s">
        <v>28</v>
      </c>
      <c r="F6771" s="19" t="s">
        <v>28</v>
      </c>
      <c r="G6771" s="19" t="s">
        <v>28</v>
      </c>
      <c r="H6771" s="19" t="s">
        <v>28</v>
      </c>
      <c r="I6771" s="18" t="s">
        <v>28</v>
      </c>
      <c r="J6771" s="18" t="s">
        <v>28</v>
      </c>
      <c r="K6771" s="18" t="s">
        <v>28</v>
      </c>
      <c r="L6771" s="18" t="s">
        <v>28</v>
      </c>
      <c r="M6771" s="18" t="s">
        <v>28</v>
      </c>
      <c r="N6771" s="17">
        <v>43710</v>
      </c>
      <c r="O6771" s="15" t="s">
        <v>30</v>
      </c>
      <c r="P6771" s="16" t="s">
        <v>20366</v>
      </c>
      <c r="Q6771" s="15" t="s">
        <v>75</v>
      </c>
      <c r="R6771" s="13" t="str">
        <f>HYPERLINK("https://my.pitchbook.com?c=175411-81T","View Company Online")</f>
        <v>View Company Online</v>
      </c>
    </row>
    <row r="6772" spans="1:18" hidden="1" x14ac:dyDescent="0.3">
      <c r="A6772" s="9" t="s">
        <v>20367</v>
      </c>
      <c r="B6772" s="9" t="s">
        <v>20368</v>
      </c>
      <c r="C6772" s="11" t="s">
        <v>28</v>
      </c>
      <c r="D6772" s="9" t="s">
        <v>20369</v>
      </c>
      <c r="E6772" s="11" t="s">
        <v>28</v>
      </c>
      <c r="F6772" s="10" t="s">
        <v>28</v>
      </c>
      <c r="G6772" s="10" t="s">
        <v>28</v>
      </c>
      <c r="H6772" s="10" t="s">
        <v>28</v>
      </c>
      <c r="I6772" s="11" t="s">
        <v>28</v>
      </c>
      <c r="J6772" s="11" t="s">
        <v>28</v>
      </c>
      <c r="K6772" s="11" t="s">
        <v>28</v>
      </c>
      <c r="L6772" s="11" t="s">
        <v>28</v>
      </c>
      <c r="M6772" s="11" t="s">
        <v>28</v>
      </c>
      <c r="N6772" s="8">
        <v>43709</v>
      </c>
      <c r="O6772" s="9" t="s">
        <v>41</v>
      </c>
      <c r="P6772" s="12" t="s">
        <v>20370</v>
      </c>
      <c r="Q6772" s="9" t="s">
        <v>119</v>
      </c>
      <c r="R6772" s="14" t="str">
        <f>HYPERLINK("https://my.pitchbook.com?c=124760-53T","View Company Online")</f>
        <v>View Company Online</v>
      </c>
    </row>
    <row r="6773" spans="1:18" hidden="1" x14ac:dyDescent="0.3">
      <c r="A6773" s="15" t="s">
        <v>20371</v>
      </c>
      <c r="B6773" s="15" t="s">
        <v>2258</v>
      </c>
      <c r="C6773" s="18" t="s">
        <v>28</v>
      </c>
      <c r="D6773" s="15" t="s">
        <v>2259</v>
      </c>
      <c r="E6773" s="18" t="s">
        <v>28</v>
      </c>
      <c r="F6773" s="19" t="s">
        <v>28</v>
      </c>
      <c r="G6773" s="19">
        <v>1.08</v>
      </c>
      <c r="H6773" s="19" t="s">
        <v>28</v>
      </c>
      <c r="I6773" s="18" t="s">
        <v>28</v>
      </c>
      <c r="J6773" s="18" t="s">
        <v>28</v>
      </c>
      <c r="K6773" s="18" t="s">
        <v>28</v>
      </c>
      <c r="L6773" s="18" t="s">
        <v>28</v>
      </c>
      <c r="M6773" s="18" t="s">
        <v>28</v>
      </c>
      <c r="N6773" s="17">
        <v>43709</v>
      </c>
      <c r="O6773" s="15" t="s">
        <v>99</v>
      </c>
      <c r="P6773" s="16" t="s">
        <v>20372</v>
      </c>
      <c r="Q6773" s="15" t="s">
        <v>37</v>
      </c>
      <c r="R6773" s="13" t="str">
        <f>HYPERLINK("https://my.pitchbook.com?c=125647-39T","View Company Online")</f>
        <v>View Company Online</v>
      </c>
    </row>
    <row r="6774" spans="1:18" hidden="1" x14ac:dyDescent="0.3">
      <c r="A6774" s="9" t="s">
        <v>20373</v>
      </c>
      <c r="B6774" s="9" t="s">
        <v>9731</v>
      </c>
      <c r="C6774" s="11" t="s">
        <v>28</v>
      </c>
      <c r="D6774" s="9" t="s">
        <v>9732</v>
      </c>
      <c r="E6774" s="11" t="s">
        <v>28</v>
      </c>
      <c r="F6774" s="10" t="s">
        <v>28</v>
      </c>
      <c r="G6774" s="10" t="s">
        <v>28</v>
      </c>
      <c r="H6774" s="10" t="s">
        <v>28</v>
      </c>
      <c r="I6774" s="11" t="s">
        <v>28</v>
      </c>
      <c r="J6774" s="11" t="s">
        <v>28</v>
      </c>
      <c r="K6774" s="11" t="s">
        <v>28</v>
      </c>
      <c r="L6774" s="11" t="s">
        <v>28</v>
      </c>
      <c r="M6774" s="11" t="s">
        <v>28</v>
      </c>
      <c r="N6774" s="8">
        <v>43709</v>
      </c>
      <c r="O6774" s="9" t="s">
        <v>99</v>
      </c>
      <c r="P6774" s="12" t="s">
        <v>5429</v>
      </c>
      <c r="Q6774" s="9" t="s">
        <v>75</v>
      </c>
      <c r="R6774" s="14" t="str">
        <f>HYPERLINK("https://my.pitchbook.com?c=225193-15T","View Company Online")</f>
        <v>View Company Online</v>
      </c>
    </row>
    <row r="6775" spans="1:18" hidden="1" x14ac:dyDescent="0.3">
      <c r="A6775" s="15" t="s">
        <v>20374</v>
      </c>
      <c r="B6775" s="15" t="s">
        <v>888</v>
      </c>
      <c r="C6775" s="18" t="s">
        <v>28</v>
      </c>
      <c r="D6775" s="15" t="s">
        <v>12240</v>
      </c>
      <c r="E6775" s="18" t="s">
        <v>28</v>
      </c>
      <c r="F6775" s="19" t="s">
        <v>28</v>
      </c>
      <c r="G6775" s="19" t="s">
        <v>28</v>
      </c>
      <c r="H6775" s="19" t="s">
        <v>28</v>
      </c>
      <c r="I6775" s="18" t="s">
        <v>28</v>
      </c>
      <c r="J6775" s="18" t="s">
        <v>28</v>
      </c>
      <c r="K6775" s="18">
        <v>0.35</v>
      </c>
      <c r="L6775" s="18" t="s">
        <v>28</v>
      </c>
      <c r="M6775" s="18" t="s">
        <v>28</v>
      </c>
      <c r="N6775" s="17">
        <v>43709</v>
      </c>
      <c r="O6775" s="15" t="s">
        <v>379</v>
      </c>
      <c r="P6775" s="16" t="s">
        <v>20375</v>
      </c>
      <c r="Q6775" s="15" t="s">
        <v>213</v>
      </c>
      <c r="R6775" s="13" t="str">
        <f>HYPERLINK("https://my.pitchbook.com?c=137356-21T","View Company Online")</f>
        <v>View Company Online</v>
      </c>
    </row>
    <row r="6776" spans="1:18" hidden="1" x14ac:dyDescent="0.3">
      <c r="A6776" s="9" t="s">
        <v>20376</v>
      </c>
      <c r="B6776" s="9" t="s">
        <v>15786</v>
      </c>
      <c r="C6776" s="11" t="s">
        <v>28</v>
      </c>
      <c r="D6776" s="9" t="s">
        <v>15787</v>
      </c>
      <c r="E6776" s="11" t="s">
        <v>28</v>
      </c>
      <c r="F6776" s="10" t="s">
        <v>28</v>
      </c>
      <c r="G6776" s="10">
        <v>0.41</v>
      </c>
      <c r="H6776" s="10" t="s">
        <v>28</v>
      </c>
      <c r="I6776" s="11" t="s">
        <v>28</v>
      </c>
      <c r="J6776" s="11" t="s">
        <v>28</v>
      </c>
      <c r="K6776" s="11" t="s">
        <v>28</v>
      </c>
      <c r="L6776" s="11" t="s">
        <v>28</v>
      </c>
      <c r="M6776" s="11" t="s">
        <v>28</v>
      </c>
      <c r="N6776" s="8">
        <v>43709</v>
      </c>
      <c r="O6776" s="9" t="s">
        <v>99</v>
      </c>
      <c r="P6776" s="12" t="s">
        <v>20377</v>
      </c>
      <c r="Q6776" s="9" t="s">
        <v>5628</v>
      </c>
      <c r="R6776" s="14" t="str">
        <f>HYPERLINK("https://my.pitchbook.com?c=97235-29T","View Company Online")</f>
        <v>View Company Online</v>
      </c>
    </row>
    <row r="6777" spans="1:18" hidden="1" x14ac:dyDescent="0.3">
      <c r="A6777" s="15" t="s">
        <v>20378</v>
      </c>
      <c r="B6777" s="15" t="s">
        <v>19438</v>
      </c>
      <c r="C6777" s="18" t="s">
        <v>28</v>
      </c>
      <c r="D6777" s="15" t="s">
        <v>19439</v>
      </c>
      <c r="E6777" s="18" t="s">
        <v>28</v>
      </c>
      <c r="F6777" s="19" t="s">
        <v>28</v>
      </c>
      <c r="G6777" s="19" t="s">
        <v>28</v>
      </c>
      <c r="H6777" s="19" t="s">
        <v>28</v>
      </c>
      <c r="I6777" s="18" t="s">
        <v>28</v>
      </c>
      <c r="J6777" s="18" t="s">
        <v>28</v>
      </c>
      <c r="K6777" s="18" t="s">
        <v>28</v>
      </c>
      <c r="L6777" s="18" t="s">
        <v>28</v>
      </c>
      <c r="M6777" s="18" t="s">
        <v>28</v>
      </c>
      <c r="N6777" s="17">
        <v>43709</v>
      </c>
      <c r="O6777" s="15" t="s">
        <v>73</v>
      </c>
      <c r="P6777" s="16" t="s">
        <v>7354</v>
      </c>
      <c r="Q6777" s="15" t="s">
        <v>386</v>
      </c>
      <c r="R6777" s="13" t="str">
        <f>HYPERLINK("https://my.pitchbook.com?c=216118-18T","View Company Online")</f>
        <v>View Company Online</v>
      </c>
    </row>
    <row r="6778" spans="1:18" hidden="1" x14ac:dyDescent="0.3">
      <c r="A6778" s="9" t="s">
        <v>20379</v>
      </c>
      <c r="B6778" s="9" t="s">
        <v>20380</v>
      </c>
      <c r="C6778" s="11" t="s">
        <v>28</v>
      </c>
      <c r="D6778" s="9" t="s">
        <v>20381</v>
      </c>
      <c r="E6778" s="11" t="s">
        <v>28</v>
      </c>
      <c r="F6778" s="10" t="s">
        <v>28</v>
      </c>
      <c r="G6778" s="10">
        <v>0.12</v>
      </c>
      <c r="H6778" s="10">
        <v>0.37</v>
      </c>
      <c r="I6778" s="11" t="s">
        <v>28</v>
      </c>
      <c r="J6778" s="11" t="s">
        <v>28</v>
      </c>
      <c r="K6778" s="11" t="s">
        <v>28</v>
      </c>
      <c r="L6778" s="11" t="s">
        <v>28</v>
      </c>
      <c r="M6778" s="11" t="s">
        <v>28</v>
      </c>
      <c r="N6778" s="8">
        <v>43709</v>
      </c>
      <c r="O6778" s="9" t="s">
        <v>79</v>
      </c>
      <c r="P6778" s="12" t="s">
        <v>20225</v>
      </c>
      <c r="Q6778" s="9" t="s">
        <v>5628</v>
      </c>
      <c r="R6778" s="14" t="str">
        <f>HYPERLINK("https://my.pitchbook.com?c=114646-87T","View Company Online")</f>
        <v>View Company Online</v>
      </c>
    </row>
    <row r="6779" spans="1:18" hidden="1" x14ac:dyDescent="0.3">
      <c r="A6779" s="15" t="s">
        <v>20382</v>
      </c>
      <c r="B6779" s="15" t="s">
        <v>20383</v>
      </c>
      <c r="C6779" s="18" t="s">
        <v>28</v>
      </c>
      <c r="D6779" s="15" t="s">
        <v>20384</v>
      </c>
      <c r="E6779" s="18" t="s">
        <v>28</v>
      </c>
      <c r="F6779" s="19" t="s">
        <v>28</v>
      </c>
      <c r="G6779" s="19">
        <v>0.1</v>
      </c>
      <c r="H6779" s="19">
        <v>0.4</v>
      </c>
      <c r="I6779" s="18" t="s">
        <v>28</v>
      </c>
      <c r="J6779" s="18" t="s">
        <v>28</v>
      </c>
      <c r="K6779" s="18" t="s">
        <v>28</v>
      </c>
      <c r="L6779" s="18" t="s">
        <v>28</v>
      </c>
      <c r="M6779" s="18" t="s">
        <v>28</v>
      </c>
      <c r="N6779" s="17">
        <v>43709</v>
      </c>
      <c r="O6779" s="15" t="s">
        <v>73</v>
      </c>
      <c r="P6779" s="16" t="s">
        <v>19147</v>
      </c>
      <c r="Q6779" s="15" t="s">
        <v>1336</v>
      </c>
      <c r="R6779" s="13" t="str">
        <f>HYPERLINK("https://my.pitchbook.com?c=216059-32T","View Company Online")</f>
        <v>View Company Online</v>
      </c>
    </row>
    <row r="6780" spans="1:18" hidden="1" x14ac:dyDescent="0.3">
      <c r="A6780" s="9" t="s">
        <v>20385</v>
      </c>
      <c r="B6780" s="9" t="s">
        <v>1553</v>
      </c>
      <c r="C6780" s="11" t="s">
        <v>28</v>
      </c>
      <c r="D6780" s="9" t="s">
        <v>1554</v>
      </c>
      <c r="E6780" s="11" t="s">
        <v>28</v>
      </c>
      <c r="F6780" s="10" t="s">
        <v>28</v>
      </c>
      <c r="G6780" s="10" t="s">
        <v>28</v>
      </c>
      <c r="H6780" s="10" t="s">
        <v>28</v>
      </c>
      <c r="I6780" s="11" t="s">
        <v>28</v>
      </c>
      <c r="J6780" s="11" t="s">
        <v>28</v>
      </c>
      <c r="K6780" s="11" t="s">
        <v>28</v>
      </c>
      <c r="L6780" s="11" t="s">
        <v>28</v>
      </c>
      <c r="M6780" s="11" t="s">
        <v>28</v>
      </c>
      <c r="N6780" s="8">
        <v>43709</v>
      </c>
      <c r="O6780" s="9" t="s">
        <v>73</v>
      </c>
      <c r="P6780" s="12" t="s">
        <v>611</v>
      </c>
      <c r="Q6780" s="9" t="s">
        <v>43</v>
      </c>
      <c r="R6780" s="14" t="str">
        <f>HYPERLINK("https://my.pitchbook.com?c=191925-19T","View Company Online")</f>
        <v>View Company Online</v>
      </c>
    </row>
    <row r="6781" spans="1:18" hidden="1" x14ac:dyDescent="0.3">
      <c r="A6781" s="15" t="s">
        <v>20386</v>
      </c>
      <c r="B6781" s="15" t="s">
        <v>6982</v>
      </c>
      <c r="C6781" s="18" t="s">
        <v>28</v>
      </c>
      <c r="D6781" s="15" t="s">
        <v>6983</v>
      </c>
      <c r="E6781" s="18" t="s">
        <v>28</v>
      </c>
      <c r="F6781" s="19" t="s">
        <v>28</v>
      </c>
      <c r="G6781" s="19" t="s">
        <v>28</v>
      </c>
      <c r="H6781" s="19" t="s">
        <v>28</v>
      </c>
      <c r="I6781" s="18" t="s">
        <v>28</v>
      </c>
      <c r="J6781" s="18" t="s">
        <v>28</v>
      </c>
      <c r="K6781" s="18" t="s">
        <v>28</v>
      </c>
      <c r="L6781" s="18" t="s">
        <v>28</v>
      </c>
      <c r="M6781" s="18" t="s">
        <v>28</v>
      </c>
      <c r="N6781" s="17">
        <v>43709</v>
      </c>
      <c r="O6781" s="15" t="s">
        <v>52</v>
      </c>
      <c r="P6781" s="16" t="s">
        <v>2830</v>
      </c>
      <c r="Q6781" s="15" t="s">
        <v>75</v>
      </c>
      <c r="R6781" s="13" t="str">
        <f>HYPERLINK("https://my.pitchbook.com?c=262700-74T","View Company Online")</f>
        <v>View Company Online</v>
      </c>
    </row>
    <row r="6782" spans="1:18" hidden="1" x14ac:dyDescent="0.3">
      <c r="A6782" s="9" t="s">
        <v>20387</v>
      </c>
      <c r="B6782" s="9" t="s">
        <v>6212</v>
      </c>
      <c r="C6782" s="11" t="s">
        <v>28</v>
      </c>
      <c r="D6782" s="9" t="s">
        <v>6213</v>
      </c>
      <c r="E6782" s="11" t="s">
        <v>28</v>
      </c>
      <c r="F6782" s="10" t="s">
        <v>28</v>
      </c>
      <c r="G6782" s="10" t="s">
        <v>28</v>
      </c>
      <c r="H6782" s="10" t="s">
        <v>28</v>
      </c>
      <c r="I6782" s="11" t="s">
        <v>28</v>
      </c>
      <c r="J6782" s="11" t="s">
        <v>28</v>
      </c>
      <c r="K6782" s="11" t="s">
        <v>28</v>
      </c>
      <c r="L6782" s="11" t="s">
        <v>28</v>
      </c>
      <c r="M6782" s="11" t="s">
        <v>28</v>
      </c>
      <c r="N6782" s="8">
        <v>43709</v>
      </c>
      <c r="O6782" s="9" t="s">
        <v>99</v>
      </c>
      <c r="P6782" s="12" t="s">
        <v>611</v>
      </c>
      <c r="Q6782" s="9" t="s">
        <v>414</v>
      </c>
      <c r="R6782" s="14" t="str">
        <f>HYPERLINK("https://my.pitchbook.com?c=124747-21T","View Company Online")</f>
        <v>View Company Online</v>
      </c>
    </row>
    <row r="6783" spans="1:18" hidden="1" x14ac:dyDescent="0.3">
      <c r="A6783" s="15" t="s">
        <v>20388</v>
      </c>
      <c r="B6783" s="15" t="s">
        <v>20389</v>
      </c>
      <c r="C6783" s="18" t="s">
        <v>28</v>
      </c>
      <c r="D6783" s="15" t="s">
        <v>20390</v>
      </c>
      <c r="E6783" s="18" t="s">
        <v>28</v>
      </c>
      <c r="F6783" s="19" t="s">
        <v>28</v>
      </c>
      <c r="G6783" s="19" t="s">
        <v>28</v>
      </c>
      <c r="H6783" s="19" t="s">
        <v>28</v>
      </c>
      <c r="I6783" s="18" t="s">
        <v>28</v>
      </c>
      <c r="J6783" s="18" t="s">
        <v>28</v>
      </c>
      <c r="K6783" s="18" t="s">
        <v>28</v>
      </c>
      <c r="L6783" s="18" t="s">
        <v>28</v>
      </c>
      <c r="M6783" s="18" t="s">
        <v>28</v>
      </c>
      <c r="N6783" s="17">
        <v>43709</v>
      </c>
      <c r="O6783" s="15" t="s">
        <v>30</v>
      </c>
      <c r="P6783" s="16" t="s">
        <v>20391</v>
      </c>
      <c r="Q6783" s="15" t="s">
        <v>43</v>
      </c>
      <c r="R6783" s="13" t="str">
        <f>HYPERLINK("https://my.pitchbook.com?c=128385-55T","View Company Online")</f>
        <v>View Company Online</v>
      </c>
    </row>
    <row r="6784" spans="1:18" hidden="1" x14ac:dyDescent="0.3">
      <c r="A6784" s="9" t="s">
        <v>20392</v>
      </c>
      <c r="B6784" s="9" t="s">
        <v>20393</v>
      </c>
      <c r="C6784" s="11" t="s">
        <v>28</v>
      </c>
      <c r="D6784" s="9" t="s">
        <v>20394</v>
      </c>
      <c r="E6784" s="11" t="s">
        <v>28</v>
      </c>
      <c r="F6784" s="10" t="s">
        <v>28</v>
      </c>
      <c r="G6784" s="10" t="s">
        <v>28</v>
      </c>
      <c r="H6784" s="10" t="s">
        <v>28</v>
      </c>
      <c r="I6784" s="11" t="s">
        <v>28</v>
      </c>
      <c r="J6784" s="11" t="s">
        <v>28</v>
      </c>
      <c r="K6784" s="11" t="s">
        <v>28</v>
      </c>
      <c r="L6784" s="11" t="s">
        <v>28</v>
      </c>
      <c r="M6784" s="11" t="s">
        <v>28</v>
      </c>
      <c r="N6784" s="8">
        <v>43709</v>
      </c>
      <c r="O6784" s="9" t="s">
        <v>93</v>
      </c>
      <c r="P6784" s="12" t="s">
        <v>20395</v>
      </c>
      <c r="Q6784" s="9" t="s">
        <v>136</v>
      </c>
      <c r="R6784" s="14" t="str">
        <f>HYPERLINK("https://my.pitchbook.com?c=125100-46T","View Company Online")</f>
        <v>View Company Online</v>
      </c>
    </row>
    <row r="6785" spans="1:18" hidden="1" x14ac:dyDescent="0.3">
      <c r="A6785" s="15" t="s">
        <v>20396</v>
      </c>
      <c r="B6785" s="15" t="s">
        <v>10285</v>
      </c>
      <c r="C6785" s="18" t="s">
        <v>28</v>
      </c>
      <c r="D6785" s="15" t="s">
        <v>10286</v>
      </c>
      <c r="E6785" s="18" t="s">
        <v>28</v>
      </c>
      <c r="F6785" s="19" t="s">
        <v>28</v>
      </c>
      <c r="G6785" s="19">
        <v>7.0000000000000007E-2</v>
      </c>
      <c r="H6785" s="19" t="s">
        <v>28</v>
      </c>
      <c r="I6785" s="18" t="s">
        <v>28</v>
      </c>
      <c r="J6785" s="18" t="s">
        <v>28</v>
      </c>
      <c r="K6785" s="18" t="s">
        <v>28</v>
      </c>
      <c r="L6785" s="18" t="s">
        <v>28</v>
      </c>
      <c r="M6785" s="18" t="s">
        <v>28</v>
      </c>
      <c r="N6785" s="17">
        <v>43709</v>
      </c>
      <c r="O6785" s="15" t="s">
        <v>73</v>
      </c>
      <c r="P6785" s="16" t="s">
        <v>20397</v>
      </c>
      <c r="Q6785" s="15" t="s">
        <v>409</v>
      </c>
      <c r="R6785" s="13" t="str">
        <f>HYPERLINK("https://my.pitchbook.com?c=245686-33T","View Company Online")</f>
        <v>View Company Online</v>
      </c>
    </row>
    <row r="6786" spans="1:18" hidden="1" x14ac:dyDescent="0.3">
      <c r="A6786" s="9" t="s">
        <v>20398</v>
      </c>
      <c r="B6786" s="9" t="s">
        <v>20399</v>
      </c>
      <c r="C6786" s="11" t="s">
        <v>28</v>
      </c>
      <c r="D6786" s="9" t="s">
        <v>20400</v>
      </c>
      <c r="E6786" s="11" t="s">
        <v>28</v>
      </c>
      <c r="F6786" s="10" t="s">
        <v>28</v>
      </c>
      <c r="G6786" s="10" t="s">
        <v>28</v>
      </c>
      <c r="H6786" s="10" t="s">
        <v>28</v>
      </c>
      <c r="I6786" s="11" t="s">
        <v>28</v>
      </c>
      <c r="J6786" s="11" t="s">
        <v>28</v>
      </c>
      <c r="K6786" s="11" t="s">
        <v>28</v>
      </c>
      <c r="L6786" s="11" t="s">
        <v>28</v>
      </c>
      <c r="M6786" s="11" t="s">
        <v>28</v>
      </c>
      <c r="N6786" s="8">
        <v>43707</v>
      </c>
      <c r="O6786" s="9" t="s">
        <v>41</v>
      </c>
      <c r="P6786" s="12" t="s">
        <v>20401</v>
      </c>
      <c r="Q6786" s="9" t="s">
        <v>183</v>
      </c>
      <c r="R6786" s="14" t="str">
        <f>HYPERLINK("https://my.pitchbook.com?c=122985-55T","View Company Online")</f>
        <v>View Company Online</v>
      </c>
    </row>
    <row r="6787" spans="1:18" hidden="1" x14ac:dyDescent="0.3">
      <c r="A6787" s="15" t="s">
        <v>20402</v>
      </c>
      <c r="B6787" s="15" t="s">
        <v>20403</v>
      </c>
      <c r="C6787" s="18" t="s">
        <v>28</v>
      </c>
      <c r="D6787" s="15" t="s">
        <v>20404</v>
      </c>
      <c r="E6787" s="18" t="s">
        <v>28</v>
      </c>
      <c r="F6787" s="19" t="s">
        <v>28</v>
      </c>
      <c r="G6787" s="19" t="s">
        <v>28</v>
      </c>
      <c r="H6787" s="19" t="s">
        <v>28</v>
      </c>
      <c r="I6787" s="18" t="s">
        <v>28</v>
      </c>
      <c r="J6787" s="18" t="s">
        <v>28</v>
      </c>
      <c r="K6787" s="18" t="s">
        <v>28</v>
      </c>
      <c r="L6787" s="18" t="s">
        <v>28</v>
      </c>
      <c r="M6787" s="18" t="s">
        <v>28</v>
      </c>
      <c r="N6787" s="17">
        <v>43706</v>
      </c>
      <c r="O6787" s="15" t="s">
        <v>41</v>
      </c>
      <c r="P6787" s="16" t="s">
        <v>20405</v>
      </c>
      <c r="Q6787" s="15" t="s">
        <v>85</v>
      </c>
      <c r="R6787" s="13" t="str">
        <f>HYPERLINK("https://my.pitchbook.com?c=166002-40T","View Company Online")</f>
        <v>View Company Online</v>
      </c>
    </row>
    <row r="6788" spans="1:18" hidden="1" x14ac:dyDescent="0.3">
      <c r="A6788" s="9" t="s">
        <v>20406</v>
      </c>
      <c r="B6788" s="9" t="s">
        <v>20407</v>
      </c>
      <c r="C6788" s="11" t="s">
        <v>28</v>
      </c>
      <c r="D6788" s="9" t="s">
        <v>20408</v>
      </c>
      <c r="E6788" s="11" t="s">
        <v>28</v>
      </c>
      <c r="F6788" s="10" t="s">
        <v>28</v>
      </c>
      <c r="G6788" s="10" t="s">
        <v>28</v>
      </c>
      <c r="H6788" s="10" t="s">
        <v>28</v>
      </c>
      <c r="I6788" s="11" t="s">
        <v>28</v>
      </c>
      <c r="J6788" s="11" t="s">
        <v>28</v>
      </c>
      <c r="K6788" s="11" t="s">
        <v>28</v>
      </c>
      <c r="L6788" s="11" t="s">
        <v>28</v>
      </c>
      <c r="M6788" s="11" t="s">
        <v>28</v>
      </c>
      <c r="N6788" s="8">
        <v>43706</v>
      </c>
      <c r="O6788" s="9" t="s">
        <v>41</v>
      </c>
      <c r="P6788" s="12" t="s">
        <v>20409</v>
      </c>
      <c r="Q6788" s="9" t="s">
        <v>188</v>
      </c>
      <c r="R6788" s="14" t="str">
        <f>HYPERLINK("https://my.pitchbook.com?c=123559-93T","View Company Online")</f>
        <v>View Company Online</v>
      </c>
    </row>
    <row r="6789" spans="1:18" hidden="1" x14ac:dyDescent="0.3">
      <c r="A6789" s="15" t="s">
        <v>20410</v>
      </c>
      <c r="B6789" s="15" t="s">
        <v>20411</v>
      </c>
      <c r="C6789" s="18" t="s">
        <v>28</v>
      </c>
      <c r="D6789" s="15" t="s">
        <v>20412</v>
      </c>
      <c r="E6789" s="18" t="s">
        <v>28</v>
      </c>
      <c r="F6789" s="19" t="s">
        <v>28</v>
      </c>
      <c r="G6789" s="19" t="s">
        <v>28</v>
      </c>
      <c r="H6789" s="19" t="s">
        <v>28</v>
      </c>
      <c r="I6789" s="18" t="s">
        <v>28</v>
      </c>
      <c r="J6789" s="18" t="s">
        <v>28</v>
      </c>
      <c r="K6789" s="18" t="s">
        <v>28</v>
      </c>
      <c r="L6789" s="18" t="s">
        <v>28</v>
      </c>
      <c r="M6789" s="18" t="s">
        <v>28</v>
      </c>
      <c r="N6789" s="17">
        <v>43706</v>
      </c>
      <c r="O6789" s="15" t="s">
        <v>30</v>
      </c>
      <c r="P6789" s="16" t="s">
        <v>20413</v>
      </c>
      <c r="Q6789" s="15" t="s">
        <v>449</v>
      </c>
      <c r="R6789" s="13" t="str">
        <f>HYPERLINK("https://my.pitchbook.com?c=214197-13T","View Company Online")</f>
        <v>View Company Online</v>
      </c>
    </row>
    <row r="6790" spans="1:18" hidden="1" x14ac:dyDescent="0.3">
      <c r="A6790" s="9" t="s">
        <v>20414</v>
      </c>
      <c r="B6790" s="9" t="s">
        <v>20415</v>
      </c>
      <c r="C6790" s="11" t="s">
        <v>28</v>
      </c>
      <c r="D6790" s="9" t="s">
        <v>20416</v>
      </c>
      <c r="E6790" s="11" t="s">
        <v>28</v>
      </c>
      <c r="F6790" s="10" t="s">
        <v>28</v>
      </c>
      <c r="G6790" s="10" t="s">
        <v>28</v>
      </c>
      <c r="H6790" s="10" t="s">
        <v>28</v>
      </c>
      <c r="I6790" s="11" t="s">
        <v>28</v>
      </c>
      <c r="J6790" s="11" t="s">
        <v>28</v>
      </c>
      <c r="K6790" s="11" t="s">
        <v>28</v>
      </c>
      <c r="L6790" s="11" t="s">
        <v>28</v>
      </c>
      <c r="M6790" s="11" t="s">
        <v>28</v>
      </c>
      <c r="N6790" s="8">
        <v>43705</v>
      </c>
      <c r="O6790" s="9" t="s">
        <v>173</v>
      </c>
      <c r="P6790" s="12" t="s">
        <v>28</v>
      </c>
      <c r="Q6790" s="9" t="s">
        <v>174</v>
      </c>
      <c r="R6790" s="14" t="str">
        <f>HYPERLINK("https://my.pitchbook.com?c=222834-16T","View Company Online")</f>
        <v>View Company Online</v>
      </c>
    </row>
    <row r="6791" spans="1:18" hidden="1" x14ac:dyDescent="0.3">
      <c r="A6791" s="15" t="s">
        <v>20417</v>
      </c>
      <c r="B6791" s="15" t="s">
        <v>14489</v>
      </c>
      <c r="C6791" s="18" t="s">
        <v>28</v>
      </c>
      <c r="D6791" s="15" t="s">
        <v>14490</v>
      </c>
      <c r="E6791" s="18" t="s">
        <v>28</v>
      </c>
      <c r="F6791" s="19" t="s">
        <v>28</v>
      </c>
      <c r="G6791" s="19">
        <v>3.77</v>
      </c>
      <c r="H6791" s="19" t="s">
        <v>28</v>
      </c>
      <c r="I6791" s="18" t="s">
        <v>28</v>
      </c>
      <c r="J6791" s="18" t="s">
        <v>28</v>
      </c>
      <c r="K6791" s="18" t="s">
        <v>28</v>
      </c>
      <c r="L6791" s="18" t="s">
        <v>28</v>
      </c>
      <c r="M6791" s="18" t="s">
        <v>28</v>
      </c>
      <c r="N6791" s="17">
        <v>43705</v>
      </c>
      <c r="O6791" s="15" t="s">
        <v>79</v>
      </c>
      <c r="P6791" s="16" t="s">
        <v>20418</v>
      </c>
      <c r="Q6791" s="15" t="s">
        <v>75</v>
      </c>
      <c r="R6791" s="13" t="str">
        <f>HYPERLINK("https://my.pitchbook.com?c=169991-83T","View Company Online")</f>
        <v>View Company Online</v>
      </c>
    </row>
    <row r="6792" spans="1:18" hidden="1" x14ac:dyDescent="0.3">
      <c r="A6792" s="9" t="s">
        <v>20419</v>
      </c>
      <c r="B6792" s="9" t="s">
        <v>20420</v>
      </c>
      <c r="C6792" s="11" t="s">
        <v>28</v>
      </c>
      <c r="D6792" s="9" t="s">
        <v>20421</v>
      </c>
      <c r="E6792" s="11" t="s">
        <v>28</v>
      </c>
      <c r="F6792" s="10" t="s">
        <v>28</v>
      </c>
      <c r="G6792" s="10" t="s">
        <v>28</v>
      </c>
      <c r="H6792" s="10" t="s">
        <v>28</v>
      </c>
      <c r="I6792" s="11" t="s">
        <v>28</v>
      </c>
      <c r="J6792" s="11" t="s">
        <v>28</v>
      </c>
      <c r="K6792" s="11" t="s">
        <v>28</v>
      </c>
      <c r="L6792" s="11" t="s">
        <v>28</v>
      </c>
      <c r="M6792" s="11" t="s">
        <v>28</v>
      </c>
      <c r="N6792" s="8">
        <v>43704</v>
      </c>
      <c r="O6792" s="9" t="s">
        <v>173</v>
      </c>
      <c r="P6792" s="12" t="s">
        <v>28</v>
      </c>
      <c r="Q6792" s="9" t="s">
        <v>174</v>
      </c>
      <c r="R6792" s="14" t="str">
        <f>HYPERLINK("https://my.pitchbook.com?c=223303-87T","View Company Online")</f>
        <v>View Company Online</v>
      </c>
    </row>
    <row r="6793" spans="1:18" hidden="1" x14ac:dyDescent="0.3">
      <c r="A6793" s="15" t="s">
        <v>20422</v>
      </c>
      <c r="B6793" s="15" t="s">
        <v>20423</v>
      </c>
      <c r="C6793" s="18" t="s">
        <v>28</v>
      </c>
      <c r="D6793" s="15" t="s">
        <v>20424</v>
      </c>
      <c r="E6793" s="18" t="s">
        <v>28</v>
      </c>
      <c r="F6793" s="19" t="s">
        <v>28</v>
      </c>
      <c r="G6793" s="19" t="s">
        <v>28</v>
      </c>
      <c r="H6793" s="19" t="s">
        <v>28</v>
      </c>
      <c r="I6793" s="18" t="s">
        <v>28</v>
      </c>
      <c r="J6793" s="18" t="s">
        <v>28</v>
      </c>
      <c r="K6793" s="18" t="s">
        <v>28</v>
      </c>
      <c r="L6793" s="18" t="s">
        <v>28</v>
      </c>
      <c r="M6793" s="18" t="s">
        <v>28</v>
      </c>
      <c r="N6793" s="17">
        <v>43704</v>
      </c>
      <c r="O6793" s="15" t="s">
        <v>52</v>
      </c>
      <c r="P6793" s="16" t="s">
        <v>4216</v>
      </c>
      <c r="Q6793" s="15" t="s">
        <v>37</v>
      </c>
      <c r="R6793" s="13" t="str">
        <f>HYPERLINK("https://my.pitchbook.com?c=123548-68T","View Company Online")</f>
        <v>View Company Online</v>
      </c>
    </row>
    <row r="6794" spans="1:18" hidden="1" x14ac:dyDescent="0.3">
      <c r="A6794" s="9" t="s">
        <v>20425</v>
      </c>
      <c r="B6794" s="9" t="s">
        <v>20426</v>
      </c>
      <c r="C6794" s="11" t="s">
        <v>28</v>
      </c>
      <c r="D6794" s="9" t="s">
        <v>20427</v>
      </c>
      <c r="E6794" s="11" t="s">
        <v>28</v>
      </c>
      <c r="F6794" s="10" t="s">
        <v>28</v>
      </c>
      <c r="G6794" s="10">
        <v>0.1</v>
      </c>
      <c r="H6794" s="10">
        <v>1.67</v>
      </c>
      <c r="I6794" s="11" t="s">
        <v>28</v>
      </c>
      <c r="J6794" s="11" t="s">
        <v>28</v>
      </c>
      <c r="K6794" s="11">
        <v>0.24</v>
      </c>
      <c r="L6794" s="11">
        <v>6.96</v>
      </c>
      <c r="M6794" s="11" t="s">
        <v>28</v>
      </c>
      <c r="N6794" s="8">
        <v>43704</v>
      </c>
      <c r="O6794" s="9" t="s">
        <v>52</v>
      </c>
      <c r="P6794" s="12" t="s">
        <v>20428</v>
      </c>
      <c r="Q6794" s="9" t="s">
        <v>522</v>
      </c>
      <c r="R6794" s="14" t="str">
        <f>HYPERLINK("https://my.pitchbook.com?c=155950-48T","View Company Online")</f>
        <v>View Company Online</v>
      </c>
    </row>
    <row r="6795" spans="1:18" hidden="1" x14ac:dyDescent="0.3">
      <c r="A6795" s="15" t="s">
        <v>20429</v>
      </c>
      <c r="B6795" s="15" t="s">
        <v>5171</v>
      </c>
      <c r="C6795" s="18" t="s">
        <v>28</v>
      </c>
      <c r="D6795" s="15" t="s">
        <v>5172</v>
      </c>
      <c r="E6795" s="18" t="s">
        <v>28</v>
      </c>
      <c r="F6795" s="19" t="s">
        <v>28</v>
      </c>
      <c r="G6795" s="19" t="s">
        <v>28</v>
      </c>
      <c r="H6795" s="19" t="s">
        <v>28</v>
      </c>
      <c r="I6795" s="18" t="s">
        <v>28</v>
      </c>
      <c r="J6795" s="18" t="s">
        <v>28</v>
      </c>
      <c r="K6795" s="18">
        <v>0.25</v>
      </c>
      <c r="L6795" s="18" t="s">
        <v>28</v>
      </c>
      <c r="M6795" s="18" t="s">
        <v>28</v>
      </c>
      <c r="N6795" s="17">
        <v>43703</v>
      </c>
      <c r="O6795" s="15" t="s">
        <v>52</v>
      </c>
      <c r="P6795" s="16" t="s">
        <v>13859</v>
      </c>
      <c r="Q6795" s="15" t="s">
        <v>37</v>
      </c>
      <c r="R6795" s="13" t="str">
        <f>HYPERLINK("https://my.pitchbook.com?c=128325-34T","View Company Online")</f>
        <v>View Company Online</v>
      </c>
    </row>
    <row r="6796" spans="1:18" hidden="1" x14ac:dyDescent="0.3">
      <c r="A6796" s="9" t="s">
        <v>20430</v>
      </c>
      <c r="B6796" s="9" t="s">
        <v>11321</v>
      </c>
      <c r="C6796" s="11" t="s">
        <v>28</v>
      </c>
      <c r="D6796" s="9" t="s">
        <v>11322</v>
      </c>
      <c r="E6796" s="11" t="s">
        <v>28</v>
      </c>
      <c r="F6796" s="10" t="s">
        <v>28</v>
      </c>
      <c r="G6796" s="10">
        <v>0.04</v>
      </c>
      <c r="H6796" s="10" t="s">
        <v>28</v>
      </c>
      <c r="I6796" s="11" t="s">
        <v>28</v>
      </c>
      <c r="J6796" s="11" t="s">
        <v>28</v>
      </c>
      <c r="K6796" s="11" t="s">
        <v>28</v>
      </c>
      <c r="L6796" s="11" t="s">
        <v>28</v>
      </c>
      <c r="M6796" s="11" t="s">
        <v>28</v>
      </c>
      <c r="N6796" s="8">
        <v>43703</v>
      </c>
      <c r="O6796" s="9" t="s">
        <v>379</v>
      </c>
      <c r="P6796" s="12" t="s">
        <v>20431</v>
      </c>
      <c r="Q6796" s="9" t="s">
        <v>583</v>
      </c>
      <c r="R6796" s="14" t="str">
        <f>HYPERLINK("https://my.pitchbook.com?c=185938-12T","View Company Online")</f>
        <v>View Company Online</v>
      </c>
    </row>
    <row r="6797" spans="1:18" hidden="1" x14ac:dyDescent="0.3">
      <c r="A6797" s="15" t="s">
        <v>20432</v>
      </c>
      <c r="B6797" s="15" t="s">
        <v>12893</v>
      </c>
      <c r="C6797" s="18" t="s">
        <v>28</v>
      </c>
      <c r="D6797" s="15" t="s">
        <v>12894</v>
      </c>
      <c r="E6797" s="18" t="s">
        <v>28</v>
      </c>
      <c r="F6797" s="19" t="s">
        <v>28</v>
      </c>
      <c r="G6797" s="19">
        <v>0.26</v>
      </c>
      <c r="H6797" s="19" t="s">
        <v>28</v>
      </c>
      <c r="I6797" s="18" t="s">
        <v>28</v>
      </c>
      <c r="J6797" s="18" t="s">
        <v>28</v>
      </c>
      <c r="K6797" s="18" t="s">
        <v>28</v>
      </c>
      <c r="L6797" s="18" t="s">
        <v>28</v>
      </c>
      <c r="M6797" s="18" t="s">
        <v>28</v>
      </c>
      <c r="N6797" s="17">
        <v>43700</v>
      </c>
      <c r="O6797" s="15" t="s">
        <v>379</v>
      </c>
      <c r="P6797" s="16" t="s">
        <v>20433</v>
      </c>
      <c r="Q6797" s="15" t="s">
        <v>616</v>
      </c>
      <c r="R6797" s="13" t="str">
        <f>HYPERLINK("https://my.pitchbook.com?c=165830-68T","View Company Online")</f>
        <v>View Company Online</v>
      </c>
    </row>
    <row r="6798" spans="1:18" hidden="1" x14ac:dyDescent="0.3">
      <c r="A6798" s="9" t="s">
        <v>20434</v>
      </c>
      <c r="B6798" s="9" t="s">
        <v>20435</v>
      </c>
      <c r="C6798" s="11" t="s">
        <v>28</v>
      </c>
      <c r="D6798" s="9" t="s">
        <v>20436</v>
      </c>
      <c r="E6798" s="11" t="s">
        <v>28</v>
      </c>
      <c r="F6798" s="10" t="s">
        <v>28</v>
      </c>
      <c r="G6798" s="10" t="s">
        <v>28</v>
      </c>
      <c r="H6798" s="10" t="s">
        <v>28</v>
      </c>
      <c r="I6798" s="11" t="s">
        <v>28</v>
      </c>
      <c r="J6798" s="11" t="s">
        <v>28</v>
      </c>
      <c r="K6798" s="11" t="s">
        <v>28</v>
      </c>
      <c r="L6798" s="11" t="s">
        <v>28</v>
      </c>
      <c r="M6798" s="11" t="s">
        <v>28</v>
      </c>
      <c r="N6798" s="8">
        <v>43700</v>
      </c>
      <c r="O6798" s="9" t="s">
        <v>30</v>
      </c>
      <c r="P6798" s="12" t="s">
        <v>28</v>
      </c>
      <c r="Q6798" s="9" t="s">
        <v>75</v>
      </c>
      <c r="R6798" s="14" t="str">
        <f>HYPERLINK("https://my.pitchbook.com?c=210738-61T","View Company Online")</f>
        <v>View Company Online</v>
      </c>
    </row>
    <row r="6799" spans="1:18" hidden="1" x14ac:dyDescent="0.3">
      <c r="A6799" s="15" t="s">
        <v>20437</v>
      </c>
      <c r="B6799" s="15" t="s">
        <v>10980</v>
      </c>
      <c r="C6799" s="18" t="s">
        <v>28</v>
      </c>
      <c r="D6799" s="15" t="s">
        <v>10981</v>
      </c>
      <c r="E6799" s="18" t="s">
        <v>28</v>
      </c>
      <c r="F6799" s="19" t="s">
        <v>28</v>
      </c>
      <c r="G6799" s="19">
        <v>0.03</v>
      </c>
      <c r="H6799" s="19" t="s">
        <v>28</v>
      </c>
      <c r="I6799" s="18" t="s">
        <v>28</v>
      </c>
      <c r="J6799" s="18" t="s">
        <v>28</v>
      </c>
      <c r="K6799" s="18" t="s">
        <v>28</v>
      </c>
      <c r="L6799" s="18" t="s">
        <v>28</v>
      </c>
      <c r="M6799" s="18" t="s">
        <v>28</v>
      </c>
      <c r="N6799" s="17">
        <v>43699</v>
      </c>
      <c r="O6799" s="15" t="s">
        <v>79</v>
      </c>
      <c r="P6799" s="16" t="s">
        <v>20438</v>
      </c>
      <c r="Q6799" s="15" t="s">
        <v>959</v>
      </c>
      <c r="R6799" s="13" t="str">
        <f>HYPERLINK("https://my.pitchbook.com?c=122381-65T","View Company Online")</f>
        <v>View Company Online</v>
      </c>
    </row>
    <row r="6800" spans="1:18" hidden="1" x14ac:dyDescent="0.3">
      <c r="A6800" s="9" t="s">
        <v>20439</v>
      </c>
      <c r="B6800" s="9" t="s">
        <v>15193</v>
      </c>
      <c r="C6800" s="11" t="s">
        <v>28</v>
      </c>
      <c r="D6800" s="9" t="s">
        <v>15194</v>
      </c>
      <c r="E6800" s="11" t="s">
        <v>28</v>
      </c>
      <c r="F6800" s="10" t="s">
        <v>28</v>
      </c>
      <c r="G6800" s="10" t="s">
        <v>28</v>
      </c>
      <c r="H6800" s="10" t="s">
        <v>28</v>
      </c>
      <c r="I6800" s="11" t="s">
        <v>28</v>
      </c>
      <c r="J6800" s="11" t="s">
        <v>28</v>
      </c>
      <c r="K6800" s="11" t="s">
        <v>28</v>
      </c>
      <c r="L6800" s="11" t="s">
        <v>28</v>
      </c>
      <c r="M6800" s="11" t="s">
        <v>28</v>
      </c>
      <c r="N6800" s="8">
        <v>43698</v>
      </c>
      <c r="O6800" s="9" t="s">
        <v>30</v>
      </c>
      <c r="P6800" s="12" t="s">
        <v>2165</v>
      </c>
      <c r="Q6800" s="9" t="s">
        <v>2168</v>
      </c>
      <c r="R6800" s="14" t="str">
        <f>HYPERLINK("https://my.pitchbook.com?c=122505-13T","View Company Online")</f>
        <v>View Company Online</v>
      </c>
    </row>
    <row r="6801" spans="1:18" hidden="1" x14ac:dyDescent="0.3">
      <c r="A6801" s="15" t="s">
        <v>20440</v>
      </c>
      <c r="B6801" s="15" t="s">
        <v>8232</v>
      </c>
      <c r="C6801" s="18" t="s">
        <v>28</v>
      </c>
      <c r="D6801" s="15" t="s">
        <v>20441</v>
      </c>
      <c r="E6801" s="18">
        <v>-0.33</v>
      </c>
      <c r="F6801" s="19" t="s">
        <v>28</v>
      </c>
      <c r="G6801" s="19">
        <v>642.92999999999995</v>
      </c>
      <c r="H6801" s="19" t="s">
        <v>28</v>
      </c>
      <c r="I6801" s="18">
        <v>123.73</v>
      </c>
      <c r="J6801" s="18" t="s">
        <v>28</v>
      </c>
      <c r="K6801" s="18">
        <v>1628.89</v>
      </c>
      <c r="L6801" s="18" t="s">
        <v>28</v>
      </c>
      <c r="M6801" s="18">
        <v>-113.91</v>
      </c>
      <c r="N6801" s="17">
        <v>43697</v>
      </c>
      <c r="O6801" s="15" t="s">
        <v>423</v>
      </c>
      <c r="P6801" s="16" t="s">
        <v>28</v>
      </c>
      <c r="Q6801" s="15" t="s">
        <v>740</v>
      </c>
      <c r="R6801" s="13" t="str">
        <f>HYPERLINK("https://my.pitchbook.com?c=122281-39T","View Company Online")</f>
        <v>View Company Online</v>
      </c>
    </row>
    <row r="6802" spans="1:18" hidden="1" x14ac:dyDescent="0.3">
      <c r="A6802" s="9" t="s">
        <v>20442</v>
      </c>
      <c r="B6802" s="9" t="s">
        <v>14796</v>
      </c>
      <c r="C6802" s="11" t="s">
        <v>28</v>
      </c>
      <c r="D6802" s="9" t="s">
        <v>14797</v>
      </c>
      <c r="E6802" s="11" t="s">
        <v>28</v>
      </c>
      <c r="F6802" s="10" t="s">
        <v>28</v>
      </c>
      <c r="G6802" s="10" t="s">
        <v>28</v>
      </c>
      <c r="H6802" s="10" t="s">
        <v>28</v>
      </c>
      <c r="I6802" s="11" t="s">
        <v>28</v>
      </c>
      <c r="J6802" s="11" t="s">
        <v>28</v>
      </c>
      <c r="K6802" s="11" t="s">
        <v>28</v>
      </c>
      <c r="L6802" s="11" t="s">
        <v>28</v>
      </c>
      <c r="M6802" s="11" t="s">
        <v>28</v>
      </c>
      <c r="N6802" s="8">
        <v>43697</v>
      </c>
      <c r="O6802" s="9" t="s">
        <v>99</v>
      </c>
      <c r="P6802" s="12" t="s">
        <v>20443</v>
      </c>
      <c r="Q6802" s="9" t="s">
        <v>7261</v>
      </c>
      <c r="R6802" s="14" t="str">
        <f>HYPERLINK("https://my.pitchbook.com?c=164083-06T","View Company Online")</f>
        <v>View Company Online</v>
      </c>
    </row>
    <row r="6803" spans="1:18" hidden="1" x14ac:dyDescent="0.3">
      <c r="A6803" s="15" t="s">
        <v>20444</v>
      </c>
      <c r="B6803" s="15" t="s">
        <v>20445</v>
      </c>
      <c r="C6803" s="18" t="s">
        <v>28</v>
      </c>
      <c r="D6803" s="15" t="s">
        <v>20446</v>
      </c>
      <c r="E6803" s="18" t="s">
        <v>28</v>
      </c>
      <c r="F6803" s="19" t="s">
        <v>28</v>
      </c>
      <c r="G6803" s="19" t="s">
        <v>28</v>
      </c>
      <c r="H6803" s="19" t="s">
        <v>28</v>
      </c>
      <c r="I6803" s="18" t="s">
        <v>28</v>
      </c>
      <c r="J6803" s="18" t="s">
        <v>28</v>
      </c>
      <c r="K6803" s="18" t="s">
        <v>28</v>
      </c>
      <c r="L6803" s="18" t="s">
        <v>28</v>
      </c>
      <c r="M6803" s="18" t="s">
        <v>28</v>
      </c>
      <c r="N6803" s="17">
        <v>43696</v>
      </c>
      <c r="O6803" s="15" t="s">
        <v>99</v>
      </c>
      <c r="P6803" s="16" t="s">
        <v>20447</v>
      </c>
      <c r="Q6803" s="15" t="s">
        <v>37</v>
      </c>
      <c r="R6803" s="13" t="str">
        <f>HYPERLINK("https://my.pitchbook.com?c=205222-24T","View Company Online")</f>
        <v>View Company Online</v>
      </c>
    </row>
    <row r="6804" spans="1:18" hidden="1" x14ac:dyDescent="0.3">
      <c r="A6804" s="9" t="s">
        <v>20448</v>
      </c>
      <c r="B6804" s="9" t="s">
        <v>20449</v>
      </c>
      <c r="C6804" s="11" t="s">
        <v>28</v>
      </c>
      <c r="D6804" s="9" t="s">
        <v>20450</v>
      </c>
      <c r="E6804" s="11" t="s">
        <v>28</v>
      </c>
      <c r="F6804" s="10" t="s">
        <v>28</v>
      </c>
      <c r="G6804" s="10" t="s">
        <v>28</v>
      </c>
      <c r="H6804" s="10" t="s">
        <v>28</v>
      </c>
      <c r="I6804" s="11" t="s">
        <v>28</v>
      </c>
      <c r="J6804" s="11" t="s">
        <v>28</v>
      </c>
      <c r="K6804" s="11" t="s">
        <v>28</v>
      </c>
      <c r="L6804" s="11" t="s">
        <v>28</v>
      </c>
      <c r="M6804" s="11" t="s">
        <v>28</v>
      </c>
      <c r="N6804" s="8">
        <v>43696</v>
      </c>
      <c r="O6804" s="9" t="s">
        <v>173</v>
      </c>
      <c r="P6804" s="12" t="s">
        <v>28</v>
      </c>
      <c r="Q6804" s="9" t="s">
        <v>174</v>
      </c>
      <c r="R6804" s="14" t="str">
        <f>HYPERLINK("https://my.pitchbook.com?c=251564-14T","View Company Online")</f>
        <v>View Company Online</v>
      </c>
    </row>
    <row r="6805" spans="1:18" hidden="1" x14ac:dyDescent="0.3">
      <c r="A6805" s="15" t="s">
        <v>20451</v>
      </c>
      <c r="B6805" s="15" t="s">
        <v>8707</v>
      </c>
      <c r="C6805" s="18" t="s">
        <v>28</v>
      </c>
      <c r="D6805" s="15" t="s">
        <v>8708</v>
      </c>
      <c r="E6805" s="18" t="s">
        <v>28</v>
      </c>
      <c r="F6805" s="19" t="s">
        <v>28</v>
      </c>
      <c r="G6805" s="19">
        <v>0.13</v>
      </c>
      <c r="H6805" s="19" t="s">
        <v>28</v>
      </c>
      <c r="I6805" s="18" t="s">
        <v>28</v>
      </c>
      <c r="J6805" s="18" t="s">
        <v>28</v>
      </c>
      <c r="K6805" s="18" t="s">
        <v>28</v>
      </c>
      <c r="L6805" s="18" t="s">
        <v>28</v>
      </c>
      <c r="M6805" s="18" t="s">
        <v>28</v>
      </c>
      <c r="N6805" s="17">
        <v>43696</v>
      </c>
      <c r="O6805" s="15" t="s">
        <v>52</v>
      </c>
      <c r="P6805" s="16" t="s">
        <v>3944</v>
      </c>
      <c r="Q6805" s="15" t="s">
        <v>696</v>
      </c>
      <c r="R6805" s="13" t="str">
        <f>HYPERLINK("https://my.pitchbook.com?c=122748-22T","View Company Online")</f>
        <v>View Company Online</v>
      </c>
    </row>
    <row r="6806" spans="1:18" hidden="1" x14ac:dyDescent="0.3">
      <c r="A6806" s="9" t="s">
        <v>20452</v>
      </c>
      <c r="B6806" s="9" t="s">
        <v>12578</v>
      </c>
      <c r="C6806" s="11" t="s">
        <v>28</v>
      </c>
      <c r="D6806" s="9" t="s">
        <v>20453</v>
      </c>
      <c r="E6806" s="11">
        <v>1736.38</v>
      </c>
      <c r="F6806" s="10" t="s">
        <v>28</v>
      </c>
      <c r="G6806" s="10" t="s">
        <v>28</v>
      </c>
      <c r="H6806" s="10" t="s">
        <v>28</v>
      </c>
      <c r="I6806" s="11">
        <v>1973.89</v>
      </c>
      <c r="J6806" s="11" t="s">
        <v>28</v>
      </c>
      <c r="K6806" s="11">
        <v>6387.31</v>
      </c>
      <c r="L6806" s="11" t="s">
        <v>28</v>
      </c>
      <c r="M6806" s="11">
        <v>1081.6400000000001</v>
      </c>
      <c r="N6806" s="8">
        <v>43694</v>
      </c>
      <c r="O6806" s="9" t="s">
        <v>30</v>
      </c>
      <c r="P6806" s="12" t="s">
        <v>28</v>
      </c>
      <c r="Q6806" s="9" t="s">
        <v>348</v>
      </c>
      <c r="R6806" s="14" t="str">
        <f>HYPERLINK("https://my.pitchbook.com?c=122214-43T","View Company Online")</f>
        <v>View Company Online</v>
      </c>
    </row>
    <row r="6807" spans="1:18" hidden="1" x14ac:dyDescent="0.3">
      <c r="A6807" s="15" t="s">
        <v>20454</v>
      </c>
      <c r="B6807" s="15" t="s">
        <v>16771</v>
      </c>
      <c r="C6807" s="18" t="s">
        <v>28</v>
      </c>
      <c r="D6807" s="15" t="s">
        <v>16772</v>
      </c>
      <c r="E6807" s="18" t="s">
        <v>28</v>
      </c>
      <c r="F6807" s="19" t="s">
        <v>28</v>
      </c>
      <c r="G6807" s="19">
        <v>0.16</v>
      </c>
      <c r="H6807" s="19" t="s">
        <v>28</v>
      </c>
      <c r="I6807" s="18" t="s">
        <v>28</v>
      </c>
      <c r="J6807" s="18" t="s">
        <v>28</v>
      </c>
      <c r="K6807" s="18" t="s">
        <v>28</v>
      </c>
      <c r="L6807" s="18" t="s">
        <v>28</v>
      </c>
      <c r="M6807" s="18" t="s">
        <v>28</v>
      </c>
      <c r="N6807" s="17">
        <v>43693</v>
      </c>
      <c r="O6807" s="15" t="s">
        <v>99</v>
      </c>
      <c r="P6807" s="16" t="s">
        <v>20455</v>
      </c>
      <c r="Q6807" s="15" t="s">
        <v>566</v>
      </c>
      <c r="R6807" s="13" t="str">
        <f>HYPERLINK("https://my.pitchbook.com?c=140426-11T","View Company Online")</f>
        <v>View Company Online</v>
      </c>
    </row>
    <row r="6808" spans="1:18" hidden="1" x14ac:dyDescent="0.3">
      <c r="A6808" s="9" t="s">
        <v>20456</v>
      </c>
      <c r="B6808" s="9" t="s">
        <v>20457</v>
      </c>
      <c r="C6808" s="11" t="s">
        <v>28</v>
      </c>
      <c r="D6808" s="9" t="s">
        <v>20458</v>
      </c>
      <c r="E6808" s="11" t="s">
        <v>28</v>
      </c>
      <c r="F6808" s="10" t="s">
        <v>28</v>
      </c>
      <c r="G6808" s="10" t="s">
        <v>28</v>
      </c>
      <c r="H6808" s="10" t="s">
        <v>28</v>
      </c>
      <c r="I6808" s="11" t="s">
        <v>28</v>
      </c>
      <c r="J6808" s="11" t="s">
        <v>28</v>
      </c>
      <c r="K6808" s="11" t="s">
        <v>28</v>
      </c>
      <c r="L6808" s="11" t="s">
        <v>28</v>
      </c>
      <c r="M6808" s="11" t="s">
        <v>28</v>
      </c>
      <c r="N6808" s="8">
        <v>43693</v>
      </c>
      <c r="O6808" s="9" t="s">
        <v>173</v>
      </c>
      <c r="P6808" s="12" t="s">
        <v>28</v>
      </c>
      <c r="Q6808" s="9" t="s">
        <v>240</v>
      </c>
      <c r="R6808" s="14" t="str">
        <f>HYPERLINK("https://my.pitchbook.com?c=220842-01T","View Company Online")</f>
        <v>View Company Online</v>
      </c>
    </row>
    <row r="6809" spans="1:18" hidden="1" x14ac:dyDescent="0.3">
      <c r="A6809" s="15" t="s">
        <v>20459</v>
      </c>
      <c r="B6809" s="15" t="s">
        <v>20460</v>
      </c>
      <c r="C6809" s="18" t="s">
        <v>28</v>
      </c>
      <c r="D6809" s="15" t="s">
        <v>20461</v>
      </c>
      <c r="E6809" s="18" t="s">
        <v>28</v>
      </c>
      <c r="F6809" s="19" t="s">
        <v>28</v>
      </c>
      <c r="G6809" s="19" t="s">
        <v>28</v>
      </c>
      <c r="H6809" s="19" t="s">
        <v>28</v>
      </c>
      <c r="I6809" s="18" t="s">
        <v>28</v>
      </c>
      <c r="J6809" s="18" t="s">
        <v>28</v>
      </c>
      <c r="K6809" s="18" t="s">
        <v>28</v>
      </c>
      <c r="L6809" s="18" t="s">
        <v>28</v>
      </c>
      <c r="M6809" s="18" t="s">
        <v>28</v>
      </c>
      <c r="N6809" s="17">
        <v>43693</v>
      </c>
      <c r="O6809" s="15" t="s">
        <v>58</v>
      </c>
      <c r="P6809" s="16" t="s">
        <v>14430</v>
      </c>
      <c r="Q6809" s="15" t="s">
        <v>522</v>
      </c>
      <c r="R6809" s="13" t="str">
        <f>HYPERLINK("https://my.pitchbook.com?c=242025-67T","View Company Online")</f>
        <v>View Company Online</v>
      </c>
    </row>
    <row r="6810" spans="1:18" hidden="1" x14ac:dyDescent="0.3">
      <c r="A6810" s="9" t="s">
        <v>20462</v>
      </c>
      <c r="B6810" s="9" t="s">
        <v>20463</v>
      </c>
      <c r="C6810" s="11" t="s">
        <v>28</v>
      </c>
      <c r="D6810" s="9" t="s">
        <v>20464</v>
      </c>
      <c r="E6810" s="11" t="s">
        <v>28</v>
      </c>
      <c r="F6810" s="10" t="s">
        <v>28</v>
      </c>
      <c r="G6810" s="10" t="s">
        <v>28</v>
      </c>
      <c r="H6810" s="10" t="s">
        <v>28</v>
      </c>
      <c r="I6810" s="11" t="s">
        <v>28</v>
      </c>
      <c r="J6810" s="11" t="s">
        <v>28</v>
      </c>
      <c r="K6810" s="11" t="s">
        <v>28</v>
      </c>
      <c r="L6810" s="11" t="s">
        <v>28</v>
      </c>
      <c r="M6810" s="11" t="s">
        <v>28</v>
      </c>
      <c r="N6810" s="8">
        <v>43693</v>
      </c>
      <c r="O6810" s="9" t="s">
        <v>73</v>
      </c>
      <c r="P6810" s="12" t="s">
        <v>140</v>
      </c>
      <c r="Q6810" s="9" t="s">
        <v>95</v>
      </c>
      <c r="R6810" s="14" t="str">
        <f>HYPERLINK("https://my.pitchbook.com?c=123290-56T","View Company Online")</f>
        <v>View Company Online</v>
      </c>
    </row>
    <row r="6811" spans="1:18" hidden="1" x14ac:dyDescent="0.3">
      <c r="A6811" s="15" t="s">
        <v>20465</v>
      </c>
      <c r="B6811" s="15" t="s">
        <v>20466</v>
      </c>
      <c r="C6811" s="18" t="s">
        <v>28</v>
      </c>
      <c r="D6811" s="15" t="s">
        <v>20467</v>
      </c>
      <c r="E6811" s="18" t="s">
        <v>28</v>
      </c>
      <c r="F6811" s="19" t="s">
        <v>28</v>
      </c>
      <c r="G6811" s="19" t="s">
        <v>28</v>
      </c>
      <c r="H6811" s="19" t="s">
        <v>28</v>
      </c>
      <c r="I6811" s="18" t="s">
        <v>28</v>
      </c>
      <c r="J6811" s="18" t="s">
        <v>28</v>
      </c>
      <c r="K6811" s="18" t="s">
        <v>28</v>
      </c>
      <c r="L6811" s="18" t="s">
        <v>28</v>
      </c>
      <c r="M6811" s="18" t="s">
        <v>28</v>
      </c>
      <c r="N6811" s="17">
        <v>43693</v>
      </c>
      <c r="O6811" s="15" t="s">
        <v>30</v>
      </c>
      <c r="P6811" s="16" t="s">
        <v>14430</v>
      </c>
      <c r="Q6811" s="15" t="s">
        <v>235</v>
      </c>
      <c r="R6811" s="13" t="str">
        <f>HYPERLINK("https://my.pitchbook.com?c=242450-20T","View Company Online")</f>
        <v>View Company Online</v>
      </c>
    </row>
    <row r="6812" spans="1:18" hidden="1" x14ac:dyDescent="0.3">
      <c r="A6812" s="9" t="s">
        <v>20468</v>
      </c>
      <c r="B6812" s="9" t="s">
        <v>17861</v>
      </c>
      <c r="C6812" s="11" t="s">
        <v>28</v>
      </c>
      <c r="D6812" s="9" t="s">
        <v>17862</v>
      </c>
      <c r="E6812" s="11" t="s">
        <v>28</v>
      </c>
      <c r="F6812" s="10" t="s">
        <v>28</v>
      </c>
      <c r="G6812" s="10">
        <v>0.21</v>
      </c>
      <c r="H6812" s="10" t="s">
        <v>28</v>
      </c>
      <c r="I6812" s="11" t="s">
        <v>28</v>
      </c>
      <c r="J6812" s="11" t="s">
        <v>28</v>
      </c>
      <c r="K6812" s="11" t="s">
        <v>28</v>
      </c>
      <c r="L6812" s="11" t="s">
        <v>28</v>
      </c>
      <c r="M6812" s="11" t="s">
        <v>28</v>
      </c>
      <c r="N6812" s="8">
        <v>43693</v>
      </c>
      <c r="O6812" s="9" t="s">
        <v>99</v>
      </c>
      <c r="P6812" s="12" t="s">
        <v>20469</v>
      </c>
      <c r="Q6812" s="9" t="s">
        <v>75</v>
      </c>
      <c r="R6812" s="14" t="str">
        <f>HYPERLINK("https://my.pitchbook.com?c=124673-68T","View Company Online")</f>
        <v>View Company Online</v>
      </c>
    </row>
    <row r="6813" spans="1:18" hidden="1" x14ac:dyDescent="0.3">
      <c r="A6813" s="15" t="s">
        <v>20470</v>
      </c>
      <c r="B6813" s="15" t="s">
        <v>16057</v>
      </c>
      <c r="C6813" s="18" t="s">
        <v>28</v>
      </c>
      <c r="D6813" s="15" t="s">
        <v>16058</v>
      </c>
      <c r="E6813" s="18" t="s">
        <v>28</v>
      </c>
      <c r="F6813" s="19" t="s">
        <v>28</v>
      </c>
      <c r="G6813" s="19">
        <v>0.03</v>
      </c>
      <c r="H6813" s="19">
        <v>1.3</v>
      </c>
      <c r="I6813" s="18" t="s">
        <v>28</v>
      </c>
      <c r="J6813" s="18" t="s">
        <v>28</v>
      </c>
      <c r="K6813" s="18" t="s">
        <v>28</v>
      </c>
      <c r="L6813" s="18" t="s">
        <v>28</v>
      </c>
      <c r="M6813" s="18" t="s">
        <v>28</v>
      </c>
      <c r="N6813" s="17">
        <v>43692</v>
      </c>
      <c r="O6813" s="15" t="s">
        <v>99</v>
      </c>
      <c r="P6813" s="16" t="s">
        <v>20471</v>
      </c>
      <c r="Q6813" s="15" t="s">
        <v>75</v>
      </c>
      <c r="R6813" s="13" t="str">
        <f>HYPERLINK("https://my.pitchbook.com?c=211146-76T","View Company Online")</f>
        <v>View Company Online</v>
      </c>
    </row>
    <row r="6814" spans="1:18" hidden="1" x14ac:dyDescent="0.3">
      <c r="A6814" s="9" t="s">
        <v>20472</v>
      </c>
      <c r="B6814" s="9" t="s">
        <v>20473</v>
      </c>
      <c r="C6814" s="11" t="s">
        <v>28</v>
      </c>
      <c r="D6814" s="9" t="s">
        <v>20474</v>
      </c>
      <c r="E6814" s="11" t="s">
        <v>28</v>
      </c>
      <c r="F6814" s="10" t="s">
        <v>28</v>
      </c>
      <c r="G6814" s="10">
        <v>3.38</v>
      </c>
      <c r="H6814" s="10" t="s">
        <v>28</v>
      </c>
      <c r="I6814" s="11" t="s">
        <v>28</v>
      </c>
      <c r="J6814" s="11" t="s">
        <v>28</v>
      </c>
      <c r="K6814" s="11" t="s">
        <v>28</v>
      </c>
      <c r="L6814" s="11" t="s">
        <v>28</v>
      </c>
      <c r="M6814" s="11" t="s">
        <v>28</v>
      </c>
      <c r="N6814" s="8">
        <v>43692</v>
      </c>
      <c r="O6814" s="9" t="s">
        <v>79</v>
      </c>
      <c r="P6814" s="12" t="s">
        <v>9551</v>
      </c>
      <c r="Q6814" s="9" t="s">
        <v>268</v>
      </c>
      <c r="R6814" s="14" t="str">
        <f>HYPERLINK("https://my.pitchbook.com?c=211149-73T","View Company Online")</f>
        <v>View Company Online</v>
      </c>
    </row>
    <row r="6815" spans="1:18" hidden="1" x14ac:dyDescent="0.3">
      <c r="A6815" s="15" t="s">
        <v>20475</v>
      </c>
      <c r="B6815" s="15" t="s">
        <v>20476</v>
      </c>
      <c r="C6815" s="18" t="s">
        <v>28</v>
      </c>
      <c r="D6815" s="15" t="s">
        <v>20477</v>
      </c>
      <c r="E6815" s="18" t="s">
        <v>28</v>
      </c>
      <c r="F6815" s="19">
        <v>28.16</v>
      </c>
      <c r="G6815" s="19">
        <v>28.16</v>
      </c>
      <c r="H6815" s="19">
        <v>28.16</v>
      </c>
      <c r="I6815" s="18" t="s">
        <v>28</v>
      </c>
      <c r="J6815" s="18" t="s">
        <v>28</v>
      </c>
      <c r="K6815" s="18" t="s">
        <v>28</v>
      </c>
      <c r="L6815" s="18" t="s">
        <v>28</v>
      </c>
      <c r="M6815" s="18" t="s">
        <v>28</v>
      </c>
      <c r="N6815" s="17">
        <v>43691</v>
      </c>
      <c r="O6815" s="15" t="s">
        <v>30</v>
      </c>
      <c r="P6815" s="16" t="s">
        <v>7615</v>
      </c>
      <c r="Q6815" s="15" t="s">
        <v>43</v>
      </c>
      <c r="R6815" s="13" t="str">
        <f>HYPERLINK("https://my.pitchbook.com?c=224646-40T","View Company Online")</f>
        <v>View Company Online</v>
      </c>
    </row>
    <row r="6816" spans="1:18" hidden="1" x14ac:dyDescent="0.3">
      <c r="A6816" s="9" t="s">
        <v>20478</v>
      </c>
      <c r="B6816" s="9" t="s">
        <v>5868</v>
      </c>
      <c r="C6816" s="11" t="s">
        <v>28</v>
      </c>
      <c r="D6816" s="9" t="s">
        <v>5869</v>
      </c>
      <c r="E6816" s="11" t="s">
        <v>28</v>
      </c>
      <c r="F6816" s="10" t="s">
        <v>28</v>
      </c>
      <c r="G6816" s="10">
        <v>81.89</v>
      </c>
      <c r="H6816" s="10" t="s">
        <v>28</v>
      </c>
      <c r="I6816" s="11" t="s">
        <v>28</v>
      </c>
      <c r="J6816" s="11" t="s">
        <v>28</v>
      </c>
      <c r="K6816" s="11" t="s">
        <v>28</v>
      </c>
      <c r="L6816" s="11" t="s">
        <v>28</v>
      </c>
      <c r="M6816" s="11" t="s">
        <v>28</v>
      </c>
      <c r="N6816" s="8">
        <v>43691</v>
      </c>
      <c r="O6816" s="9" t="s">
        <v>93</v>
      </c>
      <c r="P6816" s="12" t="s">
        <v>8652</v>
      </c>
      <c r="Q6816" s="9" t="s">
        <v>5870</v>
      </c>
      <c r="R6816" s="14" t="str">
        <f>HYPERLINK("https://my.pitchbook.com?c=242402-41T","View Company Online")</f>
        <v>View Company Online</v>
      </c>
    </row>
    <row r="6817" spans="1:18" hidden="1" x14ac:dyDescent="0.3">
      <c r="A6817" s="15" t="s">
        <v>20479</v>
      </c>
      <c r="B6817" s="15" t="s">
        <v>5573</v>
      </c>
      <c r="C6817" s="18" t="s">
        <v>28</v>
      </c>
      <c r="D6817" s="15" t="s">
        <v>5574</v>
      </c>
      <c r="E6817" s="18" t="s">
        <v>28</v>
      </c>
      <c r="F6817" s="19" t="s">
        <v>28</v>
      </c>
      <c r="G6817" s="19">
        <v>0.17</v>
      </c>
      <c r="H6817" s="19" t="s">
        <v>28</v>
      </c>
      <c r="I6817" s="18" t="s">
        <v>28</v>
      </c>
      <c r="J6817" s="18" t="s">
        <v>28</v>
      </c>
      <c r="K6817" s="18" t="s">
        <v>28</v>
      </c>
      <c r="L6817" s="18" t="s">
        <v>28</v>
      </c>
      <c r="M6817" s="18" t="s">
        <v>28</v>
      </c>
      <c r="N6817" s="17">
        <v>43691</v>
      </c>
      <c r="O6817" s="15" t="s">
        <v>47</v>
      </c>
      <c r="P6817" s="16" t="s">
        <v>13703</v>
      </c>
      <c r="Q6817" s="15" t="s">
        <v>404</v>
      </c>
      <c r="R6817" s="13" t="str">
        <f>HYPERLINK("https://my.pitchbook.com?c=211945-24T","View Company Online")</f>
        <v>View Company Online</v>
      </c>
    </row>
    <row r="6818" spans="1:18" hidden="1" x14ac:dyDescent="0.3">
      <c r="A6818" s="9" t="s">
        <v>20480</v>
      </c>
      <c r="B6818" s="9" t="s">
        <v>20481</v>
      </c>
      <c r="C6818" s="11" t="s">
        <v>28</v>
      </c>
      <c r="D6818" s="9" t="s">
        <v>20482</v>
      </c>
      <c r="E6818" s="11" t="s">
        <v>28</v>
      </c>
      <c r="F6818" s="10" t="s">
        <v>28</v>
      </c>
      <c r="G6818" s="10" t="s">
        <v>28</v>
      </c>
      <c r="H6818" s="10" t="s">
        <v>28</v>
      </c>
      <c r="I6818" s="11" t="s">
        <v>28</v>
      </c>
      <c r="J6818" s="11" t="s">
        <v>28</v>
      </c>
      <c r="K6818" s="11" t="s">
        <v>28</v>
      </c>
      <c r="L6818" s="11" t="s">
        <v>28</v>
      </c>
      <c r="M6818" s="11" t="s">
        <v>28</v>
      </c>
      <c r="N6818" s="8">
        <v>43689</v>
      </c>
      <c r="O6818" s="9" t="s">
        <v>41</v>
      </c>
      <c r="P6818" s="12" t="s">
        <v>20483</v>
      </c>
      <c r="Q6818" s="9" t="s">
        <v>245</v>
      </c>
      <c r="R6818" s="14" t="str">
        <f>HYPERLINK("https://my.pitchbook.com?c=261411-58T","View Company Online")</f>
        <v>View Company Online</v>
      </c>
    </row>
    <row r="6819" spans="1:18" hidden="1" x14ac:dyDescent="0.3">
      <c r="A6819" s="15" t="s">
        <v>20484</v>
      </c>
      <c r="B6819" s="15" t="s">
        <v>20485</v>
      </c>
      <c r="C6819" s="18" t="s">
        <v>28</v>
      </c>
      <c r="D6819" s="15" t="s">
        <v>20486</v>
      </c>
      <c r="E6819" s="18" t="s">
        <v>28</v>
      </c>
      <c r="F6819" s="19" t="s">
        <v>28</v>
      </c>
      <c r="G6819" s="19">
        <v>0.26</v>
      </c>
      <c r="H6819" s="19" t="s">
        <v>28</v>
      </c>
      <c r="I6819" s="18" t="s">
        <v>28</v>
      </c>
      <c r="J6819" s="18" t="s">
        <v>28</v>
      </c>
      <c r="K6819" s="18" t="s">
        <v>28</v>
      </c>
      <c r="L6819" s="18" t="s">
        <v>28</v>
      </c>
      <c r="M6819" s="18" t="s">
        <v>28</v>
      </c>
      <c r="N6819" s="17">
        <v>43689</v>
      </c>
      <c r="O6819" s="15" t="s">
        <v>73</v>
      </c>
      <c r="P6819" s="16" t="s">
        <v>20487</v>
      </c>
      <c r="Q6819" s="15" t="s">
        <v>37</v>
      </c>
      <c r="R6819" s="13" t="str">
        <f>HYPERLINK("https://my.pitchbook.com?c=155459-80T","View Company Online")</f>
        <v>View Company Online</v>
      </c>
    </row>
    <row r="6820" spans="1:18" hidden="1" x14ac:dyDescent="0.3">
      <c r="A6820" s="9" t="s">
        <v>20488</v>
      </c>
      <c r="B6820" s="9" t="s">
        <v>20489</v>
      </c>
      <c r="C6820" s="11" t="s">
        <v>28</v>
      </c>
      <c r="D6820" s="9" t="s">
        <v>20490</v>
      </c>
      <c r="E6820" s="11" t="s">
        <v>28</v>
      </c>
      <c r="F6820" s="10" t="s">
        <v>28</v>
      </c>
      <c r="G6820" s="10" t="s">
        <v>28</v>
      </c>
      <c r="H6820" s="10" t="s">
        <v>28</v>
      </c>
      <c r="I6820" s="11" t="s">
        <v>28</v>
      </c>
      <c r="J6820" s="11" t="s">
        <v>28</v>
      </c>
      <c r="K6820" s="11" t="s">
        <v>28</v>
      </c>
      <c r="L6820" s="11" t="s">
        <v>28</v>
      </c>
      <c r="M6820" s="11" t="s">
        <v>28</v>
      </c>
      <c r="N6820" s="8">
        <v>43686</v>
      </c>
      <c r="O6820" s="9" t="s">
        <v>30</v>
      </c>
      <c r="P6820" s="12" t="s">
        <v>17821</v>
      </c>
      <c r="Q6820" s="9" t="s">
        <v>583</v>
      </c>
      <c r="R6820" s="14" t="str">
        <f>HYPERLINK("https://my.pitchbook.com?c=136886-05T","View Company Online")</f>
        <v>View Company Online</v>
      </c>
    </row>
    <row r="6821" spans="1:18" hidden="1" x14ac:dyDescent="0.3">
      <c r="A6821" s="15" t="s">
        <v>20491</v>
      </c>
      <c r="B6821" s="15" t="s">
        <v>20492</v>
      </c>
      <c r="C6821" s="18" t="s">
        <v>28</v>
      </c>
      <c r="D6821" s="15" t="s">
        <v>20493</v>
      </c>
      <c r="E6821" s="18" t="s">
        <v>28</v>
      </c>
      <c r="F6821" s="19">
        <v>0.08</v>
      </c>
      <c r="G6821" s="19">
        <v>0.08</v>
      </c>
      <c r="H6821" s="19">
        <v>0.08</v>
      </c>
      <c r="I6821" s="18" t="s">
        <v>28</v>
      </c>
      <c r="J6821" s="18" t="s">
        <v>28</v>
      </c>
      <c r="K6821" s="18" t="s">
        <v>28</v>
      </c>
      <c r="L6821" s="18" t="s">
        <v>28</v>
      </c>
      <c r="M6821" s="18" t="s">
        <v>28</v>
      </c>
      <c r="N6821" s="17">
        <v>43686</v>
      </c>
      <c r="O6821" s="15" t="s">
        <v>30</v>
      </c>
      <c r="P6821" s="16" t="s">
        <v>14313</v>
      </c>
      <c r="Q6821" s="15" t="s">
        <v>235</v>
      </c>
      <c r="R6821" s="13" t="str">
        <f>HYPERLINK("https://my.pitchbook.com?c=216295-12T","View Company Online")</f>
        <v>View Company Online</v>
      </c>
    </row>
    <row r="6822" spans="1:18" hidden="1" x14ac:dyDescent="0.3">
      <c r="A6822" s="9" t="s">
        <v>20494</v>
      </c>
      <c r="B6822" s="9" t="s">
        <v>20495</v>
      </c>
      <c r="C6822" s="11" t="s">
        <v>28</v>
      </c>
      <c r="D6822" s="9" t="s">
        <v>20496</v>
      </c>
      <c r="E6822" s="11" t="s">
        <v>28</v>
      </c>
      <c r="F6822" s="10" t="s">
        <v>28</v>
      </c>
      <c r="G6822" s="10" t="s">
        <v>28</v>
      </c>
      <c r="H6822" s="10" t="s">
        <v>28</v>
      </c>
      <c r="I6822" s="11" t="s">
        <v>28</v>
      </c>
      <c r="J6822" s="11" t="s">
        <v>28</v>
      </c>
      <c r="K6822" s="11" t="s">
        <v>28</v>
      </c>
      <c r="L6822" s="11" t="s">
        <v>28</v>
      </c>
      <c r="M6822" s="11" t="s">
        <v>28</v>
      </c>
      <c r="N6822" s="8">
        <v>43685</v>
      </c>
      <c r="O6822" s="9" t="s">
        <v>30</v>
      </c>
      <c r="P6822" s="12" t="s">
        <v>20497</v>
      </c>
      <c r="Q6822" s="9" t="s">
        <v>362</v>
      </c>
      <c r="R6822" s="14" t="str">
        <f>HYPERLINK("https://my.pitchbook.com?c=257466-34T","View Company Online")</f>
        <v>View Company Online</v>
      </c>
    </row>
    <row r="6823" spans="1:18" hidden="1" x14ac:dyDescent="0.3">
      <c r="A6823" s="15" t="s">
        <v>20498</v>
      </c>
      <c r="B6823" s="15" t="s">
        <v>13039</v>
      </c>
      <c r="C6823" s="18" t="s">
        <v>28</v>
      </c>
      <c r="D6823" s="15" t="s">
        <v>13040</v>
      </c>
      <c r="E6823" s="18" t="s">
        <v>28</v>
      </c>
      <c r="F6823" s="19" t="s">
        <v>28</v>
      </c>
      <c r="G6823" s="19">
        <v>0.17</v>
      </c>
      <c r="H6823" s="19" t="s">
        <v>28</v>
      </c>
      <c r="I6823" s="18" t="s">
        <v>28</v>
      </c>
      <c r="J6823" s="18" t="s">
        <v>28</v>
      </c>
      <c r="K6823" s="18" t="s">
        <v>28</v>
      </c>
      <c r="L6823" s="18" t="s">
        <v>28</v>
      </c>
      <c r="M6823" s="18" t="s">
        <v>28</v>
      </c>
      <c r="N6823" s="17">
        <v>43685</v>
      </c>
      <c r="O6823" s="15" t="s">
        <v>73</v>
      </c>
      <c r="P6823" s="16" t="s">
        <v>20499</v>
      </c>
      <c r="Q6823" s="15" t="s">
        <v>1336</v>
      </c>
      <c r="R6823" s="13" t="str">
        <f>HYPERLINK("https://my.pitchbook.com?c=127142-11T","View Company Online")</f>
        <v>View Company Online</v>
      </c>
    </row>
    <row r="6824" spans="1:18" hidden="1" x14ac:dyDescent="0.3">
      <c r="A6824" s="9" t="s">
        <v>20500</v>
      </c>
      <c r="B6824" s="9" t="s">
        <v>15824</v>
      </c>
      <c r="C6824" s="11" t="s">
        <v>28</v>
      </c>
      <c r="D6824" s="9" t="s">
        <v>15825</v>
      </c>
      <c r="E6824" s="11" t="s">
        <v>28</v>
      </c>
      <c r="F6824" s="10" t="s">
        <v>28</v>
      </c>
      <c r="G6824" s="10" t="s">
        <v>28</v>
      </c>
      <c r="H6824" s="10" t="s">
        <v>28</v>
      </c>
      <c r="I6824" s="11" t="s">
        <v>28</v>
      </c>
      <c r="J6824" s="11" t="s">
        <v>28</v>
      </c>
      <c r="K6824" s="11" t="s">
        <v>28</v>
      </c>
      <c r="L6824" s="11" t="s">
        <v>28</v>
      </c>
      <c r="M6824" s="11" t="s">
        <v>28</v>
      </c>
      <c r="N6824" s="8">
        <v>43684</v>
      </c>
      <c r="O6824" s="9" t="s">
        <v>52</v>
      </c>
      <c r="P6824" s="12" t="s">
        <v>20501</v>
      </c>
      <c r="Q6824" s="9" t="s">
        <v>75</v>
      </c>
      <c r="R6824" s="14" t="str">
        <f>HYPERLINK("https://my.pitchbook.com?c=275043-52T","View Company Online")</f>
        <v>View Company Online</v>
      </c>
    </row>
    <row r="6825" spans="1:18" hidden="1" x14ac:dyDescent="0.3">
      <c r="A6825" s="15" t="s">
        <v>20502</v>
      </c>
      <c r="B6825" s="15" t="s">
        <v>20503</v>
      </c>
      <c r="C6825" s="18" t="s">
        <v>28</v>
      </c>
      <c r="D6825" s="15" t="s">
        <v>20504</v>
      </c>
      <c r="E6825" s="18" t="s">
        <v>28</v>
      </c>
      <c r="F6825" s="19" t="s">
        <v>28</v>
      </c>
      <c r="G6825" s="19">
        <v>1</v>
      </c>
      <c r="H6825" s="19" t="s">
        <v>28</v>
      </c>
      <c r="I6825" s="18" t="s">
        <v>28</v>
      </c>
      <c r="J6825" s="18" t="s">
        <v>28</v>
      </c>
      <c r="K6825" s="18" t="s">
        <v>28</v>
      </c>
      <c r="L6825" s="18" t="s">
        <v>28</v>
      </c>
      <c r="M6825" s="18" t="s">
        <v>28</v>
      </c>
      <c r="N6825" s="17">
        <v>43684</v>
      </c>
      <c r="O6825" s="15" t="s">
        <v>99</v>
      </c>
      <c r="P6825" s="16" t="s">
        <v>20505</v>
      </c>
      <c r="Q6825" s="15" t="s">
        <v>119</v>
      </c>
      <c r="R6825" s="13" t="str">
        <f>HYPERLINK("https://my.pitchbook.com?c=177082-12T","View Company Online")</f>
        <v>View Company Online</v>
      </c>
    </row>
    <row r="6826" spans="1:18" hidden="1" x14ac:dyDescent="0.3">
      <c r="A6826" s="9" t="s">
        <v>20506</v>
      </c>
      <c r="B6826" s="9" t="s">
        <v>1984</v>
      </c>
      <c r="C6826" s="11" t="s">
        <v>28</v>
      </c>
      <c r="D6826" s="9" t="s">
        <v>1985</v>
      </c>
      <c r="E6826" s="11" t="s">
        <v>28</v>
      </c>
      <c r="F6826" s="10" t="s">
        <v>28</v>
      </c>
      <c r="G6826" s="10" t="s">
        <v>28</v>
      </c>
      <c r="H6826" s="10" t="s">
        <v>28</v>
      </c>
      <c r="I6826" s="11" t="s">
        <v>28</v>
      </c>
      <c r="J6826" s="11" t="s">
        <v>28</v>
      </c>
      <c r="K6826" s="11">
        <v>0.76</v>
      </c>
      <c r="L6826" s="11" t="s">
        <v>28</v>
      </c>
      <c r="M6826" s="11" t="s">
        <v>28</v>
      </c>
      <c r="N6826" s="8">
        <v>43684</v>
      </c>
      <c r="O6826" s="9" t="s">
        <v>52</v>
      </c>
      <c r="P6826" s="12" t="s">
        <v>20507</v>
      </c>
      <c r="Q6826" s="9" t="s">
        <v>75</v>
      </c>
      <c r="R6826" s="14" t="str">
        <f>HYPERLINK("https://my.pitchbook.com?c=125266-42T","View Company Online")</f>
        <v>View Company Online</v>
      </c>
    </row>
    <row r="6827" spans="1:18" hidden="1" x14ac:dyDescent="0.3">
      <c r="A6827" s="15" t="s">
        <v>20508</v>
      </c>
      <c r="B6827" s="15" t="s">
        <v>20509</v>
      </c>
      <c r="C6827" s="18" t="s">
        <v>28</v>
      </c>
      <c r="D6827" s="15" t="s">
        <v>20510</v>
      </c>
      <c r="E6827" s="18" t="s">
        <v>28</v>
      </c>
      <c r="F6827" s="19" t="s">
        <v>28</v>
      </c>
      <c r="G6827" s="19" t="s">
        <v>28</v>
      </c>
      <c r="H6827" s="19" t="s">
        <v>28</v>
      </c>
      <c r="I6827" s="18" t="s">
        <v>28</v>
      </c>
      <c r="J6827" s="18" t="s">
        <v>28</v>
      </c>
      <c r="K6827" s="18" t="s">
        <v>28</v>
      </c>
      <c r="L6827" s="18" t="s">
        <v>28</v>
      </c>
      <c r="M6827" s="18" t="s">
        <v>28</v>
      </c>
      <c r="N6827" s="17">
        <v>43683</v>
      </c>
      <c r="O6827" s="15" t="s">
        <v>30</v>
      </c>
      <c r="P6827" s="16" t="s">
        <v>5617</v>
      </c>
      <c r="Q6827" s="15" t="s">
        <v>245</v>
      </c>
      <c r="R6827" s="13" t="str">
        <f>HYPERLINK("https://my.pitchbook.com?c=216226-09T","View Company Online")</f>
        <v>View Company Online</v>
      </c>
    </row>
    <row r="6828" spans="1:18" hidden="1" x14ac:dyDescent="0.3">
      <c r="A6828" s="9" t="s">
        <v>20511</v>
      </c>
      <c r="B6828" s="9" t="s">
        <v>3509</v>
      </c>
      <c r="C6828" s="11" t="s">
        <v>28</v>
      </c>
      <c r="D6828" s="9" t="s">
        <v>3510</v>
      </c>
      <c r="E6828" s="11" t="s">
        <v>28</v>
      </c>
      <c r="F6828" s="10" t="s">
        <v>28</v>
      </c>
      <c r="G6828" s="10" t="s">
        <v>28</v>
      </c>
      <c r="H6828" s="10" t="s">
        <v>28</v>
      </c>
      <c r="I6828" s="11" t="s">
        <v>28</v>
      </c>
      <c r="J6828" s="11" t="s">
        <v>28</v>
      </c>
      <c r="K6828" s="11" t="s">
        <v>28</v>
      </c>
      <c r="L6828" s="11" t="s">
        <v>28</v>
      </c>
      <c r="M6828" s="11" t="s">
        <v>28</v>
      </c>
      <c r="N6828" s="8">
        <v>43683</v>
      </c>
      <c r="O6828" s="9" t="s">
        <v>52</v>
      </c>
      <c r="P6828" s="12" t="s">
        <v>28</v>
      </c>
      <c r="Q6828" s="9" t="s">
        <v>1336</v>
      </c>
      <c r="R6828" s="14" t="str">
        <f>HYPERLINK("https://my.pitchbook.com?c=123773-23T","View Company Online")</f>
        <v>View Company Online</v>
      </c>
    </row>
    <row r="6829" spans="1:18" hidden="1" x14ac:dyDescent="0.3">
      <c r="A6829" s="15" t="s">
        <v>20512</v>
      </c>
      <c r="B6829" s="15" t="s">
        <v>17770</v>
      </c>
      <c r="C6829" s="18" t="s">
        <v>28</v>
      </c>
      <c r="D6829" s="15" t="s">
        <v>17771</v>
      </c>
      <c r="E6829" s="18" t="s">
        <v>28</v>
      </c>
      <c r="F6829" s="19" t="s">
        <v>28</v>
      </c>
      <c r="G6829" s="19" t="s">
        <v>28</v>
      </c>
      <c r="H6829" s="19" t="s">
        <v>28</v>
      </c>
      <c r="I6829" s="18" t="s">
        <v>28</v>
      </c>
      <c r="J6829" s="18" t="s">
        <v>28</v>
      </c>
      <c r="K6829" s="18" t="s">
        <v>28</v>
      </c>
      <c r="L6829" s="18" t="s">
        <v>28</v>
      </c>
      <c r="M6829" s="18" t="s">
        <v>28</v>
      </c>
      <c r="N6829" s="17">
        <v>43683</v>
      </c>
      <c r="O6829" s="15" t="s">
        <v>52</v>
      </c>
      <c r="P6829" s="16" t="s">
        <v>9723</v>
      </c>
      <c r="Q6829" s="15" t="s">
        <v>37</v>
      </c>
      <c r="R6829" s="13" t="str">
        <f>HYPERLINK("https://my.pitchbook.com?c=168077-17T","View Company Online")</f>
        <v>View Company Online</v>
      </c>
    </row>
    <row r="6830" spans="1:18" hidden="1" x14ac:dyDescent="0.3">
      <c r="A6830" s="9" t="s">
        <v>20513</v>
      </c>
      <c r="B6830" s="9" t="s">
        <v>20198</v>
      </c>
      <c r="C6830" s="11" t="s">
        <v>28</v>
      </c>
      <c r="D6830" s="9" t="s">
        <v>20199</v>
      </c>
      <c r="E6830" s="11" t="s">
        <v>28</v>
      </c>
      <c r="F6830" s="10" t="s">
        <v>28</v>
      </c>
      <c r="G6830" s="10" t="s">
        <v>28</v>
      </c>
      <c r="H6830" s="10" t="s">
        <v>28</v>
      </c>
      <c r="I6830" s="11" t="s">
        <v>28</v>
      </c>
      <c r="J6830" s="11" t="s">
        <v>28</v>
      </c>
      <c r="K6830" s="11" t="s">
        <v>28</v>
      </c>
      <c r="L6830" s="11" t="s">
        <v>28</v>
      </c>
      <c r="M6830" s="11" t="s">
        <v>28</v>
      </c>
      <c r="N6830" s="8">
        <v>43683</v>
      </c>
      <c r="O6830" s="9" t="s">
        <v>52</v>
      </c>
      <c r="P6830" s="12" t="s">
        <v>9723</v>
      </c>
      <c r="Q6830" s="9" t="s">
        <v>37</v>
      </c>
      <c r="R6830" s="14" t="str">
        <f>HYPERLINK("https://my.pitchbook.com?c=126516-97T","View Company Online")</f>
        <v>View Company Online</v>
      </c>
    </row>
    <row r="6831" spans="1:18" hidden="1" x14ac:dyDescent="0.3">
      <c r="A6831" s="15" t="s">
        <v>20514</v>
      </c>
      <c r="B6831" s="15" t="s">
        <v>13067</v>
      </c>
      <c r="C6831" s="18" t="s">
        <v>28</v>
      </c>
      <c r="D6831" s="15" t="s">
        <v>13068</v>
      </c>
      <c r="E6831" s="18" t="s">
        <v>28</v>
      </c>
      <c r="F6831" s="19" t="s">
        <v>28</v>
      </c>
      <c r="G6831" s="19" t="s">
        <v>28</v>
      </c>
      <c r="H6831" s="19" t="s">
        <v>28</v>
      </c>
      <c r="I6831" s="18" t="s">
        <v>28</v>
      </c>
      <c r="J6831" s="18" t="s">
        <v>28</v>
      </c>
      <c r="K6831" s="18" t="s">
        <v>28</v>
      </c>
      <c r="L6831" s="18" t="s">
        <v>28</v>
      </c>
      <c r="M6831" s="18" t="s">
        <v>28</v>
      </c>
      <c r="N6831" s="17">
        <v>43683</v>
      </c>
      <c r="O6831" s="15" t="s">
        <v>52</v>
      </c>
      <c r="P6831" s="16" t="s">
        <v>20507</v>
      </c>
      <c r="Q6831" s="15" t="s">
        <v>37</v>
      </c>
      <c r="R6831" s="13" t="str">
        <f>HYPERLINK("https://my.pitchbook.com?c=123768-28T","View Company Online")</f>
        <v>View Company Online</v>
      </c>
    </row>
    <row r="6832" spans="1:18" hidden="1" x14ac:dyDescent="0.3">
      <c r="A6832" s="9" t="s">
        <v>20515</v>
      </c>
      <c r="B6832" s="9" t="s">
        <v>20516</v>
      </c>
      <c r="C6832" s="11" t="s">
        <v>28</v>
      </c>
      <c r="D6832" s="9" t="s">
        <v>20517</v>
      </c>
      <c r="E6832" s="11" t="s">
        <v>28</v>
      </c>
      <c r="F6832" s="10">
        <v>87.01</v>
      </c>
      <c r="G6832" s="10">
        <v>87.01</v>
      </c>
      <c r="H6832" s="10">
        <v>87.01</v>
      </c>
      <c r="I6832" s="11" t="s">
        <v>28</v>
      </c>
      <c r="J6832" s="11" t="s">
        <v>28</v>
      </c>
      <c r="K6832" s="11">
        <v>200</v>
      </c>
      <c r="L6832" s="11">
        <v>0.44</v>
      </c>
      <c r="M6832" s="11" t="s">
        <v>28</v>
      </c>
      <c r="N6832" s="8">
        <v>43683</v>
      </c>
      <c r="O6832" s="9" t="s">
        <v>30</v>
      </c>
      <c r="P6832" s="12" t="s">
        <v>1092</v>
      </c>
      <c r="Q6832" s="9" t="s">
        <v>362</v>
      </c>
      <c r="R6832" s="14" t="str">
        <f>HYPERLINK("https://my.pitchbook.com?c=209313-01T","View Company Online")</f>
        <v>View Company Online</v>
      </c>
    </row>
    <row r="6833" spans="1:18" hidden="1" x14ac:dyDescent="0.3">
      <c r="A6833" s="15" t="s">
        <v>20518</v>
      </c>
      <c r="B6833" s="15" t="s">
        <v>13565</v>
      </c>
      <c r="C6833" s="18" t="s">
        <v>28</v>
      </c>
      <c r="D6833" s="15" t="s">
        <v>13566</v>
      </c>
      <c r="E6833" s="18" t="s">
        <v>28</v>
      </c>
      <c r="F6833" s="19" t="s">
        <v>28</v>
      </c>
      <c r="G6833" s="19">
        <v>1.4</v>
      </c>
      <c r="H6833" s="19" t="s">
        <v>28</v>
      </c>
      <c r="I6833" s="18" t="s">
        <v>28</v>
      </c>
      <c r="J6833" s="18" t="s">
        <v>28</v>
      </c>
      <c r="K6833" s="18" t="s">
        <v>28</v>
      </c>
      <c r="L6833" s="18" t="s">
        <v>28</v>
      </c>
      <c r="M6833" s="18" t="s">
        <v>28</v>
      </c>
      <c r="N6833" s="17">
        <v>43683</v>
      </c>
      <c r="O6833" s="15" t="s">
        <v>99</v>
      </c>
      <c r="P6833" s="16" t="s">
        <v>20519</v>
      </c>
      <c r="Q6833" s="15" t="s">
        <v>43</v>
      </c>
      <c r="R6833" s="13" t="str">
        <f>HYPERLINK("https://my.pitchbook.com?c=125643-61T","View Company Online")</f>
        <v>View Company Online</v>
      </c>
    </row>
    <row r="6834" spans="1:18" hidden="1" x14ac:dyDescent="0.3">
      <c r="A6834" s="9" t="s">
        <v>20520</v>
      </c>
      <c r="B6834" s="9" t="s">
        <v>14553</v>
      </c>
      <c r="C6834" s="11" t="s">
        <v>28</v>
      </c>
      <c r="D6834" s="9" t="s">
        <v>14554</v>
      </c>
      <c r="E6834" s="11" t="s">
        <v>28</v>
      </c>
      <c r="F6834" s="10" t="s">
        <v>28</v>
      </c>
      <c r="G6834" s="10">
        <v>17.600000000000001</v>
      </c>
      <c r="H6834" s="10" t="s">
        <v>28</v>
      </c>
      <c r="I6834" s="11" t="s">
        <v>28</v>
      </c>
      <c r="J6834" s="11" t="s">
        <v>28</v>
      </c>
      <c r="K6834" s="11" t="s">
        <v>28</v>
      </c>
      <c r="L6834" s="11" t="s">
        <v>28</v>
      </c>
      <c r="M6834" s="11" t="s">
        <v>28</v>
      </c>
      <c r="N6834" s="8">
        <v>43683</v>
      </c>
      <c r="O6834" s="9" t="s">
        <v>73</v>
      </c>
      <c r="P6834" s="12" t="s">
        <v>20521</v>
      </c>
      <c r="Q6834" s="9" t="s">
        <v>85</v>
      </c>
      <c r="R6834" s="14" t="str">
        <f>HYPERLINK("https://my.pitchbook.com?c=123290-29T","View Company Online")</f>
        <v>View Company Online</v>
      </c>
    </row>
    <row r="6835" spans="1:18" hidden="1" x14ac:dyDescent="0.3">
      <c r="A6835" s="15" t="s">
        <v>20522</v>
      </c>
      <c r="B6835" s="15" t="s">
        <v>7574</v>
      </c>
      <c r="C6835" s="18" t="s">
        <v>28</v>
      </c>
      <c r="D6835" s="15" t="s">
        <v>20523</v>
      </c>
      <c r="E6835" s="18">
        <v>83.96</v>
      </c>
      <c r="F6835" s="19" t="s">
        <v>28</v>
      </c>
      <c r="G6835" s="19" t="s">
        <v>28</v>
      </c>
      <c r="H6835" s="19" t="s">
        <v>28</v>
      </c>
      <c r="I6835" s="18">
        <v>111.62</v>
      </c>
      <c r="J6835" s="18" t="s">
        <v>28</v>
      </c>
      <c r="K6835" s="18">
        <v>137.47</v>
      </c>
      <c r="L6835" s="18" t="s">
        <v>28</v>
      </c>
      <c r="M6835" s="18">
        <v>38.19</v>
      </c>
      <c r="N6835" s="17">
        <v>43682</v>
      </c>
      <c r="O6835" s="15" t="s">
        <v>30</v>
      </c>
      <c r="P6835" s="16" t="s">
        <v>20524</v>
      </c>
      <c r="Q6835" s="15" t="s">
        <v>119</v>
      </c>
      <c r="R6835" s="13" t="str">
        <f>HYPERLINK("https://my.pitchbook.com?c=119600-56T","View Company Online")</f>
        <v>View Company Online</v>
      </c>
    </row>
    <row r="6836" spans="1:18" x14ac:dyDescent="0.3">
      <c r="A6836" s="9" t="s">
        <v>20525</v>
      </c>
      <c r="B6836" s="9" t="s">
        <v>223</v>
      </c>
      <c r="C6836" s="11" t="s">
        <v>28</v>
      </c>
      <c r="D6836" s="9" t="s">
        <v>224</v>
      </c>
      <c r="E6836" s="11">
        <v>-7.51</v>
      </c>
      <c r="F6836" s="10">
        <v>205.72</v>
      </c>
      <c r="G6836" s="10">
        <v>209.64</v>
      </c>
      <c r="H6836" s="10">
        <v>222.5</v>
      </c>
      <c r="I6836" s="11">
        <v>-5.67</v>
      </c>
      <c r="J6836" s="11">
        <v>-39.21</v>
      </c>
      <c r="K6836" s="11">
        <v>8.2100000000000009</v>
      </c>
      <c r="L6836" s="11">
        <v>27.11</v>
      </c>
      <c r="M6836" s="11">
        <v>-8.1</v>
      </c>
      <c r="N6836" s="8">
        <v>43682</v>
      </c>
      <c r="O6836" s="9" t="s">
        <v>41</v>
      </c>
      <c r="P6836" s="12" t="s">
        <v>20526</v>
      </c>
      <c r="Q6836" s="9" t="s">
        <v>226</v>
      </c>
      <c r="R6836" s="14" t="str">
        <f>HYPERLINK("https://my.pitchbook.com?c=125334-73T","View Company Online")</f>
        <v>View Company Online</v>
      </c>
    </row>
    <row r="6837" spans="1:18" hidden="1" x14ac:dyDescent="0.3">
      <c r="A6837" s="15" t="s">
        <v>20527</v>
      </c>
      <c r="B6837" s="15" t="s">
        <v>20528</v>
      </c>
      <c r="C6837" s="18" t="s">
        <v>28</v>
      </c>
      <c r="D6837" s="15" t="s">
        <v>20529</v>
      </c>
      <c r="E6837" s="18" t="s">
        <v>28</v>
      </c>
      <c r="F6837" s="19" t="s">
        <v>28</v>
      </c>
      <c r="G6837" s="19" t="s">
        <v>28</v>
      </c>
      <c r="H6837" s="19" t="s">
        <v>28</v>
      </c>
      <c r="I6837" s="18" t="s">
        <v>28</v>
      </c>
      <c r="J6837" s="18" t="s">
        <v>28</v>
      </c>
      <c r="K6837" s="18" t="s">
        <v>28</v>
      </c>
      <c r="L6837" s="18" t="s">
        <v>28</v>
      </c>
      <c r="M6837" s="18" t="s">
        <v>28</v>
      </c>
      <c r="N6837" s="17">
        <v>43682</v>
      </c>
      <c r="O6837" s="15" t="s">
        <v>58</v>
      </c>
      <c r="P6837" s="16" t="s">
        <v>20530</v>
      </c>
      <c r="Q6837" s="15" t="s">
        <v>6348</v>
      </c>
      <c r="R6837" s="13" t="str">
        <f>HYPERLINK("https://my.pitchbook.com?c=121923-64T","View Company Online")</f>
        <v>View Company Online</v>
      </c>
    </row>
    <row r="6838" spans="1:18" hidden="1" x14ac:dyDescent="0.3">
      <c r="A6838" s="9" t="s">
        <v>20531</v>
      </c>
      <c r="B6838" s="9" t="s">
        <v>20532</v>
      </c>
      <c r="C6838" s="11" t="s">
        <v>28</v>
      </c>
      <c r="D6838" s="9" t="s">
        <v>20533</v>
      </c>
      <c r="E6838" s="11" t="s">
        <v>28</v>
      </c>
      <c r="F6838" s="10" t="s">
        <v>28</v>
      </c>
      <c r="G6838" s="10" t="s">
        <v>28</v>
      </c>
      <c r="H6838" s="10" t="s">
        <v>28</v>
      </c>
      <c r="I6838" s="11" t="s">
        <v>28</v>
      </c>
      <c r="J6838" s="11" t="s">
        <v>28</v>
      </c>
      <c r="K6838" s="11" t="s">
        <v>28</v>
      </c>
      <c r="L6838" s="11" t="s">
        <v>28</v>
      </c>
      <c r="M6838" s="11" t="s">
        <v>28</v>
      </c>
      <c r="N6838" s="8">
        <v>43682</v>
      </c>
      <c r="O6838" s="9" t="s">
        <v>173</v>
      </c>
      <c r="P6838" s="12" t="s">
        <v>28</v>
      </c>
      <c r="Q6838" s="9" t="s">
        <v>240</v>
      </c>
      <c r="R6838" s="14" t="str">
        <f>HYPERLINK("https://my.pitchbook.com?c=227228-41T","View Company Online")</f>
        <v>View Company Online</v>
      </c>
    </row>
    <row r="6839" spans="1:18" hidden="1" x14ac:dyDescent="0.3">
      <c r="A6839" s="15" t="s">
        <v>20534</v>
      </c>
      <c r="B6839" s="15" t="s">
        <v>20535</v>
      </c>
      <c r="C6839" s="18" t="s">
        <v>28</v>
      </c>
      <c r="D6839" s="15" t="s">
        <v>20536</v>
      </c>
      <c r="E6839" s="18" t="s">
        <v>28</v>
      </c>
      <c r="F6839" s="19">
        <v>44.85</v>
      </c>
      <c r="G6839" s="19">
        <v>44.85</v>
      </c>
      <c r="H6839" s="19">
        <v>44.85</v>
      </c>
      <c r="I6839" s="18" t="s">
        <v>28</v>
      </c>
      <c r="J6839" s="18" t="s">
        <v>28</v>
      </c>
      <c r="K6839" s="18" t="s">
        <v>28</v>
      </c>
      <c r="L6839" s="18" t="s">
        <v>28</v>
      </c>
      <c r="M6839" s="18" t="s">
        <v>28</v>
      </c>
      <c r="N6839" s="17">
        <v>43679</v>
      </c>
      <c r="O6839" s="15" t="s">
        <v>41</v>
      </c>
      <c r="P6839" s="16" t="s">
        <v>5394</v>
      </c>
      <c r="Q6839" s="15" t="s">
        <v>226</v>
      </c>
      <c r="R6839" s="13" t="str">
        <f>HYPERLINK("https://my.pitchbook.com?c=113174-02T","View Company Online")</f>
        <v>View Company Online</v>
      </c>
    </row>
    <row r="6840" spans="1:18" hidden="1" x14ac:dyDescent="0.3">
      <c r="A6840" s="9" t="s">
        <v>20537</v>
      </c>
      <c r="B6840" s="9" t="s">
        <v>8567</v>
      </c>
      <c r="C6840" s="11" t="s">
        <v>28</v>
      </c>
      <c r="D6840" s="9" t="s">
        <v>8568</v>
      </c>
      <c r="E6840" s="11" t="s">
        <v>28</v>
      </c>
      <c r="F6840" s="10" t="s">
        <v>28</v>
      </c>
      <c r="G6840" s="10" t="s">
        <v>28</v>
      </c>
      <c r="H6840" s="10" t="s">
        <v>28</v>
      </c>
      <c r="I6840" s="11" t="s">
        <v>28</v>
      </c>
      <c r="J6840" s="11" t="s">
        <v>28</v>
      </c>
      <c r="K6840" s="11" t="s">
        <v>28</v>
      </c>
      <c r="L6840" s="11" t="s">
        <v>28</v>
      </c>
      <c r="M6840" s="11" t="s">
        <v>28</v>
      </c>
      <c r="N6840" s="8">
        <v>43678</v>
      </c>
      <c r="O6840" s="9" t="s">
        <v>99</v>
      </c>
      <c r="P6840" s="12" t="s">
        <v>28</v>
      </c>
      <c r="Q6840" s="9" t="s">
        <v>37</v>
      </c>
      <c r="R6840" s="14" t="str">
        <f>HYPERLINK("https://my.pitchbook.com?c=209181-97T","View Company Online")</f>
        <v>View Company Online</v>
      </c>
    </row>
    <row r="6841" spans="1:18" hidden="1" x14ac:dyDescent="0.3">
      <c r="A6841" s="15" t="s">
        <v>20538</v>
      </c>
      <c r="B6841" s="15" t="s">
        <v>20539</v>
      </c>
      <c r="C6841" s="18" t="s">
        <v>28</v>
      </c>
      <c r="D6841" s="15" t="s">
        <v>20540</v>
      </c>
      <c r="E6841" s="18" t="s">
        <v>28</v>
      </c>
      <c r="F6841" s="19" t="s">
        <v>28</v>
      </c>
      <c r="G6841" s="19" t="s">
        <v>28</v>
      </c>
      <c r="H6841" s="19" t="s">
        <v>28</v>
      </c>
      <c r="I6841" s="18" t="s">
        <v>28</v>
      </c>
      <c r="J6841" s="18" t="s">
        <v>28</v>
      </c>
      <c r="K6841" s="18" t="s">
        <v>28</v>
      </c>
      <c r="L6841" s="18" t="s">
        <v>28</v>
      </c>
      <c r="M6841" s="18" t="s">
        <v>28</v>
      </c>
      <c r="N6841" s="17">
        <v>43678</v>
      </c>
      <c r="O6841" s="15" t="s">
        <v>30</v>
      </c>
      <c r="P6841" s="16" t="s">
        <v>10011</v>
      </c>
      <c r="Q6841" s="15" t="s">
        <v>696</v>
      </c>
      <c r="R6841" s="13" t="str">
        <f>HYPERLINK("https://my.pitchbook.com?c=123291-28T","View Company Online")</f>
        <v>View Company Online</v>
      </c>
    </row>
    <row r="6842" spans="1:18" hidden="1" x14ac:dyDescent="0.3">
      <c r="A6842" s="9" t="s">
        <v>20541</v>
      </c>
      <c r="B6842" s="9" t="s">
        <v>20542</v>
      </c>
      <c r="C6842" s="11" t="s">
        <v>28</v>
      </c>
      <c r="D6842" s="9" t="s">
        <v>20543</v>
      </c>
      <c r="E6842" s="11" t="s">
        <v>28</v>
      </c>
      <c r="F6842" s="10" t="s">
        <v>28</v>
      </c>
      <c r="G6842" s="10" t="s">
        <v>28</v>
      </c>
      <c r="H6842" s="10" t="s">
        <v>28</v>
      </c>
      <c r="I6842" s="11" t="s">
        <v>28</v>
      </c>
      <c r="J6842" s="11" t="s">
        <v>28</v>
      </c>
      <c r="K6842" s="11" t="s">
        <v>28</v>
      </c>
      <c r="L6842" s="11" t="s">
        <v>28</v>
      </c>
      <c r="M6842" s="11" t="s">
        <v>28</v>
      </c>
      <c r="N6842" s="8">
        <v>43678</v>
      </c>
      <c r="O6842" s="9" t="s">
        <v>79</v>
      </c>
      <c r="P6842" s="12" t="s">
        <v>19683</v>
      </c>
      <c r="Q6842" s="9" t="s">
        <v>696</v>
      </c>
      <c r="R6842" s="14" t="str">
        <f>HYPERLINK("https://my.pitchbook.com?c=123745-87T","View Company Online")</f>
        <v>View Company Online</v>
      </c>
    </row>
    <row r="6843" spans="1:18" hidden="1" x14ac:dyDescent="0.3">
      <c r="A6843" s="15" t="s">
        <v>20544</v>
      </c>
      <c r="B6843" s="15" t="s">
        <v>20545</v>
      </c>
      <c r="C6843" s="18" t="s">
        <v>28</v>
      </c>
      <c r="D6843" s="15" t="s">
        <v>20546</v>
      </c>
      <c r="E6843" s="18" t="s">
        <v>28</v>
      </c>
      <c r="F6843" s="19">
        <v>41.5</v>
      </c>
      <c r="G6843" s="19">
        <v>41.5</v>
      </c>
      <c r="H6843" s="19">
        <v>41.5</v>
      </c>
      <c r="I6843" s="18" t="s">
        <v>28</v>
      </c>
      <c r="J6843" s="18" t="s">
        <v>28</v>
      </c>
      <c r="K6843" s="18">
        <v>35</v>
      </c>
      <c r="L6843" s="18">
        <v>1.19</v>
      </c>
      <c r="M6843" s="18" t="s">
        <v>28</v>
      </c>
      <c r="N6843" s="17">
        <v>43678</v>
      </c>
      <c r="O6843" s="15" t="s">
        <v>30</v>
      </c>
      <c r="P6843" s="16" t="s">
        <v>20547</v>
      </c>
      <c r="Q6843" s="15" t="s">
        <v>409</v>
      </c>
      <c r="R6843" s="13" t="str">
        <f>HYPERLINK("https://my.pitchbook.com?c=121658-41T","View Company Online")</f>
        <v>View Company Online</v>
      </c>
    </row>
    <row r="6844" spans="1:18" hidden="1" x14ac:dyDescent="0.3">
      <c r="A6844" s="9" t="s">
        <v>20548</v>
      </c>
      <c r="B6844" s="9" t="s">
        <v>3877</v>
      </c>
      <c r="C6844" s="11" t="s">
        <v>28</v>
      </c>
      <c r="D6844" s="9" t="s">
        <v>3878</v>
      </c>
      <c r="E6844" s="11" t="s">
        <v>28</v>
      </c>
      <c r="F6844" s="10" t="s">
        <v>28</v>
      </c>
      <c r="G6844" s="10" t="s">
        <v>28</v>
      </c>
      <c r="H6844" s="10" t="s">
        <v>28</v>
      </c>
      <c r="I6844" s="11" t="s">
        <v>28</v>
      </c>
      <c r="J6844" s="11" t="s">
        <v>28</v>
      </c>
      <c r="K6844" s="11" t="s">
        <v>28</v>
      </c>
      <c r="L6844" s="11" t="s">
        <v>28</v>
      </c>
      <c r="M6844" s="11" t="s">
        <v>28</v>
      </c>
      <c r="N6844" s="8">
        <v>43678</v>
      </c>
      <c r="O6844" s="9" t="s">
        <v>73</v>
      </c>
      <c r="P6844" s="12" t="s">
        <v>20549</v>
      </c>
      <c r="Q6844" s="9" t="s">
        <v>75</v>
      </c>
      <c r="R6844" s="14" t="str">
        <f>HYPERLINK("https://my.pitchbook.com?c=102619-00T","View Company Online")</f>
        <v>View Company Online</v>
      </c>
    </row>
    <row r="6845" spans="1:18" hidden="1" x14ac:dyDescent="0.3">
      <c r="A6845" s="15" t="s">
        <v>20550</v>
      </c>
      <c r="B6845" s="15" t="s">
        <v>19346</v>
      </c>
      <c r="C6845" s="18" t="s">
        <v>28</v>
      </c>
      <c r="D6845" s="15" t="s">
        <v>19347</v>
      </c>
      <c r="E6845" s="18" t="s">
        <v>28</v>
      </c>
      <c r="F6845" s="19" t="s">
        <v>28</v>
      </c>
      <c r="G6845" s="19">
        <v>0.01</v>
      </c>
      <c r="H6845" s="19" t="s">
        <v>28</v>
      </c>
      <c r="I6845" s="18" t="s">
        <v>28</v>
      </c>
      <c r="J6845" s="18" t="s">
        <v>28</v>
      </c>
      <c r="K6845" s="18">
        <v>0.51</v>
      </c>
      <c r="L6845" s="18" t="s">
        <v>28</v>
      </c>
      <c r="M6845" s="18" t="s">
        <v>28</v>
      </c>
      <c r="N6845" s="17">
        <v>43678</v>
      </c>
      <c r="O6845" s="15" t="s">
        <v>52</v>
      </c>
      <c r="P6845" s="16" t="s">
        <v>408</v>
      </c>
      <c r="Q6845" s="15" t="s">
        <v>371</v>
      </c>
      <c r="R6845" s="13" t="str">
        <f>HYPERLINK("https://my.pitchbook.com?c=122952-52T","View Company Online")</f>
        <v>View Company Online</v>
      </c>
    </row>
    <row r="6846" spans="1:18" hidden="1" x14ac:dyDescent="0.3">
      <c r="A6846" s="9" t="s">
        <v>20551</v>
      </c>
      <c r="B6846" s="9" t="s">
        <v>20552</v>
      </c>
      <c r="C6846" s="11" t="s">
        <v>28</v>
      </c>
      <c r="D6846" s="9" t="s">
        <v>20553</v>
      </c>
      <c r="E6846" s="11" t="s">
        <v>28</v>
      </c>
      <c r="F6846" s="10" t="s">
        <v>28</v>
      </c>
      <c r="G6846" s="10" t="s">
        <v>28</v>
      </c>
      <c r="H6846" s="10" t="s">
        <v>28</v>
      </c>
      <c r="I6846" s="11" t="s">
        <v>28</v>
      </c>
      <c r="J6846" s="11" t="s">
        <v>28</v>
      </c>
      <c r="K6846" s="11" t="s">
        <v>28</v>
      </c>
      <c r="L6846" s="11" t="s">
        <v>28</v>
      </c>
      <c r="M6846" s="11" t="s">
        <v>28</v>
      </c>
      <c r="N6846" s="8">
        <v>43678</v>
      </c>
      <c r="O6846" s="9" t="s">
        <v>30</v>
      </c>
      <c r="P6846" s="12" t="s">
        <v>28</v>
      </c>
      <c r="Q6846" s="9" t="s">
        <v>285</v>
      </c>
      <c r="R6846" s="14" t="str">
        <f>HYPERLINK("https://my.pitchbook.com?c=155287-54T","View Company Online")</f>
        <v>View Company Online</v>
      </c>
    </row>
    <row r="6847" spans="1:18" hidden="1" x14ac:dyDescent="0.3">
      <c r="A6847" s="15" t="s">
        <v>20554</v>
      </c>
      <c r="B6847" s="15" t="s">
        <v>8707</v>
      </c>
      <c r="C6847" s="18" t="s">
        <v>28</v>
      </c>
      <c r="D6847" s="15" t="s">
        <v>8708</v>
      </c>
      <c r="E6847" s="18" t="s">
        <v>28</v>
      </c>
      <c r="F6847" s="19" t="s">
        <v>28</v>
      </c>
      <c r="G6847" s="19">
        <v>0.3</v>
      </c>
      <c r="H6847" s="19" t="s">
        <v>28</v>
      </c>
      <c r="I6847" s="18" t="s">
        <v>28</v>
      </c>
      <c r="J6847" s="18" t="s">
        <v>28</v>
      </c>
      <c r="K6847" s="18" t="s">
        <v>28</v>
      </c>
      <c r="L6847" s="18" t="s">
        <v>28</v>
      </c>
      <c r="M6847" s="18" t="s">
        <v>28</v>
      </c>
      <c r="N6847" s="17">
        <v>43678</v>
      </c>
      <c r="O6847" s="15" t="s">
        <v>99</v>
      </c>
      <c r="P6847" s="16" t="s">
        <v>20555</v>
      </c>
      <c r="Q6847" s="15" t="s">
        <v>696</v>
      </c>
      <c r="R6847" s="13" t="str">
        <f>HYPERLINK("https://my.pitchbook.com?c=123277-33T","View Company Online")</f>
        <v>View Company Online</v>
      </c>
    </row>
    <row r="6848" spans="1:18" hidden="1" x14ac:dyDescent="0.3">
      <c r="A6848" s="9" t="s">
        <v>20556</v>
      </c>
      <c r="B6848" s="9" t="s">
        <v>18798</v>
      </c>
      <c r="C6848" s="11" t="s">
        <v>28</v>
      </c>
      <c r="D6848" s="9" t="s">
        <v>18799</v>
      </c>
      <c r="E6848" s="11" t="s">
        <v>28</v>
      </c>
      <c r="F6848" s="10" t="s">
        <v>28</v>
      </c>
      <c r="G6848" s="10" t="s">
        <v>28</v>
      </c>
      <c r="H6848" s="10" t="s">
        <v>28</v>
      </c>
      <c r="I6848" s="11" t="s">
        <v>28</v>
      </c>
      <c r="J6848" s="11" t="s">
        <v>28</v>
      </c>
      <c r="K6848" s="11">
        <v>225.8</v>
      </c>
      <c r="L6848" s="11" t="s">
        <v>28</v>
      </c>
      <c r="M6848" s="11" t="s">
        <v>28</v>
      </c>
      <c r="N6848" s="8">
        <v>43677</v>
      </c>
      <c r="O6848" s="9" t="s">
        <v>58</v>
      </c>
      <c r="P6848" s="12" t="s">
        <v>20557</v>
      </c>
      <c r="Q6848" s="9" t="s">
        <v>43</v>
      </c>
      <c r="R6848" s="14" t="str">
        <f>HYPERLINK("https://my.pitchbook.com?c=263032-21T","View Company Online")</f>
        <v>View Company Online</v>
      </c>
    </row>
    <row r="6849" spans="1:18" hidden="1" x14ac:dyDescent="0.3">
      <c r="A6849" s="15" t="s">
        <v>20558</v>
      </c>
      <c r="B6849" s="15" t="s">
        <v>3677</v>
      </c>
      <c r="C6849" s="18" t="s">
        <v>28</v>
      </c>
      <c r="D6849" s="15" t="s">
        <v>3678</v>
      </c>
      <c r="E6849" s="18" t="s">
        <v>28</v>
      </c>
      <c r="F6849" s="19" t="s">
        <v>28</v>
      </c>
      <c r="G6849" s="19">
        <v>344</v>
      </c>
      <c r="H6849" s="19">
        <v>5029.18</v>
      </c>
      <c r="I6849" s="18" t="s">
        <v>28</v>
      </c>
      <c r="J6849" s="18" t="s">
        <v>28</v>
      </c>
      <c r="K6849" s="18">
        <v>151.97999999999999</v>
      </c>
      <c r="L6849" s="18">
        <v>33.090000000000003</v>
      </c>
      <c r="M6849" s="18">
        <v>22.55</v>
      </c>
      <c r="N6849" s="17">
        <v>43677</v>
      </c>
      <c r="O6849" s="15" t="s">
        <v>159</v>
      </c>
      <c r="P6849" s="16" t="s">
        <v>20559</v>
      </c>
      <c r="Q6849" s="15" t="s">
        <v>37</v>
      </c>
      <c r="R6849" s="13" t="str">
        <f>HYPERLINK("https://my.pitchbook.com?c=155687-77T","View Company Online")</f>
        <v>View Company Online</v>
      </c>
    </row>
    <row r="6850" spans="1:18" hidden="1" x14ac:dyDescent="0.3">
      <c r="A6850" s="9" t="s">
        <v>20560</v>
      </c>
      <c r="B6850" s="9" t="s">
        <v>9785</v>
      </c>
      <c r="C6850" s="11" t="s">
        <v>28</v>
      </c>
      <c r="D6850" s="9" t="s">
        <v>9786</v>
      </c>
      <c r="E6850" s="11" t="s">
        <v>28</v>
      </c>
      <c r="F6850" s="10" t="s">
        <v>28</v>
      </c>
      <c r="G6850" s="10" t="s">
        <v>28</v>
      </c>
      <c r="H6850" s="10" t="s">
        <v>28</v>
      </c>
      <c r="I6850" s="11" t="s">
        <v>28</v>
      </c>
      <c r="J6850" s="11" t="s">
        <v>28</v>
      </c>
      <c r="K6850" s="11" t="s">
        <v>28</v>
      </c>
      <c r="L6850" s="11" t="s">
        <v>28</v>
      </c>
      <c r="M6850" s="11" t="s">
        <v>28</v>
      </c>
      <c r="N6850" s="8">
        <v>43677</v>
      </c>
      <c r="O6850" s="9" t="s">
        <v>79</v>
      </c>
      <c r="P6850" s="12" t="s">
        <v>20561</v>
      </c>
      <c r="Q6850" s="9" t="s">
        <v>75</v>
      </c>
      <c r="R6850" s="14" t="str">
        <f>HYPERLINK("https://my.pitchbook.com?c=128690-74T","View Company Online")</f>
        <v>View Company Online</v>
      </c>
    </row>
    <row r="6851" spans="1:18" hidden="1" x14ac:dyDescent="0.3">
      <c r="A6851" s="15" t="s">
        <v>20562</v>
      </c>
      <c r="B6851" s="15" t="s">
        <v>20563</v>
      </c>
      <c r="C6851" s="18" t="s">
        <v>28</v>
      </c>
      <c r="D6851" s="15" t="s">
        <v>20564</v>
      </c>
      <c r="E6851" s="18" t="s">
        <v>28</v>
      </c>
      <c r="F6851" s="19" t="s">
        <v>28</v>
      </c>
      <c r="G6851" s="19" t="s">
        <v>28</v>
      </c>
      <c r="H6851" s="19" t="s">
        <v>28</v>
      </c>
      <c r="I6851" s="18" t="s">
        <v>28</v>
      </c>
      <c r="J6851" s="18" t="s">
        <v>28</v>
      </c>
      <c r="K6851" s="18" t="s">
        <v>28</v>
      </c>
      <c r="L6851" s="18" t="s">
        <v>28</v>
      </c>
      <c r="M6851" s="18" t="s">
        <v>28</v>
      </c>
      <c r="N6851" s="17">
        <v>43676</v>
      </c>
      <c r="O6851" s="15" t="s">
        <v>30</v>
      </c>
      <c r="P6851" s="16" t="s">
        <v>14833</v>
      </c>
      <c r="Q6851" s="15" t="s">
        <v>95</v>
      </c>
      <c r="R6851" s="13" t="str">
        <f>HYPERLINK("https://my.pitchbook.com?c=160629-76T","View Company Online")</f>
        <v>View Company Online</v>
      </c>
    </row>
    <row r="6852" spans="1:18" hidden="1" x14ac:dyDescent="0.3">
      <c r="A6852" s="9" t="s">
        <v>20565</v>
      </c>
      <c r="B6852" s="9" t="s">
        <v>5785</v>
      </c>
      <c r="C6852" s="11" t="s">
        <v>28</v>
      </c>
      <c r="D6852" s="9" t="s">
        <v>12775</v>
      </c>
      <c r="E6852" s="11" t="s">
        <v>28</v>
      </c>
      <c r="F6852" s="10" t="s">
        <v>28</v>
      </c>
      <c r="G6852" s="10">
        <v>400</v>
      </c>
      <c r="H6852" s="10">
        <v>10000</v>
      </c>
      <c r="I6852" s="11" t="s">
        <v>28</v>
      </c>
      <c r="J6852" s="11" t="s">
        <v>28</v>
      </c>
      <c r="K6852" s="11">
        <v>359.53</v>
      </c>
      <c r="L6852" s="11">
        <v>27.81</v>
      </c>
      <c r="M6852" s="11">
        <v>-92.53</v>
      </c>
      <c r="N6852" s="8">
        <v>43676</v>
      </c>
      <c r="O6852" s="9" t="s">
        <v>79</v>
      </c>
      <c r="P6852" s="12" t="s">
        <v>20566</v>
      </c>
      <c r="Q6852" s="9" t="s">
        <v>1213</v>
      </c>
      <c r="R6852" s="14" t="str">
        <f>HYPERLINK("https://my.pitchbook.com?c=121424-23T","View Company Online")</f>
        <v>View Company Online</v>
      </c>
    </row>
    <row r="6853" spans="1:18" hidden="1" x14ac:dyDescent="0.3">
      <c r="A6853" s="15" t="s">
        <v>20567</v>
      </c>
      <c r="B6853" s="15" t="s">
        <v>737</v>
      </c>
      <c r="C6853" s="18" t="s">
        <v>28</v>
      </c>
      <c r="D6853" s="15" t="s">
        <v>738</v>
      </c>
      <c r="E6853" s="18" t="s">
        <v>28</v>
      </c>
      <c r="F6853" s="19" t="s">
        <v>28</v>
      </c>
      <c r="G6853" s="19">
        <v>3.84</v>
      </c>
      <c r="H6853" s="19" t="s">
        <v>28</v>
      </c>
      <c r="I6853" s="18" t="s">
        <v>28</v>
      </c>
      <c r="J6853" s="18" t="s">
        <v>28</v>
      </c>
      <c r="K6853" s="18" t="s">
        <v>28</v>
      </c>
      <c r="L6853" s="18" t="s">
        <v>28</v>
      </c>
      <c r="M6853" s="18" t="s">
        <v>28</v>
      </c>
      <c r="N6853" s="17">
        <v>43676</v>
      </c>
      <c r="O6853" s="15" t="s">
        <v>99</v>
      </c>
      <c r="P6853" s="16" t="s">
        <v>20568</v>
      </c>
      <c r="Q6853" s="15" t="s">
        <v>740</v>
      </c>
      <c r="R6853" s="13" t="str">
        <f>HYPERLINK("https://my.pitchbook.com?c=123809-68T","View Company Online")</f>
        <v>View Company Online</v>
      </c>
    </row>
    <row r="6854" spans="1:18" hidden="1" x14ac:dyDescent="0.3">
      <c r="A6854" s="9" t="s">
        <v>20569</v>
      </c>
      <c r="B6854" s="9" t="s">
        <v>20570</v>
      </c>
      <c r="C6854" s="11" t="s">
        <v>28</v>
      </c>
      <c r="D6854" s="9" t="s">
        <v>20571</v>
      </c>
      <c r="E6854" s="11" t="s">
        <v>28</v>
      </c>
      <c r="F6854" s="10" t="s">
        <v>28</v>
      </c>
      <c r="G6854" s="10" t="s">
        <v>28</v>
      </c>
      <c r="H6854" s="10" t="s">
        <v>28</v>
      </c>
      <c r="I6854" s="11" t="s">
        <v>28</v>
      </c>
      <c r="J6854" s="11" t="s">
        <v>28</v>
      </c>
      <c r="K6854" s="11" t="s">
        <v>28</v>
      </c>
      <c r="L6854" s="11" t="s">
        <v>28</v>
      </c>
      <c r="M6854" s="11" t="s">
        <v>28</v>
      </c>
      <c r="N6854" s="8">
        <v>43675</v>
      </c>
      <c r="O6854" s="9" t="s">
        <v>52</v>
      </c>
      <c r="P6854" s="12" t="s">
        <v>1880</v>
      </c>
      <c r="Q6854" s="9" t="s">
        <v>419</v>
      </c>
      <c r="R6854" s="14" t="str">
        <f>HYPERLINK("https://my.pitchbook.com?c=122329-81T","View Company Online")</f>
        <v>View Company Online</v>
      </c>
    </row>
    <row r="6855" spans="1:18" hidden="1" x14ac:dyDescent="0.3">
      <c r="A6855" s="15" t="s">
        <v>20572</v>
      </c>
      <c r="B6855" s="15" t="s">
        <v>20573</v>
      </c>
      <c r="C6855" s="18" t="s">
        <v>28</v>
      </c>
      <c r="D6855" s="15" t="s">
        <v>20574</v>
      </c>
      <c r="E6855" s="18" t="s">
        <v>28</v>
      </c>
      <c r="F6855" s="19" t="s">
        <v>28</v>
      </c>
      <c r="G6855" s="19" t="s">
        <v>28</v>
      </c>
      <c r="H6855" s="19" t="s">
        <v>28</v>
      </c>
      <c r="I6855" s="18" t="s">
        <v>28</v>
      </c>
      <c r="J6855" s="18" t="s">
        <v>28</v>
      </c>
      <c r="K6855" s="18" t="s">
        <v>28</v>
      </c>
      <c r="L6855" s="18" t="s">
        <v>28</v>
      </c>
      <c r="M6855" s="18" t="s">
        <v>28</v>
      </c>
      <c r="N6855" s="17">
        <v>43675</v>
      </c>
      <c r="O6855" s="15" t="s">
        <v>52</v>
      </c>
      <c r="P6855" s="16" t="s">
        <v>1880</v>
      </c>
      <c r="Q6855" s="15" t="s">
        <v>419</v>
      </c>
      <c r="R6855" s="13" t="str">
        <f>HYPERLINK("https://my.pitchbook.com?c=122195-26T","View Company Online")</f>
        <v>View Company Online</v>
      </c>
    </row>
    <row r="6856" spans="1:18" hidden="1" x14ac:dyDescent="0.3">
      <c r="A6856" s="9" t="s">
        <v>20575</v>
      </c>
      <c r="B6856" s="9" t="s">
        <v>20576</v>
      </c>
      <c r="C6856" s="11" t="s">
        <v>28</v>
      </c>
      <c r="D6856" s="9" t="s">
        <v>20577</v>
      </c>
      <c r="E6856" s="11" t="s">
        <v>28</v>
      </c>
      <c r="F6856" s="10" t="s">
        <v>28</v>
      </c>
      <c r="G6856" s="10" t="s">
        <v>28</v>
      </c>
      <c r="H6856" s="10" t="s">
        <v>28</v>
      </c>
      <c r="I6856" s="11" t="s">
        <v>28</v>
      </c>
      <c r="J6856" s="11" t="s">
        <v>28</v>
      </c>
      <c r="K6856" s="11" t="s">
        <v>28</v>
      </c>
      <c r="L6856" s="11" t="s">
        <v>28</v>
      </c>
      <c r="M6856" s="11" t="s">
        <v>28</v>
      </c>
      <c r="N6856" s="8">
        <v>43675</v>
      </c>
      <c r="O6856" s="9" t="s">
        <v>52</v>
      </c>
      <c r="P6856" s="12" t="s">
        <v>1880</v>
      </c>
      <c r="Q6856" s="9" t="s">
        <v>419</v>
      </c>
      <c r="R6856" s="14" t="str">
        <f>HYPERLINK("https://my.pitchbook.com?c=122310-28T","View Company Online")</f>
        <v>View Company Online</v>
      </c>
    </row>
    <row r="6857" spans="1:18" hidden="1" x14ac:dyDescent="0.3">
      <c r="A6857" s="15" t="s">
        <v>20578</v>
      </c>
      <c r="B6857" s="15" t="s">
        <v>20579</v>
      </c>
      <c r="C6857" s="18" t="s">
        <v>28</v>
      </c>
      <c r="D6857" s="15" t="s">
        <v>20580</v>
      </c>
      <c r="E6857" s="18" t="s">
        <v>28</v>
      </c>
      <c r="F6857" s="19" t="s">
        <v>28</v>
      </c>
      <c r="G6857" s="19" t="s">
        <v>28</v>
      </c>
      <c r="H6857" s="19" t="s">
        <v>28</v>
      </c>
      <c r="I6857" s="18" t="s">
        <v>28</v>
      </c>
      <c r="J6857" s="18" t="s">
        <v>28</v>
      </c>
      <c r="K6857" s="18" t="s">
        <v>28</v>
      </c>
      <c r="L6857" s="18" t="s">
        <v>28</v>
      </c>
      <c r="M6857" s="18" t="s">
        <v>28</v>
      </c>
      <c r="N6857" s="17">
        <v>43675</v>
      </c>
      <c r="O6857" s="15" t="s">
        <v>52</v>
      </c>
      <c r="P6857" s="16" t="s">
        <v>1880</v>
      </c>
      <c r="Q6857" s="15" t="s">
        <v>75</v>
      </c>
      <c r="R6857" s="13" t="str">
        <f>HYPERLINK("https://my.pitchbook.com?c=122379-94T","View Company Online")</f>
        <v>View Company Online</v>
      </c>
    </row>
    <row r="6858" spans="1:18" hidden="1" x14ac:dyDescent="0.3">
      <c r="A6858" s="9" t="s">
        <v>20581</v>
      </c>
      <c r="B6858" s="9" t="s">
        <v>20582</v>
      </c>
      <c r="C6858" s="11" t="s">
        <v>28</v>
      </c>
      <c r="D6858" s="9" t="s">
        <v>20583</v>
      </c>
      <c r="E6858" s="11" t="s">
        <v>28</v>
      </c>
      <c r="F6858" s="10" t="s">
        <v>28</v>
      </c>
      <c r="G6858" s="10" t="s">
        <v>28</v>
      </c>
      <c r="H6858" s="10" t="s">
        <v>28</v>
      </c>
      <c r="I6858" s="11" t="s">
        <v>28</v>
      </c>
      <c r="J6858" s="11" t="s">
        <v>28</v>
      </c>
      <c r="K6858" s="11" t="s">
        <v>28</v>
      </c>
      <c r="L6858" s="11" t="s">
        <v>28</v>
      </c>
      <c r="M6858" s="11" t="s">
        <v>28</v>
      </c>
      <c r="N6858" s="8">
        <v>43672</v>
      </c>
      <c r="O6858" s="9" t="s">
        <v>41</v>
      </c>
      <c r="P6858" s="12" t="s">
        <v>20584</v>
      </c>
      <c r="Q6858" s="9" t="s">
        <v>2043</v>
      </c>
      <c r="R6858" s="14" t="str">
        <f>HYPERLINK("https://my.pitchbook.com?c=216263-44T","View Company Online")</f>
        <v>View Company Online</v>
      </c>
    </row>
    <row r="6859" spans="1:18" hidden="1" x14ac:dyDescent="0.3">
      <c r="A6859" s="15" t="s">
        <v>20585</v>
      </c>
      <c r="B6859" s="15" t="s">
        <v>20586</v>
      </c>
      <c r="C6859" s="18" t="s">
        <v>28</v>
      </c>
      <c r="D6859" s="15" t="s">
        <v>20587</v>
      </c>
      <c r="E6859" s="18" t="s">
        <v>28</v>
      </c>
      <c r="F6859" s="19" t="s">
        <v>28</v>
      </c>
      <c r="G6859" s="19" t="s">
        <v>28</v>
      </c>
      <c r="H6859" s="19" t="s">
        <v>28</v>
      </c>
      <c r="I6859" s="18" t="s">
        <v>28</v>
      </c>
      <c r="J6859" s="18" t="s">
        <v>28</v>
      </c>
      <c r="K6859" s="18" t="s">
        <v>28</v>
      </c>
      <c r="L6859" s="18" t="s">
        <v>28</v>
      </c>
      <c r="M6859" s="18" t="s">
        <v>28</v>
      </c>
      <c r="N6859" s="17">
        <v>43672</v>
      </c>
      <c r="O6859" s="15" t="s">
        <v>173</v>
      </c>
      <c r="P6859" s="16" t="s">
        <v>28</v>
      </c>
      <c r="Q6859" s="15" t="s">
        <v>1361</v>
      </c>
      <c r="R6859" s="13" t="str">
        <f>HYPERLINK("https://my.pitchbook.com?c=222868-72T","View Company Online")</f>
        <v>View Company Online</v>
      </c>
    </row>
    <row r="6860" spans="1:18" hidden="1" x14ac:dyDescent="0.3">
      <c r="A6860" s="9" t="s">
        <v>20588</v>
      </c>
      <c r="B6860" s="9" t="s">
        <v>10718</v>
      </c>
      <c r="C6860" s="11" t="s">
        <v>28</v>
      </c>
      <c r="D6860" s="9" t="s">
        <v>10719</v>
      </c>
      <c r="E6860" s="11" t="s">
        <v>28</v>
      </c>
      <c r="F6860" s="10" t="s">
        <v>28</v>
      </c>
      <c r="G6860" s="10">
        <v>2.38</v>
      </c>
      <c r="H6860" s="10" t="s">
        <v>28</v>
      </c>
      <c r="I6860" s="11" t="s">
        <v>28</v>
      </c>
      <c r="J6860" s="11" t="s">
        <v>28</v>
      </c>
      <c r="K6860" s="11" t="s">
        <v>28</v>
      </c>
      <c r="L6860" s="11" t="s">
        <v>28</v>
      </c>
      <c r="M6860" s="11" t="s">
        <v>28</v>
      </c>
      <c r="N6860" s="8">
        <v>43672</v>
      </c>
      <c r="O6860" s="9" t="s">
        <v>73</v>
      </c>
      <c r="P6860" s="12" t="s">
        <v>20589</v>
      </c>
      <c r="Q6860" s="9" t="s">
        <v>75</v>
      </c>
      <c r="R6860" s="14" t="str">
        <f>HYPERLINK("https://my.pitchbook.com?c=124672-24T","View Company Online")</f>
        <v>View Company Online</v>
      </c>
    </row>
    <row r="6861" spans="1:18" hidden="1" x14ac:dyDescent="0.3">
      <c r="A6861" s="15" t="s">
        <v>20590</v>
      </c>
      <c r="B6861" s="15" t="s">
        <v>20591</v>
      </c>
      <c r="C6861" s="18" t="s">
        <v>28</v>
      </c>
      <c r="D6861" s="15" t="s">
        <v>20592</v>
      </c>
      <c r="E6861" s="18" t="s">
        <v>28</v>
      </c>
      <c r="F6861" s="19" t="s">
        <v>28</v>
      </c>
      <c r="G6861" s="19">
        <v>2.91</v>
      </c>
      <c r="H6861" s="19" t="s">
        <v>28</v>
      </c>
      <c r="I6861" s="18" t="s">
        <v>28</v>
      </c>
      <c r="J6861" s="18" t="s">
        <v>28</v>
      </c>
      <c r="K6861" s="18" t="s">
        <v>28</v>
      </c>
      <c r="L6861" s="18" t="s">
        <v>28</v>
      </c>
      <c r="M6861" s="18" t="s">
        <v>28</v>
      </c>
      <c r="N6861" s="17">
        <v>43672</v>
      </c>
      <c r="O6861" s="15" t="s">
        <v>73</v>
      </c>
      <c r="P6861" s="16" t="s">
        <v>20593</v>
      </c>
      <c r="Q6861" s="15" t="s">
        <v>95</v>
      </c>
      <c r="R6861" s="13" t="str">
        <f>HYPERLINK("https://my.pitchbook.com?c=133800-40T","View Company Online")</f>
        <v>View Company Online</v>
      </c>
    </row>
    <row r="6862" spans="1:18" hidden="1" x14ac:dyDescent="0.3">
      <c r="A6862" s="9" t="s">
        <v>20594</v>
      </c>
      <c r="B6862" s="9" t="s">
        <v>20595</v>
      </c>
      <c r="C6862" s="11" t="s">
        <v>28</v>
      </c>
      <c r="D6862" s="9" t="s">
        <v>20596</v>
      </c>
      <c r="E6862" s="11" t="s">
        <v>28</v>
      </c>
      <c r="F6862" s="10" t="s">
        <v>28</v>
      </c>
      <c r="G6862" s="10" t="s">
        <v>28</v>
      </c>
      <c r="H6862" s="10" t="s">
        <v>28</v>
      </c>
      <c r="I6862" s="11" t="s">
        <v>28</v>
      </c>
      <c r="J6862" s="11" t="s">
        <v>28</v>
      </c>
      <c r="K6862" s="11" t="s">
        <v>28</v>
      </c>
      <c r="L6862" s="11" t="s">
        <v>28</v>
      </c>
      <c r="M6862" s="11" t="s">
        <v>28</v>
      </c>
      <c r="N6862" s="8">
        <v>43671</v>
      </c>
      <c r="O6862" s="9" t="s">
        <v>379</v>
      </c>
      <c r="P6862" s="12" t="s">
        <v>10444</v>
      </c>
      <c r="Q6862" s="9" t="s">
        <v>75</v>
      </c>
      <c r="R6862" s="14" t="str">
        <f>HYPERLINK("https://my.pitchbook.com?c=215811-73T","View Company Online")</f>
        <v>View Company Online</v>
      </c>
    </row>
    <row r="6863" spans="1:18" hidden="1" x14ac:dyDescent="0.3">
      <c r="A6863" s="15" t="s">
        <v>20597</v>
      </c>
      <c r="B6863" s="15" t="s">
        <v>20598</v>
      </c>
      <c r="C6863" s="18" t="s">
        <v>28</v>
      </c>
      <c r="D6863" s="15" t="s">
        <v>20599</v>
      </c>
      <c r="E6863" s="18" t="s">
        <v>28</v>
      </c>
      <c r="F6863" s="19" t="s">
        <v>28</v>
      </c>
      <c r="G6863" s="19" t="s">
        <v>28</v>
      </c>
      <c r="H6863" s="19" t="s">
        <v>28</v>
      </c>
      <c r="I6863" s="18" t="s">
        <v>28</v>
      </c>
      <c r="J6863" s="18" t="s">
        <v>28</v>
      </c>
      <c r="K6863" s="18" t="s">
        <v>28</v>
      </c>
      <c r="L6863" s="18" t="s">
        <v>28</v>
      </c>
      <c r="M6863" s="18" t="s">
        <v>28</v>
      </c>
      <c r="N6863" s="17">
        <v>43671</v>
      </c>
      <c r="O6863" s="15" t="s">
        <v>41</v>
      </c>
      <c r="P6863" s="16" t="s">
        <v>20600</v>
      </c>
      <c r="Q6863" s="15" t="s">
        <v>169</v>
      </c>
      <c r="R6863" s="13" t="str">
        <f>HYPERLINK("https://my.pitchbook.com?c=121974-67T","View Company Online")</f>
        <v>View Company Online</v>
      </c>
    </row>
    <row r="6864" spans="1:18" hidden="1" x14ac:dyDescent="0.3">
      <c r="A6864" s="9" t="s">
        <v>20601</v>
      </c>
      <c r="B6864" s="9" t="s">
        <v>20602</v>
      </c>
      <c r="C6864" s="11" t="s">
        <v>28</v>
      </c>
      <c r="D6864" s="9" t="s">
        <v>20603</v>
      </c>
      <c r="E6864" s="11" t="s">
        <v>28</v>
      </c>
      <c r="F6864" s="10" t="s">
        <v>28</v>
      </c>
      <c r="G6864" s="10" t="s">
        <v>28</v>
      </c>
      <c r="H6864" s="10" t="s">
        <v>28</v>
      </c>
      <c r="I6864" s="11" t="s">
        <v>28</v>
      </c>
      <c r="J6864" s="11" t="s">
        <v>28</v>
      </c>
      <c r="K6864" s="11" t="s">
        <v>28</v>
      </c>
      <c r="L6864" s="11" t="s">
        <v>28</v>
      </c>
      <c r="M6864" s="11" t="s">
        <v>28</v>
      </c>
      <c r="N6864" s="8">
        <v>43670</v>
      </c>
      <c r="O6864" s="9" t="s">
        <v>30</v>
      </c>
      <c r="P6864" s="12" t="s">
        <v>20604</v>
      </c>
      <c r="Q6864" s="9" t="s">
        <v>136</v>
      </c>
      <c r="R6864" s="14" t="str">
        <f>HYPERLINK("https://my.pitchbook.com?c=125271-46T","View Company Online")</f>
        <v>View Company Online</v>
      </c>
    </row>
    <row r="6865" spans="1:18" hidden="1" x14ac:dyDescent="0.3">
      <c r="A6865" s="15" t="s">
        <v>20605</v>
      </c>
      <c r="B6865" s="15" t="s">
        <v>7120</v>
      </c>
      <c r="C6865" s="18" t="s">
        <v>28</v>
      </c>
      <c r="D6865" s="15" t="s">
        <v>7121</v>
      </c>
      <c r="E6865" s="18" t="s">
        <v>28</v>
      </c>
      <c r="F6865" s="19" t="s">
        <v>28</v>
      </c>
      <c r="G6865" s="19">
        <v>0.31</v>
      </c>
      <c r="H6865" s="19">
        <v>1.74</v>
      </c>
      <c r="I6865" s="18" t="s">
        <v>28</v>
      </c>
      <c r="J6865" s="18" t="s">
        <v>28</v>
      </c>
      <c r="K6865" s="18">
        <v>0.33</v>
      </c>
      <c r="L6865" s="18">
        <v>5.27</v>
      </c>
      <c r="M6865" s="18" t="s">
        <v>28</v>
      </c>
      <c r="N6865" s="17">
        <v>43668</v>
      </c>
      <c r="O6865" s="15" t="s">
        <v>1639</v>
      </c>
      <c r="P6865" s="16" t="s">
        <v>28</v>
      </c>
      <c r="Q6865" s="15" t="s">
        <v>85</v>
      </c>
      <c r="R6865" s="13" t="str">
        <f>HYPERLINK("https://my.pitchbook.com?c=122936-05T","View Company Online")</f>
        <v>View Company Online</v>
      </c>
    </row>
    <row r="6866" spans="1:18" hidden="1" x14ac:dyDescent="0.3">
      <c r="A6866" s="9" t="s">
        <v>20606</v>
      </c>
      <c r="B6866" s="9" t="s">
        <v>3280</v>
      </c>
      <c r="C6866" s="11" t="s">
        <v>28</v>
      </c>
      <c r="D6866" s="9" t="s">
        <v>3281</v>
      </c>
      <c r="E6866" s="11" t="s">
        <v>28</v>
      </c>
      <c r="F6866" s="10" t="s">
        <v>28</v>
      </c>
      <c r="G6866" s="10">
        <v>1</v>
      </c>
      <c r="H6866" s="10">
        <v>5.88</v>
      </c>
      <c r="I6866" s="11" t="s">
        <v>28</v>
      </c>
      <c r="J6866" s="11" t="s">
        <v>28</v>
      </c>
      <c r="K6866" s="11" t="s">
        <v>28</v>
      </c>
      <c r="L6866" s="11" t="s">
        <v>28</v>
      </c>
      <c r="M6866" s="11" t="s">
        <v>28</v>
      </c>
      <c r="N6866" s="8">
        <v>43668</v>
      </c>
      <c r="O6866" s="9" t="s">
        <v>99</v>
      </c>
      <c r="P6866" s="12" t="s">
        <v>20607</v>
      </c>
      <c r="Q6866" s="9" t="s">
        <v>696</v>
      </c>
      <c r="R6866" s="14" t="str">
        <f>HYPERLINK("https://my.pitchbook.com?c=161142-94T","View Company Online")</f>
        <v>View Company Online</v>
      </c>
    </row>
    <row r="6867" spans="1:18" hidden="1" x14ac:dyDescent="0.3">
      <c r="A6867" s="15" t="s">
        <v>20608</v>
      </c>
      <c r="B6867" s="15" t="s">
        <v>20609</v>
      </c>
      <c r="C6867" s="18" t="s">
        <v>28</v>
      </c>
      <c r="D6867" s="15" t="s">
        <v>20610</v>
      </c>
      <c r="E6867" s="18" t="s">
        <v>28</v>
      </c>
      <c r="F6867" s="19" t="s">
        <v>28</v>
      </c>
      <c r="G6867" s="19" t="s">
        <v>28</v>
      </c>
      <c r="H6867" s="19" t="s">
        <v>28</v>
      </c>
      <c r="I6867" s="18" t="s">
        <v>28</v>
      </c>
      <c r="J6867" s="18" t="s">
        <v>28</v>
      </c>
      <c r="K6867" s="18" t="s">
        <v>28</v>
      </c>
      <c r="L6867" s="18" t="s">
        <v>28</v>
      </c>
      <c r="M6867" s="18" t="s">
        <v>28</v>
      </c>
      <c r="N6867" s="17">
        <v>43668</v>
      </c>
      <c r="O6867" s="15" t="s">
        <v>30</v>
      </c>
      <c r="P6867" s="16" t="s">
        <v>20611</v>
      </c>
      <c r="Q6867" s="15" t="s">
        <v>136</v>
      </c>
      <c r="R6867" s="13" t="str">
        <f>HYPERLINK("https://my.pitchbook.com?c=138254-50T","View Company Online")</f>
        <v>View Company Online</v>
      </c>
    </row>
    <row r="6868" spans="1:18" hidden="1" x14ac:dyDescent="0.3">
      <c r="A6868" s="9" t="s">
        <v>20612</v>
      </c>
      <c r="B6868" s="9" t="s">
        <v>20613</v>
      </c>
      <c r="C6868" s="11" t="s">
        <v>28</v>
      </c>
      <c r="D6868" s="9" t="s">
        <v>20614</v>
      </c>
      <c r="E6868" s="11" t="s">
        <v>28</v>
      </c>
      <c r="F6868" s="10" t="s">
        <v>28</v>
      </c>
      <c r="G6868" s="10" t="s">
        <v>28</v>
      </c>
      <c r="H6868" s="10" t="s">
        <v>28</v>
      </c>
      <c r="I6868" s="11" t="s">
        <v>28</v>
      </c>
      <c r="J6868" s="11" t="s">
        <v>28</v>
      </c>
      <c r="K6868" s="11" t="s">
        <v>28</v>
      </c>
      <c r="L6868" s="11" t="s">
        <v>28</v>
      </c>
      <c r="M6868" s="11" t="s">
        <v>28</v>
      </c>
      <c r="N6868" s="8">
        <v>43668</v>
      </c>
      <c r="O6868" s="9" t="s">
        <v>52</v>
      </c>
      <c r="P6868" s="12" t="s">
        <v>20615</v>
      </c>
      <c r="Q6868" s="9" t="s">
        <v>263</v>
      </c>
      <c r="R6868" s="14" t="str">
        <f>HYPERLINK("https://my.pitchbook.com?c=124020-64T","View Company Online")</f>
        <v>View Company Online</v>
      </c>
    </row>
    <row r="6869" spans="1:18" hidden="1" x14ac:dyDescent="0.3">
      <c r="A6869" s="15" t="s">
        <v>20616</v>
      </c>
      <c r="B6869" s="15" t="s">
        <v>2005</v>
      </c>
      <c r="C6869" s="18" t="s">
        <v>28</v>
      </c>
      <c r="D6869" s="15" t="s">
        <v>19161</v>
      </c>
      <c r="E6869" s="18">
        <v>39.119999999999997</v>
      </c>
      <c r="F6869" s="19" t="s">
        <v>28</v>
      </c>
      <c r="G6869" s="19">
        <v>261.14</v>
      </c>
      <c r="H6869" s="19">
        <v>565.30999999999995</v>
      </c>
      <c r="I6869" s="18">
        <v>47.95</v>
      </c>
      <c r="J6869" s="18">
        <v>11.79</v>
      </c>
      <c r="K6869" s="18">
        <v>134.99</v>
      </c>
      <c r="L6869" s="18">
        <v>4.1900000000000004</v>
      </c>
      <c r="M6869" s="18">
        <v>27.48</v>
      </c>
      <c r="N6869" s="17">
        <v>43665</v>
      </c>
      <c r="O6869" s="15" t="s">
        <v>173</v>
      </c>
      <c r="P6869" s="16" t="s">
        <v>28</v>
      </c>
      <c r="Q6869" s="15" t="s">
        <v>43</v>
      </c>
      <c r="R6869" s="13" t="str">
        <f>HYPERLINK("https://my.pitchbook.com?c=120061-90T","View Company Online")</f>
        <v>View Company Online</v>
      </c>
    </row>
    <row r="6870" spans="1:18" hidden="1" x14ac:dyDescent="0.3">
      <c r="A6870" s="9" t="s">
        <v>20617</v>
      </c>
      <c r="B6870" s="9" t="s">
        <v>20618</v>
      </c>
      <c r="C6870" s="11" t="s">
        <v>28</v>
      </c>
      <c r="D6870" s="9" t="s">
        <v>20619</v>
      </c>
      <c r="E6870" s="11" t="s">
        <v>28</v>
      </c>
      <c r="F6870" s="10">
        <v>0.01</v>
      </c>
      <c r="G6870" s="10">
        <v>0.01</v>
      </c>
      <c r="H6870" s="10">
        <v>0.01</v>
      </c>
      <c r="I6870" s="11" t="s">
        <v>28</v>
      </c>
      <c r="J6870" s="11" t="s">
        <v>28</v>
      </c>
      <c r="K6870" s="11" t="s">
        <v>28</v>
      </c>
      <c r="L6870" s="11" t="s">
        <v>28</v>
      </c>
      <c r="M6870" s="11" t="s">
        <v>28</v>
      </c>
      <c r="N6870" s="8">
        <v>43665</v>
      </c>
      <c r="O6870" s="9" t="s">
        <v>30</v>
      </c>
      <c r="P6870" s="12" t="s">
        <v>20620</v>
      </c>
      <c r="Q6870" s="9" t="s">
        <v>119</v>
      </c>
      <c r="R6870" s="14" t="str">
        <f>HYPERLINK("https://my.pitchbook.com?c=242016-85T","View Company Online")</f>
        <v>View Company Online</v>
      </c>
    </row>
    <row r="6871" spans="1:18" hidden="1" x14ac:dyDescent="0.3">
      <c r="A6871" s="15" t="s">
        <v>20621</v>
      </c>
      <c r="B6871" s="15" t="s">
        <v>20622</v>
      </c>
      <c r="C6871" s="18" t="s">
        <v>28</v>
      </c>
      <c r="D6871" s="15" t="s">
        <v>20623</v>
      </c>
      <c r="E6871" s="18" t="s">
        <v>28</v>
      </c>
      <c r="F6871" s="19" t="s">
        <v>28</v>
      </c>
      <c r="G6871" s="19" t="s">
        <v>28</v>
      </c>
      <c r="H6871" s="19" t="s">
        <v>28</v>
      </c>
      <c r="I6871" s="18" t="s">
        <v>28</v>
      </c>
      <c r="J6871" s="18" t="s">
        <v>28</v>
      </c>
      <c r="K6871" s="18" t="s">
        <v>28</v>
      </c>
      <c r="L6871" s="18" t="s">
        <v>28</v>
      </c>
      <c r="M6871" s="18" t="s">
        <v>28</v>
      </c>
      <c r="N6871" s="17">
        <v>43665</v>
      </c>
      <c r="O6871" s="15" t="s">
        <v>30</v>
      </c>
      <c r="P6871" s="16" t="s">
        <v>343</v>
      </c>
      <c r="Q6871" s="15" t="s">
        <v>424</v>
      </c>
      <c r="R6871" s="13" t="str">
        <f>HYPERLINK("https://my.pitchbook.com?c=199436-32T","View Company Online")</f>
        <v>View Company Online</v>
      </c>
    </row>
    <row r="6872" spans="1:18" hidden="1" x14ac:dyDescent="0.3">
      <c r="A6872" s="9" t="s">
        <v>20624</v>
      </c>
      <c r="B6872" s="9" t="s">
        <v>20625</v>
      </c>
      <c r="C6872" s="11" t="s">
        <v>28</v>
      </c>
      <c r="D6872" s="9" t="s">
        <v>20626</v>
      </c>
      <c r="E6872" s="11" t="s">
        <v>28</v>
      </c>
      <c r="F6872" s="10">
        <v>11.29</v>
      </c>
      <c r="G6872" s="10">
        <v>11.29</v>
      </c>
      <c r="H6872" s="10">
        <v>11.29</v>
      </c>
      <c r="I6872" s="11" t="s">
        <v>28</v>
      </c>
      <c r="J6872" s="11" t="s">
        <v>28</v>
      </c>
      <c r="K6872" s="11" t="s">
        <v>28</v>
      </c>
      <c r="L6872" s="11" t="s">
        <v>28</v>
      </c>
      <c r="M6872" s="11" t="s">
        <v>28</v>
      </c>
      <c r="N6872" s="8">
        <v>43665</v>
      </c>
      <c r="O6872" s="9" t="s">
        <v>30</v>
      </c>
      <c r="P6872" s="12" t="s">
        <v>20627</v>
      </c>
      <c r="Q6872" s="9" t="s">
        <v>75</v>
      </c>
      <c r="R6872" s="14" t="str">
        <f>HYPERLINK("https://my.pitchbook.com?c=126465-85T","View Company Online")</f>
        <v>View Company Online</v>
      </c>
    </row>
    <row r="6873" spans="1:18" hidden="1" x14ac:dyDescent="0.3">
      <c r="A6873" s="15" t="s">
        <v>20628</v>
      </c>
      <c r="B6873" s="15" t="s">
        <v>20629</v>
      </c>
      <c r="C6873" s="18" t="s">
        <v>28</v>
      </c>
      <c r="D6873" s="15" t="s">
        <v>20630</v>
      </c>
      <c r="E6873" s="18" t="s">
        <v>28</v>
      </c>
      <c r="F6873" s="19" t="s">
        <v>28</v>
      </c>
      <c r="G6873" s="19" t="s">
        <v>28</v>
      </c>
      <c r="H6873" s="19" t="s">
        <v>28</v>
      </c>
      <c r="I6873" s="18" t="s">
        <v>28</v>
      </c>
      <c r="J6873" s="18" t="s">
        <v>28</v>
      </c>
      <c r="K6873" s="18" t="s">
        <v>28</v>
      </c>
      <c r="L6873" s="18" t="s">
        <v>28</v>
      </c>
      <c r="M6873" s="18" t="s">
        <v>28</v>
      </c>
      <c r="N6873" s="17">
        <v>43664</v>
      </c>
      <c r="O6873" s="15" t="s">
        <v>73</v>
      </c>
      <c r="P6873" s="16" t="s">
        <v>20631</v>
      </c>
      <c r="Q6873" s="15" t="s">
        <v>1179</v>
      </c>
      <c r="R6873" s="13" t="str">
        <f>HYPERLINK("https://my.pitchbook.com?c=129982-96T","View Company Online")</f>
        <v>View Company Online</v>
      </c>
    </row>
    <row r="6874" spans="1:18" hidden="1" x14ac:dyDescent="0.3">
      <c r="A6874" s="9" t="s">
        <v>20632</v>
      </c>
      <c r="B6874" s="9" t="s">
        <v>20633</v>
      </c>
      <c r="C6874" s="11" t="s">
        <v>28</v>
      </c>
      <c r="D6874" s="9" t="s">
        <v>20634</v>
      </c>
      <c r="E6874" s="11" t="s">
        <v>28</v>
      </c>
      <c r="F6874" s="10" t="s">
        <v>28</v>
      </c>
      <c r="G6874" s="10" t="s">
        <v>28</v>
      </c>
      <c r="H6874" s="10" t="s">
        <v>28</v>
      </c>
      <c r="I6874" s="11" t="s">
        <v>28</v>
      </c>
      <c r="J6874" s="11" t="s">
        <v>28</v>
      </c>
      <c r="K6874" s="11" t="s">
        <v>28</v>
      </c>
      <c r="L6874" s="11" t="s">
        <v>28</v>
      </c>
      <c r="M6874" s="11" t="s">
        <v>28</v>
      </c>
      <c r="N6874" s="8">
        <v>43663</v>
      </c>
      <c r="O6874" s="9" t="s">
        <v>58</v>
      </c>
      <c r="P6874" s="12" t="s">
        <v>15211</v>
      </c>
      <c r="Q6874" s="9" t="s">
        <v>7449</v>
      </c>
      <c r="R6874" s="14" t="str">
        <f>HYPERLINK("https://my.pitchbook.com?c=241958-26T","View Company Online")</f>
        <v>View Company Online</v>
      </c>
    </row>
    <row r="6875" spans="1:18" hidden="1" x14ac:dyDescent="0.3">
      <c r="A6875" s="15" t="s">
        <v>20635</v>
      </c>
      <c r="B6875" s="15" t="s">
        <v>18053</v>
      </c>
      <c r="C6875" s="18" t="s">
        <v>28</v>
      </c>
      <c r="D6875" s="15" t="s">
        <v>18054</v>
      </c>
      <c r="E6875" s="18" t="s">
        <v>28</v>
      </c>
      <c r="F6875" s="19" t="s">
        <v>28</v>
      </c>
      <c r="G6875" s="19" t="s">
        <v>28</v>
      </c>
      <c r="H6875" s="19" t="s">
        <v>28</v>
      </c>
      <c r="I6875" s="18" t="s">
        <v>28</v>
      </c>
      <c r="J6875" s="18" t="s">
        <v>28</v>
      </c>
      <c r="K6875" s="18" t="s">
        <v>28</v>
      </c>
      <c r="L6875" s="18" t="s">
        <v>28</v>
      </c>
      <c r="M6875" s="18" t="s">
        <v>28</v>
      </c>
      <c r="N6875" s="17">
        <v>43663</v>
      </c>
      <c r="O6875" s="15" t="s">
        <v>99</v>
      </c>
      <c r="P6875" s="16" t="s">
        <v>611</v>
      </c>
      <c r="Q6875" s="15" t="s">
        <v>75</v>
      </c>
      <c r="R6875" s="13" t="str">
        <f>HYPERLINK("https://my.pitchbook.com?c=119985-76T","View Company Online")</f>
        <v>View Company Online</v>
      </c>
    </row>
    <row r="6876" spans="1:18" hidden="1" x14ac:dyDescent="0.3">
      <c r="A6876" s="9" t="s">
        <v>20636</v>
      </c>
      <c r="B6876" s="9" t="s">
        <v>20637</v>
      </c>
      <c r="C6876" s="11" t="s">
        <v>28</v>
      </c>
      <c r="D6876" s="9" t="s">
        <v>20638</v>
      </c>
      <c r="E6876" s="11" t="s">
        <v>28</v>
      </c>
      <c r="F6876" s="10" t="s">
        <v>28</v>
      </c>
      <c r="G6876" s="10" t="s">
        <v>28</v>
      </c>
      <c r="H6876" s="10" t="s">
        <v>28</v>
      </c>
      <c r="I6876" s="11" t="s">
        <v>28</v>
      </c>
      <c r="J6876" s="11" t="s">
        <v>28</v>
      </c>
      <c r="K6876" s="11" t="s">
        <v>28</v>
      </c>
      <c r="L6876" s="11" t="s">
        <v>28</v>
      </c>
      <c r="M6876" s="11" t="s">
        <v>28</v>
      </c>
      <c r="N6876" s="8">
        <v>43662</v>
      </c>
      <c r="O6876" s="9" t="s">
        <v>52</v>
      </c>
      <c r="P6876" s="12" t="s">
        <v>521</v>
      </c>
      <c r="Q6876" s="9" t="s">
        <v>362</v>
      </c>
      <c r="R6876" s="14" t="str">
        <f>HYPERLINK("https://my.pitchbook.com?c=300264-13T","View Company Online")</f>
        <v>View Company Online</v>
      </c>
    </row>
    <row r="6877" spans="1:18" hidden="1" x14ac:dyDescent="0.3">
      <c r="A6877" s="15" t="s">
        <v>20639</v>
      </c>
      <c r="B6877" s="15" t="s">
        <v>20640</v>
      </c>
      <c r="C6877" s="18" t="s">
        <v>28</v>
      </c>
      <c r="D6877" s="15" t="s">
        <v>20641</v>
      </c>
      <c r="E6877" s="18" t="s">
        <v>28</v>
      </c>
      <c r="F6877" s="19">
        <v>13.05</v>
      </c>
      <c r="G6877" s="19">
        <v>13.05</v>
      </c>
      <c r="H6877" s="19">
        <v>13.05</v>
      </c>
      <c r="I6877" s="18" t="s">
        <v>28</v>
      </c>
      <c r="J6877" s="18" t="s">
        <v>28</v>
      </c>
      <c r="K6877" s="18" t="s">
        <v>28</v>
      </c>
      <c r="L6877" s="18" t="s">
        <v>28</v>
      </c>
      <c r="M6877" s="18" t="s">
        <v>28</v>
      </c>
      <c r="N6877" s="17">
        <v>43662</v>
      </c>
      <c r="O6877" s="15" t="s">
        <v>41</v>
      </c>
      <c r="P6877" s="16" t="s">
        <v>14281</v>
      </c>
      <c r="Q6877" s="15" t="s">
        <v>692</v>
      </c>
      <c r="R6877" s="13" t="str">
        <f>HYPERLINK("https://my.pitchbook.com?c=118737-37T","View Company Online")</f>
        <v>View Company Online</v>
      </c>
    </row>
    <row r="6878" spans="1:18" hidden="1" x14ac:dyDescent="0.3">
      <c r="A6878" s="9" t="s">
        <v>20642</v>
      </c>
      <c r="B6878" s="9" t="s">
        <v>20643</v>
      </c>
      <c r="C6878" s="11" t="s">
        <v>28</v>
      </c>
      <c r="D6878" s="9" t="s">
        <v>20644</v>
      </c>
      <c r="E6878" s="11" t="s">
        <v>28</v>
      </c>
      <c r="F6878" s="10" t="s">
        <v>28</v>
      </c>
      <c r="G6878" s="10" t="s">
        <v>28</v>
      </c>
      <c r="H6878" s="10" t="s">
        <v>28</v>
      </c>
      <c r="I6878" s="11" t="s">
        <v>28</v>
      </c>
      <c r="J6878" s="11" t="s">
        <v>28</v>
      </c>
      <c r="K6878" s="11" t="s">
        <v>28</v>
      </c>
      <c r="L6878" s="11" t="s">
        <v>28</v>
      </c>
      <c r="M6878" s="11" t="s">
        <v>28</v>
      </c>
      <c r="N6878" s="8">
        <v>43662</v>
      </c>
      <c r="O6878" s="9" t="s">
        <v>41</v>
      </c>
      <c r="P6878" s="12" t="s">
        <v>20645</v>
      </c>
      <c r="Q6878" s="9" t="s">
        <v>75</v>
      </c>
      <c r="R6878" s="14" t="str">
        <f>HYPERLINK("https://my.pitchbook.com?c=134600-23T","View Company Online")</f>
        <v>View Company Online</v>
      </c>
    </row>
    <row r="6879" spans="1:18" hidden="1" x14ac:dyDescent="0.3">
      <c r="A6879" s="15" t="s">
        <v>20646</v>
      </c>
      <c r="B6879" s="15" t="s">
        <v>10666</v>
      </c>
      <c r="C6879" s="18" t="s">
        <v>28</v>
      </c>
      <c r="D6879" s="15" t="s">
        <v>10667</v>
      </c>
      <c r="E6879" s="18" t="s">
        <v>28</v>
      </c>
      <c r="F6879" s="19" t="s">
        <v>28</v>
      </c>
      <c r="G6879" s="19">
        <v>0.31</v>
      </c>
      <c r="H6879" s="19" t="s">
        <v>28</v>
      </c>
      <c r="I6879" s="18" t="s">
        <v>28</v>
      </c>
      <c r="J6879" s="18" t="s">
        <v>28</v>
      </c>
      <c r="K6879" s="18" t="s">
        <v>28</v>
      </c>
      <c r="L6879" s="18" t="s">
        <v>28</v>
      </c>
      <c r="M6879" s="18" t="s">
        <v>28</v>
      </c>
      <c r="N6879" s="17">
        <v>43661</v>
      </c>
      <c r="O6879" s="15" t="s">
        <v>1639</v>
      </c>
      <c r="P6879" s="16" t="s">
        <v>28</v>
      </c>
      <c r="Q6879" s="15" t="s">
        <v>424</v>
      </c>
      <c r="R6879" s="13" t="str">
        <f>HYPERLINK("https://my.pitchbook.com?c=125440-75T","View Company Online")</f>
        <v>View Company Online</v>
      </c>
    </row>
    <row r="6880" spans="1:18" hidden="1" x14ac:dyDescent="0.3">
      <c r="A6880" s="9" t="s">
        <v>20647</v>
      </c>
      <c r="B6880" s="9" t="s">
        <v>4295</v>
      </c>
      <c r="C6880" s="11" t="s">
        <v>28</v>
      </c>
      <c r="D6880" s="9" t="s">
        <v>4296</v>
      </c>
      <c r="E6880" s="11" t="s">
        <v>28</v>
      </c>
      <c r="F6880" s="10" t="s">
        <v>28</v>
      </c>
      <c r="G6880" s="10">
        <v>0.8</v>
      </c>
      <c r="H6880" s="10" t="s">
        <v>28</v>
      </c>
      <c r="I6880" s="11" t="s">
        <v>28</v>
      </c>
      <c r="J6880" s="11" t="s">
        <v>28</v>
      </c>
      <c r="K6880" s="11" t="s">
        <v>28</v>
      </c>
      <c r="L6880" s="11" t="s">
        <v>28</v>
      </c>
      <c r="M6880" s="11" t="s">
        <v>28</v>
      </c>
      <c r="N6880" s="8">
        <v>43661</v>
      </c>
      <c r="O6880" s="9" t="s">
        <v>379</v>
      </c>
      <c r="P6880" s="12" t="s">
        <v>20648</v>
      </c>
      <c r="Q6880" s="9" t="s">
        <v>1035</v>
      </c>
      <c r="R6880" s="14" t="str">
        <f>HYPERLINK("https://my.pitchbook.com?c=195673-87T","View Company Online")</f>
        <v>View Company Online</v>
      </c>
    </row>
    <row r="6881" spans="1:18" hidden="1" x14ac:dyDescent="0.3">
      <c r="A6881" s="15" t="s">
        <v>20649</v>
      </c>
      <c r="B6881" s="15" t="s">
        <v>8552</v>
      </c>
      <c r="C6881" s="18" t="s">
        <v>28</v>
      </c>
      <c r="D6881" s="15" t="s">
        <v>8553</v>
      </c>
      <c r="E6881" s="18" t="s">
        <v>28</v>
      </c>
      <c r="F6881" s="19" t="s">
        <v>28</v>
      </c>
      <c r="G6881" s="19">
        <v>0.52</v>
      </c>
      <c r="H6881" s="19" t="s">
        <v>28</v>
      </c>
      <c r="I6881" s="18" t="s">
        <v>28</v>
      </c>
      <c r="J6881" s="18" t="s">
        <v>28</v>
      </c>
      <c r="K6881" s="18" t="s">
        <v>28</v>
      </c>
      <c r="L6881" s="18" t="s">
        <v>28</v>
      </c>
      <c r="M6881" s="18" t="s">
        <v>28</v>
      </c>
      <c r="N6881" s="17">
        <v>43661</v>
      </c>
      <c r="O6881" s="15" t="s">
        <v>73</v>
      </c>
      <c r="P6881" s="16" t="s">
        <v>20650</v>
      </c>
      <c r="Q6881" s="15" t="s">
        <v>4710</v>
      </c>
      <c r="R6881" s="13" t="str">
        <f>HYPERLINK("https://my.pitchbook.com?c=128692-63T","View Company Online")</f>
        <v>View Company Online</v>
      </c>
    </row>
    <row r="6882" spans="1:18" hidden="1" x14ac:dyDescent="0.3">
      <c r="A6882" s="9" t="s">
        <v>20651</v>
      </c>
      <c r="B6882" s="9" t="s">
        <v>20652</v>
      </c>
      <c r="C6882" s="11" t="s">
        <v>28</v>
      </c>
      <c r="D6882" s="9" t="s">
        <v>20653</v>
      </c>
      <c r="E6882" s="11" t="s">
        <v>28</v>
      </c>
      <c r="F6882" s="10" t="s">
        <v>28</v>
      </c>
      <c r="G6882" s="10" t="s">
        <v>28</v>
      </c>
      <c r="H6882" s="10" t="s">
        <v>28</v>
      </c>
      <c r="I6882" s="11" t="s">
        <v>28</v>
      </c>
      <c r="J6882" s="11" t="s">
        <v>28</v>
      </c>
      <c r="K6882" s="11" t="s">
        <v>28</v>
      </c>
      <c r="L6882" s="11" t="s">
        <v>28</v>
      </c>
      <c r="M6882" s="11" t="s">
        <v>28</v>
      </c>
      <c r="N6882" s="8">
        <v>43661</v>
      </c>
      <c r="O6882" s="9" t="s">
        <v>30</v>
      </c>
      <c r="P6882" s="12" t="s">
        <v>20654</v>
      </c>
      <c r="Q6882" s="9" t="s">
        <v>75</v>
      </c>
      <c r="R6882" s="14" t="str">
        <f>HYPERLINK("https://my.pitchbook.com?c=216169-30T","View Company Online")</f>
        <v>View Company Online</v>
      </c>
    </row>
    <row r="6883" spans="1:18" hidden="1" x14ac:dyDescent="0.3">
      <c r="A6883" s="15" t="s">
        <v>20655</v>
      </c>
      <c r="B6883" s="15" t="s">
        <v>5400</v>
      </c>
      <c r="C6883" s="18" t="s">
        <v>28</v>
      </c>
      <c r="D6883" s="15" t="s">
        <v>5401</v>
      </c>
      <c r="E6883" s="18" t="s">
        <v>28</v>
      </c>
      <c r="F6883" s="19" t="s">
        <v>28</v>
      </c>
      <c r="G6883" s="19" t="s">
        <v>28</v>
      </c>
      <c r="H6883" s="19" t="s">
        <v>28</v>
      </c>
      <c r="I6883" s="18" t="s">
        <v>28</v>
      </c>
      <c r="J6883" s="18" t="s">
        <v>28</v>
      </c>
      <c r="K6883" s="18" t="s">
        <v>28</v>
      </c>
      <c r="L6883" s="18" t="s">
        <v>28</v>
      </c>
      <c r="M6883" s="18" t="s">
        <v>28</v>
      </c>
      <c r="N6883" s="17">
        <v>43660</v>
      </c>
      <c r="O6883" s="15" t="s">
        <v>52</v>
      </c>
      <c r="P6883" s="16" t="s">
        <v>16928</v>
      </c>
      <c r="Q6883" s="15" t="s">
        <v>75</v>
      </c>
      <c r="R6883" s="13" t="str">
        <f>HYPERLINK("https://my.pitchbook.com?c=284431-69T","View Company Online")</f>
        <v>View Company Online</v>
      </c>
    </row>
    <row r="6884" spans="1:18" hidden="1" x14ac:dyDescent="0.3">
      <c r="A6884" s="9" t="s">
        <v>20656</v>
      </c>
      <c r="B6884" s="9" t="s">
        <v>20657</v>
      </c>
      <c r="C6884" s="11" t="s">
        <v>28</v>
      </c>
      <c r="D6884" s="9" t="s">
        <v>20658</v>
      </c>
      <c r="E6884" s="11" t="s">
        <v>28</v>
      </c>
      <c r="F6884" s="10" t="s">
        <v>28</v>
      </c>
      <c r="G6884" s="10" t="s">
        <v>28</v>
      </c>
      <c r="H6884" s="10" t="s">
        <v>28</v>
      </c>
      <c r="I6884" s="11" t="s">
        <v>28</v>
      </c>
      <c r="J6884" s="11" t="s">
        <v>28</v>
      </c>
      <c r="K6884" s="11" t="s">
        <v>28</v>
      </c>
      <c r="L6884" s="11" t="s">
        <v>28</v>
      </c>
      <c r="M6884" s="11" t="s">
        <v>28</v>
      </c>
      <c r="N6884" s="8">
        <v>43658</v>
      </c>
      <c r="O6884" s="9" t="s">
        <v>52</v>
      </c>
      <c r="P6884" s="12" t="s">
        <v>4614</v>
      </c>
      <c r="Q6884" s="9" t="s">
        <v>75</v>
      </c>
      <c r="R6884" s="14" t="str">
        <f>HYPERLINK("https://my.pitchbook.com?c=295384-51T","View Company Online")</f>
        <v>View Company Online</v>
      </c>
    </row>
    <row r="6885" spans="1:18" hidden="1" x14ac:dyDescent="0.3">
      <c r="A6885" s="15" t="s">
        <v>20659</v>
      </c>
      <c r="B6885" s="15" t="s">
        <v>2281</v>
      </c>
      <c r="C6885" s="18" t="s">
        <v>28</v>
      </c>
      <c r="D6885" s="15" t="s">
        <v>20660</v>
      </c>
      <c r="E6885" s="18">
        <v>304.89</v>
      </c>
      <c r="F6885" s="19" t="s">
        <v>28</v>
      </c>
      <c r="G6885" s="19" t="s">
        <v>28</v>
      </c>
      <c r="H6885" s="19" t="s">
        <v>28</v>
      </c>
      <c r="I6885" s="18">
        <v>585.66</v>
      </c>
      <c r="J6885" s="18" t="s">
        <v>28</v>
      </c>
      <c r="K6885" s="18">
        <v>11211.94</v>
      </c>
      <c r="L6885" s="18" t="s">
        <v>28</v>
      </c>
      <c r="M6885" s="18">
        <v>576.03</v>
      </c>
      <c r="N6885" s="17">
        <v>43658</v>
      </c>
      <c r="O6885" s="15" t="s">
        <v>30</v>
      </c>
      <c r="P6885" s="16" t="s">
        <v>28</v>
      </c>
      <c r="Q6885" s="15" t="s">
        <v>753</v>
      </c>
      <c r="R6885" s="13" t="str">
        <f>HYPERLINK("https://my.pitchbook.com?c=119426-41T","View Company Online")</f>
        <v>View Company Online</v>
      </c>
    </row>
    <row r="6886" spans="1:18" hidden="1" x14ac:dyDescent="0.3">
      <c r="A6886" s="9" t="s">
        <v>20661</v>
      </c>
      <c r="B6886" s="9" t="s">
        <v>8211</v>
      </c>
      <c r="C6886" s="11" t="s">
        <v>28</v>
      </c>
      <c r="D6886" s="9" t="s">
        <v>8212</v>
      </c>
      <c r="E6886" s="11" t="s">
        <v>28</v>
      </c>
      <c r="F6886" s="10" t="s">
        <v>28</v>
      </c>
      <c r="G6886" s="10">
        <v>14.64</v>
      </c>
      <c r="H6886" s="10" t="s">
        <v>28</v>
      </c>
      <c r="I6886" s="11" t="s">
        <v>28</v>
      </c>
      <c r="J6886" s="11" t="s">
        <v>28</v>
      </c>
      <c r="K6886" s="11" t="s">
        <v>28</v>
      </c>
      <c r="L6886" s="11" t="s">
        <v>28</v>
      </c>
      <c r="M6886" s="11" t="s">
        <v>28</v>
      </c>
      <c r="N6886" s="8">
        <v>43658</v>
      </c>
      <c r="O6886" s="9" t="s">
        <v>99</v>
      </c>
      <c r="P6886" s="12" t="s">
        <v>140</v>
      </c>
      <c r="Q6886" s="9" t="s">
        <v>75</v>
      </c>
      <c r="R6886" s="14" t="str">
        <f>HYPERLINK("https://my.pitchbook.com?c=198721-90T","View Company Online")</f>
        <v>View Company Online</v>
      </c>
    </row>
    <row r="6887" spans="1:18" hidden="1" x14ac:dyDescent="0.3">
      <c r="A6887" s="15" t="s">
        <v>20662</v>
      </c>
      <c r="B6887" s="15" t="s">
        <v>20663</v>
      </c>
      <c r="C6887" s="18" t="s">
        <v>28</v>
      </c>
      <c r="D6887" s="15" t="s">
        <v>20664</v>
      </c>
      <c r="E6887" s="18" t="s">
        <v>28</v>
      </c>
      <c r="F6887" s="19" t="s">
        <v>28</v>
      </c>
      <c r="G6887" s="19" t="s">
        <v>28</v>
      </c>
      <c r="H6887" s="19" t="s">
        <v>28</v>
      </c>
      <c r="I6887" s="18" t="s">
        <v>28</v>
      </c>
      <c r="J6887" s="18" t="s">
        <v>28</v>
      </c>
      <c r="K6887" s="18" t="s">
        <v>28</v>
      </c>
      <c r="L6887" s="18" t="s">
        <v>28</v>
      </c>
      <c r="M6887" s="18" t="s">
        <v>28</v>
      </c>
      <c r="N6887" s="17">
        <v>43657</v>
      </c>
      <c r="O6887" s="15" t="s">
        <v>41</v>
      </c>
      <c r="P6887" s="16" t="s">
        <v>20665</v>
      </c>
      <c r="Q6887" s="15" t="s">
        <v>1862</v>
      </c>
      <c r="R6887" s="13" t="str">
        <f>HYPERLINK("https://my.pitchbook.com?c=120995-83T","View Company Online")</f>
        <v>View Company Online</v>
      </c>
    </row>
    <row r="6888" spans="1:18" hidden="1" x14ac:dyDescent="0.3">
      <c r="A6888" s="9" t="s">
        <v>20666</v>
      </c>
      <c r="B6888" s="9" t="s">
        <v>20667</v>
      </c>
      <c r="C6888" s="11" t="s">
        <v>28</v>
      </c>
      <c r="D6888" s="9" t="s">
        <v>20668</v>
      </c>
      <c r="E6888" s="11">
        <v>1.08</v>
      </c>
      <c r="F6888" s="10" t="s">
        <v>28</v>
      </c>
      <c r="G6888" s="10" t="s">
        <v>28</v>
      </c>
      <c r="H6888" s="10" t="s">
        <v>28</v>
      </c>
      <c r="I6888" s="11">
        <v>1.08</v>
      </c>
      <c r="J6888" s="11" t="s">
        <v>28</v>
      </c>
      <c r="K6888" s="11">
        <v>1.27</v>
      </c>
      <c r="L6888" s="11" t="s">
        <v>28</v>
      </c>
      <c r="M6888" s="11">
        <v>1.08</v>
      </c>
      <c r="N6888" s="8">
        <v>43657</v>
      </c>
      <c r="O6888" s="9" t="s">
        <v>173</v>
      </c>
      <c r="P6888" s="12" t="s">
        <v>28</v>
      </c>
      <c r="Q6888" s="9" t="s">
        <v>240</v>
      </c>
      <c r="R6888" s="14" t="str">
        <f>HYPERLINK("https://my.pitchbook.com?c=224366-50T","View Company Online")</f>
        <v>View Company Online</v>
      </c>
    </row>
    <row r="6889" spans="1:18" hidden="1" x14ac:dyDescent="0.3">
      <c r="A6889" s="15" t="s">
        <v>20669</v>
      </c>
      <c r="B6889" s="15" t="s">
        <v>20670</v>
      </c>
      <c r="C6889" s="18" t="s">
        <v>28</v>
      </c>
      <c r="D6889" s="15" t="s">
        <v>20671</v>
      </c>
      <c r="E6889" s="18">
        <v>199</v>
      </c>
      <c r="F6889" s="19" t="s">
        <v>28</v>
      </c>
      <c r="G6889" s="19">
        <v>651.42999999999995</v>
      </c>
      <c r="H6889" s="19" t="s">
        <v>28</v>
      </c>
      <c r="I6889" s="18">
        <v>346.49</v>
      </c>
      <c r="J6889" s="18" t="s">
        <v>28</v>
      </c>
      <c r="K6889" s="18">
        <v>3096.36</v>
      </c>
      <c r="L6889" s="18" t="s">
        <v>28</v>
      </c>
      <c r="M6889" s="18">
        <v>70.760000000000005</v>
      </c>
      <c r="N6889" s="17">
        <v>43657</v>
      </c>
      <c r="O6889" s="15" t="s">
        <v>423</v>
      </c>
      <c r="P6889" s="16" t="s">
        <v>28</v>
      </c>
      <c r="Q6889" s="15" t="s">
        <v>348</v>
      </c>
      <c r="R6889" s="13" t="str">
        <f>HYPERLINK("https://my.pitchbook.com?c=120403-27T","View Company Online")</f>
        <v>View Company Online</v>
      </c>
    </row>
    <row r="6890" spans="1:18" hidden="1" x14ac:dyDescent="0.3">
      <c r="A6890" s="9" t="s">
        <v>20672</v>
      </c>
      <c r="B6890" s="9" t="s">
        <v>20673</v>
      </c>
      <c r="C6890" s="11" t="s">
        <v>28</v>
      </c>
      <c r="D6890" s="9" t="s">
        <v>20674</v>
      </c>
      <c r="E6890" s="11" t="s">
        <v>28</v>
      </c>
      <c r="F6890" s="10" t="s">
        <v>28</v>
      </c>
      <c r="G6890" s="10" t="s">
        <v>28</v>
      </c>
      <c r="H6890" s="10" t="s">
        <v>28</v>
      </c>
      <c r="I6890" s="11" t="s">
        <v>28</v>
      </c>
      <c r="J6890" s="11" t="s">
        <v>28</v>
      </c>
      <c r="K6890" s="11" t="s">
        <v>28</v>
      </c>
      <c r="L6890" s="11" t="s">
        <v>28</v>
      </c>
      <c r="M6890" s="11" t="s">
        <v>28</v>
      </c>
      <c r="N6890" s="8">
        <v>43656</v>
      </c>
      <c r="O6890" s="9" t="s">
        <v>58</v>
      </c>
      <c r="P6890" s="12" t="s">
        <v>20675</v>
      </c>
      <c r="Q6890" s="9" t="s">
        <v>1035</v>
      </c>
      <c r="R6890" s="14" t="str">
        <f>HYPERLINK("https://my.pitchbook.com?c=199430-65T","View Company Online")</f>
        <v>View Company Online</v>
      </c>
    </row>
    <row r="6891" spans="1:18" hidden="1" x14ac:dyDescent="0.3">
      <c r="A6891" s="15" t="s">
        <v>20676</v>
      </c>
      <c r="B6891" s="15" t="s">
        <v>20677</v>
      </c>
      <c r="C6891" s="18" t="s">
        <v>28</v>
      </c>
      <c r="D6891" s="15" t="s">
        <v>20678</v>
      </c>
      <c r="E6891" s="18" t="s">
        <v>28</v>
      </c>
      <c r="F6891" s="19" t="s">
        <v>28</v>
      </c>
      <c r="G6891" s="19" t="s">
        <v>28</v>
      </c>
      <c r="H6891" s="19" t="s">
        <v>28</v>
      </c>
      <c r="I6891" s="18" t="s">
        <v>28</v>
      </c>
      <c r="J6891" s="18" t="s">
        <v>28</v>
      </c>
      <c r="K6891" s="18" t="s">
        <v>28</v>
      </c>
      <c r="L6891" s="18" t="s">
        <v>28</v>
      </c>
      <c r="M6891" s="18" t="s">
        <v>28</v>
      </c>
      <c r="N6891" s="17">
        <v>43656</v>
      </c>
      <c r="O6891" s="15" t="s">
        <v>379</v>
      </c>
      <c r="P6891" s="16" t="s">
        <v>7110</v>
      </c>
      <c r="Q6891" s="15" t="s">
        <v>3912</v>
      </c>
      <c r="R6891" s="13" t="str">
        <f>HYPERLINK("https://my.pitchbook.com?c=214046-65T","View Company Online")</f>
        <v>View Company Online</v>
      </c>
    </row>
    <row r="6892" spans="1:18" hidden="1" x14ac:dyDescent="0.3">
      <c r="A6892" s="9" t="s">
        <v>20679</v>
      </c>
      <c r="B6892" s="9" t="s">
        <v>145</v>
      </c>
      <c r="C6892" s="11" t="s">
        <v>28</v>
      </c>
      <c r="D6892" s="9" t="s">
        <v>146</v>
      </c>
      <c r="E6892" s="11" t="s">
        <v>28</v>
      </c>
      <c r="F6892" s="10" t="s">
        <v>28</v>
      </c>
      <c r="G6892" s="10">
        <v>0.73</v>
      </c>
      <c r="H6892" s="10" t="s">
        <v>28</v>
      </c>
      <c r="I6892" s="11" t="s">
        <v>28</v>
      </c>
      <c r="J6892" s="11" t="s">
        <v>28</v>
      </c>
      <c r="K6892" s="11" t="s">
        <v>28</v>
      </c>
      <c r="L6892" s="11" t="s">
        <v>28</v>
      </c>
      <c r="M6892" s="11" t="s">
        <v>28</v>
      </c>
      <c r="N6892" s="8">
        <v>43655</v>
      </c>
      <c r="O6892" s="9" t="s">
        <v>99</v>
      </c>
      <c r="P6892" s="12" t="s">
        <v>20680</v>
      </c>
      <c r="Q6892" s="9" t="s">
        <v>75</v>
      </c>
      <c r="R6892" s="14" t="str">
        <f>HYPERLINK("https://my.pitchbook.com?c=123289-03T","View Company Online")</f>
        <v>View Company Online</v>
      </c>
    </row>
    <row r="6893" spans="1:18" hidden="1" x14ac:dyDescent="0.3">
      <c r="A6893" s="15" t="s">
        <v>20681</v>
      </c>
      <c r="B6893" s="15" t="s">
        <v>5349</v>
      </c>
      <c r="C6893" s="18" t="s">
        <v>28</v>
      </c>
      <c r="D6893" s="15" t="s">
        <v>5350</v>
      </c>
      <c r="E6893" s="18" t="s">
        <v>28</v>
      </c>
      <c r="F6893" s="19" t="s">
        <v>28</v>
      </c>
      <c r="G6893" s="19" t="s">
        <v>28</v>
      </c>
      <c r="H6893" s="19" t="s">
        <v>28</v>
      </c>
      <c r="I6893" s="18" t="s">
        <v>28</v>
      </c>
      <c r="J6893" s="18" t="s">
        <v>28</v>
      </c>
      <c r="K6893" s="18" t="s">
        <v>28</v>
      </c>
      <c r="L6893" s="18" t="s">
        <v>28</v>
      </c>
      <c r="M6893" s="18" t="s">
        <v>28</v>
      </c>
      <c r="N6893" s="17">
        <v>43655</v>
      </c>
      <c r="O6893" s="15" t="s">
        <v>41</v>
      </c>
      <c r="P6893" s="16" t="s">
        <v>20682</v>
      </c>
      <c r="Q6893" s="15" t="s">
        <v>692</v>
      </c>
      <c r="R6893" s="13" t="str">
        <f>HYPERLINK("https://my.pitchbook.com?c=120154-33T","View Company Online")</f>
        <v>View Company Online</v>
      </c>
    </row>
    <row r="6894" spans="1:18" x14ac:dyDescent="0.3">
      <c r="A6894" s="9" t="s">
        <v>20683</v>
      </c>
      <c r="B6894" s="9" t="s">
        <v>11218</v>
      </c>
      <c r="C6894" s="11">
        <v>1.25</v>
      </c>
      <c r="D6894" s="9" t="s">
        <v>11219</v>
      </c>
      <c r="E6894" s="11" t="s">
        <v>28</v>
      </c>
      <c r="F6894" s="10">
        <v>131</v>
      </c>
      <c r="G6894" s="10">
        <v>131</v>
      </c>
      <c r="H6894" s="10">
        <v>131</v>
      </c>
      <c r="I6894" s="11">
        <v>105.1</v>
      </c>
      <c r="J6894" s="11">
        <v>1.25</v>
      </c>
      <c r="K6894" s="11" t="s">
        <v>28</v>
      </c>
      <c r="L6894" s="11" t="s">
        <v>28</v>
      </c>
      <c r="M6894" s="11" t="s">
        <v>28</v>
      </c>
      <c r="N6894" s="8">
        <v>43654</v>
      </c>
      <c r="O6894" s="9" t="s">
        <v>41</v>
      </c>
      <c r="P6894" s="12" t="s">
        <v>20684</v>
      </c>
      <c r="Q6894" s="9" t="s">
        <v>959</v>
      </c>
      <c r="R6894" s="14" t="str">
        <f>HYPERLINK("https://my.pitchbook.com?c=111295-45T","View Company Online")</f>
        <v>View Company Online</v>
      </c>
    </row>
    <row r="6895" spans="1:18" hidden="1" x14ac:dyDescent="0.3">
      <c r="A6895" s="15" t="s">
        <v>20685</v>
      </c>
      <c r="B6895" s="15" t="s">
        <v>20686</v>
      </c>
      <c r="C6895" s="18" t="s">
        <v>28</v>
      </c>
      <c r="D6895" s="15" t="s">
        <v>20687</v>
      </c>
      <c r="E6895" s="18" t="s">
        <v>28</v>
      </c>
      <c r="F6895" s="19" t="s">
        <v>28</v>
      </c>
      <c r="G6895" s="19" t="s">
        <v>28</v>
      </c>
      <c r="H6895" s="19" t="s">
        <v>28</v>
      </c>
      <c r="I6895" s="18" t="s">
        <v>28</v>
      </c>
      <c r="J6895" s="18" t="s">
        <v>28</v>
      </c>
      <c r="K6895" s="18" t="s">
        <v>28</v>
      </c>
      <c r="L6895" s="18" t="s">
        <v>28</v>
      </c>
      <c r="M6895" s="18" t="s">
        <v>28</v>
      </c>
      <c r="N6895" s="17">
        <v>43651</v>
      </c>
      <c r="O6895" s="15" t="s">
        <v>79</v>
      </c>
      <c r="P6895" s="16" t="s">
        <v>20688</v>
      </c>
      <c r="Q6895" s="15" t="s">
        <v>1643</v>
      </c>
      <c r="R6895" s="13" t="str">
        <f>HYPERLINK("https://my.pitchbook.com?c=137266-03T","View Company Online")</f>
        <v>View Company Online</v>
      </c>
    </row>
    <row r="6896" spans="1:18" hidden="1" x14ac:dyDescent="0.3">
      <c r="A6896" s="9" t="s">
        <v>20689</v>
      </c>
      <c r="B6896" s="9" t="s">
        <v>20690</v>
      </c>
      <c r="C6896" s="11" t="s">
        <v>28</v>
      </c>
      <c r="D6896" s="9" t="s">
        <v>20691</v>
      </c>
      <c r="E6896" s="11" t="s">
        <v>28</v>
      </c>
      <c r="F6896" s="10" t="s">
        <v>28</v>
      </c>
      <c r="G6896" s="10" t="s">
        <v>28</v>
      </c>
      <c r="H6896" s="10" t="s">
        <v>28</v>
      </c>
      <c r="I6896" s="11" t="s">
        <v>28</v>
      </c>
      <c r="J6896" s="11" t="s">
        <v>28</v>
      </c>
      <c r="K6896" s="11">
        <v>0.19</v>
      </c>
      <c r="L6896" s="11" t="s">
        <v>28</v>
      </c>
      <c r="M6896" s="11" t="s">
        <v>28</v>
      </c>
      <c r="N6896" s="8">
        <v>43651</v>
      </c>
      <c r="O6896" s="9" t="s">
        <v>73</v>
      </c>
      <c r="P6896" s="12" t="s">
        <v>611</v>
      </c>
      <c r="Q6896" s="9" t="s">
        <v>75</v>
      </c>
      <c r="R6896" s="14" t="str">
        <f>HYPERLINK("https://my.pitchbook.com?c=124744-78T","View Company Online")</f>
        <v>View Company Online</v>
      </c>
    </row>
    <row r="6897" spans="1:18" hidden="1" x14ac:dyDescent="0.3">
      <c r="A6897" s="15" t="s">
        <v>20692</v>
      </c>
      <c r="B6897" s="15" t="s">
        <v>18825</v>
      </c>
      <c r="C6897" s="18" t="s">
        <v>28</v>
      </c>
      <c r="D6897" s="15" t="s">
        <v>18826</v>
      </c>
      <c r="E6897" s="18" t="s">
        <v>28</v>
      </c>
      <c r="F6897" s="19" t="s">
        <v>28</v>
      </c>
      <c r="G6897" s="19">
        <v>0.03</v>
      </c>
      <c r="H6897" s="19" t="s">
        <v>28</v>
      </c>
      <c r="I6897" s="18" t="s">
        <v>28</v>
      </c>
      <c r="J6897" s="18" t="s">
        <v>28</v>
      </c>
      <c r="K6897" s="18" t="s">
        <v>28</v>
      </c>
      <c r="L6897" s="18" t="s">
        <v>28</v>
      </c>
      <c r="M6897" s="18" t="s">
        <v>28</v>
      </c>
      <c r="N6897" s="17">
        <v>43651</v>
      </c>
      <c r="O6897" s="15" t="s">
        <v>52</v>
      </c>
      <c r="P6897" s="16" t="s">
        <v>16809</v>
      </c>
      <c r="Q6897" s="15" t="s">
        <v>6392</v>
      </c>
      <c r="R6897" s="13" t="str">
        <f>HYPERLINK("https://my.pitchbook.com?c=125337-43T","View Company Online")</f>
        <v>View Company Online</v>
      </c>
    </row>
    <row r="6898" spans="1:18" hidden="1" x14ac:dyDescent="0.3">
      <c r="A6898" s="9" t="s">
        <v>20693</v>
      </c>
      <c r="B6898" s="9" t="s">
        <v>20694</v>
      </c>
      <c r="C6898" s="11" t="s">
        <v>28</v>
      </c>
      <c r="D6898" s="9" t="s">
        <v>20695</v>
      </c>
      <c r="E6898" s="11" t="s">
        <v>28</v>
      </c>
      <c r="F6898" s="10">
        <v>1042</v>
      </c>
      <c r="G6898" s="10">
        <v>1042</v>
      </c>
      <c r="H6898" s="10">
        <v>1042</v>
      </c>
      <c r="I6898" s="11" t="s">
        <v>28</v>
      </c>
      <c r="J6898" s="11" t="s">
        <v>28</v>
      </c>
      <c r="K6898" s="11" t="s">
        <v>28</v>
      </c>
      <c r="L6898" s="11" t="s">
        <v>28</v>
      </c>
      <c r="M6898" s="11" t="s">
        <v>28</v>
      </c>
      <c r="N6898" s="8">
        <v>43651</v>
      </c>
      <c r="O6898" s="9" t="s">
        <v>30</v>
      </c>
      <c r="P6898" s="12" t="s">
        <v>20696</v>
      </c>
      <c r="Q6898" s="9" t="s">
        <v>975</v>
      </c>
      <c r="R6898" s="14" t="str">
        <f>HYPERLINK("https://my.pitchbook.com?c=118284-94T","View Company Online")</f>
        <v>View Company Online</v>
      </c>
    </row>
    <row r="6899" spans="1:18" hidden="1" x14ac:dyDescent="0.3">
      <c r="A6899" s="15" t="s">
        <v>20697</v>
      </c>
      <c r="B6899" s="15" t="s">
        <v>18816</v>
      </c>
      <c r="C6899" s="18" t="s">
        <v>28</v>
      </c>
      <c r="D6899" s="15" t="s">
        <v>18817</v>
      </c>
      <c r="E6899" s="18" t="s">
        <v>28</v>
      </c>
      <c r="F6899" s="19" t="s">
        <v>28</v>
      </c>
      <c r="G6899" s="19" t="s">
        <v>28</v>
      </c>
      <c r="H6899" s="19" t="s">
        <v>28</v>
      </c>
      <c r="I6899" s="18" t="s">
        <v>28</v>
      </c>
      <c r="J6899" s="18" t="s">
        <v>28</v>
      </c>
      <c r="K6899" s="18" t="s">
        <v>28</v>
      </c>
      <c r="L6899" s="18" t="s">
        <v>28</v>
      </c>
      <c r="M6899" s="18" t="s">
        <v>28</v>
      </c>
      <c r="N6899" s="17">
        <v>43650</v>
      </c>
      <c r="O6899" s="15" t="s">
        <v>52</v>
      </c>
      <c r="P6899" s="16" t="s">
        <v>20698</v>
      </c>
      <c r="Q6899" s="15" t="s">
        <v>75</v>
      </c>
      <c r="R6899" s="13" t="str">
        <f>HYPERLINK("https://my.pitchbook.com?c=140782-87T","View Company Online")</f>
        <v>View Company Online</v>
      </c>
    </row>
    <row r="6900" spans="1:18" hidden="1" x14ac:dyDescent="0.3">
      <c r="A6900" s="9" t="s">
        <v>20699</v>
      </c>
      <c r="B6900" s="9" t="s">
        <v>3343</v>
      </c>
      <c r="C6900" s="11" t="s">
        <v>28</v>
      </c>
      <c r="D6900" s="9" t="s">
        <v>3344</v>
      </c>
      <c r="E6900" s="11" t="s">
        <v>28</v>
      </c>
      <c r="F6900" s="10" t="s">
        <v>28</v>
      </c>
      <c r="G6900" s="10">
        <v>1.3</v>
      </c>
      <c r="H6900" s="10">
        <v>5.8</v>
      </c>
      <c r="I6900" s="11" t="s">
        <v>28</v>
      </c>
      <c r="J6900" s="11" t="s">
        <v>28</v>
      </c>
      <c r="K6900" s="11" t="s">
        <v>28</v>
      </c>
      <c r="L6900" s="11" t="s">
        <v>28</v>
      </c>
      <c r="M6900" s="11" t="s">
        <v>28</v>
      </c>
      <c r="N6900" s="8">
        <v>43649</v>
      </c>
      <c r="O6900" s="9" t="s">
        <v>99</v>
      </c>
      <c r="P6900" s="12" t="s">
        <v>20700</v>
      </c>
      <c r="Q6900" s="9" t="s">
        <v>37</v>
      </c>
      <c r="R6900" s="14" t="str">
        <f>HYPERLINK("https://my.pitchbook.com?c=127260-91T","View Company Online")</f>
        <v>View Company Online</v>
      </c>
    </row>
    <row r="6901" spans="1:18" hidden="1" x14ac:dyDescent="0.3">
      <c r="A6901" s="15" t="s">
        <v>20701</v>
      </c>
      <c r="B6901" s="15" t="s">
        <v>20702</v>
      </c>
      <c r="C6901" s="18" t="s">
        <v>28</v>
      </c>
      <c r="D6901" s="15" t="s">
        <v>20703</v>
      </c>
      <c r="E6901" s="18" t="s">
        <v>28</v>
      </c>
      <c r="F6901" s="19" t="s">
        <v>28</v>
      </c>
      <c r="G6901" s="19">
        <v>0.45</v>
      </c>
      <c r="H6901" s="19" t="s">
        <v>28</v>
      </c>
      <c r="I6901" s="18" t="s">
        <v>28</v>
      </c>
      <c r="J6901" s="18" t="s">
        <v>28</v>
      </c>
      <c r="K6901" s="18" t="s">
        <v>28</v>
      </c>
      <c r="L6901" s="18" t="s">
        <v>28</v>
      </c>
      <c r="M6901" s="18" t="s">
        <v>28</v>
      </c>
      <c r="N6901" s="17">
        <v>43648</v>
      </c>
      <c r="O6901" s="15" t="s">
        <v>79</v>
      </c>
      <c r="P6901" s="16" t="s">
        <v>20704</v>
      </c>
      <c r="Q6901" s="15" t="s">
        <v>1035</v>
      </c>
      <c r="R6901" s="13" t="str">
        <f>HYPERLINK("https://my.pitchbook.com?c=124825-42T","View Company Online")</f>
        <v>View Company Online</v>
      </c>
    </row>
    <row r="6902" spans="1:18" hidden="1" x14ac:dyDescent="0.3">
      <c r="A6902" s="9" t="s">
        <v>20705</v>
      </c>
      <c r="B6902" s="9" t="s">
        <v>10589</v>
      </c>
      <c r="C6902" s="11" t="s">
        <v>28</v>
      </c>
      <c r="D6902" s="9" t="s">
        <v>10590</v>
      </c>
      <c r="E6902" s="11" t="s">
        <v>28</v>
      </c>
      <c r="F6902" s="10" t="s">
        <v>28</v>
      </c>
      <c r="G6902" s="10" t="s">
        <v>28</v>
      </c>
      <c r="H6902" s="10" t="s">
        <v>28</v>
      </c>
      <c r="I6902" s="11" t="s">
        <v>28</v>
      </c>
      <c r="J6902" s="11" t="s">
        <v>28</v>
      </c>
      <c r="K6902" s="11" t="s">
        <v>28</v>
      </c>
      <c r="L6902" s="11" t="s">
        <v>28</v>
      </c>
      <c r="M6902" s="11" t="s">
        <v>28</v>
      </c>
      <c r="N6902" s="8">
        <v>43648</v>
      </c>
      <c r="O6902" s="9" t="s">
        <v>99</v>
      </c>
      <c r="P6902" s="12" t="s">
        <v>20706</v>
      </c>
      <c r="Q6902" s="9" t="s">
        <v>75</v>
      </c>
      <c r="R6902" s="14" t="str">
        <f>HYPERLINK("https://my.pitchbook.com?c=122223-88T","View Company Online")</f>
        <v>View Company Online</v>
      </c>
    </row>
    <row r="6903" spans="1:18" hidden="1" x14ac:dyDescent="0.3">
      <c r="A6903" s="15" t="s">
        <v>20707</v>
      </c>
      <c r="B6903" s="15" t="s">
        <v>3261</v>
      </c>
      <c r="C6903" s="18" t="s">
        <v>28</v>
      </c>
      <c r="D6903" s="15" t="s">
        <v>3262</v>
      </c>
      <c r="E6903" s="18" t="s">
        <v>28</v>
      </c>
      <c r="F6903" s="19" t="s">
        <v>28</v>
      </c>
      <c r="G6903" s="19">
        <v>1.1000000000000001</v>
      </c>
      <c r="H6903" s="19" t="s">
        <v>28</v>
      </c>
      <c r="I6903" s="18" t="s">
        <v>28</v>
      </c>
      <c r="J6903" s="18" t="s">
        <v>28</v>
      </c>
      <c r="K6903" s="18" t="s">
        <v>28</v>
      </c>
      <c r="L6903" s="18" t="s">
        <v>28</v>
      </c>
      <c r="M6903" s="18" t="s">
        <v>28</v>
      </c>
      <c r="N6903" s="17">
        <v>43647</v>
      </c>
      <c r="O6903" s="15" t="s">
        <v>73</v>
      </c>
      <c r="P6903" s="16" t="s">
        <v>20708</v>
      </c>
      <c r="Q6903" s="15" t="s">
        <v>583</v>
      </c>
      <c r="R6903" s="13" t="str">
        <f>HYPERLINK("https://my.pitchbook.com?c=242218-36T","View Company Online")</f>
        <v>View Company Online</v>
      </c>
    </row>
    <row r="6904" spans="1:18" hidden="1" x14ac:dyDescent="0.3">
      <c r="A6904" s="9" t="s">
        <v>20709</v>
      </c>
      <c r="B6904" s="9" t="s">
        <v>11637</v>
      </c>
      <c r="C6904" s="11" t="s">
        <v>28</v>
      </c>
      <c r="D6904" s="9" t="s">
        <v>11638</v>
      </c>
      <c r="E6904" s="11" t="s">
        <v>28</v>
      </c>
      <c r="F6904" s="10" t="s">
        <v>28</v>
      </c>
      <c r="G6904" s="10">
        <v>1.6</v>
      </c>
      <c r="H6904" s="10" t="s">
        <v>28</v>
      </c>
      <c r="I6904" s="11" t="s">
        <v>28</v>
      </c>
      <c r="J6904" s="11" t="s">
        <v>28</v>
      </c>
      <c r="K6904" s="11" t="s">
        <v>28</v>
      </c>
      <c r="L6904" s="11" t="s">
        <v>28</v>
      </c>
      <c r="M6904" s="11" t="s">
        <v>28</v>
      </c>
      <c r="N6904" s="8">
        <v>43647</v>
      </c>
      <c r="O6904" s="9" t="s">
        <v>73</v>
      </c>
      <c r="P6904" s="12" t="s">
        <v>20710</v>
      </c>
      <c r="Q6904" s="9" t="s">
        <v>75</v>
      </c>
      <c r="R6904" s="14" t="str">
        <f>HYPERLINK("https://my.pitchbook.com?c=123800-41T","View Company Online")</f>
        <v>View Company Online</v>
      </c>
    </row>
    <row r="6905" spans="1:18" hidden="1" x14ac:dyDescent="0.3">
      <c r="A6905" s="15" t="s">
        <v>20711</v>
      </c>
      <c r="B6905" s="15" t="s">
        <v>343</v>
      </c>
      <c r="C6905" s="18" t="s">
        <v>28</v>
      </c>
      <c r="D6905" s="15" t="s">
        <v>16532</v>
      </c>
      <c r="E6905" s="18" t="s">
        <v>28</v>
      </c>
      <c r="F6905" s="19" t="s">
        <v>28</v>
      </c>
      <c r="G6905" s="19" t="s">
        <v>28</v>
      </c>
      <c r="H6905" s="19" t="s">
        <v>28</v>
      </c>
      <c r="I6905" s="18" t="s">
        <v>28</v>
      </c>
      <c r="J6905" s="18" t="s">
        <v>28</v>
      </c>
      <c r="K6905" s="18">
        <v>1200.5</v>
      </c>
      <c r="L6905" s="18" t="s">
        <v>28</v>
      </c>
      <c r="M6905" s="18">
        <v>440.43</v>
      </c>
      <c r="N6905" s="17">
        <v>43647</v>
      </c>
      <c r="O6905" s="15" t="s">
        <v>30</v>
      </c>
      <c r="P6905" s="16" t="s">
        <v>28</v>
      </c>
      <c r="Q6905" s="15" t="s">
        <v>7449</v>
      </c>
      <c r="R6905" s="13" t="str">
        <f>HYPERLINK("https://my.pitchbook.com?c=140863-60T","View Company Online")</f>
        <v>View Company Online</v>
      </c>
    </row>
    <row r="6906" spans="1:18" hidden="1" x14ac:dyDescent="0.3">
      <c r="A6906" s="9" t="s">
        <v>20712</v>
      </c>
      <c r="B6906" s="9" t="s">
        <v>20713</v>
      </c>
      <c r="C6906" s="11" t="s">
        <v>28</v>
      </c>
      <c r="D6906" s="9" t="s">
        <v>20714</v>
      </c>
      <c r="E6906" s="11" t="s">
        <v>28</v>
      </c>
      <c r="F6906" s="10">
        <v>1080</v>
      </c>
      <c r="G6906" s="10">
        <v>1080</v>
      </c>
      <c r="H6906" s="10">
        <v>1080</v>
      </c>
      <c r="I6906" s="11" t="s">
        <v>28</v>
      </c>
      <c r="J6906" s="11" t="s">
        <v>28</v>
      </c>
      <c r="K6906" s="11" t="s">
        <v>28</v>
      </c>
      <c r="L6906" s="11" t="s">
        <v>28</v>
      </c>
      <c r="M6906" s="11" t="s">
        <v>28</v>
      </c>
      <c r="N6906" s="8">
        <v>43647</v>
      </c>
      <c r="O6906" s="9" t="s">
        <v>30</v>
      </c>
      <c r="P6906" s="12" t="s">
        <v>20715</v>
      </c>
      <c r="Q6906" s="9" t="s">
        <v>1191</v>
      </c>
      <c r="R6906" s="14" t="str">
        <f>HYPERLINK("https://my.pitchbook.com?c=104867-29T","View Company Online")</f>
        <v>View Company Online</v>
      </c>
    </row>
    <row r="6907" spans="1:18" hidden="1" x14ac:dyDescent="0.3">
      <c r="A6907" s="15" t="s">
        <v>20716</v>
      </c>
      <c r="B6907" s="15" t="s">
        <v>9403</v>
      </c>
      <c r="C6907" s="18" t="s">
        <v>28</v>
      </c>
      <c r="D6907" s="15" t="s">
        <v>9404</v>
      </c>
      <c r="E6907" s="18" t="s">
        <v>28</v>
      </c>
      <c r="F6907" s="19" t="s">
        <v>28</v>
      </c>
      <c r="G6907" s="19">
        <v>0.13</v>
      </c>
      <c r="H6907" s="19" t="s">
        <v>28</v>
      </c>
      <c r="I6907" s="18" t="s">
        <v>28</v>
      </c>
      <c r="J6907" s="18" t="s">
        <v>28</v>
      </c>
      <c r="K6907" s="18">
        <v>0.13</v>
      </c>
      <c r="L6907" s="18" t="s">
        <v>28</v>
      </c>
      <c r="M6907" s="18" t="s">
        <v>28</v>
      </c>
      <c r="N6907" s="17">
        <v>43647</v>
      </c>
      <c r="O6907" s="15" t="s">
        <v>379</v>
      </c>
      <c r="P6907" s="16" t="s">
        <v>28</v>
      </c>
      <c r="Q6907" s="15" t="s">
        <v>75</v>
      </c>
      <c r="R6907" s="13" t="str">
        <f>HYPERLINK("https://my.pitchbook.com?c=187549-30T","View Company Online")</f>
        <v>View Company Online</v>
      </c>
    </row>
    <row r="6908" spans="1:18" hidden="1" x14ac:dyDescent="0.3">
      <c r="A6908" s="9" t="s">
        <v>20717</v>
      </c>
      <c r="B6908" s="9" t="s">
        <v>2854</v>
      </c>
      <c r="C6908" s="11" t="s">
        <v>28</v>
      </c>
      <c r="D6908" s="9" t="s">
        <v>2855</v>
      </c>
      <c r="E6908" s="11" t="s">
        <v>28</v>
      </c>
      <c r="F6908" s="10" t="s">
        <v>28</v>
      </c>
      <c r="G6908" s="10" t="s">
        <v>28</v>
      </c>
      <c r="H6908" s="10" t="s">
        <v>28</v>
      </c>
      <c r="I6908" s="11" t="s">
        <v>28</v>
      </c>
      <c r="J6908" s="11" t="s">
        <v>28</v>
      </c>
      <c r="K6908" s="11" t="s">
        <v>28</v>
      </c>
      <c r="L6908" s="11" t="s">
        <v>28</v>
      </c>
      <c r="M6908" s="11" t="s">
        <v>28</v>
      </c>
      <c r="N6908" s="8">
        <v>43647</v>
      </c>
      <c r="O6908" s="9" t="s">
        <v>73</v>
      </c>
      <c r="P6908" s="12" t="s">
        <v>20718</v>
      </c>
      <c r="Q6908" s="9" t="s">
        <v>85</v>
      </c>
      <c r="R6908" s="14" t="str">
        <f>HYPERLINK("https://my.pitchbook.com?c=125313-58T","View Company Online")</f>
        <v>View Company Online</v>
      </c>
    </row>
    <row r="6909" spans="1:18" hidden="1" x14ac:dyDescent="0.3">
      <c r="A6909" s="15" t="s">
        <v>20719</v>
      </c>
      <c r="B6909" s="15" t="s">
        <v>5312</v>
      </c>
      <c r="C6909" s="18" t="s">
        <v>28</v>
      </c>
      <c r="D6909" s="15" t="s">
        <v>5313</v>
      </c>
      <c r="E6909" s="18" t="s">
        <v>28</v>
      </c>
      <c r="F6909" s="19" t="s">
        <v>28</v>
      </c>
      <c r="G6909" s="19">
        <v>80.39</v>
      </c>
      <c r="H6909" s="19" t="s">
        <v>28</v>
      </c>
      <c r="I6909" s="18" t="s">
        <v>28</v>
      </c>
      <c r="J6909" s="18" t="s">
        <v>28</v>
      </c>
      <c r="K6909" s="18" t="s">
        <v>28</v>
      </c>
      <c r="L6909" s="18" t="s">
        <v>28</v>
      </c>
      <c r="M6909" s="18" t="s">
        <v>28</v>
      </c>
      <c r="N6909" s="17">
        <v>43647</v>
      </c>
      <c r="O6909" s="15" t="s">
        <v>73</v>
      </c>
      <c r="P6909" s="16" t="s">
        <v>20720</v>
      </c>
      <c r="Q6909" s="15" t="s">
        <v>119</v>
      </c>
      <c r="R6909" s="13" t="str">
        <f>HYPERLINK("https://my.pitchbook.com?c=118412-56T","View Company Online")</f>
        <v>View Company Online</v>
      </c>
    </row>
    <row r="6910" spans="1:18" hidden="1" x14ac:dyDescent="0.3">
      <c r="A6910" s="9" t="s">
        <v>20721</v>
      </c>
      <c r="B6910" s="9" t="s">
        <v>20722</v>
      </c>
      <c r="C6910" s="11" t="s">
        <v>28</v>
      </c>
      <c r="D6910" s="9" t="s">
        <v>20723</v>
      </c>
      <c r="E6910" s="11" t="s">
        <v>28</v>
      </c>
      <c r="F6910" s="10" t="s">
        <v>28</v>
      </c>
      <c r="G6910" s="10" t="s">
        <v>28</v>
      </c>
      <c r="H6910" s="10" t="s">
        <v>28</v>
      </c>
      <c r="I6910" s="11" t="s">
        <v>28</v>
      </c>
      <c r="J6910" s="11" t="s">
        <v>28</v>
      </c>
      <c r="K6910" s="11" t="s">
        <v>28</v>
      </c>
      <c r="L6910" s="11" t="s">
        <v>28</v>
      </c>
      <c r="M6910" s="11" t="s">
        <v>28</v>
      </c>
      <c r="N6910" s="8">
        <v>43647</v>
      </c>
      <c r="O6910" s="9" t="s">
        <v>30</v>
      </c>
      <c r="P6910" s="12" t="s">
        <v>14833</v>
      </c>
      <c r="Q6910" s="9" t="s">
        <v>95</v>
      </c>
      <c r="R6910" s="14" t="str">
        <f>HYPERLINK("https://my.pitchbook.com?c=160625-98T","View Company Online")</f>
        <v>View Company Online</v>
      </c>
    </row>
    <row r="6911" spans="1:18" hidden="1" x14ac:dyDescent="0.3">
      <c r="A6911" s="15" t="s">
        <v>20724</v>
      </c>
      <c r="B6911" s="15" t="s">
        <v>20725</v>
      </c>
      <c r="C6911" s="18" t="s">
        <v>28</v>
      </c>
      <c r="D6911" s="15" t="s">
        <v>20726</v>
      </c>
      <c r="E6911" s="18" t="s">
        <v>28</v>
      </c>
      <c r="F6911" s="19" t="s">
        <v>28</v>
      </c>
      <c r="G6911" s="19" t="s">
        <v>28</v>
      </c>
      <c r="H6911" s="19" t="s">
        <v>28</v>
      </c>
      <c r="I6911" s="18" t="s">
        <v>28</v>
      </c>
      <c r="J6911" s="18" t="s">
        <v>28</v>
      </c>
      <c r="K6911" s="18" t="s">
        <v>28</v>
      </c>
      <c r="L6911" s="18" t="s">
        <v>28</v>
      </c>
      <c r="M6911" s="18" t="s">
        <v>28</v>
      </c>
      <c r="N6911" s="17">
        <v>43647</v>
      </c>
      <c r="O6911" s="15" t="s">
        <v>30</v>
      </c>
      <c r="P6911" s="16" t="s">
        <v>20727</v>
      </c>
      <c r="Q6911" s="15" t="s">
        <v>37</v>
      </c>
      <c r="R6911" s="13" t="str">
        <f>HYPERLINK("https://my.pitchbook.com?c=216241-84T","View Company Online")</f>
        <v>View Company Online</v>
      </c>
    </row>
    <row r="6912" spans="1:18" hidden="1" x14ac:dyDescent="0.3">
      <c r="A6912" s="9" t="s">
        <v>20728</v>
      </c>
      <c r="B6912" s="9" t="s">
        <v>20729</v>
      </c>
      <c r="C6912" s="11" t="s">
        <v>28</v>
      </c>
      <c r="D6912" s="9" t="s">
        <v>20730</v>
      </c>
      <c r="E6912" s="11" t="s">
        <v>28</v>
      </c>
      <c r="F6912" s="10" t="s">
        <v>28</v>
      </c>
      <c r="G6912" s="10">
        <v>1.29</v>
      </c>
      <c r="H6912" s="10" t="s">
        <v>28</v>
      </c>
      <c r="I6912" s="11" t="s">
        <v>28</v>
      </c>
      <c r="J6912" s="11" t="s">
        <v>28</v>
      </c>
      <c r="K6912" s="11">
        <v>15.05</v>
      </c>
      <c r="L6912" s="11" t="s">
        <v>28</v>
      </c>
      <c r="M6912" s="11" t="s">
        <v>28</v>
      </c>
      <c r="N6912" s="8">
        <v>43644</v>
      </c>
      <c r="O6912" s="9" t="s">
        <v>79</v>
      </c>
      <c r="P6912" s="12" t="s">
        <v>19393</v>
      </c>
      <c r="Q6912" s="9" t="s">
        <v>136</v>
      </c>
      <c r="R6912" s="14" t="str">
        <f>HYPERLINK("https://my.pitchbook.com?c=125268-76T","View Company Online")</f>
        <v>View Company Online</v>
      </c>
    </row>
    <row r="6913" spans="1:18" hidden="1" x14ac:dyDescent="0.3">
      <c r="A6913" s="15" t="s">
        <v>20731</v>
      </c>
      <c r="B6913" s="15" t="s">
        <v>20732</v>
      </c>
      <c r="C6913" s="18" t="s">
        <v>28</v>
      </c>
      <c r="D6913" s="15" t="s">
        <v>20733</v>
      </c>
      <c r="E6913" s="18" t="s">
        <v>28</v>
      </c>
      <c r="F6913" s="19" t="s">
        <v>28</v>
      </c>
      <c r="G6913" s="19" t="s">
        <v>28</v>
      </c>
      <c r="H6913" s="19" t="s">
        <v>28</v>
      </c>
      <c r="I6913" s="18" t="s">
        <v>28</v>
      </c>
      <c r="J6913" s="18" t="s">
        <v>28</v>
      </c>
      <c r="K6913" s="18" t="s">
        <v>28</v>
      </c>
      <c r="L6913" s="18" t="s">
        <v>28</v>
      </c>
      <c r="M6913" s="18" t="s">
        <v>28</v>
      </c>
      <c r="N6913" s="17">
        <v>43643</v>
      </c>
      <c r="O6913" s="15" t="s">
        <v>52</v>
      </c>
      <c r="P6913" s="16" t="s">
        <v>6543</v>
      </c>
      <c r="Q6913" s="15" t="s">
        <v>583</v>
      </c>
      <c r="R6913" s="13" t="str">
        <f>HYPERLINK("https://my.pitchbook.com?c=165838-42T","View Company Online")</f>
        <v>View Company Online</v>
      </c>
    </row>
    <row r="6914" spans="1:18" hidden="1" x14ac:dyDescent="0.3">
      <c r="A6914" s="9" t="s">
        <v>20734</v>
      </c>
      <c r="B6914" s="9" t="s">
        <v>4655</v>
      </c>
      <c r="C6914" s="11" t="s">
        <v>28</v>
      </c>
      <c r="D6914" s="9" t="s">
        <v>4656</v>
      </c>
      <c r="E6914" s="11" t="s">
        <v>28</v>
      </c>
      <c r="F6914" s="10" t="s">
        <v>28</v>
      </c>
      <c r="G6914" s="10">
        <v>7.68</v>
      </c>
      <c r="H6914" s="10" t="s">
        <v>28</v>
      </c>
      <c r="I6914" s="11" t="s">
        <v>28</v>
      </c>
      <c r="J6914" s="11" t="s">
        <v>28</v>
      </c>
      <c r="K6914" s="11" t="s">
        <v>28</v>
      </c>
      <c r="L6914" s="11" t="s">
        <v>28</v>
      </c>
      <c r="M6914" s="11" t="s">
        <v>28</v>
      </c>
      <c r="N6914" s="8">
        <v>43643</v>
      </c>
      <c r="O6914" s="9" t="s">
        <v>79</v>
      </c>
      <c r="P6914" s="12" t="s">
        <v>1420</v>
      </c>
      <c r="Q6914" s="9" t="s">
        <v>386</v>
      </c>
      <c r="R6914" s="14" t="str">
        <f>HYPERLINK("https://my.pitchbook.com?c=124192-36T","View Company Online")</f>
        <v>View Company Online</v>
      </c>
    </row>
    <row r="6915" spans="1:18" hidden="1" x14ac:dyDescent="0.3">
      <c r="A6915" s="15" t="s">
        <v>20735</v>
      </c>
      <c r="B6915" s="15" t="s">
        <v>20736</v>
      </c>
      <c r="C6915" s="18" t="s">
        <v>28</v>
      </c>
      <c r="D6915" s="15" t="s">
        <v>20737</v>
      </c>
      <c r="E6915" s="18" t="s">
        <v>28</v>
      </c>
      <c r="F6915" s="19">
        <v>28.24</v>
      </c>
      <c r="G6915" s="19">
        <v>28.24</v>
      </c>
      <c r="H6915" s="19">
        <v>28.24</v>
      </c>
      <c r="I6915" s="18" t="s">
        <v>28</v>
      </c>
      <c r="J6915" s="18" t="s">
        <v>28</v>
      </c>
      <c r="K6915" s="18" t="s">
        <v>28</v>
      </c>
      <c r="L6915" s="18" t="s">
        <v>28</v>
      </c>
      <c r="M6915" s="18" t="s">
        <v>28</v>
      </c>
      <c r="N6915" s="17">
        <v>43643</v>
      </c>
      <c r="O6915" s="15" t="s">
        <v>30</v>
      </c>
      <c r="P6915" s="16" t="s">
        <v>10279</v>
      </c>
      <c r="Q6915" s="15" t="s">
        <v>75</v>
      </c>
      <c r="R6915" s="13" t="str">
        <f>HYPERLINK("https://my.pitchbook.com?c=216243-01T","View Company Online")</f>
        <v>View Company Online</v>
      </c>
    </row>
    <row r="6916" spans="1:18" hidden="1" x14ac:dyDescent="0.3">
      <c r="A6916" s="9" t="s">
        <v>20738</v>
      </c>
      <c r="B6916" s="9" t="s">
        <v>2854</v>
      </c>
      <c r="C6916" s="11" t="s">
        <v>28</v>
      </c>
      <c r="D6916" s="9" t="s">
        <v>2855</v>
      </c>
      <c r="E6916" s="11" t="s">
        <v>28</v>
      </c>
      <c r="F6916" s="10" t="s">
        <v>28</v>
      </c>
      <c r="G6916" s="10">
        <v>30</v>
      </c>
      <c r="H6916" s="10" t="s">
        <v>28</v>
      </c>
      <c r="I6916" s="11" t="s">
        <v>28</v>
      </c>
      <c r="J6916" s="11" t="s">
        <v>28</v>
      </c>
      <c r="K6916" s="11" t="s">
        <v>28</v>
      </c>
      <c r="L6916" s="11" t="s">
        <v>28</v>
      </c>
      <c r="M6916" s="11" t="s">
        <v>28</v>
      </c>
      <c r="N6916" s="8">
        <v>43642</v>
      </c>
      <c r="O6916" s="9" t="s">
        <v>73</v>
      </c>
      <c r="P6916" s="12" t="s">
        <v>20739</v>
      </c>
      <c r="Q6916" s="9" t="s">
        <v>85</v>
      </c>
      <c r="R6916" s="14" t="str">
        <f>HYPERLINK("https://my.pitchbook.com?c=97946-20T","View Company Online")</f>
        <v>View Company Online</v>
      </c>
    </row>
    <row r="6917" spans="1:18" hidden="1" x14ac:dyDescent="0.3">
      <c r="A6917" s="15" t="s">
        <v>20740</v>
      </c>
      <c r="B6917" s="15" t="s">
        <v>12651</v>
      </c>
      <c r="C6917" s="18" t="s">
        <v>28</v>
      </c>
      <c r="D6917" s="15" t="s">
        <v>12652</v>
      </c>
      <c r="E6917" s="18" t="s">
        <v>28</v>
      </c>
      <c r="F6917" s="19" t="s">
        <v>28</v>
      </c>
      <c r="G6917" s="19">
        <v>0.67</v>
      </c>
      <c r="H6917" s="19" t="s">
        <v>28</v>
      </c>
      <c r="I6917" s="18" t="s">
        <v>28</v>
      </c>
      <c r="J6917" s="18" t="s">
        <v>28</v>
      </c>
      <c r="K6917" s="18" t="s">
        <v>28</v>
      </c>
      <c r="L6917" s="18" t="s">
        <v>28</v>
      </c>
      <c r="M6917" s="18" t="s">
        <v>28</v>
      </c>
      <c r="N6917" s="17">
        <v>43642</v>
      </c>
      <c r="O6917" s="15" t="s">
        <v>73</v>
      </c>
      <c r="P6917" s="16" t="s">
        <v>11495</v>
      </c>
      <c r="Q6917" s="15" t="s">
        <v>75</v>
      </c>
      <c r="R6917" s="13" t="str">
        <f>HYPERLINK("https://my.pitchbook.com?c=123438-79T","View Company Online")</f>
        <v>View Company Online</v>
      </c>
    </row>
    <row r="6918" spans="1:18" hidden="1" x14ac:dyDescent="0.3">
      <c r="A6918" s="9" t="s">
        <v>20741</v>
      </c>
      <c r="B6918" s="9" t="s">
        <v>20742</v>
      </c>
      <c r="C6918" s="11" t="s">
        <v>28</v>
      </c>
      <c r="D6918" s="9" t="s">
        <v>20743</v>
      </c>
      <c r="E6918" s="11" t="s">
        <v>28</v>
      </c>
      <c r="F6918" s="10" t="s">
        <v>28</v>
      </c>
      <c r="G6918" s="10" t="s">
        <v>28</v>
      </c>
      <c r="H6918" s="10" t="s">
        <v>28</v>
      </c>
      <c r="I6918" s="11" t="s">
        <v>28</v>
      </c>
      <c r="J6918" s="11" t="s">
        <v>28</v>
      </c>
      <c r="K6918" s="11" t="s">
        <v>28</v>
      </c>
      <c r="L6918" s="11" t="s">
        <v>28</v>
      </c>
      <c r="M6918" s="11" t="s">
        <v>28</v>
      </c>
      <c r="N6918" s="8">
        <v>43642</v>
      </c>
      <c r="O6918" s="9" t="s">
        <v>30</v>
      </c>
      <c r="P6918" s="12" t="s">
        <v>20744</v>
      </c>
      <c r="Q6918" s="9" t="s">
        <v>75</v>
      </c>
      <c r="R6918" s="14" t="str">
        <f>HYPERLINK("https://my.pitchbook.com?c=120411-19T","View Company Online")</f>
        <v>View Company Online</v>
      </c>
    </row>
    <row r="6919" spans="1:18" hidden="1" x14ac:dyDescent="0.3">
      <c r="A6919" s="15" t="s">
        <v>20745</v>
      </c>
      <c r="B6919" s="15" t="s">
        <v>20746</v>
      </c>
      <c r="C6919" s="18" t="s">
        <v>28</v>
      </c>
      <c r="D6919" s="15" t="s">
        <v>20747</v>
      </c>
      <c r="E6919" s="18" t="s">
        <v>28</v>
      </c>
      <c r="F6919" s="19" t="s">
        <v>28</v>
      </c>
      <c r="G6919" s="19" t="s">
        <v>28</v>
      </c>
      <c r="H6919" s="19" t="s">
        <v>28</v>
      </c>
      <c r="I6919" s="18" t="s">
        <v>28</v>
      </c>
      <c r="J6919" s="18" t="s">
        <v>28</v>
      </c>
      <c r="K6919" s="18" t="s">
        <v>28</v>
      </c>
      <c r="L6919" s="18" t="s">
        <v>28</v>
      </c>
      <c r="M6919" s="18" t="s">
        <v>28</v>
      </c>
      <c r="N6919" s="17">
        <v>43641</v>
      </c>
      <c r="O6919" s="15" t="s">
        <v>30</v>
      </c>
      <c r="P6919" s="16" t="s">
        <v>20748</v>
      </c>
      <c r="Q6919" s="15" t="s">
        <v>348</v>
      </c>
      <c r="R6919" s="13" t="str">
        <f>HYPERLINK("https://my.pitchbook.com?c=216235-18T","View Company Online")</f>
        <v>View Company Online</v>
      </c>
    </row>
    <row r="6920" spans="1:18" hidden="1" x14ac:dyDescent="0.3">
      <c r="A6920" s="9" t="s">
        <v>20749</v>
      </c>
      <c r="B6920" s="9" t="s">
        <v>20750</v>
      </c>
      <c r="C6920" s="11" t="s">
        <v>28</v>
      </c>
      <c r="D6920" s="9" t="s">
        <v>20751</v>
      </c>
      <c r="E6920" s="11" t="s">
        <v>28</v>
      </c>
      <c r="F6920" s="10" t="s">
        <v>28</v>
      </c>
      <c r="G6920" s="10" t="s">
        <v>28</v>
      </c>
      <c r="H6920" s="10" t="s">
        <v>28</v>
      </c>
      <c r="I6920" s="11" t="s">
        <v>28</v>
      </c>
      <c r="J6920" s="11" t="s">
        <v>28</v>
      </c>
      <c r="K6920" s="11" t="s">
        <v>28</v>
      </c>
      <c r="L6920" s="11" t="s">
        <v>28</v>
      </c>
      <c r="M6920" s="11" t="s">
        <v>28</v>
      </c>
      <c r="N6920" s="8">
        <v>43641</v>
      </c>
      <c r="O6920" s="9" t="s">
        <v>30</v>
      </c>
      <c r="P6920" s="12" t="s">
        <v>20752</v>
      </c>
      <c r="Q6920" s="9" t="s">
        <v>249</v>
      </c>
      <c r="R6920" s="14" t="str">
        <f>HYPERLINK("https://my.pitchbook.com?c=124767-82T","View Company Online")</f>
        <v>View Company Online</v>
      </c>
    </row>
    <row r="6921" spans="1:18" hidden="1" x14ac:dyDescent="0.3">
      <c r="A6921" s="15" t="s">
        <v>20753</v>
      </c>
      <c r="B6921" s="15" t="s">
        <v>5075</v>
      </c>
      <c r="C6921" s="18" t="s">
        <v>28</v>
      </c>
      <c r="D6921" s="15" t="s">
        <v>5076</v>
      </c>
      <c r="E6921" s="18">
        <v>0.05</v>
      </c>
      <c r="F6921" s="19" t="s">
        <v>28</v>
      </c>
      <c r="G6921" s="19" t="s">
        <v>28</v>
      </c>
      <c r="H6921" s="19" t="s">
        <v>28</v>
      </c>
      <c r="I6921" s="18">
        <v>0.05</v>
      </c>
      <c r="J6921" s="18" t="s">
        <v>28</v>
      </c>
      <c r="K6921" s="18">
        <v>0.05</v>
      </c>
      <c r="L6921" s="18" t="s">
        <v>28</v>
      </c>
      <c r="M6921" s="18">
        <v>0.06</v>
      </c>
      <c r="N6921" s="17">
        <v>43637</v>
      </c>
      <c r="O6921" s="15" t="s">
        <v>173</v>
      </c>
      <c r="P6921" s="16" t="s">
        <v>28</v>
      </c>
      <c r="Q6921" s="15" t="s">
        <v>240</v>
      </c>
      <c r="R6921" s="13" t="str">
        <f>HYPERLINK("https://my.pitchbook.com?c=221305-87T","View Company Online")</f>
        <v>View Company Online</v>
      </c>
    </row>
    <row r="6922" spans="1:18" hidden="1" x14ac:dyDescent="0.3">
      <c r="A6922" s="9" t="s">
        <v>20754</v>
      </c>
      <c r="B6922" s="9" t="s">
        <v>20755</v>
      </c>
      <c r="C6922" s="11" t="s">
        <v>28</v>
      </c>
      <c r="D6922" s="9" t="s">
        <v>20756</v>
      </c>
      <c r="E6922" s="11" t="s">
        <v>28</v>
      </c>
      <c r="F6922" s="10" t="s">
        <v>28</v>
      </c>
      <c r="G6922" s="10" t="s">
        <v>28</v>
      </c>
      <c r="H6922" s="10" t="s">
        <v>28</v>
      </c>
      <c r="I6922" s="11" t="s">
        <v>28</v>
      </c>
      <c r="J6922" s="11" t="s">
        <v>28</v>
      </c>
      <c r="K6922" s="11" t="s">
        <v>28</v>
      </c>
      <c r="L6922" s="11" t="s">
        <v>28</v>
      </c>
      <c r="M6922" s="11" t="s">
        <v>28</v>
      </c>
      <c r="N6922" s="8">
        <v>43637</v>
      </c>
      <c r="O6922" s="9" t="s">
        <v>30</v>
      </c>
      <c r="P6922" s="12" t="s">
        <v>28</v>
      </c>
      <c r="Q6922" s="9" t="s">
        <v>4670</v>
      </c>
      <c r="R6922" s="14" t="str">
        <f>HYPERLINK("https://my.pitchbook.com?c=216236-62T","View Company Online")</f>
        <v>View Company Online</v>
      </c>
    </row>
    <row r="6923" spans="1:18" hidden="1" x14ac:dyDescent="0.3">
      <c r="A6923" s="15" t="s">
        <v>20757</v>
      </c>
      <c r="B6923" s="15" t="s">
        <v>7643</v>
      </c>
      <c r="C6923" s="18" t="s">
        <v>28</v>
      </c>
      <c r="D6923" s="15" t="s">
        <v>7644</v>
      </c>
      <c r="E6923" s="18" t="s">
        <v>28</v>
      </c>
      <c r="F6923" s="19" t="s">
        <v>28</v>
      </c>
      <c r="G6923" s="19">
        <v>7</v>
      </c>
      <c r="H6923" s="19" t="s">
        <v>28</v>
      </c>
      <c r="I6923" s="18" t="s">
        <v>28</v>
      </c>
      <c r="J6923" s="18" t="s">
        <v>28</v>
      </c>
      <c r="K6923" s="18" t="s">
        <v>28</v>
      </c>
      <c r="L6923" s="18" t="s">
        <v>28</v>
      </c>
      <c r="M6923" s="18" t="s">
        <v>28</v>
      </c>
      <c r="N6923" s="17">
        <v>43635</v>
      </c>
      <c r="O6923" s="15" t="s">
        <v>79</v>
      </c>
      <c r="P6923" s="16" t="s">
        <v>20758</v>
      </c>
      <c r="Q6923" s="15" t="s">
        <v>607</v>
      </c>
      <c r="R6923" s="13" t="str">
        <f>HYPERLINK("https://my.pitchbook.com?c=133658-92T","View Company Online")</f>
        <v>View Company Online</v>
      </c>
    </row>
    <row r="6924" spans="1:18" hidden="1" x14ac:dyDescent="0.3">
      <c r="A6924" s="9" t="s">
        <v>20759</v>
      </c>
      <c r="B6924" s="9" t="s">
        <v>20760</v>
      </c>
      <c r="C6924" s="11" t="s">
        <v>28</v>
      </c>
      <c r="D6924" s="9" t="s">
        <v>20761</v>
      </c>
      <c r="E6924" s="11" t="s">
        <v>28</v>
      </c>
      <c r="F6924" s="10" t="s">
        <v>28</v>
      </c>
      <c r="G6924" s="10" t="s">
        <v>28</v>
      </c>
      <c r="H6924" s="10" t="s">
        <v>28</v>
      </c>
      <c r="I6924" s="11" t="s">
        <v>28</v>
      </c>
      <c r="J6924" s="11" t="s">
        <v>28</v>
      </c>
      <c r="K6924" s="11">
        <v>41.7</v>
      </c>
      <c r="L6924" s="11" t="s">
        <v>28</v>
      </c>
      <c r="M6924" s="11">
        <v>41.04</v>
      </c>
      <c r="N6924" s="8">
        <v>43635</v>
      </c>
      <c r="O6924" s="9" t="s">
        <v>173</v>
      </c>
      <c r="P6924" s="12" t="s">
        <v>28</v>
      </c>
      <c r="Q6924" s="9" t="s">
        <v>174</v>
      </c>
      <c r="R6924" s="14" t="str">
        <f>HYPERLINK("https://my.pitchbook.com?c=224106-85T","View Company Online")</f>
        <v>View Company Online</v>
      </c>
    </row>
    <row r="6925" spans="1:18" hidden="1" x14ac:dyDescent="0.3">
      <c r="A6925" s="15" t="s">
        <v>20762</v>
      </c>
      <c r="B6925" s="15" t="s">
        <v>20763</v>
      </c>
      <c r="C6925" s="18" t="s">
        <v>28</v>
      </c>
      <c r="D6925" s="15" t="s">
        <v>20764</v>
      </c>
      <c r="E6925" s="18" t="s">
        <v>28</v>
      </c>
      <c r="F6925" s="19" t="s">
        <v>28</v>
      </c>
      <c r="G6925" s="19">
        <v>5.07</v>
      </c>
      <c r="H6925" s="19" t="s">
        <v>28</v>
      </c>
      <c r="I6925" s="18" t="s">
        <v>28</v>
      </c>
      <c r="J6925" s="18" t="s">
        <v>28</v>
      </c>
      <c r="K6925" s="18" t="s">
        <v>28</v>
      </c>
      <c r="L6925" s="18" t="s">
        <v>28</v>
      </c>
      <c r="M6925" s="18" t="s">
        <v>28</v>
      </c>
      <c r="N6925" s="17">
        <v>43634</v>
      </c>
      <c r="O6925" s="15" t="s">
        <v>73</v>
      </c>
      <c r="P6925" s="16" t="s">
        <v>20765</v>
      </c>
      <c r="Q6925" s="15" t="s">
        <v>37</v>
      </c>
      <c r="R6925" s="13" t="str">
        <f>HYPERLINK("https://my.pitchbook.com?c=123769-45T","View Company Online")</f>
        <v>View Company Online</v>
      </c>
    </row>
    <row r="6926" spans="1:18" hidden="1" x14ac:dyDescent="0.3">
      <c r="A6926" s="9" t="s">
        <v>20766</v>
      </c>
      <c r="B6926" s="9" t="s">
        <v>20767</v>
      </c>
      <c r="C6926" s="11" t="s">
        <v>28</v>
      </c>
      <c r="D6926" s="9" t="s">
        <v>20768</v>
      </c>
      <c r="E6926" s="11" t="s">
        <v>28</v>
      </c>
      <c r="F6926" s="10" t="s">
        <v>28</v>
      </c>
      <c r="G6926" s="10" t="s">
        <v>28</v>
      </c>
      <c r="H6926" s="10" t="s">
        <v>28</v>
      </c>
      <c r="I6926" s="11" t="s">
        <v>28</v>
      </c>
      <c r="J6926" s="11" t="s">
        <v>28</v>
      </c>
      <c r="K6926" s="11">
        <v>172.38</v>
      </c>
      <c r="L6926" s="11" t="s">
        <v>28</v>
      </c>
      <c r="M6926" s="11" t="s">
        <v>28</v>
      </c>
      <c r="N6926" s="8">
        <v>43634</v>
      </c>
      <c r="O6926" s="9" t="s">
        <v>30</v>
      </c>
      <c r="P6926" s="12" t="s">
        <v>20769</v>
      </c>
      <c r="Q6926" s="9" t="s">
        <v>136</v>
      </c>
      <c r="R6926" s="14" t="str">
        <f>HYPERLINK("https://my.pitchbook.com?c=157727-35T","View Company Online")</f>
        <v>View Company Online</v>
      </c>
    </row>
    <row r="6927" spans="1:18" hidden="1" x14ac:dyDescent="0.3">
      <c r="A6927" s="15" t="s">
        <v>20770</v>
      </c>
      <c r="B6927" s="15" t="s">
        <v>20613</v>
      </c>
      <c r="C6927" s="18" t="s">
        <v>28</v>
      </c>
      <c r="D6927" s="15" t="s">
        <v>20614</v>
      </c>
      <c r="E6927" s="18" t="s">
        <v>28</v>
      </c>
      <c r="F6927" s="19" t="s">
        <v>28</v>
      </c>
      <c r="G6927" s="19">
        <v>1.5</v>
      </c>
      <c r="H6927" s="19" t="s">
        <v>28</v>
      </c>
      <c r="I6927" s="18" t="s">
        <v>28</v>
      </c>
      <c r="J6927" s="18" t="s">
        <v>28</v>
      </c>
      <c r="K6927" s="18" t="s">
        <v>28</v>
      </c>
      <c r="L6927" s="18" t="s">
        <v>28</v>
      </c>
      <c r="M6927" s="18" t="s">
        <v>28</v>
      </c>
      <c r="N6927" s="17">
        <v>43634</v>
      </c>
      <c r="O6927" s="15" t="s">
        <v>99</v>
      </c>
      <c r="P6927" s="16" t="s">
        <v>28</v>
      </c>
      <c r="Q6927" s="15" t="s">
        <v>263</v>
      </c>
      <c r="R6927" s="13" t="str">
        <f>HYPERLINK("https://my.pitchbook.com?c=123988-78T","View Company Online")</f>
        <v>View Company Online</v>
      </c>
    </row>
    <row r="6928" spans="1:18" hidden="1" x14ac:dyDescent="0.3">
      <c r="A6928" s="9" t="s">
        <v>20771</v>
      </c>
      <c r="B6928" s="9" t="s">
        <v>20772</v>
      </c>
      <c r="C6928" s="11" t="s">
        <v>28</v>
      </c>
      <c r="D6928" s="9" t="s">
        <v>20773</v>
      </c>
      <c r="E6928" s="11" t="s">
        <v>28</v>
      </c>
      <c r="F6928" s="10" t="s">
        <v>28</v>
      </c>
      <c r="G6928" s="10" t="s">
        <v>28</v>
      </c>
      <c r="H6928" s="10" t="s">
        <v>28</v>
      </c>
      <c r="I6928" s="11" t="s">
        <v>28</v>
      </c>
      <c r="J6928" s="11" t="s">
        <v>28</v>
      </c>
      <c r="K6928" s="11" t="s">
        <v>28</v>
      </c>
      <c r="L6928" s="11" t="s">
        <v>28</v>
      </c>
      <c r="M6928" s="11" t="s">
        <v>28</v>
      </c>
      <c r="N6928" s="8">
        <v>43634</v>
      </c>
      <c r="O6928" s="9" t="s">
        <v>79</v>
      </c>
      <c r="P6928" s="12" t="s">
        <v>10628</v>
      </c>
      <c r="Q6928" s="9" t="s">
        <v>188</v>
      </c>
      <c r="R6928" s="14" t="str">
        <f>HYPERLINK("https://my.pitchbook.com?c=124643-35T","View Company Online")</f>
        <v>View Company Online</v>
      </c>
    </row>
    <row r="6929" spans="1:18" hidden="1" x14ac:dyDescent="0.3">
      <c r="A6929" s="15" t="s">
        <v>20774</v>
      </c>
      <c r="B6929" s="15" t="s">
        <v>20775</v>
      </c>
      <c r="C6929" s="18" t="s">
        <v>28</v>
      </c>
      <c r="D6929" s="15" t="s">
        <v>20776</v>
      </c>
      <c r="E6929" s="18" t="s">
        <v>28</v>
      </c>
      <c r="F6929" s="19" t="s">
        <v>28</v>
      </c>
      <c r="G6929" s="19" t="s">
        <v>28</v>
      </c>
      <c r="H6929" s="19" t="s">
        <v>28</v>
      </c>
      <c r="I6929" s="18" t="s">
        <v>28</v>
      </c>
      <c r="J6929" s="18" t="s">
        <v>28</v>
      </c>
      <c r="K6929" s="18" t="s">
        <v>28</v>
      </c>
      <c r="L6929" s="18" t="s">
        <v>28</v>
      </c>
      <c r="M6929" s="18" t="s">
        <v>28</v>
      </c>
      <c r="N6929" s="17">
        <v>43633</v>
      </c>
      <c r="O6929" s="15" t="s">
        <v>79</v>
      </c>
      <c r="P6929" s="16" t="s">
        <v>20777</v>
      </c>
      <c r="Q6929" s="15" t="s">
        <v>419</v>
      </c>
      <c r="R6929" s="13" t="str">
        <f>HYPERLINK("https://my.pitchbook.com?c=119758-42T","View Company Online")</f>
        <v>View Company Online</v>
      </c>
    </row>
    <row r="6930" spans="1:18" hidden="1" x14ac:dyDescent="0.3">
      <c r="A6930" s="9" t="s">
        <v>20778</v>
      </c>
      <c r="B6930" s="9" t="s">
        <v>7279</v>
      </c>
      <c r="C6930" s="11" t="s">
        <v>28</v>
      </c>
      <c r="D6930" s="9" t="s">
        <v>7280</v>
      </c>
      <c r="E6930" s="11" t="s">
        <v>28</v>
      </c>
      <c r="F6930" s="10" t="s">
        <v>28</v>
      </c>
      <c r="G6930" s="10">
        <v>1.01</v>
      </c>
      <c r="H6930" s="10" t="s">
        <v>28</v>
      </c>
      <c r="I6930" s="11" t="s">
        <v>28</v>
      </c>
      <c r="J6930" s="11" t="s">
        <v>28</v>
      </c>
      <c r="K6930" s="11" t="s">
        <v>28</v>
      </c>
      <c r="L6930" s="11" t="s">
        <v>28</v>
      </c>
      <c r="M6930" s="11" t="s">
        <v>28</v>
      </c>
      <c r="N6930" s="8">
        <v>43633</v>
      </c>
      <c r="O6930" s="9" t="s">
        <v>379</v>
      </c>
      <c r="P6930" s="12" t="s">
        <v>28</v>
      </c>
      <c r="Q6930" s="9" t="s">
        <v>114</v>
      </c>
      <c r="R6930" s="14" t="str">
        <f>HYPERLINK("https://my.pitchbook.com?c=122938-93T","View Company Online")</f>
        <v>View Company Online</v>
      </c>
    </row>
    <row r="6931" spans="1:18" hidden="1" x14ac:dyDescent="0.3">
      <c r="A6931" s="15" t="s">
        <v>20779</v>
      </c>
      <c r="B6931" s="15" t="s">
        <v>20780</v>
      </c>
      <c r="C6931" s="18" t="s">
        <v>28</v>
      </c>
      <c r="D6931" s="15" t="s">
        <v>20781</v>
      </c>
      <c r="E6931" s="18" t="s">
        <v>28</v>
      </c>
      <c r="F6931" s="19" t="s">
        <v>28</v>
      </c>
      <c r="G6931" s="19">
        <v>0.03</v>
      </c>
      <c r="H6931" s="19" t="s">
        <v>28</v>
      </c>
      <c r="I6931" s="18" t="s">
        <v>28</v>
      </c>
      <c r="J6931" s="18" t="s">
        <v>28</v>
      </c>
      <c r="K6931" s="18" t="s">
        <v>28</v>
      </c>
      <c r="L6931" s="18" t="s">
        <v>28</v>
      </c>
      <c r="M6931" s="18" t="s">
        <v>28</v>
      </c>
      <c r="N6931" s="17">
        <v>43631</v>
      </c>
      <c r="O6931" s="15" t="s">
        <v>52</v>
      </c>
      <c r="P6931" s="16" t="s">
        <v>16809</v>
      </c>
      <c r="Q6931" s="15" t="s">
        <v>37</v>
      </c>
      <c r="R6931" s="13" t="str">
        <f>HYPERLINK("https://my.pitchbook.com?c=125472-34T","View Company Online")</f>
        <v>View Company Online</v>
      </c>
    </row>
    <row r="6932" spans="1:18" x14ac:dyDescent="0.3">
      <c r="A6932" s="9" t="s">
        <v>20782</v>
      </c>
      <c r="B6932" s="9" t="s">
        <v>20783</v>
      </c>
      <c r="C6932" s="11" t="s">
        <v>28</v>
      </c>
      <c r="D6932" s="9" t="s">
        <v>20784</v>
      </c>
      <c r="E6932" s="11">
        <v>-73.400000000000006</v>
      </c>
      <c r="F6932" s="10">
        <v>103.99</v>
      </c>
      <c r="G6932" s="10">
        <v>115</v>
      </c>
      <c r="H6932" s="10">
        <v>115</v>
      </c>
      <c r="I6932" s="11">
        <v>-57.65</v>
      </c>
      <c r="J6932" s="11">
        <v>-1.99</v>
      </c>
      <c r="K6932" s="11">
        <v>465.3</v>
      </c>
      <c r="L6932" s="11">
        <v>0.25</v>
      </c>
      <c r="M6932" s="11">
        <v>-88.77</v>
      </c>
      <c r="N6932" s="8">
        <v>43630</v>
      </c>
      <c r="O6932" s="9" t="s">
        <v>30</v>
      </c>
      <c r="P6932" s="12" t="s">
        <v>3609</v>
      </c>
      <c r="Q6932" s="9" t="s">
        <v>740</v>
      </c>
      <c r="R6932" s="14" t="str">
        <f>HYPERLINK("https://my.pitchbook.com?c=118511-47T","View Company Online")</f>
        <v>View Company Online</v>
      </c>
    </row>
    <row r="6933" spans="1:18" hidden="1" x14ac:dyDescent="0.3">
      <c r="A6933" s="15" t="s">
        <v>20785</v>
      </c>
      <c r="B6933" s="15" t="s">
        <v>8368</v>
      </c>
      <c r="C6933" s="18" t="s">
        <v>28</v>
      </c>
      <c r="D6933" s="15" t="s">
        <v>8369</v>
      </c>
      <c r="E6933" s="18" t="s">
        <v>28</v>
      </c>
      <c r="F6933" s="19" t="s">
        <v>28</v>
      </c>
      <c r="G6933" s="19" t="s">
        <v>28</v>
      </c>
      <c r="H6933" s="19" t="s">
        <v>28</v>
      </c>
      <c r="I6933" s="18" t="s">
        <v>28</v>
      </c>
      <c r="J6933" s="18" t="s">
        <v>28</v>
      </c>
      <c r="K6933" s="18" t="s">
        <v>28</v>
      </c>
      <c r="L6933" s="18" t="s">
        <v>28</v>
      </c>
      <c r="M6933" s="18" t="s">
        <v>28</v>
      </c>
      <c r="N6933" s="17">
        <v>43630</v>
      </c>
      <c r="O6933" s="15" t="s">
        <v>73</v>
      </c>
      <c r="P6933" s="16" t="s">
        <v>20786</v>
      </c>
      <c r="Q6933" s="15" t="s">
        <v>37</v>
      </c>
      <c r="R6933" s="13" t="str">
        <f>HYPERLINK("https://my.pitchbook.com?c=123288-13T","View Company Online")</f>
        <v>View Company Online</v>
      </c>
    </row>
    <row r="6934" spans="1:18" hidden="1" x14ac:dyDescent="0.3">
      <c r="A6934" s="9" t="s">
        <v>20787</v>
      </c>
      <c r="B6934" s="9" t="s">
        <v>20788</v>
      </c>
      <c r="C6934" s="11" t="s">
        <v>28</v>
      </c>
      <c r="D6934" s="9" t="s">
        <v>20789</v>
      </c>
      <c r="E6934" s="11" t="s">
        <v>28</v>
      </c>
      <c r="F6934" s="10" t="s">
        <v>28</v>
      </c>
      <c r="G6934" s="10" t="s">
        <v>28</v>
      </c>
      <c r="H6934" s="10" t="s">
        <v>28</v>
      </c>
      <c r="I6934" s="11" t="s">
        <v>28</v>
      </c>
      <c r="J6934" s="11" t="s">
        <v>28</v>
      </c>
      <c r="K6934" s="11" t="s">
        <v>28</v>
      </c>
      <c r="L6934" s="11" t="s">
        <v>28</v>
      </c>
      <c r="M6934" s="11" t="s">
        <v>28</v>
      </c>
      <c r="N6934" s="8">
        <v>43630</v>
      </c>
      <c r="O6934" s="9" t="s">
        <v>41</v>
      </c>
      <c r="P6934" s="12" t="s">
        <v>20790</v>
      </c>
      <c r="Q6934" s="9" t="s">
        <v>9353</v>
      </c>
      <c r="R6934" s="14" t="str">
        <f>HYPERLINK("https://my.pitchbook.com?c=122148-01T","View Company Online")</f>
        <v>View Company Online</v>
      </c>
    </row>
    <row r="6935" spans="1:18" hidden="1" x14ac:dyDescent="0.3">
      <c r="A6935" s="15" t="s">
        <v>20791</v>
      </c>
      <c r="B6935" s="15" t="s">
        <v>20792</v>
      </c>
      <c r="C6935" s="18" t="s">
        <v>28</v>
      </c>
      <c r="D6935" s="15" t="s">
        <v>20793</v>
      </c>
      <c r="E6935" s="18" t="s">
        <v>28</v>
      </c>
      <c r="F6935" s="19" t="s">
        <v>28</v>
      </c>
      <c r="G6935" s="19" t="s">
        <v>28</v>
      </c>
      <c r="H6935" s="19" t="s">
        <v>28</v>
      </c>
      <c r="I6935" s="18" t="s">
        <v>28</v>
      </c>
      <c r="J6935" s="18" t="s">
        <v>28</v>
      </c>
      <c r="K6935" s="18" t="s">
        <v>28</v>
      </c>
      <c r="L6935" s="18" t="s">
        <v>28</v>
      </c>
      <c r="M6935" s="18" t="s">
        <v>28</v>
      </c>
      <c r="N6935" s="17">
        <v>43629</v>
      </c>
      <c r="O6935" s="15" t="s">
        <v>173</v>
      </c>
      <c r="P6935" s="16" t="s">
        <v>28</v>
      </c>
      <c r="Q6935" s="15" t="s">
        <v>174</v>
      </c>
      <c r="R6935" s="13" t="str">
        <f>HYPERLINK("https://my.pitchbook.com?c=224972-83T","View Company Online")</f>
        <v>View Company Online</v>
      </c>
    </row>
    <row r="6936" spans="1:18" hidden="1" x14ac:dyDescent="0.3">
      <c r="A6936" s="9" t="s">
        <v>20794</v>
      </c>
      <c r="B6936" s="9" t="s">
        <v>13992</v>
      </c>
      <c r="C6936" s="11" t="s">
        <v>28</v>
      </c>
      <c r="D6936" s="9" t="s">
        <v>13993</v>
      </c>
      <c r="E6936" s="11" t="s">
        <v>28</v>
      </c>
      <c r="F6936" s="10" t="s">
        <v>28</v>
      </c>
      <c r="G6936" s="10">
        <v>2.5</v>
      </c>
      <c r="H6936" s="10" t="s">
        <v>28</v>
      </c>
      <c r="I6936" s="11" t="s">
        <v>28</v>
      </c>
      <c r="J6936" s="11" t="s">
        <v>28</v>
      </c>
      <c r="K6936" s="11" t="s">
        <v>28</v>
      </c>
      <c r="L6936" s="11" t="s">
        <v>28</v>
      </c>
      <c r="M6936" s="11" t="s">
        <v>28</v>
      </c>
      <c r="N6936" s="8">
        <v>43629</v>
      </c>
      <c r="O6936" s="9" t="s">
        <v>99</v>
      </c>
      <c r="P6936" s="12" t="s">
        <v>20795</v>
      </c>
      <c r="Q6936" s="9" t="s">
        <v>8035</v>
      </c>
      <c r="R6936" s="14" t="str">
        <f>HYPERLINK("https://my.pitchbook.com?c=218272-78T","View Company Online")</f>
        <v>View Company Online</v>
      </c>
    </row>
    <row r="6937" spans="1:18" hidden="1" x14ac:dyDescent="0.3">
      <c r="A6937" s="15" t="s">
        <v>20796</v>
      </c>
      <c r="B6937" s="15" t="s">
        <v>3509</v>
      </c>
      <c r="C6937" s="18" t="s">
        <v>28</v>
      </c>
      <c r="D6937" s="15" t="s">
        <v>3510</v>
      </c>
      <c r="E6937" s="18" t="s">
        <v>28</v>
      </c>
      <c r="F6937" s="19" t="s">
        <v>28</v>
      </c>
      <c r="G6937" s="19" t="s">
        <v>28</v>
      </c>
      <c r="H6937" s="19" t="s">
        <v>28</v>
      </c>
      <c r="I6937" s="18" t="s">
        <v>28</v>
      </c>
      <c r="J6937" s="18" t="s">
        <v>28</v>
      </c>
      <c r="K6937" s="18" t="s">
        <v>28</v>
      </c>
      <c r="L6937" s="18" t="s">
        <v>28</v>
      </c>
      <c r="M6937" s="18" t="s">
        <v>28</v>
      </c>
      <c r="N6937" s="17">
        <v>43626</v>
      </c>
      <c r="O6937" s="15" t="s">
        <v>73</v>
      </c>
      <c r="P6937" s="16" t="s">
        <v>20797</v>
      </c>
      <c r="Q6937" s="15" t="s">
        <v>1336</v>
      </c>
      <c r="R6937" s="13" t="str">
        <f>HYPERLINK("https://my.pitchbook.com?c=176162-68T","View Company Online")</f>
        <v>View Company Online</v>
      </c>
    </row>
    <row r="6938" spans="1:18" hidden="1" x14ac:dyDescent="0.3">
      <c r="A6938" s="9" t="s">
        <v>20798</v>
      </c>
      <c r="B6938" s="9" t="s">
        <v>4521</v>
      </c>
      <c r="C6938" s="11" t="s">
        <v>28</v>
      </c>
      <c r="D6938" s="9" t="s">
        <v>4522</v>
      </c>
      <c r="E6938" s="11" t="s">
        <v>28</v>
      </c>
      <c r="F6938" s="10" t="s">
        <v>28</v>
      </c>
      <c r="G6938" s="10" t="s">
        <v>28</v>
      </c>
      <c r="H6938" s="10" t="s">
        <v>28</v>
      </c>
      <c r="I6938" s="11" t="s">
        <v>28</v>
      </c>
      <c r="J6938" s="11" t="s">
        <v>28</v>
      </c>
      <c r="K6938" s="11" t="s">
        <v>28</v>
      </c>
      <c r="L6938" s="11" t="s">
        <v>28</v>
      </c>
      <c r="M6938" s="11" t="s">
        <v>28</v>
      </c>
      <c r="N6938" s="8">
        <v>43626</v>
      </c>
      <c r="O6938" s="9" t="s">
        <v>379</v>
      </c>
      <c r="P6938" s="12" t="s">
        <v>20799</v>
      </c>
      <c r="Q6938" s="9" t="s">
        <v>75</v>
      </c>
      <c r="R6938" s="14" t="str">
        <f>HYPERLINK("https://my.pitchbook.com?c=135722-89T","View Company Online")</f>
        <v>View Company Online</v>
      </c>
    </row>
    <row r="6939" spans="1:18" hidden="1" x14ac:dyDescent="0.3">
      <c r="A6939" s="15" t="s">
        <v>20800</v>
      </c>
      <c r="B6939" s="15" t="s">
        <v>20801</v>
      </c>
      <c r="C6939" s="18" t="s">
        <v>28</v>
      </c>
      <c r="D6939" s="15" t="s">
        <v>20802</v>
      </c>
      <c r="E6939" s="18" t="s">
        <v>28</v>
      </c>
      <c r="F6939" s="19" t="s">
        <v>28</v>
      </c>
      <c r="G6939" s="19">
        <v>106.93</v>
      </c>
      <c r="H6939" s="19">
        <v>106.93</v>
      </c>
      <c r="I6939" s="18" t="s">
        <v>28</v>
      </c>
      <c r="J6939" s="18" t="s">
        <v>28</v>
      </c>
      <c r="K6939" s="18">
        <v>87.56</v>
      </c>
      <c r="L6939" s="18">
        <v>1.22</v>
      </c>
      <c r="M6939" s="18" t="s">
        <v>28</v>
      </c>
      <c r="N6939" s="17">
        <v>43625</v>
      </c>
      <c r="O6939" s="15" t="s">
        <v>30</v>
      </c>
      <c r="P6939" s="16" t="s">
        <v>20803</v>
      </c>
      <c r="Q6939" s="15" t="s">
        <v>9051</v>
      </c>
      <c r="R6939" s="13" t="str">
        <f>HYPERLINK("https://my.pitchbook.com?c=119569-78T","View Company Online")</f>
        <v>View Company Online</v>
      </c>
    </row>
    <row r="6940" spans="1:18" hidden="1" x14ac:dyDescent="0.3">
      <c r="A6940" s="9" t="s">
        <v>20804</v>
      </c>
      <c r="B6940" s="9" t="s">
        <v>20805</v>
      </c>
      <c r="C6940" s="11" t="s">
        <v>28</v>
      </c>
      <c r="D6940" s="9" t="s">
        <v>20806</v>
      </c>
      <c r="E6940" s="11" t="s">
        <v>28</v>
      </c>
      <c r="F6940" s="10" t="s">
        <v>28</v>
      </c>
      <c r="G6940" s="10" t="s">
        <v>28</v>
      </c>
      <c r="H6940" s="10" t="s">
        <v>28</v>
      </c>
      <c r="I6940" s="11" t="s">
        <v>28</v>
      </c>
      <c r="J6940" s="11" t="s">
        <v>28</v>
      </c>
      <c r="K6940" s="11">
        <v>128.6</v>
      </c>
      <c r="L6940" s="11" t="s">
        <v>28</v>
      </c>
      <c r="M6940" s="11" t="s">
        <v>28</v>
      </c>
      <c r="N6940" s="8">
        <v>43623</v>
      </c>
      <c r="O6940" s="9" t="s">
        <v>30</v>
      </c>
      <c r="P6940" s="12" t="s">
        <v>28</v>
      </c>
      <c r="Q6940" s="9" t="s">
        <v>245</v>
      </c>
      <c r="R6940" s="14" t="str">
        <f>HYPERLINK("https://my.pitchbook.com?c=139436-38T","View Company Online")</f>
        <v>View Company Online</v>
      </c>
    </row>
    <row r="6941" spans="1:18" hidden="1" x14ac:dyDescent="0.3">
      <c r="A6941" s="15" t="s">
        <v>20807</v>
      </c>
      <c r="B6941" s="15" t="s">
        <v>18745</v>
      </c>
      <c r="C6941" s="18" t="s">
        <v>28</v>
      </c>
      <c r="D6941" s="15" t="s">
        <v>18746</v>
      </c>
      <c r="E6941" s="18" t="s">
        <v>28</v>
      </c>
      <c r="F6941" s="19" t="s">
        <v>28</v>
      </c>
      <c r="G6941" s="19">
        <v>1</v>
      </c>
      <c r="H6941" s="19" t="s">
        <v>28</v>
      </c>
      <c r="I6941" s="18" t="s">
        <v>28</v>
      </c>
      <c r="J6941" s="18" t="s">
        <v>28</v>
      </c>
      <c r="K6941" s="18" t="s">
        <v>28</v>
      </c>
      <c r="L6941" s="18" t="s">
        <v>28</v>
      </c>
      <c r="M6941" s="18" t="s">
        <v>28</v>
      </c>
      <c r="N6941" s="17">
        <v>43622</v>
      </c>
      <c r="O6941" s="15" t="s">
        <v>99</v>
      </c>
      <c r="P6941" s="16" t="s">
        <v>11371</v>
      </c>
      <c r="Q6941" s="15" t="s">
        <v>75</v>
      </c>
      <c r="R6941" s="13" t="str">
        <f>HYPERLINK("https://my.pitchbook.com?c=123440-77T","View Company Online")</f>
        <v>View Company Online</v>
      </c>
    </row>
    <row r="6942" spans="1:18" hidden="1" x14ac:dyDescent="0.3">
      <c r="A6942" s="9" t="s">
        <v>20808</v>
      </c>
      <c r="B6942" s="9" t="s">
        <v>20809</v>
      </c>
      <c r="C6942" s="11" t="s">
        <v>28</v>
      </c>
      <c r="D6942" s="9" t="s">
        <v>20810</v>
      </c>
      <c r="E6942" s="11" t="s">
        <v>28</v>
      </c>
      <c r="F6942" s="10" t="s">
        <v>28</v>
      </c>
      <c r="G6942" s="10" t="s">
        <v>28</v>
      </c>
      <c r="H6942" s="10" t="s">
        <v>28</v>
      </c>
      <c r="I6942" s="11" t="s">
        <v>28</v>
      </c>
      <c r="J6942" s="11" t="s">
        <v>28</v>
      </c>
      <c r="K6942" s="11" t="s">
        <v>28</v>
      </c>
      <c r="L6942" s="11" t="s">
        <v>28</v>
      </c>
      <c r="M6942" s="11" t="s">
        <v>28</v>
      </c>
      <c r="N6942" s="8">
        <v>43622</v>
      </c>
      <c r="O6942" s="9" t="s">
        <v>30</v>
      </c>
      <c r="P6942" s="12" t="s">
        <v>20811</v>
      </c>
      <c r="Q6942" s="9" t="s">
        <v>245</v>
      </c>
      <c r="R6942" s="14" t="str">
        <f>HYPERLINK("https://my.pitchbook.com?c=140655-79T","View Company Online")</f>
        <v>View Company Online</v>
      </c>
    </row>
    <row r="6943" spans="1:18" hidden="1" x14ac:dyDescent="0.3">
      <c r="A6943" s="15" t="s">
        <v>20812</v>
      </c>
      <c r="B6943" s="15" t="s">
        <v>16272</v>
      </c>
      <c r="C6943" s="18" t="s">
        <v>28</v>
      </c>
      <c r="D6943" s="15" t="s">
        <v>16273</v>
      </c>
      <c r="E6943" s="18" t="s">
        <v>28</v>
      </c>
      <c r="F6943" s="19" t="s">
        <v>28</v>
      </c>
      <c r="G6943" s="19">
        <v>150</v>
      </c>
      <c r="H6943" s="19">
        <v>1000</v>
      </c>
      <c r="I6943" s="18" t="s">
        <v>28</v>
      </c>
      <c r="J6943" s="18" t="s">
        <v>28</v>
      </c>
      <c r="K6943" s="18" t="s">
        <v>28</v>
      </c>
      <c r="L6943" s="18" t="s">
        <v>28</v>
      </c>
      <c r="M6943" s="18" t="s">
        <v>28</v>
      </c>
      <c r="N6943" s="17">
        <v>43621</v>
      </c>
      <c r="O6943" s="15" t="s">
        <v>79</v>
      </c>
      <c r="P6943" s="16" t="s">
        <v>20813</v>
      </c>
      <c r="Q6943" s="15" t="s">
        <v>5347</v>
      </c>
      <c r="R6943" s="13" t="str">
        <f>HYPERLINK("https://my.pitchbook.com?c=119965-69T","View Company Online")</f>
        <v>View Company Online</v>
      </c>
    </row>
    <row r="6944" spans="1:18" x14ac:dyDescent="0.3">
      <c r="A6944" s="9" t="s">
        <v>20814</v>
      </c>
      <c r="B6944" s="9" t="s">
        <v>11630</v>
      </c>
      <c r="C6944" s="11">
        <v>3.58</v>
      </c>
      <c r="D6944" s="9" t="s">
        <v>20815</v>
      </c>
      <c r="E6944" s="11">
        <v>1415.1</v>
      </c>
      <c r="F6944" s="10">
        <v>8006.43</v>
      </c>
      <c r="G6944" s="10" t="s">
        <v>28</v>
      </c>
      <c r="H6944" s="10">
        <v>10000</v>
      </c>
      <c r="I6944" s="11">
        <v>2237.5500000000002</v>
      </c>
      <c r="J6944" s="11">
        <v>4.47</v>
      </c>
      <c r="K6944" s="11">
        <v>15311.56</v>
      </c>
      <c r="L6944" s="11">
        <v>0.65</v>
      </c>
      <c r="M6944" s="11">
        <v>724.44</v>
      </c>
      <c r="N6944" s="8">
        <v>43620</v>
      </c>
      <c r="O6944" s="9" t="s">
        <v>30</v>
      </c>
      <c r="P6944" s="12" t="s">
        <v>9139</v>
      </c>
      <c r="Q6944" s="9" t="s">
        <v>331</v>
      </c>
      <c r="R6944" s="14" t="str">
        <f>HYPERLINK("https://my.pitchbook.com?c=100921-87T","View Company Online")</f>
        <v>View Company Online</v>
      </c>
    </row>
    <row r="6945" spans="1:18" hidden="1" x14ac:dyDescent="0.3">
      <c r="A6945" s="15" t="s">
        <v>20816</v>
      </c>
      <c r="B6945" s="15" t="s">
        <v>10005</v>
      </c>
      <c r="C6945" s="18" t="s">
        <v>28</v>
      </c>
      <c r="D6945" s="15" t="s">
        <v>10006</v>
      </c>
      <c r="E6945" s="18" t="s">
        <v>28</v>
      </c>
      <c r="F6945" s="19" t="s">
        <v>28</v>
      </c>
      <c r="G6945" s="19">
        <v>231</v>
      </c>
      <c r="H6945" s="19">
        <v>750</v>
      </c>
      <c r="I6945" s="18" t="s">
        <v>28</v>
      </c>
      <c r="J6945" s="18" t="s">
        <v>28</v>
      </c>
      <c r="K6945" s="18" t="s">
        <v>28</v>
      </c>
      <c r="L6945" s="18" t="s">
        <v>28</v>
      </c>
      <c r="M6945" s="18" t="s">
        <v>28</v>
      </c>
      <c r="N6945" s="17">
        <v>43620</v>
      </c>
      <c r="O6945" s="15" t="s">
        <v>79</v>
      </c>
      <c r="P6945" s="16" t="s">
        <v>20817</v>
      </c>
      <c r="Q6945" s="15" t="s">
        <v>696</v>
      </c>
      <c r="R6945" s="13" t="str">
        <f>HYPERLINK("https://my.pitchbook.com?c=119562-04T","View Company Online")</f>
        <v>View Company Online</v>
      </c>
    </row>
    <row r="6946" spans="1:18" hidden="1" x14ac:dyDescent="0.3">
      <c r="A6946" s="9" t="s">
        <v>20818</v>
      </c>
      <c r="B6946" s="9" t="s">
        <v>20819</v>
      </c>
      <c r="C6946" s="11" t="s">
        <v>28</v>
      </c>
      <c r="D6946" s="9" t="s">
        <v>20820</v>
      </c>
      <c r="E6946" s="11" t="s">
        <v>28</v>
      </c>
      <c r="F6946" s="10" t="s">
        <v>28</v>
      </c>
      <c r="G6946" s="10" t="s">
        <v>28</v>
      </c>
      <c r="H6946" s="10" t="s">
        <v>28</v>
      </c>
      <c r="I6946" s="11" t="s">
        <v>28</v>
      </c>
      <c r="J6946" s="11" t="s">
        <v>28</v>
      </c>
      <c r="K6946" s="11" t="s">
        <v>28</v>
      </c>
      <c r="L6946" s="11" t="s">
        <v>28</v>
      </c>
      <c r="M6946" s="11" t="s">
        <v>28</v>
      </c>
      <c r="N6946" s="8">
        <v>43620</v>
      </c>
      <c r="O6946" s="9" t="s">
        <v>30</v>
      </c>
      <c r="P6946" s="12" t="s">
        <v>20821</v>
      </c>
      <c r="Q6946" s="9" t="s">
        <v>583</v>
      </c>
      <c r="R6946" s="14" t="str">
        <f>HYPERLINK("https://my.pitchbook.com?c=212898-97T","View Company Online")</f>
        <v>View Company Online</v>
      </c>
    </row>
    <row r="6947" spans="1:18" hidden="1" x14ac:dyDescent="0.3">
      <c r="A6947" s="15" t="s">
        <v>20822</v>
      </c>
      <c r="B6947" s="15" t="s">
        <v>20823</v>
      </c>
      <c r="C6947" s="18" t="s">
        <v>28</v>
      </c>
      <c r="D6947" s="15" t="s">
        <v>20824</v>
      </c>
      <c r="E6947" s="18" t="s">
        <v>28</v>
      </c>
      <c r="F6947" s="19">
        <v>0.01</v>
      </c>
      <c r="G6947" s="19">
        <v>0.01</v>
      </c>
      <c r="H6947" s="19">
        <v>0.01</v>
      </c>
      <c r="I6947" s="18" t="s">
        <v>28</v>
      </c>
      <c r="J6947" s="18" t="s">
        <v>28</v>
      </c>
      <c r="K6947" s="18" t="s">
        <v>28</v>
      </c>
      <c r="L6947" s="18" t="s">
        <v>28</v>
      </c>
      <c r="M6947" s="18" t="s">
        <v>28</v>
      </c>
      <c r="N6947" s="17">
        <v>43620</v>
      </c>
      <c r="O6947" s="15" t="s">
        <v>30</v>
      </c>
      <c r="P6947" s="16" t="s">
        <v>4196</v>
      </c>
      <c r="Q6947" s="15" t="s">
        <v>75</v>
      </c>
      <c r="R6947" s="13" t="str">
        <f>HYPERLINK("https://my.pitchbook.com?c=136647-28T","View Company Online")</f>
        <v>View Company Online</v>
      </c>
    </row>
    <row r="6948" spans="1:18" hidden="1" x14ac:dyDescent="0.3">
      <c r="A6948" s="9" t="s">
        <v>20825</v>
      </c>
      <c r="B6948" s="9" t="s">
        <v>20826</v>
      </c>
      <c r="C6948" s="11" t="s">
        <v>28</v>
      </c>
      <c r="D6948" s="9" t="s">
        <v>20827</v>
      </c>
      <c r="E6948" s="11" t="s">
        <v>28</v>
      </c>
      <c r="F6948" s="10" t="s">
        <v>28</v>
      </c>
      <c r="G6948" s="10" t="s">
        <v>28</v>
      </c>
      <c r="H6948" s="10" t="s">
        <v>28</v>
      </c>
      <c r="I6948" s="11" t="s">
        <v>28</v>
      </c>
      <c r="J6948" s="11" t="s">
        <v>28</v>
      </c>
      <c r="K6948" s="11" t="s">
        <v>28</v>
      </c>
      <c r="L6948" s="11" t="s">
        <v>28</v>
      </c>
      <c r="M6948" s="11" t="s">
        <v>28</v>
      </c>
      <c r="N6948" s="8">
        <v>43620</v>
      </c>
      <c r="O6948" s="9" t="s">
        <v>73</v>
      </c>
      <c r="P6948" s="12" t="s">
        <v>611</v>
      </c>
      <c r="Q6948" s="9" t="s">
        <v>75</v>
      </c>
      <c r="R6948" s="14" t="str">
        <f>HYPERLINK("https://my.pitchbook.com?c=124746-22T","View Company Online")</f>
        <v>View Company Online</v>
      </c>
    </row>
    <row r="6949" spans="1:18" hidden="1" x14ac:dyDescent="0.3">
      <c r="A6949" s="15" t="s">
        <v>20828</v>
      </c>
      <c r="B6949" s="15" t="s">
        <v>20829</v>
      </c>
      <c r="C6949" s="18" t="s">
        <v>28</v>
      </c>
      <c r="D6949" s="15" t="s">
        <v>20830</v>
      </c>
      <c r="E6949" s="18" t="s">
        <v>28</v>
      </c>
      <c r="F6949" s="19" t="s">
        <v>28</v>
      </c>
      <c r="G6949" s="19" t="s">
        <v>28</v>
      </c>
      <c r="H6949" s="19" t="s">
        <v>28</v>
      </c>
      <c r="I6949" s="18" t="s">
        <v>28</v>
      </c>
      <c r="J6949" s="18" t="s">
        <v>28</v>
      </c>
      <c r="K6949" s="18" t="s">
        <v>28</v>
      </c>
      <c r="L6949" s="18" t="s">
        <v>28</v>
      </c>
      <c r="M6949" s="18" t="s">
        <v>28</v>
      </c>
      <c r="N6949" s="17">
        <v>43620</v>
      </c>
      <c r="O6949" s="15" t="s">
        <v>52</v>
      </c>
      <c r="P6949" s="16" t="s">
        <v>2830</v>
      </c>
      <c r="Q6949" s="15" t="s">
        <v>75</v>
      </c>
      <c r="R6949" s="13" t="str">
        <f>HYPERLINK("https://my.pitchbook.com?c=292156-12T","View Company Online")</f>
        <v>View Company Online</v>
      </c>
    </row>
    <row r="6950" spans="1:18" hidden="1" x14ac:dyDescent="0.3">
      <c r="A6950" s="9" t="s">
        <v>20831</v>
      </c>
      <c r="B6950" s="9" t="s">
        <v>20832</v>
      </c>
      <c r="C6950" s="11" t="s">
        <v>28</v>
      </c>
      <c r="D6950" s="9" t="s">
        <v>20833</v>
      </c>
      <c r="E6950" s="11" t="s">
        <v>28</v>
      </c>
      <c r="F6950" s="10" t="s">
        <v>28</v>
      </c>
      <c r="G6950" s="10">
        <v>0.1</v>
      </c>
      <c r="H6950" s="10" t="s">
        <v>28</v>
      </c>
      <c r="I6950" s="11" t="s">
        <v>28</v>
      </c>
      <c r="J6950" s="11" t="s">
        <v>28</v>
      </c>
      <c r="K6950" s="11" t="s">
        <v>28</v>
      </c>
      <c r="L6950" s="11" t="s">
        <v>28</v>
      </c>
      <c r="M6950" s="11" t="s">
        <v>28</v>
      </c>
      <c r="N6950" s="8">
        <v>43620</v>
      </c>
      <c r="O6950" s="9" t="s">
        <v>52</v>
      </c>
      <c r="P6950" s="12" t="s">
        <v>2915</v>
      </c>
      <c r="Q6950" s="9" t="s">
        <v>75</v>
      </c>
      <c r="R6950" s="14" t="str">
        <f>HYPERLINK("https://my.pitchbook.com?c=215571-70T","View Company Online")</f>
        <v>View Company Online</v>
      </c>
    </row>
    <row r="6951" spans="1:18" hidden="1" x14ac:dyDescent="0.3">
      <c r="A6951" s="15" t="s">
        <v>20834</v>
      </c>
      <c r="B6951" s="15" t="s">
        <v>8513</v>
      </c>
      <c r="C6951" s="18" t="s">
        <v>28</v>
      </c>
      <c r="D6951" s="15" t="s">
        <v>8514</v>
      </c>
      <c r="E6951" s="18" t="s">
        <v>28</v>
      </c>
      <c r="F6951" s="19" t="s">
        <v>28</v>
      </c>
      <c r="G6951" s="19" t="s">
        <v>28</v>
      </c>
      <c r="H6951" s="19" t="s">
        <v>28</v>
      </c>
      <c r="I6951" s="18" t="s">
        <v>28</v>
      </c>
      <c r="J6951" s="18" t="s">
        <v>28</v>
      </c>
      <c r="K6951" s="18" t="s">
        <v>28</v>
      </c>
      <c r="L6951" s="18" t="s">
        <v>28</v>
      </c>
      <c r="M6951" s="18" t="s">
        <v>28</v>
      </c>
      <c r="N6951" s="17">
        <v>43620</v>
      </c>
      <c r="O6951" s="15" t="s">
        <v>52</v>
      </c>
      <c r="P6951" s="16" t="s">
        <v>2830</v>
      </c>
      <c r="Q6951" s="15" t="s">
        <v>75</v>
      </c>
      <c r="R6951" s="13" t="str">
        <f>HYPERLINK("https://my.pitchbook.com?c=264294-19T","View Company Online")</f>
        <v>View Company Online</v>
      </c>
    </row>
    <row r="6952" spans="1:18" hidden="1" x14ac:dyDescent="0.3">
      <c r="A6952" s="9" t="s">
        <v>20835</v>
      </c>
      <c r="B6952" s="9" t="s">
        <v>11191</v>
      </c>
      <c r="C6952" s="11" t="s">
        <v>28</v>
      </c>
      <c r="D6952" s="9" t="s">
        <v>11192</v>
      </c>
      <c r="E6952" s="11" t="s">
        <v>28</v>
      </c>
      <c r="F6952" s="10" t="s">
        <v>28</v>
      </c>
      <c r="G6952" s="10">
        <v>0.01</v>
      </c>
      <c r="H6952" s="10">
        <v>0.01</v>
      </c>
      <c r="I6952" s="11" t="s">
        <v>28</v>
      </c>
      <c r="J6952" s="11" t="s">
        <v>28</v>
      </c>
      <c r="K6952" s="11" t="s">
        <v>28</v>
      </c>
      <c r="L6952" s="11" t="s">
        <v>28</v>
      </c>
      <c r="M6952" s="11" t="s">
        <v>28</v>
      </c>
      <c r="N6952" s="8">
        <v>43620</v>
      </c>
      <c r="O6952" s="9" t="s">
        <v>79</v>
      </c>
      <c r="P6952" s="12" t="s">
        <v>11193</v>
      </c>
      <c r="Q6952" s="9" t="s">
        <v>75</v>
      </c>
      <c r="R6952" s="14" t="str">
        <f>HYPERLINK("https://my.pitchbook.com?c=165598-57T","View Company Online")</f>
        <v>View Company Online</v>
      </c>
    </row>
    <row r="6953" spans="1:18" hidden="1" x14ac:dyDescent="0.3">
      <c r="A6953" s="15" t="s">
        <v>20836</v>
      </c>
      <c r="B6953" s="15" t="s">
        <v>20837</v>
      </c>
      <c r="C6953" s="18" t="s">
        <v>28</v>
      </c>
      <c r="D6953" s="15" t="s">
        <v>20838</v>
      </c>
      <c r="E6953" s="18" t="s">
        <v>28</v>
      </c>
      <c r="F6953" s="19" t="s">
        <v>28</v>
      </c>
      <c r="G6953" s="19" t="s">
        <v>28</v>
      </c>
      <c r="H6953" s="19" t="s">
        <v>28</v>
      </c>
      <c r="I6953" s="18" t="s">
        <v>28</v>
      </c>
      <c r="J6953" s="18" t="s">
        <v>28</v>
      </c>
      <c r="K6953" s="18" t="s">
        <v>28</v>
      </c>
      <c r="L6953" s="18" t="s">
        <v>28</v>
      </c>
      <c r="M6953" s="18" t="s">
        <v>28</v>
      </c>
      <c r="N6953" s="17">
        <v>43619</v>
      </c>
      <c r="O6953" s="15" t="s">
        <v>30</v>
      </c>
      <c r="P6953" s="16" t="s">
        <v>14324</v>
      </c>
      <c r="Q6953" s="15" t="s">
        <v>75</v>
      </c>
      <c r="R6953" s="13" t="str">
        <f>HYPERLINK("https://my.pitchbook.com?c=131063-50T","View Company Online")</f>
        <v>View Company Online</v>
      </c>
    </row>
    <row r="6954" spans="1:18" hidden="1" x14ac:dyDescent="0.3">
      <c r="A6954" s="9" t="s">
        <v>20839</v>
      </c>
      <c r="B6954" s="9" t="s">
        <v>20840</v>
      </c>
      <c r="C6954" s="11" t="s">
        <v>28</v>
      </c>
      <c r="D6954" s="9" t="s">
        <v>20841</v>
      </c>
      <c r="E6954" s="11" t="s">
        <v>28</v>
      </c>
      <c r="F6954" s="10" t="s">
        <v>28</v>
      </c>
      <c r="G6954" s="10" t="s">
        <v>28</v>
      </c>
      <c r="H6954" s="10" t="s">
        <v>28</v>
      </c>
      <c r="I6954" s="11" t="s">
        <v>28</v>
      </c>
      <c r="J6954" s="11" t="s">
        <v>28</v>
      </c>
      <c r="K6954" s="11" t="s">
        <v>28</v>
      </c>
      <c r="L6954" s="11" t="s">
        <v>28</v>
      </c>
      <c r="M6954" s="11" t="s">
        <v>28</v>
      </c>
      <c r="N6954" s="8">
        <v>43619</v>
      </c>
      <c r="O6954" s="9" t="s">
        <v>30</v>
      </c>
      <c r="P6954" s="12" t="s">
        <v>20842</v>
      </c>
      <c r="Q6954" s="9" t="s">
        <v>362</v>
      </c>
      <c r="R6954" s="14" t="str">
        <f>HYPERLINK("https://my.pitchbook.com?c=157498-12T","View Company Online")</f>
        <v>View Company Online</v>
      </c>
    </row>
    <row r="6955" spans="1:18" hidden="1" x14ac:dyDescent="0.3">
      <c r="A6955" s="15" t="s">
        <v>20843</v>
      </c>
      <c r="B6955" s="15" t="s">
        <v>20844</v>
      </c>
      <c r="C6955" s="18" t="s">
        <v>28</v>
      </c>
      <c r="D6955" s="15" t="s">
        <v>20845</v>
      </c>
      <c r="E6955" s="18" t="s">
        <v>28</v>
      </c>
      <c r="F6955" s="19" t="s">
        <v>28</v>
      </c>
      <c r="G6955" s="19" t="s">
        <v>28</v>
      </c>
      <c r="H6955" s="19" t="s">
        <v>28</v>
      </c>
      <c r="I6955" s="18" t="s">
        <v>28</v>
      </c>
      <c r="J6955" s="18" t="s">
        <v>28</v>
      </c>
      <c r="K6955" s="18" t="s">
        <v>28</v>
      </c>
      <c r="L6955" s="18" t="s">
        <v>28</v>
      </c>
      <c r="M6955" s="18" t="s">
        <v>28</v>
      </c>
      <c r="N6955" s="17">
        <v>43619</v>
      </c>
      <c r="O6955" s="15" t="s">
        <v>79</v>
      </c>
      <c r="P6955" s="16" t="s">
        <v>20846</v>
      </c>
      <c r="Q6955" s="15" t="s">
        <v>75</v>
      </c>
      <c r="R6955" s="13" t="str">
        <f>HYPERLINK("https://my.pitchbook.com?c=124756-57T","View Company Online")</f>
        <v>View Company Online</v>
      </c>
    </row>
    <row r="6956" spans="1:18" hidden="1" x14ac:dyDescent="0.3">
      <c r="A6956" s="9" t="s">
        <v>20847</v>
      </c>
      <c r="B6956" s="9" t="s">
        <v>20848</v>
      </c>
      <c r="C6956" s="11" t="s">
        <v>28</v>
      </c>
      <c r="D6956" s="9" t="s">
        <v>20849</v>
      </c>
      <c r="E6956" s="11" t="s">
        <v>28</v>
      </c>
      <c r="F6956" s="10" t="s">
        <v>28</v>
      </c>
      <c r="G6956" s="10" t="s">
        <v>28</v>
      </c>
      <c r="H6956" s="10" t="s">
        <v>28</v>
      </c>
      <c r="I6956" s="11" t="s">
        <v>28</v>
      </c>
      <c r="J6956" s="11" t="s">
        <v>28</v>
      </c>
      <c r="K6956" s="11" t="s">
        <v>28</v>
      </c>
      <c r="L6956" s="11" t="s">
        <v>28</v>
      </c>
      <c r="M6956" s="11" t="s">
        <v>28</v>
      </c>
      <c r="N6956" s="8">
        <v>43617</v>
      </c>
      <c r="O6956" s="9" t="s">
        <v>79</v>
      </c>
      <c r="P6956" s="12" t="s">
        <v>611</v>
      </c>
      <c r="Q6956" s="9" t="s">
        <v>75</v>
      </c>
      <c r="R6956" s="14" t="str">
        <f>HYPERLINK("https://my.pitchbook.com?c=124727-23T","View Company Online")</f>
        <v>View Company Online</v>
      </c>
    </row>
    <row r="6957" spans="1:18" hidden="1" x14ac:dyDescent="0.3">
      <c r="A6957" s="15" t="s">
        <v>20850</v>
      </c>
      <c r="B6957" s="15" t="s">
        <v>20851</v>
      </c>
      <c r="C6957" s="18" t="s">
        <v>28</v>
      </c>
      <c r="D6957" s="15" t="s">
        <v>20852</v>
      </c>
      <c r="E6957" s="18" t="s">
        <v>28</v>
      </c>
      <c r="F6957" s="19" t="s">
        <v>28</v>
      </c>
      <c r="G6957" s="19" t="s">
        <v>28</v>
      </c>
      <c r="H6957" s="19" t="s">
        <v>28</v>
      </c>
      <c r="I6957" s="18" t="s">
        <v>28</v>
      </c>
      <c r="J6957" s="18" t="s">
        <v>28</v>
      </c>
      <c r="K6957" s="18" t="s">
        <v>28</v>
      </c>
      <c r="L6957" s="18" t="s">
        <v>28</v>
      </c>
      <c r="M6957" s="18" t="s">
        <v>28</v>
      </c>
      <c r="N6957" s="17">
        <v>43617</v>
      </c>
      <c r="O6957" s="15" t="s">
        <v>30</v>
      </c>
      <c r="P6957" s="16" t="s">
        <v>28</v>
      </c>
      <c r="Q6957" s="15" t="s">
        <v>64</v>
      </c>
      <c r="R6957" s="13" t="str">
        <f>HYPERLINK("https://my.pitchbook.com?c=160682-59T","View Company Online")</f>
        <v>View Company Online</v>
      </c>
    </row>
    <row r="6958" spans="1:18" hidden="1" x14ac:dyDescent="0.3">
      <c r="A6958" s="9" t="s">
        <v>20853</v>
      </c>
      <c r="B6958" s="9" t="s">
        <v>20854</v>
      </c>
      <c r="C6958" s="11" t="s">
        <v>28</v>
      </c>
      <c r="D6958" s="9" t="s">
        <v>20855</v>
      </c>
      <c r="E6958" s="11" t="s">
        <v>28</v>
      </c>
      <c r="F6958" s="10" t="s">
        <v>28</v>
      </c>
      <c r="G6958" s="10">
        <v>0.48</v>
      </c>
      <c r="H6958" s="10" t="s">
        <v>28</v>
      </c>
      <c r="I6958" s="11" t="s">
        <v>28</v>
      </c>
      <c r="J6958" s="11" t="s">
        <v>28</v>
      </c>
      <c r="K6958" s="11" t="s">
        <v>28</v>
      </c>
      <c r="L6958" s="11" t="s">
        <v>28</v>
      </c>
      <c r="M6958" s="11" t="s">
        <v>28</v>
      </c>
      <c r="N6958" s="8">
        <v>43617</v>
      </c>
      <c r="O6958" s="9" t="s">
        <v>99</v>
      </c>
      <c r="P6958" s="12" t="s">
        <v>28</v>
      </c>
      <c r="Q6958" s="9" t="s">
        <v>105</v>
      </c>
      <c r="R6958" s="14" t="str">
        <f>HYPERLINK("https://my.pitchbook.com?c=125978-86T","View Company Online")</f>
        <v>View Company Online</v>
      </c>
    </row>
    <row r="6959" spans="1:18" hidden="1" x14ac:dyDescent="0.3">
      <c r="A6959" s="15" t="s">
        <v>20856</v>
      </c>
      <c r="B6959" s="15" t="s">
        <v>20857</v>
      </c>
      <c r="C6959" s="18" t="s">
        <v>28</v>
      </c>
      <c r="D6959" s="15" t="s">
        <v>20858</v>
      </c>
      <c r="E6959" s="18" t="s">
        <v>28</v>
      </c>
      <c r="F6959" s="19" t="s">
        <v>28</v>
      </c>
      <c r="G6959" s="19" t="s">
        <v>28</v>
      </c>
      <c r="H6959" s="19" t="s">
        <v>28</v>
      </c>
      <c r="I6959" s="18" t="s">
        <v>28</v>
      </c>
      <c r="J6959" s="18" t="s">
        <v>28</v>
      </c>
      <c r="K6959" s="18" t="s">
        <v>28</v>
      </c>
      <c r="L6959" s="18" t="s">
        <v>28</v>
      </c>
      <c r="M6959" s="18" t="s">
        <v>28</v>
      </c>
      <c r="N6959" s="17">
        <v>43617</v>
      </c>
      <c r="O6959" s="15" t="s">
        <v>73</v>
      </c>
      <c r="P6959" s="16" t="s">
        <v>8788</v>
      </c>
      <c r="Q6959" s="15" t="s">
        <v>75</v>
      </c>
      <c r="R6959" s="13" t="str">
        <f>HYPERLINK("https://my.pitchbook.com?c=122299-03T","View Company Online")</f>
        <v>View Company Online</v>
      </c>
    </row>
    <row r="6960" spans="1:18" hidden="1" x14ac:dyDescent="0.3">
      <c r="A6960" s="9" t="s">
        <v>20859</v>
      </c>
      <c r="B6960" s="9" t="s">
        <v>10413</v>
      </c>
      <c r="C6960" s="11" t="s">
        <v>28</v>
      </c>
      <c r="D6960" s="9" t="s">
        <v>10414</v>
      </c>
      <c r="E6960" s="11" t="s">
        <v>28</v>
      </c>
      <c r="F6960" s="10" t="s">
        <v>28</v>
      </c>
      <c r="G6960" s="10" t="s">
        <v>28</v>
      </c>
      <c r="H6960" s="10" t="s">
        <v>28</v>
      </c>
      <c r="I6960" s="11" t="s">
        <v>28</v>
      </c>
      <c r="J6960" s="11" t="s">
        <v>28</v>
      </c>
      <c r="K6960" s="11" t="s">
        <v>28</v>
      </c>
      <c r="L6960" s="11" t="s">
        <v>28</v>
      </c>
      <c r="M6960" s="11" t="s">
        <v>28</v>
      </c>
      <c r="N6960" s="8">
        <v>43617</v>
      </c>
      <c r="O6960" s="9" t="s">
        <v>73</v>
      </c>
      <c r="P6960" s="12" t="s">
        <v>611</v>
      </c>
      <c r="Q6960" s="9" t="s">
        <v>75</v>
      </c>
      <c r="R6960" s="14" t="str">
        <f>HYPERLINK("https://my.pitchbook.com?c=243417-52T","View Company Online")</f>
        <v>View Company Online</v>
      </c>
    </row>
    <row r="6961" spans="1:18" hidden="1" x14ac:dyDescent="0.3">
      <c r="A6961" s="15" t="s">
        <v>20860</v>
      </c>
      <c r="B6961" s="15" t="s">
        <v>20861</v>
      </c>
      <c r="C6961" s="18" t="s">
        <v>28</v>
      </c>
      <c r="D6961" s="15" t="s">
        <v>20862</v>
      </c>
      <c r="E6961" s="18" t="s">
        <v>28</v>
      </c>
      <c r="F6961" s="19" t="s">
        <v>28</v>
      </c>
      <c r="G6961" s="19" t="s">
        <v>28</v>
      </c>
      <c r="H6961" s="19" t="s">
        <v>28</v>
      </c>
      <c r="I6961" s="18" t="s">
        <v>28</v>
      </c>
      <c r="J6961" s="18" t="s">
        <v>28</v>
      </c>
      <c r="K6961" s="18" t="s">
        <v>28</v>
      </c>
      <c r="L6961" s="18" t="s">
        <v>28</v>
      </c>
      <c r="M6961" s="18" t="s">
        <v>28</v>
      </c>
      <c r="N6961" s="17">
        <v>43617</v>
      </c>
      <c r="O6961" s="15" t="s">
        <v>73</v>
      </c>
      <c r="P6961" s="16" t="s">
        <v>20863</v>
      </c>
      <c r="Q6961" s="15" t="s">
        <v>37</v>
      </c>
      <c r="R6961" s="13" t="str">
        <f>HYPERLINK("https://my.pitchbook.com?c=123802-03T","View Company Online")</f>
        <v>View Company Online</v>
      </c>
    </row>
    <row r="6962" spans="1:18" hidden="1" x14ac:dyDescent="0.3">
      <c r="A6962" s="9" t="s">
        <v>20864</v>
      </c>
      <c r="B6962" s="9" t="s">
        <v>18178</v>
      </c>
      <c r="C6962" s="11" t="s">
        <v>28</v>
      </c>
      <c r="D6962" s="9" t="s">
        <v>18179</v>
      </c>
      <c r="E6962" s="11" t="s">
        <v>28</v>
      </c>
      <c r="F6962" s="10" t="s">
        <v>28</v>
      </c>
      <c r="G6962" s="10" t="s">
        <v>28</v>
      </c>
      <c r="H6962" s="10" t="s">
        <v>28</v>
      </c>
      <c r="I6962" s="11" t="s">
        <v>28</v>
      </c>
      <c r="J6962" s="11" t="s">
        <v>28</v>
      </c>
      <c r="K6962" s="11" t="s">
        <v>28</v>
      </c>
      <c r="L6962" s="11" t="s">
        <v>28</v>
      </c>
      <c r="M6962" s="11" t="s">
        <v>28</v>
      </c>
      <c r="N6962" s="8">
        <v>43617</v>
      </c>
      <c r="O6962" s="9" t="s">
        <v>73</v>
      </c>
      <c r="P6962" s="12" t="s">
        <v>611</v>
      </c>
      <c r="Q6962" s="9" t="s">
        <v>583</v>
      </c>
      <c r="R6962" s="14" t="str">
        <f>HYPERLINK("https://my.pitchbook.com?c=119971-54T","View Company Online")</f>
        <v>View Company Online</v>
      </c>
    </row>
    <row r="6963" spans="1:18" hidden="1" x14ac:dyDescent="0.3">
      <c r="A6963" s="15" t="s">
        <v>20865</v>
      </c>
      <c r="B6963" s="15" t="s">
        <v>20866</v>
      </c>
      <c r="C6963" s="18" t="s">
        <v>28</v>
      </c>
      <c r="D6963" s="15" t="s">
        <v>20867</v>
      </c>
      <c r="E6963" s="18" t="s">
        <v>28</v>
      </c>
      <c r="F6963" s="19" t="s">
        <v>28</v>
      </c>
      <c r="G6963" s="19">
        <v>1</v>
      </c>
      <c r="H6963" s="19">
        <v>11</v>
      </c>
      <c r="I6963" s="18" t="s">
        <v>28</v>
      </c>
      <c r="J6963" s="18" t="s">
        <v>28</v>
      </c>
      <c r="K6963" s="18" t="s">
        <v>28</v>
      </c>
      <c r="L6963" s="18" t="s">
        <v>28</v>
      </c>
      <c r="M6963" s="18" t="s">
        <v>28</v>
      </c>
      <c r="N6963" s="17">
        <v>43617</v>
      </c>
      <c r="O6963" s="15" t="s">
        <v>73</v>
      </c>
      <c r="P6963" s="16" t="s">
        <v>28</v>
      </c>
      <c r="Q6963" s="15" t="s">
        <v>240</v>
      </c>
      <c r="R6963" s="13" t="str">
        <f>HYPERLINK("https://my.pitchbook.com?c=120430-27T","View Company Online")</f>
        <v>View Company Online</v>
      </c>
    </row>
    <row r="6964" spans="1:18" hidden="1" x14ac:dyDescent="0.3">
      <c r="A6964" s="9" t="s">
        <v>20868</v>
      </c>
      <c r="B6964" s="9" t="s">
        <v>20869</v>
      </c>
      <c r="C6964" s="11" t="s">
        <v>28</v>
      </c>
      <c r="D6964" s="9" t="s">
        <v>20870</v>
      </c>
      <c r="E6964" s="11" t="s">
        <v>28</v>
      </c>
      <c r="F6964" s="10" t="s">
        <v>28</v>
      </c>
      <c r="G6964" s="10" t="s">
        <v>28</v>
      </c>
      <c r="H6964" s="10" t="s">
        <v>28</v>
      </c>
      <c r="I6964" s="11" t="s">
        <v>28</v>
      </c>
      <c r="J6964" s="11" t="s">
        <v>28</v>
      </c>
      <c r="K6964" s="11" t="s">
        <v>28</v>
      </c>
      <c r="L6964" s="11" t="s">
        <v>28</v>
      </c>
      <c r="M6964" s="11" t="s">
        <v>28</v>
      </c>
      <c r="N6964" s="8">
        <v>43617</v>
      </c>
      <c r="O6964" s="9" t="s">
        <v>30</v>
      </c>
      <c r="P6964" s="12" t="s">
        <v>20871</v>
      </c>
      <c r="Q6964" s="9" t="s">
        <v>880</v>
      </c>
      <c r="R6964" s="14" t="str">
        <f>HYPERLINK("https://my.pitchbook.com?c=125610-04T","View Company Online")</f>
        <v>View Company Online</v>
      </c>
    </row>
    <row r="6965" spans="1:18" hidden="1" x14ac:dyDescent="0.3">
      <c r="A6965" s="15" t="s">
        <v>20872</v>
      </c>
      <c r="B6965" s="15" t="s">
        <v>20873</v>
      </c>
      <c r="C6965" s="18" t="s">
        <v>28</v>
      </c>
      <c r="D6965" s="15" t="s">
        <v>20874</v>
      </c>
      <c r="E6965" s="18" t="s">
        <v>28</v>
      </c>
      <c r="F6965" s="19" t="s">
        <v>28</v>
      </c>
      <c r="G6965" s="19" t="s">
        <v>28</v>
      </c>
      <c r="H6965" s="19" t="s">
        <v>28</v>
      </c>
      <c r="I6965" s="18" t="s">
        <v>28</v>
      </c>
      <c r="J6965" s="18" t="s">
        <v>28</v>
      </c>
      <c r="K6965" s="18" t="s">
        <v>28</v>
      </c>
      <c r="L6965" s="18" t="s">
        <v>28</v>
      </c>
      <c r="M6965" s="18" t="s">
        <v>28</v>
      </c>
      <c r="N6965" s="17">
        <v>43617</v>
      </c>
      <c r="O6965" s="15" t="s">
        <v>41</v>
      </c>
      <c r="P6965" s="16" t="s">
        <v>20875</v>
      </c>
      <c r="Q6965" s="15" t="s">
        <v>1035</v>
      </c>
      <c r="R6965" s="13" t="str">
        <f>HYPERLINK("https://my.pitchbook.com?c=130245-04T","View Company Online")</f>
        <v>View Company Online</v>
      </c>
    </row>
    <row r="6966" spans="1:18" hidden="1" x14ac:dyDescent="0.3">
      <c r="A6966" s="9" t="s">
        <v>20876</v>
      </c>
      <c r="B6966" s="9" t="s">
        <v>1222</v>
      </c>
      <c r="C6966" s="11" t="s">
        <v>28</v>
      </c>
      <c r="D6966" s="9" t="s">
        <v>1223</v>
      </c>
      <c r="E6966" s="11" t="s">
        <v>28</v>
      </c>
      <c r="F6966" s="10" t="s">
        <v>28</v>
      </c>
      <c r="G6966" s="10" t="s">
        <v>28</v>
      </c>
      <c r="H6966" s="10" t="s">
        <v>28</v>
      </c>
      <c r="I6966" s="11" t="s">
        <v>28</v>
      </c>
      <c r="J6966" s="11" t="s">
        <v>28</v>
      </c>
      <c r="K6966" s="11" t="s">
        <v>28</v>
      </c>
      <c r="L6966" s="11" t="s">
        <v>28</v>
      </c>
      <c r="M6966" s="11" t="s">
        <v>28</v>
      </c>
      <c r="N6966" s="8">
        <v>43617</v>
      </c>
      <c r="O6966" s="9" t="s">
        <v>73</v>
      </c>
      <c r="P6966" s="12" t="s">
        <v>28</v>
      </c>
      <c r="Q6966" s="9" t="s">
        <v>75</v>
      </c>
      <c r="R6966" s="14" t="str">
        <f>HYPERLINK("https://my.pitchbook.com?c=160768-36T","View Company Online")</f>
        <v>View Company Online</v>
      </c>
    </row>
    <row r="6967" spans="1:18" hidden="1" x14ac:dyDescent="0.3">
      <c r="A6967" s="15" t="s">
        <v>20877</v>
      </c>
      <c r="B6967" s="15" t="s">
        <v>20878</v>
      </c>
      <c r="C6967" s="18" t="s">
        <v>28</v>
      </c>
      <c r="D6967" s="15" t="s">
        <v>20879</v>
      </c>
      <c r="E6967" s="18" t="s">
        <v>28</v>
      </c>
      <c r="F6967" s="19" t="s">
        <v>28</v>
      </c>
      <c r="G6967" s="19" t="s">
        <v>28</v>
      </c>
      <c r="H6967" s="19" t="s">
        <v>28</v>
      </c>
      <c r="I6967" s="18" t="s">
        <v>28</v>
      </c>
      <c r="J6967" s="18" t="s">
        <v>28</v>
      </c>
      <c r="K6967" s="18" t="s">
        <v>28</v>
      </c>
      <c r="L6967" s="18" t="s">
        <v>28</v>
      </c>
      <c r="M6967" s="18" t="s">
        <v>28</v>
      </c>
      <c r="N6967" s="17">
        <v>43617</v>
      </c>
      <c r="O6967" s="15" t="s">
        <v>99</v>
      </c>
      <c r="P6967" s="16" t="s">
        <v>17764</v>
      </c>
      <c r="Q6967" s="15" t="s">
        <v>75</v>
      </c>
      <c r="R6967" s="13" t="str">
        <f>HYPERLINK("https://my.pitchbook.com?c=123247-00T","View Company Online")</f>
        <v>View Company Online</v>
      </c>
    </row>
    <row r="6968" spans="1:18" hidden="1" x14ac:dyDescent="0.3">
      <c r="A6968" s="9" t="s">
        <v>20880</v>
      </c>
      <c r="B6968" s="9" t="s">
        <v>17577</v>
      </c>
      <c r="C6968" s="11" t="s">
        <v>28</v>
      </c>
      <c r="D6968" s="9" t="s">
        <v>17578</v>
      </c>
      <c r="E6968" s="11" t="s">
        <v>28</v>
      </c>
      <c r="F6968" s="10" t="s">
        <v>28</v>
      </c>
      <c r="G6968" s="10">
        <v>0.47</v>
      </c>
      <c r="H6968" s="10" t="s">
        <v>28</v>
      </c>
      <c r="I6968" s="11" t="s">
        <v>28</v>
      </c>
      <c r="J6968" s="11" t="s">
        <v>28</v>
      </c>
      <c r="K6968" s="11" t="s">
        <v>28</v>
      </c>
      <c r="L6968" s="11" t="s">
        <v>28</v>
      </c>
      <c r="M6968" s="11" t="s">
        <v>28</v>
      </c>
      <c r="N6968" s="8">
        <v>43617</v>
      </c>
      <c r="O6968" s="9" t="s">
        <v>47</v>
      </c>
      <c r="P6968" s="12" t="s">
        <v>20881</v>
      </c>
      <c r="Q6968" s="9" t="s">
        <v>105</v>
      </c>
      <c r="R6968" s="14" t="str">
        <f>HYPERLINK("https://my.pitchbook.com?c=158248-72T","View Company Online")</f>
        <v>View Company Online</v>
      </c>
    </row>
    <row r="6969" spans="1:18" hidden="1" x14ac:dyDescent="0.3">
      <c r="A6969" s="15" t="s">
        <v>20882</v>
      </c>
      <c r="B6969" s="15" t="s">
        <v>15301</v>
      </c>
      <c r="C6969" s="18" t="s">
        <v>28</v>
      </c>
      <c r="D6969" s="15" t="s">
        <v>15302</v>
      </c>
      <c r="E6969" s="18" t="s">
        <v>28</v>
      </c>
      <c r="F6969" s="19" t="s">
        <v>28</v>
      </c>
      <c r="G6969" s="19" t="s">
        <v>28</v>
      </c>
      <c r="H6969" s="19" t="s">
        <v>28</v>
      </c>
      <c r="I6969" s="18" t="s">
        <v>28</v>
      </c>
      <c r="J6969" s="18" t="s">
        <v>28</v>
      </c>
      <c r="K6969" s="18" t="s">
        <v>28</v>
      </c>
      <c r="L6969" s="18" t="s">
        <v>28</v>
      </c>
      <c r="M6969" s="18" t="s">
        <v>28</v>
      </c>
      <c r="N6969" s="17">
        <v>43617</v>
      </c>
      <c r="O6969" s="15" t="s">
        <v>52</v>
      </c>
      <c r="P6969" s="16" t="s">
        <v>8092</v>
      </c>
      <c r="Q6969" s="15" t="s">
        <v>75</v>
      </c>
      <c r="R6969" s="13" t="str">
        <f>HYPERLINK("https://my.pitchbook.com?c=212075-47T","View Company Online")</f>
        <v>View Company Online</v>
      </c>
    </row>
    <row r="6970" spans="1:18" hidden="1" x14ac:dyDescent="0.3">
      <c r="A6970" s="9" t="s">
        <v>20883</v>
      </c>
      <c r="B6970" s="9" t="s">
        <v>14374</v>
      </c>
      <c r="C6970" s="11" t="s">
        <v>28</v>
      </c>
      <c r="D6970" s="9" t="s">
        <v>14693</v>
      </c>
      <c r="E6970" s="11">
        <v>155.31</v>
      </c>
      <c r="F6970" s="10" t="s">
        <v>28</v>
      </c>
      <c r="G6970" s="10">
        <v>124.92</v>
      </c>
      <c r="H6970" s="10" t="s">
        <v>28</v>
      </c>
      <c r="I6970" s="11">
        <v>225.31</v>
      </c>
      <c r="J6970" s="11" t="s">
        <v>28</v>
      </c>
      <c r="K6970" s="11">
        <v>365.49</v>
      </c>
      <c r="L6970" s="11" t="s">
        <v>28</v>
      </c>
      <c r="M6970" s="11">
        <v>94.89</v>
      </c>
      <c r="N6970" s="8">
        <v>43616</v>
      </c>
      <c r="O6970" s="9" t="s">
        <v>93</v>
      </c>
      <c r="P6970" s="12" t="s">
        <v>20884</v>
      </c>
      <c r="Q6970" s="9" t="s">
        <v>1068</v>
      </c>
      <c r="R6970" s="14" t="str">
        <f>HYPERLINK("https://my.pitchbook.com?c=156768-85T","View Company Online")</f>
        <v>View Company Online</v>
      </c>
    </row>
    <row r="6971" spans="1:18" hidden="1" x14ac:dyDescent="0.3">
      <c r="A6971" s="15" t="s">
        <v>20885</v>
      </c>
      <c r="B6971" s="15" t="s">
        <v>20886</v>
      </c>
      <c r="C6971" s="18" t="s">
        <v>28</v>
      </c>
      <c r="D6971" s="15" t="s">
        <v>20887</v>
      </c>
      <c r="E6971" s="18" t="s">
        <v>28</v>
      </c>
      <c r="F6971" s="19" t="s">
        <v>28</v>
      </c>
      <c r="G6971" s="19" t="s">
        <v>28</v>
      </c>
      <c r="H6971" s="19" t="s">
        <v>28</v>
      </c>
      <c r="I6971" s="18" t="s">
        <v>28</v>
      </c>
      <c r="J6971" s="18" t="s">
        <v>28</v>
      </c>
      <c r="K6971" s="18" t="s">
        <v>28</v>
      </c>
      <c r="L6971" s="18" t="s">
        <v>28</v>
      </c>
      <c r="M6971" s="18" t="s">
        <v>28</v>
      </c>
      <c r="N6971" s="17">
        <v>43614</v>
      </c>
      <c r="O6971" s="15" t="s">
        <v>52</v>
      </c>
      <c r="P6971" s="16" t="s">
        <v>20888</v>
      </c>
      <c r="Q6971" s="15" t="s">
        <v>386</v>
      </c>
      <c r="R6971" s="13" t="str">
        <f>HYPERLINK("https://my.pitchbook.com?c=153773-02T","View Company Online")</f>
        <v>View Company Online</v>
      </c>
    </row>
    <row r="6972" spans="1:18" hidden="1" x14ac:dyDescent="0.3">
      <c r="A6972" s="9" t="s">
        <v>20889</v>
      </c>
      <c r="B6972" s="9" t="s">
        <v>15061</v>
      </c>
      <c r="C6972" s="11" t="s">
        <v>28</v>
      </c>
      <c r="D6972" s="9" t="s">
        <v>20890</v>
      </c>
      <c r="E6972" s="11">
        <v>-0.14000000000000001</v>
      </c>
      <c r="F6972" s="10" t="s">
        <v>28</v>
      </c>
      <c r="G6972" s="10" t="s">
        <v>28</v>
      </c>
      <c r="H6972" s="10" t="s">
        <v>28</v>
      </c>
      <c r="I6972" s="11">
        <v>-0.14000000000000001</v>
      </c>
      <c r="J6972" s="11" t="s">
        <v>28</v>
      </c>
      <c r="K6972" s="11">
        <v>0.05</v>
      </c>
      <c r="L6972" s="11" t="s">
        <v>28</v>
      </c>
      <c r="M6972" s="11">
        <v>-0.14000000000000001</v>
      </c>
      <c r="N6972" s="8">
        <v>43614</v>
      </c>
      <c r="O6972" s="9" t="s">
        <v>173</v>
      </c>
      <c r="P6972" s="12" t="s">
        <v>28</v>
      </c>
      <c r="Q6972" s="9" t="s">
        <v>399</v>
      </c>
      <c r="R6972" s="14" t="str">
        <f>HYPERLINK("https://my.pitchbook.com?c=220981-51T","View Company Online")</f>
        <v>View Company Online</v>
      </c>
    </row>
    <row r="6973" spans="1:18" hidden="1" x14ac:dyDescent="0.3">
      <c r="A6973" s="15" t="s">
        <v>20891</v>
      </c>
      <c r="B6973" s="15" t="s">
        <v>20892</v>
      </c>
      <c r="C6973" s="18" t="s">
        <v>28</v>
      </c>
      <c r="D6973" s="15" t="s">
        <v>20893</v>
      </c>
      <c r="E6973" s="18" t="s">
        <v>28</v>
      </c>
      <c r="F6973" s="19">
        <v>101.31</v>
      </c>
      <c r="G6973" s="19">
        <v>101.31</v>
      </c>
      <c r="H6973" s="19">
        <v>101.31</v>
      </c>
      <c r="I6973" s="18" t="s">
        <v>28</v>
      </c>
      <c r="J6973" s="18" t="s">
        <v>28</v>
      </c>
      <c r="K6973" s="18" t="s">
        <v>28</v>
      </c>
      <c r="L6973" s="18" t="s">
        <v>28</v>
      </c>
      <c r="M6973" s="18" t="s">
        <v>28</v>
      </c>
      <c r="N6973" s="17">
        <v>43613</v>
      </c>
      <c r="O6973" s="15" t="s">
        <v>30</v>
      </c>
      <c r="P6973" s="16" t="s">
        <v>6802</v>
      </c>
      <c r="Q6973" s="15" t="s">
        <v>348</v>
      </c>
      <c r="R6973" s="13" t="str">
        <f>HYPERLINK("https://my.pitchbook.com?c=216225-10T","View Company Online")</f>
        <v>View Company Online</v>
      </c>
    </row>
    <row r="6974" spans="1:18" hidden="1" x14ac:dyDescent="0.3">
      <c r="A6974" s="9" t="s">
        <v>20894</v>
      </c>
      <c r="B6974" s="9" t="s">
        <v>9553</v>
      </c>
      <c r="C6974" s="11" t="s">
        <v>28</v>
      </c>
      <c r="D6974" s="9" t="s">
        <v>9554</v>
      </c>
      <c r="E6974" s="11" t="s">
        <v>28</v>
      </c>
      <c r="F6974" s="10" t="s">
        <v>28</v>
      </c>
      <c r="G6974" s="10" t="s">
        <v>28</v>
      </c>
      <c r="H6974" s="10" t="s">
        <v>28</v>
      </c>
      <c r="I6974" s="11" t="s">
        <v>28</v>
      </c>
      <c r="J6974" s="11" t="s">
        <v>28</v>
      </c>
      <c r="K6974" s="11" t="s">
        <v>28</v>
      </c>
      <c r="L6974" s="11" t="s">
        <v>28</v>
      </c>
      <c r="M6974" s="11" t="s">
        <v>28</v>
      </c>
      <c r="N6974" s="8">
        <v>43613</v>
      </c>
      <c r="O6974" s="9" t="s">
        <v>52</v>
      </c>
      <c r="P6974" s="12" t="s">
        <v>20895</v>
      </c>
      <c r="Q6974" s="9" t="s">
        <v>607</v>
      </c>
      <c r="R6974" s="14" t="str">
        <f>HYPERLINK("https://my.pitchbook.com?c=295802-74T","View Company Online")</f>
        <v>View Company Online</v>
      </c>
    </row>
    <row r="6975" spans="1:18" hidden="1" x14ac:dyDescent="0.3">
      <c r="A6975" s="15" t="s">
        <v>20896</v>
      </c>
      <c r="B6975" s="15" t="s">
        <v>20897</v>
      </c>
      <c r="C6975" s="18" t="s">
        <v>28</v>
      </c>
      <c r="D6975" s="15" t="s">
        <v>20898</v>
      </c>
      <c r="E6975" s="18" t="s">
        <v>28</v>
      </c>
      <c r="F6975" s="19" t="s">
        <v>28</v>
      </c>
      <c r="G6975" s="19">
        <v>0.4</v>
      </c>
      <c r="H6975" s="19" t="s">
        <v>28</v>
      </c>
      <c r="I6975" s="18" t="s">
        <v>28</v>
      </c>
      <c r="J6975" s="18" t="s">
        <v>28</v>
      </c>
      <c r="K6975" s="18" t="s">
        <v>28</v>
      </c>
      <c r="L6975" s="18" t="s">
        <v>28</v>
      </c>
      <c r="M6975" s="18" t="s">
        <v>28</v>
      </c>
      <c r="N6975" s="17">
        <v>43613</v>
      </c>
      <c r="O6975" s="15" t="s">
        <v>9098</v>
      </c>
      <c r="P6975" s="16" t="s">
        <v>28</v>
      </c>
      <c r="Q6975" s="15" t="s">
        <v>583</v>
      </c>
      <c r="R6975" s="13" t="str">
        <f>HYPERLINK("https://my.pitchbook.com?c=207255-70T","View Company Online")</f>
        <v>View Company Online</v>
      </c>
    </row>
    <row r="6976" spans="1:18" hidden="1" x14ac:dyDescent="0.3">
      <c r="A6976" s="9" t="s">
        <v>20899</v>
      </c>
      <c r="B6976" s="9" t="s">
        <v>19860</v>
      </c>
      <c r="C6976" s="11" t="s">
        <v>28</v>
      </c>
      <c r="D6976" s="9" t="s">
        <v>19861</v>
      </c>
      <c r="E6976" s="11" t="s">
        <v>28</v>
      </c>
      <c r="F6976" s="10" t="s">
        <v>28</v>
      </c>
      <c r="G6976" s="10" t="s">
        <v>28</v>
      </c>
      <c r="H6976" s="10" t="s">
        <v>28</v>
      </c>
      <c r="I6976" s="11" t="s">
        <v>28</v>
      </c>
      <c r="J6976" s="11" t="s">
        <v>28</v>
      </c>
      <c r="K6976" s="11" t="s">
        <v>28</v>
      </c>
      <c r="L6976" s="11" t="s">
        <v>28</v>
      </c>
      <c r="M6976" s="11" t="s">
        <v>28</v>
      </c>
      <c r="N6976" s="8">
        <v>43613</v>
      </c>
      <c r="O6976" s="9" t="s">
        <v>73</v>
      </c>
      <c r="P6976" s="12" t="s">
        <v>611</v>
      </c>
      <c r="Q6976" s="9" t="s">
        <v>5347</v>
      </c>
      <c r="R6976" s="14" t="str">
        <f>HYPERLINK("https://my.pitchbook.com?c=124762-51T","View Company Online")</f>
        <v>View Company Online</v>
      </c>
    </row>
    <row r="6977" spans="1:18" hidden="1" x14ac:dyDescent="0.3">
      <c r="A6977" s="15" t="s">
        <v>20900</v>
      </c>
      <c r="B6977" s="15" t="s">
        <v>15800</v>
      </c>
      <c r="C6977" s="18" t="s">
        <v>28</v>
      </c>
      <c r="D6977" s="15" t="s">
        <v>15801</v>
      </c>
      <c r="E6977" s="18" t="s">
        <v>28</v>
      </c>
      <c r="F6977" s="19" t="s">
        <v>28</v>
      </c>
      <c r="G6977" s="19" t="s">
        <v>28</v>
      </c>
      <c r="H6977" s="19" t="s">
        <v>28</v>
      </c>
      <c r="I6977" s="18" t="s">
        <v>28</v>
      </c>
      <c r="J6977" s="18" t="s">
        <v>28</v>
      </c>
      <c r="K6977" s="18" t="s">
        <v>28</v>
      </c>
      <c r="L6977" s="18" t="s">
        <v>28</v>
      </c>
      <c r="M6977" s="18" t="s">
        <v>28</v>
      </c>
      <c r="N6977" s="17">
        <v>43613</v>
      </c>
      <c r="O6977" s="15" t="s">
        <v>99</v>
      </c>
      <c r="P6977" s="16" t="s">
        <v>611</v>
      </c>
      <c r="Q6977" s="15" t="s">
        <v>75</v>
      </c>
      <c r="R6977" s="13" t="str">
        <f>HYPERLINK("https://my.pitchbook.com?c=119971-72T","View Company Online")</f>
        <v>View Company Online</v>
      </c>
    </row>
    <row r="6978" spans="1:18" hidden="1" x14ac:dyDescent="0.3">
      <c r="A6978" s="9" t="s">
        <v>20901</v>
      </c>
      <c r="B6978" s="9" t="s">
        <v>20902</v>
      </c>
      <c r="C6978" s="11" t="s">
        <v>28</v>
      </c>
      <c r="D6978" s="9" t="s">
        <v>20903</v>
      </c>
      <c r="E6978" s="11" t="s">
        <v>28</v>
      </c>
      <c r="F6978" s="10" t="s">
        <v>28</v>
      </c>
      <c r="G6978" s="10" t="s">
        <v>28</v>
      </c>
      <c r="H6978" s="10" t="s">
        <v>28</v>
      </c>
      <c r="I6978" s="11" t="s">
        <v>28</v>
      </c>
      <c r="J6978" s="11" t="s">
        <v>28</v>
      </c>
      <c r="K6978" s="11" t="s">
        <v>28</v>
      </c>
      <c r="L6978" s="11" t="s">
        <v>28</v>
      </c>
      <c r="M6978" s="11" t="s">
        <v>28</v>
      </c>
      <c r="N6978" s="8">
        <v>43612</v>
      </c>
      <c r="O6978" s="9" t="s">
        <v>30</v>
      </c>
      <c r="P6978" s="12" t="s">
        <v>2199</v>
      </c>
      <c r="Q6978" s="9" t="s">
        <v>75</v>
      </c>
      <c r="R6978" s="14" t="str">
        <f>HYPERLINK("https://my.pitchbook.com?c=136344-52T","View Company Online")</f>
        <v>View Company Online</v>
      </c>
    </row>
    <row r="6979" spans="1:18" hidden="1" x14ac:dyDescent="0.3">
      <c r="A6979" s="15" t="s">
        <v>20904</v>
      </c>
      <c r="B6979" s="15" t="s">
        <v>20905</v>
      </c>
      <c r="C6979" s="18" t="s">
        <v>28</v>
      </c>
      <c r="D6979" s="15" t="s">
        <v>20906</v>
      </c>
      <c r="E6979" s="18" t="s">
        <v>28</v>
      </c>
      <c r="F6979" s="19" t="s">
        <v>28</v>
      </c>
      <c r="G6979" s="19" t="s">
        <v>28</v>
      </c>
      <c r="H6979" s="19" t="s">
        <v>28</v>
      </c>
      <c r="I6979" s="18" t="s">
        <v>28</v>
      </c>
      <c r="J6979" s="18" t="s">
        <v>28</v>
      </c>
      <c r="K6979" s="18" t="s">
        <v>28</v>
      </c>
      <c r="L6979" s="18" t="s">
        <v>28</v>
      </c>
      <c r="M6979" s="18" t="s">
        <v>28</v>
      </c>
      <c r="N6979" s="17">
        <v>43609</v>
      </c>
      <c r="O6979" s="15" t="s">
        <v>30</v>
      </c>
      <c r="P6979" s="16" t="s">
        <v>357</v>
      </c>
      <c r="Q6979" s="15" t="s">
        <v>75</v>
      </c>
      <c r="R6979" s="13" t="str">
        <f>HYPERLINK("https://my.pitchbook.com?c=277966-90T","View Company Online")</f>
        <v>View Company Online</v>
      </c>
    </row>
    <row r="6980" spans="1:18" hidden="1" x14ac:dyDescent="0.3">
      <c r="A6980" s="9" t="s">
        <v>20907</v>
      </c>
      <c r="B6980" s="9" t="s">
        <v>20908</v>
      </c>
      <c r="C6980" s="11" t="s">
        <v>28</v>
      </c>
      <c r="D6980" s="9" t="s">
        <v>20909</v>
      </c>
      <c r="E6980" s="11" t="s">
        <v>28</v>
      </c>
      <c r="F6980" s="10" t="s">
        <v>28</v>
      </c>
      <c r="G6980" s="10">
        <v>0.02</v>
      </c>
      <c r="H6980" s="10" t="s">
        <v>28</v>
      </c>
      <c r="I6980" s="11" t="s">
        <v>28</v>
      </c>
      <c r="J6980" s="11" t="s">
        <v>28</v>
      </c>
      <c r="K6980" s="11" t="s">
        <v>28</v>
      </c>
      <c r="L6980" s="11" t="s">
        <v>28</v>
      </c>
      <c r="M6980" s="11" t="s">
        <v>28</v>
      </c>
      <c r="N6980" s="8">
        <v>43609</v>
      </c>
      <c r="O6980" s="9" t="s">
        <v>1639</v>
      </c>
      <c r="P6980" s="12" t="s">
        <v>28</v>
      </c>
      <c r="Q6980" s="9" t="s">
        <v>249</v>
      </c>
      <c r="R6980" s="14" t="str">
        <f>HYPERLINK("https://my.pitchbook.com?c=256456-72T","View Company Online")</f>
        <v>View Company Online</v>
      </c>
    </row>
    <row r="6981" spans="1:18" hidden="1" x14ac:dyDescent="0.3">
      <c r="A6981" s="15" t="s">
        <v>20910</v>
      </c>
      <c r="B6981" s="15" t="s">
        <v>20911</v>
      </c>
      <c r="C6981" s="18" t="s">
        <v>28</v>
      </c>
      <c r="D6981" s="15" t="s">
        <v>20912</v>
      </c>
      <c r="E6981" s="18" t="s">
        <v>28</v>
      </c>
      <c r="F6981" s="19" t="s">
        <v>28</v>
      </c>
      <c r="G6981" s="19" t="s">
        <v>28</v>
      </c>
      <c r="H6981" s="19" t="s">
        <v>28</v>
      </c>
      <c r="I6981" s="18" t="s">
        <v>28</v>
      </c>
      <c r="J6981" s="18" t="s">
        <v>28</v>
      </c>
      <c r="K6981" s="18" t="s">
        <v>28</v>
      </c>
      <c r="L6981" s="18" t="s">
        <v>28</v>
      </c>
      <c r="M6981" s="18" t="s">
        <v>28</v>
      </c>
      <c r="N6981" s="17">
        <v>43609</v>
      </c>
      <c r="O6981" s="15" t="s">
        <v>30</v>
      </c>
      <c r="P6981" s="16" t="s">
        <v>20913</v>
      </c>
      <c r="Q6981" s="15" t="s">
        <v>880</v>
      </c>
      <c r="R6981" s="13" t="str">
        <f>HYPERLINK("https://my.pitchbook.com?c=216237-25T","View Company Online")</f>
        <v>View Company Online</v>
      </c>
    </row>
    <row r="6982" spans="1:18" hidden="1" x14ac:dyDescent="0.3">
      <c r="A6982" s="9" t="s">
        <v>20914</v>
      </c>
      <c r="B6982" s="9" t="s">
        <v>20915</v>
      </c>
      <c r="C6982" s="11" t="s">
        <v>28</v>
      </c>
      <c r="D6982" s="9" t="s">
        <v>20916</v>
      </c>
      <c r="E6982" s="11" t="s">
        <v>28</v>
      </c>
      <c r="F6982" s="10" t="s">
        <v>28</v>
      </c>
      <c r="G6982" s="10" t="s">
        <v>28</v>
      </c>
      <c r="H6982" s="10" t="s">
        <v>28</v>
      </c>
      <c r="I6982" s="11" t="s">
        <v>28</v>
      </c>
      <c r="J6982" s="11" t="s">
        <v>28</v>
      </c>
      <c r="K6982" s="11" t="s">
        <v>28</v>
      </c>
      <c r="L6982" s="11" t="s">
        <v>28</v>
      </c>
      <c r="M6982" s="11" t="s">
        <v>28</v>
      </c>
      <c r="N6982" s="8">
        <v>43608</v>
      </c>
      <c r="O6982" s="9" t="s">
        <v>41</v>
      </c>
      <c r="P6982" s="12" t="s">
        <v>20917</v>
      </c>
      <c r="Q6982" s="9" t="s">
        <v>880</v>
      </c>
      <c r="R6982" s="14" t="str">
        <f>HYPERLINK("https://my.pitchbook.com?c=119491-57T","View Company Online")</f>
        <v>View Company Online</v>
      </c>
    </row>
    <row r="6983" spans="1:18" hidden="1" x14ac:dyDescent="0.3">
      <c r="A6983" s="15" t="s">
        <v>20918</v>
      </c>
      <c r="B6983" s="15" t="s">
        <v>19509</v>
      </c>
      <c r="C6983" s="18" t="s">
        <v>28</v>
      </c>
      <c r="D6983" s="15" t="s">
        <v>19510</v>
      </c>
      <c r="E6983" s="18" t="s">
        <v>28</v>
      </c>
      <c r="F6983" s="19" t="s">
        <v>28</v>
      </c>
      <c r="G6983" s="19" t="s">
        <v>28</v>
      </c>
      <c r="H6983" s="19" t="s">
        <v>28</v>
      </c>
      <c r="I6983" s="18" t="s">
        <v>28</v>
      </c>
      <c r="J6983" s="18" t="s">
        <v>28</v>
      </c>
      <c r="K6983" s="18" t="s">
        <v>28</v>
      </c>
      <c r="L6983" s="18" t="s">
        <v>28</v>
      </c>
      <c r="M6983" s="18" t="s">
        <v>28</v>
      </c>
      <c r="N6983" s="17">
        <v>43608</v>
      </c>
      <c r="O6983" s="15" t="s">
        <v>52</v>
      </c>
      <c r="P6983" s="16" t="s">
        <v>20919</v>
      </c>
      <c r="Q6983" s="15" t="s">
        <v>75</v>
      </c>
      <c r="R6983" s="13" t="str">
        <f>HYPERLINK("https://my.pitchbook.com?c=127512-64T","View Company Online")</f>
        <v>View Company Online</v>
      </c>
    </row>
    <row r="6984" spans="1:18" hidden="1" x14ac:dyDescent="0.3">
      <c r="A6984" s="9" t="s">
        <v>20920</v>
      </c>
      <c r="B6984" s="9" t="s">
        <v>20921</v>
      </c>
      <c r="C6984" s="11" t="s">
        <v>28</v>
      </c>
      <c r="D6984" s="9" t="s">
        <v>20922</v>
      </c>
      <c r="E6984" s="11" t="s">
        <v>28</v>
      </c>
      <c r="F6984" s="10">
        <v>226.46</v>
      </c>
      <c r="G6984" s="10">
        <v>200.8</v>
      </c>
      <c r="H6984" s="10">
        <v>226.46</v>
      </c>
      <c r="I6984" s="11" t="s">
        <v>28</v>
      </c>
      <c r="J6984" s="11" t="s">
        <v>28</v>
      </c>
      <c r="K6984" s="11" t="s">
        <v>28</v>
      </c>
      <c r="L6984" s="11" t="s">
        <v>28</v>
      </c>
      <c r="M6984" s="11" t="s">
        <v>28</v>
      </c>
      <c r="N6984" s="8">
        <v>43608</v>
      </c>
      <c r="O6984" s="9" t="s">
        <v>30</v>
      </c>
      <c r="P6984" s="12" t="s">
        <v>2951</v>
      </c>
      <c r="Q6984" s="9" t="s">
        <v>6878</v>
      </c>
      <c r="R6984" s="14" t="str">
        <f>HYPERLINK("https://my.pitchbook.com?c=103058-92T","View Company Online")</f>
        <v>View Company Online</v>
      </c>
    </row>
    <row r="6985" spans="1:18" hidden="1" x14ac:dyDescent="0.3">
      <c r="A6985" s="15" t="s">
        <v>20923</v>
      </c>
      <c r="B6985" s="15" t="s">
        <v>20924</v>
      </c>
      <c r="C6985" s="18" t="s">
        <v>28</v>
      </c>
      <c r="D6985" s="15" t="s">
        <v>20925</v>
      </c>
      <c r="E6985" s="18" t="s">
        <v>28</v>
      </c>
      <c r="F6985" s="19" t="s">
        <v>28</v>
      </c>
      <c r="G6985" s="19" t="s">
        <v>28</v>
      </c>
      <c r="H6985" s="19" t="s">
        <v>28</v>
      </c>
      <c r="I6985" s="18" t="s">
        <v>28</v>
      </c>
      <c r="J6985" s="18" t="s">
        <v>28</v>
      </c>
      <c r="K6985" s="18" t="s">
        <v>28</v>
      </c>
      <c r="L6985" s="18" t="s">
        <v>28</v>
      </c>
      <c r="M6985" s="18" t="s">
        <v>28</v>
      </c>
      <c r="N6985" s="17">
        <v>43608</v>
      </c>
      <c r="O6985" s="15" t="s">
        <v>30</v>
      </c>
      <c r="P6985" s="16" t="s">
        <v>18969</v>
      </c>
      <c r="Q6985" s="15" t="s">
        <v>855</v>
      </c>
      <c r="R6985" s="13" t="str">
        <f>HYPERLINK("https://my.pitchbook.com?c=116018-56T","View Company Online")</f>
        <v>View Company Online</v>
      </c>
    </row>
    <row r="6986" spans="1:18" hidden="1" x14ac:dyDescent="0.3">
      <c r="A6986" s="9" t="s">
        <v>20926</v>
      </c>
      <c r="B6986" s="9" t="s">
        <v>18349</v>
      </c>
      <c r="C6986" s="11" t="s">
        <v>28</v>
      </c>
      <c r="D6986" s="9" t="s">
        <v>18350</v>
      </c>
      <c r="E6986" s="11" t="s">
        <v>28</v>
      </c>
      <c r="F6986" s="10" t="s">
        <v>28</v>
      </c>
      <c r="G6986" s="10">
        <v>1.64</v>
      </c>
      <c r="H6986" s="10" t="s">
        <v>28</v>
      </c>
      <c r="I6986" s="11" t="s">
        <v>28</v>
      </c>
      <c r="J6986" s="11" t="s">
        <v>28</v>
      </c>
      <c r="K6986" s="11" t="s">
        <v>28</v>
      </c>
      <c r="L6986" s="11" t="s">
        <v>28</v>
      </c>
      <c r="M6986" s="11" t="s">
        <v>28</v>
      </c>
      <c r="N6986" s="8">
        <v>43605</v>
      </c>
      <c r="O6986" s="9" t="s">
        <v>79</v>
      </c>
      <c r="P6986" s="12" t="s">
        <v>20927</v>
      </c>
      <c r="Q6986" s="9" t="s">
        <v>75</v>
      </c>
      <c r="R6986" s="14" t="str">
        <f>HYPERLINK("https://my.pitchbook.com?c=123770-17T","View Company Online")</f>
        <v>View Company Online</v>
      </c>
    </row>
    <row r="6987" spans="1:18" hidden="1" x14ac:dyDescent="0.3">
      <c r="A6987" s="15" t="s">
        <v>20928</v>
      </c>
      <c r="B6987" s="15" t="s">
        <v>1529</v>
      </c>
      <c r="C6987" s="18" t="s">
        <v>28</v>
      </c>
      <c r="D6987" s="15" t="s">
        <v>1530</v>
      </c>
      <c r="E6987" s="18" t="s">
        <v>28</v>
      </c>
      <c r="F6987" s="19" t="s">
        <v>28</v>
      </c>
      <c r="G6987" s="19" t="s">
        <v>28</v>
      </c>
      <c r="H6987" s="19" t="s">
        <v>28</v>
      </c>
      <c r="I6987" s="18" t="s">
        <v>28</v>
      </c>
      <c r="J6987" s="18" t="s">
        <v>28</v>
      </c>
      <c r="K6987" s="18" t="s">
        <v>28</v>
      </c>
      <c r="L6987" s="18" t="s">
        <v>28</v>
      </c>
      <c r="M6987" s="18" t="s">
        <v>28</v>
      </c>
      <c r="N6987" s="17">
        <v>43605</v>
      </c>
      <c r="O6987" s="15" t="s">
        <v>52</v>
      </c>
      <c r="P6987" s="16" t="s">
        <v>20929</v>
      </c>
      <c r="Q6987" s="15" t="s">
        <v>583</v>
      </c>
      <c r="R6987" s="13" t="str">
        <f>HYPERLINK("https://my.pitchbook.com?c=295804-09T","View Company Online")</f>
        <v>View Company Online</v>
      </c>
    </row>
    <row r="6988" spans="1:18" hidden="1" x14ac:dyDescent="0.3">
      <c r="A6988" s="9" t="s">
        <v>20930</v>
      </c>
      <c r="B6988" s="9" t="s">
        <v>20931</v>
      </c>
      <c r="C6988" s="11" t="s">
        <v>28</v>
      </c>
      <c r="D6988" s="9" t="s">
        <v>20932</v>
      </c>
      <c r="E6988" s="11" t="s">
        <v>28</v>
      </c>
      <c r="F6988" s="10" t="s">
        <v>28</v>
      </c>
      <c r="G6988" s="10" t="s">
        <v>28</v>
      </c>
      <c r="H6988" s="10" t="s">
        <v>28</v>
      </c>
      <c r="I6988" s="11" t="s">
        <v>28</v>
      </c>
      <c r="J6988" s="11" t="s">
        <v>28</v>
      </c>
      <c r="K6988" s="11" t="s">
        <v>28</v>
      </c>
      <c r="L6988" s="11" t="s">
        <v>28</v>
      </c>
      <c r="M6988" s="11" t="s">
        <v>28</v>
      </c>
      <c r="N6988" s="8">
        <v>43605</v>
      </c>
      <c r="O6988" s="9" t="s">
        <v>52</v>
      </c>
      <c r="P6988" s="12" t="s">
        <v>20933</v>
      </c>
      <c r="Q6988" s="9" t="s">
        <v>607</v>
      </c>
      <c r="R6988" s="14" t="str">
        <f>HYPERLINK("https://my.pitchbook.com?c=267510-16T","View Company Online")</f>
        <v>View Company Online</v>
      </c>
    </row>
    <row r="6989" spans="1:18" hidden="1" x14ac:dyDescent="0.3">
      <c r="A6989" s="15" t="s">
        <v>20934</v>
      </c>
      <c r="B6989" s="15" t="s">
        <v>7263</v>
      </c>
      <c r="C6989" s="18" t="s">
        <v>28</v>
      </c>
      <c r="D6989" s="15" t="s">
        <v>7264</v>
      </c>
      <c r="E6989" s="18" t="s">
        <v>28</v>
      </c>
      <c r="F6989" s="19" t="s">
        <v>28</v>
      </c>
      <c r="G6989" s="19" t="s">
        <v>28</v>
      </c>
      <c r="H6989" s="19" t="s">
        <v>28</v>
      </c>
      <c r="I6989" s="18" t="s">
        <v>28</v>
      </c>
      <c r="J6989" s="18" t="s">
        <v>28</v>
      </c>
      <c r="K6989" s="18" t="s">
        <v>28</v>
      </c>
      <c r="L6989" s="18" t="s">
        <v>28</v>
      </c>
      <c r="M6989" s="18" t="s">
        <v>28</v>
      </c>
      <c r="N6989" s="17">
        <v>43605</v>
      </c>
      <c r="O6989" s="15" t="s">
        <v>52</v>
      </c>
      <c r="P6989" s="16" t="s">
        <v>20929</v>
      </c>
      <c r="Q6989" s="15" t="s">
        <v>1035</v>
      </c>
      <c r="R6989" s="13" t="str">
        <f>HYPERLINK("https://my.pitchbook.com?c=253783-45T","View Company Online")</f>
        <v>View Company Online</v>
      </c>
    </row>
    <row r="6990" spans="1:18" hidden="1" x14ac:dyDescent="0.3">
      <c r="A6990" s="9" t="s">
        <v>20935</v>
      </c>
      <c r="B6990" s="9" t="s">
        <v>11170</v>
      </c>
      <c r="C6990" s="11" t="s">
        <v>28</v>
      </c>
      <c r="D6990" s="9" t="s">
        <v>11171</v>
      </c>
      <c r="E6990" s="11" t="s">
        <v>28</v>
      </c>
      <c r="F6990" s="10" t="s">
        <v>28</v>
      </c>
      <c r="G6990" s="10" t="s">
        <v>28</v>
      </c>
      <c r="H6990" s="10" t="s">
        <v>28</v>
      </c>
      <c r="I6990" s="11" t="s">
        <v>28</v>
      </c>
      <c r="J6990" s="11" t="s">
        <v>28</v>
      </c>
      <c r="K6990" s="11" t="s">
        <v>28</v>
      </c>
      <c r="L6990" s="11" t="s">
        <v>28</v>
      </c>
      <c r="M6990" s="11" t="s">
        <v>28</v>
      </c>
      <c r="N6990" s="8">
        <v>43605</v>
      </c>
      <c r="O6990" s="9" t="s">
        <v>52</v>
      </c>
      <c r="P6990" s="12" t="s">
        <v>20929</v>
      </c>
      <c r="Q6990" s="9" t="s">
        <v>409</v>
      </c>
      <c r="R6990" s="14" t="str">
        <f>HYPERLINK("https://my.pitchbook.com?c=295825-69T","View Company Online")</f>
        <v>View Company Online</v>
      </c>
    </row>
    <row r="6991" spans="1:18" hidden="1" x14ac:dyDescent="0.3">
      <c r="A6991" s="15" t="s">
        <v>20936</v>
      </c>
      <c r="B6991" s="15" t="s">
        <v>12435</v>
      </c>
      <c r="C6991" s="18" t="s">
        <v>28</v>
      </c>
      <c r="D6991" s="15" t="s">
        <v>12436</v>
      </c>
      <c r="E6991" s="18" t="s">
        <v>28</v>
      </c>
      <c r="F6991" s="19" t="s">
        <v>28</v>
      </c>
      <c r="G6991" s="19" t="s">
        <v>28</v>
      </c>
      <c r="H6991" s="19" t="s">
        <v>28</v>
      </c>
      <c r="I6991" s="18" t="s">
        <v>28</v>
      </c>
      <c r="J6991" s="18" t="s">
        <v>28</v>
      </c>
      <c r="K6991" s="18" t="s">
        <v>28</v>
      </c>
      <c r="L6991" s="18" t="s">
        <v>28</v>
      </c>
      <c r="M6991" s="18" t="s">
        <v>28</v>
      </c>
      <c r="N6991" s="17">
        <v>43605</v>
      </c>
      <c r="O6991" s="15" t="s">
        <v>52</v>
      </c>
      <c r="P6991" s="16" t="s">
        <v>20895</v>
      </c>
      <c r="Q6991" s="15" t="s">
        <v>583</v>
      </c>
      <c r="R6991" s="13" t="str">
        <f>HYPERLINK("https://my.pitchbook.com?c=295803-64T","View Company Online")</f>
        <v>View Company Online</v>
      </c>
    </row>
    <row r="6992" spans="1:18" hidden="1" x14ac:dyDescent="0.3">
      <c r="A6992" s="9" t="s">
        <v>20937</v>
      </c>
      <c r="B6992" s="9" t="s">
        <v>20938</v>
      </c>
      <c r="C6992" s="11" t="s">
        <v>28</v>
      </c>
      <c r="D6992" s="9" t="s">
        <v>20939</v>
      </c>
      <c r="E6992" s="11" t="s">
        <v>28</v>
      </c>
      <c r="F6992" s="10" t="s">
        <v>28</v>
      </c>
      <c r="G6992" s="10" t="s">
        <v>28</v>
      </c>
      <c r="H6992" s="10" t="s">
        <v>28</v>
      </c>
      <c r="I6992" s="11" t="s">
        <v>28</v>
      </c>
      <c r="J6992" s="11" t="s">
        <v>28</v>
      </c>
      <c r="K6992" s="11" t="s">
        <v>28</v>
      </c>
      <c r="L6992" s="11" t="s">
        <v>28</v>
      </c>
      <c r="M6992" s="11" t="s">
        <v>28</v>
      </c>
      <c r="N6992" s="8">
        <v>43605</v>
      </c>
      <c r="O6992" s="9" t="s">
        <v>52</v>
      </c>
      <c r="P6992" s="12" t="s">
        <v>20895</v>
      </c>
      <c r="Q6992" s="9" t="s">
        <v>75</v>
      </c>
      <c r="R6992" s="14" t="str">
        <f>HYPERLINK("https://my.pitchbook.com?c=295786-27T","View Company Online")</f>
        <v>View Company Online</v>
      </c>
    </row>
    <row r="6993" spans="1:18" hidden="1" x14ac:dyDescent="0.3">
      <c r="A6993" s="15" t="s">
        <v>20940</v>
      </c>
      <c r="B6993" s="15" t="s">
        <v>20941</v>
      </c>
      <c r="C6993" s="18" t="s">
        <v>28</v>
      </c>
      <c r="D6993" s="15" t="s">
        <v>20942</v>
      </c>
      <c r="E6993" s="18" t="s">
        <v>28</v>
      </c>
      <c r="F6993" s="19">
        <v>9.57</v>
      </c>
      <c r="G6993" s="19">
        <v>9.57</v>
      </c>
      <c r="H6993" s="19">
        <v>9.57</v>
      </c>
      <c r="I6993" s="18" t="s">
        <v>28</v>
      </c>
      <c r="J6993" s="18" t="s">
        <v>28</v>
      </c>
      <c r="K6993" s="18" t="s">
        <v>28</v>
      </c>
      <c r="L6993" s="18" t="s">
        <v>28</v>
      </c>
      <c r="M6993" s="18" t="s">
        <v>28</v>
      </c>
      <c r="N6993" s="17">
        <v>43605</v>
      </c>
      <c r="O6993" s="15" t="s">
        <v>30</v>
      </c>
      <c r="P6993" s="16" t="s">
        <v>4616</v>
      </c>
      <c r="Q6993" s="15" t="s">
        <v>37</v>
      </c>
      <c r="R6993" s="13" t="str">
        <f>HYPERLINK("https://my.pitchbook.com?c=216245-08T","View Company Online")</f>
        <v>View Company Online</v>
      </c>
    </row>
    <row r="6994" spans="1:18" hidden="1" x14ac:dyDescent="0.3">
      <c r="A6994" s="9" t="s">
        <v>20943</v>
      </c>
      <c r="B6994" s="9" t="s">
        <v>9503</v>
      </c>
      <c r="C6994" s="11" t="s">
        <v>28</v>
      </c>
      <c r="D6994" s="9" t="s">
        <v>9504</v>
      </c>
      <c r="E6994" s="11" t="s">
        <v>28</v>
      </c>
      <c r="F6994" s="10" t="s">
        <v>28</v>
      </c>
      <c r="G6994" s="10" t="s">
        <v>28</v>
      </c>
      <c r="H6994" s="10" t="s">
        <v>28</v>
      </c>
      <c r="I6994" s="11" t="s">
        <v>28</v>
      </c>
      <c r="J6994" s="11" t="s">
        <v>28</v>
      </c>
      <c r="K6994" s="11" t="s">
        <v>28</v>
      </c>
      <c r="L6994" s="11" t="s">
        <v>28</v>
      </c>
      <c r="M6994" s="11" t="s">
        <v>28</v>
      </c>
      <c r="N6994" s="8">
        <v>43605</v>
      </c>
      <c r="O6994" s="9" t="s">
        <v>52</v>
      </c>
      <c r="P6994" s="12" t="s">
        <v>20895</v>
      </c>
      <c r="Q6994" s="9" t="s">
        <v>1035</v>
      </c>
      <c r="R6994" s="14" t="str">
        <f>HYPERLINK("https://my.pitchbook.com?c=295789-60T","View Company Online")</f>
        <v>View Company Online</v>
      </c>
    </row>
    <row r="6995" spans="1:18" hidden="1" x14ac:dyDescent="0.3">
      <c r="A6995" s="15" t="s">
        <v>20944</v>
      </c>
      <c r="B6995" s="15" t="s">
        <v>10224</v>
      </c>
      <c r="C6995" s="18" t="s">
        <v>28</v>
      </c>
      <c r="D6995" s="15" t="s">
        <v>10225</v>
      </c>
      <c r="E6995" s="18" t="s">
        <v>28</v>
      </c>
      <c r="F6995" s="19" t="s">
        <v>28</v>
      </c>
      <c r="G6995" s="19" t="s">
        <v>28</v>
      </c>
      <c r="H6995" s="19" t="s">
        <v>28</v>
      </c>
      <c r="I6995" s="18" t="s">
        <v>28</v>
      </c>
      <c r="J6995" s="18" t="s">
        <v>28</v>
      </c>
      <c r="K6995" s="18" t="s">
        <v>28</v>
      </c>
      <c r="L6995" s="18" t="s">
        <v>28</v>
      </c>
      <c r="M6995" s="18" t="s">
        <v>28</v>
      </c>
      <c r="N6995" s="17">
        <v>43604</v>
      </c>
      <c r="O6995" s="15" t="s">
        <v>52</v>
      </c>
      <c r="P6995" s="16" t="s">
        <v>1880</v>
      </c>
      <c r="Q6995" s="15" t="s">
        <v>37</v>
      </c>
      <c r="R6995" s="13" t="str">
        <f>HYPERLINK("https://my.pitchbook.com?c=122379-40T","View Company Online")</f>
        <v>View Company Online</v>
      </c>
    </row>
    <row r="6996" spans="1:18" hidden="1" x14ac:dyDescent="0.3">
      <c r="A6996" s="9" t="s">
        <v>20945</v>
      </c>
      <c r="B6996" s="9" t="s">
        <v>20946</v>
      </c>
      <c r="C6996" s="11" t="s">
        <v>28</v>
      </c>
      <c r="D6996" s="9" t="s">
        <v>20947</v>
      </c>
      <c r="E6996" s="11" t="s">
        <v>28</v>
      </c>
      <c r="F6996" s="10" t="s">
        <v>28</v>
      </c>
      <c r="G6996" s="10" t="s">
        <v>28</v>
      </c>
      <c r="H6996" s="10" t="s">
        <v>28</v>
      </c>
      <c r="I6996" s="11" t="s">
        <v>28</v>
      </c>
      <c r="J6996" s="11" t="s">
        <v>28</v>
      </c>
      <c r="K6996" s="11" t="s">
        <v>28</v>
      </c>
      <c r="L6996" s="11" t="s">
        <v>28</v>
      </c>
      <c r="M6996" s="11" t="s">
        <v>28</v>
      </c>
      <c r="N6996" s="8">
        <v>43603</v>
      </c>
      <c r="O6996" s="9" t="s">
        <v>79</v>
      </c>
      <c r="P6996" s="12" t="s">
        <v>20948</v>
      </c>
      <c r="Q6996" s="9" t="s">
        <v>75</v>
      </c>
      <c r="R6996" s="14" t="str">
        <f>HYPERLINK("https://my.pitchbook.com?c=124759-54T","View Company Online")</f>
        <v>View Company Online</v>
      </c>
    </row>
    <row r="6997" spans="1:18" hidden="1" x14ac:dyDescent="0.3">
      <c r="A6997" s="15" t="s">
        <v>20949</v>
      </c>
      <c r="B6997" s="15" t="s">
        <v>19405</v>
      </c>
      <c r="C6997" s="18" t="s">
        <v>28</v>
      </c>
      <c r="D6997" s="15" t="s">
        <v>19406</v>
      </c>
      <c r="E6997" s="18" t="s">
        <v>28</v>
      </c>
      <c r="F6997" s="19" t="s">
        <v>28</v>
      </c>
      <c r="G6997" s="19" t="s">
        <v>28</v>
      </c>
      <c r="H6997" s="19" t="s">
        <v>28</v>
      </c>
      <c r="I6997" s="18" t="s">
        <v>28</v>
      </c>
      <c r="J6997" s="18" t="s">
        <v>28</v>
      </c>
      <c r="K6997" s="18" t="s">
        <v>28</v>
      </c>
      <c r="L6997" s="18" t="s">
        <v>28</v>
      </c>
      <c r="M6997" s="18" t="s">
        <v>28</v>
      </c>
      <c r="N6997" s="17">
        <v>43602</v>
      </c>
      <c r="O6997" s="15" t="s">
        <v>73</v>
      </c>
      <c r="P6997" s="16" t="s">
        <v>11808</v>
      </c>
      <c r="Q6997" s="15" t="s">
        <v>75</v>
      </c>
      <c r="R6997" s="13" t="str">
        <f>HYPERLINK("https://my.pitchbook.com?c=133141-24T","View Company Online")</f>
        <v>View Company Online</v>
      </c>
    </row>
    <row r="6998" spans="1:18" hidden="1" x14ac:dyDescent="0.3">
      <c r="A6998" s="9" t="s">
        <v>20950</v>
      </c>
      <c r="B6998" s="9" t="s">
        <v>20951</v>
      </c>
      <c r="C6998" s="11" t="s">
        <v>28</v>
      </c>
      <c r="D6998" s="9" t="s">
        <v>20952</v>
      </c>
      <c r="E6998" s="11" t="s">
        <v>28</v>
      </c>
      <c r="F6998" s="10" t="s">
        <v>28</v>
      </c>
      <c r="G6998" s="10" t="s">
        <v>28</v>
      </c>
      <c r="H6998" s="10" t="s">
        <v>28</v>
      </c>
      <c r="I6998" s="11" t="s">
        <v>28</v>
      </c>
      <c r="J6998" s="11" t="s">
        <v>28</v>
      </c>
      <c r="K6998" s="11" t="s">
        <v>28</v>
      </c>
      <c r="L6998" s="11" t="s">
        <v>28</v>
      </c>
      <c r="M6998" s="11" t="s">
        <v>28</v>
      </c>
      <c r="N6998" s="8">
        <v>43602</v>
      </c>
      <c r="O6998" s="9" t="s">
        <v>173</v>
      </c>
      <c r="P6998" s="12" t="s">
        <v>28</v>
      </c>
      <c r="Q6998" s="9" t="s">
        <v>240</v>
      </c>
      <c r="R6998" s="14" t="str">
        <f>HYPERLINK("https://my.pitchbook.com?c=222911-92T","View Company Online")</f>
        <v>View Company Online</v>
      </c>
    </row>
    <row r="6999" spans="1:18" hidden="1" x14ac:dyDescent="0.3">
      <c r="A6999" s="15" t="s">
        <v>20953</v>
      </c>
      <c r="B6999" s="15" t="s">
        <v>20954</v>
      </c>
      <c r="C6999" s="18" t="s">
        <v>28</v>
      </c>
      <c r="D6999" s="15" t="s">
        <v>20955</v>
      </c>
      <c r="E6999" s="18" t="s">
        <v>28</v>
      </c>
      <c r="F6999" s="19" t="s">
        <v>28</v>
      </c>
      <c r="G6999" s="19" t="s">
        <v>28</v>
      </c>
      <c r="H6999" s="19" t="s">
        <v>28</v>
      </c>
      <c r="I6999" s="18" t="s">
        <v>28</v>
      </c>
      <c r="J6999" s="18" t="s">
        <v>28</v>
      </c>
      <c r="K6999" s="18" t="s">
        <v>28</v>
      </c>
      <c r="L6999" s="18" t="s">
        <v>28</v>
      </c>
      <c r="M6999" s="18" t="s">
        <v>28</v>
      </c>
      <c r="N6999" s="17">
        <v>43602</v>
      </c>
      <c r="O6999" s="15" t="s">
        <v>173</v>
      </c>
      <c r="P6999" s="16" t="s">
        <v>28</v>
      </c>
      <c r="Q6999" s="15" t="s">
        <v>240</v>
      </c>
      <c r="R6999" s="13" t="str">
        <f>HYPERLINK("https://my.pitchbook.com?c=225815-59T","View Company Online")</f>
        <v>View Company Online</v>
      </c>
    </row>
    <row r="7000" spans="1:18" hidden="1" x14ac:dyDescent="0.3">
      <c r="A7000" s="9" t="s">
        <v>20956</v>
      </c>
      <c r="B7000" s="9" t="s">
        <v>20957</v>
      </c>
      <c r="C7000" s="11" t="s">
        <v>28</v>
      </c>
      <c r="D7000" s="9" t="s">
        <v>20958</v>
      </c>
      <c r="E7000" s="11" t="s">
        <v>28</v>
      </c>
      <c r="F7000" s="10" t="s">
        <v>28</v>
      </c>
      <c r="G7000" s="10" t="s">
        <v>28</v>
      </c>
      <c r="H7000" s="10" t="s">
        <v>28</v>
      </c>
      <c r="I7000" s="11" t="s">
        <v>28</v>
      </c>
      <c r="J7000" s="11" t="s">
        <v>28</v>
      </c>
      <c r="K7000" s="11" t="s">
        <v>28</v>
      </c>
      <c r="L7000" s="11" t="s">
        <v>28</v>
      </c>
      <c r="M7000" s="11" t="s">
        <v>28</v>
      </c>
      <c r="N7000" s="8">
        <v>43601</v>
      </c>
      <c r="O7000" s="9" t="s">
        <v>41</v>
      </c>
      <c r="P7000" s="12" t="s">
        <v>20959</v>
      </c>
      <c r="Q7000" s="9" t="s">
        <v>880</v>
      </c>
      <c r="R7000" s="14" t="str">
        <f>HYPERLINK("https://my.pitchbook.com?c=224422-57T","View Company Online")</f>
        <v>View Company Online</v>
      </c>
    </row>
    <row r="7001" spans="1:18" hidden="1" x14ac:dyDescent="0.3">
      <c r="A7001" s="15" t="s">
        <v>20960</v>
      </c>
      <c r="B7001" s="15" t="s">
        <v>7631</v>
      </c>
      <c r="C7001" s="18" t="s">
        <v>28</v>
      </c>
      <c r="D7001" s="15" t="s">
        <v>7632</v>
      </c>
      <c r="E7001" s="18" t="s">
        <v>28</v>
      </c>
      <c r="F7001" s="19" t="s">
        <v>28</v>
      </c>
      <c r="G7001" s="19" t="s">
        <v>28</v>
      </c>
      <c r="H7001" s="19" t="s">
        <v>28</v>
      </c>
      <c r="I7001" s="18" t="s">
        <v>28</v>
      </c>
      <c r="J7001" s="18" t="s">
        <v>28</v>
      </c>
      <c r="K7001" s="18">
        <v>10.52</v>
      </c>
      <c r="L7001" s="18" t="s">
        <v>28</v>
      </c>
      <c r="M7001" s="18" t="s">
        <v>28</v>
      </c>
      <c r="N7001" s="17">
        <v>43600</v>
      </c>
      <c r="O7001" s="15" t="s">
        <v>41</v>
      </c>
      <c r="P7001" s="16" t="s">
        <v>20961</v>
      </c>
      <c r="Q7001" s="15" t="s">
        <v>245</v>
      </c>
      <c r="R7001" s="13" t="str">
        <f>HYPERLINK("https://my.pitchbook.com?c=123308-74T","View Company Online")</f>
        <v>View Company Online</v>
      </c>
    </row>
    <row r="7002" spans="1:18" hidden="1" x14ac:dyDescent="0.3">
      <c r="A7002" s="9" t="s">
        <v>20962</v>
      </c>
      <c r="B7002" s="9" t="s">
        <v>20963</v>
      </c>
      <c r="C7002" s="11" t="s">
        <v>28</v>
      </c>
      <c r="D7002" s="9" t="s">
        <v>20964</v>
      </c>
      <c r="E7002" s="11" t="s">
        <v>28</v>
      </c>
      <c r="F7002" s="10">
        <v>6.2</v>
      </c>
      <c r="G7002" s="10">
        <v>6.2</v>
      </c>
      <c r="H7002" s="10">
        <v>6.2</v>
      </c>
      <c r="I7002" s="11" t="s">
        <v>28</v>
      </c>
      <c r="J7002" s="11" t="s">
        <v>28</v>
      </c>
      <c r="K7002" s="11" t="s">
        <v>28</v>
      </c>
      <c r="L7002" s="11" t="s">
        <v>28</v>
      </c>
      <c r="M7002" s="11" t="s">
        <v>28</v>
      </c>
      <c r="N7002" s="8">
        <v>43600</v>
      </c>
      <c r="O7002" s="9" t="s">
        <v>30</v>
      </c>
      <c r="P7002" s="12" t="s">
        <v>20965</v>
      </c>
      <c r="Q7002" s="9" t="s">
        <v>658</v>
      </c>
      <c r="R7002" s="14" t="str">
        <f>HYPERLINK("https://my.pitchbook.com?c=140285-71T","View Company Online")</f>
        <v>View Company Online</v>
      </c>
    </row>
    <row r="7003" spans="1:18" hidden="1" x14ac:dyDescent="0.3">
      <c r="A7003" s="15" t="s">
        <v>20966</v>
      </c>
      <c r="B7003" s="15" t="s">
        <v>7238</v>
      </c>
      <c r="C7003" s="18" t="s">
        <v>28</v>
      </c>
      <c r="D7003" s="15" t="s">
        <v>7239</v>
      </c>
      <c r="E7003" s="18" t="s">
        <v>28</v>
      </c>
      <c r="F7003" s="19" t="s">
        <v>28</v>
      </c>
      <c r="G7003" s="19" t="s">
        <v>28</v>
      </c>
      <c r="H7003" s="19" t="s">
        <v>28</v>
      </c>
      <c r="I7003" s="18" t="s">
        <v>28</v>
      </c>
      <c r="J7003" s="18" t="s">
        <v>28</v>
      </c>
      <c r="K7003" s="18" t="s">
        <v>28</v>
      </c>
      <c r="L7003" s="18" t="s">
        <v>28</v>
      </c>
      <c r="M7003" s="18" t="s">
        <v>28</v>
      </c>
      <c r="N7003" s="17">
        <v>43600</v>
      </c>
      <c r="O7003" s="15" t="s">
        <v>379</v>
      </c>
      <c r="P7003" s="16" t="s">
        <v>28</v>
      </c>
      <c r="Q7003" s="15" t="s">
        <v>583</v>
      </c>
      <c r="R7003" s="13" t="str">
        <f>HYPERLINK("https://my.pitchbook.com?c=196387-21T","View Company Online")</f>
        <v>View Company Online</v>
      </c>
    </row>
    <row r="7004" spans="1:18" hidden="1" x14ac:dyDescent="0.3">
      <c r="A7004" s="9" t="s">
        <v>20967</v>
      </c>
      <c r="B7004" s="9" t="s">
        <v>20968</v>
      </c>
      <c r="C7004" s="11" t="s">
        <v>28</v>
      </c>
      <c r="D7004" s="9" t="s">
        <v>20969</v>
      </c>
      <c r="E7004" s="11" t="s">
        <v>28</v>
      </c>
      <c r="F7004" s="10" t="s">
        <v>28</v>
      </c>
      <c r="G7004" s="10" t="s">
        <v>28</v>
      </c>
      <c r="H7004" s="10" t="s">
        <v>28</v>
      </c>
      <c r="I7004" s="11" t="s">
        <v>28</v>
      </c>
      <c r="J7004" s="11" t="s">
        <v>28</v>
      </c>
      <c r="K7004" s="11" t="s">
        <v>28</v>
      </c>
      <c r="L7004" s="11" t="s">
        <v>28</v>
      </c>
      <c r="M7004" s="11" t="s">
        <v>28</v>
      </c>
      <c r="N7004" s="8">
        <v>43600</v>
      </c>
      <c r="O7004" s="9" t="s">
        <v>41</v>
      </c>
      <c r="P7004" s="12" t="s">
        <v>20970</v>
      </c>
      <c r="Q7004" s="9" t="s">
        <v>245</v>
      </c>
      <c r="R7004" s="14" t="str">
        <f>HYPERLINK("https://my.pitchbook.com?c=121379-14T","View Company Online")</f>
        <v>View Company Online</v>
      </c>
    </row>
    <row r="7005" spans="1:18" hidden="1" x14ac:dyDescent="0.3">
      <c r="A7005" s="15" t="s">
        <v>20971</v>
      </c>
      <c r="B7005" s="15" t="s">
        <v>17653</v>
      </c>
      <c r="C7005" s="18" t="s">
        <v>28</v>
      </c>
      <c r="D7005" s="15" t="s">
        <v>17654</v>
      </c>
      <c r="E7005" s="18" t="s">
        <v>28</v>
      </c>
      <c r="F7005" s="19" t="s">
        <v>28</v>
      </c>
      <c r="G7005" s="19">
        <v>0.02</v>
      </c>
      <c r="H7005" s="19" t="s">
        <v>28</v>
      </c>
      <c r="I7005" s="18" t="s">
        <v>28</v>
      </c>
      <c r="J7005" s="18" t="s">
        <v>28</v>
      </c>
      <c r="K7005" s="18" t="s">
        <v>28</v>
      </c>
      <c r="L7005" s="18" t="s">
        <v>28</v>
      </c>
      <c r="M7005" s="18" t="s">
        <v>28</v>
      </c>
      <c r="N7005" s="17">
        <v>43600</v>
      </c>
      <c r="O7005" s="15" t="s">
        <v>52</v>
      </c>
      <c r="P7005" s="16" t="s">
        <v>20972</v>
      </c>
      <c r="Q7005" s="15" t="s">
        <v>381</v>
      </c>
      <c r="R7005" s="13" t="str">
        <f>HYPERLINK("https://my.pitchbook.com?c=212482-27T","View Company Online")</f>
        <v>View Company Online</v>
      </c>
    </row>
    <row r="7006" spans="1:18" hidden="1" x14ac:dyDescent="0.3">
      <c r="A7006" s="9" t="s">
        <v>20973</v>
      </c>
      <c r="B7006" s="9" t="s">
        <v>20974</v>
      </c>
      <c r="C7006" s="11" t="s">
        <v>28</v>
      </c>
      <c r="D7006" s="9" t="s">
        <v>20975</v>
      </c>
      <c r="E7006" s="11" t="s">
        <v>28</v>
      </c>
      <c r="F7006" s="10" t="s">
        <v>28</v>
      </c>
      <c r="G7006" s="10">
        <v>0.1</v>
      </c>
      <c r="H7006" s="10" t="s">
        <v>28</v>
      </c>
      <c r="I7006" s="11" t="s">
        <v>28</v>
      </c>
      <c r="J7006" s="11" t="s">
        <v>28</v>
      </c>
      <c r="K7006" s="11" t="s">
        <v>28</v>
      </c>
      <c r="L7006" s="11" t="s">
        <v>28</v>
      </c>
      <c r="M7006" s="11" t="s">
        <v>28</v>
      </c>
      <c r="N7006" s="8">
        <v>43599</v>
      </c>
      <c r="O7006" s="9" t="s">
        <v>73</v>
      </c>
      <c r="P7006" s="12" t="s">
        <v>28</v>
      </c>
      <c r="Q7006" s="9" t="s">
        <v>1643</v>
      </c>
      <c r="R7006" s="14" t="str">
        <f>HYPERLINK("https://my.pitchbook.com?c=263138-95T","View Company Online")</f>
        <v>View Company Online</v>
      </c>
    </row>
    <row r="7007" spans="1:18" hidden="1" x14ac:dyDescent="0.3">
      <c r="A7007" s="15" t="s">
        <v>20976</v>
      </c>
      <c r="B7007" s="15" t="s">
        <v>20977</v>
      </c>
      <c r="C7007" s="18" t="s">
        <v>28</v>
      </c>
      <c r="D7007" s="15" t="s">
        <v>20978</v>
      </c>
      <c r="E7007" s="18" t="s">
        <v>28</v>
      </c>
      <c r="F7007" s="19" t="s">
        <v>28</v>
      </c>
      <c r="G7007" s="19" t="s">
        <v>28</v>
      </c>
      <c r="H7007" s="19" t="s">
        <v>28</v>
      </c>
      <c r="I7007" s="18" t="s">
        <v>28</v>
      </c>
      <c r="J7007" s="18" t="s">
        <v>28</v>
      </c>
      <c r="K7007" s="18" t="s">
        <v>28</v>
      </c>
      <c r="L7007" s="18" t="s">
        <v>28</v>
      </c>
      <c r="M7007" s="18" t="s">
        <v>28</v>
      </c>
      <c r="N7007" s="17">
        <v>43599</v>
      </c>
      <c r="O7007" s="15" t="s">
        <v>30</v>
      </c>
      <c r="P7007" s="16" t="s">
        <v>20979</v>
      </c>
      <c r="Q7007" s="15" t="s">
        <v>386</v>
      </c>
      <c r="R7007" s="13" t="str">
        <f>HYPERLINK("https://my.pitchbook.com?c=120389-86T","View Company Online")</f>
        <v>View Company Online</v>
      </c>
    </row>
    <row r="7008" spans="1:18" hidden="1" x14ac:dyDescent="0.3">
      <c r="A7008" s="9" t="s">
        <v>20980</v>
      </c>
      <c r="B7008" s="9" t="s">
        <v>4870</v>
      </c>
      <c r="C7008" s="11" t="s">
        <v>28</v>
      </c>
      <c r="D7008" s="9" t="s">
        <v>4871</v>
      </c>
      <c r="E7008" s="11" t="s">
        <v>28</v>
      </c>
      <c r="F7008" s="10" t="s">
        <v>28</v>
      </c>
      <c r="G7008" s="10">
        <v>25.35</v>
      </c>
      <c r="H7008" s="10">
        <v>101.4</v>
      </c>
      <c r="I7008" s="11" t="s">
        <v>28</v>
      </c>
      <c r="J7008" s="11" t="s">
        <v>28</v>
      </c>
      <c r="K7008" s="11">
        <v>1.83</v>
      </c>
      <c r="L7008" s="11">
        <v>55.52</v>
      </c>
      <c r="M7008" s="11">
        <v>-5.6</v>
      </c>
      <c r="N7008" s="8">
        <v>43599</v>
      </c>
      <c r="O7008" s="9" t="s">
        <v>58</v>
      </c>
      <c r="P7008" s="12" t="s">
        <v>20981</v>
      </c>
      <c r="Q7008" s="9" t="s">
        <v>424</v>
      </c>
      <c r="R7008" s="14" t="str">
        <f>HYPERLINK("https://my.pitchbook.com?c=125612-92T","View Company Online")</f>
        <v>View Company Online</v>
      </c>
    </row>
    <row r="7009" spans="1:18" hidden="1" x14ac:dyDescent="0.3">
      <c r="A7009" s="15" t="s">
        <v>20982</v>
      </c>
      <c r="B7009" s="15" t="s">
        <v>4535</v>
      </c>
      <c r="C7009" s="18" t="s">
        <v>28</v>
      </c>
      <c r="D7009" s="15" t="s">
        <v>4536</v>
      </c>
      <c r="E7009" s="18" t="s">
        <v>28</v>
      </c>
      <c r="F7009" s="19" t="s">
        <v>28</v>
      </c>
      <c r="G7009" s="19">
        <v>0.06</v>
      </c>
      <c r="H7009" s="19" t="s">
        <v>28</v>
      </c>
      <c r="I7009" s="18" t="s">
        <v>28</v>
      </c>
      <c r="J7009" s="18" t="s">
        <v>28</v>
      </c>
      <c r="K7009" s="18" t="s">
        <v>28</v>
      </c>
      <c r="L7009" s="18" t="s">
        <v>28</v>
      </c>
      <c r="M7009" s="18" t="s">
        <v>28</v>
      </c>
      <c r="N7009" s="17">
        <v>43598</v>
      </c>
      <c r="O7009" s="15" t="s">
        <v>52</v>
      </c>
      <c r="P7009" s="16" t="s">
        <v>20983</v>
      </c>
      <c r="Q7009" s="15" t="s">
        <v>75</v>
      </c>
      <c r="R7009" s="13" t="str">
        <f>HYPERLINK("https://my.pitchbook.com?c=126466-12T","View Company Online")</f>
        <v>View Company Online</v>
      </c>
    </row>
    <row r="7010" spans="1:18" hidden="1" x14ac:dyDescent="0.3">
      <c r="A7010" s="9" t="s">
        <v>20984</v>
      </c>
      <c r="B7010" s="9" t="s">
        <v>12292</v>
      </c>
      <c r="C7010" s="11" t="s">
        <v>28</v>
      </c>
      <c r="D7010" s="9" t="s">
        <v>12293</v>
      </c>
      <c r="E7010" s="11" t="s">
        <v>28</v>
      </c>
      <c r="F7010" s="10" t="s">
        <v>28</v>
      </c>
      <c r="G7010" s="10" t="s">
        <v>28</v>
      </c>
      <c r="H7010" s="10" t="s">
        <v>28</v>
      </c>
      <c r="I7010" s="11" t="s">
        <v>28</v>
      </c>
      <c r="J7010" s="11" t="s">
        <v>28</v>
      </c>
      <c r="K7010" s="11" t="s">
        <v>28</v>
      </c>
      <c r="L7010" s="11" t="s">
        <v>28</v>
      </c>
      <c r="M7010" s="11" t="s">
        <v>28</v>
      </c>
      <c r="N7010" s="8">
        <v>43598</v>
      </c>
      <c r="O7010" s="9" t="s">
        <v>73</v>
      </c>
      <c r="P7010" s="12" t="s">
        <v>20985</v>
      </c>
      <c r="Q7010" s="9" t="s">
        <v>566</v>
      </c>
      <c r="R7010" s="14" t="str">
        <f>HYPERLINK("https://my.pitchbook.com?c=124743-79T","View Company Online")</f>
        <v>View Company Online</v>
      </c>
    </row>
    <row r="7011" spans="1:18" hidden="1" x14ac:dyDescent="0.3">
      <c r="A7011" s="15" t="s">
        <v>20986</v>
      </c>
      <c r="B7011" s="15" t="s">
        <v>20987</v>
      </c>
      <c r="C7011" s="18" t="s">
        <v>28</v>
      </c>
      <c r="D7011" s="15" t="s">
        <v>20988</v>
      </c>
      <c r="E7011" s="18" t="s">
        <v>28</v>
      </c>
      <c r="F7011" s="19" t="s">
        <v>28</v>
      </c>
      <c r="G7011" s="19" t="s">
        <v>28</v>
      </c>
      <c r="H7011" s="19" t="s">
        <v>28</v>
      </c>
      <c r="I7011" s="18" t="s">
        <v>28</v>
      </c>
      <c r="J7011" s="18" t="s">
        <v>28</v>
      </c>
      <c r="K7011" s="18" t="s">
        <v>28</v>
      </c>
      <c r="L7011" s="18" t="s">
        <v>28</v>
      </c>
      <c r="M7011" s="18" t="s">
        <v>28</v>
      </c>
      <c r="N7011" s="17">
        <v>43598</v>
      </c>
      <c r="O7011" s="15" t="s">
        <v>30</v>
      </c>
      <c r="P7011" s="16" t="s">
        <v>20989</v>
      </c>
      <c r="Q7011" s="15" t="s">
        <v>4710</v>
      </c>
      <c r="R7011" s="13" t="str">
        <f>HYPERLINK("https://my.pitchbook.com?c=210579-94T","View Company Online")</f>
        <v>View Company Online</v>
      </c>
    </row>
    <row r="7012" spans="1:18" hidden="1" x14ac:dyDescent="0.3">
      <c r="A7012" s="9" t="s">
        <v>20990</v>
      </c>
      <c r="B7012" s="9" t="s">
        <v>11394</v>
      </c>
      <c r="C7012" s="11" t="s">
        <v>28</v>
      </c>
      <c r="D7012" s="9" t="s">
        <v>11395</v>
      </c>
      <c r="E7012" s="11" t="s">
        <v>28</v>
      </c>
      <c r="F7012" s="10" t="s">
        <v>28</v>
      </c>
      <c r="G7012" s="10">
        <v>0.01</v>
      </c>
      <c r="H7012" s="10" t="s">
        <v>28</v>
      </c>
      <c r="I7012" s="11" t="s">
        <v>28</v>
      </c>
      <c r="J7012" s="11" t="s">
        <v>28</v>
      </c>
      <c r="K7012" s="11" t="s">
        <v>28</v>
      </c>
      <c r="L7012" s="11" t="s">
        <v>28</v>
      </c>
      <c r="M7012" s="11" t="s">
        <v>28</v>
      </c>
      <c r="N7012" s="8">
        <v>43598</v>
      </c>
      <c r="O7012" s="9" t="s">
        <v>52</v>
      </c>
      <c r="P7012" s="12" t="s">
        <v>53</v>
      </c>
      <c r="Q7012" s="9" t="s">
        <v>54</v>
      </c>
      <c r="R7012" s="14" t="str">
        <f>HYPERLINK("https://my.pitchbook.com?c=131354-74T","View Company Online")</f>
        <v>View Company Online</v>
      </c>
    </row>
    <row r="7013" spans="1:18" hidden="1" x14ac:dyDescent="0.3">
      <c r="A7013" s="15" t="s">
        <v>20991</v>
      </c>
      <c r="B7013" s="15" t="s">
        <v>20992</v>
      </c>
      <c r="C7013" s="18" t="s">
        <v>28</v>
      </c>
      <c r="D7013" s="15" t="s">
        <v>20993</v>
      </c>
      <c r="E7013" s="18" t="s">
        <v>28</v>
      </c>
      <c r="F7013" s="19" t="s">
        <v>28</v>
      </c>
      <c r="G7013" s="19">
        <v>0.75</v>
      </c>
      <c r="H7013" s="19" t="s">
        <v>28</v>
      </c>
      <c r="I7013" s="18" t="s">
        <v>28</v>
      </c>
      <c r="J7013" s="18" t="s">
        <v>28</v>
      </c>
      <c r="K7013" s="18" t="s">
        <v>28</v>
      </c>
      <c r="L7013" s="18" t="s">
        <v>28</v>
      </c>
      <c r="M7013" s="18" t="s">
        <v>28</v>
      </c>
      <c r="N7013" s="17">
        <v>43598</v>
      </c>
      <c r="O7013" s="15" t="s">
        <v>52</v>
      </c>
      <c r="P7013" s="16" t="s">
        <v>1880</v>
      </c>
      <c r="Q7013" s="15" t="s">
        <v>583</v>
      </c>
      <c r="R7013" s="13" t="str">
        <f>HYPERLINK("https://my.pitchbook.com?c=126198-64T","View Company Online")</f>
        <v>View Company Online</v>
      </c>
    </row>
    <row r="7014" spans="1:18" hidden="1" x14ac:dyDescent="0.3">
      <c r="A7014" s="9" t="s">
        <v>20994</v>
      </c>
      <c r="B7014" s="9" t="s">
        <v>20074</v>
      </c>
      <c r="C7014" s="11" t="s">
        <v>28</v>
      </c>
      <c r="D7014" s="9" t="s">
        <v>20075</v>
      </c>
      <c r="E7014" s="11" t="s">
        <v>28</v>
      </c>
      <c r="F7014" s="10" t="s">
        <v>28</v>
      </c>
      <c r="G7014" s="10" t="s">
        <v>28</v>
      </c>
      <c r="H7014" s="10" t="s">
        <v>28</v>
      </c>
      <c r="I7014" s="11" t="s">
        <v>28</v>
      </c>
      <c r="J7014" s="11" t="s">
        <v>28</v>
      </c>
      <c r="K7014" s="11" t="s">
        <v>28</v>
      </c>
      <c r="L7014" s="11" t="s">
        <v>28</v>
      </c>
      <c r="M7014" s="11" t="s">
        <v>28</v>
      </c>
      <c r="N7014" s="8">
        <v>43598</v>
      </c>
      <c r="O7014" s="9" t="s">
        <v>58</v>
      </c>
      <c r="P7014" s="12" t="s">
        <v>4196</v>
      </c>
      <c r="Q7014" s="9" t="s">
        <v>43</v>
      </c>
      <c r="R7014" s="14" t="str">
        <f>HYPERLINK("https://my.pitchbook.com?c=178239-52T","View Company Online")</f>
        <v>View Company Online</v>
      </c>
    </row>
    <row r="7015" spans="1:18" hidden="1" x14ac:dyDescent="0.3">
      <c r="A7015" s="15" t="s">
        <v>20995</v>
      </c>
      <c r="B7015" s="15" t="s">
        <v>20996</v>
      </c>
      <c r="C7015" s="18" t="s">
        <v>28</v>
      </c>
      <c r="D7015" s="15" t="s">
        <v>20997</v>
      </c>
      <c r="E7015" s="18" t="s">
        <v>28</v>
      </c>
      <c r="F7015" s="19" t="s">
        <v>28</v>
      </c>
      <c r="G7015" s="19" t="s">
        <v>28</v>
      </c>
      <c r="H7015" s="19" t="s">
        <v>28</v>
      </c>
      <c r="I7015" s="18" t="s">
        <v>28</v>
      </c>
      <c r="J7015" s="18" t="s">
        <v>28</v>
      </c>
      <c r="K7015" s="18" t="s">
        <v>28</v>
      </c>
      <c r="L7015" s="18" t="s">
        <v>28</v>
      </c>
      <c r="M7015" s="18" t="s">
        <v>28</v>
      </c>
      <c r="N7015" s="17">
        <v>43597</v>
      </c>
      <c r="O7015" s="15" t="s">
        <v>173</v>
      </c>
      <c r="P7015" s="16" t="s">
        <v>28</v>
      </c>
      <c r="Q7015" s="15" t="s">
        <v>1361</v>
      </c>
      <c r="R7015" s="13" t="str">
        <f>HYPERLINK("https://my.pitchbook.com?c=222633-28T","View Company Online")</f>
        <v>View Company Online</v>
      </c>
    </row>
    <row r="7016" spans="1:18" hidden="1" x14ac:dyDescent="0.3">
      <c r="A7016" s="9" t="s">
        <v>20998</v>
      </c>
      <c r="B7016" s="9" t="s">
        <v>4051</v>
      </c>
      <c r="C7016" s="11" t="s">
        <v>28</v>
      </c>
      <c r="D7016" s="9" t="s">
        <v>4052</v>
      </c>
      <c r="E7016" s="11" t="s">
        <v>28</v>
      </c>
      <c r="F7016" s="10" t="s">
        <v>28</v>
      </c>
      <c r="G7016" s="10" t="s">
        <v>28</v>
      </c>
      <c r="H7016" s="10" t="s">
        <v>28</v>
      </c>
      <c r="I7016" s="11" t="s">
        <v>28</v>
      </c>
      <c r="J7016" s="11" t="s">
        <v>28</v>
      </c>
      <c r="K7016" s="11">
        <v>8.76</v>
      </c>
      <c r="L7016" s="11" t="s">
        <v>28</v>
      </c>
      <c r="M7016" s="11" t="s">
        <v>28</v>
      </c>
      <c r="N7016" s="8">
        <v>43597</v>
      </c>
      <c r="O7016" s="9" t="s">
        <v>58</v>
      </c>
      <c r="P7016" s="12" t="s">
        <v>20999</v>
      </c>
      <c r="Q7016" s="9" t="s">
        <v>169</v>
      </c>
      <c r="R7016" s="14" t="str">
        <f>HYPERLINK("https://my.pitchbook.com?c=210974-05T","View Company Online")</f>
        <v>View Company Online</v>
      </c>
    </row>
    <row r="7017" spans="1:18" hidden="1" x14ac:dyDescent="0.3">
      <c r="A7017" s="15" t="s">
        <v>21000</v>
      </c>
      <c r="B7017" s="15" t="s">
        <v>5941</v>
      </c>
      <c r="C7017" s="18" t="s">
        <v>28</v>
      </c>
      <c r="D7017" s="15" t="s">
        <v>21001</v>
      </c>
      <c r="E7017" s="18" t="s">
        <v>28</v>
      </c>
      <c r="F7017" s="19" t="s">
        <v>28</v>
      </c>
      <c r="G7017" s="19" t="s">
        <v>28</v>
      </c>
      <c r="H7017" s="19" t="s">
        <v>28</v>
      </c>
      <c r="I7017" s="18" t="s">
        <v>28</v>
      </c>
      <c r="J7017" s="18" t="s">
        <v>28</v>
      </c>
      <c r="K7017" s="18" t="s">
        <v>28</v>
      </c>
      <c r="L7017" s="18" t="s">
        <v>28</v>
      </c>
      <c r="M7017" s="18" t="s">
        <v>28</v>
      </c>
      <c r="N7017" s="17">
        <v>43595</v>
      </c>
      <c r="O7017" s="15" t="s">
        <v>173</v>
      </c>
      <c r="P7017" s="16" t="s">
        <v>28</v>
      </c>
      <c r="Q7017" s="15" t="s">
        <v>240</v>
      </c>
      <c r="R7017" s="13" t="str">
        <f>HYPERLINK("https://my.pitchbook.com?c=224004-07T","View Company Online")</f>
        <v>View Company Online</v>
      </c>
    </row>
    <row r="7018" spans="1:18" hidden="1" x14ac:dyDescent="0.3">
      <c r="A7018" s="9" t="s">
        <v>21002</v>
      </c>
      <c r="B7018" s="9" t="s">
        <v>20613</v>
      </c>
      <c r="C7018" s="11" t="s">
        <v>28</v>
      </c>
      <c r="D7018" s="9" t="s">
        <v>20614</v>
      </c>
      <c r="E7018" s="11" t="s">
        <v>28</v>
      </c>
      <c r="F7018" s="10" t="s">
        <v>28</v>
      </c>
      <c r="G7018" s="10" t="s">
        <v>28</v>
      </c>
      <c r="H7018" s="10" t="s">
        <v>28</v>
      </c>
      <c r="I7018" s="11" t="s">
        <v>28</v>
      </c>
      <c r="J7018" s="11" t="s">
        <v>28</v>
      </c>
      <c r="K7018" s="11" t="s">
        <v>28</v>
      </c>
      <c r="L7018" s="11" t="s">
        <v>28</v>
      </c>
      <c r="M7018" s="11" t="s">
        <v>28</v>
      </c>
      <c r="N7018" s="8">
        <v>43595</v>
      </c>
      <c r="O7018" s="9" t="s">
        <v>52</v>
      </c>
      <c r="P7018" s="12" t="s">
        <v>403</v>
      </c>
      <c r="Q7018" s="9" t="s">
        <v>263</v>
      </c>
      <c r="R7018" s="14" t="str">
        <f>HYPERLINK("https://my.pitchbook.com?c=123988-42T","View Company Online")</f>
        <v>View Company Online</v>
      </c>
    </row>
    <row r="7019" spans="1:18" hidden="1" x14ac:dyDescent="0.3">
      <c r="A7019" s="15" t="s">
        <v>21003</v>
      </c>
      <c r="B7019" s="15" t="s">
        <v>21004</v>
      </c>
      <c r="C7019" s="18" t="s">
        <v>28</v>
      </c>
      <c r="D7019" s="15" t="s">
        <v>21005</v>
      </c>
      <c r="E7019" s="18" t="s">
        <v>28</v>
      </c>
      <c r="F7019" s="19" t="s">
        <v>28</v>
      </c>
      <c r="G7019" s="19" t="s">
        <v>28</v>
      </c>
      <c r="H7019" s="19" t="s">
        <v>28</v>
      </c>
      <c r="I7019" s="18" t="s">
        <v>28</v>
      </c>
      <c r="J7019" s="18" t="s">
        <v>28</v>
      </c>
      <c r="K7019" s="18" t="s">
        <v>28</v>
      </c>
      <c r="L7019" s="18" t="s">
        <v>28</v>
      </c>
      <c r="M7019" s="18" t="s">
        <v>28</v>
      </c>
      <c r="N7019" s="17">
        <v>43594</v>
      </c>
      <c r="O7019" s="15" t="s">
        <v>30</v>
      </c>
      <c r="P7019" s="16" t="s">
        <v>2005</v>
      </c>
      <c r="Q7019" s="15" t="s">
        <v>43</v>
      </c>
      <c r="R7019" s="13" t="str">
        <f>HYPERLINK("https://my.pitchbook.com?c=166655-89T","View Company Online")</f>
        <v>View Company Online</v>
      </c>
    </row>
    <row r="7020" spans="1:18" hidden="1" x14ac:dyDescent="0.3">
      <c r="A7020" s="9" t="s">
        <v>21006</v>
      </c>
      <c r="B7020" s="9" t="s">
        <v>6953</v>
      </c>
      <c r="C7020" s="11" t="s">
        <v>28</v>
      </c>
      <c r="D7020" s="9" t="s">
        <v>6954</v>
      </c>
      <c r="E7020" s="11" t="s">
        <v>28</v>
      </c>
      <c r="F7020" s="10" t="s">
        <v>28</v>
      </c>
      <c r="G7020" s="10">
        <v>6.72</v>
      </c>
      <c r="H7020" s="10" t="s">
        <v>28</v>
      </c>
      <c r="I7020" s="11" t="s">
        <v>28</v>
      </c>
      <c r="J7020" s="11" t="s">
        <v>28</v>
      </c>
      <c r="K7020" s="11">
        <v>0.1</v>
      </c>
      <c r="L7020" s="11" t="s">
        <v>28</v>
      </c>
      <c r="M7020" s="11" t="s">
        <v>28</v>
      </c>
      <c r="N7020" s="8">
        <v>43593</v>
      </c>
      <c r="O7020" s="9" t="s">
        <v>73</v>
      </c>
      <c r="P7020" s="12" t="s">
        <v>140</v>
      </c>
      <c r="Q7020" s="9" t="s">
        <v>774</v>
      </c>
      <c r="R7020" s="14" t="str">
        <f>HYPERLINK("https://my.pitchbook.com?c=123286-51T","View Company Online")</f>
        <v>View Company Online</v>
      </c>
    </row>
    <row r="7021" spans="1:18" hidden="1" x14ac:dyDescent="0.3">
      <c r="A7021" s="15" t="s">
        <v>21007</v>
      </c>
      <c r="B7021" s="15" t="s">
        <v>14382</v>
      </c>
      <c r="C7021" s="18" t="s">
        <v>28</v>
      </c>
      <c r="D7021" s="15" t="s">
        <v>14383</v>
      </c>
      <c r="E7021" s="18" t="s">
        <v>28</v>
      </c>
      <c r="F7021" s="19" t="s">
        <v>28</v>
      </c>
      <c r="G7021" s="19">
        <v>1.73</v>
      </c>
      <c r="H7021" s="19" t="s">
        <v>28</v>
      </c>
      <c r="I7021" s="18" t="s">
        <v>28</v>
      </c>
      <c r="J7021" s="18" t="s">
        <v>28</v>
      </c>
      <c r="K7021" s="18" t="s">
        <v>28</v>
      </c>
      <c r="L7021" s="18" t="s">
        <v>28</v>
      </c>
      <c r="M7021" s="18" t="s">
        <v>28</v>
      </c>
      <c r="N7021" s="17">
        <v>43592</v>
      </c>
      <c r="O7021" s="15" t="s">
        <v>79</v>
      </c>
      <c r="P7021" s="16" t="s">
        <v>21008</v>
      </c>
      <c r="Q7021" s="15" t="s">
        <v>285</v>
      </c>
      <c r="R7021" s="13" t="str">
        <f>HYPERLINK("https://my.pitchbook.com?c=118866-97T","View Company Online")</f>
        <v>View Company Online</v>
      </c>
    </row>
    <row r="7022" spans="1:18" hidden="1" x14ac:dyDescent="0.3">
      <c r="A7022" s="9" t="s">
        <v>21009</v>
      </c>
      <c r="B7022" s="9" t="s">
        <v>21010</v>
      </c>
      <c r="C7022" s="11" t="s">
        <v>28</v>
      </c>
      <c r="D7022" s="9" t="s">
        <v>21011</v>
      </c>
      <c r="E7022" s="11" t="s">
        <v>28</v>
      </c>
      <c r="F7022" s="10">
        <v>3.43</v>
      </c>
      <c r="G7022" s="10">
        <v>2.99</v>
      </c>
      <c r="H7022" s="10">
        <v>3.43</v>
      </c>
      <c r="I7022" s="11" t="s">
        <v>28</v>
      </c>
      <c r="J7022" s="11" t="s">
        <v>28</v>
      </c>
      <c r="K7022" s="11" t="s">
        <v>28</v>
      </c>
      <c r="L7022" s="11" t="s">
        <v>28</v>
      </c>
      <c r="M7022" s="11" t="s">
        <v>28</v>
      </c>
      <c r="N7022" s="8">
        <v>43591</v>
      </c>
      <c r="O7022" s="9" t="s">
        <v>30</v>
      </c>
      <c r="P7022" s="12" t="s">
        <v>3516</v>
      </c>
      <c r="Q7022" s="9" t="s">
        <v>54</v>
      </c>
      <c r="R7022" s="14" t="str">
        <f>HYPERLINK("https://my.pitchbook.com?c=121406-23T","View Company Online")</f>
        <v>View Company Online</v>
      </c>
    </row>
    <row r="7023" spans="1:18" hidden="1" x14ac:dyDescent="0.3">
      <c r="A7023" s="15" t="s">
        <v>21012</v>
      </c>
      <c r="B7023" s="15" t="s">
        <v>13841</v>
      </c>
      <c r="C7023" s="18" t="s">
        <v>28</v>
      </c>
      <c r="D7023" s="15" t="s">
        <v>13842</v>
      </c>
      <c r="E7023" s="18" t="s">
        <v>28</v>
      </c>
      <c r="F7023" s="19" t="s">
        <v>28</v>
      </c>
      <c r="G7023" s="19">
        <v>1.53</v>
      </c>
      <c r="H7023" s="19" t="s">
        <v>28</v>
      </c>
      <c r="I7023" s="18" t="s">
        <v>28</v>
      </c>
      <c r="J7023" s="18" t="s">
        <v>28</v>
      </c>
      <c r="K7023" s="18" t="s">
        <v>28</v>
      </c>
      <c r="L7023" s="18" t="s">
        <v>28</v>
      </c>
      <c r="M7023" s="18" t="s">
        <v>28</v>
      </c>
      <c r="N7023" s="17">
        <v>43591</v>
      </c>
      <c r="O7023" s="15" t="s">
        <v>79</v>
      </c>
      <c r="P7023" s="16" t="s">
        <v>21013</v>
      </c>
      <c r="Q7023" s="15" t="s">
        <v>37</v>
      </c>
      <c r="R7023" s="13" t="str">
        <f>HYPERLINK("https://my.pitchbook.com?c=123859-99T","View Company Online")</f>
        <v>View Company Online</v>
      </c>
    </row>
    <row r="7024" spans="1:18" hidden="1" x14ac:dyDescent="0.3">
      <c r="A7024" s="9" t="s">
        <v>21014</v>
      </c>
      <c r="B7024" s="9" t="s">
        <v>21015</v>
      </c>
      <c r="C7024" s="11" t="s">
        <v>28</v>
      </c>
      <c r="D7024" s="9" t="s">
        <v>21016</v>
      </c>
      <c r="E7024" s="11" t="s">
        <v>28</v>
      </c>
      <c r="F7024" s="10" t="s">
        <v>28</v>
      </c>
      <c r="G7024" s="10" t="s">
        <v>28</v>
      </c>
      <c r="H7024" s="10" t="s">
        <v>28</v>
      </c>
      <c r="I7024" s="11" t="s">
        <v>28</v>
      </c>
      <c r="J7024" s="11" t="s">
        <v>28</v>
      </c>
      <c r="K7024" s="11" t="s">
        <v>28</v>
      </c>
      <c r="L7024" s="11" t="s">
        <v>28</v>
      </c>
      <c r="M7024" s="11" t="s">
        <v>28</v>
      </c>
      <c r="N7024" s="8">
        <v>43591</v>
      </c>
      <c r="O7024" s="9" t="s">
        <v>30</v>
      </c>
      <c r="P7024" s="12" t="s">
        <v>2009</v>
      </c>
      <c r="Q7024" s="9" t="s">
        <v>240</v>
      </c>
      <c r="R7024" s="14" t="str">
        <f>HYPERLINK("https://my.pitchbook.com?c=206076-88T","View Company Online")</f>
        <v>View Company Online</v>
      </c>
    </row>
    <row r="7025" spans="1:18" hidden="1" x14ac:dyDescent="0.3">
      <c r="A7025" s="15" t="s">
        <v>21017</v>
      </c>
      <c r="B7025" s="15" t="s">
        <v>21018</v>
      </c>
      <c r="C7025" s="18" t="s">
        <v>28</v>
      </c>
      <c r="D7025" s="15" t="s">
        <v>21019</v>
      </c>
      <c r="E7025" s="18" t="s">
        <v>28</v>
      </c>
      <c r="F7025" s="19" t="s">
        <v>28</v>
      </c>
      <c r="G7025" s="19" t="s">
        <v>28</v>
      </c>
      <c r="H7025" s="19" t="s">
        <v>28</v>
      </c>
      <c r="I7025" s="18" t="s">
        <v>28</v>
      </c>
      <c r="J7025" s="18" t="s">
        <v>28</v>
      </c>
      <c r="K7025" s="18" t="s">
        <v>28</v>
      </c>
      <c r="L7025" s="18" t="s">
        <v>28</v>
      </c>
      <c r="M7025" s="18" t="s">
        <v>28</v>
      </c>
      <c r="N7025" s="17">
        <v>43591</v>
      </c>
      <c r="O7025" s="15" t="s">
        <v>99</v>
      </c>
      <c r="P7025" s="16" t="s">
        <v>611</v>
      </c>
      <c r="Q7025" s="15" t="s">
        <v>9184</v>
      </c>
      <c r="R7025" s="13" t="str">
        <f>HYPERLINK("https://my.pitchbook.com?c=124750-00T","View Company Online")</f>
        <v>View Company Online</v>
      </c>
    </row>
    <row r="7026" spans="1:18" hidden="1" x14ac:dyDescent="0.3">
      <c r="A7026" s="9" t="s">
        <v>21020</v>
      </c>
      <c r="B7026" s="9" t="s">
        <v>21021</v>
      </c>
      <c r="C7026" s="11" t="s">
        <v>28</v>
      </c>
      <c r="D7026" s="9" t="s">
        <v>21022</v>
      </c>
      <c r="E7026" s="11" t="s">
        <v>28</v>
      </c>
      <c r="F7026" s="10" t="s">
        <v>28</v>
      </c>
      <c r="G7026" s="10" t="s">
        <v>28</v>
      </c>
      <c r="H7026" s="10" t="s">
        <v>28</v>
      </c>
      <c r="I7026" s="11" t="s">
        <v>28</v>
      </c>
      <c r="J7026" s="11" t="s">
        <v>28</v>
      </c>
      <c r="K7026" s="11" t="s">
        <v>28</v>
      </c>
      <c r="L7026" s="11" t="s">
        <v>28</v>
      </c>
      <c r="M7026" s="11" t="s">
        <v>28</v>
      </c>
      <c r="N7026" s="8">
        <v>43591</v>
      </c>
      <c r="O7026" s="9" t="s">
        <v>173</v>
      </c>
      <c r="P7026" s="12" t="s">
        <v>28</v>
      </c>
      <c r="Q7026" s="9" t="s">
        <v>174</v>
      </c>
      <c r="R7026" s="14" t="str">
        <f>HYPERLINK("https://my.pitchbook.com?c=251535-16T","View Company Online")</f>
        <v>View Company Online</v>
      </c>
    </row>
    <row r="7027" spans="1:18" hidden="1" x14ac:dyDescent="0.3">
      <c r="A7027" s="15" t="s">
        <v>21023</v>
      </c>
      <c r="B7027" s="15" t="s">
        <v>21024</v>
      </c>
      <c r="C7027" s="18" t="s">
        <v>28</v>
      </c>
      <c r="D7027" s="15" t="s">
        <v>21025</v>
      </c>
      <c r="E7027" s="18" t="s">
        <v>28</v>
      </c>
      <c r="F7027" s="19" t="s">
        <v>28</v>
      </c>
      <c r="G7027" s="19" t="s">
        <v>28</v>
      </c>
      <c r="H7027" s="19" t="s">
        <v>28</v>
      </c>
      <c r="I7027" s="18" t="s">
        <v>28</v>
      </c>
      <c r="J7027" s="18" t="s">
        <v>28</v>
      </c>
      <c r="K7027" s="18" t="s">
        <v>28</v>
      </c>
      <c r="L7027" s="18" t="s">
        <v>28</v>
      </c>
      <c r="M7027" s="18" t="s">
        <v>28</v>
      </c>
      <c r="N7027" s="17">
        <v>43591</v>
      </c>
      <c r="O7027" s="15" t="s">
        <v>79</v>
      </c>
      <c r="P7027" s="16" t="s">
        <v>11808</v>
      </c>
      <c r="Q7027" s="15" t="s">
        <v>245</v>
      </c>
      <c r="R7027" s="13" t="str">
        <f>HYPERLINK("https://my.pitchbook.com?c=133142-14T","View Company Online")</f>
        <v>View Company Online</v>
      </c>
    </row>
    <row r="7028" spans="1:18" hidden="1" x14ac:dyDescent="0.3">
      <c r="A7028" s="9" t="s">
        <v>21026</v>
      </c>
      <c r="B7028" s="9" t="s">
        <v>15976</v>
      </c>
      <c r="C7028" s="11" t="s">
        <v>28</v>
      </c>
      <c r="D7028" s="9" t="s">
        <v>15977</v>
      </c>
      <c r="E7028" s="11" t="s">
        <v>28</v>
      </c>
      <c r="F7028" s="10" t="s">
        <v>28</v>
      </c>
      <c r="G7028" s="10">
        <v>1.53</v>
      </c>
      <c r="H7028" s="10" t="s">
        <v>28</v>
      </c>
      <c r="I7028" s="11" t="s">
        <v>28</v>
      </c>
      <c r="J7028" s="11" t="s">
        <v>28</v>
      </c>
      <c r="K7028" s="11" t="s">
        <v>28</v>
      </c>
      <c r="L7028" s="11" t="s">
        <v>28</v>
      </c>
      <c r="M7028" s="11" t="s">
        <v>28</v>
      </c>
      <c r="N7028" s="8">
        <v>43590</v>
      </c>
      <c r="O7028" s="9" t="s">
        <v>73</v>
      </c>
      <c r="P7028" s="12" t="s">
        <v>21027</v>
      </c>
      <c r="Q7028" s="9" t="s">
        <v>75</v>
      </c>
      <c r="R7028" s="14" t="str">
        <f>HYPERLINK("https://my.pitchbook.com?c=124096-60T","View Company Online")</f>
        <v>View Company Online</v>
      </c>
    </row>
    <row r="7029" spans="1:18" hidden="1" x14ac:dyDescent="0.3">
      <c r="A7029" s="15" t="s">
        <v>21028</v>
      </c>
      <c r="B7029" s="15" t="s">
        <v>12745</v>
      </c>
      <c r="C7029" s="18" t="s">
        <v>28</v>
      </c>
      <c r="D7029" s="15" t="s">
        <v>12746</v>
      </c>
      <c r="E7029" s="18" t="s">
        <v>28</v>
      </c>
      <c r="F7029" s="19" t="s">
        <v>28</v>
      </c>
      <c r="G7029" s="19">
        <v>2</v>
      </c>
      <c r="H7029" s="19">
        <v>12</v>
      </c>
      <c r="I7029" s="18" t="s">
        <v>28</v>
      </c>
      <c r="J7029" s="18" t="s">
        <v>28</v>
      </c>
      <c r="K7029" s="18" t="s">
        <v>28</v>
      </c>
      <c r="L7029" s="18" t="s">
        <v>28</v>
      </c>
      <c r="M7029" s="18" t="s">
        <v>28</v>
      </c>
      <c r="N7029" s="17">
        <v>43590</v>
      </c>
      <c r="O7029" s="15" t="s">
        <v>99</v>
      </c>
      <c r="P7029" s="16" t="s">
        <v>28</v>
      </c>
      <c r="Q7029" s="15" t="s">
        <v>399</v>
      </c>
      <c r="R7029" s="13" t="str">
        <f>HYPERLINK("https://my.pitchbook.com?c=184920-76T","View Company Online")</f>
        <v>View Company Online</v>
      </c>
    </row>
    <row r="7030" spans="1:18" hidden="1" x14ac:dyDescent="0.3">
      <c r="A7030" s="9" t="s">
        <v>21029</v>
      </c>
      <c r="B7030" s="9" t="s">
        <v>21030</v>
      </c>
      <c r="C7030" s="11" t="s">
        <v>28</v>
      </c>
      <c r="D7030" s="9" t="s">
        <v>21031</v>
      </c>
      <c r="E7030" s="11" t="s">
        <v>28</v>
      </c>
      <c r="F7030" s="10" t="s">
        <v>28</v>
      </c>
      <c r="G7030" s="10" t="s">
        <v>28</v>
      </c>
      <c r="H7030" s="10" t="s">
        <v>28</v>
      </c>
      <c r="I7030" s="11" t="s">
        <v>28</v>
      </c>
      <c r="J7030" s="11" t="s">
        <v>28</v>
      </c>
      <c r="K7030" s="11" t="s">
        <v>28</v>
      </c>
      <c r="L7030" s="11" t="s">
        <v>28</v>
      </c>
      <c r="M7030" s="11" t="s">
        <v>28</v>
      </c>
      <c r="N7030" s="8">
        <v>43590</v>
      </c>
      <c r="O7030" s="9" t="s">
        <v>379</v>
      </c>
      <c r="P7030" s="12" t="s">
        <v>21032</v>
      </c>
      <c r="Q7030" s="9" t="s">
        <v>75</v>
      </c>
      <c r="R7030" s="14" t="str">
        <f>HYPERLINK("https://my.pitchbook.com?c=176533-03T","View Company Online")</f>
        <v>View Company Online</v>
      </c>
    </row>
    <row r="7031" spans="1:18" hidden="1" x14ac:dyDescent="0.3">
      <c r="A7031" s="15" t="s">
        <v>21033</v>
      </c>
      <c r="B7031" s="15" t="s">
        <v>21034</v>
      </c>
      <c r="C7031" s="18" t="s">
        <v>28</v>
      </c>
      <c r="D7031" s="15" t="s">
        <v>21035</v>
      </c>
      <c r="E7031" s="18" t="s">
        <v>28</v>
      </c>
      <c r="F7031" s="19" t="s">
        <v>28</v>
      </c>
      <c r="G7031" s="19" t="s">
        <v>28</v>
      </c>
      <c r="H7031" s="19" t="s">
        <v>28</v>
      </c>
      <c r="I7031" s="18" t="s">
        <v>28</v>
      </c>
      <c r="J7031" s="18" t="s">
        <v>28</v>
      </c>
      <c r="K7031" s="18" t="s">
        <v>28</v>
      </c>
      <c r="L7031" s="18" t="s">
        <v>28</v>
      </c>
      <c r="M7031" s="18" t="s">
        <v>28</v>
      </c>
      <c r="N7031" s="17">
        <v>43588</v>
      </c>
      <c r="O7031" s="15" t="s">
        <v>173</v>
      </c>
      <c r="P7031" s="16" t="s">
        <v>28</v>
      </c>
      <c r="Q7031" s="15" t="s">
        <v>174</v>
      </c>
      <c r="R7031" s="13" t="str">
        <f>HYPERLINK("https://my.pitchbook.com?c=221309-11T","View Company Online")</f>
        <v>View Company Online</v>
      </c>
    </row>
    <row r="7032" spans="1:18" hidden="1" x14ac:dyDescent="0.3">
      <c r="A7032" s="9" t="s">
        <v>21036</v>
      </c>
      <c r="B7032" s="9" t="s">
        <v>21037</v>
      </c>
      <c r="C7032" s="11" t="s">
        <v>28</v>
      </c>
      <c r="D7032" s="9" t="s">
        <v>21038</v>
      </c>
      <c r="E7032" s="11" t="s">
        <v>28</v>
      </c>
      <c r="F7032" s="10" t="s">
        <v>28</v>
      </c>
      <c r="G7032" s="10" t="s">
        <v>28</v>
      </c>
      <c r="H7032" s="10" t="s">
        <v>28</v>
      </c>
      <c r="I7032" s="11" t="s">
        <v>28</v>
      </c>
      <c r="J7032" s="11" t="s">
        <v>28</v>
      </c>
      <c r="K7032" s="11" t="s">
        <v>28</v>
      </c>
      <c r="L7032" s="11" t="s">
        <v>28</v>
      </c>
      <c r="M7032" s="11" t="s">
        <v>28</v>
      </c>
      <c r="N7032" s="8">
        <v>43588</v>
      </c>
      <c r="O7032" s="9" t="s">
        <v>30</v>
      </c>
      <c r="P7032" s="12" t="s">
        <v>21039</v>
      </c>
      <c r="Q7032" s="9" t="s">
        <v>136</v>
      </c>
      <c r="R7032" s="14" t="str">
        <f>HYPERLINK("https://my.pitchbook.com?c=118701-01T","View Company Online")</f>
        <v>View Company Online</v>
      </c>
    </row>
    <row r="7033" spans="1:18" hidden="1" x14ac:dyDescent="0.3">
      <c r="A7033" s="15" t="s">
        <v>21040</v>
      </c>
      <c r="B7033" s="15" t="s">
        <v>4775</v>
      </c>
      <c r="C7033" s="18" t="s">
        <v>28</v>
      </c>
      <c r="D7033" s="15" t="s">
        <v>4776</v>
      </c>
      <c r="E7033" s="18" t="s">
        <v>28</v>
      </c>
      <c r="F7033" s="19" t="s">
        <v>28</v>
      </c>
      <c r="G7033" s="19">
        <v>1.1200000000000001</v>
      </c>
      <c r="H7033" s="19" t="s">
        <v>28</v>
      </c>
      <c r="I7033" s="18" t="s">
        <v>28</v>
      </c>
      <c r="J7033" s="18" t="s">
        <v>28</v>
      </c>
      <c r="K7033" s="18" t="s">
        <v>28</v>
      </c>
      <c r="L7033" s="18" t="s">
        <v>28</v>
      </c>
      <c r="M7033" s="18" t="s">
        <v>28</v>
      </c>
      <c r="N7033" s="17">
        <v>43588</v>
      </c>
      <c r="O7033" s="15" t="s">
        <v>73</v>
      </c>
      <c r="P7033" s="16" t="s">
        <v>21041</v>
      </c>
      <c r="Q7033" s="15" t="s">
        <v>3973</v>
      </c>
      <c r="R7033" s="13" t="str">
        <f>HYPERLINK("https://my.pitchbook.com?c=121171-78T","View Company Online")</f>
        <v>View Company Online</v>
      </c>
    </row>
    <row r="7034" spans="1:18" hidden="1" x14ac:dyDescent="0.3">
      <c r="A7034" s="9" t="s">
        <v>21042</v>
      </c>
      <c r="B7034" s="9" t="s">
        <v>4775</v>
      </c>
      <c r="C7034" s="11" t="s">
        <v>28</v>
      </c>
      <c r="D7034" s="9" t="s">
        <v>4776</v>
      </c>
      <c r="E7034" s="11" t="s">
        <v>28</v>
      </c>
      <c r="F7034" s="10" t="s">
        <v>28</v>
      </c>
      <c r="G7034" s="10">
        <v>0.56000000000000005</v>
      </c>
      <c r="H7034" s="10" t="s">
        <v>28</v>
      </c>
      <c r="I7034" s="11" t="s">
        <v>28</v>
      </c>
      <c r="J7034" s="11" t="s">
        <v>28</v>
      </c>
      <c r="K7034" s="11" t="s">
        <v>28</v>
      </c>
      <c r="L7034" s="11" t="s">
        <v>28</v>
      </c>
      <c r="M7034" s="11" t="s">
        <v>28</v>
      </c>
      <c r="N7034" s="8">
        <v>43588</v>
      </c>
      <c r="O7034" s="9" t="s">
        <v>73</v>
      </c>
      <c r="P7034" s="12" t="s">
        <v>21041</v>
      </c>
      <c r="Q7034" s="9" t="s">
        <v>3973</v>
      </c>
      <c r="R7034" s="14" t="str">
        <f>HYPERLINK("https://my.pitchbook.com?c=136808-92T","View Company Online")</f>
        <v>View Company Online</v>
      </c>
    </row>
    <row r="7035" spans="1:18" hidden="1" x14ac:dyDescent="0.3">
      <c r="A7035" s="15" t="s">
        <v>21043</v>
      </c>
      <c r="B7035" s="15" t="s">
        <v>2311</v>
      </c>
      <c r="C7035" s="18" t="s">
        <v>28</v>
      </c>
      <c r="D7035" s="15" t="s">
        <v>2312</v>
      </c>
      <c r="E7035" s="18" t="s">
        <v>28</v>
      </c>
      <c r="F7035" s="19" t="s">
        <v>28</v>
      </c>
      <c r="G7035" s="19">
        <v>1.08</v>
      </c>
      <c r="H7035" s="19" t="s">
        <v>28</v>
      </c>
      <c r="I7035" s="18" t="s">
        <v>28</v>
      </c>
      <c r="J7035" s="18" t="s">
        <v>28</v>
      </c>
      <c r="K7035" s="18" t="s">
        <v>28</v>
      </c>
      <c r="L7035" s="18" t="s">
        <v>28</v>
      </c>
      <c r="M7035" s="18" t="s">
        <v>28</v>
      </c>
      <c r="N7035" s="17">
        <v>43587</v>
      </c>
      <c r="O7035" s="15" t="s">
        <v>73</v>
      </c>
      <c r="P7035" s="16" t="s">
        <v>19865</v>
      </c>
      <c r="Q7035" s="15" t="s">
        <v>37</v>
      </c>
      <c r="R7035" s="13" t="str">
        <f>HYPERLINK("https://my.pitchbook.com?c=122157-82T","View Company Online")</f>
        <v>View Company Online</v>
      </c>
    </row>
    <row r="7036" spans="1:18" hidden="1" x14ac:dyDescent="0.3">
      <c r="A7036" s="9" t="s">
        <v>21044</v>
      </c>
      <c r="B7036" s="9" t="s">
        <v>19691</v>
      </c>
      <c r="C7036" s="11" t="s">
        <v>28</v>
      </c>
      <c r="D7036" s="9" t="s">
        <v>19692</v>
      </c>
      <c r="E7036" s="11" t="s">
        <v>28</v>
      </c>
      <c r="F7036" s="10">
        <v>1536.18</v>
      </c>
      <c r="G7036" s="10">
        <v>1536.18</v>
      </c>
      <c r="H7036" s="10">
        <v>1536.18</v>
      </c>
      <c r="I7036" s="11" t="s">
        <v>28</v>
      </c>
      <c r="J7036" s="11" t="s">
        <v>28</v>
      </c>
      <c r="K7036" s="11" t="s">
        <v>28</v>
      </c>
      <c r="L7036" s="11" t="s">
        <v>28</v>
      </c>
      <c r="M7036" s="11" t="s">
        <v>28</v>
      </c>
      <c r="N7036" s="8">
        <v>43587</v>
      </c>
      <c r="O7036" s="9" t="s">
        <v>30</v>
      </c>
      <c r="P7036" s="12" t="s">
        <v>28</v>
      </c>
      <c r="Q7036" s="9" t="s">
        <v>2043</v>
      </c>
      <c r="R7036" s="14" t="str">
        <f>HYPERLINK("https://my.pitchbook.com?c=118627-66T","View Company Online")</f>
        <v>View Company Online</v>
      </c>
    </row>
    <row r="7037" spans="1:18" hidden="1" x14ac:dyDescent="0.3">
      <c r="A7037" s="15" t="s">
        <v>21045</v>
      </c>
      <c r="B7037" s="15" t="s">
        <v>10208</v>
      </c>
      <c r="C7037" s="18" t="s">
        <v>28</v>
      </c>
      <c r="D7037" s="15" t="s">
        <v>10209</v>
      </c>
      <c r="E7037" s="18" t="s">
        <v>28</v>
      </c>
      <c r="F7037" s="19" t="s">
        <v>28</v>
      </c>
      <c r="G7037" s="19">
        <v>0.51</v>
      </c>
      <c r="H7037" s="19" t="s">
        <v>28</v>
      </c>
      <c r="I7037" s="18" t="s">
        <v>28</v>
      </c>
      <c r="J7037" s="18" t="s">
        <v>28</v>
      </c>
      <c r="K7037" s="18" t="s">
        <v>28</v>
      </c>
      <c r="L7037" s="18" t="s">
        <v>28</v>
      </c>
      <c r="M7037" s="18" t="s">
        <v>28</v>
      </c>
      <c r="N7037" s="17">
        <v>43587</v>
      </c>
      <c r="O7037" s="15" t="s">
        <v>99</v>
      </c>
      <c r="P7037" s="16" t="s">
        <v>21046</v>
      </c>
      <c r="Q7037" s="15" t="s">
        <v>566</v>
      </c>
      <c r="R7037" s="13" t="str">
        <f>HYPERLINK("https://my.pitchbook.com?c=123438-43T","View Company Online")</f>
        <v>View Company Online</v>
      </c>
    </row>
    <row r="7038" spans="1:18" hidden="1" x14ac:dyDescent="0.3">
      <c r="A7038" s="9" t="s">
        <v>21047</v>
      </c>
      <c r="B7038" s="9" t="s">
        <v>5097</v>
      </c>
      <c r="C7038" s="11" t="s">
        <v>28</v>
      </c>
      <c r="D7038" s="9" t="s">
        <v>5098</v>
      </c>
      <c r="E7038" s="11" t="s">
        <v>28</v>
      </c>
      <c r="F7038" s="10" t="s">
        <v>28</v>
      </c>
      <c r="G7038" s="10">
        <v>3.74</v>
      </c>
      <c r="H7038" s="10" t="s">
        <v>28</v>
      </c>
      <c r="I7038" s="11" t="s">
        <v>28</v>
      </c>
      <c r="J7038" s="11" t="s">
        <v>28</v>
      </c>
      <c r="K7038" s="11" t="s">
        <v>28</v>
      </c>
      <c r="L7038" s="11" t="s">
        <v>28</v>
      </c>
      <c r="M7038" s="11" t="s">
        <v>28</v>
      </c>
      <c r="N7038" s="8">
        <v>43587</v>
      </c>
      <c r="O7038" s="9" t="s">
        <v>79</v>
      </c>
      <c r="P7038" s="12" t="s">
        <v>21048</v>
      </c>
      <c r="Q7038" s="9" t="s">
        <v>37</v>
      </c>
      <c r="R7038" s="14" t="str">
        <f>HYPERLINK("https://my.pitchbook.com?c=119725-48T","View Company Online")</f>
        <v>View Company Online</v>
      </c>
    </row>
    <row r="7039" spans="1:18" hidden="1" x14ac:dyDescent="0.3">
      <c r="A7039" s="15" t="s">
        <v>21049</v>
      </c>
      <c r="B7039" s="15" t="s">
        <v>21050</v>
      </c>
      <c r="C7039" s="18" t="s">
        <v>28</v>
      </c>
      <c r="D7039" s="15" t="s">
        <v>21051</v>
      </c>
      <c r="E7039" s="18" t="s">
        <v>28</v>
      </c>
      <c r="F7039" s="19" t="s">
        <v>28</v>
      </c>
      <c r="G7039" s="19" t="s">
        <v>28</v>
      </c>
      <c r="H7039" s="19" t="s">
        <v>28</v>
      </c>
      <c r="I7039" s="18" t="s">
        <v>28</v>
      </c>
      <c r="J7039" s="18" t="s">
        <v>28</v>
      </c>
      <c r="K7039" s="18" t="s">
        <v>28</v>
      </c>
      <c r="L7039" s="18" t="s">
        <v>28</v>
      </c>
      <c r="M7039" s="18" t="s">
        <v>28</v>
      </c>
      <c r="N7039" s="17">
        <v>43587</v>
      </c>
      <c r="O7039" s="15" t="s">
        <v>173</v>
      </c>
      <c r="P7039" s="16" t="s">
        <v>28</v>
      </c>
      <c r="Q7039" s="15" t="s">
        <v>424</v>
      </c>
      <c r="R7039" s="13" t="str">
        <f>HYPERLINK("https://my.pitchbook.com?c=226022-14T","View Company Online")</f>
        <v>View Company Online</v>
      </c>
    </row>
    <row r="7040" spans="1:18" hidden="1" x14ac:dyDescent="0.3">
      <c r="A7040" s="9" t="s">
        <v>21052</v>
      </c>
      <c r="B7040" s="9" t="s">
        <v>21053</v>
      </c>
      <c r="C7040" s="11" t="s">
        <v>28</v>
      </c>
      <c r="D7040" s="9" t="s">
        <v>21054</v>
      </c>
      <c r="E7040" s="11" t="s">
        <v>28</v>
      </c>
      <c r="F7040" s="10" t="s">
        <v>28</v>
      </c>
      <c r="G7040" s="10" t="s">
        <v>28</v>
      </c>
      <c r="H7040" s="10" t="s">
        <v>28</v>
      </c>
      <c r="I7040" s="11" t="s">
        <v>28</v>
      </c>
      <c r="J7040" s="11" t="s">
        <v>28</v>
      </c>
      <c r="K7040" s="11" t="s">
        <v>28</v>
      </c>
      <c r="L7040" s="11" t="s">
        <v>28</v>
      </c>
      <c r="M7040" s="11" t="s">
        <v>28</v>
      </c>
      <c r="N7040" s="8">
        <v>43586</v>
      </c>
      <c r="O7040" s="9" t="s">
        <v>73</v>
      </c>
      <c r="P7040" s="12" t="s">
        <v>611</v>
      </c>
      <c r="Q7040" s="9" t="s">
        <v>119</v>
      </c>
      <c r="R7040" s="14" t="str">
        <f>HYPERLINK("https://my.pitchbook.com?c=124741-81T","View Company Online")</f>
        <v>View Company Online</v>
      </c>
    </row>
    <row r="7041" spans="1:18" hidden="1" x14ac:dyDescent="0.3">
      <c r="A7041" s="15" t="s">
        <v>21055</v>
      </c>
      <c r="B7041" s="15" t="s">
        <v>6766</v>
      </c>
      <c r="C7041" s="18" t="s">
        <v>28</v>
      </c>
      <c r="D7041" s="15" t="s">
        <v>6767</v>
      </c>
      <c r="E7041" s="18" t="s">
        <v>28</v>
      </c>
      <c r="F7041" s="19" t="s">
        <v>28</v>
      </c>
      <c r="G7041" s="19" t="s">
        <v>28</v>
      </c>
      <c r="H7041" s="19" t="s">
        <v>28</v>
      </c>
      <c r="I7041" s="18" t="s">
        <v>28</v>
      </c>
      <c r="J7041" s="18" t="s">
        <v>28</v>
      </c>
      <c r="K7041" s="18" t="s">
        <v>28</v>
      </c>
      <c r="L7041" s="18" t="s">
        <v>28</v>
      </c>
      <c r="M7041" s="18" t="s">
        <v>28</v>
      </c>
      <c r="N7041" s="17">
        <v>43586</v>
      </c>
      <c r="O7041" s="15" t="s">
        <v>30</v>
      </c>
      <c r="P7041" s="16" t="s">
        <v>21056</v>
      </c>
      <c r="Q7041" s="15" t="s">
        <v>419</v>
      </c>
      <c r="R7041" s="13" t="str">
        <f>HYPERLINK("https://my.pitchbook.com?c=114989-41T","View Company Online")</f>
        <v>View Company Online</v>
      </c>
    </row>
    <row r="7042" spans="1:18" hidden="1" x14ac:dyDescent="0.3">
      <c r="A7042" s="9" t="s">
        <v>21057</v>
      </c>
      <c r="B7042" s="9" t="s">
        <v>21058</v>
      </c>
      <c r="C7042" s="11" t="s">
        <v>28</v>
      </c>
      <c r="D7042" s="9" t="s">
        <v>21059</v>
      </c>
      <c r="E7042" s="11" t="s">
        <v>28</v>
      </c>
      <c r="F7042" s="10" t="s">
        <v>28</v>
      </c>
      <c r="G7042" s="10" t="s">
        <v>28</v>
      </c>
      <c r="H7042" s="10" t="s">
        <v>28</v>
      </c>
      <c r="I7042" s="11" t="s">
        <v>28</v>
      </c>
      <c r="J7042" s="11" t="s">
        <v>28</v>
      </c>
      <c r="K7042" s="11" t="s">
        <v>28</v>
      </c>
      <c r="L7042" s="11" t="s">
        <v>28</v>
      </c>
      <c r="M7042" s="11" t="s">
        <v>28</v>
      </c>
      <c r="N7042" s="8">
        <v>43586</v>
      </c>
      <c r="O7042" s="9" t="s">
        <v>58</v>
      </c>
      <c r="P7042" s="12" t="s">
        <v>28</v>
      </c>
      <c r="Q7042" s="9" t="s">
        <v>119</v>
      </c>
      <c r="R7042" s="14" t="str">
        <f>HYPERLINK("https://my.pitchbook.com?c=211784-41T","View Company Online")</f>
        <v>View Company Online</v>
      </c>
    </row>
    <row r="7043" spans="1:18" hidden="1" x14ac:dyDescent="0.3">
      <c r="A7043" s="15" t="s">
        <v>21060</v>
      </c>
      <c r="B7043" s="15" t="s">
        <v>9818</v>
      </c>
      <c r="C7043" s="18" t="s">
        <v>28</v>
      </c>
      <c r="D7043" s="15" t="s">
        <v>9819</v>
      </c>
      <c r="E7043" s="18" t="s">
        <v>28</v>
      </c>
      <c r="F7043" s="19" t="s">
        <v>28</v>
      </c>
      <c r="G7043" s="19" t="s">
        <v>28</v>
      </c>
      <c r="H7043" s="19" t="s">
        <v>28</v>
      </c>
      <c r="I7043" s="18" t="s">
        <v>28</v>
      </c>
      <c r="J7043" s="18" t="s">
        <v>28</v>
      </c>
      <c r="K7043" s="18" t="s">
        <v>28</v>
      </c>
      <c r="L7043" s="18" t="s">
        <v>28</v>
      </c>
      <c r="M7043" s="18" t="s">
        <v>28</v>
      </c>
      <c r="N7043" s="17">
        <v>43586</v>
      </c>
      <c r="O7043" s="15" t="s">
        <v>79</v>
      </c>
      <c r="P7043" s="16" t="s">
        <v>611</v>
      </c>
      <c r="Q7043" s="15" t="s">
        <v>75</v>
      </c>
      <c r="R7043" s="13" t="str">
        <f>HYPERLINK("https://my.pitchbook.com?c=243418-33T","View Company Online")</f>
        <v>View Company Online</v>
      </c>
    </row>
    <row r="7044" spans="1:18" hidden="1" x14ac:dyDescent="0.3">
      <c r="A7044" s="9" t="s">
        <v>21061</v>
      </c>
      <c r="B7044" s="9" t="s">
        <v>13964</v>
      </c>
      <c r="C7044" s="11" t="s">
        <v>28</v>
      </c>
      <c r="D7044" s="9" t="s">
        <v>13965</v>
      </c>
      <c r="E7044" s="11" t="s">
        <v>28</v>
      </c>
      <c r="F7044" s="10" t="s">
        <v>28</v>
      </c>
      <c r="G7044" s="10">
        <v>0.38</v>
      </c>
      <c r="H7044" s="10" t="s">
        <v>28</v>
      </c>
      <c r="I7044" s="11" t="s">
        <v>28</v>
      </c>
      <c r="J7044" s="11" t="s">
        <v>28</v>
      </c>
      <c r="K7044" s="11" t="s">
        <v>28</v>
      </c>
      <c r="L7044" s="11" t="s">
        <v>28</v>
      </c>
      <c r="M7044" s="11" t="s">
        <v>28</v>
      </c>
      <c r="N7044" s="8">
        <v>43586</v>
      </c>
      <c r="O7044" s="9" t="s">
        <v>99</v>
      </c>
      <c r="P7044" s="12" t="s">
        <v>21062</v>
      </c>
      <c r="Q7044" s="9" t="s">
        <v>75</v>
      </c>
      <c r="R7044" s="14" t="str">
        <f>HYPERLINK("https://my.pitchbook.com?c=179907-85T","View Company Online")</f>
        <v>View Company Online</v>
      </c>
    </row>
    <row r="7045" spans="1:18" hidden="1" x14ac:dyDescent="0.3">
      <c r="A7045" s="15" t="s">
        <v>21063</v>
      </c>
      <c r="B7045" s="15" t="s">
        <v>21064</v>
      </c>
      <c r="C7045" s="18" t="s">
        <v>28</v>
      </c>
      <c r="D7045" s="15" t="s">
        <v>21065</v>
      </c>
      <c r="E7045" s="18" t="s">
        <v>28</v>
      </c>
      <c r="F7045" s="19" t="s">
        <v>28</v>
      </c>
      <c r="G7045" s="19">
        <v>0.72</v>
      </c>
      <c r="H7045" s="19" t="s">
        <v>28</v>
      </c>
      <c r="I7045" s="18" t="s">
        <v>28</v>
      </c>
      <c r="J7045" s="18" t="s">
        <v>28</v>
      </c>
      <c r="K7045" s="18" t="s">
        <v>28</v>
      </c>
      <c r="L7045" s="18" t="s">
        <v>28</v>
      </c>
      <c r="M7045" s="18" t="s">
        <v>28</v>
      </c>
      <c r="N7045" s="17">
        <v>43586</v>
      </c>
      <c r="O7045" s="15" t="s">
        <v>58</v>
      </c>
      <c r="P7045" s="16" t="s">
        <v>21066</v>
      </c>
      <c r="Q7045" s="15" t="s">
        <v>75</v>
      </c>
      <c r="R7045" s="13" t="str">
        <f>HYPERLINK("https://my.pitchbook.com?c=211753-72T","View Company Online")</f>
        <v>View Company Online</v>
      </c>
    </row>
    <row r="7046" spans="1:18" hidden="1" x14ac:dyDescent="0.3">
      <c r="A7046" s="9" t="s">
        <v>21067</v>
      </c>
      <c r="B7046" s="9" t="s">
        <v>21068</v>
      </c>
      <c r="C7046" s="11" t="s">
        <v>28</v>
      </c>
      <c r="D7046" s="9" t="s">
        <v>21069</v>
      </c>
      <c r="E7046" s="11" t="s">
        <v>28</v>
      </c>
      <c r="F7046" s="10" t="s">
        <v>28</v>
      </c>
      <c r="G7046" s="10">
        <v>0.5</v>
      </c>
      <c r="H7046" s="10" t="s">
        <v>28</v>
      </c>
      <c r="I7046" s="11" t="s">
        <v>28</v>
      </c>
      <c r="J7046" s="11" t="s">
        <v>28</v>
      </c>
      <c r="K7046" s="11" t="s">
        <v>28</v>
      </c>
      <c r="L7046" s="11" t="s">
        <v>28</v>
      </c>
      <c r="M7046" s="11" t="s">
        <v>28</v>
      </c>
      <c r="N7046" s="8">
        <v>43586</v>
      </c>
      <c r="O7046" s="9" t="s">
        <v>79</v>
      </c>
      <c r="P7046" s="12" t="s">
        <v>21070</v>
      </c>
      <c r="Q7046" s="9" t="s">
        <v>37</v>
      </c>
      <c r="R7046" s="14" t="str">
        <f>HYPERLINK("https://my.pitchbook.com?c=129536-29T","View Company Online")</f>
        <v>View Company Online</v>
      </c>
    </row>
    <row r="7047" spans="1:18" hidden="1" x14ac:dyDescent="0.3">
      <c r="A7047" s="15" t="s">
        <v>21071</v>
      </c>
      <c r="B7047" s="15" t="s">
        <v>10277</v>
      </c>
      <c r="C7047" s="18" t="s">
        <v>28</v>
      </c>
      <c r="D7047" s="15" t="s">
        <v>10278</v>
      </c>
      <c r="E7047" s="18" t="s">
        <v>28</v>
      </c>
      <c r="F7047" s="19" t="s">
        <v>28</v>
      </c>
      <c r="G7047" s="19" t="s">
        <v>28</v>
      </c>
      <c r="H7047" s="19" t="s">
        <v>28</v>
      </c>
      <c r="I7047" s="18" t="s">
        <v>28</v>
      </c>
      <c r="J7047" s="18" t="s">
        <v>28</v>
      </c>
      <c r="K7047" s="18" t="s">
        <v>28</v>
      </c>
      <c r="L7047" s="18" t="s">
        <v>28</v>
      </c>
      <c r="M7047" s="18" t="s">
        <v>28</v>
      </c>
      <c r="N7047" s="17">
        <v>43586</v>
      </c>
      <c r="O7047" s="15" t="s">
        <v>73</v>
      </c>
      <c r="P7047" s="16" t="s">
        <v>21072</v>
      </c>
      <c r="Q7047" s="15" t="s">
        <v>75</v>
      </c>
      <c r="R7047" s="13" t="str">
        <f>HYPERLINK("https://my.pitchbook.com?c=105411-34T","View Company Online")</f>
        <v>View Company Online</v>
      </c>
    </row>
    <row r="7048" spans="1:18" hidden="1" x14ac:dyDescent="0.3">
      <c r="A7048" s="9" t="s">
        <v>21073</v>
      </c>
      <c r="B7048" s="9" t="s">
        <v>21074</v>
      </c>
      <c r="C7048" s="11" t="s">
        <v>28</v>
      </c>
      <c r="D7048" s="9" t="s">
        <v>21075</v>
      </c>
      <c r="E7048" s="11" t="s">
        <v>28</v>
      </c>
      <c r="F7048" s="10">
        <v>1.58</v>
      </c>
      <c r="G7048" s="10">
        <v>1.03</v>
      </c>
      <c r="H7048" s="10">
        <v>1.58</v>
      </c>
      <c r="I7048" s="11" t="s">
        <v>28</v>
      </c>
      <c r="J7048" s="11" t="s">
        <v>28</v>
      </c>
      <c r="K7048" s="11" t="s">
        <v>28</v>
      </c>
      <c r="L7048" s="11" t="s">
        <v>28</v>
      </c>
      <c r="M7048" s="11" t="s">
        <v>28</v>
      </c>
      <c r="N7048" s="8">
        <v>43586</v>
      </c>
      <c r="O7048" s="9" t="s">
        <v>41</v>
      </c>
      <c r="P7048" s="12" t="s">
        <v>343</v>
      </c>
      <c r="Q7048" s="9" t="s">
        <v>119</v>
      </c>
      <c r="R7048" s="14" t="str">
        <f>HYPERLINK("https://my.pitchbook.com?c=126025-21T","View Company Online")</f>
        <v>View Company Online</v>
      </c>
    </row>
    <row r="7049" spans="1:18" hidden="1" x14ac:dyDescent="0.3">
      <c r="A7049" s="15" t="s">
        <v>21076</v>
      </c>
      <c r="B7049" s="15" t="s">
        <v>1720</v>
      </c>
      <c r="C7049" s="18" t="s">
        <v>28</v>
      </c>
      <c r="D7049" s="15" t="s">
        <v>1721</v>
      </c>
      <c r="E7049" s="18" t="s">
        <v>28</v>
      </c>
      <c r="F7049" s="19" t="s">
        <v>28</v>
      </c>
      <c r="G7049" s="19">
        <v>0.17</v>
      </c>
      <c r="H7049" s="19" t="s">
        <v>28</v>
      </c>
      <c r="I7049" s="18" t="s">
        <v>28</v>
      </c>
      <c r="J7049" s="18" t="s">
        <v>28</v>
      </c>
      <c r="K7049" s="18" t="s">
        <v>28</v>
      </c>
      <c r="L7049" s="18" t="s">
        <v>28</v>
      </c>
      <c r="M7049" s="18" t="s">
        <v>28</v>
      </c>
      <c r="N7049" s="17">
        <v>43586</v>
      </c>
      <c r="O7049" s="15" t="s">
        <v>73</v>
      </c>
      <c r="P7049" s="16" t="s">
        <v>21077</v>
      </c>
      <c r="Q7049" s="15" t="s">
        <v>249</v>
      </c>
      <c r="R7049" s="13" t="str">
        <f>HYPERLINK("https://my.pitchbook.com?c=124296-58T","View Company Online")</f>
        <v>View Company Online</v>
      </c>
    </row>
    <row r="7050" spans="1:18" hidden="1" x14ac:dyDescent="0.3">
      <c r="A7050" s="9" t="s">
        <v>21078</v>
      </c>
      <c r="B7050" s="9" t="s">
        <v>21079</v>
      </c>
      <c r="C7050" s="11" t="s">
        <v>28</v>
      </c>
      <c r="D7050" s="9" t="s">
        <v>21080</v>
      </c>
      <c r="E7050" s="11" t="s">
        <v>28</v>
      </c>
      <c r="F7050" s="10" t="s">
        <v>28</v>
      </c>
      <c r="G7050" s="10" t="s">
        <v>28</v>
      </c>
      <c r="H7050" s="10" t="s">
        <v>28</v>
      </c>
      <c r="I7050" s="11" t="s">
        <v>28</v>
      </c>
      <c r="J7050" s="11" t="s">
        <v>28</v>
      </c>
      <c r="K7050" s="11" t="s">
        <v>28</v>
      </c>
      <c r="L7050" s="11" t="s">
        <v>28</v>
      </c>
      <c r="M7050" s="11" t="s">
        <v>28</v>
      </c>
      <c r="N7050" s="8">
        <v>43585</v>
      </c>
      <c r="O7050" s="9" t="s">
        <v>30</v>
      </c>
      <c r="P7050" s="12" t="s">
        <v>21081</v>
      </c>
      <c r="Q7050" s="9" t="s">
        <v>43</v>
      </c>
      <c r="R7050" s="14" t="str">
        <f>HYPERLINK("https://my.pitchbook.com?c=269362-81T","View Company Online")</f>
        <v>View Company Online</v>
      </c>
    </row>
    <row r="7051" spans="1:18" hidden="1" x14ac:dyDescent="0.3">
      <c r="A7051" s="15" t="s">
        <v>21082</v>
      </c>
      <c r="B7051" s="15" t="s">
        <v>21083</v>
      </c>
      <c r="C7051" s="18" t="s">
        <v>28</v>
      </c>
      <c r="D7051" s="15" t="s">
        <v>21084</v>
      </c>
      <c r="E7051" s="18" t="s">
        <v>28</v>
      </c>
      <c r="F7051" s="19">
        <v>60.25</v>
      </c>
      <c r="G7051" s="19">
        <v>60.25</v>
      </c>
      <c r="H7051" s="19">
        <v>60.25</v>
      </c>
      <c r="I7051" s="18" t="s">
        <v>28</v>
      </c>
      <c r="J7051" s="18" t="s">
        <v>28</v>
      </c>
      <c r="K7051" s="18" t="s">
        <v>28</v>
      </c>
      <c r="L7051" s="18" t="s">
        <v>28</v>
      </c>
      <c r="M7051" s="18" t="s">
        <v>28</v>
      </c>
      <c r="N7051" s="17">
        <v>43584</v>
      </c>
      <c r="O7051" s="15" t="s">
        <v>30</v>
      </c>
      <c r="P7051" s="16" t="s">
        <v>21085</v>
      </c>
      <c r="Q7051" s="15" t="s">
        <v>136</v>
      </c>
      <c r="R7051" s="13" t="str">
        <f>HYPERLINK("https://my.pitchbook.com?c=132618-61T","View Company Online")</f>
        <v>View Company Online</v>
      </c>
    </row>
    <row r="7052" spans="1:18" hidden="1" x14ac:dyDescent="0.3">
      <c r="A7052" s="9" t="s">
        <v>21086</v>
      </c>
      <c r="B7052" s="9" t="s">
        <v>21087</v>
      </c>
      <c r="C7052" s="11" t="s">
        <v>28</v>
      </c>
      <c r="D7052" s="9" t="s">
        <v>21088</v>
      </c>
      <c r="E7052" s="11" t="s">
        <v>28</v>
      </c>
      <c r="F7052" s="10" t="s">
        <v>28</v>
      </c>
      <c r="G7052" s="10" t="s">
        <v>28</v>
      </c>
      <c r="H7052" s="10" t="s">
        <v>28</v>
      </c>
      <c r="I7052" s="11" t="s">
        <v>28</v>
      </c>
      <c r="J7052" s="11" t="s">
        <v>28</v>
      </c>
      <c r="K7052" s="11">
        <v>27.36</v>
      </c>
      <c r="L7052" s="11" t="s">
        <v>28</v>
      </c>
      <c r="M7052" s="11" t="s">
        <v>28</v>
      </c>
      <c r="N7052" s="8">
        <v>43584</v>
      </c>
      <c r="O7052" s="9" t="s">
        <v>93</v>
      </c>
      <c r="P7052" s="12" t="s">
        <v>168</v>
      </c>
      <c r="Q7052" s="9" t="s">
        <v>169</v>
      </c>
      <c r="R7052" s="14" t="str">
        <f>HYPERLINK("https://my.pitchbook.com?c=121411-36T","View Company Online")</f>
        <v>View Company Online</v>
      </c>
    </row>
    <row r="7053" spans="1:18" hidden="1" x14ac:dyDescent="0.3">
      <c r="A7053" s="15" t="s">
        <v>21089</v>
      </c>
      <c r="B7053" s="15" t="s">
        <v>21090</v>
      </c>
      <c r="C7053" s="18" t="s">
        <v>28</v>
      </c>
      <c r="D7053" s="15" t="s">
        <v>21091</v>
      </c>
      <c r="E7053" s="18" t="s">
        <v>28</v>
      </c>
      <c r="F7053" s="19" t="s">
        <v>28</v>
      </c>
      <c r="G7053" s="19" t="s">
        <v>28</v>
      </c>
      <c r="H7053" s="19" t="s">
        <v>28</v>
      </c>
      <c r="I7053" s="18" t="s">
        <v>28</v>
      </c>
      <c r="J7053" s="18" t="s">
        <v>28</v>
      </c>
      <c r="K7053" s="18">
        <v>0.05</v>
      </c>
      <c r="L7053" s="18" t="s">
        <v>28</v>
      </c>
      <c r="M7053" s="18">
        <v>-0.64</v>
      </c>
      <c r="N7053" s="17">
        <v>43581</v>
      </c>
      <c r="O7053" s="15" t="s">
        <v>173</v>
      </c>
      <c r="P7053" s="16" t="s">
        <v>28</v>
      </c>
      <c r="Q7053" s="15" t="s">
        <v>174</v>
      </c>
      <c r="R7053" s="13" t="str">
        <f>HYPERLINK("https://my.pitchbook.com?c=251564-68T","View Company Online")</f>
        <v>View Company Online</v>
      </c>
    </row>
    <row r="7054" spans="1:18" hidden="1" x14ac:dyDescent="0.3">
      <c r="A7054" s="9" t="s">
        <v>21092</v>
      </c>
      <c r="B7054" s="9" t="s">
        <v>13524</v>
      </c>
      <c r="C7054" s="11" t="s">
        <v>28</v>
      </c>
      <c r="D7054" s="9" t="s">
        <v>13525</v>
      </c>
      <c r="E7054" s="11" t="s">
        <v>28</v>
      </c>
      <c r="F7054" s="10" t="s">
        <v>28</v>
      </c>
      <c r="G7054" s="10">
        <v>1</v>
      </c>
      <c r="H7054" s="10" t="s">
        <v>28</v>
      </c>
      <c r="I7054" s="11" t="s">
        <v>28</v>
      </c>
      <c r="J7054" s="11" t="s">
        <v>28</v>
      </c>
      <c r="K7054" s="11" t="s">
        <v>28</v>
      </c>
      <c r="L7054" s="11" t="s">
        <v>28</v>
      </c>
      <c r="M7054" s="11" t="s">
        <v>28</v>
      </c>
      <c r="N7054" s="8">
        <v>43581</v>
      </c>
      <c r="O7054" s="9" t="s">
        <v>99</v>
      </c>
      <c r="P7054" s="12" t="s">
        <v>140</v>
      </c>
      <c r="Q7054" s="9" t="s">
        <v>37</v>
      </c>
      <c r="R7054" s="14" t="str">
        <f>HYPERLINK("https://my.pitchbook.com?c=123278-14T","View Company Online")</f>
        <v>View Company Online</v>
      </c>
    </row>
    <row r="7055" spans="1:18" hidden="1" x14ac:dyDescent="0.3">
      <c r="A7055" s="15" t="s">
        <v>21093</v>
      </c>
      <c r="B7055" s="15" t="s">
        <v>10407</v>
      </c>
      <c r="C7055" s="18" t="s">
        <v>28</v>
      </c>
      <c r="D7055" s="15" t="s">
        <v>10408</v>
      </c>
      <c r="E7055" s="18" t="s">
        <v>28</v>
      </c>
      <c r="F7055" s="19" t="s">
        <v>28</v>
      </c>
      <c r="G7055" s="19">
        <v>0.03</v>
      </c>
      <c r="H7055" s="19" t="s">
        <v>28</v>
      </c>
      <c r="I7055" s="18" t="s">
        <v>28</v>
      </c>
      <c r="J7055" s="18" t="s">
        <v>28</v>
      </c>
      <c r="K7055" s="18" t="s">
        <v>28</v>
      </c>
      <c r="L7055" s="18" t="s">
        <v>28</v>
      </c>
      <c r="M7055" s="18" t="s">
        <v>28</v>
      </c>
      <c r="N7055" s="17">
        <v>43580</v>
      </c>
      <c r="O7055" s="15" t="s">
        <v>52</v>
      </c>
      <c r="P7055" s="16" t="s">
        <v>16809</v>
      </c>
      <c r="Q7055" s="15" t="s">
        <v>1643</v>
      </c>
      <c r="R7055" s="13" t="str">
        <f>HYPERLINK("https://my.pitchbook.com?c=125336-89T","View Company Online")</f>
        <v>View Company Online</v>
      </c>
    </row>
    <row r="7056" spans="1:18" hidden="1" x14ac:dyDescent="0.3">
      <c r="A7056" s="9" t="s">
        <v>21094</v>
      </c>
      <c r="B7056" s="9" t="s">
        <v>21095</v>
      </c>
      <c r="C7056" s="11" t="s">
        <v>28</v>
      </c>
      <c r="D7056" s="9" t="s">
        <v>21096</v>
      </c>
      <c r="E7056" s="11" t="s">
        <v>28</v>
      </c>
      <c r="F7056" s="10">
        <v>43.5</v>
      </c>
      <c r="G7056" s="10">
        <v>43.5</v>
      </c>
      <c r="H7056" s="10">
        <v>43.5</v>
      </c>
      <c r="I7056" s="11" t="s">
        <v>28</v>
      </c>
      <c r="J7056" s="11" t="s">
        <v>28</v>
      </c>
      <c r="K7056" s="11">
        <v>26</v>
      </c>
      <c r="L7056" s="11">
        <v>1.67</v>
      </c>
      <c r="M7056" s="11" t="s">
        <v>28</v>
      </c>
      <c r="N7056" s="8">
        <v>43580</v>
      </c>
      <c r="O7056" s="9" t="s">
        <v>30</v>
      </c>
      <c r="P7056" s="12" t="s">
        <v>21097</v>
      </c>
      <c r="Q7056" s="9" t="s">
        <v>105</v>
      </c>
      <c r="R7056" s="14" t="str">
        <f>HYPERLINK("https://my.pitchbook.com?c=117614-44T","View Company Online")</f>
        <v>View Company Online</v>
      </c>
    </row>
    <row r="7057" spans="1:18" hidden="1" x14ac:dyDescent="0.3">
      <c r="A7057" s="15" t="s">
        <v>21098</v>
      </c>
      <c r="B7057" s="15" t="s">
        <v>21099</v>
      </c>
      <c r="C7057" s="18" t="s">
        <v>28</v>
      </c>
      <c r="D7057" s="15" t="s">
        <v>21100</v>
      </c>
      <c r="E7057" s="18" t="s">
        <v>28</v>
      </c>
      <c r="F7057" s="19" t="s">
        <v>28</v>
      </c>
      <c r="G7057" s="19">
        <v>0.2</v>
      </c>
      <c r="H7057" s="19" t="s">
        <v>28</v>
      </c>
      <c r="I7057" s="18" t="s">
        <v>28</v>
      </c>
      <c r="J7057" s="18" t="s">
        <v>28</v>
      </c>
      <c r="K7057" s="18" t="s">
        <v>28</v>
      </c>
      <c r="L7057" s="18" t="s">
        <v>28</v>
      </c>
      <c r="M7057" s="18" t="s">
        <v>28</v>
      </c>
      <c r="N7057" s="17">
        <v>43580</v>
      </c>
      <c r="O7057" s="15" t="s">
        <v>52</v>
      </c>
      <c r="P7057" s="16" t="s">
        <v>21101</v>
      </c>
      <c r="Q7057" s="15" t="s">
        <v>2916</v>
      </c>
      <c r="R7057" s="13" t="str">
        <f>HYPERLINK("https://my.pitchbook.com?c=125548-21T","View Company Online")</f>
        <v>View Company Online</v>
      </c>
    </row>
    <row r="7058" spans="1:18" hidden="1" x14ac:dyDescent="0.3">
      <c r="A7058" s="9" t="s">
        <v>21102</v>
      </c>
      <c r="B7058" s="9" t="s">
        <v>8337</v>
      </c>
      <c r="C7058" s="11" t="s">
        <v>28</v>
      </c>
      <c r="D7058" s="9" t="s">
        <v>8338</v>
      </c>
      <c r="E7058" s="11" t="s">
        <v>28</v>
      </c>
      <c r="F7058" s="10" t="s">
        <v>28</v>
      </c>
      <c r="G7058" s="10">
        <v>0.05</v>
      </c>
      <c r="H7058" s="10" t="s">
        <v>28</v>
      </c>
      <c r="I7058" s="11" t="s">
        <v>28</v>
      </c>
      <c r="J7058" s="11" t="s">
        <v>28</v>
      </c>
      <c r="K7058" s="11" t="s">
        <v>28</v>
      </c>
      <c r="L7058" s="11" t="s">
        <v>28</v>
      </c>
      <c r="M7058" s="11" t="s">
        <v>28</v>
      </c>
      <c r="N7058" s="8">
        <v>43580</v>
      </c>
      <c r="O7058" s="9" t="s">
        <v>52</v>
      </c>
      <c r="P7058" s="12" t="s">
        <v>21103</v>
      </c>
      <c r="Q7058" s="9" t="s">
        <v>75</v>
      </c>
      <c r="R7058" s="14" t="str">
        <f>HYPERLINK("https://my.pitchbook.com?c=125550-28T","View Company Online")</f>
        <v>View Company Online</v>
      </c>
    </row>
    <row r="7059" spans="1:18" hidden="1" x14ac:dyDescent="0.3">
      <c r="A7059" s="15" t="s">
        <v>21104</v>
      </c>
      <c r="B7059" s="15" t="s">
        <v>9781</v>
      </c>
      <c r="C7059" s="18" t="s">
        <v>28</v>
      </c>
      <c r="D7059" s="15" t="s">
        <v>9782</v>
      </c>
      <c r="E7059" s="18" t="s">
        <v>28</v>
      </c>
      <c r="F7059" s="19" t="s">
        <v>28</v>
      </c>
      <c r="G7059" s="19">
        <v>0.26</v>
      </c>
      <c r="H7059" s="19" t="s">
        <v>28</v>
      </c>
      <c r="I7059" s="18" t="s">
        <v>28</v>
      </c>
      <c r="J7059" s="18" t="s">
        <v>28</v>
      </c>
      <c r="K7059" s="18">
        <v>0.41</v>
      </c>
      <c r="L7059" s="18" t="s">
        <v>28</v>
      </c>
      <c r="M7059" s="18" t="s">
        <v>28</v>
      </c>
      <c r="N7059" s="17">
        <v>43580</v>
      </c>
      <c r="O7059" s="15" t="s">
        <v>379</v>
      </c>
      <c r="P7059" s="16" t="s">
        <v>12371</v>
      </c>
      <c r="Q7059" s="15" t="s">
        <v>75</v>
      </c>
      <c r="R7059" s="13" t="str">
        <f>HYPERLINK("https://my.pitchbook.com?c=124504-30T","View Company Online")</f>
        <v>View Company Online</v>
      </c>
    </row>
    <row r="7060" spans="1:18" hidden="1" x14ac:dyDescent="0.3">
      <c r="A7060" s="9" t="s">
        <v>21105</v>
      </c>
      <c r="B7060" s="9" t="s">
        <v>21106</v>
      </c>
      <c r="C7060" s="11" t="s">
        <v>28</v>
      </c>
      <c r="D7060" s="9" t="s">
        <v>21107</v>
      </c>
      <c r="E7060" s="11" t="s">
        <v>28</v>
      </c>
      <c r="F7060" s="10" t="s">
        <v>28</v>
      </c>
      <c r="G7060" s="10">
        <v>0.2</v>
      </c>
      <c r="H7060" s="10" t="s">
        <v>28</v>
      </c>
      <c r="I7060" s="11" t="s">
        <v>28</v>
      </c>
      <c r="J7060" s="11" t="s">
        <v>28</v>
      </c>
      <c r="K7060" s="11" t="s">
        <v>28</v>
      </c>
      <c r="L7060" s="11" t="s">
        <v>28</v>
      </c>
      <c r="M7060" s="11" t="s">
        <v>28</v>
      </c>
      <c r="N7060" s="8">
        <v>43580</v>
      </c>
      <c r="O7060" s="9" t="s">
        <v>52</v>
      </c>
      <c r="P7060" s="12" t="s">
        <v>21103</v>
      </c>
      <c r="Q7060" s="9" t="s">
        <v>75</v>
      </c>
      <c r="R7060" s="14" t="str">
        <f>HYPERLINK("https://my.pitchbook.com?c=125556-94T","View Company Online")</f>
        <v>View Company Online</v>
      </c>
    </row>
    <row r="7061" spans="1:18" hidden="1" x14ac:dyDescent="0.3">
      <c r="A7061" s="15" t="s">
        <v>21108</v>
      </c>
      <c r="B7061" s="15" t="s">
        <v>5573</v>
      </c>
      <c r="C7061" s="18" t="s">
        <v>28</v>
      </c>
      <c r="D7061" s="15" t="s">
        <v>5574</v>
      </c>
      <c r="E7061" s="18" t="s">
        <v>28</v>
      </c>
      <c r="F7061" s="19" t="s">
        <v>28</v>
      </c>
      <c r="G7061" s="19">
        <v>0.2</v>
      </c>
      <c r="H7061" s="19" t="s">
        <v>28</v>
      </c>
      <c r="I7061" s="18" t="s">
        <v>28</v>
      </c>
      <c r="J7061" s="18" t="s">
        <v>28</v>
      </c>
      <c r="K7061" s="18" t="s">
        <v>28</v>
      </c>
      <c r="L7061" s="18" t="s">
        <v>28</v>
      </c>
      <c r="M7061" s="18" t="s">
        <v>28</v>
      </c>
      <c r="N7061" s="17">
        <v>43580</v>
      </c>
      <c r="O7061" s="15" t="s">
        <v>52</v>
      </c>
      <c r="P7061" s="16" t="s">
        <v>18523</v>
      </c>
      <c r="Q7061" s="15" t="s">
        <v>404</v>
      </c>
      <c r="R7061" s="13" t="str">
        <f>HYPERLINK("https://my.pitchbook.com?c=125558-83T","View Company Online")</f>
        <v>View Company Online</v>
      </c>
    </row>
    <row r="7062" spans="1:18" hidden="1" x14ac:dyDescent="0.3">
      <c r="A7062" s="9" t="s">
        <v>21109</v>
      </c>
      <c r="B7062" s="9" t="s">
        <v>21110</v>
      </c>
      <c r="C7062" s="11" t="s">
        <v>28</v>
      </c>
      <c r="D7062" s="9" t="s">
        <v>21111</v>
      </c>
      <c r="E7062" s="11" t="s">
        <v>28</v>
      </c>
      <c r="F7062" s="10" t="s">
        <v>28</v>
      </c>
      <c r="G7062" s="10" t="s">
        <v>28</v>
      </c>
      <c r="H7062" s="10" t="s">
        <v>28</v>
      </c>
      <c r="I7062" s="11" t="s">
        <v>28</v>
      </c>
      <c r="J7062" s="11" t="s">
        <v>28</v>
      </c>
      <c r="K7062" s="11" t="s">
        <v>28</v>
      </c>
      <c r="L7062" s="11" t="s">
        <v>28</v>
      </c>
      <c r="M7062" s="11" t="s">
        <v>28</v>
      </c>
      <c r="N7062" s="8">
        <v>43579</v>
      </c>
      <c r="O7062" s="9" t="s">
        <v>41</v>
      </c>
      <c r="P7062" s="12" t="s">
        <v>21112</v>
      </c>
      <c r="Q7062" s="9" t="s">
        <v>183</v>
      </c>
      <c r="R7062" s="14" t="str">
        <f>HYPERLINK("https://my.pitchbook.com?c=178335-82T","View Company Online")</f>
        <v>View Company Online</v>
      </c>
    </row>
    <row r="7063" spans="1:18" hidden="1" x14ac:dyDescent="0.3">
      <c r="A7063" s="15" t="s">
        <v>21113</v>
      </c>
      <c r="B7063" s="15" t="s">
        <v>1553</v>
      </c>
      <c r="C7063" s="18" t="s">
        <v>28</v>
      </c>
      <c r="D7063" s="15" t="s">
        <v>1554</v>
      </c>
      <c r="E7063" s="18" t="s">
        <v>28</v>
      </c>
      <c r="F7063" s="19" t="s">
        <v>28</v>
      </c>
      <c r="G7063" s="19">
        <v>0.05</v>
      </c>
      <c r="H7063" s="19" t="s">
        <v>28</v>
      </c>
      <c r="I7063" s="18" t="s">
        <v>28</v>
      </c>
      <c r="J7063" s="18" t="s">
        <v>28</v>
      </c>
      <c r="K7063" s="18" t="s">
        <v>28</v>
      </c>
      <c r="L7063" s="18" t="s">
        <v>28</v>
      </c>
      <c r="M7063" s="18" t="s">
        <v>28</v>
      </c>
      <c r="N7063" s="17">
        <v>43579</v>
      </c>
      <c r="O7063" s="15" t="s">
        <v>52</v>
      </c>
      <c r="P7063" s="16" t="s">
        <v>18523</v>
      </c>
      <c r="Q7063" s="15" t="s">
        <v>43</v>
      </c>
      <c r="R7063" s="13" t="str">
        <f>HYPERLINK("https://my.pitchbook.com?c=128737-09T","View Company Online")</f>
        <v>View Company Online</v>
      </c>
    </row>
    <row r="7064" spans="1:18" hidden="1" x14ac:dyDescent="0.3">
      <c r="A7064" s="9" t="s">
        <v>21114</v>
      </c>
      <c r="B7064" s="9" t="s">
        <v>21115</v>
      </c>
      <c r="C7064" s="11" t="s">
        <v>28</v>
      </c>
      <c r="D7064" s="9" t="s">
        <v>21116</v>
      </c>
      <c r="E7064" s="11" t="s">
        <v>28</v>
      </c>
      <c r="F7064" s="10" t="s">
        <v>28</v>
      </c>
      <c r="G7064" s="10">
        <v>0.05</v>
      </c>
      <c r="H7064" s="10" t="s">
        <v>28</v>
      </c>
      <c r="I7064" s="11" t="s">
        <v>28</v>
      </c>
      <c r="J7064" s="11" t="s">
        <v>28</v>
      </c>
      <c r="K7064" s="11" t="s">
        <v>28</v>
      </c>
      <c r="L7064" s="11" t="s">
        <v>28</v>
      </c>
      <c r="M7064" s="11" t="s">
        <v>28</v>
      </c>
      <c r="N7064" s="8">
        <v>43579</v>
      </c>
      <c r="O7064" s="9" t="s">
        <v>52</v>
      </c>
      <c r="P7064" s="12" t="s">
        <v>21117</v>
      </c>
      <c r="Q7064" s="9" t="s">
        <v>75</v>
      </c>
      <c r="R7064" s="14" t="str">
        <f>HYPERLINK("https://my.pitchbook.com?c=130489-93T","View Company Online")</f>
        <v>View Company Online</v>
      </c>
    </row>
    <row r="7065" spans="1:18" hidden="1" x14ac:dyDescent="0.3">
      <c r="A7065" s="15" t="s">
        <v>21118</v>
      </c>
      <c r="B7065" s="15" t="s">
        <v>14430</v>
      </c>
      <c r="C7065" s="18" t="s">
        <v>28</v>
      </c>
      <c r="D7065" s="15" t="s">
        <v>14431</v>
      </c>
      <c r="E7065" s="18" t="s">
        <v>28</v>
      </c>
      <c r="F7065" s="19" t="s">
        <v>28</v>
      </c>
      <c r="G7065" s="19">
        <v>20.399999999999999</v>
      </c>
      <c r="H7065" s="19" t="s">
        <v>28</v>
      </c>
      <c r="I7065" s="18" t="s">
        <v>28</v>
      </c>
      <c r="J7065" s="18" t="s">
        <v>28</v>
      </c>
      <c r="K7065" s="18">
        <v>7.3</v>
      </c>
      <c r="L7065" s="18" t="s">
        <v>28</v>
      </c>
      <c r="M7065" s="18" t="s">
        <v>28</v>
      </c>
      <c r="N7065" s="17">
        <v>43579</v>
      </c>
      <c r="O7065" s="15" t="s">
        <v>79</v>
      </c>
      <c r="P7065" s="16" t="s">
        <v>21119</v>
      </c>
      <c r="Q7065" s="15" t="s">
        <v>75</v>
      </c>
      <c r="R7065" s="13" t="str">
        <f>HYPERLINK("https://my.pitchbook.com?c=118506-16T","View Company Online")</f>
        <v>View Company Online</v>
      </c>
    </row>
    <row r="7066" spans="1:18" hidden="1" x14ac:dyDescent="0.3">
      <c r="A7066" s="9" t="s">
        <v>21120</v>
      </c>
      <c r="B7066" s="9" t="s">
        <v>21121</v>
      </c>
      <c r="C7066" s="11" t="s">
        <v>28</v>
      </c>
      <c r="D7066" s="9" t="s">
        <v>21122</v>
      </c>
      <c r="E7066" s="11" t="s">
        <v>28</v>
      </c>
      <c r="F7066" s="10" t="s">
        <v>28</v>
      </c>
      <c r="G7066" s="10" t="s">
        <v>28</v>
      </c>
      <c r="H7066" s="10" t="s">
        <v>28</v>
      </c>
      <c r="I7066" s="11" t="s">
        <v>28</v>
      </c>
      <c r="J7066" s="11" t="s">
        <v>28</v>
      </c>
      <c r="K7066" s="11" t="s">
        <v>28</v>
      </c>
      <c r="L7066" s="11" t="s">
        <v>28</v>
      </c>
      <c r="M7066" s="11" t="s">
        <v>28</v>
      </c>
      <c r="N7066" s="8">
        <v>43579</v>
      </c>
      <c r="O7066" s="9" t="s">
        <v>173</v>
      </c>
      <c r="P7066" s="12" t="s">
        <v>28</v>
      </c>
      <c r="Q7066" s="9" t="s">
        <v>174</v>
      </c>
      <c r="R7066" s="14" t="str">
        <f>HYPERLINK("https://my.pitchbook.com?c=227752-03T","View Company Online")</f>
        <v>View Company Online</v>
      </c>
    </row>
    <row r="7067" spans="1:18" hidden="1" x14ac:dyDescent="0.3">
      <c r="A7067" s="15" t="s">
        <v>21123</v>
      </c>
      <c r="B7067" s="15" t="s">
        <v>3192</v>
      </c>
      <c r="C7067" s="18" t="s">
        <v>28</v>
      </c>
      <c r="D7067" s="15" t="s">
        <v>3193</v>
      </c>
      <c r="E7067" s="18" t="s">
        <v>28</v>
      </c>
      <c r="F7067" s="19" t="s">
        <v>28</v>
      </c>
      <c r="G7067" s="19">
        <v>11</v>
      </c>
      <c r="H7067" s="19" t="s">
        <v>28</v>
      </c>
      <c r="I7067" s="18" t="s">
        <v>28</v>
      </c>
      <c r="J7067" s="18" t="s">
        <v>28</v>
      </c>
      <c r="K7067" s="18" t="s">
        <v>28</v>
      </c>
      <c r="L7067" s="18" t="s">
        <v>28</v>
      </c>
      <c r="M7067" s="18" t="s">
        <v>28</v>
      </c>
      <c r="N7067" s="17">
        <v>43578</v>
      </c>
      <c r="O7067" s="15" t="s">
        <v>73</v>
      </c>
      <c r="P7067" s="16" t="s">
        <v>21124</v>
      </c>
      <c r="Q7067" s="15" t="s">
        <v>114</v>
      </c>
      <c r="R7067" s="13" t="str">
        <f>HYPERLINK("https://my.pitchbook.com?c=118445-41T","View Company Online")</f>
        <v>View Company Online</v>
      </c>
    </row>
    <row r="7068" spans="1:18" hidden="1" x14ac:dyDescent="0.3">
      <c r="A7068" s="9" t="s">
        <v>21125</v>
      </c>
      <c r="B7068" s="9" t="s">
        <v>21126</v>
      </c>
      <c r="C7068" s="11" t="s">
        <v>28</v>
      </c>
      <c r="D7068" s="9" t="s">
        <v>21127</v>
      </c>
      <c r="E7068" s="11" t="s">
        <v>28</v>
      </c>
      <c r="F7068" s="10" t="s">
        <v>28</v>
      </c>
      <c r="G7068" s="10" t="s">
        <v>28</v>
      </c>
      <c r="H7068" s="10" t="s">
        <v>28</v>
      </c>
      <c r="I7068" s="11" t="s">
        <v>28</v>
      </c>
      <c r="J7068" s="11" t="s">
        <v>28</v>
      </c>
      <c r="K7068" s="11" t="s">
        <v>28</v>
      </c>
      <c r="L7068" s="11" t="s">
        <v>28</v>
      </c>
      <c r="M7068" s="11" t="s">
        <v>28</v>
      </c>
      <c r="N7068" s="8">
        <v>43577</v>
      </c>
      <c r="O7068" s="9" t="s">
        <v>173</v>
      </c>
      <c r="P7068" s="12" t="s">
        <v>28</v>
      </c>
      <c r="Q7068" s="9" t="s">
        <v>240</v>
      </c>
      <c r="R7068" s="14" t="str">
        <f>HYPERLINK("https://my.pitchbook.com?c=226318-87T","View Company Online")</f>
        <v>View Company Online</v>
      </c>
    </row>
    <row r="7069" spans="1:18" hidden="1" x14ac:dyDescent="0.3">
      <c r="A7069" s="15" t="s">
        <v>21128</v>
      </c>
      <c r="B7069" s="15" t="s">
        <v>21129</v>
      </c>
      <c r="C7069" s="18" t="s">
        <v>28</v>
      </c>
      <c r="D7069" s="15" t="s">
        <v>21130</v>
      </c>
      <c r="E7069" s="18" t="s">
        <v>28</v>
      </c>
      <c r="F7069" s="19" t="s">
        <v>28</v>
      </c>
      <c r="G7069" s="19" t="s">
        <v>28</v>
      </c>
      <c r="H7069" s="19" t="s">
        <v>28</v>
      </c>
      <c r="I7069" s="18" t="s">
        <v>28</v>
      </c>
      <c r="J7069" s="18" t="s">
        <v>28</v>
      </c>
      <c r="K7069" s="18" t="s">
        <v>28</v>
      </c>
      <c r="L7069" s="18" t="s">
        <v>28</v>
      </c>
      <c r="M7069" s="18" t="s">
        <v>28</v>
      </c>
      <c r="N7069" s="17">
        <v>43577</v>
      </c>
      <c r="O7069" s="15" t="s">
        <v>173</v>
      </c>
      <c r="P7069" s="16" t="s">
        <v>28</v>
      </c>
      <c r="Q7069" s="15" t="s">
        <v>174</v>
      </c>
      <c r="R7069" s="13" t="str">
        <f>HYPERLINK("https://my.pitchbook.com?c=226396-99T","View Company Online")</f>
        <v>View Company Online</v>
      </c>
    </row>
    <row r="7070" spans="1:18" hidden="1" x14ac:dyDescent="0.3">
      <c r="A7070" s="9" t="s">
        <v>21131</v>
      </c>
      <c r="B7070" s="9" t="s">
        <v>21132</v>
      </c>
      <c r="C7070" s="11" t="s">
        <v>28</v>
      </c>
      <c r="D7070" s="9" t="s">
        <v>21133</v>
      </c>
      <c r="E7070" s="11" t="s">
        <v>28</v>
      </c>
      <c r="F7070" s="10" t="s">
        <v>28</v>
      </c>
      <c r="G7070" s="10">
        <v>1.47</v>
      </c>
      <c r="H7070" s="10" t="s">
        <v>28</v>
      </c>
      <c r="I7070" s="11" t="s">
        <v>28</v>
      </c>
      <c r="J7070" s="11" t="s">
        <v>28</v>
      </c>
      <c r="K7070" s="11" t="s">
        <v>28</v>
      </c>
      <c r="L7070" s="11" t="s">
        <v>28</v>
      </c>
      <c r="M7070" s="11" t="s">
        <v>28</v>
      </c>
      <c r="N7070" s="8">
        <v>43572</v>
      </c>
      <c r="O7070" s="9" t="s">
        <v>73</v>
      </c>
      <c r="P7070" s="12" t="s">
        <v>20157</v>
      </c>
      <c r="Q7070" s="9" t="s">
        <v>37</v>
      </c>
      <c r="R7070" s="14" t="str">
        <f>HYPERLINK("https://my.pitchbook.com?c=138932-20T","View Company Online")</f>
        <v>View Company Online</v>
      </c>
    </row>
    <row r="7071" spans="1:18" hidden="1" x14ac:dyDescent="0.3">
      <c r="A7071" s="15" t="s">
        <v>21134</v>
      </c>
      <c r="B7071" s="15" t="s">
        <v>18592</v>
      </c>
      <c r="C7071" s="18" t="s">
        <v>28</v>
      </c>
      <c r="D7071" s="15" t="s">
        <v>18593</v>
      </c>
      <c r="E7071" s="18">
        <v>52.79</v>
      </c>
      <c r="F7071" s="19" t="s">
        <v>28</v>
      </c>
      <c r="G7071" s="19">
        <v>199.63</v>
      </c>
      <c r="H7071" s="19" t="s">
        <v>28</v>
      </c>
      <c r="I7071" s="18" t="s">
        <v>28</v>
      </c>
      <c r="J7071" s="18" t="s">
        <v>28</v>
      </c>
      <c r="K7071" s="18">
        <v>618.64</v>
      </c>
      <c r="L7071" s="18" t="s">
        <v>28</v>
      </c>
      <c r="M7071" s="18">
        <v>40.43</v>
      </c>
      <c r="N7071" s="17">
        <v>43571</v>
      </c>
      <c r="O7071" s="15" t="s">
        <v>173</v>
      </c>
      <c r="P7071" s="16" t="s">
        <v>21135</v>
      </c>
      <c r="Q7071" s="15" t="s">
        <v>6392</v>
      </c>
      <c r="R7071" s="13" t="str">
        <f>HYPERLINK("https://my.pitchbook.com?c=120984-04T","View Company Online")</f>
        <v>View Company Online</v>
      </c>
    </row>
    <row r="7072" spans="1:18" hidden="1" x14ac:dyDescent="0.3">
      <c r="A7072" s="9" t="s">
        <v>21136</v>
      </c>
      <c r="B7072" s="9" t="s">
        <v>21137</v>
      </c>
      <c r="C7072" s="11" t="s">
        <v>28</v>
      </c>
      <c r="D7072" s="9" t="s">
        <v>21138</v>
      </c>
      <c r="E7072" s="11" t="s">
        <v>28</v>
      </c>
      <c r="F7072" s="10" t="s">
        <v>28</v>
      </c>
      <c r="G7072" s="10" t="s">
        <v>28</v>
      </c>
      <c r="H7072" s="10" t="s">
        <v>28</v>
      </c>
      <c r="I7072" s="11" t="s">
        <v>28</v>
      </c>
      <c r="J7072" s="11" t="s">
        <v>28</v>
      </c>
      <c r="K7072" s="11" t="s">
        <v>28</v>
      </c>
      <c r="L7072" s="11" t="s">
        <v>28</v>
      </c>
      <c r="M7072" s="11" t="s">
        <v>28</v>
      </c>
      <c r="N7072" s="8">
        <v>43571</v>
      </c>
      <c r="O7072" s="9" t="s">
        <v>41</v>
      </c>
      <c r="P7072" s="12" t="s">
        <v>21139</v>
      </c>
      <c r="Q7072" s="9" t="s">
        <v>183</v>
      </c>
      <c r="R7072" s="14" t="str">
        <f>HYPERLINK("https://my.pitchbook.com?c=118381-96T","View Company Online")</f>
        <v>View Company Online</v>
      </c>
    </row>
    <row r="7073" spans="1:18" hidden="1" x14ac:dyDescent="0.3">
      <c r="A7073" s="15" t="s">
        <v>21140</v>
      </c>
      <c r="B7073" s="15" t="s">
        <v>14081</v>
      </c>
      <c r="C7073" s="18" t="s">
        <v>28</v>
      </c>
      <c r="D7073" s="15" t="s">
        <v>14082</v>
      </c>
      <c r="E7073" s="18" t="s">
        <v>28</v>
      </c>
      <c r="F7073" s="19">
        <v>15.81</v>
      </c>
      <c r="G7073" s="19">
        <v>13.43</v>
      </c>
      <c r="H7073" s="19">
        <v>15.8</v>
      </c>
      <c r="I7073" s="18" t="s">
        <v>28</v>
      </c>
      <c r="J7073" s="18" t="s">
        <v>28</v>
      </c>
      <c r="K7073" s="18" t="s">
        <v>28</v>
      </c>
      <c r="L7073" s="18" t="s">
        <v>28</v>
      </c>
      <c r="M7073" s="18" t="s">
        <v>28</v>
      </c>
      <c r="N7073" s="17">
        <v>43570</v>
      </c>
      <c r="O7073" s="15" t="s">
        <v>41</v>
      </c>
      <c r="P7073" s="16" t="s">
        <v>21141</v>
      </c>
      <c r="Q7073" s="15" t="s">
        <v>75</v>
      </c>
      <c r="R7073" s="13" t="str">
        <f>HYPERLINK("https://my.pitchbook.com?c=124086-43T","View Company Online")</f>
        <v>View Company Online</v>
      </c>
    </row>
    <row r="7074" spans="1:18" hidden="1" x14ac:dyDescent="0.3">
      <c r="A7074" s="9" t="s">
        <v>21142</v>
      </c>
      <c r="B7074" s="9" t="s">
        <v>21143</v>
      </c>
      <c r="C7074" s="11" t="s">
        <v>28</v>
      </c>
      <c r="D7074" s="9" t="s">
        <v>21144</v>
      </c>
      <c r="E7074" s="11" t="s">
        <v>28</v>
      </c>
      <c r="F7074" s="10" t="s">
        <v>28</v>
      </c>
      <c r="G7074" s="10" t="s">
        <v>28</v>
      </c>
      <c r="H7074" s="10" t="s">
        <v>28</v>
      </c>
      <c r="I7074" s="11" t="s">
        <v>28</v>
      </c>
      <c r="J7074" s="11" t="s">
        <v>28</v>
      </c>
      <c r="K7074" s="11" t="s">
        <v>28</v>
      </c>
      <c r="L7074" s="11" t="s">
        <v>28</v>
      </c>
      <c r="M7074" s="11" t="s">
        <v>28</v>
      </c>
      <c r="N7074" s="8">
        <v>43570</v>
      </c>
      <c r="O7074" s="9" t="s">
        <v>52</v>
      </c>
      <c r="P7074" s="12" t="s">
        <v>28</v>
      </c>
      <c r="Q7074" s="9" t="s">
        <v>75</v>
      </c>
      <c r="R7074" s="14" t="str">
        <f>HYPERLINK("https://my.pitchbook.com?c=158255-65T","View Company Online")</f>
        <v>View Company Online</v>
      </c>
    </row>
    <row r="7075" spans="1:18" hidden="1" x14ac:dyDescent="0.3">
      <c r="A7075" s="15" t="s">
        <v>21145</v>
      </c>
      <c r="B7075" s="15" t="s">
        <v>21146</v>
      </c>
      <c r="C7075" s="18" t="s">
        <v>28</v>
      </c>
      <c r="D7075" s="15" t="s">
        <v>21147</v>
      </c>
      <c r="E7075" s="18" t="s">
        <v>28</v>
      </c>
      <c r="F7075" s="19">
        <v>40.1</v>
      </c>
      <c r="G7075" s="19">
        <v>40.1</v>
      </c>
      <c r="H7075" s="19">
        <v>40.1</v>
      </c>
      <c r="I7075" s="18" t="s">
        <v>28</v>
      </c>
      <c r="J7075" s="18" t="s">
        <v>28</v>
      </c>
      <c r="K7075" s="18" t="s">
        <v>28</v>
      </c>
      <c r="L7075" s="18" t="s">
        <v>28</v>
      </c>
      <c r="M7075" s="18" t="s">
        <v>28</v>
      </c>
      <c r="N7075" s="17">
        <v>43570</v>
      </c>
      <c r="O7075" s="15" t="s">
        <v>30</v>
      </c>
      <c r="P7075" s="16" t="s">
        <v>21148</v>
      </c>
      <c r="Q7075" s="15" t="s">
        <v>75</v>
      </c>
      <c r="R7075" s="13" t="str">
        <f>HYPERLINK("https://my.pitchbook.com?c=167045-68T","View Company Online")</f>
        <v>View Company Online</v>
      </c>
    </row>
    <row r="7076" spans="1:18" hidden="1" x14ac:dyDescent="0.3">
      <c r="A7076" s="9" t="s">
        <v>21149</v>
      </c>
      <c r="B7076" s="9" t="s">
        <v>21150</v>
      </c>
      <c r="C7076" s="11" t="s">
        <v>28</v>
      </c>
      <c r="D7076" s="9" t="s">
        <v>21151</v>
      </c>
      <c r="E7076" s="11" t="s">
        <v>28</v>
      </c>
      <c r="F7076" s="10" t="s">
        <v>28</v>
      </c>
      <c r="G7076" s="10">
        <v>51.74</v>
      </c>
      <c r="H7076" s="10">
        <v>258.72000000000003</v>
      </c>
      <c r="I7076" s="11" t="s">
        <v>28</v>
      </c>
      <c r="J7076" s="11" t="s">
        <v>28</v>
      </c>
      <c r="K7076" s="11">
        <v>136.81</v>
      </c>
      <c r="L7076" s="11">
        <v>1.89</v>
      </c>
      <c r="M7076" s="11" t="s">
        <v>28</v>
      </c>
      <c r="N7076" s="8">
        <v>43570</v>
      </c>
      <c r="O7076" s="9" t="s">
        <v>93</v>
      </c>
      <c r="P7076" s="12" t="s">
        <v>1833</v>
      </c>
      <c r="Q7076" s="9" t="s">
        <v>43</v>
      </c>
      <c r="R7076" s="14" t="str">
        <f>HYPERLINK("https://my.pitchbook.com?c=158317-03T","View Company Online")</f>
        <v>View Company Online</v>
      </c>
    </row>
    <row r="7077" spans="1:18" hidden="1" x14ac:dyDescent="0.3">
      <c r="A7077" s="15" t="s">
        <v>21152</v>
      </c>
      <c r="B7077" s="15" t="s">
        <v>10421</v>
      </c>
      <c r="C7077" s="18" t="s">
        <v>28</v>
      </c>
      <c r="D7077" s="15" t="s">
        <v>10422</v>
      </c>
      <c r="E7077" s="18" t="s">
        <v>28</v>
      </c>
      <c r="F7077" s="19" t="s">
        <v>28</v>
      </c>
      <c r="G7077" s="19">
        <v>0.04</v>
      </c>
      <c r="H7077" s="19" t="s">
        <v>28</v>
      </c>
      <c r="I7077" s="18" t="s">
        <v>28</v>
      </c>
      <c r="J7077" s="18" t="s">
        <v>28</v>
      </c>
      <c r="K7077" s="18" t="s">
        <v>28</v>
      </c>
      <c r="L7077" s="18" t="s">
        <v>28</v>
      </c>
      <c r="M7077" s="18" t="s">
        <v>28</v>
      </c>
      <c r="N7077" s="17">
        <v>43568</v>
      </c>
      <c r="O7077" s="15" t="s">
        <v>99</v>
      </c>
      <c r="P7077" s="16" t="s">
        <v>21153</v>
      </c>
      <c r="Q7077" s="15" t="s">
        <v>75</v>
      </c>
      <c r="R7077" s="13" t="str">
        <f>HYPERLINK("https://my.pitchbook.com?c=165838-96T","View Company Online")</f>
        <v>View Company Online</v>
      </c>
    </row>
    <row r="7078" spans="1:18" hidden="1" x14ac:dyDescent="0.3">
      <c r="A7078" s="9" t="s">
        <v>21154</v>
      </c>
      <c r="B7078" s="9" t="s">
        <v>17171</v>
      </c>
      <c r="C7078" s="11" t="s">
        <v>28</v>
      </c>
      <c r="D7078" s="9" t="s">
        <v>17172</v>
      </c>
      <c r="E7078" s="11" t="s">
        <v>28</v>
      </c>
      <c r="F7078" s="10" t="s">
        <v>28</v>
      </c>
      <c r="G7078" s="10">
        <v>0.44</v>
      </c>
      <c r="H7078" s="10" t="s">
        <v>28</v>
      </c>
      <c r="I7078" s="11" t="s">
        <v>28</v>
      </c>
      <c r="J7078" s="11" t="s">
        <v>28</v>
      </c>
      <c r="K7078" s="11" t="s">
        <v>28</v>
      </c>
      <c r="L7078" s="11" t="s">
        <v>28</v>
      </c>
      <c r="M7078" s="11" t="s">
        <v>28</v>
      </c>
      <c r="N7078" s="8">
        <v>43567</v>
      </c>
      <c r="O7078" s="9" t="s">
        <v>99</v>
      </c>
      <c r="P7078" s="12" t="s">
        <v>21155</v>
      </c>
      <c r="Q7078" s="9" t="s">
        <v>85</v>
      </c>
      <c r="R7078" s="14" t="str">
        <f>HYPERLINK("https://my.pitchbook.com?c=155600-47T","View Company Online")</f>
        <v>View Company Online</v>
      </c>
    </row>
    <row r="7079" spans="1:18" hidden="1" x14ac:dyDescent="0.3">
      <c r="A7079" s="15" t="s">
        <v>21156</v>
      </c>
      <c r="B7079" s="15" t="s">
        <v>21157</v>
      </c>
      <c r="C7079" s="18" t="s">
        <v>28</v>
      </c>
      <c r="D7079" s="15" t="s">
        <v>21158</v>
      </c>
      <c r="E7079" s="18" t="s">
        <v>28</v>
      </c>
      <c r="F7079" s="19" t="s">
        <v>28</v>
      </c>
      <c r="G7079" s="19" t="s">
        <v>28</v>
      </c>
      <c r="H7079" s="19" t="s">
        <v>28</v>
      </c>
      <c r="I7079" s="18">
        <v>3482.27</v>
      </c>
      <c r="J7079" s="18" t="s">
        <v>28</v>
      </c>
      <c r="K7079" s="18" t="s">
        <v>28</v>
      </c>
      <c r="L7079" s="18" t="s">
        <v>28</v>
      </c>
      <c r="M7079" s="18" t="s">
        <v>28</v>
      </c>
      <c r="N7079" s="17">
        <v>43567</v>
      </c>
      <c r="O7079" s="15" t="s">
        <v>30</v>
      </c>
      <c r="P7079" s="16" t="s">
        <v>21159</v>
      </c>
      <c r="Q7079" s="15" t="s">
        <v>226</v>
      </c>
      <c r="R7079" s="13" t="str">
        <f>HYPERLINK("https://my.pitchbook.com?c=118437-94T","View Company Online")</f>
        <v>View Company Online</v>
      </c>
    </row>
    <row r="7080" spans="1:18" hidden="1" x14ac:dyDescent="0.3">
      <c r="A7080" s="9" t="s">
        <v>21160</v>
      </c>
      <c r="B7080" s="9" t="s">
        <v>21161</v>
      </c>
      <c r="C7080" s="11" t="s">
        <v>28</v>
      </c>
      <c r="D7080" s="9" t="s">
        <v>21162</v>
      </c>
      <c r="E7080" s="11" t="s">
        <v>28</v>
      </c>
      <c r="F7080" s="10" t="s">
        <v>28</v>
      </c>
      <c r="G7080" s="10">
        <v>0.22</v>
      </c>
      <c r="H7080" s="10">
        <v>1.3</v>
      </c>
      <c r="I7080" s="11" t="s">
        <v>28</v>
      </c>
      <c r="J7080" s="11" t="s">
        <v>28</v>
      </c>
      <c r="K7080" s="11" t="s">
        <v>28</v>
      </c>
      <c r="L7080" s="11" t="s">
        <v>28</v>
      </c>
      <c r="M7080" s="11" t="s">
        <v>28</v>
      </c>
      <c r="N7080" s="8">
        <v>43566</v>
      </c>
      <c r="O7080" s="9" t="s">
        <v>73</v>
      </c>
      <c r="P7080" s="12" t="s">
        <v>21163</v>
      </c>
      <c r="Q7080" s="9" t="s">
        <v>285</v>
      </c>
      <c r="R7080" s="14" t="str">
        <f>HYPERLINK("https://my.pitchbook.com?c=216046-90T","View Company Online")</f>
        <v>View Company Online</v>
      </c>
    </row>
    <row r="7081" spans="1:18" hidden="1" x14ac:dyDescent="0.3">
      <c r="A7081" s="15" t="s">
        <v>21164</v>
      </c>
      <c r="B7081" s="15" t="s">
        <v>11570</v>
      </c>
      <c r="C7081" s="18" t="s">
        <v>28</v>
      </c>
      <c r="D7081" s="15" t="s">
        <v>11571</v>
      </c>
      <c r="E7081" s="18" t="s">
        <v>28</v>
      </c>
      <c r="F7081" s="19" t="s">
        <v>28</v>
      </c>
      <c r="G7081" s="19">
        <v>0.55000000000000004</v>
      </c>
      <c r="H7081" s="19" t="s">
        <v>28</v>
      </c>
      <c r="I7081" s="18" t="s">
        <v>28</v>
      </c>
      <c r="J7081" s="18" t="s">
        <v>28</v>
      </c>
      <c r="K7081" s="18" t="s">
        <v>28</v>
      </c>
      <c r="L7081" s="18" t="s">
        <v>28</v>
      </c>
      <c r="M7081" s="18" t="s">
        <v>28</v>
      </c>
      <c r="N7081" s="17">
        <v>43564</v>
      </c>
      <c r="O7081" s="15" t="s">
        <v>99</v>
      </c>
      <c r="P7081" s="16" t="s">
        <v>21165</v>
      </c>
      <c r="Q7081" s="15" t="s">
        <v>740</v>
      </c>
      <c r="R7081" s="13" t="str">
        <f>HYPERLINK("https://my.pitchbook.com?c=139543-39T","View Company Online")</f>
        <v>View Company Online</v>
      </c>
    </row>
    <row r="7082" spans="1:18" hidden="1" x14ac:dyDescent="0.3">
      <c r="A7082" s="9" t="s">
        <v>21166</v>
      </c>
      <c r="B7082" s="9" t="s">
        <v>2351</v>
      </c>
      <c r="C7082" s="11" t="s">
        <v>28</v>
      </c>
      <c r="D7082" s="9" t="s">
        <v>2352</v>
      </c>
      <c r="E7082" s="11" t="s">
        <v>28</v>
      </c>
      <c r="F7082" s="10" t="s">
        <v>28</v>
      </c>
      <c r="G7082" s="10">
        <v>10</v>
      </c>
      <c r="H7082" s="10" t="s">
        <v>28</v>
      </c>
      <c r="I7082" s="11" t="s">
        <v>28</v>
      </c>
      <c r="J7082" s="11" t="s">
        <v>28</v>
      </c>
      <c r="K7082" s="11" t="s">
        <v>28</v>
      </c>
      <c r="L7082" s="11" t="s">
        <v>28</v>
      </c>
      <c r="M7082" s="11" t="s">
        <v>28</v>
      </c>
      <c r="N7082" s="8">
        <v>43564</v>
      </c>
      <c r="O7082" s="9" t="s">
        <v>73</v>
      </c>
      <c r="P7082" s="12" t="s">
        <v>21167</v>
      </c>
      <c r="Q7082" s="9" t="s">
        <v>740</v>
      </c>
      <c r="R7082" s="14" t="str">
        <f>HYPERLINK("https://my.pitchbook.com?c=122944-42T","View Company Online")</f>
        <v>View Company Online</v>
      </c>
    </row>
    <row r="7083" spans="1:18" hidden="1" x14ac:dyDescent="0.3">
      <c r="A7083" s="15" t="s">
        <v>21168</v>
      </c>
      <c r="B7083" s="15" t="s">
        <v>21169</v>
      </c>
      <c r="C7083" s="18" t="s">
        <v>28</v>
      </c>
      <c r="D7083" s="15" t="s">
        <v>21170</v>
      </c>
      <c r="E7083" s="18" t="s">
        <v>28</v>
      </c>
      <c r="F7083" s="19" t="s">
        <v>28</v>
      </c>
      <c r="G7083" s="19" t="s">
        <v>28</v>
      </c>
      <c r="H7083" s="19" t="s">
        <v>28</v>
      </c>
      <c r="I7083" s="18" t="s">
        <v>28</v>
      </c>
      <c r="J7083" s="18" t="s">
        <v>28</v>
      </c>
      <c r="K7083" s="18" t="s">
        <v>28</v>
      </c>
      <c r="L7083" s="18" t="s">
        <v>28</v>
      </c>
      <c r="M7083" s="18" t="s">
        <v>28</v>
      </c>
      <c r="N7083" s="17">
        <v>43564</v>
      </c>
      <c r="O7083" s="15" t="s">
        <v>30</v>
      </c>
      <c r="P7083" s="16" t="s">
        <v>21171</v>
      </c>
      <c r="Q7083" s="15" t="s">
        <v>607</v>
      </c>
      <c r="R7083" s="13" t="str">
        <f>HYPERLINK("https://my.pitchbook.com?c=216246-25T","View Company Online")</f>
        <v>View Company Online</v>
      </c>
    </row>
    <row r="7084" spans="1:18" hidden="1" x14ac:dyDescent="0.3">
      <c r="A7084" s="9" t="s">
        <v>21172</v>
      </c>
      <c r="B7084" s="9" t="s">
        <v>3792</v>
      </c>
      <c r="C7084" s="11" t="s">
        <v>28</v>
      </c>
      <c r="D7084" s="9" t="s">
        <v>3793</v>
      </c>
      <c r="E7084" s="11">
        <v>1006.9</v>
      </c>
      <c r="F7084" s="10">
        <v>9555.5499999999993</v>
      </c>
      <c r="G7084" s="10">
        <v>8600</v>
      </c>
      <c r="H7084" s="10">
        <v>9555.5499999999993</v>
      </c>
      <c r="I7084" s="11" t="s">
        <v>28</v>
      </c>
      <c r="J7084" s="11" t="s">
        <v>28</v>
      </c>
      <c r="K7084" s="11">
        <v>1352.47</v>
      </c>
      <c r="L7084" s="11">
        <v>7.07</v>
      </c>
      <c r="M7084" s="11">
        <v>678.29</v>
      </c>
      <c r="N7084" s="8">
        <v>43563</v>
      </c>
      <c r="O7084" s="9" t="s">
        <v>30</v>
      </c>
      <c r="P7084" s="12" t="s">
        <v>21173</v>
      </c>
      <c r="Q7084" s="9" t="s">
        <v>1144</v>
      </c>
      <c r="R7084" s="14" t="str">
        <f>HYPERLINK("https://my.pitchbook.com?c=93985-84T","View Company Online")</f>
        <v>View Company Online</v>
      </c>
    </row>
    <row r="7085" spans="1:18" hidden="1" x14ac:dyDescent="0.3">
      <c r="A7085" s="15" t="s">
        <v>21174</v>
      </c>
      <c r="B7085" s="15" t="s">
        <v>21175</v>
      </c>
      <c r="C7085" s="18" t="s">
        <v>28</v>
      </c>
      <c r="D7085" s="15" t="s">
        <v>21176</v>
      </c>
      <c r="E7085" s="18" t="s">
        <v>28</v>
      </c>
      <c r="F7085" s="19" t="s">
        <v>28</v>
      </c>
      <c r="G7085" s="19">
        <v>0.78</v>
      </c>
      <c r="H7085" s="19" t="s">
        <v>28</v>
      </c>
      <c r="I7085" s="18" t="s">
        <v>28</v>
      </c>
      <c r="J7085" s="18" t="s">
        <v>28</v>
      </c>
      <c r="K7085" s="18" t="s">
        <v>28</v>
      </c>
      <c r="L7085" s="18" t="s">
        <v>28</v>
      </c>
      <c r="M7085" s="18" t="s">
        <v>28</v>
      </c>
      <c r="N7085" s="17">
        <v>43561</v>
      </c>
      <c r="O7085" s="15" t="s">
        <v>99</v>
      </c>
      <c r="P7085" s="16" t="s">
        <v>28</v>
      </c>
      <c r="Q7085" s="15" t="s">
        <v>409</v>
      </c>
      <c r="R7085" s="13" t="str">
        <f>HYPERLINK("https://my.pitchbook.com?c=85190-32T","View Company Online")</f>
        <v>View Company Online</v>
      </c>
    </row>
    <row r="7086" spans="1:18" hidden="1" x14ac:dyDescent="0.3">
      <c r="A7086" s="9" t="s">
        <v>21177</v>
      </c>
      <c r="B7086" s="9" t="s">
        <v>21178</v>
      </c>
      <c r="C7086" s="11" t="s">
        <v>28</v>
      </c>
      <c r="D7086" s="9" t="s">
        <v>21179</v>
      </c>
      <c r="E7086" s="11" t="s">
        <v>28</v>
      </c>
      <c r="F7086" s="10" t="s">
        <v>28</v>
      </c>
      <c r="G7086" s="10" t="s">
        <v>28</v>
      </c>
      <c r="H7086" s="10" t="s">
        <v>28</v>
      </c>
      <c r="I7086" s="11" t="s">
        <v>28</v>
      </c>
      <c r="J7086" s="11" t="s">
        <v>28</v>
      </c>
      <c r="K7086" s="11" t="s">
        <v>28</v>
      </c>
      <c r="L7086" s="11" t="s">
        <v>28</v>
      </c>
      <c r="M7086" s="11" t="s">
        <v>28</v>
      </c>
      <c r="N7086" s="8">
        <v>43559</v>
      </c>
      <c r="O7086" s="9" t="s">
        <v>52</v>
      </c>
      <c r="P7086" s="12" t="s">
        <v>4500</v>
      </c>
      <c r="Q7086" s="9" t="s">
        <v>85</v>
      </c>
      <c r="R7086" s="14" t="str">
        <f>HYPERLINK("https://my.pitchbook.com?c=275410-00T","View Company Online")</f>
        <v>View Company Online</v>
      </c>
    </row>
    <row r="7087" spans="1:18" hidden="1" x14ac:dyDescent="0.3">
      <c r="A7087" s="15" t="s">
        <v>21180</v>
      </c>
      <c r="B7087" s="15" t="s">
        <v>15209</v>
      </c>
      <c r="C7087" s="18" t="s">
        <v>28</v>
      </c>
      <c r="D7087" s="15" t="s">
        <v>15210</v>
      </c>
      <c r="E7087" s="18" t="s">
        <v>28</v>
      </c>
      <c r="F7087" s="19" t="s">
        <v>28</v>
      </c>
      <c r="G7087" s="19">
        <v>30</v>
      </c>
      <c r="H7087" s="19" t="s">
        <v>28</v>
      </c>
      <c r="I7087" s="18" t="s">
        <v>28</v>
      </c>
      <c r="J7087" s="18" t="s">
        <v>28</v>
      </c>
      <c r="K7087" s="18" t="s">
        <v>28</v>
      </c>
      <c r="L7087" s="18" t="s">
        <v>28</v>
      </c>
      <c r="M7087" s="18" t="s">
        <v>28</v>
      </c>
      <c r="N7087" s="17">
        <v>43559</v>
      </c>
      <c r="O7087" s="15" t="s">
        <v>73</v>
      </c>
      <c r="P7087" s="16" t="s">
        <v>21181</v>
      </c>
      <c r="Q7087" s="15" t="s">
        <v>37</v>
      </c>
      <c r="R7087" s="13" t="str">
        <f>HYPERLINK("https://my.pitchbook.com?c=120336-58T","View Company Online")</f>
        <v>View Company Online</v>
      </c>
    </row>
    <row r="7088" spans="1:18" hidden="1" x14ac:dyDescent="0.3">
      <c r="A7088" s="9" t="s">
        <v>21182</v>
      </c>
      <c r="B7088" s="9" t="s">
        <v>21183</v>
      </c>
      <c r="C7088" s="11" t="s">
        <v>28</v>
      </c>
      <c r="D7088" s="9" t="s">
        <v>21184</v>
      </c>
      <c r="E7088" s="11" t="s">
        <v>28</v>
      </c>
      <c r="F7088" s="10" t="s">
        <v>28</v>
      </c>
      <c r="G7088" s="10" t="s">
        <v>28</v>
      </c>
      <c r="H7088" s="10" t="s">
        <v>28</v>
      </c>
      <c r="I7088" s="11" t="s">
        <v>28</v>
      </c>
      <c r="J7088" s="11" t="s">
        <v>28</v>
      </c>
      <c r="K7088" s="11" t="s">
        <v>28</v>
      </c>
      <c r="L7088" s="11" t="s">
        <v>28</v>
      </c>
      <c r="M7088" s="11" t="s">
        <v>28</v>
      </c>
      <c r="N7088" s="8">
        <v>43557</v>
      </c>
      <c r="O7088" s="9" t="s">
        <v>41</v>
      </c>
      <c r="P7088" s="12" t="s">
        <v>11612</v>
      </c>
      <c r="Q7088" s="9" t="s">
        <v>409</v>
      </c>
      <c r="R7088" s="14" t="str">
        <f>HYPERLINK("https://my.pitchbook.com?c=117984-79T","View Company Online")</f>
        <v>View Company Online</v>
      </c>
    </row>
    <row r="7089" spans="1:18" hidden="1" x14ac:dyDescent="0.3">
      <c r="A7089" s="15" t="s">
        <v>21185</v>
      </c>
      <c r="B7089" s="15" t="s">
        <v>21186</v>
      </c>
      <c r="C7089" s="18" t="s">
        <v>28</v>
      </c>
      <c r="D7089" s="15" t="s">
        <v>21187</v>
      </c>
      <c r="E7089" s="18" t="s">
        <v>28</v>
      </c>
      <c r="F7089" s="19">
        <v>50</v>
      </c>
      <c r="G7089" s="19">
        <v>50</v>
      </c>
      <c r="H7089" s="19">
        <v>50</v>
      </c>
      <c r="I7089" s="18" t="s">
        <v>28</v>
      </c>
      <c r="J7089" s="18" t="s">
        <v>28</v>
      </c>
      <c r="K7089" s="18" t="s">
        <v>28</v>
      </c>
      <c r="L7089" s="18" t="s">
        <v>28</v>
      </c>
      <c r="M7089" s="18" t="s">
        <v>28</v>
      </c>
      <c r="N7089" s="17">
        <v>43557</v>
      </c>
      <c r="O7089" s="15" t="s">
        <v>30</v>
      </c>
      <c r="P7089" s="16" t="s">
        <v>10279</v>
      </c>
      <c r="Q7089" s="15" t="s">
        <v>75</v>
      </c>
      <c r="R7089" s="13" t="str">
        <f>HYPERLINK("https://my.pitchbook.com?c=128756-53T","View Company Online")</f>
        <v>View Company Online</v>
      </c>
    </row>
    <row r="7090" spans="1:18" hidden="1" x14ac:dyDescent="0.3">
      <c r="A7090" s="9" t="s">
        <v>21188</v>
      </c>
      <c r="B7090" s="9" t="s">
        <v>2311</v>
      </c>
      <c r="C7090" s="11" t="s">
        <v>28</v>
      </c>
      <c r="D7090" s="9" t="s">
        <v>2312</v>
      </c>
      <c r="E7090" s="11" t="s">
        <v>28</v>
      </c>
      <c r="F7090" s="10" t="s">
        <v>28</v>
      </c>
      <c r="G7090" s="10" t="s">
        <v>28</v>
      </c>
      <c r="H7090" s="10" t="s">
        <v>28</v>
      </c>
      <c r="I7090" s="11" t="s">
        <v>28</v>
      </c>
      <c r="J7090" s="11" t="s">
        <v>28</v>
      </c>
      <c r="K7090" s="11" t="s">
        <v>28</v>
      </c>
      <c r="L7090" s="11" t="s">
        <v>28</v>
      </c>
      <c r="M7090" s="11" t="s">
        <v>28</v>
      </c>
      <c r="N7090" s="8">
        <v>43556</v>
      </c>
      <c r="O7090" s="9" t="s">
        <v>52</v>
      </c>
      <c r="P7090" s="12" t="s">
        <v>1880</v>
      </c>
      <c r="Q7090" s="9" t="s">
        <v>37</v>
      </c>
      <c r="R7090" s="14" t="str">
        <f>HYPERLINK("https://my.pitchbook.com?c=122157-91T","View Company Online")</f>
        <v>View Company Online</v>
      </c>
    </row>
    <row r="7091" spans="1:18" hidden="1" x14ac:dyDescent="0.3">
      <c r="A7091" s="15" t="s">
        <v>21189</v>
      </c>
      <c r="B7091" s="15" t="s">
        <v>11583</v>
      </c>
      <c r="C7091" s="18" t="s">
        <v>28</v>
      </c>
      <c r="D7091" s="15" t="s">
        <v>11584</v>
      </c>
      <c r="E7091" s="18" t="s">
        <v>28</v>
      </c>
      <c r="F7091" s="19" t="s">
        <v>28</v>
      </c>
      <c r="G7091" s="19" t="s">
        <v>28</v>
      </c>
      <c r="H7091" s="19" t="s">
        <v>28</v>
      </c>
      <c r="I7091" s="18" t="s">
        <v>28</v>
      </c>
      <c r="J7091" s="18" t="s">
        <v>28</v>
      </c>
      <c r="K7091" s="18" t="s">
        <v>28</v>
      </c>
      <c r="L7091" s="18" t="s">
        <v>28</v>
      </c>
      <c r="M7091" s="18" t="s">
        <v>28</v>
      </c>
      <c r="N7091" s="17">
        <v>43556</v>
      </c>
      <c r="O7091" s="15" t="s">
        <v>52</v>
      </c>
      <c r="P7091" s="16" t="s">
        <v>1880</v>
      </c>
      <c r="Q7091" s="15" t="s">
        <v>37</v>
      </c>
      <c r="R7091" s="13" t="str">
        <f>HYPERLINK("https://my.pitchbook.com?c=195483-88T","View Company Online")</f>
        <v>View Company Online</v>
      </c>
    </row>
    <row r="7092" spans="1:18" hidden="1" x14ac:dyDescent="0.3">
      <c r="A7092" s="9" t="s">
        <v>21190</v>
      </c>
      <c r="B7092" s="9" t="s">
        <v>11637</v>
      </c>
      <c r="C7092" s="11" t="s">
        <v>28</v>
      </c>
      <c r="D7092" s="9" t="s">
        <v>11638</v>
      </c>
      <c r="E7092" s="11" t="s">
        <v>28</v>
      </c>
      <c r="F7092" s="10" t="s">
        <v>28</v>
      </c>
      <c r="G7092" s="10">
        <v>0.26</v>
      </c>
      <c r="H7092" s="10" t="s">
        <v>28</v>
      </c>
      <c r="I7092" s="11" t="s">
        <v>28</v>
      </c>
      <c r="J7092" s="11" t="s">
        <v>28</v>
      </c>
      <c r="K7092" s="11" t="s">
        <v>28</v>
      </c>
      <c r="L7092" s="11" t="s">
        <v>28</v>
      </c>
      <c r="M7092" s="11" t="s">
        <v>28</v>
      </c>
      <c r="N7092" s="8">
        <v>43556</v>
      </c>
      <c r="O7092" s="9" t="s">
        <v>99</v>
      </c>
      <c r="P7092" s="12" t="s">
        <v>21191</v>
      </c>
      <c r="Q7092" s="9" t="s">
        <v>75</v>
      </c>
      <c r="R7092" s="14" t="str">
        <f>HYPERLINK("https://my.pitchbook.com?c=129531-97T","View Company Online")</f>
        <v>View Company Online</v>
      </c>
    </row>
    <row r="7093" spans="1:18" hidden="1" x14ac:dyDescent="0.3">
      <c r="A7093" s="15" t="s">
        <v>21192</v>
      </c>
      <c r="B7093" s="15" t="s">
        <v>21193</v>
      </c>
      <c r="C7093" s="18" t="s">
        <v>28</v>
      </c>
      <c r="D7093" s="15" t="s">
        <v>21194</v>
      </c>
      <c r="E7093" s="18" t="s">
        <v>28</v>
      </c>
      <c r="F7093" s="19" t="s">
        <v>28</v>
      </c>
      <c r="G7093" s="19" t="s">
        <v>28</v>
      </c>
      <c r="H7093" s="19" t="s">
        <v>28</v>
      </c>
      <c r="I7093" s="18" t="s">
        <v>28</v>
      </c>
      <c r="J7093" s="18" t="s">
        <v>28</v>
      </c>
      <c r="K7093" s="18" t="s">
        <v>28</v>
      </c>
      <c r="L7093" s="18" t="s">
        <v>28</v>
      </c>
      <c r="M7093" s="18" t="s">
        <v>28</v>
      </c>
      <c r="N7093" s="17">
        <v>43556</v>
      </c>
      <c r="O7093" s="15" t="s">
        <v>30</v>
      </c>
      <c r="P7093" s="16" t="s">
        <v>13507</v>
      </c>
      <c r="Q7093" s="15" t="s">
        <v>3912</v>
      </c>
      <c r="R7093" s="13" t="str">
        <f>HYPERLINK("https://my.pitchbook.com?c=135210-52T","View Company Online")</f>
        <v>View Company Online</v>
      </c>
    </row>
    <row r="7094" spans="1:18" hidden="1" x14ac:dyDescent="0.3">
      <c r="A7094" s="9" t="s">
        <v>21195</v>
      </c>
      <c r="B7094" s="9" t="s">
        <v>10624</v>
      </c>
      <c r="C7094" s="11" t="s">
        <v>28</v>
      </c>
      <c r="D7094" s="9" t="s">
        <v>10625</v>
      </c>
      <c r="E7094" s="11" t="s">
        <v>28</v>
      </c>
      <c r="F7094" s="10" t="s">
        <v>28</v>
      </c>
      <c r="G7094" s="10" t="s">
        <v>28</v>
      </c>
      <c r="H7094" s="10" t="s">
        <v>28</v>
      </c>
      <c r="I7094" s="11" t="s">
        <v>28</v>
      </c>
      <c r="J7094" s="11" t="s">
        <v>28</v>
      </c>
      <c r="K7094" s="11" t="s">
        <v>28</v>
      </c>
      <c r="L7094" s="11" t="s">
        <v>28</v>
      </c>
      <c r="M7094" s="11" t="s">
        <v>28</v>
      </c>
      <c r="N7094" s="8">
        <v>43556</v>
      </c>
      <c r="O7094" s="9" t="s">
        <v>52</v>
      </c>
      <c r="P7094" s="12" t="s">
        <v>1880</v>
      </c>
      <c r="Q7094" s="9" t="s">
        <v>583</v>
      </c>
      <c r="R7094" s="14" t="str">
        <f>HYPERLINK("https://my.pitchbook.com?c=122168-71T","View Company Online")</f>
        <v>View Company Online</v>
      </c>
    </row>
    <row r="7095" spans="1:18" hidden="1" x14ac:dyDescent="0.3">
      <c r="A7095" s="15" t="s">
        <v>21196</v>
      </c>
      <c r="B7095" s="15" t="s">
        <v>9403</v>
      </c>
      <c r="C7095" s="18" t="s">
        <v>28</v>
      </c>
      <c r="D7095" s="15" t="s">
        <v>9404</v>
      </c>
      <c r="E7095" s="18" t="s">
        <v>28</v>
      </c>
      <c r="F7095" s="19" t="s">
        <v>28</v>
      </c>
      <c r="G7095" s="19">
        <v>0.05</v>
      </c>
      <c r="H7095" s="19" t="s">
        <v>28</v>
      </c>
      <c r="I7095" s="18" t="s">
        <v>28</v>
      </c>
      <c r="J7095" s="18" t="s">
        <v>28</v>
      </c>
      <c r="K7095" s="18" t="s">
        <v>28</v>
      </c>
      <c r="L7095" s="18" t="s">
        <v>28</v>
      </c>
      <c r="M7095" s="18" t="s">
        <v>28</v>
      </c>
      <c r="N7095" s="17">
        <v>43556</v>
      </c>
      <c r="O7095" s="15" t="s">
        <v>379</v>
      </c>
      <c r="P7095" s="16" t="s">
        <v>21197</v>
      </c>
      <c r="Q7095" s="15" t="s">
        <v>75</v>
      </c>
      <c r="R7095" s="13" t="str">
        <f>HYPERLINK("https://my.pitchbook.com?c=187548-58T","View Company Online")</f>
        <v>View Company Online</v>
      </c>
    </row>
    <row r="7096" spans="1:18" hidden="1" x14ac:dyDescent="0.3">
      <c r="A7096" s="9" t="s">
        <v>21198</v>
      </c>
      <c r="B7096" s="9" t="s">
        <v>206</v>
      </c>
      <c r="C7096" s="11" t="s">
        <v>28</v>
      </c>
      <c r="D7096" s="9" t="s">
        <v>207</v>
      </c>
      <c r="E7096" s="11" t="s">
        <v>28</v>
      </c>
      <c r="F7096" s="10" t="s">
        <v>28</v>
      </c>
      <c r="G7096" s="10">
        <v>10.5</v>
      </c>
      <c r="H7096" s="10" t="s">
        <v>28</v>
      </c>
      <c r="I7096" s="11" t="s">
        <v>28</v>
      </c>
      <c r="J7096" s="11" t="s">
        <v>28</v>
      </c>
      <c r="K7096" s="11" t="s">
        <v>28</v>
      </c>
      <c r="L7096" s="11" t="s">
        <v>28</v>
      </c>
      <c r="M7096" s="11" t="s">
        <v>28</v>
      </c>
      <c r="N7096" s="8">
        <v>43556</v>
      </c>
      <c r="O7096" s="9" t="s">
        <v>99</v>
      </c>
      <c r="P7096" s="12" t="s">
        <v>21199</v>
      </c>
      <c r="Q7096" s="9" t="s">
        <v>85</v>
      </c>
      <c r="R7096" s="14" t="str">
        <f>HYPERLINK("https://my.pitchbook.com?c=123777-73T","View Company Online")</f>
        <v>View Company Online</v>
      </c>
    </row>
    <row r="7097" spans="1:18" hidden="1" x14ac:dyDescent="0.3">
      <c r="A7097" s="15" t="s">
        <v>21200</v>
      </c>
      <c r="B7097" s="15" t="s">
        <v>21201</v>
      </c>
      <c r="C7097" s="18" t="s">
        <v>28</v>
      </c>
      <c r="D7097" s="15" t="s">
        <v>21202</v>
      </c>
      <c r="E7097" s="18" t="s">
        <v>28</v>
      </c>
      <c r="F7097" s="19" t="s">
        <v>28</v>
      </c>
      <c r="G7097" s="19" t="s">
        <v>28</v>
      </c>
      <c r="H7097" s="19" t="s">
        <v>28</v>
      </c>
      <c r="I7097" s="18" t="s">
        <v>28</v>
      </c>
      <c r="J7097" s="18" t="s">
        <v>28</v>
      </c>
      <c r="K7097" s="18" t="s">
        <v>28</v>
      </c>
      <c r="L7097" s="18" t="s">
        <v>28</v>
      </c>
      <c r="M7097" s="18" t="s">
        <v>28</v>
      </c>
      <c r="N7097" s="17">
        <v>43556</v>
      </c>
      <c r="O7097" s="15" t="s">
        <v>79</v>
      </c>
      <c r="P7097" s="16" t="s">
        <v>21203</v>
      </c>
      <c r="Q7097" s="15" t="s">
        <v>75</v>
      </c>
      <c r="R7097" s="13" t="str">
        <f>HYPERLINK("https://my.pitchbook.com?c=91854-64T","View Company Online")</f>
        <v>View Company Online</v>
      </c>
    </row>
    <row r="7098" spans="1:18" hidden="1" x14ac:dyDescent="0.3">
      <c r="A7098" s="9" t="s">
        <v>21204</v>
      </c>
      <c r="B7098" s="9" t="s">
        <v>8042</v>
      </c>
      <c r="C7098" s="11" t="s">
        <v>28</v>
      </c>
      <c r="D7098" s="9" t="s">
        <v>8043</v>
      </c>
      <c r="E7098" s="11" t="s">
        <v>28</v>
      </c>
      <c r="F7098" s="10" t="s">
        <v>28</v>
      </c>
      <c r="G7098" s="10" t="s">
        <v>28</v>
      </c>
      <c r="H7098" s="10" t="s">
        <v>28</v>
      </c>
      <c r="I7098" s="11" t="s">
        <v>28</v>
      </c>
      <c r="J7098" s="11" t="s">
        <v>28</v>
      </c>
      <c r="K7098" s="11" t="s">
        <v>28</v>
      </c>
      <c r="L7098" s="11" t="s">
        <v>28</v>
      </c>
      <c r="M7098" s="11" t="s">
        <v>28</v>
      </c>
      <c r="N7098" s="8">
        <v>43556</v>
      </c>
      <c r="O7098" s="9" t="s">
        <v>52</v>
      </c>
      <c r="P7098" s="12" t="s">
        <v>21205</v>
      </c>
      <c r="Q7098" s="9" t="s">
        <v>75</v>
      </c>
      <c r="R7098" s="14" t="str">
        <f>HYPERLINK("https://my.pitchbook.com?c=124840-27T","View Company Online")</f>
        <v>View Company Online</v>
      </c>
    </row>
    <row r="7099" spans="1:18" hidden="1" x14ac:dyDescent="0.3">
      <c r="A7099" s="15" t="s">
        <v>21206</v>
      </c>
      <c r="B7099" s="15" t="s">
        <v>16176</v>
      </c>
      <c r="C7099" s="18" t="s">
        <v>28</v>
      </c>
      <c r="D7099" s="15" t="s">
        <v>16177</v>
      </c>
      <c r="E7099" s="18" t="s">
        <v>28</v>
      </c>
      <c r="F7099" s="19" t="s">
        <v>28</v>
      </c>
      <c r="G7099" s="19" t="s">
        <v>28</v>
      </c>
      <c r="H7099" s="19" t="s">
        <v>28</v>
      </c>
      <c r="I7099" s="18" t="s">
        <v>28</v>
      </c>
      <c r="J7099" s="18" t="s">
        <v>28</v>
      </c>
      <c r="K7099" s="18" t="s">
        <v>28</v>
      </c>
      <c r="L7099" s="18" t="s">
        <v>28</v>
      </c>
      <c r="M7099" s="18" t="s">
        <v>28</v>
      </c>
      <c r="N7099" s="17">
        <v>43556</v>
      </c>
      <c r="O7099" s="15" t="s">
        <v>52</v>
      </c>
      <c r="P7099" s="16" t="s">
        <v>1880</v>
      </c>
      <c r="Q7099" s="15" t="s">
        <v>37</v>
      </c>
      <c r="R7099" s="13" t="str">
        <f>HYPERLINK("https://my.pitchbook.com?c=195488-38T","View Company Online")</f>
        <v>View Company Online</v>
      </c>
    </row>
    <row r="7100" spans="1:18" hidden="1" x14ac:dyDescent="0.3">
      <c r="A7100" s="9" t="s">
        <v>21207</v>
      </c>
      <c r="B7100" s="9" t="s">
        <v>1775</v>
      </c>
      <c r="C7100" s="11" t="s">
        <v>28</v>
      </c>
      <c r="D7100" s="9" t="s">
        <v>1776</v>
      </c>
      <c r="E7100" s="11" t="s">
        <v>28</v>
      </c>
      <c r="F7100" s="10" t="s">
        <v>28</v>
      </c>
      <c r="G7100" s="10">
        <v>0.3</v>
      </c>
      <c r="H7100" s="10" t="s">
        <v>28</v>
      </c>
      <c r="I7100" s="11" t="s">
        <v>28</v>
      </c>
      <c r="J7100" s="11" t="s">
        <v>28</v>
      </c>
      <c r="K7100" s="11" t="s">
        <v>28</v>
      </c>
      <c r="L7100" s="11" t="s">
        <v>28</v>
      </c>
      <c r="M7100" s="11" t="s">
        <v>28</v>
      </c>
      <c r="N7100" s="8">
        <v>43556</v>
      </c>
      <c r="O7100" s="9" t="s">
        <v>99</v>
      </c>
      <c r="P7100" s="12" t="s">
        <v>21208</v>
      </c>
      <c r="Q7100" s="9" t="s">
        <v>37</v>
      </c>
      <c r="R7100" s="14" t="str">
        <f>HYPERLINK("https://my.pitchbook.com?c=123770-80T","View Company Online")</f>
        <v>View Company Online</v>
      </c>
    </row>
    <row r="7101" spans="1:18" hidden="1" x14ac:dyDescent="0.3">
      <c r="A7101" s="15" t="s">
        <v>21209</v>
      </c>
      <c r="B7101" s="15" t="s">
        <v>21210</v>
      </c>
      <c r="C7101" s="18" t="s">
        <v>28</v>
      </c>
      <c r="D7101" s="15" t="s">
        <v>21211</v>
      </c>
      <c r="E7101" s="18" t="s">
        <v>28</v>
      </c>
      <c r="F7101" s="19" t="s">
        <v>28</v>
      </c>
      <c r="G7101" s="19" t="s">
        <v>28</v>
      </c>
      <c r="H7101" s="19" t="s">
        <v>28</v>
      </c>
      <c r="I7101" s="18" t="s">
        <v>28</v>
      </c>
      <c r="J7101" s="18" t="s">
        <v>28</v>
      </c>
      <c r="K7101" s="18" t="s">
        <v>28</v>
      </c>
      <c r="L7101" s="18" t="s">
        <v>28</v>
      </c>
      <c r="M7101" s="18" t="s">
        <v>28</v>
      </c>
      <c r="N7101" s="17">
        <v>43556</v>
      </c>
      <c r="O7101" s="15" t="s">
        <v>52</v>
      </c>
      <c r="P7101" s="16" t="s">
        <v>1880</v>
      </c>
      <c r="Q7101" s="15" t="s">
        <v>37</v>
      </c>
      <c r="R7101" s="13" t="str">
        <f>HYPERLINK("https://my.pitchbook.com?c=122379-58T","View Company Online")</f>
        <v>View Company Online</v>
      </c>
    </row>
    <row r="7102" spans="1:18" hidden="1" x14ac:dyDescent="0.3">
      <c r="A7102" s="9" t="s">
        <v>21212</v>
      </c>
      <c r="B7102" s="9" t="s">
        <v>10208</v>
      </c>
      <c r="C7102" s="11" t="s">
        <v>28</v>
      </c>
      <c r="D7102" s="9" t="s">
        <v>10209</v>
      </c>
      <c r="E7102" s="11" t="s">
        <v>28</v>
      </c>
      <c r="F7102" s="10" t="s">
        <v>28</v>
      </c>
      <c r="G7102" s="10">
        <v>0.01</v>
      </c>
      <c r="H7102" s="10" t="s">
        <v>28</v>
      </c>
      <c r="I7102" s="11" t="s">
        <v>28</v>
      </c>
      <c r="J7102" s="11" t="s">
        <v>28</v>
      </c>
      <c r="K7102" s="11" t="s">
        <v>28</v>
      </c>
      <c r="L7102" s="11" t="s">
        <v>28</v>
      </c>
      <c r="M7102" s="11" t="s">
        <v>28</v>
      </c>
      <c r="N7102" s="8">
        <v>43553</v>
      </c>
      <c r="O7102" s="9" t="s">
        <v>52</v>
      </c>
      <c r="P7102" s="12" t="s">
        <v>3804</v>
      </c>
      <c r="Q7102" s="9" t="s">
        <v>566</v>
      </c>
      <c r="R7102" s="14" t="str">
        <f>HYPERLINK("https://my.pitchbook.com?c=170465-68T","View Company Online")</f>
        <v>View Company Online</v>
      </c>
    </row>
    <row r="7103" spans="1:18" hidden="1" x14ac:dyDescent="0.3">
      <c r="A7103" s="15" t="s">
        <v>21213</v>
      </c>
      <c r="B7103" s="15" t="s">
        <v>21214</v>
      </c>
      <c r="C7103" s="18" t="s">
        <v>28</v>
      </c>
      <c r="D7103" s="15" t="s">
        <v>21215</v>
      </c>
      <c r="E7103" s="18" t="s">
        <v>28</v>
      </c>
      <c r="F7103" s="19" t="s">
        <v>28</v>
      </c>
      <c r="G7103" s="19" t="s">
        <v>28</v>
      </c>
      <c r="H7103" s="19" t="s">
        <v>28</v>
      </c>
      <c r="I7103" s="18" t="s">
        <v>28</v>
      </c>
      <c r="J7103" s="18" t="s">
        <v>28</v>
      </c>
      <c r="K7103" s="18" t="s">
        <v>28</v>
      </c>
      <c r="L7103" s="18" t="s">
        <v>28</v>
      </c>
      <c r="M7103" s="18" t="s">
        <v>28</v>
      </c>
      <c r="N7103" s="17">
        <v>43552</v>
      </c>
      <c r="O7103" s="15" t="s">
        <v>30</v>
      </c>
      <c r="P7103" s="16" t="s">
        <v>21216</v>
      </c>
      <c r="Q7103" s="15" t="s">
        <v>566</v>
      </c>
      <c r="R7103" s="13" t="str">
        <f>HYPERLINK("https://my.pitchbook.com?c=136767-97T","View Company Online")</f>
        <v>View Company Online</v>
      </c>
    </row>
    <row r="7104" spans="1:18" hidden="1" x14ac:dyDescent="0.3">
      <c r="A7104" s="9" t="s">
        <v>21217</v>
      </c>
      <c r="B7104" s="9" t="s">
        <v>21218</v>
      </c>
      <c r="C7104" s="11" t="s">
        <v>28</v>
      </c>
      <c r="D7104" s="9" t="s">
        <v>21219</v>
      </c>
      <c r="E7104" s="11" t="s">
        <v>28</v>
      </c>
      <c r="F7104" s="10" t="s">
        <v>28</v>
      </c>
      <c r="G7104" s="10" t="s">
        <v>28</v>
      </c>
      <c r="H7104" s="10" t="s">
        <v>28</v>
      </c>
      <c r="I7104" s="11" t="s">
        <v>28</v>
      </c>
      <c r="J7104" s="11" t="s">
        <v>28</v>
      </c>
      <c r="K7104" s="11" t="s">
        <v>28</v>
      </c>
      <c r="L7104" s="11" t="s">
        <v>28</v>
      </c>
      <c r="M7104" s="11" t="s">
        <v>28</v>
      </c>
      <c r="N7104" s="8">
        <v>43551</v>
      </c>
      <c r="O7104" s="9" t="s">
        <v>52</v>
      </c>
      <c r="P7104" s="12" t="s">
        <v>21220</v>
      </c>
      <c r="Q7104" s="9" t="s">
        <v>3912</v>
      </c>
      <c r="R7104" s="14" t="str">
        <f>HYPERLINK("https://my.pitchbook.com?c=131802-13T","View Company Online")</f>
        <v>View Company Online</v>
      </c>
    </row>
    <row r="7105" spans="1:18" hidden="1" x14ac:dyDescent="0.3">
      <c r="A7105" s="15" t="s">
        <v>21221</v>
      </c>
      <c r="B7105" s="15" t="s">
        <v>21222</v>
      </c>
      <c r="C7105" s="18" t="s">
        <v>28</v>
      </c>
      <c r="D7105" s="15" t="s">
        <v>21223</v>
      </c>
      <c r="E7105" s="18" t="s">
        <v>28</v>
      </c>
      <c r="F7105" s="19" t="s">
        <v>28</v>
      </c>
      <c r="G7105" s="19" t="s">
        <v>28</v>
      </c>
      <c r="H7105" s="19" t="s">
        <v>28</v>
      </c>
      <c r="I7105" s="18" t="s">
        <v>28</v>
      </c>
      <c r="J7105" s="18" t="s">
        <v>28</v>
      </c>
      <c r="K7105" s="18" t="s">
        <v>28</v>
      </c>
      <c r="L7105" s="18" t="s">
        <v>28</v>
      </c>
      <c r="M7105" s="18" t="s">
        <v>28</v>
      </c>
      <c r="N7105" s="17">
        <v>43550</v>
      </c>
      <c r="O7105" s="15" t="s">
        <v>30</v>
      </c>
      <c r="P7105" s="16" t="s">
        <v>7578</v>
      </c>
      <c r="Q7105" s="15" t="s">
        <v>268</v>
      </c>
      <c r="R7105" s="13" t="str">
        <f>HYPERLINK("https://my.pitchbook.com?c=117676-99T","View Company Online")</f>
        <v>View Company Online</v>
      </c>
    </row>
    <row r="7106" spans="1:18" hidden="1" x14ac:dyDescent="0.3">
      <c r="A7106" s="9" t="s">
        <v>21224</v>
      </c>
      <c r="B7106" s="9" t="s">
        <v>21225</v>
      </c>
      <c r="C7106" s="11" t="s">
        <v>28</v>
      </c>
      <c r="D7106" s="9" t="s">
        <v>21226</v>
      </c>
      <c r="E7106" s="11" t="s">
        <v>28</v>
      </c>
      <c r="F7106" s="10" t="s">
        <v>28</v>
      </c>
      <c r="G7106" s="10" t="s">
        <v>28</v>
      </c>
      <c r="H7106" s="10" t="s">
        <v>28</v>
      </c>
      <c r="I7106" s="11" t="s">
        <v>28</v>
      </c>
      <c r="J7106" s="11" t="s">
        <v>28</v>
      </c>
      <c r="K7106" s="11" t="s">
        <v>28</v>
      </c>
      <c r="L7106" s="11" t="s">
        <v>28</v>
      </c>
      <c r="M7106" s="11" t="s">
        <v>28</v>
      </c>
      <c r="N7106" s="8">
        <v>43550</v>
      </c>
      <c r="O7106" s="9" t="s">
        <v>30</v>
      </c>
      <c r="P7106" s="12" t="s">
        <v>21227</v>
      </c>
      <c r="Q7106" s="9" t="s">
        <v>43</v>
      </c>
      <c r="R7106" s="14" t="str">
        <f>HYPERLINK("https://my.pitchbook.com?c=257820-76T","View Company Online")</f>
        <v>View Company Online</v>
      </c>
    </row>
    <row r="7107" spans="1:18" hidden="1" x14ac:dyDescent="0.3">
      <c r="A7107" s="15" t="s">
        <v>21228</v>
      </c>
      <c r="B7107" s="15" t="s">
        <v>16883</v>
      </c>
      <c r="C7107" s="18" t="s">
        <v>28</v>
      </c>
      <c r="D7107" s="15" t="s">
        <v>16884</v>
      </c>
      <c r="E7107" s="18" t="s">
        <v>28</v>
      </c>
      <c r="F7107" s="19" t="s">
        <v>28</v>
      </c>
      <c r="G7107" s="19" t="s">
        <v>28</v>
      </c>
      <c r="H7107" s="19" t="s">
        <v>28</v>
      </c>
      <c r="I7107" s="18" t="s">
        <v>28</v>
      </c>
      <c r="J7107" s="18" t="s">
        <v>28</v>
      </c>
      <c r="K7107" s="18" t="s">
        <v>28</v>
      </c>
      <c r="L7107" s="18" t="s">
        <v>28</v>
      </c>
      <c r="M7107" s="18" t="s">
        <v>28</v>
      </c>
      <c r="N7107" s="17">
        <v>43550</v>
      </c>
      <c r="O7107" s="15" t="s">
        <v>52</v>
      </c>
      <c r="P7107" s="16" t="s">
        <v>21229</v>
      </c>
      <c r="Q7107" s="15" t="s">
        <v>75</v>
      </c>
      <c r="R7107" s="13" t="str">
        <f>HYPERLINK("https://my.pitchbook.com?c=123101-11T","View Company Online")</f>
        <v>View Company Online</v>
      </c>
    </row>
    <row r="7108" spans="1:18" hidden="1" x14ac:dyDescent="0.3">
      <c r="A7108" s="9" t="s">
        <v>21230</v>
      </c>
      <c r="B7108" s="9" t="s">
        <v>773</v>
      </c>
      <c r="C7108" s="11" t="s">
        <v>28</v>
      </c>
      <c r="D7108" s="9" t="s">
        <v>6350</v>
      </c>
      <c r="E7108" s="11" t="s">
        <v>28</v>
      </c>
      <c r="F7108" s="10" t="s">
        <v>28</v>
      </c>
      <c r="G7108" s="10">
        <v>6.57</v>
      </c>
      <c r="H7108" s="10" t="s">
        <v>28</v>
      </c>
      <c r="I7108" s="11" t="s">
        <v>28</v>
      </c>
      <c r="J7108" s="11" t="s">
        <v>28</v>
      </c>
      <c r="K7108" s="11" t="s">
        <v>28</v>
      </c>
      <c r="L7108" s="11" t="s">
        <v>28</v>
      </c>
      <c r="M7108" s="11" t="s">
        <v>28</v>
      </c>
      <c r="N7108" s="8">
        <v>43547</v>
      </c>
      <c r="O7108" s="9" t="s">
        <v>79</v>
      </c>
      <c r="P7108" s="12" t="s">
        <v>21231</v>
      </c>
      <c r="Q7108" s="9" t="s">
        <v>37</v>
      </c>
      <c r="R7108" s="14" t="str">
        <f>HYPERLINK("https://my.pitchbook.com?c=118447-93T","View Company Online")</f>
        <v>View Company Online</v>
      </c>
    </row>
    <row r="7109" spans="1:18" hidden="1" x14ac:dyDescent="0.3">
      <c r="A7109" s="15" t="s">
        <v>21232</v>
      </c>
      <c r="B7109" s="15" t="s">
        <v>21233</v>
      </c>
      <c r="C7109" s="18" t="s">
        <v>28</v>
      </c>
      <c r="D7109" s="15" t="s">
        <v>21234</v>
      </c>
      <c r="E7109" s="18" t="s">
        <v>28</v>
      </c>
      <c r="F7109" s="19" t="s">
        <v>28</v>
      </c>
      <c r="G7109" s="19">
        <v>0.53</v>
      </c>
      <c r="H7109" s="19" t="s">
        <v>28</v>
      </c>
      <c r="I7109" s="18" t="s">
        <v>28</v>
      </c>
      <c r="J7109" s="18" t="s">
        <v>28</v>
      </c>
      <c r="K7109" s="18" t="s">
        <v>28</v>
      </c>
      <c r="L7109" s="18" t="s">
        <v>28</v>
      </c>
      <c r="M7109" s="18" t="s">
        <v>28</v>
      </c>
      <c r="N7109" s="17">
        <v>43546</v>
      </c>
      <c r="O7109" s="15" t="s">
        <v>73</v>
      </c>
      <c r="P7109" s="16" t="s">
        <v>21235</v>
      </c>
      <c r="Q7109" s="15" t="s">
        <v>583</v>
      </c>
      <c r="R7109" s="13" t="str">
        <f>HYPERLINK("https://my.pitchbook.com?c=118137-97T","View Company Online")</f>
        <v>View Company Online</v>
      </c>
    </row>
    <row r="7110" spans="1:18" hidden="1" x14ac:dyDescent="0.3">
      <c r="A7110" s="9" t="s">
        <v>21236</v>
      </c>
      <c r="B7110" s="9" t="s">
        <v>21237</v>
      </c>
      <c r="C7110" s="11" t="s">
        <v>28</v>
      </c>
      <c r="D7110" s="9" t="s">
        <v>21238</v>
      </c>
      <c r="E7110" s="11" t="s">
        <v>28</v>
      </c>
      <c r="F7110" s="10" t="s">
        <v>28</v>
      </c>
      <c r="G7110" s="10" t="s">
        <v>28</v>
      </c>
      <c r="H7110" s="10" t="s">
        <v>28</v>
      </c>
      <c r="I7110" s="11" t="s">
        <v>28</v>
      </c>
      <c r="J7110" s="11" t="s">
        <v>28</v>
      </c>
      <c r="K7110" s="11" t="s">
        <v>28</v>
      </c>
      <c r="L7110" s="11" t="s">
        <v>28</v>
      </c>
      <c r="M7110" s="11" t="s">
        <v>28</v>
      </c>
      <c r="N7110" s="8">
        <v>43546</v>
      </c>
      <c r="O7110" s="9" t="s">
        <v>52</v>
      </c>
      <c r="P7110" s="12" t="s">
        <v>20888</v>
      </c>
      <c r="Q7110" s="9" t="s">
        <v>583</v>
      </c>
      <c r="R7110" s="14" t="str">
        <f>HYPERLINK("https://my.pitchbook.com?c=139806-19T","View Company Online")</f>
        <v>View Company Online</v>
      </c>
    </row>
    <row r="7111" spans="1:18" hidden="1" x14ac:dyDescent="0.3">
      <c r="A7111" s="15" t="s">
        <v>21239</v>
      </c>
      <c r="B7111" s="15" t="s">
        <v>21240</v>
      </c>
      <c r="C7111" s="18" t="s">
        <v>28</v>
      </c>
      <c r="D7111" s="15" t="s">
        <v>21241</v>
      </c>
      <c r="E7111" s="18" t="s">
        <v>28</v>
      </c>
      <c r="F7111" s="19" t="s">
        <v>28</v>
      </c>
      <c r="G7111" s="19" t="s">
        <v>28</v>
      </c>
      <c r="H7111" s="19" t="s">
        <v>28</v>
      </c>
      <c r="I7111" s="18" t="s">
        <v>28</v>
      </c>
      <c r="J7111" s="18" t="s">
        <v>28</v>
      </c>
      <c r="K7111" s="18" t="s">
        <v>28</v>
      </c>
      <c r="L7111" s="18" t="s">
        <v>28</v>
      </c>
      <c r="M7111" s="18" t="s">
        <v>28</v>
      </c>
      <c r="N7111" s="17">
        <v>43546</v>
      </c>
      <c r="O7111" s="15" t="s">
        <v>52</v>
      </c>
      <c r="P7111" s="16" t="s">
        <v>8895</v>
      </c>
      <c r="Q7111" s="15" t="s">
        <v>75</v>
      </c>
      <c r="R7111" s="13" t="str">
        <f>HYPERLINK("https://my.pitchbook.com?c=125346-52T","View Company Online")</f>
        <v>View Company Online</v>
      </c>
    </row>
    <row r="7112" spans="1:18" hidden="1" x14ac:dyDescent="0.3">
      <c r="A7112" s="9" t="s">
        <v>21242</v>
      </c>
      <c r="B7112" s="9" t="s">
        <v>19687</v>
      </c>
      <c r="C7112" s="11" t="s">
        <v>28</v>
      </c>
      <c r="D7112" s="9" t="s">
        <v>19688</v>
      </c>
      <c r="E7112" s="11" t="s">
        <v>28</v>
      </c>
      <c r="F7112" s="10" t="s">
        <v>28</v>
      </c>
      <c r="G7112" s="10" t="s">
        <v>28</v>
      </c>
      <c r="H7112" s="10" t="s">
        <v>28</v>
      </c>
      <c r="I7112" s="11" t="s">
        <v>28</v>
      </c>
      <c r="J7112" s="11" t="s">
        <v>28</v>
      </c>
      <c r="K7112" s="11">
        <v>0.41</v>
      </c>
      <c r="L7112" s="11" t="s">
        <v>28</v>
      </c>
      <c r="M7112" s="11" t="s">
        <v>28</v>
      </c>
      <c r="N7112" s="8">
        <v>43545</v>
      </c>
      <c r="O7112" s="9" t="s">
        <v>52</v>
      </c>
      <c r="P7112" s="12" t="s">
        <v>21243</v>
      </c>
      <c r="Q7112" s="9" t="s">
        <v>75</v>
      </c>
      <c r="R7112" s="14" t="str">
        <f>HYPERLINK("https://my.pitchbook.com?c=130847-86T","View Company Online")</f>
        <v>View Company Online</v>
      </c>
    </row>
    <row r="7113" spans="1:18" hidden="1" x14ac:dyDescent="0.3">
      <c r="A7113" s="15" t="s">
        <v>21244</v>
      </c>
      <c r="B7113" s="15" t="s">
        <v>8220</v>
      </c>
      <c r="C7113" s="18" t="s">
        <v>28</v>
      </c>
      <c r="D7113" s="15" t="s">
        <v>8221</v>
      </c>
      <c r="E7113" s="18" t="s">
        <v>28</v>
      </c>
      <c r="F7113" s="19" t="s">
        <v>28</v>
      </c>
      <c r="G7113" s="19">
        <v>0.26</v>
      </c>
      <c r="H7113" s="19" t="s">
        <v>28</v>
      </c>
      <c r="I7113" s="18" t="s">
        <v>28</v>
      </c>
      <c r="J7113" s="18" t="s">
        <v>28</v>
      </c>
      <c r="K7113" s="18" t="s">
        <v>28</v>
      </c>
      <c r="L7113" s="18" t="s">
        <v>28</v>
      </c>
      <c r="M7113" s="18" t="s">
        <v>28</v>
      </c>
      <c r="N7113" s="17">
        <v>43545</v>
      </c>
      <c r="O7113" s="15" t="s">
        <v>73</v>
      </c>
      <c r="P7113" s="16" t="s">
        <v>21245</v>
      </c>
      <c r="Q7113" s="15" t="s">
        <v>404</v>
      </c>
      <c r="R7113" s="13" t="str">
        <f>HYPERLINK("https://my.pitchbook.com?c=126049-24T","View Company Online")</f>
        <v>View Company Online</v>
      </c>
    </row>
    <row r="7114" spans="1:18" hidden="1" x14ac:dyDescent="0.3">
      <c r="A7114" s="9" t="s">
        <v>21246</v>
      </c>
      <c r="B7114" s="9" t="s">
        <v>19691</v>
      </c>
      <c r="C7114" s="11" t="s">
        <v>28</v>
      </c>
      <c r="D7114" s="9" t="s">
        <v>19692</v>
      </c>
      <c r="E7114" s="11" t="s">
        <v>28</v>
      </c>
      <c r="F7114" s="10" t="s">
        <v>28</v>
      </c>
      <c r="G7114" s="10">
        <v>52.7</v>
      </c>
      <c r="H7114" s="10">
        <v>554.74</v>
      </c>
      <c r="I7114" s="11" t="s">
        <v>28</v>
      </c>
      <c r="J7114" s="11" t="s">
        <v>28</v>
      </c>
      <c r="K7114" s="11" t="s">
        <v>28</v>
      </c>
      <c r="L7114" s="11" t="s">
        <v>28</v>
      </c>
      <c r="M7114" s="11" t="s">
        <v>28</v>
      </c>
      <c r="N7114" s="8">
        <v>43544</v>
      </c>
      <c r="O7114" s="9" t="s">
        <v>58</v>
      </c>
      <c r="P7114" s="12" t="s">
        <v>2372</v>
      </c>
      <c r="Q7114" s="9" t="s">
        <v>2043</v>
      </c>
      <c r="R7114" s="14" t="str">
        <f>HYPERLINK("https://my.pitchbook.com?c=118629-01T","View Company Online")</f>
        <v>View Company Online</v>
      </c>
    </row>
    <row r="7115" spans="1:18" hidden="1" x14ac:dyDescent="0.3">
      <c r="A7115" s="15" t="s">
        <v>21247</v>
      </c>
      <c r="B7115" s="15" t="s">
        <v>11237</v>
      </c>
      <c r="C7115" s="18" t="s">
        <v>28</v>
      </c>
      <c r="D7115" s="15" t="s">
        <v>11747</v>
      </c>
      <c r="E7115" s="18">
        <v>542.33000000000004</v>
      </c>
      <c r="F7115" s="19" t="s">
        <v>28</v>
      </c>
      <c r="G7115" s="19">
        <v>660</v>
      </c>
      <c r="H7115" s="19">
        <v>13200</v>
      </c>
      <c r="I7115" s="18">
        <v>667.21</v>
      </c>
      <c r="J7115" s="18">
        <v>19.78</v>
      </c>
      <c r="K7115" s="18">
        <v>3017.85</v>
      </c>
      <c r="L7115" s="18">
        <v>4.37</v>
      </c>
      <c r="M7115" s="18">
        <v>251.16</v>
      </c>
      <c r="N7115" s="17">
        <v>43544</v>
      </c>
      <c r="O7115" s="15" t="s">
        <v>159</v>
      </c>
      <c r="P7115" s="16" t="s">
        <v>21248</v>
      </c>
      <c r="Q7115" s="15" t="s">
        <v>348</v>
      </c>
      <c r="R7115" s="13" t="str">
        <f>HYPERLINK("https://my.pitchbook.com?c=123968-35T","View Company Online")</f>
        <v>View Company Online</v>
      </c>
    </row>
    <row r="7116" spans="1:18" hidden="1" x14ac:dyDescent="0.3">
      <c r="A7116" s="9" t="s">
        <v>21249</v>
      </c>
      <c r="B7116" s="9" t="s">
        <v>10945</v>
      </c>
      <c r="C7116" s="11" t="s">
        <v>28</v>
      </c>
      <c r="D7116" s="9" t="s">
        <v>10946</v>
      </c>
      <c r="E7116" s="11" t="s">
        <v>28</v>
      </c>
      <c r="F7116" s="10" t="s">
        <v>28</v>
      </c>
      <c r="G7116" s="10">
        <v>0.03</v>
      </c>
      <c r="H7116" s="10" t="s">
        <v>28</v>
      </c>
      <c r="I7116" s="11" t="s">
        <v>28</v>
      </c>
      <c r="J7116" s="11" t="s">
        <v>28</v>
      </c>
      <c r="K7116" s="11" t="s">
        <v>28</v>
      </c>
      <c r="L7116" s="11" t="s">
        <v>28</v>
      </c>
      <c r="M7116" s="11" t="s">
        <v>28</v>
      </c>
      <c r="N7116" s="8">
        <v>43544</v>
      </c>
      <c r="O7116" s="9" t="s">
        <v>99</v>
      </c>
      <c r="P7116" s="12" t="s">
        <v>21250</v>
      </c>
      <c r="Q7116" s="9" t="s">
        <v>75</v>
      </c>
      <c r="R7116" s="14" t="str">
        <f>HYPERLINK("https://my.pitchbook.com?c=123772-33T","View Company Online")</f>
        <v>View Company Online</v>
      </c>
    </row>
    <row r="7117" spans="1:18" hidden="1" x14ac:dyDescent="0.3">
      <c r="A7117" s="15" t="s">
        <v>21251</v>
      </c>
      <c r="B7117" s="15" t="s">
        <v>17535</v>
      </c>
      <c r="C7117" s="18" t="s">
        <v>28</v>
      </c>
      <c r="D7117" s="15" t="s">
        <v>17536</v>
      </c>
      <c r="E7117" s="18" t="s">
        <v>28</v>
      </c>
      <c r="F7117" s="19" t="s">
        <v>28</v>
      </c>
      <c r="G7117" s="19">
        <v>7</v>
      </c>
      <c r="H7117" s="19" t="s">
        <v>28</v>
      </c>
      <c r="I7117" s="18" t="s">
        <v>28</v>
      </c>
      <c r="J7117" s="18" t="s">
        <v>28</v>
      </c>
      <c r="K7117" s="18" t="s">
        <v>28</v>
      </c>
      <c r="L7117" s="18" t="s">
        <v>28</v>
      </c>
      <c r="M7117" s="18" t="s">
        <v>28</v>
      </c>
      <c r="N7117" s="17">
        <v>43543</v>
      </c>
      <c r="O7117" s="15" t="s">
        <v>73</v>
      </c>
      <c r="P7117" s="16" t="s">
        <v>21252</v>
      </c>
      <c r="Q7117" s="15" t="s">
        <v>95</v>
      </c>
      <c r="R7117" s="13" t="str">
        <f>HYPERLINK("https://my.pitchbook.com?c=117646-84T","View Company Online")</f>
        <v>View Company Online</v>
      </c>
    </row>
    <row r="7118" spans="1:18" hidden="1" x14ac:dyDescent="0.3">
      <c r="A7118" s="9" t="s">
        <v>21253</v>
      </c>
      <c r="B7118" s="9" t="s">
        <v>10531</v>
      </c>
      <c r="C7118" s="11" t="s">
        <v>28</v>
      </c>
      <c r="D7118" s="9" t="s">
        <v>10532</v>
      </c>
      <c r="E7118" s="11" t="s">
        <v>28</v>
      </c>
      <c r="F7118" s="10" t="s">
        <v>28</v>
      </c>
      <c r="G7118" s="10">
        <v>0.05</v>
      </c>
      <c r="H7118" s="10" t="s">
        <v>28</v>
      </c>
      <c r="I7118" s="11" t="s">
        <v>28</v>
      </c>
      <c r="J7118" s="11" t="s">
        <v>28</v>
      </c>
      <c r="K7118" s="11" t="s">
        <v>28</v>
      </c>
      <c r="L7118" s="11" t="s">
        <v>28</v>
      </c>
      <c r="M7118" s="11" t="s">
        <v>28</v>
      </c>
      <c r="N7118" s="8">
        <v>43543</v>
      </c>
      <c r="O7118" s="9" t="s">
        <v>52</v>
      </c>
      <c r="P7118" s="12" t="s">
        <v>2442</v>
      </c>
      <c r="Q7118" s="9" t="s">
        <v>75</v>
      </c>
      <c r="R7118" s="14" t="str">
        <f>HYPERLINK("https://my.pitchbook.com?c=133965-64T","View Company Online")</f>
        <v>View Company Online</v>
      </c>
    </row>
    <row r="7119" spans="1:18" hidden="1" x14ac:dyDescent="0.3">
      <c r="A7119" s="15" t="s">
        <v>21254</v>
      </c>
      <c r="B7119" s="15" t="s">
        <v>21255</v>
      </c>
      <c r="C7119" s="18" t="s">
        <v>28</v>
      </c>
      <c r="D7119" s="15" t="s">
        <v>21256</v>
      </c>
      <c r="E7119" s="18" t="s">
        <v>28</v>
      </c>
      <c r="F7119" s="19" t="s">
        <v>28</v>
      </c>
      <c r="G7119" s="19" t="s">
        <v>28</v>
      </c>
      <c r="H7119" s="19" t="s">
        <v>28</v>
      </c>
      <c r="I7119" s="18" t="s">
        <v>28</v>
      </c>
      <c r="J7119" s="18" t="s">
        <v>28</v>
      </c>
      <c r="K7119" s="18" t="s">
        <v>28</v>
      </c>
      <c r="L7119" s="18" t="s">
        <v>28</v>
      </c>
      <c r="M7119" s="18" t="s">
        <v>28</v>
      </c>
      <c r="N7119" s="17">
        <v>43543</v>
      </c>
      <c r="O7119" s="15" t="s">
        <v>52</v>
      </c>
      <c r="P7119" s="16" t="s">
        <v>12362</v>
      </c>
      <c r="Q7119" s="15" t="s">
        <v>75</v>
      </c>
      <c r="R7119" s="13" t="str">
        <f>HYPERLINK("https://my.pitchbook.com?c=284338-27T","View Company Online")</f>
        <v>View Company Online</v>
      </c>
    </row>
    <row r="7120" spans="1:18" hidden="1" x14ac:dyDescent="0.3">
      <c r="A7120" s="9" t="s">
        <v>21257</v>
      </c>
      <c r="B7120" s="9" t="s">
        <v>21258</v>
      </c>
      <c r="C7120" s="11" t="s">
        <v>28</v>
      </c>
      <c r="D7120" s="9" t="s">
        <v>21259</v>
      </c>
      <c r="E7120" s="11" t="s">
        <v>28</v>
      </c>
      <c r="F7120" s="10" t="s">
        <v>28</v>
      </c>
      <c r="G7120" s="10" t="s">
        <v>28</v>
      </c>
      <c r="H7120" s="10" t="s">
        <v>28</v>
      </c>
      <c r="I7120" s="11" t="s">
        <v>28</v>
      </c>
      <c r="J7120" s="11" t="s">
        <v>28</v>
      </c>
      <c r="K7120" s="11" t="s">
        <v>28</v>
      </c>
      <c r="L7120" s="11" t="s">
        <v>28</v>
      </c>
      <c r="M7120" s="11" t="s">
        <v>28</v>
      </c>
      <c r="N7120" s="8">
        <v>43543</v>
      </c>
      <c r="O7120" s="9" t="s">
        <v>30</v>
      </c>
      <c r="P7120" s="12" t="s">
        <v>21260</v>
      </c>
      <c r="Q7120" s="9" t="s">
        <v>75</v>
      </c>
      <c r="R7120" s="14" t="str">
        <f>HYPERLINK("https://my.pitchbook.com?c=210669-85T","View Company Online")</f>
        <v>View Company Online</v>
      </c>
    </row>
    <row r="7121" spans="1:18" hidden="1" x14ac:dyDescent="0.3">
      <c r="A7121" s="15" t="s">
        <v>21261</v>
      </c>
      <c r="B7121" s="15" t="s">
        <v>10407</v>
      </c>
      <c r="C7121" s="18" t="s">
        <v>28</v>
      </c>
      <c r="D7121" s="15" t="s">
        <v>10408</v>
      </c>
      <c r="E7121" s="18" t="s">
        <v>28</v>
      </c>
      <c r="F7121" s="19" t="s">
        <v>28</v>
      </c>
      <c r="G7121" s="19">
        <v>0.05</v>
      </c>
      <c r="H7121" s="19" t="s">
        <v>28</v>
      </c>
      <c r="I7121" s="18" t="s">
        <v>28</v>
      </c>
      <c r="J7121" s="18" t="s">
        <v>28</v>
      </c>
      <c r="K7121" s="18" t="s">
        <v>28</v>
      </c>
      <c r="L7121" s="18" t="s">
        <v>28</v>
      </c>
      <c r="M7121" s="18" t="s">
        <v>28</v>
      </c>
      <c r="N7121" s="17">
        <v>43542</v>
      </c>
      <c r="O7121" s="15" t="s">
        <v>52</v>
      </c>
      <c r="P7121" s="16" t="s">
        <v>21262</v>
      </c>
      <c r="Q7121" s="15" t="s">
        <v>1643</v>
      </c>
      <c r="R7121" s="13" t="str">
        <f>HYPERLINK("https://my.pitchbook.com?c=125337-25T","View Company Online")</f>
        <v>View Company Online</v>
      </c>
    </row>
    <row r="7122" spans="1:18" hidden="1" x14ac:dyDescent="0.3">
      <c r="A7122" s="9" t="s">
        <v>21263</v>
      </c>
      <c r="B7122" s="9" t="s">
        <v>359</v>
      </c>
      <c r="C7122" s="11" t="s">
        <v>28</v>
      </c>
      <c r="D7122" s="9" t="s">
        <v>360</v>
      </c>
      <c r="E7122" s="11" t="s">
        <v>28</v>
      </c>
      <c r="F7122" s="10" t="s">
        <v>28</v>
      </c>
      <c r="G7122" s="10" t="s">
        <v>28</v>
      </c>
      <c r="H7122" s="10" t="s">
        <v>28</v>
      </c>
      <c r="I7122" s="11" t="s">
        <v>28</v>
      </c>
      <c r="J7122" s="11" t="s">
        <v>28</v>
      </c>
      <c r="K7122" s="11" t="s">
        <v>28</v>
      </c>
      <c r="L7122" s="11" t="s">
        <v>28</v>
      </c>
      <c r="M7122" s="11" t="s">
        <v>28</v>
      </c>
      <c r="N7122" s="8">
        <v>43542</v>
      </c>
      <c r="O7122" s="9" t="s">
        <v>52</v>
      </c>
      <c r="P7122" s="12" t="s">
        <v>21264</v>
      </c>
      <c r="Q7122" s="9" t="s">
        <v>362</v>
      </c>
      <c r="R7122" s="14" t="str">
        <f>HYPERLINK("https://my.pitchbook.com?c=125611-66T","View Company Online")</f>
        <v>View Company Online</v>
      </c>
    </row>
    <row r="7123" spans="1:18" hidden="1" x14ac:dyDescent="0.3">
      <c r="A7123" s="15" t="s">
        <v>21265</v>
      </c>
      <c r="B7123" s="15" t="s">
        <v>21266</v>
      </c>
      <c r="C7123" s="18" t="s">
        <v>28</v>
      </c>
      <c r="D7123" s="15" t="s">
        <v>21267</v>
      </c>
      <c r="E7123" s="18" t="s">
        <v>28</v>
      </c>
      <c r="F7123" s="19" t="s">
        <v>28</v>
      </c>
      <c r="G7123" s="19" t="s">
        <v>28</v>
      </c>
      <c r="H7123" s="19" t="s">
        <v>28</v>
      </c>
      <c r="I7123" s="18" t="s">
        <v>28</v>
      </c>
      <c r="J7123" s="18" t="s">
        <v>28</v>
      </c>
      <c r="K7123" s="18" t="s">
        <v>28</v>
      </c>
      <c r="L7123" s="18" t="s">
        <v>28</v>
      </c>
      <c r="M7123" s="18" t="s">
        <v>28</v>
      </c>
      <c r="N7123" s="17">
        <v>43542</v>
      </c>
      <c r="O7123" s="15" t="s">
        <v>52</v>
      </c>
      <c r="P7123" s="16" t="s">
        <v>21264</v>
      </c>
      <c r="Q7123" s="15" t="s">
        <v>1643</v>
      </c>
      <c r="R7123" s="13" t="str">
        <f>HYPERLINK("https://my.pitchbook.com?c=125615-44T","View Company Online")</f>
        <v>View Company Online</v>
      </c>
    </row>
    <row r="7124" spans="1:18" hidden="1" x14ac:dyDescent="0.3">
      <c r="A7124" s="9" t="s">
        <v>21268</v>
      </c>
      <c r="B7124" s="9" t="s">
        <v>11979</v>
      </c>
      <c r="C7124" s="11" t="s">
        <v>28</v>
      </c>
      <c r="D7124" s="9" t="s">
        <v>11980</v>
      </c>
      <c r="E7124" s="11" t="s">
        <v>28</v>
      </c>
      <c r="F7124" s="10" t="s">
        <v>28</v>
      </c>
      <c r="G7124" s="10">
        <v>1.1499999999999999</v>
      </c>
      <c r="H7124" s="10" t="s">
        <v>28</v>
      </c>
      <c r="I7124" s="11" t="s">
        <v>28</v>
      </c>
      <c r="J7124" s="11" t="s">
        <v>28</v>
      </c>
      <c r="K7124" s="11" t="s">
        <v>28</v>
      </c>
      <c r="L7124" s="11" t="s">
        <v>28</v>
      </c>
      <c r="M7124" s="11" t="s">
        <v>28</v>
      </c>
      <c r="N7124" s="8">
        <v>43542</v>
      </c>
      <c r="O7124" s="9" t="s">
        <v>99</v>
      </c>
      <c r="P7124" s="12" t="s">
        <v>140</v>
      </c>
      <c r="Q7124" s="9" t="s">
        <v>37</v>
      </c>
      <c r="R7124" s="14" t="str">
        <f>HYPERLINK("https://my.pitchbook.com?c=226723-69T","View Company Online")</f>
        <v>View Company Online</v>
      </c>
    </row>
    <row r="7125" spans="1:18" hidden="1" x14ac:dyDescent="0.3">
      <c r="A7125" s="15" t="s">
        <v>21269</v>
      </c>
      <c r="B7125" s="15" t="s">
        <v>5486</v>
      </c>
      <c r="C7125" s="18" t="s">
        <v>28</v>
      </c>
      <c r="D7125" s="15" t="s">
        <v>5487</v>
      </c>
      <c r="E7125" s="18" t="s">
        <v>28</v>
      </c>
      <c r="F7125" s="19" t="s">
        <v>28</v>
      </c>
      <c r="G7125" s="19">
        <v>0.01</v>
      </c>
      <c r="H7125" s="19">
        <v>0.01</v>
      </c>
      <c r="I7125" s="18" t="s">
        <v>28</v>
      </c>
      <c r="J7125" s="18" t="s">
        <v>28</v>
      </c>
      <c r="K7125" s="18" t="s">
        <v>28</v>
      </c>
      <c r="L7125" s="18" t="s">
        <v>28</v>
      </c>
      <c r="M7125" s="18" t="s">
        <v>28</v>
      </c>
      <c r="N7125" s="17">
        <v>43539</v>
      </c>
      <c r="O7125" s="15" t="s">
        <v>58</v>
      </c>
      <c r="P7125" s="16" t="s">
        <v>14313</v>
      </c>
      <c r="Q7125" s="15" t="s">
        <v>75</v>
      </c>
      <c r="R7125" s="13" t="str">
        <f>HYPERLINK("https://my.pitchbook.com?c=234517-33T","View Company Online")</f>
        <v>View Company Online</v>
      </c>
    </row>
    <row r="7126" spans="1:18" hidden="1" x14ac:dyDescent="0.3">
      <c r="A7126" s="9" t="s">
        <v>21270</v>
      </c>
      <c r="B7126" s="9" t="s">
        <v>21271</v>
      </c>
      <c r="C7126" s="11" t="s">
        <v>28</v>
      </c>
      <c r="D7126" s="9" t="s">
        <v>21272</v>
      </c>
      <c r="E7126" s="11" t="s">
        <v>28</v>
      </c>
      <c r="F7126" s="10" t="s">
        <v>28</v>
      </c>
      <c r="G7126" s="10" t="s">
        <v>28</v>
      </c>
      <c r="H7126" s="10" t="s">
        <v>28</v>
      </c>
      <c r="I7126" s="11" t="s">
        <v>28</v>
      </c>
      <c r="J7126" s="11" t="s">
        <v>28</v>
      </c>
      <c r="K7126" s="11" t="s">
        <v>28</v>
      </c>
      <c r="L7126" s="11" t="s">
        <v>28</v>
      </c>
      <c r="M7126" s="11" t="s">
        <v>28</v>
      </c>
      <c r="N7126" s="8">
        <v>43536</v>
      </c>
      <c r="O7126" s="9" t="s">
        <v>30</v>
      </c>
      <c r="P7126" s="12" t="s">
        <v>21273</v>
      </c>
      <c r="Q7126" s="9" t="s">
        <v>226</v>
      </c>
      <c r="R7126" s="14" t="str">
        <f>HYPERLINK("https://my.pitchbook.com?c=117398-62T","View Company Online")</f>
        <v>View Company Online</v>
      </c>
    </row>
    <row r="7127" spans="1:18" hidden="1" x14ac:dyDescent="0.3">
      <c r="A7127" s="15" t="s">
        <v>21274</v>
      </c>
      <c r="B7127" s="15" t="s">
        <v>21275</v>
      </c>
      <c r="C7127" s="18" t="s">
        <v>28</v>
      </c>
      <c r="D7127" s="15" t="s">
        <v>21276</v>
      </c>
      <c r="E7127" s="18" t="s">
        <v>28</v>
      </c>
      <c r="F7127" s="19">
        <v>79</v>
      </c>
      <c r="G7127" s="19">
        <v>79</v>
      </c>
      <c r="H7127" s="19">
        <v>79</v>
      </c>
      <c r="I7127" s="18" t="s">
        <v>28</v>
      </c>
      <c r="J7127" s="18" t="s">
        <v>28</v>
      </c>
      <c r="K7127" s="18" t="s">
        <v>28</v>
      </c>
      <c r="L7127" s="18" t="s">
        <v>28</v>
      </c>
      <c r="M7127" s="18" t="s">
        <v>28</v>
      </c>
      <c r="N7127" s="17">
        <v>43536</v>
      </c>
      <c r="O7127" s="15" t="s">
        <v>30</v>
      </c>
      <c r="P7127" s="16" t="s">
        <v>21277</v>
      </c>
      <c r="Q7127" s="15" t="s">
        <v>37</v>
      </c>
      <c r="R7127" s="13" t="str">
        <f>HYPERLINK("https://my.pitchbook.com?c=117254-44T","View Company Online")</f>
        <v>View Company Online</v>
      </c>
    </row>
    <row r="7128" spans="1:18" hidden="1" x14ac:dyDescent="0.3">
      <c r="A7128" s="9" t="s">
        <v>21278</v>
      </c>
      <c r="B7128" s="9" t="s">
        <v>5185</v>
      </c>
      <c r="C7128" s="11" t="s">
        <v>28</v>
      </c>
      <c r="D7128" s="9" t="s">
        <v>5186</v>
      </c>
      <c r="E7128" s="11" t="s">
        <v>28</v>
      </c>
      <c r="F7128" s="10" t="s">
        <v>28</v>
      </c>
      <c r="G7128" s="10" t="s">
        <v>28</v>
      </c>
      <c r="H7128" s="10" t="s">
        <v>28</v>
      </c>
      <c r="I7128" s="11" t="s">
        <v>28</v>
      </c>
      <c r="J7128" s="11" t="s">
        <v>28</v>
      </c>
      <c r="K7128" s="11" t="s">
        <v>28</v>
      </c>
      <c r="L7128" s="11" t="s">
        <v>28</v>
      </c>
      <c r="M7128" s="11" t="s">
        <v>28</v>
      </c>
      <c r="N7128" s="8">
        <v>43532</v>
      </c>
      <c r="O7128" s="9" t="s">
        <v>52</v>
      </c>
      <c r="P7128" s="12" t="s">
        <v>1970</v>
      </c>
      <c r="Q7128" s="9" t="s">
        <v>263</v>
      </c>
      <c r="R7128" s="14" t="str">
        <f>HYPERLINK("https://my.pitchbook.com?c=284255-20T","View Company Online")</f>
        <v>View Company Online</v>
      </c>
    </row>
    <row r="7129" spans="1:18" hidden="1" x14ac:dyDescent="0.3">
      <c r="A7129" s="15" t="s">
        <v>21279</v>
      </c>
      <c r="B7129" s="15" t="s">
        <v>17770</v>
      </c>
      <c r="C7129" s="18" t="s">
        <v>28</v>
      </c>
      <c r="D7129" s="15" t="s">
        <v>17771</v>
      </c>
      <c r="E7129" s="18" t="s">
        <v>28</v>
      </c>
      <c r="F7129" s="19" t="s">
        <v>28</v>
      </c>
      <c r="G7129" s="19">
        <v>0.03</v>
      </c>
      <c r="H7129" s="19" t="s">
        <v>28</v>
      </c>
      <c r="I7129" s="18" t="s">
        <v>28</v>
      </c>
      <c r="J7129" s="18" t="s">
        <v>28</v>
      </c>
      <c r="K7129" s="18" t="s">
        <v>28</v>
      </c>
      <c r="L7129" s="18" t="s">
        <v>28</v>
      </c>
      <c r="M7129" s="18" t="s">
        <v>28</v>
      </c>
      <c r="N7129" s="17">
        <v>43532</v>
      </c>
      <c r="O7129" s="15" t="s">
        <v>47</v>
      </c>
      <c r="P7129" s="16" t="s">
        <v>21280</v>
      </c>
      <c r="Q7129" s="15" t="s">
        <v>37</v>
      </c>
      <c r="R7129" s="13" t="str">
        <f>HYPERLINK("https://my.pitchbook.com?c=122938-84T","View Company Online")</f>
        <v>View Company Online</v>
      </c>
    </row>
    <row r="7130" spans="1:18" hidden="1" x14ac:dyDescent="0.3">
      <c r="A7130" s="9" t="s">
        <v>21281</v>
      </c>
      <c r="B7130" s="9" t="s">
        <v>21282</v>
      </c>
      <c r="C7130" s="11" t="s">
        <v>28</v>
      </c>
      <c r="D7130" s="9" t="s">
        <v>21283</v>
      </c>
      <c r="E7130" s="11" t="s">
        <v>28</v>
      </c>
      <c r="F7130" s="10" t="s">
        <v>28</v>
      </c>
      <c r="G7130" s="10">
        <v>0.27</v>
      </c>
      <c r="H7130" s="10" t="s">
        <v>28</v>
      </c>
      <c r="I7130" s="11" t="s">
        <v>28</v>
      </c>
      <c r="J7130" s="11" t="s">
        <v>28</v>
      </c>
      <c r="K7130" s="11" t="s">
        <v>28</v>
      </c>
      <c r="L7130" s="11" t="s">
        <v>28</v>
      </c>
      <c r="M7130" s="11" t="s">
        <v>28</v>
      </c>
      <c r="N7130" s="8">
        <v>43532</v>
      </c>
      <c r="O7130" s="9" t="s">
        <v>73</v>
      </c>
      <c r="P7130" s="12" t="s">
        <v>21284</v>
      </c>
      <c r="Q7130" s="9" t="s">
        <v>75</v>
      </c>
      <c r="R7130" s="14" t="str">
        <f>HYPERLINK("https://my.pitchbook.com?c=117977-41T","View Company Online")</f>
        <v>View Company Online</v>
      </c>
    </row>
    <row r="7131" spans="1:18" hidden="1" x14ac:dyDescent="0.3">
      <c r="A7131" s="15" t="s">
        <v>21285</v>
      </c>
      <c r="B7131" s="15" t="s">
        <v>21286</v>
      </c>
      <c r="C7131" s="18" t="s">
        <v>28</v>
      </c>
      <c r="D7131" s="15" t="s">
        <v>21287</v>
      </c>
      <c r="E7131" s="18" t="s">
        <v>28</v>
      </c>
      <c r="F7131" s="19" t="s">
        <v>28</v>
      </c>
      <c r="G7131" s="19" t="s">
        <v>28</v>
      </c>
      <c r="H7131" s="19" t="s">
        <v>28</v>
      </c>
      <c r="I7131" s="18" t="s">
        <v>28</v>
      </c>
      <c r="J7131" s="18" t="s">
        <v>28</v>
      </c>
      <c r="K7131" s="18" t="s">
        <v>28</v>
      </c>
      <c r="L7131" s="18" t="s">
        <v>28</v>
      </c>
      <c r="M7131" s="18" t="s">
        <v>28</v>
      </c>
      <c r="N7131" s="17">
        <v>43531</v>
      </c>
      <c r="O7131" s="15" t="s">
        <v>30</v>
      </c>
      <c r="P7131" s="16" t="s">
        <v>21288</v>
      </c>
      <c r="Q7131" s="15" t="s">
        <v>37</v>
      </c>
      <c r="R7131" s="13" t="str">
        <f>HYPERLINK("https://my.pitchbook.com?c=211952-89T","View Company Online")</f>
        <v>View Company Online</v>
      </c>
    </row>
    <row r="7132" spans="1:18" hidden="1" x14ac:dyDescent="0.3">
      <c r="A7132" s="9" t="s">
        <v>21289</v>
      </c>
      <c r="B7132" s="9" t="s">
        <v>21290</v>
      </c>
      <c r="C7132" s="11" t="s">
        <v>28</v>
      </c>
      <c r="D7132" s="9" t="s">
        <v>21291</v>
      </c>
      <c r="E7132" s="11" t="s">
        <v>28</v>
      </c>
      <c r="F7132" s="10" t="s">
        <v>28</v>
      </c>
      <c r="G7132" s="10" t="s">
        <v>28</v>
      </c>
      <c r="H7132" s="10" t="s">
        <v>28</v>
      </c>
      <c r="I7132" s="11" t="s">
        <v>28</v>
      </c>
      <c r="J7132" s="11" t="s">
        <v>28</v>
      </c>
      <c r="K7132" s="11" t="s">
        <v>28</v>
      </c>
      <c r="L7132" s="11" t="s">
        <v>28</v>
      </c>
      <c r="M7132" s="11" t="s">
        <v>28</v>
      </c>
      <c r="N7132" s="8">
        <v>43530</v>
      </c>
      <c r="O7132" s="9" t="s">
        <v>73</v>
      </c>
      <c r="P7132" s="12" t="s">
        <v>21292</v>
      </c>
      <c r="Q7132" s="9" t="s">
        <v>419</v>
      </c>
      <c r="R7132" s="14" t="str">
        <f>HYPERLINK("https://my.pitchbook.com?c=133758-64T","View Company Online")</f>
        <v>View Company Online</v>
      </c>
    </row>
    <row r="7133" spans="1:18" hidden="1" x14ac:dyDescent="0.3">
      <c r="A7133" s="15" t="s">
        <v>21293</v>
      </c>
      <c r="B7133" s="15" t="s">
        <v>21294</v>
      </c>
      <c r="C7133" s="18" t="s">
        <v>28</v>
      </c>
      <c r="D7133" s="15" t="s">
        <v>21295</v>
      </c>
      <c r="E7133" s="18" t="s">
        <v>28</v>
      </c>
      <c r="F7133" s="19" t="s">
        <v>28</v>
      </c>
      <c r="G7133" s="19">
        <v>0.26</v>
      </c>
      <c r="H7133" s="19">
        <v>0.56999999999999995</v>
      </c>
      <c r="I7133" s="18" t="s">
        <v>28</v>
      </c>
      <c r="J7133" s="18" t="s">
        <v>28</v>
      </c>
      <c r="K7133" s="18" t="s">
        <v>28</v>
      </c>
      <c r="L7133" s="18" t="s">
        <v>28</v>
      </c>
      <c r="M7133" s="18" t="s">
        <v>28</v>
      </c>
      <c r="N7133" s="17">
        <v>43529</v>
      </c>
      <c r="O7133" s="15" t="s">
        <v>99</v>
      </c>
      <c r="P7133" s="16" t="s">
        <v>21296</v>
      </c>
      <c r="Q7133" s="15" t="s">
        <v>855</v>
      </c>
      <c r="R7133" s="13" t="str">
        <f>HYPERLINK("https://my.pitchbook.com?c=156583-18T","View Company Online")</f>
        <v>View Company Online</v>
      </c>
    </row>
    <row r="7134" spans="1:18" hidden="1" x14ac:dyDescent="0.3">
      <c r="A7134" s="9" t="s">
        <v>21297</v>
      </c>
      <c r="B7134" s="9" t="s">
        <v>206</v>
      </c>
      <c r="C7134" s="11" t="s">
        <v>28</v>
      </c>
      <c r="D7134" s="9" t="s">
        <v>207</v>
      </c>
      <c r="E7134" s="11" t="s">
        <v>28</v>
      </c>
      <c r="F7134" s="10" t="s">
        <v>28</v>
      </c>
      <c r="G7134" s="10">
        <v>0.15</v>
      </c>
      <c r="H7134" s="10">
        <v>2.14</v>
      </c>
      <c r="I7134" s="11" t="s">
        <v>28</v>
      </c>
      <c r="J7134" s="11" t="s">
        <v>28</v>
      </c>
      <c r="K7134" s="11" t="s">
        <v>28</v>
      </c>
      <c r="L7134" s="11" t="s">
        <v>28</v>
      </c>
      <c r="M7134" s="11" t="s">
        <v>28</v>
      </c>
      <c r="N7134" s="8">
        <v>43529</v>
      </c>
      <c r="O7134" s="9" t="s">
        <v>52</v>
      </c>
      <c r="P7134" s="12" t="s">
        <v>3944</v>
      </c>
      <c r="Q7134" s="9" t="s">
        <v>85</v>
      </c>
      <c r="R7134" s="14" t="str">
        <f>HYPERLINK("https://my.pitchbook.com?c=117553-96T","View Company Online")</f>
        <v>View Company Online</v>
      </c>
    </row>
    <row r="7135" spans="1:18" hidden="1" x14ac:dyDescent="0.3">
      <c r="A7135" s="15" t="s">
        <v>21298</v>
      </c>
      <c r="B7135" s="15" t="s">
        <v>16227</v>
      </c>
      <c r="C7135" s="18" t="s">
        <v>28</v>
      </c>
      <c r="D7135" s="15" t="s">
        <v>16228</v>
      </c>
      <c r="E7135" s="18" t="s">
        <v>28</v>
      </c>
      <c r="F7135" s="19" t="s">
        <v>28</v>
      </c>
      <c r="G7135" s="19" t="s">
        <v>28</v>
      </c>
      <c r="H7135" s="19" t="s">
        <v>28</v>
      </c>
      <c r="I7135" s="18" t="s">
        <v>28</v>
      </c>
      <c r="J7135" s="18" t="s">
        <v>28</v>
      </c>
      <c r="K7135" s="18" t="s">
        <v>28</v>
      </c>
      <c r="L7135" s="18" t="s">
        <v>28</v>
      </c>
      <c r="M7135" s="18" t="s">
        <v>28</v>
      </c>
      <c r="N7135" s="17">
        <v>43528</v>
      </c>
      <c r="O7135" s="15" t="s">
        <v>41</v>
      </c>
      <c r="P7135" s="16" t="s">
        <v>28</v>
      </c>
      <c r="Q7135" s="15" t="s">
        <v>1007</v>
      </c>
      <c r="R7135" s="13" t="str">
        <f>HYPERLINK("https://my.pitchbook.com?c=111109-33T","View Company Online")</f>
        <v>View Company Online</v>
      </c>
    </row>
    <row r="7136" spans="1:18" hidden="1" x14ac:dyDescent="0.3">
      <c r="A7136" s="9" t="s">
        <v>21299</v>
      </c>
      <c r="B7136" s="9" t="s">
        <v>21300</v>
      </c>
      <c r="C7136" s="11" t="s">
        <v>28</v>
      </c>
      <c r="D7136" s="9" t="s">
        <v>21301</v>
      </c>
      <c r="E7136" s="11">
        <v>1156.19</v>
      </c>
      <c r="F7136" s="10" t="s">
        <v>28</v>
      </c>
      <c r="G7136" s="10" t="s">
        <v>28</v>
      </c>
      <c r="H7136" s="10" t="s">
        <v>28</v>
      </c>
      <c r="I7136" s="11">
        <v>1537.2</v>
      </c>
      <c r="J7136" s="11" t="s">
        <v>28</v>
      </c>
      <c r="K7136" s="11">
        <v>4401.09</v>
      </c>
      <c r="L7136" s="11" t="s">
        <v>28</v>
      </c>
      <c r="M7136" s="11">
        <v>775.71</v>
      </c>
      <c r="N7136" s="8">
        <v>43526</v>
      </c>
      <c r="O7136" s="9" t="s">
        <v>159</v>
      </c>
      <c r="P7136" s="12" t="s">
        <v>28</v>
      </c>
      <c r="Q7136" s="9" t="s">
        <v>1374</v>
      </c>
      <c r="R7136" s="14" t="str">
        <f>HYPERLINK("https://my.pitchbook.com?c=116945-56T","View Company Online")</f>
        <v>View Company Online</v>
      </c>
    </row>
    <row r="7137" spans="1:18" hidden="1" x14ac:dyDescent="0.3">
      <c r="A7137" s="15" t="s">
        <v>21302</v>
      </c>
      <c r="B7137" s="15" t="s">
        <v>21303</v>
      </c>
      <c r="C7137" s="18" t="s">
        <v>28</v>
      </c>
      <c r="D7137" s="15" t="s">
        <v>21304</v>
      </c>
      <c r="E7137" s="18" t="s">
        <v>28</v>
      </c>
      <c r="F7137" s="19" t="s">
        <v>28</v>
      </c>
      <c r="G7137" s="19" t="s">
        <v>28</v>
      </c>
      <c r="H7137" s="19" t="s">
        <v>28</v>
      </c>
      <c r="I7137" s="18" t="s">
        <v>28</v>
      </c>
      <c r="J7137" s="18" t="s">
        <v>28</v>
      </c>
      <c r="K7137" s="18" t="s">
        <v>28</v>
      </c>
      <c r="L7137" s="18" t="s">
        <v>28</v>
      </c>
      <c r="M7137" s="18" t="s">
        <v>28</v>
      </c>
      <c r="N7137" s="17">
        <v>43526</v>
      </c>
      <c r="O7137" s="15" t="s">
        <v>58</v>
      </c>
      <c r="P7137" s="16" t="s">
        <v>21305</v>
      </c>
      <c r="Q7137" s="15" t="s">
        <v>85</v>
      </c>
      <c r="R7137" s="13" t="str">
        <f>HYPERLINK("https://my.pitchbook.com?c=121037-23T","View Company Online")</f>
        <v>View Company Online</v>
      </c>
    </row>
    <row r="7138" spans="1:18" hidden="1" x14ac:dyDescent="0.3">
      <c r="A7138" s="9" t="s">
        <v>21306</v>
      </c>
      <c r="B7138" s="9" t="s">
        <v>21307</v>
      </c>
      <c r="C7138" s="11" t="s">
        <v>28</v>
      </c>
      <c r="D7138" s="9" t="s">
        <v>21308</v>
      </c>
      <c r="E7138" s="11" t="s">
        <v>28</v>
      </c>
      <c r="F7138" s="10" t="s">
        <v>28</v>
      </c>
      <c r="G7138" s="10" t="s">
        <v>28</v>
      </c>
      <c r="H7138" s="10" t="s">
        <v>28</v>
      </c>
      <c r="I7138" s="11" t="s">
        <v>28</v>
      </c>
      <c r="J7138" s="11" t="s">
        <v>28</v>
      </c>
      <c r="K7138" s="11" t="s">
        <v>28</v>
      </c>
      <c r="L7138" s="11" t="s">
        <v>28</v>
      </c>
      <c r="M7138" s="11" t="s">
        <v>28</v>
      </c>
      <c r="N7138" s="8">
        <v>43525</v>
      </c>
      <c r="O7138" s="9" t="s">
        <v>41</v>
      </c>
      <c r="P7138" s="12" t="s">
        <v>21309</v>
      </c>
      <c r="Q7138" s="9" t="s">
        <v>280</v>
      </c>
      <c r="R7138" s="14" t="str">
        <f>HYPERLINK("https://my.pitchbook.com?c=125271-01T","View Company Online")</f>
        <v>View Company Online</v>
      </c>
    </row>
    <row r="7139" spans="1:18" hidden="1" x14ac:dyDescent="0.3">
      <c r="A7139" s="15" t="s">
        <v>21310</v>
      </c>
      <c r="B7139" s="15" t="s">
        <v>21311</v>
      </c>
      <c r="C7139" s="18" t="s">
        <v>28</v>
      </c>
      <c r="D7139" s="15" t="s">
        <v>21312</v>
      </c>
      <c r="E7139" s="18" t="s">
        <v>28</v>
      </c>
      <c r="F7139" s="19" t="s">
        <v>28</v>
      </c>
      <c r="G7139" s="19" t="s">
        <v>28</v>
      </c>
      <c r="H7139" s="19" t="s">
        <v>28</v>
      </c>
      <c r="I7139" s="18" t="s">
        <v>28</v>
      </c>
      <c r="J7139" s="18" t="s">
        <v>28</v>
      </c>
      <c r="K7139" s="18" t="s">
        <v>28</v>
      </c>
      <c r="L7139" s="18" t="s">
        <v>28</v>
      </c>
      <c r="M7139" s="18" t="s">
        <v>28</v>
      </c>
      <c r="N7139" s="17">
        <v>43525</v>
      </c>
      <c r="O7139" s="15" t="s">
        <v>30</v>
      </c>
      <c r="P7139" s="16" t="s">
        <v>14833</v>
      </c>
      <c r="Q7139" s="15" t="s">
        <v>95</v>
      </c>
      <c r="R7139" s="13" t="str">
        <f>HYPERLINK("https://my.pitchbook.com?c=160681-42T","View Company Online")</f>
        <v>View Company Online</v>
      </c>
    </row>
    <row r="7140" spans="1:18" hidden="1" x14ac:dyDescent="0.3">
      <c r="A7140" s="9" t="s">
        <v>21313</v>
      </c>
      <c r="B7140" s="9" t="s">
        <v>8460</v>
      </c>
      <c r="C7140" s="11" t="s">
        <v>28</v>
      </c>
      <c r="D7140" s="9" t="s">
        <v>8461</v>
      </c>
      <c r="E7140" s="11" t="s">
        <v>28</v>
      </c>
      <c r="F7140" s="10" t="s">
        <v>28</v>
      </c>
      <c r="G7140" s="10" t="s">
        <v>28</v>
      </c>
      <c r="H7140" s="10" t="s">
        <v>28</v>
      </c>
      <c r="I7140" s="11" t="s">
        <v>28</v>
      </c>
      <c r="J7140" s="11" t="s">
        <v>28</v>
      </c>
      <c r="K7140" s="11" t="s">
        <v>28</v>
      </c>
      <c r="L7140" s="11" t="s">
        <v>28</v>
      </c>
      <c r="M7140" s="11" t="s">
        <v>28</v>
      </c>
      <c r="N7140" s="8">
        <v>43525</v>
      </c>
      <c r="O7140" s="9" t="s">
        <v>52</v>
      </c>
      <c r="P7140" s="12" t="s">
        <v>3375</v>
      </c>
      <c r="Q7140" s="9" t="s">
        <v>75</v>
      </c>
      <c r="R7140" s="14" t="str">
        <f>HYPERLINK("https://my.pitchbook.com?c=132192-46T","View Company Online")</f>
        <v>View Company Online</v>
      </c>
    </row>
    <row r="7141" spans="1:18" hidden="1" x14ac:dyDescent="0.3">
      <c r="A7141" s="15" t="s">
        <v>21314</v>
      </c>
      <c r="B7141" s="15" t="s">
        <v>21315</v>
      </c>
      <c r="C7141" s="18" t="s">
        <v>28</v>
      </c>
      <c r="D7141" s="15" t="s">
        <v>21316</v>
      </c>
      <c r="E7141" s="18" t="s">
        <v>28</v>
      </c>
      <c r="F7141" s="19" t="s">
        <v>28</v>
      </c>
      <c r="G7141" s="19" t="s">
        <v>28</v>
      </c>
      <c r="H7141" s="19" t="s">
        <v>28</v>
      </c>
      <c r="I7141" s="18" t="s">
        <v>28</v>
      </c>
      <c r="J7141" s="18" t="s">
        <v>28</v>
      </c>
      <c r="K7141" s="18" t="s">
        <v>28</v>
      </c>
      <c r="L7141" s="18" t="s">
        <v>28</v>
      </c>
      <c r="M7141" s="18" t="s">
        <v>28</v>
      </c>
      <c r="N7141" s="17">
        <v>43525</v>
      </c>
      <c r="O7141" s="15" t="s">
        <v>30</v>
      </c>
      <c r="P7141" s="16" t="s">
        <v>14833</v>
      </c>
      <c r="Q7141" s="15" t="s">
        <v>95</v>
      </c>
      <c r="R7141" s="13" t="str">
        <f>HYPERLINK("https://my.pitchbook.com?c=160681-69T","View Company Online")</f>
        <v>View Company Online</v>
      </c>
    </row>
    <row r="7142" spans="1:18" hidden="1" x14ac:dyDescent="0.3">
      <c r="A7142" s="9" t="s">
        <v>21317</v>
      </c>
      <c r="B7142" s="9" t="s">
        <v>13036</v>
      </c>
      <c r="C7142" s="11" t="s">
        <v>28</v>
      </c>
      <c r="D7142" s="9" t="s">
        <v>13037</v>
      </c>
      <c r="E7142" s="11" t="s">
        <v>28</v>
      </c>
      <c r="F7142" s="10" t="s">
        <v>28</v>
      </c>
      <c r="G7142" s="10">
        <v>188.04</v>
      </c>
      <c r="H7142" s="10">
        <v>807.05</v>
      </c>
      <c r="I7142" s="11" t="s">
        <v>28</v>
      </c>
      <c r="J7142" s="11" t="s">
        <v>28</v>
      </c>
      <c r="K7142" s="11" t="s">
        <v>28</v>
      </c>
      <c r="L7142" s="11" t="s">
        <v>28</v>
      </c>
      <c r="M7142" s="11" t="s">
        <v>28</v>
      </c>
      <c r="N7142" s="8">
        <v>43525</v>
      </c>
      <c r="O7142" s="9" t="s">
        <v>93</v>
      </c>
      <c r="P7142" s="12" t="s">
        <v>21318</v>
      </c>
      <c r="Q7142" s="9" t="s">
        <v>169</v>
      </c>
      <c r="R7142" s="14" t="str">
        <f>HYPERLINK("https://my.pitchbook.com?c=113763-61T","View Company Online")</f>
        <v>View Company Online</v>
      </c>
    </row>
    <row r="7143" spans="1:18" hidden="1" x14ac:dyDescent="0.3">
      <c r="A7143" s="15" t="s">
        <v>21319</v>
      </c>
      <c r="B7143" s="15" t="s">
        <v>21320</v>
      </c>
      <c r="C7143" s="18" t="s">
        <v>28</v>
      </c>
      <c r="D7143" s="15" t="s">
        <v>21321</v>
      </c>
      <c r="E7143" s="18" t="s">
        <v>28</v>
      </c>
      <c r="F7143" s="19" t="s">
        <v>28</v>
      </c>
      <c r="G7143" s="19" t="s">
        <v>28</v>
      </c>
      <c r="H7143" s="19" t="s">
        <v>28</v>
      </c>
      <c r="I7143" s="18" t="s">
        <v>28</v>
      </c>
      <c r="J7143" s="18" t="s">
        <v>28</v>
      </c>
      <c r="K7143" s="18" t="s">
        <v>28</v>
      </c>
      <c r="L7143" s="18" t="s">
        <v>28</v>
      </c>
      <c r="M7143" s="18" t="s">
        <v>28</v>
      </c>
      <c r="N7143" s="17">
        <v>43525</v>
      </c>
      <c r="O7143" s="15" t="s">
        <v>79</v>
      </c>
      <c r="P7143" s="16" t="s">
        <v>611</v>
      </c>
      <c r="Q7143" s="15" t="s">
        <v>5347</v>
      </c>
      <c r="R7143" s="13" t="str">
        <f>HYPERLINK("https://my.pitchbook.com?c=119999-35T","View Company Online")</f>
        <v>View Company Online</v>
      </c>
    </row>
    <row r="7144" spans="1:18" hidden="1" x14ac:dyDescent="0.3">
      <c r="A7144" s="9" t="s">
        <v>21322</v>
      </c>
      <c r="B7144" s="9" t="s">
        <v>11477</v>
      </c>
      <c r="C7144" s="11" t="s">
        <v>28</v>
      </c>
      <c r="D7144" s="9" t="s">
        <v>11478</v>
      </c>
      <c r="E7144" s="11" t="s">
        <v>28</v>
      </c>
      <c r="F7144" s="10" t="s">
        <v>28</v>
      </c>
      <c r="G7144" s="10">
        <v>0.5</v>
      </c>
      <c r="H7144" s="10">
        <v>1.7</v>
      </c>
      <c r="I7144" s="11" t="s">
        <v>28</v>
      </c>
      <c r="J7144" s="11" t="s">
        <v>28</v>
      </c>
      <c r="K7144" s="11" t="s">
        <v>28</v>
      </c>
      <c r="L7144" s="11" t="s">
        <v>28</v>
      </c>
      <c r="M7144" s="11" t="s">
        <v>28</v>
      </c>
      <c r="N7144" s="8">
        <v>43525</v>
      </c>
      <c r="O7144" s="9" t="s">
        <v>99</v>
      </c>
      <c r="P7144" s="12" t="s">
        <v>28</v>
      </c>
      <c r="Q7144" s="9" t="s">
        <v>855</v>
      </c>
      <c r="R7144" s="14" t="str">
        <f>HYPERLINK("https://my.pitchbook.com?c=200886-58T","View Company Online")</f>
        <v>View Company Online</v>
      </c>
    </row>
    <row r="7145" spans="1:18" hidden="1" x14ac:dyDescent="0.3">
      <c r="A7145" s="15" t="s">
        <v>21323</v>
      </c>
      <c r="B7145" s="15" t="s">
        <v>21324</v>
      </c>
      <c r="C7145" s="18" t="s">
        <v>28</v>
      </c>
      <c r="D7145" s="15" t="s">
        <v>21325</v>
      </c>
      <c r="E7145" s="18" t="s">
        <v>28</v>
      </c>
      <c r="F7145" s="19" t="s">
        <v>28</v>
      </c>
      <c r="G7145" s="19" t="s">
        <v>28</v>
      </c>
      <c r="H7145" s="19" t="s">
        <v>28</v>
      </c>
      <c r="I7145" s="18" t="s">
        <v>28</v>
      </c>
      <c r="J7145" s="18" t="s">
        <v>28</v>
      </c>
      <c r="K7145" s="18" t="s">
        <v>28</v>
      </c>
      <c r="L7145" s="18" t="s">
        <v>28</v>
      </c>
      <c r="M7145" s="18" t="s">
        <v>28</v>
      </c>
      <c r="N7145" s="17">
        <v>43525</v>
      </c>
      <c r="O7145" s="15" t="s">
        <v>30</v>
      </c>
      <c r="P7145" s="16" t="s">
        <v>21326</v>
      </c>
      <c r="Q7145" s="15" t="s">
        <v>75</v>
      </c>
      <c r="R7145" s="13" t="str">
        <f>HYPERLINK("https://my.pitchbook.com?c=172394-20T","View Company Online")</f>
        <v>View Company Online</v>
      </c>
    </row>
    <row r="7146" spans="1:18" hidden="1" x14ac:dyDescent="0.3">
      <c r="A7146" s="9" t="s">
        <v>21327</v>
      </c>
      <c r="B7146" s="9" t="s">
        <v>21328</v>
      </c>
      <c r="C7146" s="11" t="s">
        <v>28</v>
      </c>
      <c r="D7146" s="9" t="s">
        <v>21329</v>
      </c>
      <c r="E7146" s="11" t="s">
        <v>28</v>
      </c>
      <c r="F7146" s="10" t="s">
        <v>28</v>
      </c>
      <c r="G7146" s="10">
        <v>0.03</v>
      </c>
      <c r="H7146" s="10">
        <v>0.54</v>
      </c>
      <c r="I7146" s="11" t="s">
        <v>28</v>
      </c>
      <c r="J7146" s="11" t="s">
        <v>28</v>
      </c>
      <c r="K7146" s="11" t="s">
        <v>28</v>
      </c>
      <c r="L7146" s="11" t="s">
        <v>28</v>
      </c>
      <c r="M7146" s="11" t="s">
        <v>28</v>
      </c>
      <c r="N7146" s="8">
        <v>43525</v>
      </c>
      <c r="O7146" s="9" t="s">
        <v>52</v>
      </c>
      <c r="P7146" s="12" t="s">
        <v>7737</v>
      </c>
      <c r="Q7146" s="9" t="s">
        <v>119</v>
      </c>
      <c r="R7146" s="14" t="str">
        <f>HYPERLINK("https://my.pitchbook.com?c=219710-17T","View Company Online")</f>
        <v>View Company Online</v>
      </c>
    </row>
    <row r="7147" spans="1:18" hidden="1" x14ac:dyDescent="0.3">
      <c r="A7147" s="15" t="s">
        <v>21330</v>
      </c>
      <c r="B7147" s="15" t="s">
        <v>21331</v>
      </c>
      <c r="C7147" s="18" t="s">
        <v>28</v>
      </c>
      <c r="D7147" s="15" t="s">
        <v>21332</v>
      </c>
      <c r="E7147" s="18" t="s">
        <v>28</v>
      </c>
      <c r="F7147" s="19" t="s">
        <v>28</v>
      </c>
      <c r="G7147" s="19" t="s">
        <v>28</v>
      </c>
      <c r="H7147" s="19" t="s">
        <v>28</v>
      </c>
      <c r="I7147" s="18" t="s">
        <v>28</v>
      </c>
      <c r="J7147" s="18" t="s">
        <v>28</v>
      </c>
      <c r="K7147" s="18" t="s">
        <v>28</v>
      </c>
      <c r="L7147" s="18" t="s">
        <v>28</v>
      </c>
      <c r="M7147" s="18" t="s">
        <v>28</v>
      </c>
      <c r="N7147" s="17">
        <v>43525</v>
      </c>
      <c r="O7147" s="15" t="s">
        <v>30</v>
      </c>
      <c r="P7147" s="16" t="s">
        <v>28</v>
      </c>
      <c r="Q7147" s="15" t="s">
        <v>136</v>
      </c>
      <c r="R7147" s="13" t="str">
        <f>HYPERLINK("https://my.pitchbook.com?c=137064-97T","View Company Online")</f>
        <v>View Company Online</v>
      </c>
    </row>
    <row r="7148" spans="1:18" hidden="1" x14ac:dyDescent="0.3">
      <c r="A7148" s="9" t="s">
        <v>21333</v>
      </c>
      <c r="B7148" s="9" t="s">
        <v>21334</v>
      </c>
      <c r="C7148" s="11" t="s">
        <v>28</v>
      </c>
      <c r="D7148" s="9" t="s">
        <v>21335</v>
      </c>
      <c r="E7148" s="11" t="s">
        <v>28</v>
      </c>
      <c r="F7148" s="10">
        <v>0.59</v>
      </c>
      <c r="G7148" s="10">
        <v>0.59</v>
      </c>
      <c r="H7148" s="10">
        <v>0.59</v>
      </c>
      <c r="I7148" s="11" t="s">
        <v>28</v>
      </c>
      <c r="J7148" s="11" t="s">
        <v>28</v>
      </c>
      <c r="K7148" s="11" t="s">
        <v>28</v>
      </c>
      <c r="L7148" s="11" t="s">
        <v>28</v>
      </c>
      <c r="M7148" s="11" t="s">
        <v>28</v>
      </c>
      <c r="N7148" s="8">
        <v>43525</v>
      </c>
      <c r="O7148" s="9" t="s">
        <v>30</v>
      </c>
      <c r="P7148" s="12" t="s">
        <v>10720</v>
      </c>
      <c r="Q7148" s="9" t="s">
        <v>263</v>
      </c>
      <c r="R7148" s="14" t="str">
        <f>HYPERLINK("https://my.pitchbook.com?c=120011-14T","View Company Online")</f>
        <v>View Company Online</v>
      </c>
    </row>
    <row r="7149" spans="1:18" hidden="1" x14ac:dyDescent="0.3">
      <c r="A7149" s="15" t="s">
        <v>21336</v>
      </c>
      <c r="B7149" s="15" t="s">
        <v>13734</v>
      </c>
      <c r="C7149" s="18" t="s">
        <v>28</v>
      </c>
      <c r="D7149" s="15" t="s">
        <v>13735</v>
      </c>
      <c r="E7149" s="18" t="s">
        <v>28</v>
      </c>
      <c r="F7149" s="19" t="s">
        <v>28</v>
      </c>
      <c r="G7149" s="19">
        <v>0.13</v>
      </c>
      <c r="H7149" s="19" t="s">
        <v>28</v>
      </c>
      <c r="I7149" s="18" t="s">
        <v>28</v>
      </c>
      <c r="J7149" s="18" t="s">
        <v>28</v>
      </c>
      <c r="K7149" s="18" t="s">
        <v>28</v>
      </c>
      <c r="L7149" s="18" t="s">
        <v>28</v>
      </c>
      <c r="M7149" s="18" t="s">
        <v>28</v>
      </c>
      <c r="N7149" s="17">
        <v>43525</v>
      </c>
      <c r="O7149" s="15" t="s">
        <v>379</v>
      </c>
      <c r="P7149" s="16" t="s">
        <v>28</v>
      </c>
      <c r="Q7149" s="15" t="s">
        <v>114</v>
      </c>
      <c r="R7149" s="13" t="str">
        <f>HYPERLINK("https://my.pitchbook.com?c=191099-98T","View Company Online")</f>
        <v>View Company Online</v>
      </c>
    </row>
    <row r="7150" spans="1:18" hidden="1" x14ac:dyDescent="0.3">
      <c r="A7150" s="9" t="s">
        <v>21337</v>
      </c>
      <c r="B7150" s="9" t="s">
        <v>18509</v>
      </c>
      <c r="C7150" s="11" t="s">
        <v>28</v>
      </c>
      <c r="D7150" s="9" t="s">
        <v>18510</v>
      </c>
      <c r="E7150" s="11" t="s">
        <v>28</v>
      </c>
      <c r="F7150" s="10" t="s">
        <v>28</v>
      </c>
      <c r="G7150" s="10" t="s">
        <v>28</v>
      </c>
      <c r="H7150" s="10" t="s">
        <v>28</v>
      </c>
      <c r="I7150" s="11" t="s">
        <v>28</v>
      </c>
      <c r="J7150" s="11" t="s">
        <v>28</v>
      </c>
      <c r="K7150" s="11" t="s">
        <v>28</v>
      </c>
      <c r="L7150" s="11" t="s">
        <v>28</v>
      </c>
      <c r="M7150" s="11" t="s">
        <v>28</v>
      </c>
      <c r="N7150" s="8">
        <v>43525</v>
      </c>
      <c r="O7150" s="9" t="s">
        <v>73</v>
      </c>
      <c r="P7150" s="12" t="s">
        <v>3350</v>
      </c>
      <c r="Q7150" s="9" t="s">
        <v>75</v>
      </c>
      <c r="R7150" s="14" t="str">
        <f>HYPERLINK("https://my.pitchbook.com?c=124768-72T","View Company Online")</f>
        <v>View Company Online</v>
      </c>
    </row>
    <row r="7151" spans="1:18" hidden="1" x14ac:dyDescent="0.3">
      <c r="A7151" s="15" t="s">
        <v>21338</v>
      </c>
      <c r="B7151" s="15" t="s">
        <v>18098</v>
      </c>
      <c r="C7151" s="18" t="s">
        <v>28</v>
      </c>
      <c r="D7151" s="15" t="s">
        <v>18099</v>
      </c>
      <c r="E7151" s="18" t="s">
        <v>28</v>
      </c>
      <c r="F7151" s="19" t="s">
        <v>28</v>
      </c>
      <c r="G7151" s="19" t="s">
        <v>28</v>
      </c>
      <c r="H7151" s="19" t="s">
        <v>28</v>
      </c>
      <c r="I7151" s="18" t="s">
        <v>28</v>
      </c>
      <c r="J7151" s="18" t="s">
        <v>28</v>
      </c>
      <c r="K7151" s="18" t="s">
        <v>28</v>
      </c>
      <c r="L7151" s="18" t="s">
        <v>28</v>
      </c>
      <c r="M7151" s="18" t="s">
        <v>28</v>
      </c>
      <c r="N7151" s="17">
        <v>43524</v>
      </c>
      <c r="O7151" s="15" t="s">
        <v>52</v>
      </c>
      <c r="P7151" s="16" t="s">
        <v>3869</v>
      </c>
      <c r="Q7151" s="15" t="s">
        <v>75</v>
      </c>
      <c r="R7151" s="13" t="str">
        <f>HYPERLINK("https://my.pitchbook.com?c=140651-29T","View Company Online")</f>
        <v>View Company Online</v>
      </c>
    </row>
    <row r="7152" spans="1:18" hidden="1" x14ac:dyDescent="0.3">
      <c r="A7152" s="9" t="s">
        <v>21339</v>
      </c>
      <c r="B7152" s="9" t="s">
        <v>714</v>
      </c>
      <c r="C7152" s="11" t="s">
        <v>28</v>
      </c>
      <c r="D7152" s="9" t="s">
        <v>715</v>
      </c>
      <c r="E7152" s="11" t="s">
        <v>28</v>
      </c>
      <c r="F7152" s="10" t="s">
        <v>28</v>
      </c>
      <c r="G7152" s="10">
        <v>0.81</v>
      </c>
      <c r="H7152" s="10" t="s">
        <v>28</v>
      </c>
      <c r="I7152" s="11" t="s">
        <v>28</v>
      </c>
      <c r="J7152" s="11" t="s">
        <v>28</v>
      </c>
      <c r="K7152" s="11" t="s">
        <v>28</v>
      </c>
      <c r="L7152" s="11" t="s">
        <v>28</v>
      </c>
      <c r="M7152" s="11" t="s">
        <v>28</v>
      </c>
      <c r="N7152" s="8">
        <v>43524</v>
      </c>
      <c r="O7152" s="9" t="s">
        <v>79</v>
      </c>
      <c r="P7152" s="12" t="s">
        <v>11495</v>
      </c>
      <c r="Q7152" s="9" t="s">
        <v>75</v>
      </c>
      <c r="R7152" s="14" t="str">
        <f>HYPERLINK("https://my.pitchbook.com?c=141040-36T","View Company Online")</f>
        <v>View Company Online</v>
      </c>
    </row>
    <row r="7153" spans="1:18" hidden="1" x14ac:dyDescent="0.3">
      <c r="A7153" s="15" t="s">
        <v>21340</v>
      </c>
      <c r="B7153" s="15" t="s">
        <v>21341</v>
      </c>
      <c r="C7153" s="18" t="s">
        <v>28</v>
      </c>
      <c r="D7153" s="15" t="s">
        <v>21342</v>
      </c>
      <c r="E7153" s="18" t="s">
        <v>28</v>
      </c>
      <c r="F7153" s="19" t="s">
        <v>28</v>
      </c>
      <c r="G7153" s="19" t="s">
        <v>28</v>
      </c>
      <c r="H7153" s="19" t="s">
        <v>28</v>
      </c>
      <c r="I7153" s="18" t="s">
        <v>28</v>
      </c>
      <c r="J7153" s="18" t="s">
        <v>28</v>
      </c>
      <c r="K7153" s="18" t="s">
        <v>28</v>
      </c>
      <c r="L7153" s="18" t="s">
        <v>28</v>
      </c>
      <c r="M7153" s="18" t="s">
        <v>28</v>
      </c>
      <c r="N7153" s="17">
        <v>43522</v>
      </c>
      <c r="O7153" s="15" t="s">
        <v>30</v>
      </c>
      <c r="P7153" s="16" t="s">
        <v>21343</v>
      </c>
      <c r="Q7153" s="15" t="s">
        <v>1853</v>
      </c>
      <c r="R7153" s="13" t="str">
        <f>HYPERLINK("https://my.pitchbook.com?c=213479-02T","View Company Online")</f>
        <v>View Company Online</v>
      </c>
    </row>
    <row r="7154" spans="1:18" hidden="1" x14ac:dyDescent="0.3">
      <c r="A7154" s="9" t="s">
        <v>21344</v>
      </c>
      <c r="B7154" s="9" t="s">
        <v>21345</v>
      </c>
      <c r="C7154" s="11" t="s">
        <v>28</v>
      </c>
      <c r="D7154" s="9" t="s">
        <v>21346</v>
      </c>
      <c r="E7154" s="11" t="s">
        <v>28</v>
      </c>
      <c r="F7154" s="10" t="s">
        <v>28</v>
      </c>
      <c r="G7154" s="10" t="s">
        <v>28</v>
      </c>
      <c r="H7154" s="10" t="s">
        <v>28</v>
      </c>
      <c r="I7154" s="11" t="s">
        <v>28</v>
      </c>
      <c r="J7154" s="11" t="s">
        <v>28</v>
      </c>
      <c r="K7154" s="11" t="s">
        <v>28</v>
      </c>
      <c r="L7154" s="11" t="s">
        <v>28</v>
      </c>
      <c r="M7154" s="11" t="s">
        <v>28</v>
      </c>
      <c r="N7154" s="8">
        <v>43521</v>
      </c>
      <c r="O7154" s="9" t="s">
        <v>30</v>
      </c>
      <c r="P7154" s="12" t="s">
        <v>21347</v>
      </c>
      <c r="Q7154" s="9" t="s">
        <v>8610</v>
      </c>
      <c r="R7154" s="14" t="str">
        <f>HYPERLINK("https://my.pitchbook.com?c=113509-18T","View Company Online")</f>
        <v>View Company Online</v>
      </c>
    </row>
    <row r="7155" spans="1:18" hidden="1" x14ac:dyDescent="0.3">
      <c r="A7155" s="15" t="s">
        <v>21348</v>
      </c>
      <c r="B7155" s="15" t="s">
        <v>12838</v>
      </c>
      <c r="C7155" s="18" t="s">
        <v>28</v>
      </c>
      <c r="D7155" s="15" t="s">
        <v>12839</v>
      </c>
      <c r="E7155" s="18" t="s">
        <v>28</v>
      </c>
      <c r="F7155" s="19" t="s">
        <v>28</v>
      </c>
      <c r="G7155" s="19" t="s">
        <v>28</v>
      </c>
      <c r="H7155" s="19" t="s">
        <v>28</v>
      </c>
      <c r="I7155" s="18" t="s">
        <v>28</v>
      </c>
      <c r="J7155" s="18" t="s">
        <v>28</v>
      </c>
      <c r="K7155" s="18" t="s">
        <v>28</v>
      </c>
      <c r="L7155" s="18" t="s">
        <v>28</v>
      </c>
      <c r="M7155" s="18" t="s">
        <v>28</v>
      </c>
      <c r="N7155" s="17">
        <v>43517</v>
      </c>
      <c r="O7155" s="15" t="s">
        <v>73</v>
      </c>
      <c r="P7155" s="16" t="s">
        <v>28</v>
      </c>
      <c r="Q7155" s="15" t="s">
        <v>3973</v>
      </c>
      <c r="R7155" s="13" t="str">
        <f>HYPERLINK("https://my.pitchbook.com?c=199120-69T","View Company Online")</f>
        <v>View Company Online</v>
      </c>
    </row>
    <row r="7156" spans="1:18" hidden="1" x14ac:dyDescent="0.3">
      <c r="A7156" s="9" t="s">
        <v>21349</v>
      </c>
      <c r="B7156" s="9" t="s">
        <v>21350</v>
      </c>
      <c r="C7156" s="11" t="s">
        <v>28</v>
      </c>
      <c r="D7156" s="9" t="s">
        <v>21351</v>
      </c>
      <c r="E7156" s="11" t="s">
        <v>28</v>
      </c>
      <c r="F7156" s="10" t="s">
        <v>28</v>
      </c>
      <c r="G7156" s="10" t="s">
        <v>28</v>
      </c>
      <c r="H7156" s="10" t="s">
        <v>28</v>
      </c>
      <c r="I7156" s="11" t="s">
        <v>28</v>
      </c>
      <c r="J7156" s="11" t="s">
        <v>28</v>
      </c>
      <c r="K7156" s="11" t="s">
        <v>28</v>
      </c>
      <c r="L7156" s="11" t="s">
        <v>28</v>
      </c>
      <c r="M7156" s="11" t="s">
        <v>28</v>
      </c>
      <c r="N7156" s="8">
        <v>43517</v>
      </c>
      <c r="O7156" s="9" t="s">
        <v>30</v>
      </c>
      <c r="P7156" s="12" t="s">
        <v>4559</v>
      </c>
      <c r="Q7156" s="9" t="s">
        <v>37</v>
      </c>
      <c r="R7156" s="14" t="str">
        <f>HYPERLINK("https://my.pitchbook.com?c=211220-74T","View Company Online")</f>
        <v>View Company Online</v>
      </c>
    </row>
    <row r="7157" spans="1:18" hidden="1" x14ac:dyDescent="0.3">
      <c r="A7157" s="15" t="s">
        <v>21352</v>
      </c>
      <c r="B7157" s="15" t="s">
        <v>10938</v>
      </c>
      <c r="C7157" s="18" t="s">
        <v>28</v>
      </c>
      <c r="D7157" s="15" t="s">
        <v>10939</v>
      </c>
      <c r="E7157" s="18" t="s">
        <v>28</v>
      </c>
      <c r="F7157" s="19" t="s">
        <v>28</v>
      </c>
      <c r="G7157" s="19" t="s">
        <v>28</v>
      </c>
      <c r="H7157" s="19" t="s">
        <v>28</v>
      </c>
      <c r="I7157" s="18" t="s">
        <v>28</v>
      </c>
      <c r="J7157" s="18" t="s">
        <v>28</v>
      </c>
      <c r="K7157" s="18" t="s">
        <v>28</v>
      </c>
      <c r="L7157" s="18" t="s">
        <v>28</v>
      </c>
      <c r="M7157" s="18" t="s">
        <v>28</v>
      </c>
      <c r="N7157" s="17">
        <v>43516</v>
      </c>
      <c r="O7157" s="15" t="s">
        <v>99</v>
      </c>
      <c r="P7157" s="16" t="s">
        <v>21353</v>
      </c>
      <c r="Q7157" s="15" t="s">
        <v>75</v>
      </c>
      <c r="R7157" s="13" t="str">
        <f>HYPERLINK("https://my.pitchbook.com?c=123877-00T","View Company Online")</f>
        <v>View Company Online</v>
      </c>
    </row>
    <row r="7158" spans="1:18" hidden="1" x14ac:dyDescent="0.3">
      <c r="A7158" s="9" t="s">
        <v>21354</v>
      </c>
      <c r="B7158" s="9" t="s">
        <v>21355</v>
      </c>
      <c r="C7158" s="11" t="s">
        <v>28</v>
      </c>
      <c r="D7158" s="9" t="s">
        <v>21356</v>
      </c>
      <c r="E7158" s="11" t="s">
        <v>28</v>
      </c>
      <c r="F7158" s="10" t="s">
        <v>28</v>
      </c>
      <c r="G7158" s="10" t="s">
        <v>28</v>
      </c>
      <c r="H7158" s="10" t="s">
        <v>28</v>
      </c>
      <c r="I7158" s="11" t="s">
        <v>28</v>
      </c>
      <c r="J7158" s="11" t="s">
        <v>28</v>
      </c>
      <c r="K7158" s="11" t="s">
        <v>28</v>
      </c>
      <c r="L7158" s="11" t="s">
        <v>28</v>
      </c>
      <c r="M7158" s="11" t="s">
        <v>28</v>
      </c>
      <c r="N7158" s="8">
        <v>43516</v>
      </c>
      <c r="O7158" s="9" t="s">
        <v>30</v>
      </c>
      <c r="P7158" s="12" t="s">
        <v>14037</v>
      </c>
      <c r="Q7158" s="9" t="s">
        <v>75</v>
      </c>
      <c r="R7158" s="14" t="str">
        <f>HYPERLINK("https://my.pitchbook.com?c=134609-77T","View Company Online")</f>
        <v>View Company Online</v>
      </c>
    </row>
    <row r="7159" spans="1:18" hidden="1" x14ac:dyDescent="0.3">
      <c r="A7159" s="15" t="s">
        <v>21357</v>
      </c>
      <c r="B7159" s="15" t="s">
        <v>16697</v>
      </c>
      <c r="C7159" s="18" t="s">
        <v>28</v>
      </c>
      <c r="D7159" s="15" t="s">
        <v>16698</v>
      </c>
      <c r="E7159" s="18" t="s">
        <v>28</v>
      </c>
      <c r="F7159" s="19" t="s">
        <v>28</v>
      </c>
      <c r="G7159" s="19" t="s">
        <v>28</v>
      </c>
      <c r="H7159" s="19" t="s">
        <v>28</v>
      </c>
      <c r="I7159" s="18" t="s">
        <v>28</v>
      </c>
      <c r="J7159" s="18" t="s">
        <v>28</v>
      </c>
      <c r="K7159" s="18" t="s">
        <v>28</v>
      </c>
      <c r="L7159" s="18" t="s">
        <v>28</v>
      </c>
      <c r="M7159" s="18" t="s">
        <v>28</v>
      </c>
      <c r="N7159" s="17">
        <v>43515</v>
      </c>
      <c r="O7159" s="15" t="s">
        <v>79</v>
      </c>
      <c r="P7159" s="16" t="s">
        <v>2271</v>
      </c>
      <c r="Q7159" s="15" t="s">
        <v>75</v>
      </c>
      <c r="R7159" s="13" t="str">
        <f>HYPERLINK("https://my.pitchbook.com?c=133238-35T","View Company Online")</f>
        <v>View Company Online</v>
      </c>
    </row>
    <row r="7160" spans="1:18" hidden="1" x14ac:dyDescent="0.3">
      <c r="A7160" s="9" t="s">
        <v>21358</v>
      </c>
      <c r="B7160" s="9" t="s">
        <v>6812</v>
      </c>
      <c r="C7160" s="11" t="s">
        <v>28</v>
      </c>
      <c r="D7160" s="9" t="s">
        <v>6813</v>
      </c>
      <c r="E7160" s="11" t="s">
        <v>28</v>
      </c>
      <c r="F7160" s="10" t="s">
        <v>28</v>
      </c>
      <c r="G7160" s="10" t="s">
        <v>28</v>
      </c>
      <c r="H7160" s="10" t="s">
        <v>28</v>
      </c>
      <c r="I7160" s="11" t="s">
        <v>28</v>
      </c>
      <c r="J7160" s="11" t="s">
        <v>28</v>
      </c>
      <c r="K7160" s="11" t="s">
        <v>28</v>
      </c>
      <c r="L7160" s="11" t="s">
        <v>28</v>
      </c>
      <c r="M7160" s="11" t="s">
        <v>28</v>
      </c>
      <c r="N7160" s="8">
        <v>43515</v>
      </c>
      <c r="O7160" s="9" t="s">
        <v>41</v>
      </c>
      <c r="P7160" s="12" t="s">
        <v>21359</v>
      </c>
      <c r="Q7160" s="9" t="s">
        <v>386</v>
      </c>
      <c r="R7160" s="14" t="str">
        <f>HYPERLINK("https://my.pitchbook.com?c=175268-26T","View Company Online")</f>
        <v>View Company Online</v>
      </c>
    </row>
    <row r="7161" spans="1:18" hidden="1" x14ac:dyDescent="0.3">
      <c r="A7161" s="15" t="s">
        <v>21360</v>
      </c>
      <c r="B7161" s="15" t="s">
        <v>21361</v>
      </c>
      <c r="C7161" s="18" t="s">
        <v>28</v>
      </c>
      <c r="D7161" s="15" t="s">
        <v>21362</v>
      </c>
      <c r="E7161" s="18" t="s">
        <v>28</v>
      </c>
      <c r="F7161" s="19">
        <v>3.76</v>
      </c>
      <c r="G7161" s="19">
        <v>3.76</v>
      </c>
      <c r="H7161" s="19">
        <v>3.76</v>
      </c>
      <c r="I7161" s="18" t="s">
        <v>28</v>
      </c>
      <c r="J7161" s="18" t="s">
        <v>28</v>
      </c>
      <c r="K7161" s="18">
        <v>2</v>
      </c>
      <c r="L7161" s="18">
        <v>1.88</v>
      </c>
      <c r="M7161" s="18" t="s">
        <v>28</v>
      </c>
      <c r="N7161" s="17">
        <v>43514</v>
      </c>
      <c r="O7161" s="15" t="s">
        <v>30</v>
      </c>
      <c r="P7161" s="16" t="s">
        <v>4616</v>
      </c>
      <c r="Q7161" s="15" t="s">
        <v>37</v>
      </c>
      <c r="R7161" s="13" t="str">
        <f>HYPERLINK("https://my.pitchbook.com?c=257859-01T","View Company Online")</f>
        <v>View Company Online</v>
      </c>
    </row>
    <row r="7162" spans="1:18" hidden="1" x14ac:dyDescent="0.3">
      <c r="A7162" s="9" t="s">
        <v>21363</v>
      </c>
      <c r="B7162" s="9" t="s">
        <v>12635</v>
      </c>
      <c r="C7162" s="11" t="s">
        <v>28</v>
      </c>
      <c r="D7162" s="9" t="s">
        <v>12636</v>
      </c>
      <c r="E7162" s="11" t="s">
        <v>28</v>
      </c>
      <c r="F7162" s="10" t="s">
        <v>28</v>
      </c>
      <c r="G7162" s="10">
        <v>0.8</v>
      </c>
      <c r="H7162" s="10" t="s">
        <v>28</v>
      </c>
      <c r="I7162" s="11" t="s">
        <v>28</v>
      </c>
      <c r="J7162" s="11" t="s">
        <v>28</v>
      </c>
      <c r="K7162" s="11" t="s">
        <v>28</v>
      </c>
      <c r="L7162" s="11" t="s">
        <v>28</v>
      </c>
      <c r="M7162" s="11" t="s">
        <v>28</v>
      </c>
      <c r="N7162" s="8">
        <v>43514</v>
      </c>
      <c r="O7162" s="9" t="s">
        <v>379</v>
      </c>
      <c r="P7162" s="12" t="s">
        <v>28</v>
      </c>
      <c r="Q7162" s="9" t="s">
        <v>75</v>
      </c>
      <c r="R7162" s="14" t="str">
        <f>HYPERLINK("https://my.pitchbook.com?c=87635-08T","View Company Online")</f>
        <v>View Company Online</v>
      </c>
    </row>
    <row r="7163" spans="1:18" hidden="1" x14ac:dyDescent="0.3">
      <c r="A7163" s="15" t="s">
        <v>21364</v>
      </c>
      <c r="B7163" s="15" t="s">
        <v>21365</v>
      </c>
      <c r="C7163" s="18" t="s">
        <v>28</v>
      </c>
      <c r="D7163" s="15" t="s">
        <v>21366</v>
      </c>
      <c r="E7163" s="18" t="s">
        <v>28</v>
      </c>
      <c r="F7163" s="19" t="s">
        <v>28</v>
      </c>
      <c r="G7163" s="19">
        <v>1.34</v>
      </c>
      <c r="H7163" s="19" t="s">
        <v>28</v>
      </c>
      <c r="I7163" s="18" t="s">
        <v>28</v>
      </c>
      <c r="J7163" s="18" t="s">
        <v>28</v>
      </c>
      <c r="K7163" s="18" t="s">
        <v>28</v>
      </c>
      <c r="L7163" s="18" t="s">
        <v>28</v>
      </c>
      <c r="M7163" s="18" t="s">
        <v>28</v>
      </c>
      <c r="N7163" s="17">
        <v>43514</v>
      </c>
      <c r="O7163" s="15" t="s">
        <v>79</v>
      </c>
      <c r="P7163" s="16" t="s">
        <v>21367</v>
      </c>
      <c r="Q7163" s="15" t="s">
        <v>1191</v>
      </c>
      <c r="R7163" s="13" t="str">
        <f>HYPERLINK("https://my.pitchbook.com?c=128772-19T","View Company Online")</f>
        <v>View Company Online</v>
      </c>
    </row>
    <row r="7164" spans="1:18" hidden="1" x14ac:dyDescent="0.3">
      <c r="A7164" s="9" t="s">
        <v>21368</v>
      </c>
      <c r="B7164" s="9" t="s">
        <v>21369</v>
      </c>
      <c r="C7164" s="11" t="s">
        <v>28</v>
      </c>
      <c r="D7164" s="9" t="s">
        <v>21370</v>
      </c>
      <c r="E7164" s="11" t="s">
        <v>28</v>
      </c>
      <c r="F7164" s="10" t="s">
        <v>28</v>
      </c>
      <c r="G7164" s="10">
        <v>0.27</v>
      </c>
      <c r="H7164" s="10" t="s">
        <v>28</v>
      </c>
      <c r="I7164" s="11" t="s">
        <v>28</v>
      </c>
      <c r="J7164" s="11" t="s">
        <v>28</v>
      </c>
      <c r="K7164" s="11" t="s">
        <v>28</v>
      </c>
      <c r="L7164" s="11" t="s">
        <v>28</v>
      </c>
      <c r="M7164" s="11" t="s">
        <v>28</v>
      </c>
      <c r="N7164" s="8">
        <v>43514</v>
      </c>
      <c r="O7164" s="9" t="s">
        <v>1639</v>
      </c>
      <c r="P7164" s="12" t="s">
        <v>28</v>
      </c>
      <c r="Q7164" s="9" t="s">
        <v>37</v>
      </c>
      <c r="R7164" s="14" t="str">
        <f>HYPERLINK("https://my.pitchbook.com?c=122946-85T","View Company Online")</f>
        <v>View Company Online</v>
      </c>
    </row>
    <row r="7165" spans="1:18" hidden="1" x14ac:dyDescent="0.3">
      <c r="A7165" s="15" t="s">
        <v>21371</v>
      </c>
      <c r="B7165" s="15" t="s">
        <v>12651</v>
      </c>
      <c r="C7165" s="18" t="s">
        <v>28</v>
      </c>
      <c r="D7165" s="15" t="s">
        <v>12652</v>
      </c>
      <c r="E7165" s="18" t="s">
        <v>28</v>
      </c>
      <c r="F7165" s="19" t="s">
        <v>28</v>
      </c>
      <c r="G7165" s="19">
        <v>0.05</v>
      </c>
      <c r="H7165" s="19" t="s">
        <v>28</v>
      </c>
      <c r="I7165" s="18" t="s">
        <v>28</v>
      </c>
      <c r="J7165" s="18" t="s">
        <v>28</v>
      </c>
      <c r="K7165" s="18" t="s">
        <v>28</v>
      </c>
      <c r="L7165" s="18" t="s">
        <v>28</v>
      </c>
      <c r="M7165" s="18" t="s">
        <v>28</v>
      </c>
      <c r="N7165" s="17">
        <v>43511</v>
      </c>
      <c r="O7165" s="15" t="s">
        <v>52</v>
      </c>
      <c r="P7165" s="16" t="s">
        <v>21372</v>
      </c>
      <c r="Q7165" s="15" t="s">
        <v>75</v>
      </c>
      <c r="R7165" s="13" t="str">
        <f>HYPERLINK("https://my.pitchbook.com?c=175733-11T","View Company Online")</f>
        <v>View Company Online</v>
      </c>
    </row>
    <row r="7166" spans="1:18" hidden="1" x14ac:dyDescent="0.3">
      <c r="A7166" s="9" t="s">
        <v>21373</v>
      </c>
      <c r="B7166" s="9" t="s">
        <v>21374</v>
      </c>
      <c r="C7166" s="11" t="s">
        <v>28</v>
      </c>
      <c r="D7166" s="9" t="s">
        <v>21375</v>
      </c>
      <c r="E7166" s="11" t="s">
        <v>28</v>
      </c>
      <c r="F7166" s="10" t="s">
        <v>28</v>
      </c>
      <c r="G7166" s="10" t="s">
        <v>28</v>
      </c>
      <c r="H7166" s="10" t="s">
        <v>28</v>
      </c>
      <c r="I7166" s="11" t="s">
        <v>28</v>
      </c>
      <c r="J7166" s="11" t="s">
        <v>28</v>
      </c>
      <c r="K7166" s="11" t="s">
        <v>28</v>
      </c>
      <c r="L7166" s="11" t="s">
        <v>28</v>
      </c>
      <c r="M7166" s="11" t="s">
        <v>28</v>
      </c>
      <c r="N7166" s="8">
        <v>43511</v>
      </c>
      <c r="O7166" s="9" t="s">
        <v>30</v>
      </c>
      <c r="P7166" s="12" t="s">
        <v>21376</v>
      </c>
      <c r="Q7166" s="9" t="s">
        <v>1035</v>
      </c>
      <c r="R7166" s="14" t="str">
        <f>HYPERLINK("https://my.pitchbook.com?c=277634-17T","View Company Online")</f>
        <v>View Company Online</v>
      </c>
    </row>
    <row r="7167" spans="1:18" hidden="1" x14ac:dyDescent="0.3">
      <c r="A7167" s="15" t="s">
        <v>21377</v>
      </c>
      <c r="B7167" s="15" t="s">
        <v>21378</v>
      </c>
      <c r="C7167" s="18" t="s">
        <v>28</v>
      </c>
      <c r="D7167" s="15" t="s">
        <v>21379</v>
      </c>
      <c r="E7167" s="18" t="s">
        <v>28</v>
      </c>
      <c r="F7167" s="19" t="s">
        <v>28</v>
      </c>
      <c r="G7167" s="19" t="s">
        <v>28</v>
      </c>
      <c r="H7167" s="19" t="s">
        <v>28</v>
      </c>
      <c r="I7167" s="18" t="s">
        <v>28</v>
      </c>
      <c r="J7167" s="18" t="s">
        <v>28</v>
      </c>
      <c r="K7167" s="18" t="s">
        <v>28</v>
      </c>
      <c r="L7167" s="18" t="s">
        <v>28</v>
      </c>
      <c r="M7167" s="18" t="s">
        <v>28</v>
      </c>
      <c r="N7167" s="17">
        <v>43510</v>
      </c>
      <c r="O7167" s="15" t="s">
        <v>52</v>
      </c>
      <c r="P7167" s="16" t="s">
        <v>1880</v>
      </c>
      <c r="Q7167" s="15" t="s">
        <v>75</v>
      </c>
      <c r="R7167" s="13" t="str">
        <f>HYPERLINK("https://my.pitchbook.com?c=252422-92T","View Company Online")</f>
        <v>View Company Online</v>
      </c>
    </row>
    <row r="7168" spans="1:18" hidden="1" x14ac:dyDescent="0.3">
      <c r="A7168" s="9" t="s">
        <v>21380</v>
      </c>
      <c r="B7168" s="9" t="s">
        <v>13276</v>
      </c>
      <c r="C7168" s="11" t="s">
        <v>28</v>
      </c>
      <c r="D7168" s="9" t="s">
        <v>13277</v>
      </c>
      <c r="E7168" s="11" t="s">
        <v>28</v>
      </c>
      <c r="F7168" s="10" t="s">
        <v>28</v>
      </c>
      <c r="G7168" s="10" t="s">
        <v>28</v>
      </c>
      <c r="H7168" s="10" t="s">
        <v>28</v>
      </c>
      <c r="I7168" s="11" t="s">
        <v>28</v>
      </c>
      <c r="J7168" s="11" t="s">
        <v>28</v>
      </c>
      <c r="K7168" s="11" t="s">
        <v>28</v>
      </c>
      <c r="L7168" s="11" t="s">
        <v>28</v>
      </c>
      <c r="M7168" s="11" t="s">
        <v>28</v>
      </c>
      <c r="N7168" s="8">
        <v>43510</v>
      </c>
      <c r="O7168" s="9" t="s">
        <v>52</v>
      </c>
      <c r="P7168" s="12" t="s">
        <v>1880</v>
      </c>
      <c r="Q7168" s="9" t="s">
        <v>583</v>
      </c>
      <c r="R7168" s="14" t="str">
        <f>HYPERLINK("https://my.pitchbook.com?c=261370-63T","View Company Online")</f>
        <v>View Company Online</v>
      </c>
    </row>
    <row r="7169" spans="1:18" hidden="1" x14ac:dyDescent="0.3">
      <c r="A7169" s="15" t="s">
        <v>21381</v>
      </c>
      <c r="B7169" s="15" t="s">
        <v>6362</v>
      </c>
      <c r="C7169" s="18" t="s">
        <v>28</v>
      </c>
      <c r="D7169" s="15" t="s">
        <v>6363</v>
      </c>
      <c r="E7169" s="18" t="s">
        <v>28</v>
      </c>
      <c r="F7169" s="19" t="s">
        <v>28</v>
      </c>
      <c r="G7169" s="19">
        <v>15</v>
      </c>
      <c r="H7169" s="19" t="s">
        <v>28</v>
      </c>
      <c r="I7169" s="18" t="s">
        <v>28</v>
      </c>
      <c r="J7169" s="18" t="s">
        <v>28</v>
      </c>
      <c r="K7169" s="18" t="s">
        <v>28</v>
      </c>
      <c r="L7169" s="18" t="s">
        <v>28</v>
      </c>
      <c r="M7169" s="18" t="s">
        <v>28</v>
      </c>
      <c r="N7169" s="17">
        <v>43508</v>
      </c>
      <c r="O7169" s="15" t="s">
        <v>93</v>
      </c>
      <c r="P7169" s="16" t="s">
        <v>21382</v>
      </c>
      <c r="Q7169" s="15" t="s">
        <v>114</v>
      </c>
      <c r="R7169" s="13" t="str">
        <f>HYPERLINK("https://my.pitchbook.com?c=204373-90T","View Company Online")</f>
        <v>View Company Online</v>
      </c>
    </row>
    <row r="7170" spans="1:18" hidden="1" x14ac:dyDescent="0.3">
      <c r="A7170" s="9" t="s">
        <v>21383</v>
      </c>
      <c r="B7170" s="9" t="s">
        <v>5171</v>
      </c>
      <c r="C7170" s="11" t="s">
        <v>28</v>
      </c>
      <c r="D7170" s="9" t="s">
        <v>5172</v>
      </c>
      <c r="E7170" s="11" t="s">
        <v>28</v>
      </c>
      <c r="F7170" s="10" t="s">
        <v>28</v>
      </c>
      <c r="G7170" s="10" t="s">
        <v>28</v>
      </c>
      <c r="H7170" s="10" t="s">
        <v>28</v>
      </c>
      <c r="I7170" s="11" t="s">
        <v>28</v>
      </c>
      <c r="J7170" s="11" t="s">
        <v>28</v>
      </c>
      <c r="K7170" s="11" t="s">
        <v>28</v>
      </c>
      <c r="L7170" s="11" t="s">
        <v>28</v>
      </c>
      <c r="M7170" s="11" t="s">
        <v>28</v>
      </c>
      <c r="N7170" s="8">
        <v>43508</v>
      </c>
      <c r="O7170" s="9" t="s">
        <v>52</v>
      </c>
      <c r="P7170" s="12" t="s">
        <v>21384</v>
      </c>
      <c r="Q7170" s="9" t="s">
        <v>37</v>
      </c>
      <c r="R7170" s="14" t="str">
        <f>HYPERLINK("https://my.pitchbook.com?c=128325-16T","View Company Online")</f>
        <v>View Company Online</v>
      </c>
    </row>
    <row r="7171" spans="1:18" hidden="1" x14ac:dyDescent="0.3">
      <c r="A7171" s="15" t="s">
        <v>21385</v>
      </c>
      <c r="B7171" s="15" t="s">
        <v>21386</v>
      </c>
      <c r="C7171" s="18" t="s">
        <v>28</v>
      </c>
      <c r="D7171" s="15" t="s">
        <v>21387</v>
      </c>
      <c r="E7171" s="18" t="s">
        <v>28</v>
      </c>
      <c r="F7171" s="19">
        <v>26.81</v>
      </c>
      <c r="G7171" s="19">
        <v>26.81</v>
      </c>
      <c r="H7171" s="19">
        <v>26.81</v>
      </c>
      <c r="I7171" s="18" t="s">
        <v>28</v>
      </c>
      <c r="J7171" s="18" t="s">
        <v>28</v>
      </c>
      <c r="K7171" s="18" t="s">
        <v>28</v>
      </c>
      <c r="L7171" s="18" t="s">
        <v>28</v>
      </c>
      <c r="M7171" s="18" t="s">
        <v>28</v>
      </c>
      <c r="N7171" s="17">
        <v>43507</v>
      </c>
      <c r="O7171" s="15" t="s">
        <v>41</v>
      </c>
      <c r="P7171" s="16" t="s">
        <v>21388</v>
      </c>
      <c r="Q7171" s="15" t="s">
        <v>1238</v>
      </c>
      <c r="R7171" s="13" t="str">
        <f>HYPERLINK("https://my.pitchbook.com?c=116448-31T","View Company Online")</f>
        <v>View Company Online</v>
      </c>
    </row>
    <row r="7172" spans="1:18" hidden="1" x14ac:dyDescent="0.3">
      <c r="A7172" s="9" t="s">
        <v>21389</v>
      </c>
      <c r="B7172" s="9" t="s">
        <v>21115</v>
      </c>
      <c r="C7172" s="11" t="s">
        <v>28</v>
      </c>
      <c r="D7172" s="9" t="s">
        <v>21116</v>
      </c>
      <c r="E7172" s="11" t="s">
        <v>28</v>
      </c>
      <c r="F7172" s="10" t="s">
        <v>28</v>
      </c>
      <c r="G7172" s="10">
        <v>0.05</v>
      </c>
      <c r="H7172" s="10" t="s">
        <v>28</v>
      </c>
      <c r="I7172" s="11" t="s">
        <v>28</v>
      </c>
      <c r="J7172" s="11" t="s">
        <v>28</v>
      </c>
      <c r="K7172" s="11" t="s">
        <v>28</v>
      </c>
      <c r="L7172" s="11" t="s">
        <v>28</v>
      </c>
      <c r="M7172" s="11" t="s">
        <v>28</v>
      </c>
      <c r="N7172" s="8">
        <v>43507</v>
      </c>
      <c r="O7172" s="9" t="s">
        <v>52</v>
      </c>
      <c r="P7172" s="12" t="s">
        <v>28</v>
      </c>
      <c r="Q7172" s="9" t="s">
        <v>75</v>
      </c>
      <c r="R7172" s="14" t="str">
        <f>HYPERLINK("https://my.pitchbook.com?c=130498-21T","View Company Online")</f>
        <v>View Company Online</v>
      </c>
    </row>
    <row r="7173" spans="1:18" hidden="1" x14ac:dyDescent="0.3">
      <c r="A7173" s="15" t="s">
        <v>21390</v>
      </c>
      <c r="B7173" s="15" t="s">
        <v>2225</v>
      </c>
      <c r="C7173" s="18" t="s">
        <v>28</v>
      </c>
      <c r="D7173" s="15" t="s">
        <v>2226</v>
      </c>
      <c r="E7173" s="18" t="s">
        <v>28</v>
      </c>
      <c r="F7173" s="19" t="s">
        <v>28</v>
      </c>
      <c r="G7173" s="19">
        <v>0.15</v>
      </c>
      <c r="H7173" s="19" t="s">
        <v>28</v>
      </c>
      <c r="I7173" s="18" t="s">
        <v>28</v>
      </c>
      <c r="J7173" s="18" t="s">
        <v>28</v>
      </c>
      <c r="K7173" s="18" t="s">
        <v>28</v>
      </c>
      <c r="L7173" s="18" t="s">
        <v>28</v>
      </c>
      <c r="M7173" s="18" t="s">
        <v>28</v>
      </c>
      <c r="N7173" s="17">
        <v>43507</v>
      </c>
      <c r="O7173" s="15" t="s">
        <v>379</v>
      </c>
      <c r="P7173" s="16" t="s">
        <v>28</v>
      </c>
      <c r="Q7173" s="15" t="s">
        <v>409</v>
      </c>
      <c r="R7173" s="13" t="str">
        <f>HYPERLINK("https://my.pitchbook.com?c=123449-41T","View Company Online")</f>
        <v>View Company Online</v>
      </c>
    </row>
    <row r="7174" spans="1:18" hidden="1" x14ac:dyDescent="0.3">
      <c r="A7174" s="9" t="s">
        <v>21391</v>
      </c>
      <c r="B7174" s="9" t="s">
        <v>21392</v>
      </c>
      <c r="C7174" s="11" t="s">
        <v>28</v>
      </c>
      <c r="D7174" s="9" t="s">
        <v>21393</v>
      </c>
      <c r="E7174" s="11" t="s">
        <v>28</v>
      </c>
      <c r="F7174" s="10">
        <v>4000</v>
      </c>
      <c r="G7174" s="10">
        <v>4000</v>
      </c>
      <c r="H7174" s="10">
        <v>4000</v>
      </c>
      <c r="I7174" s="11" t="s">
        <v>28</v>
      </c>
      <c r="J7174" s="11" t="s">
        <v>28</v>
      </c>
      <c r="K7174" s="11" t="s">
        <v>28</v>
      </c>
      <c r="L7174" s="11" t="s">
        <v>28</v>
      </c>
      <c r="M7174" s="11" t="s">
        <v>28</v>
      </c>
      <c r="N7174" s="8">
        <v>43504</v>
      </c>
      <c r="O7174" s="9" t="s">
        <v>30</v>
      </c>
      <c r="P7174" s="12" t="s">
        <v>21394</v>
      </c>
      <c r="Q7174" s="9" t="s">
        <v>226</v>
      </c>
      <c r="R7174" s="14" t="str">
        <f>HYPERLINK("https://my.pitchbook.com?c=130541-95T","View Company Online")</f>
        <v>View Company Online</v>
      </c>
    </row>
    <row r="7175" spans="1:18" hidden="1" x14ac:dyDescent="0.3">
      <c r="A7175" s="15" t="s">
        <v>21395</v>
      </c>
      <c r="B7175" s="15" t="s">
        <v>21396</v>
      </c>
      <c r="C7175" s="18" t="s">
        <v>28</v>
      </c>
      <c r="D7175" s="15" t="s">
        <v>21397</v>
      </c>
      <c r="E7175" s="18" t="s">
        <v>28</v>
      </c>
      <c r="F7175" s="19" t="s">
        <v>28</v>
      </c>
      <c r="G7175" s="19" t="s">
        <v>28</v>
      </c>
      <c r="H7175" s="19" t="s">
        <v>28</v>
      </c>
      <c r="I7175" s="18" t="s">
        <v>28</v>
      </c>
      <c r="J7175" s="18" t="s">
        <v>28</v>
      </c>
      <c r="K7175" s="18" t="s">
        <v>28</v>
      </c>
      <c r="L7175" s="18" t="s">
        <v>28</v>
      </c>
      <c r="M7175" s="18" t="s">
        <v>28</v>
      </c>
      <c r="N7175" s="17">
        <v>43504</v>
      </c>
      <c r="O7175" s="15" t="s">
        <v>30</v>
      </c>
      <c r="P7175" s="16" t="s">
        <v>21398</v>
      </c>
      <c r="Q7175" s="15" t="s">
        <v>880</v>
      </c>
      <c r="R7175" s="13" t="str">
        <f>HYPERLINK("https://my.pitchbook.com?c=215065-45T","View Company Online")</f>
        <v>View Company Online</v>
      </c>
    </row>
    <row r="7176" spans="1:18" hidden="1" x14ac:dyDescent="0.3">
      <c r="A7176" s="9" t="s">
        <v>21399</v>
      </c>
      <c r="B7176" s="9" t="s">
        <v>14168</v>
      </c>
      <c r="C7176" s="11" t="s">
        <v>28</v>
      </c>
      <c r="D7176" s="9" t="s">
        <v>14169</v>
      </c>
      <c r="E7176" s="11" t="s">
        <v>28</v>
      </c>
      <c r="F7176" s="10" t="s">
        <v>28</v>
      </c>
      <c r="G7176" s="10" t="s">
        <v>28</v>
      </c>
      <c r="H7176" s="10" t="s">
        <v>28</v>
      </c>
      <c r="I7176" s="11" t="s">
        <v>28</v>
      </c>
      <c r="J7176" s="11" t="s">
        <v>28</v>
      </c>
      <c r="K7176" s="11" t="s">
        <v>28</v>
      </c>
      <c r="L7176" s="11" t="s">
        <v>28</v>
      </c>
      <c r="M7176" s="11" t="s">
        <v>28</v>
      </c>
      <c r="N7176" s="8">
        <v>43503</v>
      </c>
      <c r="O7176" s="9" t="s">
        <v>41</v>
      </c>
      <c r="P7176" s="12" t="s">
        <v>21400</v>
      </c>
      <c r="Q7176" s="9" t="s">
        <v>409</v>
      </c>
      <c r="R7176" s="14" t="str">
        <f>HYPERLINK("https://my.pitchbook.com?c=136266-85T","View Company Online")</f>
        <v>View Company Online</v>
      </c>
    </row>
    <row r="7177" spans="1:18" hidden="1" x14ac:dyDescent="0.3">
      <c r="A7177" s="15" t="s">
        <v>21401</v>
      </c>
      <c r="B7177" s="15" t="s">
        <v>13213</v>
      </c>
      <c r="C7177" s="18" t="s">
        <v>28</v>
      </c>
      <c r="D7177" s="15" t="s">
        <v>13214</v>
      </c>
      <c r="E7177" s="18" t="s">
        <v>28</v>
      </c>
      <c r="F7177" s="19" t="s">
        <v>28</v>
      </c>
      <c r="G7177" s="19">
        <v>0.21</v>
      </c>
      <c r="H7177" s="19" t="s">
        <v>28</v>
      </c>
      <c r="I7177" s="18" t="s">
        <v>28</v>
      </c>
      <c r="J7177" s="18" t="s">
        <v>28</v>
      </c>
      <c r="K7177" s="18" t="s">
        <v>28</v>
      </c>
      <c r="L7177" s="18" t="s">
        <v>28</v>
      </c>
      <c r="M7177" s="18" t="s">
        <v>28</v>
      </c>
      <c r="N7177" s="17">
        <v>43503</v>
      </c>
      <c r="O7177" s="15" t="s">
        <v>73</v>
      </c>
      <c r="P7177" s="16" t="s">
        <v>1015</v>
      </c>
      <c r="Q7177" s="15" t="s">
        <v>583</v>
      </c>
      <c r="R7177" s="13" t="str">
        <f>HYPERLINK("https://my.pitchbook.com?c=167995-72T","View Company Online")</f>
        <v>View Company Online</v>
      </c>
    </row>
    <row r="7178" spans="1:18" hidden="1" x14ac:dyDescent="0.3">
      <c r="A7178" s="9" t="s">
        <v>21402</v>
      </c>
      <c r="B7178" s="9" t="s">
        <v>21403</v>
      </c>
      <c r="C7178" s="11" t="s">
        <v>28</v>
      </c>
      <c r="D7178" s="9" t="s">
        <v>21404</v>
      </c>
      <c r="E7178" s="11" t="s">
        <v>28</v>
      </c>
      <c r="F7178" s="10" t="s">
        <v>28</v>
      </c>
      <c r="G7178" s="10" t="s">
        <v>28</v>
      </c>
      <c r="H7178" s="10" t="s">
        <v>28</v>
      </c>
      <c r="I7178" s="11" t="s">
        <v>28</v>
      </c>
      <c r="J7178" s="11" t="s">
        <v>28</v>
      </c>
      <c r="K7178" s="11" t="s">
        <v>28</v>
      </c>
      <c r="L7178" s="11" t="s">
        <v>28</v>
      </c>
      <c r="M7178" s="11" t="s">
        <v>28</v>
      </c>
      <c r="N7178" s="8">
        <v>43502</v>
      </c>
      <c r="O7178" s="9" t="s">
        <v>30</v>
      </c>
      <c r="P7178" s="12" t="s">
        <v>21405</v>
      </c>
      <c r="Q7178" s="9" t="s">
        <v>245</v>
      </c>
      <c r="R7178" s="14" t="str">
        <f>HYPERLINK("https://my.pitchbook.com?c=211735-00T","View Company Online")</f>
        <v>View Company Online</v>
      </c>
    </row>
    <row r="7179" spans="1:18" hidden="1" x14ac:dyDescent="0.3">
      <c r="A7179" s="15" t="s">
        <v>21406</v>
      </c>
      <c r="B7179" s="15" t="s">
        <v>5384</v>
      </c>
      <c r="C7179" s="18" t="s">
        <v>28</v>
      </c>
      <c r="D7179" s="15" t="s">
        <v>5385</v>
      </c>
      <c r="E7179" s="18" t="s">
        <v>28</v>
      </c>
      <c r="F7179" s="19" t="s">
        <v>28</v>
      </c>
      <c r="G7179" s="19">
        <v>4</v>
      </c>
      <c r="H7179" s="19" t="s">
        <v>28</v>
      </c>
      <c r="I7179" s="18" t="s">
        <v>28</v>
      </c>
      <c r="J7179" s="18" t="s">
        <v>28</v>
      </c>
      <c r="K7179" s="18" t="s">
        <v>28</v>
      </c>
      <c r="L7179" s="18" t="s">
        <v>28</v>
      </c>
      <c r="M7179" s="18" t="s">
        <v>28</v>
      </c>
      <c r="N7179" s="17">
        <v>43502</v>
      </c>
      <c r="O7179" s="15" t="s">
        <v>79</v>
      </c>
      <c r="P7179" s="16" t="s">
        <v>21407</v>
      </c>
      <c r="Q7179" s="15" t="s">
        <v>37</v>
      </c>
      <c r="R7179" s="13" t="str">
        <f>HYPERLINK("https://my.pitchbook.com?c=116192-35T","View Company Online")</f>
        <v>View Company Online</v>
      </c>
    </row>
    <row r="7180" spans="1:18" hidden="1" x14ac:dyDescent="0.3">
      <c r="A7180" s="9" t="s">
        <v>21408</v>
      </c>
      <c r="B7180" s="9" t="s">
        <v>21409</v>
      </c>
      <c r="C7180" s="11" t="s">
        <v>28</v>
      </c>
      <c r="D7180" s="9" t="s">
        <v>21410</v>
      </c>
      <c r="E7180" s="11" t="s">
        <v>28</v>
      </c>
      <c r="F7180" s="10">
        <v>13.42</v>
      </c>
      <c r="G7180" s="10">
        <v>13.42</v>
      </c>
      <c r="H7180" s="10">
        <v>13.42</v>
      </c>
      <c r="I7180" s="11" t="s">
        <v>28</v>
      </c>
      <c r="J7180" s="11" t="s">
        <v>28</v>
      </c>
      <c r="K7180" s="11" t="s">
        <v>28</v>
      </c>
      <c r="L7180" s="11" t="s">
        <v>28</v>
      </c>
      <c r="M7180" s="11" t="s">
        <v>28</v>
      </c>
      <c r="N7180" s="8">
        <v>43502</v>
      </c>
      <c r="O7180" s="9" t="s">
        <v>30</v>
      </c>
      <c r="P7180" s="12" t="s">
        <v>4468</v>
      </c>
      <c r="Q7180" s="9" t="s">
        <v>245</v>
      </c>
      <c r="R7180" s="14" t="str">
        <f>HYPERLINK("https://my.pitchbook.com?c=209469-43T","View Company Online")</f>
        <v>View Company Online</v>
      </c>
    </row>
    <row r="7181" spans="1:18" hidden="1" x14ac:dyDescent="0.3">
      <c r="A7181" s="15" t="s">
        <v>21411</v>
      </c>
      <c r="B7181" s="15" t="s">
        <v>14480</v>
      </c>
      <c r="C7181" s="18" t="s">
        <v>28</v>
      </c>
      <c r="D7181" s="15" t="s">
        <v>14481</v>
      </c>
      <c r="E7181" s="18" t="s">
        <v>28</v>
      </c>
      <c r="F7181" s="19" t="s">
        <v>28</v>
      </c>
      <c r="G7181" s="19" t="s">
        <v>28</v>
      </c>
      <c r="H7181" s="19" t="s">
        <v>28</v>
      </c>
      <c r="I7181" s="18" t="s">
        <v>28</v>
      </c>
      <c r="J7181" s="18" t="s">
        <v>28</v>
      </c>
      <c r="K7181" s="18" t="s">
        <v>28</v>
      </c>
      <c r="L7181" s="18" t="s">
        <v>28</v>
      </c>
      <c r="M7181" s="18" t="s">
        <v>28</v>
      </c>
      <c r="N7181" s="17">
        <v>43502</v>
      </c>
      <c r="O7181" s="15" t="s">
        <v>58</v>
      </c>
      <c r="P7181" s="16" t="s">
        <v>11193</v>
      </c>
      <c r="Q7181" s="15" t="s">
        <v>75</v>
      </c>
      <c r="R7181" s="13" t="str">
        <f>HYPERLINK("https://my.pitchbook.com?c=225739-81T","View Company Online")</f>
        <v>View Company Online</v>
      </c>
    </row>
    <row r="7182" spans="1:18" hidden="1" x14ac:dyDescent="0.3">
      <c r="A7182" s="9" t="s">
        <v>21412</v>
      </c>
      <c r="B7182" s="9" t="s">
        <v>15253</v>
      </c>
      <c r="C7182" s="11" t="s">
        <v>28</v>
      </c>
      <c r="D7182" s="9" t="s">
        <v>15254</v>
      </c>
      <c r="E7182" s="11" t="s">
        <v>28</v>
      </c>
      <c r="F7182" s="10" t="s">
        <v>28</v>
      </c>
      <c r="G7182" s="10">
        <v>1.34</v>
      </c>
      <c r="H7182" s="10" t="s">
        <v>28</v>
      </c>
      <c r="I7182" s="11" t="s">
        <v>28</v>
      </c>
      <c r="J7182" s="11" t="s">
        <v>28</v>
      </c>
      <c r="K7182" s="11" t="s">
        <v>28</v>
      </c>
      <c r="L7182" s="11" t="s">
        <v>28</v>
      </c>
      <c r="M7182" s="11" t="s">
        <v>28</v>
      </c>
      <c r="N7182" s="8">
        <v>43501</v>
      </c>
      <c r="O7182" s="9" t="s">
        <v>99</v>
      </c>
      <c r="P7182" s="12" t="s">
        <v>21413</v>
      </c>
      <c r="Q7182" s="9" t="s">
        <v>235</v>
      </c>
      <c r="R7182" s="14" t="str">
        <f>HYPERLINK("https://my.pitchbook.com?c=124007-77T","View Company Online")</f>
        <v>View Company Online</v>
      </c>
    </row>
    <row r="7183" spans="1:18" hidden="1" x14ac:dyDescent="0.3">
      <c r="A7183" s="15" t="s">
        <v>21414</v>
      </c>
      <c r="B7183" s="15" t="s">
        <v>21415</v>
      </c>
      <c r="C7183" s="18" t="s">
        <v>28</v>
      </c>
      <c r="D7183" s="15" t="s">
        <v>21416</v>
      </c>
      <c r="E7183" s="18" t="s">
        <v>28</v>
      </c>
      <c r="F7183" s="19" t="s">
        <v>28</v>
      </c>
      <c r="G7183" s="19">
        <v>1.61</v>
      </c>
      <c r="H7183" s="19" t="s">
        <v>28</v>
      </c>
      <c r="I7183" s="18" t="s">
        <v>28</v>
      </c>
      <c r="J7183" s="18" t="s">
        <v>28</v>
      </c>
      <c r="K7183" s="18" t="s">
        <v>28</v>
      </c>
      <c r="L7183" s="18" t="s">
        <v>28</v>
      </c>
      <c r="M7183" s="18" t="s">
        <v>28</v>
      </c>
      <c r="N7183" s="17">
        <v>43501</v>
      </c>
      <c r="O7183" s="15" t="s">
        <v>79</v>
      </c>
      <c r="P7183" s="16" t="s">
        <v>20469</v>
      </c>
      <c r="Q7183" s="15" t="s">
        <v>583</v>
      </c>
      <c r="R7183" s="13" t="str">
        <f>HYPERLINK("https://my.pitchbook.com?c=118281-61T","View Company Online")</f>
        <v>View Company Online</v>
      </c>
    </row>
    <row r="7184" spans="1:18" hidden="1" x14ac:dyDescent="0.3">
      <c r="A7184" s="9" t="s">
        <v>21417</v>
      </c>
      <c r="B7184" s="9" t="s">
        <v>17222</v>
      </c>
      <c r="C7184" s="11" t="s">
        <v>28</v>
      </c>
      <c r="D7184" s="9" t="s">
        <v>17223</v>
      </c>
      <c r="E7184" s="11" t="s">
        <v>28</v>
      </c>
      <c r="F7184" s="10" t="s">
        <v>28</v>
      </c>
      <c r="G7184" s="10">
        <v>2.1</v>
      </c>
      <c r="H7184" s="10" t="s">
        <v>28</v>
      </c>
      <c r="I7184" s="11" t="s">
        <v>28</v>
      </c>
      <c r="J7184" s="11" t="s">
        <v>28</v>
      </c>
      <c r="K7184" s="11" t="s">
        <v>28</v>
      </c>
      <c r="L7184" s="11" t="s">
        <v>28</v>
      </c>
      <c r="M7184" s="11" t="s">
        <v>28</v>
      </c>
      <c r="N7184" s="8">
        <v>43497</v>
      </c>
      <c r="O7184" s="9" t="s">
        <v>99</v>
      </c>
      <c r="P7184" s="12" t="s">
        <v>21418</v>
      </c>
      <c r="Q7184" s="9" t="s">
        <v>399</v>
      </c>
      <c r="R7184" s="14" t="str">
        <f>HYPERLINK("https://my.pitchbook.com?c=207135-19T","View Company Online")</f>
        <v>View Company Online</v>
      </c>
    </row>
    <row r="7185" spans="1:18" hidden="1" x14ac:dyDescent="0.3">
      <c r="A7185" s="15" t="s">
        <v>21419</v>
      </c>
      <c r="B7185" s="15" t="s">
        <v>18313</v>
      </c>
      <c r="C7185" s="18" t="s">
        <v>28</v>
      </c>
      <c r="D7185" s="15" t="s">
        <v>18314</v>
      </c>
      <c r="E7185" s="18" t="s">
        <v>28</v>
      </c>
      <c r="F7185" s="19" t="s">
        <v>28</v>
      </c>
      <c r="G7185" s="19">
        <v>2.14</v>
      </c>
      <c r="H7185" s="19" t="s">
        <v>28</v>
      </c>
      <c r="I7185" s="18" t="s">
        <v>28</v>
      </c>
      <c r="J7185" s="18" t="s">
        <v>28</v>
      </c>
      <c r="K7185" s="18" t="s">
        <v>28</v>
      </c>
      <c r="L7185" s="18" t="s">
        <v>28</v>
      </c>
      <c r="M7185" s="18" t="s">
        <v>28</v>
      </c>
      <c r="N7185" s="17">
        <v>43497</v>
      </c>
      <c r="O7185" s="15" t="s">
        <v>73</v>
      </c>
      <c r="P7185" s="16" t="s">
        <v>21420</v>
      </c>
      <c r="Q7185" s="15" t="s">
        <v>37</v>
      </c>
      <c r="R7185" s="13" t="str">
        <f>HYPERLINK("https://my.pitchbook.com?c=128780-29T","View Company Online")</f>
        <v>View Company Online</v>
      </c>
    </row>
    <row r="7186" spans="1:18" hidden="1" x14ac:dyDescent="0.3">
      <c r="A7186" s="9" t="s">
        <v>21421</v>
      </c>
      <c r="B7186" s="9" t="s">
        <v>17591</v>
      </c>
      <c r="C7186" s="11" t="s">
        <v>28</v>
      </c>
      <c r="D7186" s="9" t="s">
        <v>17592</v>
      </c>
      <c r="E7186" s="11" t="s">
        <v>28</v>
      </c>
      <c r="F7186" s="10" t="s">
        <v>28</v>
      </c>
      <c r="G7186" s="10">
        <v>3.15</v>
      </c>
      <c r="H7186" s="10">
        <v>10.5</v>
      </c>
      <c r="I7186" s="11" t="s">
        <v>28</v>
      </c>
      <c r="J7186" s="11" t="s">
        <v>28</v>
      </c>
      <c r="K7186" s="11" t="s">
        <v>28</v>
      </c>
      <c r="L7186" s="11" t="s">
        <v>28</v>
      </c>
      <c r="M7186" s="11" t="s">
        <v>28</v>
      </c>
      <c r="N7186" s="8">
        <v>43497</v>
      </c>
      <c r="O7186" s="9" t="s">
        <v>58</v>
      </c>
      <c r="P7186" s="12" t="s">
        <v>17593</v>
      </c>
      <c r="Q7186" s="9" t="s">
        <v>245</v>
      </c>
      <c r="R7186" s="14" t="str">
        <f>HYPERLINK("https://my.pitchbook.com?c=156874-78T","View Company Online")</f>
        <v>View Company Online</v>
      </c>
    </row>
    <row r="7187" spans="1:18" hidden="1" x14ac:dyDescent="0.3">
      <c r="A7187" s="15" t="s">
        <v>21422</v>
      </c>
      <c r="B7187" s="15" t="s">
        <v>21423</v>
      </c>
      <c r="C7187" s="18" t="s">
        <v>28</v>
      </c>
      <c r="D7187" s="15" t="s">
        <v>21424</v>
      </c>
      <c r="E7187" s="18" t="s">
        <v>28</v>
      </c>
      <c r="F7187" s="19" t="s">
        <v>28</v>
      </c>
      <c r="G7187" s="19" t="s">
        <v>28</v>
      </c>
      <c r="H7187" s="19" t="s">
        <v>28</v>
      </c>
      <c r="I7187" s="18" t="s">
        <v>28</v>
      </c>
      <c r="J7187" s="18" t="s">
        <v>28</v>
      </c>
      <c r="K7187" s="18" t="s">
        <v>28</v>
      </c>
      <c r="L7187" s="18" t="s">
        <v>28</v>
      </c>
      <c r="M7187" s="18" t="s">
        <v>28</v>
      </c>
      <c r="N7187" s="17">
        <v>43497</v>
      </c>
      <c r="O7187" s="15" t="s">
        <v>30</v>
      </c>
      <c r="P7187" s="16" t="s">
        <v>14833</v>
      </c>
      <c r="Q7187" s="15" t="s">
        <v>95</v>
      </c>
      <c r="R7187" s="13" t="str">
        <f>HYPERLINK("https://my.pitchbook.com?c=160677-28T","View Company Online")</f>
        <v>View Company Online</v>
      </c>
    </row>
    <row r="7188" spans="1:18" hidden="1" x14ac:dyDescent="0.3">
      <c r="A7188" s="9" t="s">
        <v>21425</v>
      </c>
      <c r="B7188" s="9" t="s">
        <v>21426</v>
      </c>
      <c r="C7188" s="11" t="s">
        <v>28</v>
      </c>
      <c r="D7188" s="9" t="s">
        <v>21427</v>
      </c>
      <c r="E7188" s="11" t="s">
        <v>28</v>
      </c>
      <c r="F7188" s="10" t="s">
        <v>28</v>
      </c>
      <c r="G7188" s="10" t="s">
        <v>28</v>
      </c>
      <c r="H7188" s="10" t="s">
        <v>28</v>
      </c>
      <c r="I7188" s="11" t="s">
        <v>28</v>
      </c>
      <c r="J7188" s="11" t="s">
        <v>28</v>
      </c>
      <c r="K7188" s="11" t="s">
        <v>28</v>
      </c>
      <c r="L7188" s="11" t="s">
        <v>28</v>
      </c>
      <c r="M7188" s="11" t="s">
        <v>28</v>
      </c>
      <c r="N7188" s="8">
        <v>43497</v>
      </c>
      <c r="O7188" s="9" t="s">
        <v>30</v>
      </c>
      <c r="P7188" s="12" t="s">
        <v>28</v>
      </c>
      <c r="Q7188" s="9" t="s">
        <v>2043</v>
      </c>
      <c r="R7188" s="14" t="str">
        <f>HYPERLINK("https://my.pitchbook.com?c=126848-08T","View Company Online")</f>
        <v>View Company Online</v>
      </c>
    </row>
    <row r="7189" spans="1:18" hidden="1" x14ac:dyDescent="0.3">
      <c r="A7189" s="15" t="s">
        <v>21428</v>
      </c>
      <c r="B7189" s="15" t="s">
        <v>14886</v>
      </c>
      <c r="C7189" s="18" t="s">
        <v>28</v>
      </c>
      <c r="D7189" s="15" t="s">
        <v>14887</v>
      </c>
      <c r="E7189" s="18" t="s">
        <v>28</v>
      </c>
      <c r="F7189" s="19" t="s">
        <v>28</v>
      </c>
      <c r="G7189" s="19" t="s">
        <v>28</v>
      </c>
      <c r="H7189" s="19" t="s">
        <v>28</v>
      </c>
      <c r="I7189" s="18" t="s">
        <v>28</v>
      </c>
      <c r="J7189" s="18" t="s">
        <v>28</v>
      </c>
      <c r="K7189" s="18" t="s">
        <v>28</v>
      </c>
      <c r="L7189" s="18" t="s">
        <v>28</v>
      </c>
      <c r="M7189" s="18" t="s">
        <v>28</v>
      </c>
      <c r="N7189" s="17">
        <v>43497</v>
      </c>
      <c r="O7189" s="15" t="s">
        <v>52</v>
      </c>
      <c r="P7189" s="16" t="s">
        <v>1970</v>
      </c>
      <c r="Q7189" s="15" t="s">
        <v>75</v>
      </c>
      <c r="R7189" s="13" t="str">
        <f>HYPERLINK("https://my.pitchbook.com?c=202045-33T","View Company Online")</f>
        <v>View Company Online</v>
      </c>
    </row>
    <row r="7190" spans="1:18" hidden="1" x14ac:dyDescent="0.3">
      <c r="A7190" s="9" t="s">
        <v>21429</v>
      </c>
      <c r="B7190" s="9" t="s">
        <v>1164</v>
      </c>
      <c r="C7190" s="11" t="s">
        <v>28</v>
      </c>
      <c r="D7190" s="9" t="s">
        <v>16348</v>
      </c>
      <c r="E7190" s="11">
        <v>42.81</v>
      </c>
      <c r="F7190" s="10" t="s">
        <v>28</v>
      </c>
      <c r="G7190" s="10" t="s">
        <v>28</v>
      </c>
      <c r="H7190" s="10" t="s">
        <v>28</v>
      </c>
      <c r="I7190" s="11">
        <v>52.53</v>
      </c>
      <c r="J7190" s="11" t="s">
        <v>28</v>
      </c>
      <c r="K7190" s="11">
        <v>80.98</v>
      </c>
      <c r="L7190" s="11" t="s">
        <v>28</v>
      </c>
      <c r="M7190" s="11">
        <v>17.579999999999998</v>
      </c>
      <c r="N7190" s="8">
        <v>43497</v>
      </c>
      <c r="O7190" s="9" t="s">
        <v>93</v>
      </c>
      <c r="P7190" s="12" t="s">
        <v>21430</v>
      </c>
      <c r="Q7190" s="9" t="s">
        <v>1088</v>
      </c>
      <c r="R7190" s="14" t="str">
        <f>HYPERLINK("https://my.pitchbook.com?c=116617-87T","View Company Online")</f>
        <v>View Company Online</v>
      </c>
    </row>
    <row r="7191" spans="1:18" hidden="1" x14ac:dyDescent="0.3">
      <c r="A7191" s="15" t="s">
        <v>21431</v>
      </c>
      <c r="B7191" s="15" t="s">
        <v>5577</v>
      </c>
      <c r="C7191" s="18" t="s">
        <v>28</v>
      </c>
      <c r="D7191" s="15" t="s">
        <v>5578</v>
      </c>
      <c r="E7191" s="18" t="s">
        <v>28</v>
      </c>
      <c r="F7191" s="19" t="s">
        <v>28</v>
      </c>
      <c r="G7191" s="19">
        <v>0.72</v>
      </c>
      <c r="H7191" s="19">
        <v>4.07</v>
      </c>
      <c r="I7191" s="18" t="s">
        <v>28</v>
      </c>
      <c r="J7191" s="18" t="s">
        <v>28</v>
      </c>
      <c r="K7191" s="18" t="s">
        <v>28</v>
      </c>
      <c r="L7191" s="18" t="s">
        <v>28</v>
      </c>
      <c r="M7191" s="18" t="s">
        <v>28</v>
      </c>
      <c r="N7191" s="17">
        <v>43497</v>
      </c>
      <c r="O7191" s="15" t="s">
        <v>1639</v>
      </c>
      <c r="P7191" s="16" t="s">
        <v>28</v>
      </c>
      <c r="Q7191" s="15" t="s">
        <v>832</v>
      </c>
      <c r="R7191" s="13" t="str">
        <f>HYPERLINK("https://my.pitchbook.com?c=125975-08T","View Company Online")</f>
        <v>View Company Online</v>
      </c>
    </row>
    <row r="7192" spans="1:18" hidden="1" x14ac:dyDescent="0.3">
      <c r="A7192" s="9" t="s">
        <v>21432</v>
      </c>
      <c r="B7192" s="9" t="s">
        <v>902</v>
      </c>
      <c r="C7192" s="11" t="s">
        <v>28</v>
      </c>
      <c r="D7192" s="9" t="s">
        <v>903</v>
      </c>
      <c r="E7192" s="11" t="s">
        <v>28</v>
      </c>
      <c r="F7192" s="10" t="s">
        <v>28</v>
      </c>
      <c r="G7192" s="10" t="s">
        <v>28</v>
      </c>
      <c r="H7192" s="10" t="s">
        <v>28</v>
      </c>
      <c r="I7192" s="11" t="s">
        <v>28</v>
      </c>
      <c r="J7192" s="11" t="s">
        <v>28</v>
      </c>
      <c r="K7192" s="11" t="s">
        <v>28</v>
      </c>
      <c r="L7192" s="11" t="s">
        <v>28</v>
      </c>
      <c r="M7192" s="11" t="s">
        <v>28</v>
      </c>
      <c r="N7192" s="8">
        <v>43497</v>
      </c>
      <c r="O7192" s="9" t="s">
        <v>73</v>
      </c>
      <c r="P7192" s="12" t="s">
        <v>20022</v>
      </c>
      <c r="Q7192" s="9" t="s">
        <v>114</v>
      </c>
      <c r="R7192" s="14" t="str">
        <f>HYPERLINK("https://my.pitchbook.com?c=183907-54T","View Company Online")</f>
        <v>View Company Online</v>
      </c>
    </row>
    <row r="7193" spans="1:18" hidden="1" x14ac:dyDescent="0.3">
      <c r="A7193" s="15" t="s">
        <v>21433</v>
      </c>
      <c r="B7193" s="15" t="s">
        <v>21434</v>
      </c>
      <c r="C7193" s="18" t="s">
        <v>28</v>
      </c>
      <c r="D7193" s="15" t="s">
        <v>21435</v>
      </c>
      <c r="E7193" s="18" t="s">
        <v>28</v>
      </c>
      <c r="F7193" s="19" t="s">
        <v>28</v>
      </c>
      <c r="G7193" s="19" t="s">
        <v>28</v>
      </c>
      <c r="H7193" s="19" t="s">
        <v>28</v>
      </c>
      <c r="I7193" s="18" t="s">
        <v>28</v>
      </c>
      <c r="J7193" s="18" t="s">
        <v>28</v>
      </c>
      <c r="K7193" s="18" t="s">
        <v>28</v>
      </c>
      <c r="L7193" s="18" t="s">
        <v>28</v>
      </c>
      <c r="M7193" s="18" t="s">
        <v>28</v>
      </c>
      <c r="N7193" s="17">
        <v>43496</v>
      </c>
      <c r="O7193" s="15" t="s">
        <v>52</v>
      </c>
      <c r="P7193" s="16" t="s">
        <v>21436</v>
      </c>
      <c r="Q7193" s="15" t="s">
        <v>1035</v>
      </c>
      <c r="R7193" s="13" t="str">
        <f>HYPERLINK("https://my.pitchbook.com?c=283556-17T","View Company Online")</f>
        <v>View Company Online</v>
      </c>
    </row>
    <row r="7194" spans="1:18" hidden="1" x14ac:dyDescent="0.3">
      <c r="A7194" s="9" t="s">
        <v>21437</v>
      </c>
      <c r="B7194" s="9" t="s">
        <v>7263</v>
      </c>
      <c r="C7194" s="11" t="s">
        <v>28</v>
      </c>
      <c r="D7194" s="9" t="s">
        <v>7264</v>
      </c>
      <c r="E7194" s="11" t="s">
        <v>28</v>
      </c>
      <c r="F7194" s="10" t="s">
        <v>28</v>
      </c>
      <c r="G7194" s="10" t="s">
        <v>28</v>
      </c>
      <c r="H7194" s="10" t="s">
        <v>28</v>
      </c>
      <c r="I7194" s="11" t="s">
        <v>28</v>
      </c>
      <c r="J7194" s="11" t="s">
        <v>28</v>
      </c>
      <c r="K7194" s="11" t="s">
        <v>28</v>
      </c>
      <c r="L7194" s="11" t="s">
        <v>28</v>
      </c>
      <c r="M7194" s="11" t="s">
        <v>28</v>
      </c>
      <c r="N7194" s="8">
        <v>43496</v>
      </c>
      <c r="O7194" s="9" t="s">
        <v>52</v>
      </c>
      <c r="P7194" s="12" t="s">
        <v>21436</v>
      </c>
      <c r="Q7194" s="9" t="s">
        <v>1035</v>
      </c>
      <c r="R7194" s="14" t="str">
        <f>HYPERLINK("https://my.pitchbook.com?c=283596-76T","View Company Online")</f>
        <v>View Company Online</v>
      </c>
    </row>
    <row r="7195" spans="1:18" hidden="1" x14ac:dyDescent="0.3">
      <c r="A7195" s="15" t="s">
        <v>21438</v>
      </c>
      <c r="B7195" s="15" t="s">
        <v>21439</v>
      </c>
      <c r="C7195" s="18" t="s">
        <v>28</v>
      </c>
      <c r="D7195" s="15" t="s">
        <v>21440</v>
      </c>
      <c r="E7195" s="18" t="s">
        <v>28</v>
      </c>
      <c r="F7195" s="19" t="s">
        <v>28</v>
      </c>
      <c r="G7195" s="19" t="s">
        <v>28</v>
      </c>
      <c r="H7195" s="19" t="s">
        <v>28</v>
      </c>
      <c r="I7195" s="18" t="s">
        <v>28</v>
      </c>
      <c r="J7195" s="18" t="s">
        <v>28</v>
      </c>
      <c r="K7195" s="18" t="s">
        <v>28</v>
      </c>
      <c r="L7195" s="18" t="s">
        <v>28</v>
      </c>
      <c r="M7195" s="18" t="s">
        <v>28</v>
      </c>
      <c r="N7195" s="17">
        <v>43496</v>
      </c>
      <c r="O7195" s="15" t="s">
        <v>30</v>
      </c>
      <c r="P7195" s="16" t="s">
        <v>21441</v>
      </c>
      <c r="Q7195" s="15" t="s">
        <v>105</v>
      </c>
      <c r="R7195" s="13" t="str">
        <f>HYPERLINK("https://my.pitchbook.com?c=117435-97T","View Company Online")</f>
        <v>View Company Online</v>
      </c>
    </row>
    <row r="7196" spans="1:18" hidden="1" x14ac:dyDescent="0.3">
      <c r="A7196" s="9" t="s">
        <v>21442</v>
      </c>
      <c r="B7196" s="9" t="s">
        <v>18969</v>
      </c>
      <c r="C7196" s="11" t="s">
        <v>28</v>
      </c>
      <c r="D7196" s="9" t="s">
        <v>18970</v>
      </c>
      <c r="E7196" s="11" t="s">
        <v>28</v>
      </c>
      <c r="F7196" s="10" t="s">
        <v>28</v>
      </c>
      <c r="G7196" s="10" t="s">
        <v>28</v>
      </c>
      <c r="H7196" s="10" t="s">
        <v>28</v>
      </c>
      <c r="I7196" s="11" t="s">
        <v>28</v>
      </c>
      <c r="J7196" s="11" t="s">
        <v>28</v>
      </c>
      <c r="K7196" s="11" t="s">
        <v>28</v>
      </c>
      <c r="L7196" s="11" t="s">
        <v>28</v>
      </c>
      <c r="M7196" s="11" t="s">
        <v>28</v>
      </c>
      <c r="N7196" s="8">
        <v>43495</v>
      </c>
      <c r="O7196" s="9" t="s">
        <v>1285</v>
      </c>
      <c r="P7196" s="12" t="s">
        <v>21443</v>
      </c>
      <c r="Q7196" s="9" t="s">
        <v>85</v>
      </c>
      <c r="R7196" s="14" t="str">
        <f>HYPERLINK("https://my.pitchbook.com?c=123825-34T","View Company Online")</f>
        <v>View Company Online</v>
      </c>
    </row>
    <row r="7197" spans="1:18" hidden="1" x14ac:dyDescent="0.3">
      <c r="A7197" s="15" t="s">
        <v>21444</v>
      </c>
      <c r="B7197" s="15" t="s">
        <v>21445</v>
      </c>
      <c r="C7197" s="18" t="s">
        <v>28</v>
      </c>
      <c r="D7197" s="15" t="s">
        <v>21446</v>
      </c>
      <c r="E7197" s="18" t="s">
        <v>28</v>
      </c>
      <c r="F7197" s="19" t="s">
        <v>28</v>
      </c>
      <c r="G7197" s="19" t="s">
        <v>28</v>
      </c>
      <c r="H7197" s="19" t="s">
        <v>28</v>
      </c>
      <c r="I7197" s="18" t="s">
        <v>28</v>
      </c>
      <c r="J7197" s="18" t="s">
        <v>28</v>
      </c>
      <c r="K7197" s="18" t="s">
        <v>28</v>
      </c>
      <c r="L7197" s="18" t="s">
        <v>28</v>
      </c>
      <c r="M7197" s="18" t="s">
        <v>28</v>
      </c>
      <c r="N7197" s="17">
        <v>43494</v>
      </c>
      <c r="O7197" s="15" t="s">
        <v>30</v>
      </c>
      <c r="P7197" s="16" t="s">
        <v>20992</v>
      </c>
      <c r="Q7197" s="15" t="s">
        <v>386</v>
      </c>
      <c r="R7197" s="13" t="str">
        <f>HYPERLINK("https://my.pitchbook.com?c=180109-09T","View Company Online")</f>
        <v>View Company Online</v>
      </c>
    </row>
    <row r="7198" spans="1:18" hidden="1" x14ac:dyDescent="0.3">
      <c r="A7198" s="9" t="s">
        <v>21447</v>
      </c>
      <c r="B7198" s="9" t="s">
        <v>9538</v>
      </c>
      <c r="C7198" s="11" t="s">
        <v>28</v>
      </c>
      <c r="D7198" s="9" t="s">
        <v>9539</v>
      </c>
      <c r="E7198" s="11" t="s">
        <v>28</v>
      </c>
      <c r="F7198" s="10" t="s">
        <v>28</v>
      </c>
      <c r="G7198" s="10" t="s">
        <v>28</v>
      </c>
      <c r="H7198" s="10" t="s">
        <v>28</v>
      </c>
      <c r="I7198" s="11" t="s">
        <v>28</v>
      </c>
      <c r="J7198" s="11" t="s">
        <v>28</v>
      </c>
      <c r="K7198" s="11" t="s">
        <v>28</v>
      </c>
      <c r="L7198" s="11" t="s">
        <v>28</v>
      </c>
      <c r="M7198" s="11" t="s">
        <v>28</v>
      </c>
      <c r="N7198" s="8">
        <v>43493</v>
      </c>
      <c r="O7198" s="9" t="s">
        <v>99</v>
      </c>
      <c r="P7198" s="12" t="s">
        <v>21448</v>
      </c>
      <c r="Q7198" s="9" t="s">
        <v>37</v>
      </c>
      <c r="R7198" s="14" t="str">
        <f>HYPERLINK("https://my.pitchbook.com?c=116008-48T","View Company Online")</f>
        <v>View Company Online</v>
      </c>
    </row>
    <row r="7199" spans="1:18" hidden="1" x14ac:dyDescent="0.3">
      <c r="A7199" s="15" t="s">
        <v>21449</v>
      </c>
      <c r="B7199" s="15" t="s">
        <v>21450</v>
      </c>
      <c r="C7199" s="18" t="s">
        <v>28</v>
      </c>
      <c r="D7199" s="15" t="s">
        <v>21451</v>
      </c>
      <c r="E7199" s="18" t="s">
        <v>28</v>
      </c>
      <c r="F7199" s="19" t="s">
        <v>28</v>
      </c>
      <c r="G7199" s="19" t="s">
        <v>28</v>
      </c>
      <c r="H7199" s="19" t="s">
        <v>28</v>
      </c>
      <c r="I7199" s="18" t="s">
        <v>28</v>
      </c>
      <c r="J7199" s="18" t="s">
        <v>28</v>
      </c>
      <c r="K7199" s="18" t="s">
        <v>28</v>
      </c>
      <c r="L7199" s="18" t="s">
        <v>28</v>
      </c>
      <c r="M7199" s="18" t="s">
        <v>28</v>
      </c>
      <c r="N7199" s="17">
        <v>43490</v>
      </c>
      <c r="O7199" s="15" t="s">
        <v>30</v>
      </c>
      <c r="P7199" s="16" t="s">
        <v>20366</v>
      </c>
      <c r="Q7199" s="15" t="s">
        <v>75</v>
      </c>
      <c r="R7199" s="13" t="str">
        <f>HYPERLINK("https://my.pitchbook.com?c=167862-07T","View Company Online")</f>
        <v>View Company Online</v>
      </c>
    </row>
    <row r="7200" spans="1:18" hidden="1" x14ac:dyDescent="0.3">
      <c r="A7200" s="9" t="s">
        <v>21452</v>
      </c>
      <c r="B7200" s="9" t="s">
        <v>21453</v>
      </c>
      <c r="C7200" s="11" t="s">
        <v>28</v>
      </c>
      <c r="D7200" s="9" t="s">
        <v>21454</v>
      </c>
      <c r="E7200" s="11" t="s">
        <v>28</v>
      </c>
      <c r="F7200" s="10">
        <v>3.44</v>
      </c>
      <c r="G7200" s="10">
        <v>3.44</v>
      </c>
      <c r="H7200" s="10">
        <v>3.44</v>
      </c>
      <c r="I7200" s="11" t="s">
        <v>28</v>
      </c>
      <c r="J7200" s="11" t="s">
        <v>28</v>
      </c>
      <c r="K7200" s="11" t="s">
        <v>28</v>
      </c>
      <c r="L7200" s="11" t="s">
        <v>28</v>
      </c>
      <c r="M7200" s="11" t="s">
        <v>28</v>
      </c>
      <c r="N7200" s="8">
        <v>43488</v>
      </c>
      <c r="O7200" s="9" t="s">
        <v>30</v>
      </c>
      <c r="P7200" s="12" t="s">
        <v>6796</v>
      </c>
      <c r="Q7200" s="9" t="s">
        <v>913</v>
      </c>
      <c r="R7200" s="14" t="str">
        <f>HYPERLINK("https://my.pitchbook.com?c=257858-47T","View Company Online")</f>
        <v>View Company Online</v>
      </c>
    </row>
    <row r="7201" spans="1:18" hidden="1" x14ac:dyDescent="0.3">
      <c r="A7201" s="15" t="s">
        <v>21455</v>
      </c>
      <c r="B7201" s="15" t="s">
        <v>21456</v>
      </c>
      <c r="C7201" s="18" t="s">
        <v>28</v>
      </c>
      <c r="D7201" s="15" t="s">
        <v>21457</v>
      </c>
      <c r="E7201" s="18" t="s">
        <v>28</v>
      </c>
      <c r="F7201" s="19" t="s">
        <v>28</v>
      </c>
      <c r="G7201" s="19" t="s">
        <v>28</v>
      </c>
      <c r="H7201" s="19" t="s">
        <v>28</v>
      </c>
      <c r="I7201" s="18" t="s">
        <v>28</v>
      </c>
      <c r="J7201" s="18" t="s">
        <v>28</v>
      </c>
      <c r="K7201" s="18" t="s">
        <v>28</v>
      </c>
      <c r="L7201" s="18" t="s">
        <v>28</v>
      </c>
      <c r="M7201" s="18" t="s">
        <v>28</v>
      </c>
      <c r="N7201" s="17">
        <v>43488</v>
      </c>
      <c r="O7201" s="15" t="s">
        <v>173</v>
      </c>
      <c r="P7201" s="16" t="s">
        <v>28</v>
      </c>
      <c r="Q7201" s="15" t="s">
        <v>174</v>
      </c>
      <c r="R7201" s="13" t="str">
        <f>HYPERLINK("https://my.pitchbook.com?c=227426-86T","View Company Online")</f>
        <v>View Company Online</v>
      </c>
    </row>
    <row r="7202" spans="1:18" hidden="1" x14ac:dyDescent="0.3">
      <c r="A7202" s="9" t="s">
        <v>21458</v>
      </c>
      <c r="B7202" s="9" t="s">
        <v>21459</v>
      </c>
      <c r="C7202" s="11" t="s">
        <v>28</v>
      </c>
      <c r="D7202" s="9" t="s">
        <v>21460</v>
      </c>
      <c r="E7202" s="11" t="s">
        <v>28</v>
      </c>
      <c r="F7202" s="10">
        <v>3.43</v>
      </c>
      <c r="G7202" s="10">
        <v>3.43</v>
      </c>
      <c r="H7202" s="10">
        <v>3.43</v>
      </c>
      <c r="I7202" s="11" t="s">
        <v>28</v>
      </c>
      <c r="J7202" s="11" t="s">
        <v>28</v>
      </c>
      <c r="K7202" s="11" t="s">
        <v>28</v>
      </c>
      <c r="L7202" s="11" t="s">
        <v>28</v>
      </c>
      <c r="M7202" s="11" t="s">
        <v>28</v>
      </c>
      <c r="N7202" s="8">
        <v>43487</v>
      </c>
      <c r="O7202" s="9" t="s">
        <v>30</v>
      </c>
      <c r="P7202" s="12" t="s">
        <v>21461</v>
      </c>
      <c r="Q7202" s="9" t="s">
        <v>75</v>
      </c>
      <c r="R7202" s="14" t="str">
        <f>HYPERLINK("https://my.pitchbook.com?c=115827-67T","View Company Online")</f>
        <v>View Company Online</v>
      </c>
    </row>
    <row r="7203" spans="1:18" hidden="1" x14ac:dyDescent="0.3">
      <c r="A7203" s="15" t="s">
        <v>21462</v>
      </c>
      <c r="B7203" s="15" t="s">
        <v>21463</v>
      </c>
      <c r="C7203" s="18" t="s">
        <v>28</v>
      </c>
      <c r="D7203" s="15" t="s">
        <v>21464</v>
      </c>
      <c r="E7203" s="18" t="s">
        <v>28</v>
      </c>
      <c r="F7203" s="19" t="s">
        <v>28</v>
      </c>
      <c r="G7203" s="19" t="s">
        <v>28</v>
      </c>
      <c r="H7203" s="19" t="s">
        <v>28</v>
      </c>
      <c r="I7203" s="18" t="s">
        <v>28</v>
      </c>
      <c r="J7203" s="18" t="s">
        <v>28</v>
      </c>
      <c r="K7203" s="18" t="s">
        <v>28</v>
      </c>
      <c r="L7203" s="18" t="s">
        <v>28</v>
      </c>
      <c r="M7203" s="18" t="s">
        <v>28</v>
      </c>
      <c r="N7203" s="17">
        <v>43487</v>
      </c>
      <c r="O7203" s="15" t="s">
        <v>30</v>
      </c>
      <c r="P7203" s="16" t="s">
        <v>9793</v>
      </c>
      <c r="Q7203" s="15" t="s">
        <v>75</v>
      </c>
      <c r="R7203" s="13" t="str">
        <f>HYPERLINK("https://my.pitchbook.com?c=292653-64T","View Company Online")</f>
        <v>View Company Online</v>
      </c>
    </row>
    <row r="7204" spans="1:18" hidden="1" x14ac:dyDescent="0.3">
      <c r="A7204" s="9" t="s">
        <v>21465</v>
      </c>
      <c r="B7204" s="9" t="s">
        <v>21466</v>
      </c>
      <c r="C7204" s="11" t="s">
        <v>28</v>
      </c>
      <c r="D7204" s="9" t="s">
        <v>21467</v>
      </c>
      <c r="E7204" s="11" t="s">
        <v>28</v>
      </c>
      <c r="F7204" s="10">
        <v>452</v>
      </c>
      <c r="G7204" s="10">
        <v>452</v>
      </c>
      <c r="H7204" s="10">
        <v>452</v>
      </c>
      <c r="I7204" s="11" t="s">
        <v>28</v>
      </c>
      <c r="J7204" s="11" t="s">
        <v>28</v>
      </c>
      <c r="K7204" s="11" t="s">
        <v>28</v>
      </c>
      <c r="L7204" s="11" t="s">
        <v>28</v>
      </c>
      <c r="M7204" s="11" t="s">
        <v>28</v>
      </c>
      <c r="N7204" s="8">
        <v>43486</v>
      </c>
      <c r="O7204" s="9" t="s">
        <v>30</v>
      </c>
      <c r="P7204" s="12" t="s">
        <v>21468</v>
      </c>
      <c r="Q7204" s="9" t="s">
        <v>285</v>
      </c>
      <c r="R7204" s="14" t="str">
        <f>HYPERLINK("https://my.pitchbook.com?c=114898-69T","View Company Online")</f>
        <v>View Company Online</v>
      </c>
    </row>
    <row r="7205" spans="1:18" hidden="1" x14ac:dyDescent="0.3">
      <c r="A7205" s="15" t="s">
        <v>21469</v>
      </c>
      <c r="B7205" s="15" t="s">
        <v>21470</v>
      </c>
      <c r="C7205" s="18" t="s">
        <v>28</v>
      </c>
      <c r="D7205" s="15" t="s">
        <v>21471</v>
      </c>
      <c r="E7205" s="18" t="s">
        <v>28</v>
      </c>
      <c r="F7205" s="19">
        <v>520.53</v>
      </c>
      <c r="G7205" s="19">
        <v>337</v>
      </c>
      <c r="H7205" s="19">
        <v>520.53</v>
      </c>
      <c r="I7205" s="18" t="s">
        <v>28</v>
      </c>
      <c r="J7205" s="18" t="s">
        <v>28</v>
      </c>
      <c r="K7205" s="18" t="s">
        <v>28</v>
      </c>
      <c r="L7205" s="18" t="s">
        <v>28</v>
      </c>
      <c r="M7205" s="18" t="s">
        <v>28</v>
      </c>
      <c r="N7205" s="17">
        <v>43486</v>
      </c>
      <c r="O7205" s="15" t="s">
        <v>30</v>
      </c>
      <c r="P7205" s="16" t="s">
        <v>21472</v>
      </c>
      <c r="Q7205" s="15" t="s">
        <v>316</v>
      </c>
      <c r="R7205" s="13" t="str">
        <f>HYPERLINK("https://my.pitchbook.com?c=112109-05T","View Company Online")</f>
        <v>View Company Online</v>
      </c>
    </row>
    <row r="7206" spans="1:18" hidden="1" x14ac:dyDescent="0.3">
      <c r="A7206" s="9" t="s">
        <v>21473</v>
      </c>
      <c r="B7206" s="9" t="s">
        <v>21474</v>
      </c>
      <c r="C7206" s="11" t="s">
        <v>28</v>
      </c>
      <c r="D7206" s="9" t="s">
        <v>21475</v>
      </c>
      <c r="E7206" s="11" t="s">
        <v>28</v>
      </c>
      <c r="F7206" s="10" t="s">
        <v>28</v>
      </c>
      <c r="G7206" s="10" t="s">
        <v>28</v>
      </c>
      <c r="H7206" s="10" t="s">
        <v>28</v>
      </c>
      <c r="I7206" s="11" t="s">
        <v>28</v>
      </c>
      <c r="J7206" s="11" t="s">
        <v>28</v>
      </c>
      <c r="K7206" s="11" t="s">
        <v>28</v>
      </c>
      <c r="L7206" s="11" t="s">
        <v>28</v>
      </c>
      <c r="M7206" s="11" t="s">
        <v>28</v>
      </c>
      <c r="N7206" s="8">
        <v>43485</v>
      </c>
      <c r="O7206" s="9" t="s">
        <v>52</v>
      </c>
      <c r="P7206" s="12" t="s">
        <v>7022</v>
      </c>
      <c r="Q7206" s="9" t="s">
        <v>404</v>
      </c>
      <c r="R7206" s="14" t="str">
        <f>HYPERLINK("https://my.pitchbook.com?c=126458-29T","View Company Online")</f>
        <v>View Company Online</v>
      </c>
    </row>
    <row r="7207" spans="1:18" hidden="1" x14ac:dyDescent="0.3">
      <c r="A7207" s="15" t="s">
        <v>21476</v>
      </c>
      <c r="B7207" s="15" t="s">
        <v>18349</v>
      </c>
      <c r="C7207" s="18" t="s">
        <v>28</v>
      </c>
      <c r="D7207" s="15" t="s">
        <v>18350</v>
      </c>
      <c r="E7207" s="18" t="s">
        <v>28</v>
      </c>
      <c r="F7207" s="19" t="s">
        <v>28</v>
      </c>
      <c r="G7207" s="19" t="s">
        <v>28</v>
      </c>
      <c r="H7207" s="19" t="s">
        <v>28</v>
      </c>
      <c r="I7207" s="18" t="s">
        <v>28</v>
      </c>
      <c r="J7207" s="18" t="s">
        <v>28</v>
      </c>
      <c r="K7207" s="18" t="s">
        <v>28</v>
      </c>
      <c r="L7207" s="18" t="s">
        <v>28</v>
      </c>
      <c r="M7207" s="18" t="s">
        <v>28</v>
      </c>
      <c r="N7207" s="17">
        <v>43483</v>
      </c>
      <c r="O7207" s="15" t="s">
        <v>52</v>
      </c>
      <c r="P7207" s="16" t="s">
        <v>21477</v>
      </c>
      <c r="Q7207" s="15" t="s">
        <v>75</v>
      </c>
      <c r="R7207" s="13" t="str">
        <f>HYPERLINK("https://my.pitchbook.com?c=123791-95T","View Company Online")</f>
        <v>View Company Online</v>
      </c>
    </row>
    <row r="7208" spans="1:18" hidden="1" x14ac:dyDescent="0.3">
      <c r="A7208" s="9" t="s">
        <v>21478</v>
      </c>
      <c r="B7208" s="9" t="s">
        <v>21479</v>
      </c>
      <c r="C7208" s="11" t="s">
        <v>28</v>
      </c>
      <c r="D7208" s="9" t="s">
        <v>21480</v>
      </c>
      <c r="E7208" s="11" t="s">
        <v>28</v>
      </c>
      <c r="F7208" s="10">
        <v>19.559999999999999</v>
      </c>
      <c r="G7208" s="10">
        <v>19.559999999999999</v>
      </c>
      <c r="H7208" s="10">
        <v>19.559999999999999</v>
      </c>
      <c r="I7208" s="11" t="s">
        <v>28</v>
      </c>
      <c r="J7208" s="11" t="s">
        <v>28</v>
      </c>
      <c r="K7208" s="11" t="s">
        <v>28</v>
      </c>
      <c r="L7208" s="11" t="s">
        <v>28</v>
      </c>
      <c r="M7208" s="11" t="s">
        <v>28</v>
      </c>
      <c r="N7208" s="8">
        <v>43483</v>
      </c>
      <c r="O7208" s="9" t="s">
        <v>30</v>
      </c>
      <c r="P7208" s="12" t="s">
        <v>21481</v>
      </c>
      <c r="Q7208" s="9" t="s">
        <v>14060</v>
      </c>
      <c r="R7208" s="14" t="str">
        <f>HYPERLINK("https://my.pitchbook.com?c=117194-86T","View Company Online")</f>
        <v>View Company Online</v>
      </c>
    </row>
    <row r="7209" spans="1:18" hidden="1" x14ac:dyDescent="0.3">
      <c r="A7209" s="15" t="s">
        <v>21482</v>
      </c>
      <c r="B7209" s="15" t="s">
        <v>21483</v>
      </c>
      <c r="C7209" s="18" t="s">
        <v>28</v>
      </c>
      <c r="D7209" s="15" t="s">
        <v>21484</v>
      </c>
      <c r="E7209" s="18" t="s">
        <v>28</v>
      </c>
      <c r="F7209" s="19" t="s">
        <v>28</v>
      </c>
      <c r="G7209" s="19" t="s">
        <v>28</v>
      </c>
      <c r="H7209" s="19" t="s">
        <v>28</v>
      </c>
      <c r="I7209" s="18" t="s">
        <v>28</v>
      </c>
      <c r="J7209" s="18" t="s">
        <v>28</v>
      </c>
      <c r="K7209" s="18">
        <v>70.8</v>
      </c>
      <c r="L7209" s="18" t="s">
        <v>28</v>
      </c>
      <c r="M7209" s="18" t="s">
        <v>28</v>
      </c>
      <c r="N7209" s="17">
        <v>43483</v>
      </c>
      <c r="O7209" s="15" t="s">
        <v>41</v>
      </c>
      <c r="P7209" s="16" t="s">
        <v>21485</v>
      </c>
      <c r="Q7209" s="15" t="s">
        <v>245</v>
      </c>
      <c r="R7209" s="13" t="str">
        <f>HYPERLINK("https://my.pitchbook.com?c=117999-91T","View Company Online")</f>
        <v>View Company Online</v>
      </c>
    </row>
    <row r="7210" spans="1:18" hidden="1" x14ac:dyDescent="0.3">
      <c r="A7210" s="9" t="s">
        <v>21486</v>
      </c>
      <c r="B7210" s="9" t="s">
        <v>21487</v>
      </c>
      <c r="C7210" s="11" t="s">
        <v>28</v>
      </c>
      <c r="D7210" s="9" t="s">
        <v>21488</v>
      </c>
      <c r="E7210" s="11" t="s">
        <v>28</v>
      </c>
      <c r="F7210" s="10" t="s">
        <v>28</v>
      </c>
      <c r="G7210" s="10" t="s">
        <v>28</v>
      </c>
      <c r="H7210" s="10" t="s">
        <v>28</v>
      </c>
      <c r="I7210" s="11" t="s">
        <v>28</v>
      </c>
      <c r="J7210" s="11" t="s">
        <v>28</v>
      </c>
      <c r="K7210" s="11" t="s">
        <v>28</v>
      </c>
      <c r="L7210" s="11" t="s">
        <v>28</v>
      </c>
      <c r="M7210" s="11" t="s">
        <v>28</v>
      </c>
      <c r="N7210" s="8">
        <v>43483</v>
      </c>
      <c r="O7210" s="9" t="s">
        <v>30</v>
      </c>
      <c r="P7210" s="12" t="s">
        <v>21489</v>
      </c>
      <c r="Q7210" s="9" t="s">
        <v>75</v>
      </c>
      <c r="R7210" s="14" t="str">
        <f>HYPERLINK("https://my.pitchbook.com?c=130600-81T","View Company Online")</f>
        <v>View Company Online</v>
      </c>
    </row>
    <row r="7211" spans="1:18" hidden="1" x14ac:dyDescent="0.3">
      <c r="A7211" s="15" t="s">
        <v>21490</v>
      </c>
      <c r="B7211" s="15" t="s">
        <v>21491</v>
      </c>
      <c r="C7211" s="18" t="s">
        <v>28</v>
      </c>
      <c r="D7211" s="15" t="s">
        <v>21492</v>
      </c>
      <c r="E7211" s="18" t="s">
        <v>28</v>
      </c>
      <c r="F7211" s="19" t="s">
        <v>28</v>
      </c>
      <c r="G7211" s="19" t="s">
        <v>28</v>
      </c>
      <c r="H7211" s="19" t="s">
        <v>28</v>
      </c>
      <c r="I7211" s="18" t="s">
        <v>28</v>
      </c>
      <c r="J7211" s="18" t="s">
        <v>28</v>
      </c>
      <c r="K7211" s="18" t="s">
        <v>28</v>
      </c>
      <c r="L7211" s="18" t="s">
        <v>28</v>
      </c>
      <c r="M7211" s="18" t="s">
        <v>28</v>
      </c>
      <c r="N7211" s="17">
        <v>43482</v>
      </c>
      <c r="O7211" s="15" t="s">
        <v>41</v>
      </c>
      <c r="P7211" s="16" t="s">
        <v>21493</v>
      </c>
      <c r="Q7211" s="15" t="s">
        <v>4670</v>
      </c>
      <c r="R7211" s="13" t="str">
        <f>HYPERLINK("https://my.pitchbook.com?c=115611-31T","View Company Online")</f>
        <v>View Company Online</v>
      </c>
    </row>
    <row r="7212" spans="1:18" hidden="1" x14ac:dyDescent="0.3">
      <c r="A7212" s="9" t="s">
        <v>21494</v>
      </c>
      <c r="B7212" s="9" t="s">
        <v>21495</v>
      </c>
      <c r="C7212" s="11" t="s">
        <v>28</v>
      </c>
      <c r="D7212" s="9" t="s">
        <v>21496</v>
      </c>
      <c r="E7212" s="11" t="s">
        <v>28</v>
      </c>
      <c r="F7212" s="10" t="s">
        <v>28</v>
      </c>
      <c r="G7212" s="10" t="s">
        <v>28</v>
      </c>
      <c r="H7212" s="10" t="s">
        <v>28</v>
      </c>
      <c r="I7212" s="11" t="s">
        <v>28</v>
      </c>
      <c r="J7212" s="11" t="s">
        <v>28</v>
      </c>
      <c r="K7212" s="11" t="s">
        <v>28</v>
      </c>
      <c r="L7212" s="11" t="s">
        <v>28</v>
      </c>
      <c r="M7212" s="11" t="s">
        <v>28</v>
      </c>
      <c r="N7212" s="8">
        <v>43481</v>
      </c>
      <c r="O7212" s="9" t="s">
        <v>52</v>
      </c>
      <c r="P7212" s="12" t="s">
        <v>5531</v>
      </c>
      <c r="Q7212" s="9" t="s">
        <v>37</v>
      </c>
      <c r="R7212" s="14" t="str">
        <f>HYPERLINK("https://my.pitchbook.com?c=126511-30T","View Company Online")</f>
        <v>View Company Online</v>
      </c>
    </row>
    <row r="7213" spans="1:18" hidden="1" x14ac:dyDescent="0.3">
      <c r="A7213" s="15" t="s">
        <v>21497</v>
      </c>
      <c r="B7213" s="15" t="s">
        <v>21498</v>
      </c>
      <c r="C7213" s="18" t="s">
        <v>28</v>
      </c>
      <c r="D7213" s="15" t="s">
        <v>21499</v>
      </c>
      <c r="E7213" s="18" t="s">
        <v>28</v>
      </c>
      <c r="F7213" s="19" t="s">
        <v>28</v>
      </c>
      <c r="G7213" s="19" t="s">
        <v>28</v>
      </c>
      <c r="H7213" s="19" t="s">
        <v>28</v>
      </c>
      <c r="I7213" s="18" t="s">
        <v>28</v>
      </c>
      <c r="J7213" s="18" t="s">
        <v>28</v>
      </c>
      <c r="K7213" s="18" t="s">
        <v>28</v>
      </c>
      <c r="L7213" s="18" t="s">
        <v>28</v>
      </c>
      <c r="M7213" s="18" t="s">
        <v>28</v>
      </c>
      <c r="N7213" s="17">
        <v>43481</v>
      </c>
      <c r="O7213" s="15" t="s">
        <v>30</v>
      </c>
      <c r="P7213" s="16" t="s">
        <v>9649</v>
      </c>
      <c r="Q7213" s="15" t="s">
        <v>75</v>
      </c>
      <c r="R7213" s="13" t="str">
        <f>HYPERLINK("https://my.pitchbook.com?c=117176-68T","View Company Online")</f>
        <v>View Company Online</v>
      </c>
    </row>
    <row r="7214" spans="1:18" x14ac:dyDescent="0.3">
      <c r="A7214" s="9" t="s">
        <v>21500</v>
      </c>
      <c r="B7214" s="9" t="s">
        <v>21501</v>
      </c>
      <c r="C7214" s="11">
        <v>6.94</v>
      </c>
      <c r="D7214" s="9" t="s">
        <v>21502</v>
      </c>
      <c r="E7214" s="11">
        <v>1352.49</v>
      </c>
      <c r="F7214" s="10">
        <v>14399.88</v>
      </c>
      <c r="G7214" s="10">
        <v>9358.43</v>
      </c>
      <c r="H7214" s="10">
        <v>15997.32</v>
      </c>
      <c r="I7214" s="11">
        <v>2073.92</v>
      </c>
      <c r="J7214" s="11">
        <v>7.71</v>
      </c>
      <c r="K7214" s="11">
        <v>4997.3999999999996</v>
      </c>
      <c r="L7214" s="11">
        <v>3.2</v>
      </c>
      <c r="M7214" s="11">
        <v>835.04</v>
      </c>
      <c r="N7214" s="8">
        <v>43479</v>
      </c>
      <c r="O7214" s="9" t="s">
        <v>30</v>
      </c>
      <c r="P7214" s="12" t="s">
        <v>10073</v>
      </c>
      <c r="Q7214" s="9" t="s">
        <v>5633</v>
      </c>
      <c r="R7214" s="14" t="str">
        <f>HYPERLINK("https://my.pitchbook.com?c=101878-93T","View Company Online")</f>
        <v>View Company Online</v>
      </c>
    </row>
    <row r="7215" spans="1:18" hidden="1" x14ac:dyDescent="0.3">
      <c r="A7215" s="15" t="s">
        <v>21503</v>
      </c>
      <c r="B7215" s="15" t="s">
        <v>5345</v>
      </c>
      <c r="C7215" s="18" t="s">
        <v>28</v>
      </c>
      <c r="D7215" s="15" t="s">
        <v>5346</v>
      </c>
      <c r="E7215" s="18" t="s">
        <v>28</v>
      </c>
      <c r="F7215" s="19" t="s">
        <v>28</v>
      </c>
      <c r="G7215" s="19">
        <v>200</v>
      </c>
      <c r="H7215" s="19" t="s">
        <v>28</v>
      </c>
      <c r="I7215" s="18" t="s">
        <v>28</v>
      </c>
      <c r="J7215" s="18" t="s">
        <v>28</v>
      </c>
      <c r="K7215" s="18" t="s">
        <v>28</v>
      </c>
      <c r="L7215" s="18" t="s">
        <v>28</v>
      </c>
      <c r="M7215" s="18" t="s">
        <v>28</v>
      </c>
      <c r="N7215" s="17">
        <v>43479</v>
      </c>
      <c r="O7215" s="15" t="s">
        <v>93</v>
      </c>
      <c r="P7215" s="16" t="s">
        <v>28</v>
      </c>
      <c r="Q7215" s="15" t="s">
        <v>5347</v>
      </c>
      <c r="R7215" s="13" t="str">
        <f>HYPERLINK("https://my.pitchbook.com?c=115504-48T","View Company Online")</f>
        <v>View Company Online</v>
      </c>
    </row>
    <row r="7216" spans="1:18" hidden="1" x14ac:dyDescent="0.3">
      <c r="A7216" s="9" t="s">
        <v>21504</v>
      </c>
      <c r="B7216" s="9" t="s">
        <v>5171</v>
      </c>
      <c r="C7216" s="11" t="s">
        <v>28</v>
      </c>
      <c r="D7216" s="9" t="s">
        <v>5172</v>
      </c>
      <c r="E7216" s="11" t="s">
        <v>28</v>
      </c>
      <c r="F7216" s="10" t="s">
        <v>28</v>
      </c>
      <c r="G7216" s="10">
        <v>2.4</v>
      </c>
      <c r="H7216" s="10" t="s">
        <v>28</v>
      </c>
      <c r="I7216" s="11" t="s">
        <v>28</v>
      </c>
      <c r="J7216" s="11" t="s">
        <v>28</v>
      </c>
      <c r="K7216" s="11" t="s">
        <v>28</v>
      </c>
      <c r="L7216" s="11" t="s">
        <v>28</v>
      </c>
      <c r="M7216" s="11" t="s">
        <v>28</v>
      </c>
      <c r="N7216" s="8">
        <v>43477</v>
      </c>
      <c r="O7216" s="9" t="s">
        <v>99</v>
      </c>
      <c r="P7216" s="12" t="s">
        <v>21505</v>
      </c>
      <c r="Q7216" s="9" t="s">
        <v>37</v>
      </c>
      <c r="R7216" s="14" t="str">
        <f>HYPERLINK("https://my.pitchbook.com?c=168438-70T","View Company Online")</f>
        <v>View Company Online</v>
      </c>
    </row>
    <row r="7217" spans="1:18" hidden="1" x14ac:dyDescent="0.3">
      <c r="A7217" s="15" t="s">
        <v>21506</v>
      </c>
      <c r="B7217" s="15" t="s">
        <v>5171</v>
      </c>
      <c r="C7217" s="18" t="s">
        <v>28</v>
      </c>
      <c r="D7217" s="15" t="s">
        <v>5172</v>
      </c>
      <c r="E7217" s="18" t="s">
        <v>28</v>
      </c>
      <c r="F7217" s="19" t="s">
        <v>28</v>
      </c>
      <c r="G7217" s="19">
        <v>0.1</v>
      </c>
      <c r="H7217" s="19" t="s">
        <v>28</v>
      </c>
      <c r="I7217" s="18" t="s">
        <v>28</v>
      </c>
      <c r="J7217" s="18" t="s">
        <v>28</v>
      </c>
      <c r="K7217" s="18" t="s">
        <v>28</v>
      </c>
      <c r="L7217" s="18" t="s">
        <v>28</v>
      </c>
      <c r="M7217" s="18" t="s">
        <v>28</v>
      </c>
      <c r="N7217" s="17">
        <v>43477</v>
      </c>
      <c r="O7217" s="15" t="s">
        <v>99</v>
      </c>
      <c r="P7217" s="16" t="s">
        <v>5134</v>
      </c>
      <c r="Q7217" s="15" t="s">
        <v>37</v>
      </c>
      <c r="R7217" s="13" t="str">
        <f>HYPERLINK("https://my.pitchbook.com?c=168439-24T","View Company Online")</f>
        <v>View Company Online</v>
      </c>
    </row>
    <row r="7218" spans="1:18" hidden="1" x14ac:dyDescent="0.3">
      <c r="A7218" s="9" t="s">
        <v>21507</v>
      </c>
      <c r="B7218" s="9" t="s">
        <v>21508</v>
      </c>
      <c r="C7218" s="11" t="s">
        <v>28</v>
      </c>
      <c r="D7218" s="9" t="s">
        <v>21509</v>
      </c>
      <c r="E7218" s="11" t="s">
        <v>28</v>
      </c>
      <c r="F7218" s="10" t="s">
        <v>28</v>
      </c>
      <c r="G7218" s="10" t="s">
        <v>28</v>
      </c>
      <c r="H7218" s="10" t="s">
        <v>28</v>
      </c>
      <c r="I7218" s="11" t="s">
        <v>28</v>
      </c>
      <c r="J7218" s="11" t="s">
        <v>28</v>
      </c>
      <c r="K7218" s="11" t="s">
        <v>28</v>
      </c>
      <c r="L7218" s="11" t="s">
        <v>28</v>
      </c>
      <c r="M7218" s="11" t="s">
        <v>28</v>
      </c>
      <c r="N7218" s="8">
        <v>43476</v>
      </c>
      <c r="O7218" s="9" t="s">
        <v>52</v>
      </c>
      <c r="P7218" s="12" t="s">
        <v>21510</v>
      </c>
      <c r="Q7218" s="9" t="s">
        <v>75</v>
      </c>
      <c r="R7218" s="14" t="str">
        <f>HYPERLINK("https://my.pitchbook.com?c=137318-50T","View Company Online")</f>
        <v>View Company Online</v>
      </c>
    </row>
    <row r="7219" spans="1:18" hidden="1" x14ac:dyDescent="0.3">
      <c r="A7219" s="15" t="s">
        <v>21511</v>
      </c>
      <c r="B7219" s="15" t="s">
        <v>21512</v>
      </c>
      <c r="C7219" s="18" t="s">
        <v>28</v>
      </c>
      <c r="D7219" s="15" t="s">
        <v>21513</v>
      </c>
      <c r="E7219" s="18" t="s">
        <v>28</v>
      </c>
      <c r="F7219" s="19">
        <v>22.1</v>
      </c>
      <c r="G7219" s="19">
        <v>22.1</v>
      </c>
      <c r="H7219" s="19">
        <v>22.1</v>
      </c>
      <c r="I7219" s="18" t="s">
        <v>28</v>
      </c>
      <c r="J7219" s="18" t="s">
        <v>28</v>
      </c>
      <c r="K7219" s="18">
        <v>20</v>
      </c>
      <c r="L7219" s="18">
        <v>1.1100000000000001</v>
      </c>
      <c r="M7219" s="18" t="s">
        <v>28</v>
      </c>
      <c r="N7219" s="17">
        <v>43475</v>
      </c>
      <c r="O7219" s="15" t="s">
        <v>30</v>
      </c>
      <c r="P7219" s="16" t="s">
        <v>21514</v>
      </c>
      <c r="Q7219" s="15" t="s">
        <v>1007</v>
      </c>
      <c r="R7219" s="13" t="str">
        <f>HYPERLINK("https://my.pitchbook.com?c=117392-23T","View Company Online")</f>
        <v>View Company Online</v>
      </c>
    </row>
    <row r="7220" spans="1:18" hidden="1" x14ac:dyDescent="0.3">
      <c r="A7220" s="9" t="s">
        <v>21515</v>
      </c>
      <c r="B7220" s="9" t="s">
        <v>5951</v>
      </c>
      <c r="C7220" s="11" t="s">
        <v>28</v>
      </c>
      <c r="D7220" s="9" t="s">
        <v>5952</v>
      </c>
      <c r="E7220" s="11" t="s">
        <v>28</v>
      </c>
      <c r="F7220" s="10" t="s">
        <v>28</v>
      </c>
      <c r="G7220" s="10">
        <v>0.05</v>
      </c>
      <c r="H7220" s="10" t="s">
        <v>28</v>
      </c>
      <c r="I7220" s="11" t="s">
        <v>28</v>
      </c>
      <c r="J7220" s="11" t="s">
        <v>28</v>
      </c>
      <c r="K7220" s="11" t="s">
        <v>28</v>
      </c>
      <c r="L7220" s="11" t="s">
        <v>28</v>
      </c>
      <c r="M7220" s="11" t="s">
        <v>28</v>
      </c>
      <c r="N7220" s="8">
        <v>43475</v>
      </c>
      <c r="O7220" s="9" t="s">
        <v>99</v>
      </c>
      <c r="P7220" s="12" t="s">
        <v>21516</v>
      </c>
      <c r="Q7220" s="9" t="s">
        <v>75</v>
      </c>
      <c r="R7220" s="14" t="str">
        <f>HYPERLINK("https://my.pitchbook.com?c=168974-29T","View Company Online")</f>
        <v>View Company Online</v>
      </c>
    </row>
    <row r="7221" spans="1:18" hidden="1" x14ac:dyDescent="0.3">
      <c r="A7221" s="15" t="s">
        <v>21517</v>
      </c>
      <c r="B7221" s="15" t="s">
        <v>21518</v>
      </c>
      <c r="C7221" s="18" t="s">
        <v>28</v>
      </c>
      <c r="D7221" s="15" t="s">
        <v>21519</v>
      </c>
      <c r="E7221" s="18" t="s">
        <v>28</v>
      </c>
      <c r="F7221" s="19" t="s">
        <v>28</v>
      </c>
      <c r="G7221" s="19" t="s">
        <v>28</v>
      </c>
      <c r="H7221" s="19" t="s">
        <v>28</v>
      </c>
      <c r="I7221" s="18" t="s">
        <v>28</v>
      </c>
      <c r="J7221" s="18" t="s">
        <v>28</v>
      </c>
      <c r="K7221" s="18" t="s">
        <v>28</v>
      </c>
      <c r="L7221" s="18" t="s">
        <v>28</v>
      </c>
      <c r="M7221" s="18" t="s">
        <v>28</v>
      </c>
      <c r="N7221" s="17">
        <v>43474</v>
      </c>
      <c r="O7221" s="15" t="s">
        <v>30</v>
      </c>
      <c r="P7221" s="16" t="s">
        <v>21520</v>
      </c>
      <c r="Q7221" s="15" t="s">
        <v>880</v>
      </c>
      <c r="R7221" s="13" t="str">
        <f>HYPERLINK("https://my.pitchbook.com?c=191788-93T","View Company Online")</f>
        <v>View Company Online</v>
      </c>
    </row>
    <row r="7222" spans="1:18" hidden="1" x14ac:dyDescent="0.3">
      <c r="A7222" s="9" t="s">
        <v>21521</v>
      </c>
      <c r="B7222" s="9" t="s">
        <v>20155</v>
      </c>
      <c r="C7222" s="11" t="s">
        <v>28</v>
      </c>
      <c r="D7222" s="9" t="s">
        <v>20156</v>
      </c>
      <c r="E7222" s="11" t="s">
        <v>28</v>
      </c>
      <c r="F7222" s="10" t="s">
        <v>28</v>
      </c>
      <c r="G7222" s="10">
        <v>7.0000000000000007E-2</v>
      </c>
      <c r="H7222" s="10" t="s">
        <v>28</v>
      </c>
      <c r="I7222" s="11" t="s">
        <v>28</v>
      </c>
      <c r="J7222" s="11" t="s">
        <v>28</v>
      </c>
      <c r="K7222" s="11" t="s">
        <v>28</v>
      </c>
      <c r="L7222" s="11" t="s">
        <v>28</v>
      </c>
      <c r="M7222" s="11" t="s">
        <v>28</v>
      </c>
      <c r="N7222" s="8">
        <v>43473</v>
      </c>
      <c r="O7222" s="9" t="s">
        <v>47</v>
      </c>
      <c r="P7222" s="12" t="s">
        <v>21522</v>
      </c>
      <c r="Q7222" s="9" t="s">
        <v>136</v>
      </c>
      <c r="R7222" s="14" t="str">
        <f>HYPERLINK("https://my.pitchbook.com?c=129513-07T","View Company Online")</f>
        <v>View Company Online</v>
      </c>
    </row>
    <row r="7223" spans="1:18" hidden="1" x14ac:dyDescent="0.3">
      <c r="A7223" s="15" t="s">
        <v>21523</v>
      </c>
      <c r="B7223" s="15" t="s">
        <v>257</v>
      </c>
      <c r="C7223" s="18" t="s">
        <v>28</v>
      </c>
      <c r="D7223" s="15" t="s">
        <v>258</v>
      </c>
      <c r="E7223" s="18" t="s">
        <v>28</v>
      </c>
      <c r="F7223" s="19" t="s">
        <v>28</v>
      </c>
      <c r="G7223" s="19">
        <v>0.12</v>
      </c>
      <c r="H7223" s="19" t="s">
        <v>28</v>
      </c>
      <c r="I7223" s="18" t="s">
        <v>28</v>
      </c>
      <c r="J7223" s="18" t="s">
        <v>28</v>
      </c>
      <c r="K7223" s="18" t="s">
        <v>28</v>
      </c>
      <c r="L7223" s="18" t="s">
        <v>28</v>
      </c>
      <c r="M7223" s="18" t="s">
        <v>28</v>
      </c>
      <c r="N7223" s="17">
        <v>43473</v>
      </c>
      <c r="O7223" s="15" t="s">
        <v>52</v>
      </c>
      <c r="P7223" s="16" t="s">
        <v>221</v>
      </c>
      <c r="Q7223" s="15" t="s">
        <v>75</v>
      </c>
      <c r="R7223" s="13" t="str">
        <f>HYPERLINK("https://my.pitchbook.com?c=215389-27T","View Company Online")</f>
        <v>View Company Online</v>
      </c>
    </row>
    <row r="7224" spans="1:18" hidden="1" x14ac:dyDescent="0.3">
      <c r="A7224" s="9" t="s">
        <v>21524</v>
      </c>
      <c r="B7224" s="9" t="s">
        <v>21525</v>
      </c>
      <c r="C7224" s="11" t="s">
        <v>28</v>
      </c>
      <c r="D7224" s="9" t="s">
        <v>21526</v>
      </c>
      <c r="E7224" s="11" t="s">
        <v>28</v>
      </c>
      <c r="F7224" s="10" t="s">
        <v>28</v>
      </c>
      <c r="G7224" s="10" t="s">
        <v>28</v>
      </c>
      <c r="H7224" s="10" t="s">
        <v>28</v>
      </c>
      <c r="I7224" s="11" t="s">
        <v>28</v>
      </c>
      <c r="J7224" s="11" t="s">
        <v>28</v>
      </c>
      <c r="K7224" s="11" t="s">
        <v>28</v>
      </c>
      <c r="L7224" s="11" t="s">
        <v>28</v>
      </c>
      <c r="M7224" s="11" t="s">
        <v>28</v>
      </c>
      <c r="N7224" s="8">
        <v>43472</v>
      </c>
      <c r="O7224" s="9" t="s">
        <v>41</v>
      </c>
      <c r="P7224" s="12" t="s">
        <v>21527</v>
      </c>
      <c r="Q7224" s="9" t="s">
        <v>75</v>
      </c>
      <c r="R7224" s="14" t="str">
        <f>HYPERLINK("https://my.pitchbook.com?c=115840-72T","View Company Online")</f>
        <v>View Company Online</v>
      </c>
    </row>
    <row r="7225" spans="1:18" hidden="1" x14ac:dyDescent="0.3">
      <c r="A7225" s="15" t="s">
        <v>21528</v>
      </c>
      <c r="B7225" s="15" t="s">
        <v>21529</v>
      </c>
      <c r="C7225" s="18" t="s">
        <v>28</v>
      </c>
      <c r="D7225" s="15" t="s">
        <v>21530</v>
      </c>
      <c r="E7225" s="18" t="s">
        <v>28</v>
      </c>
      <c r="F7225" s="19" t="s">
        <v>28</v>
      </c>
      <c r="G7225" s="19">
        <v>0.26</v>
      </c>
      <c r="H7225" s="19" t="s">
        <v>28</v>
      </c>
      <c r="I7225" s="18" t="s">
        <v>28</v>
      </c>
      <c r="J7225" s="18" t="s">
        <v>28</v>
      </c>
      <c r="K7225" s="18" t="s">
        <v>28</v>
      </c>
      <c r="L7225" s="18" t="s">
        <v>28</v>
      </c>
      <c r="M7225" s="18" t="s">
        <v>28</v>
      </c>
      <c r="N7225" s="17">
        <v>43472</v>
      </c>
      <c r="O7225" s="15" t="s">
        <v>52</v>
      </c>
      <c r="P7225" s="16" t="s">
        <v>3097</v>
      </c>
      <c r="Q7225" s="15" t="s">
        <v>37</v>
      </c>
      <c r="R7225" s="13" t="str">
        <f>HYPERLINK("https://my.pitchbook.com?c=125342-65T","View Company Online")</f>
        <v>View Company Online</v>
      </c>
    </row>
    <row r="7226" spans="1:18" hidden="1" x14ac:dyDescent="0.3">
      <c r="A7226" s="9" t="s">
        <v>21531</v>
      </c>
      <c r="B7226" s="9" t="s">
        <v>21532</v>
      </c>
      <c r="C7226" s="11" t="s">
        <v>28</v>
      </c>
      <c r="D7226" s="9" t="s">
        <v>21533</v>
      </c>
      <c r="E7226" s="11" t="s">
        <v>28</v>
      </c>
      <c r="F7226" s="10" t="s">
        <v>28</v>
      </c>
      <c r="G7226" s="10" t="s">
        <v>28</v>
      </c>
      <c r="H7226" s="10" t="s">
        <v>28</v>
      </c>
      <c r="I7226" s="11" t="s">
        <v>28</v>
      </c>
      <c r="J7226" s="11" t="s">
        <v>28</v>
      </c>
      <c r="K7226" s="11">
        <v>1.1000000000000001</v>
      </c>
      <c r="L7226" s="11" t="s">
        <v>28</v>
      </c>
      <c r="M7226" s="11" t="s">
        <v>28</v>
      </c>
      <c r="N7226" s="8">
        <v>43470</v>
      </c>
      <c r="O7226" s="9" t="s">
        <v>73</v>
      </c>
      <c r="P7226" s="12" t="s">
        <v>28</v>
      </c>
      <c r="Q7226" s="9" t="s">
        <v>75</v>
      </c>
      <c r="R7226" s="14" t="str">
        <f>HYPERLINK("https://my.pitchbook.com?c=126497-26T","View Company Online")</f>
        <v>View Company Online</v>
      </c>
    </row>
    <row r="7227" spans="1:18" hidden="1" x14ac:dyDescent="0.3">
      <c r="A7227" s="15" t="s">
        <v>21534</v>
      </c>
      <c r="B7227" s="15" t="s">
        <v>8475</v>
      </c>
      <c r="C7227" s="18" t="s">
        <v>28</v>
      </c>
      <c r="D7227" s="15" t="s">
        <v>8476</v>
      </c>
      <c r="E7227" s="18" t="s">
        <v>28</v>
      </c>
      <c r="F7227" s="19" t="s">
        <v>28</v>
      </c>
      <c r="G7227" s="19" t="s">
        <v>28</v>
      </c>
      <c r="H7227" s="19" t="s">
        <v>28</v>
      </c>
      <c r="I7227" s="18" t="s">
        <v>28</v>
      </c>
      <c r="J7227" s="18" t="s">
        <v>28</v>
      </c>
      <c r="K7227" s="18" t="s">
        <v>28</v>
      </c>
      <c r="L7227" s="18" t="s">
        <v>28</v>
      </c>
      <c r="M7227" s="18" t="s">
        <v>28</v>
      </c>
      <c r="N7227" s="17">
        <v>43469</v>
      </c>
      <c r="O7227" s="15" t="s">
        <v>99</v>
      </c>
      <c r="P7227" s="16" t="s">
        <v>28</v>
      </c>
      <c r="Q7227" s="15" t="s">
        <v>37</v>
      </c>
      <c r="R7227" s="13" t="str">
        <f>HYPERLINK("https://my.pitchbook.com?c=209724-85T","View Company Online")</f>
        <v>View Company Online</v>
      </c>
    </row>
    <row r="7228" spans="1:18" hidden="1" x14ac:dyDescent="0.3">
      <c r="A7228" s="9" t="s">
        <v>21535</v>
      </c>
      <c r="B7228" s="9" t="s">
        <v>18892</v>
      </c>
      <c r="C7228" s="11" t="s">
        <v>28</v>
      </c>
      <c r="D7228" s="9" t="s">
        <v>18893</v>
      </c>
      <c r="E7228" s="11" t="s">
        <v>28</v>
      </c>
      <c r="F7228" s="10" t="s">
        <v>28</v>
      </c>
      <c r="G7228" s="10" t="s">
        <v>28</v>
      </c>
      <c r="H7228" s="10" t="s">
        <v>28</v>
      </c>
      <c r="I7228" s="11" t="s">
        <v>28</v>
      </c>
      <c r="J7228" s="11" t="s">
        <v>28</v>
      </c>
      <c r="K7228" s="11" t="s">
        <v>28</v>
      </c>
      <c r="L7228" s="11" t="s">
        <v>28</v>
      </c>
      <c r="M7228" s="11" t="s">
        <v>28</v>
      </c>
      <c r="N7228" s="8">
        <v>43469</v>
      </c>
      <c r="O7228" s="9" t="s">
        <v>73</v>
      </c>
      <c r="P7228" s="12" t="s">
        <v>11808</v>
      </c>
      <c r="Q7228" s="9" t="s">
        <v>75</v>
      </c>
      <c r="R7228" s="14" t="str">
        <f>HYPERLINK("https://my.pitchbook.com?c=133145-92T","View Company Online")</f>
        <v>View Company Online</v>
      </c>
    </row>
    <row r="7229" spans="1:18" hidden="1" x14ac:dyDescent="0.3">
      <c r="A7229" s="15" t="s">
        <v>21536</v>
      </c>
      <c r="B7229" s="15" t="s">
        <v>21537</v>
      </c>
      <c r="C7229" s="18" t="s">
        <v>28</v>
      </c>
      <c r="D7229" s="15" t="s">
        <v>21538</v>
      </c>
      <c r="E7229" s="18" t="s">
        <v>28</v>
      </c>
      <c r="F7229" s="19">
        <v>134</v>
      </c>
      <c r="G7229" s="19">
        <v>134</v>
      </c>
      <c r="H7229" s="19">
        <v>134</v>
      </c>
      <c r="I7229" s="18" t="s">
        <v>28</v>
      </c>
      <c r="J7229" s="18" t="s">
        <v>28</v>
      </c>
      <c r="K7229" s="18" t="s">
        <v>28</v>
      </c>
      <c r="L7229" s="18" t="s">
        <v>28</v>
      </c>
      <c r="M7229" s="18" t="s">
        <v>28</v>
      </c>
      <c r="N7229" s="17">
        <v>43469</v>
      </c>
      <c r="O7229" s="15" t="s">
        <v>30</v>
      </c>
      <c r="P7229" s="16" t="s">
        <v>21539</v>
      </c>
      <c r="Q7229" s="15" t="s">
        <v>114</v>
      </c>
      <c r="R7229" s="13" t="str">
        <f>HYPERLINK("https://my.pitchbook.com?c=99919-09T","View Company Online")</f>
        <v>View Company Online</v>
      </c>
    </row>
    <row r="7230" spans="1:18" hidden="1" x14ac:dyDescent="0.3">
      <c r="A7230" s="9" t="s">
        <v>21540</v>
      </c>
      <c r="B7230" s="9" t="s">
        <v>21541</v>
      </c>
      <c r="C7230" s="11" t="s">
        <v>28</v>
      </c>
      <c r="D7230" s="9" t="s">
        <v>21542</v>
      </c>
      <c r="E7230" s="11" t="s">
        <v>28</v>
      </c>
      <c r="F7230" s="10" t="s">
        <v>28</v>
      </c>
      <c r="G7230" s="10" t="s">
        <v>28</v>
      </c>
      <c r="H7230" s="10" t="s">
        <v>28</v>
      </c>
      <c r="I7230" s="11" t="s">
        <v>28</v>
      </c>
      <c r="J7230" s="11" t="s">
        <v>28</v>
      </c>
      <c r="K7230" s="11" t="s">
        <v>28</v>
      </c>
      <c r="L7230" s="11" t="s">
        <v>28</v>
      </c>
      <c r="M7230" s="11" t="s">
        <v>28</v>
      </c>
      <c r="N7230" s="8">
        <v>43468</v>
      </c>
      <c r="O7230" s="9" t="s">
        <v>173</v>
      </c>
      <c r="P7230" s="12" t="s">
        <v>28</v>
      </c>
      <c r="Q7230" s="9" t="s">
        <v>174</v>
      </c>
      <c r="R7230" s="14" t="str">
        <f>HYPERLINK("https://my.pitchbook.com?c=227523-07T","View Company Online")</f>
        <v>View Company Online</v>
      </c>
    </row>
    <row r="7231" spans="1:18" hidden="1" x14ac:dyDescent="0.3">
      <c r="A7231" s="15" t="s">
        <v>21543</v>
      </c>
      <c r="B7231" s="15" t="s">
        <v>21544</v>
      </c>
      <c r="C7231" s="18" t="s">
        <v>28</v>
      </c>
      <c r="D7231" s="15" t="s">
        <v>21545</v>
      </c>
      <c r="E7231" s="18" t="s">
        <v>28</v>
      </c>
      <c r="F7231" s="19" t="s">
        <v>28</v>
      </c>
      <c r="G7231" s="19" t="s">
        <v>28</v>
      </c>
      <c r="H7231" s="19" t="s">
        <v>28</v>
      </c>
      <c r="I7231" s="18" t="s">
        <v>28</v>
      </c>
      <c r="J7231" s="18" t="s">
        <v>28</v>
      </c>
      <c r="K7231" s="18">
        <v>23.06</v>
      </c>
      <c r="L7231" s="18" t="s">
        <v>28</v>
      </c>
      <c r="M7231" s="18" t="s">
        <v>28</v>
      </c>
      <c r="N7231" s="17">
        <v>43467</v>
      </c>
      <c r="O7231" s="15" t="s">
        <v>30</v>
      </c>
      <c r="P7231" s="16" t="s">
        <v>16211</v>
      </c>
      <c r="Q7231" s="15" t="s">
        <v>245</v>
      </c>
      <c r="R7231" s="13" t="str">
        <f>HYPERLINK("https://my.pitchbook.com?c=115197-49T","View Company Online")</f>
        <v>View Company Online</v>
      </c>
    </row>
    <row r="7232" spans="1:18" hidden="1" x14ac:dyDescent="0.3">
      <c r="A7232" s="9" t="s">
        <v>21546</v>
      </c>
      <c r="B7232" s="9" t="s">
        <v>6031</v>
      </c>
      <c r="C7232" s="11" t="s">
        <v>28</v>
      </c>
      <c r="D7232" s="9" t="s">
        <v>6032</v>
      </c>
      <c r="E7232" s="11" t="s">
        <v>28</v>
      </c>
      <c r="F7232" s="10" t="s">
        <v>28</v>
      </c>
      <c r="G7232" s="10" t="s">
        <v>28</v>
      </c>
      <c r="H7232" s="10" t="s">
        <v>28</v>
      </c>
      <c r="I7232" s="11" t="s">
        <v>28</v>
      </c>
      <c r="J7232" s="11" t="s">
        <v>28</v>
      </c>
      <c r="K7232" s="11" t="s">
        <v>28</v>
      </c>
      <c r="L7232" s="11" t="s">
        <v>28</v>
      </c>
      <c r="M7232" s="11" t="s">
        <v>28</v>
      </c>
      <c r="N7232" s="8">
        <v>43467</v>
      </c>
      <c r="O7232" s="9" t="s">
        <v>52</v>
      </c>
      <c r="P7232" s="12" t="s">
        <v>2830</v>
      </c>
      <c r="Q7232" s="9" t="s">
        <v>75</v>
      </c>
      <c r="R7232" s="14" t="str">
        <f>HYPERLINK("https://my.pitchbook.com?c=262866-43T","View Company Online")</f>
        <v>View Company Online</v>
      </c>
    </row>
    <row r="7233" spans="1:18" hidden="1" x14ac:dyDescent="0.3">
      <c r="A7233" s="15" t="s">
        <v>21547</v>
      </c>
      <c r="B7233" s="15" t="s">
        <v>2170</v>
      </c>
      <c r="C7233" s="18" t="s">
        <v>28</v>
      </c>
      <c r="D7233" s="15" t="s">
        <v>2171</v>
      </c>
      <c r="E7233" s="18" t="s">
        <v>28</v>
      </c>
      <c r="F7233" s="19" t="s">
        <v>28</v>
      </c>
      <c r="G7233" s="19" t="s">
        <v>28</v>
      </c>
      <c r="H7233" s="19" t="s">
        <v>28</v>
      </c>
      <c r="I7233" s="18" t="s">
        <v>28</v>
      </c>
      <c r="J7233" s="18" t="s">
        <v>28</v>
      </c>
      <c r="K7233" s="18" t="s">
        <v>28</v>
      </c>
      <c r="L7233" s="18" t="s">
        <v>28</v>
      </c>
      <c r="M7233" s="18" t="s">
        <v>28</v>
      </c>
      <c r="N7233" s="17">
        <v>43466</v>
      </c>
      <c r="O7233" s="15" t="s">
        <v>379</v>
      </c>
      <c r="P7233" s="16" t="s">
        <v>5429</v>
      </c>
      <c r="Q7233" s="15" t="s">
        <v>1336</v>
      </c>
      <c r="R7233" s="13" t="str">
        <f>HYPERLINK("https://my.pitchbook.com?c=215701-12T","View Company Online")</f>
        <v>View Company Online</v>
      </c>
    </row>
    <row r="7234" spans="1:18" hidden="1" x14ac:dyDescent="0.3">
      <c r="A7234" s="9" t="s">
        <v>21548</v>
      </c>
      <c r="B7234" s="9" t="s">
        <v>1958</v>
      </c>
      <c r="C7234" s="11" t="s">
        <v>28</v>
      </c>
      <c r="D7234" s="9" t="s">
        <v>1959</v>
      </c>
      <c r="E7234" s="11" t="s">
        <v>28</v>
      </c>
      <c r="F7234" s="10" t="s">
        <v>28</v>
      </c>
      <c r="G7234" s="10" t="s">
        <v>28</v>
      </c>
      <c r="H7234" s="10" t="s">
        <v>28</v>
      </c>
      <c r="I7234" s="11" t="s">
        <v>28</v>
      </c>
      <c r="J7234" s="11" t="s">
        <v>28</v>
      </c>
      <c r="K7234" s="11" t="s">
        <v>28</v>
      </c>
      <c r="L7234" s="11" t="s">
        <v>28</v>
      </c>
      <c r="M7234" s="11" t="s">
        <v>28</v>
      </c>
      <c r="N7234" s="8">
        <v>43466</v>
      </c>
      <c r="O7234" s="9" t="s">
        <v>52</v>
      </c>
      <c r="P7234" s="12" t="s">
        <v>3375</v>
      </c>
      <c r="Q7234" s="9" t="s">
        <v>37</v>
      </c>
      <c r="R7234" s="14" t="str">
        <f>HYPERLINK("https://my.pitchbook.com?c=212352-94T","View Company Online")</f>
        <v>View Company Online</v>
      </c>
    </row>
    <row r="7235" spans="1:18" hidden="1" x14ac:dyDescent="0.3">
      <c r="A7235" s="15" t="s">
        <v>21549</v>
      </c>
      <c r="B7235" s="15" t="s">
        <v>21550</v>
      </c>
      <c r="C7235" s="18" t="s">
        <v>28</v>
      </c>
      <c r="D7235" s="15" t="s">
        <v>21551</v>
      </c>
      <c r="E7235" s="18" t="s">
        <v>28</v>
      </c>
      <c r="F7235" s="19" t="s">
        <v>28</v>
      </c>
      <c r="G7235" s="19" t="s">
        <v>28</v>
      </c>
      <c r="H7235" s="19" t="s">
        <v>28</v>
      </c>
      <c r="I7235" s="18" t="s">
        <v>28</v>
      </c>
      <c r="J7235" s="18" t="s">
        <v>28</v>
      </c>
      <c r="K7235" s="18" t="s">
        <v>28</v>
      </c>
      <c r="L7235" s="18" t="s">
        <v>28</v>
      </c>
      <c r="M7235" s="18" t="s">
        <v>28</v>
      </c>
      <c r="N7235" s="17">
        <v>43466</v>
      </c>
      <c r="O7235" s="15" t="s">
        <v>52</v>
      </c>
      <c r="P7235" s="16" t="s">
        <v>408</v>
      </c>
      <c r="Q7235" s="15" t="s">
        <v>285</v>
      </c>
      <c r="R7235" s="13" t="str">
        <f>HYPERLINK("https://my.pitchbook.com?c=279395-92T","View Company Online")</f>
        <v>View Company Online</v>
      </c>
    </row>
    <row r="7236" spans="1:18" hidden="1" x14ac:dyDescent="0.3">
      <c r="A7236" s="9" t="s">
        <v>21552</v>
      </c>
      <c r="B7236" s="9" t="s">
        <v>4256</v>
      </c>
      <c r="C7236" s="11" t="s">
        <v>28</v>
      </c>
      <c r="D7236" s="9" t="s">
        <v>4257</v>
      </c>
      <c r="E7236" s="11" t="s">
        <v>28</v>
      </c>
      <c r="F7236" s="10" t="s">
        <v>28</v>
      </c>
      <c r="G7236" s="10">
        <v>0.04</v>
      </c>
      <c r="H7236" s="10" t="s">
        <v>28</v>
      </c>
      <c r="I7236" s="11" t="s">
        <v>28</v>
      </c>
      <c r="J7236" s="11" t="s">
        <v>28</v>
      </c>
      <c r="K7236" s="11" t="s">
        <v>28</v>
      </c>
      <c r="L7236" s="11" t="s">
        <v>28</v>
      </c>
      <c r="M7236" s="11" t="s">
        <v>28</v>
      </c>
      <c r="N7236" s="8">
        <v>43466</v>
      </c>
      <c r="O7236" s="9" t="s">
        <v>52</v>
      </c>
      <c r="P7236" s="12" t="s">
        <v>1792</v>
      </c>
      <c r="Q7236" s="9" t="s">
        <v>75</v>
      </c>
      <c r="R7236" s="14" t="str">
        <f>HYPERLINK("https://my.pitchbook.com?c=138710-71T","View Company Online")</f>
        <v>View Company Online</v>
      </c>
    </row>
    <row r="7237" spans="1:18" hidden="1" x14ac:dyDescent="0.3">
      <c r="A7237" s="15" t="s">
        <v>21553</v>
      </c>
      <c r="B7237" s="15" t="s">
        <v>1962</v>
      </c>
      <c r="C7237" s="18" t="s">
        <v>28</v>
      </c>
      <c r="D7237" s="15" t="s">
        <v>1963</v>
      </c>
      <c r="E7237" s="18" t="s">
        <v>28</v>
      </c>
      <c r="F7237" s="19" t="s">
        <v>28</v>
      </c>
      <c r="G7237" s="19" t="s">
        <v>28</v>
      </c>
      <c r="H7237" s="19" t="s">
        <v>28</v>
      </c>
      <c r="I7237" s="18" t="s">
        <v>28</v>
      </c>
      <c r="J7237" s="18" t="s">
        <v>28</v>
      </c>
      <c r="K7237" s="18" t="s">
        <v>28</v>
      </c>
      <c r="L7237" s="18" t="s">
        <v>28</v>
      </c>
      <c r="M7237" s="18" t="s">
        <v>28</v>
      </c>
      <c r="N7237" s="17">
        <v>43466</v>
      </c>
      <c r="O7237" s="15" t="s">
        <v>52</v>
      </c>
      <c r="P7237" s="16" t="s">
        <v>21554</v>
      </c>
      <c r="Q7237" s="15" t="s">
        <v>1035</v>
      </c>
      <c r="R7237" s="13" t="str">
        <f>HYPERLINK("https://my.pitchbook.com?c=272126-44T","View Company Online")</f>
        <v>View Company Online</v>
      </c>
    </row>
    <row r="7238" spans="1:18" hidden="1" x14ac:dyDescent="0.3">
      <c r="A7238" s="9" t="s">
        <v>21555</v>
      </c>
      <c r="B7238" s="9" t="s">
        <v>17310</v>
      </c>
      <c r="C7238" s="11" t="s">
        <v>28</v>
      </c>
      <c r="D7238" s="9" t="s">
        <v>17311</v>
      </c>
      <c r="E7238" s="11" t="s">
        <v>28</v>
      </c>
      <c r="F7238" s="10" t="s">
        <v>28</v>
      </c>
      <c r="G7238" s="10">
        <v>0.01</v>
      </c>
      <c r="H7238" s="10" t="s">
        <v>28</v>
      </c>
      <c r="I7238" s="11" t="s">
        <v>28</v>
      </c>
      <c r="J7238" s="11" t="s">
        <v>28</v>
      </c>
      <c r="K7238" s="11" t="s">
        <v>28</v>
      </c>
      <c r="L7238" s="11" t="s">
        <v>28</v>
      </c>
      <c r="M7238" s="11" t="s">
        <v>28</v>
      </c>
      <c r="N7238" s="8">
        <v>43466</v>
      </c>
      <c r="O7238" s="9" t="s">
        <v>52</v>
      </c>
      <c r="P7238" s="12" t="s">
        <v>21556</v>
      </c>
      <c r="Q7238" s="9" t="s">
        <v>419</v>
      </c>
      <c r="R7238" s="14" t="str">
        <f>HYPERLINK("https://my.pitchbook.com?c=285706-36T","View Company Online")</f>
        <v>View Company Online</v>
      </c>
    </row>
    <row r="7239" spans="1:18" hidden="1" x14ac:dyDescent="0.3">
      <c r="A7239" s="15" t="s">
        <v>21557</v>
      </c>
      <c r="B7239" s="15" t="s">
        <v>21558</v>
      </c>
      <c r="C7239" s="18" t="s">
        <v>28</v>
      </c>
      <c r="D7239" s="15" t="s">
        <v>21559</v>
      </c>
      <c r="E7239" s="18" t="s">
        <v>28</v>
      </c>
      <c r="F7239" s="19" t="s">
        <v>28</v>
      </c>
      <c r="G7239" s="19" t="s">
        <v>28</v>
      </c>
      <c r="H7239" s="19" t="s">
        <v>28</v>
      </c>
      <c r="I7239" s="18" t="s">
        <v>28</v>
      </c>
      <c r="J7239" s="18" t="s">
        <v>28</v>
      </c>
      <c r="K7239" s="18" t="s">
        <v>28</v>
      </c>
      <c r="L7239" s="18" t="s">
        <v>28</v>
      </c>
      <c r="M7239" s="18" t="s">
        <v>28</v>
      </c>
      <c r="N7239" s="17">
        <v>43466</v>
      </c>
      <c r="O7239" s="15" t="s">
        <v>30</v>
      </c>
      <c r="P7239" s="16" t="s">
        <v>21560</v>
      </c>
      <c r="Q7239" s="15" t="s">
        <v>3048</v>
      </c>
      <c r="R7239" s="13" t="str">
        <f>HYPERLINK("https://my.pitchbook.com?c=216187-84T","View Company Online")</f>
        <v>View Company Online</v>
      </c>
    </row>
    <row r="7240" spans="1:18" hidden="1" x14ac:dyDescent="0.3">
      <c r="A7240" s="9" t="s">
        <v>21561</v>
      </c>
      <c r="B7240" s="9" t="s">
        <v>2972</v>
      </c>
      <c r="C7240" s="11" t="s">
        <v>28</v>
      </c>
      <c r="D7240" s="9" t="s">
        <v>2973</v>
      </c>
      <c r="E7240" s="11" t="s">
        <v>28</v>
      </c>
      <c r="F7240" s="10" t="s">
        <v>28</v>
      </c>
      <c r="G7240" s="10" t="s">
        <v>28</v>
      </c>
      <c r="H7240" s="10" t="s">
        <v>28</v>
      </c>
      <c r="I7240" s="11" t="s">
        <v>28</v>
      </c>
      <c r="J7240" s="11" t="s">
        <v>28</v>
      </c>
      <c r="K7240" s="11" t="s">
        <v>28</v>
      </c>
      <c r="L7240" s="11" t="s">
        <v>28</v>
      </c>
      <c r="M7240" s="11" t="s">
        <v>28</v>
      </c>
      <c r="N7240" s="8">
        <v>43466</v>
      </c>
      <c r="O7240" s="9" t="s">
        <v>52</v>
      </c>
      <c r="P7240" s="12" t="s">
        <v>21562</v>
      </c>
      <c r="Q7240" s="9" t="s">
        <v>119</v>
      </c>
      <c r="R7240" s="14" t="str">
        <f>HYPERLINK("https://my.pitchbook.com?c=287509-24T","View Company Online")</f>
        <v>View Company Online</v>
      </c>
    </row>
    <row r="7241" spans="1:18" hidden="1" x14ac:dyDescent="0.3">
      <c r="A7241" s="15" t="s">
        <v>21563</v>
      </c>
      <c r="B7241" s="15" t="s">
        <v>17821</v>
      </c>
      <c r="C7241" s="18" t="s">
        <v>28</v>
      </c>
      <c r="D7241" s="15" t="s">
        <v>17822</v>
      </c>
      <c r="E7241" s="18" t="s">
        <v>28</v>
      </c>
      <c r="F7241" s="19" t="s">
        <v>28</v>
      </c>
      <c r="G7241" s="19" t="s">
        <v>28</v>
      </c>
      <c r="H7241" s="19" t="s">
        <v>28</v>
      </c>
      <c r="I7241" s="18" t="s">
        <v>28</v>
      </c>
      <c r="J7241" s="18" t="s">
        <v>28</v>
      </c>
      <c r="K7241" s="18" t="s">
        <v>28</v>
      </c>
      <c r="L7241" s="18" t="s">
        <v>28</v>
      </c>
      <c r="M7241" s="18" t="s">
        <v>28</v>
      </c>
      <c r="N7241" s="17">
        <v>43466</v>
      </c>
      <c r="O7241" s="15" t="s">
        <v>1285</v>
      </c>
      <c r="P7241" s="16" t="s">
        <v>21564</v>
      </c>
      <c r="Q7241" s="15" t="s">
        <v>583</v>
      </c>
      <c r="R7241" s="13" t="str">
        <f>HYPERLINK("https://my.pitchbook.com?c=225241-66T","View Company Online")</f>
        <v>View Company Online</v>
      </c>
    </row>
    <row r="7242" spans="1:18" hidden="1" x14ac:dyDescent="0.3">
      <c r="A7242" s="9" t="s">
        <v>21565</v>
      </c>
      <c r="B7242" s="9" t="s">
        <v>21566</v>
      </c>
      <c r="C7242" s="11" t="s">
        <v>28</v>
      </c>
      <c r="D7242" s="9" t="s">
        <v>21567</v>
      </c>
      <c r="E7242" s="11" t="s">
        <v>28</v>
      </c>
      <c r="F7242" s="10" t="s">
        <v>28</v>
      </c>
      <c r="G7242" s="10" t="s">
        <v>28</v>
      </c>
      <c r="H7242" s="10" t="s">
        <v>28</v>
      </c>
      <c r="I7242" s="11" t="s">
        <v>28</v>
      </c>
      <c r="J7242" s="11" t="s">
        <v>28</v>
      </c>
      <c r="K7242" s="11" t="s">
        <v>28</v>
      </c>
      <c r="L7242" s="11" t="s">
        <v>28</v>
      </c>
      <c r="M7242" s="11" t="s">
        <v>28</v>
      </c>
      <c r="N7242" s="8">
        <v>43466</v>
      </c>
      <c r="O7242" s="9" t="s">
        <v>93</v>
      </c>
      <c r="P7242" s="12" t="s">
        <v>8788</v>
      </c>
      <c r="Q7242" s="9" t="s">
        <v>75</v>
      </c>
      <c r="R7242" s="14" t="str">
        <f>HYPERLINK("https://my.pitchbook.com?c=121715-47T","View Company Online")</f>
        <v>View Company Online</v>
      </c>
    </row>
    <row r="7243" spans="1:18" hidden="1" x14ac:dyDescent="0.3">
      <c r="A7243" s="15" t="s">
        <v>21568</v>
      </c>
      <c r="B7243" s="15" t="s">
        <v>21569</v>
      </c>
      <c r="C7243" s="18" t="s">
        <v>28</v>
      </c>
      <c r="D7243" s="15" t="s">
        <v>21570</v>
      </c>
      <c r="E7243" s="18" t="s">
        <v>28</v>
      </c>
      <c r="F7243" s="19" t="s">
        <v>28</v>
      </c>
      <c r="G7243" s="19" t="s">
        <v>28</v>
      </c>
      <c r="H7243" s="19" t="s">
        <v>28</v>
      </c>
      <c r="I7243" s="18" t="s">
        <v>28</v>
      </c>
      <c r="J7243" s="18" t="s">
        <v>28</v>
      </c>
      <c r="K7243" s="18" t="s">
        <v>28</v>
      </c>
      <c r="L7243" s="18" t="s">
        <v>28</v>
      </c>
      <c r="M7243" s="18" t="s">
        <v>28</v>
      </c>
      <c r="N7243" s="17">
        <v>43466</v>
      </c>
      <c r="O7243" s="15" t="s">
        <v>30</v>
      </c>
      <c r="P7243" s="16" t="s">
        <v>3117</v>
      </c>
      <c r="Q7243" s="15" t="s">
        <v>753</v>
      </c>
      <c r="R7243" s="13" t="str">
        <f>HYPERLINK("https://my.pitchbook.com?c=274119-13T","View Company Online")</f>
        <v>View Company Online</v>
      </c>
    </row>
    <row r="7244" spans="1:18" hidden="1" x14ac:dyDescent="0.3">
      <c r="A7244" s="9" t="s">
        <v>21571</v>
      </c>
      <c r="B7244" s="9" t="s">
        <v>21572</v>
      </c>
      <c r="C7244" s="11" t="s">
        <v>28</v>
      </c>
      <c r="D7244" s="9" t="s">
        <v>21573</v>
      </c>
      <c r="E7244" s="11" t="s">
        <v>28</v>
      </c>
      <c r="F7244" s="10" t="s">
        <v>28</v>
      </c>
      <c r="G7244" s="10" t="s">
        <v>28</v>
      </c>
      <c r="H7244" s="10" t="s">
        <v>28</v>
      </c>
      <c r="I7244" s="11" t="s">
        <v>28</v>
      </c>
      <c r="J7244" s="11" t="s">
        <v>28</v>
      </c>
      <c r="K7244" s="11" t="s">
        <v>28</v>
      </c>
      <c r="L7244" s="11" t="s">
        <v>28</v>
      </c>
      <c r="M7244" s="11" t="s">
        <v>28</v>
      </c>
      <c r="N7244" s="8">
        <v>43466</v>
      </c>
      <c r="O7244" s="9" t="s">
        <v>30</v>
      </c>
      <c r="P7244" s="12" t="s">
        <v>17663</v>
      </c>
      <c r="Q7244" s="9" t="s">
        <v>245</v>
      </c>
      <c r="R7244" s="14" t="str">
        <f>HYPERLINK("https://my.pitchbook.com?c=259053-13T","View Company Online")</f>
        <v>View Company Online</v>
      </c>
    </row>
    <row r="7245" spans="1:18" hidden="1" x14ac:dyDescent="0.3">
      <c r="A7245" s="15" t="s">
        <v>21574</v>
      </c>
      <c r="B7245" s="15" t="s">
        <v>21575</v>
      </c>
      <c r="C7245" s="18" t="s">
        <v>28</v>
      </c>
      <c r="D7245" s="15" t="s">
        <v>21576</v>
      </c>
      <c r="E7245" s="18" t="s">
        <v>28</v>
      </c>
      <c r="F7245" s="19" t="s">
        <v>28</v>
      </c>
      <c r="G7245" s="19" t="s">
        <v>28</v>
      </c>
      <c r="H7245" s="19" t="s">
        <v>28</v>
      </c>
      <c r="I7245" s="18" t="s">
        <v>28</v>
      </c>
      <c r="J7245" s="18" t="s">
        <v>28</v>
      </c>
      <c r="K7245" s="18" t="s">
        <v>28</v>
      </c>
      <c r="L7245" s="18" t="s">
        <v>28</v>
      </c>
      <c r="M7245" s="18" t="s">
        <v>28</v>
      </c>
      <c r="N7245" s="17">
        <v>43466</v>
      </c>
      <c r="O7245" s="15" t="s">
        <v>52</v>
      </c>
      <c r="P7245" s="16" t="s">
        <v>6543</v>
      </c>
      <c r="Q7245" s="15" t="s">
        <v>37</v>
      </c>
      <c r="R7245" s="13" t="str">
        <f>HYPERLINK("https://my.pitchbook.com?c=243906-85T","View Company Online")</f>
        <v>View Company Online</v>
      </c>
    </row>
    <row r="7246" spans="1:18" hidden="1" x14ac:dyDescent="0.3">
      <c r="A7246" s="9" t="s">
        <v>21577</v>
      </c>
      <c r="B7246" s="9" t="s">
        <v>21578</v>
      </c>
      <c r="C7246" s="11" t="s">
        <v>28</v>
      </c>
      <c r="D7246" s="9" t="s">
        <v>21579</v>
      </c>
      <c r="E7246" s="11" t="s">
        <v>28</v>
      </c>
      <c r="F7246" s="10" t="s">
        <v>28</v>
      </c>
      <c r="G7246" s="10">
        <v>1.8</v>
      </c>
      <c r="H7246" s="10">
        <v>2.37</v>
      </c>
      <c r="I7246" s="11" t="s">
        <v>28</v>
      </c>
      <c r="J7246" s="11" t="s">
        <v>28</v>
      </c>
      <c r="K7246" s="11" t="s">
        <v>28</v>
      </c>
      <c r="L7246" s="11" t="s">
        <v>28</v>
      </c>
      <c r="M7246" s="11" t="s">
        <v>28</v>
      </c>
      <c r="N7246" s="8">
        <v>43466</v>
      </c>
      <c r="O7246" s="9" t="s">
        <v>30</v>
      </c>
      <c r="P7246" s="12" t="s">
        <v>12512</v>
      </c>
      <c r="Q7246" s="9" t="s">
        <v>188</v>
      </c>
      <c r="R7246" s="14" t="str">
        <f>HYPERLINK("https://my.pitchbook.com?c=202205-53T","View Company Online")</f>
        <v>View Company Online</v>
      </c>
    </row>
    <row r="7247" spans="1:18" hidden="1" x14ac:dyDescent="0.3">
      <c r="A7247" s="15" t="s">
        <v>21580</v>
      </c>
      <c r="B7247" s="15" t="s">
        <v>20291</v>
      </c>
      <c r="C7247" s="18" t="s">
        <v>28</v>
      </c>
      <c r="D7247" s="15" t="s">
        <v>20292</v>
      </c>
      <c r="E7247" s="18" t="s">
        <v>28</v>
      </c>
      <c r="F7247" s="19" t="s">
        <v>28</v>
      </c>
      <c r="G7247" s="19" t="s">
        <v>28</v>
      </c>
      <c r="H7247" s="19" t="s">
        <v>28</v>
      </c>
      <c r="I7247" s="18" t="s">
        <v>28</v>
      </c>
      <c r="J7247" s="18" t="s">
        <v>28</v>
      </c>
      <c r="K7247" s="18" t="s">
        <v>28</v>
      </c>
      <c r="L7247" s="18" t="s">
        <v>28</v>
      </c>
      <c r="M7247" s="18" t="s">
        <v>28</v>
      </c>
      <c r="N7247" s="17">
        <v>43466</v>
      </c>
      <c r="O7247" s="15" t="s">
        <v>52</v>
      </c>
      <c r="P7247" s="16" t="s">
        <v>21581</v>
      </c>
      <c r="Q7247" s="15" t="s">
        <v>43</v>
      </c>
      <c r="R7247" s="13" t="str">
        <f>HYPERLINK("https://my.pitchbook.com?c=125687-08T","View Company Online")</f>
        <v>View Company Online</v>
      </c>
    </row>
    <row r="7248" spans="1:18" hidden="1" x14ac:dyDescent="0.3">
      <c r="A7248" s="9" t="s">
        <v>21582</v>
      </c>
      <c r="B7248" s="9" t="s">
        <v>21583</v>
      </c>
      <c r="C7248" s="11" t="s">
        <v>28</v>
      </c>
      <c r="D7248" s="9" t="s">
        <v>21584</v>
      </c>
      <c r="E7248" s="11" t="s">
        <v>28</v>
      </c>
      <c r="F7248" s="10" t="s">
        <v>28</v>
      </c>
      <c r="G7248" s="10">
        <v>0.64</v>
      </c>
      <c r="H7248" s="10">
        <v>10.28</v>
      </c>
      <c r="I7248" s="11" t="s">
        <v>28</v>
      </c>
      <c r="J7248" s="11" t="s">
        <v>28</v>
      </c>
      <c r="K7248" s="11" t="s">
        <v>28</v>
      </c>
      <c r="L7248" s="11" t="s">
        <v>28</v>
      </c>
      <c r="M7248" s="11" t="s">
        <v>28</v>
      </c>
      <c r="N7248" s="8">
        <v>43466</v>
      </c>
      <c r="O7248" s="9" t="s">
        <v>99</v>
      </c>
      <c r="P7248" s="12" t="s">
        <v>21585</v>
      </c>
      <c r="Q7248" s="9" t="s">
        <v>75</v>
      </c>
      <c r="R7248" s="14" t="str">
        <f>HYPERLINK("https://my.pitchbook.com?c=140417-11T","View Company Online")</f>
        <v>View Company Online</v>
      </c>
    </row>
    <row r="7249" spans="1:18" hidden="1" x14ac:dyDescent="0.3">
      <c r="A7249" s="15" t="s">
        <v>21586</v>
      </c>
      <c r="B7249" s="15" t="s">
        <v>888</v>
      </c>
      <c r="C7249" s="18" t="s">
        <v>28</v>
      </c>
      <c r="D7249" s="15" t="s">
        <v>12240</v>
      </c>
      <c r="E7249" s="18" t="s">
        <v>28</v>
      </c>
      <c r="F7249" s="19" t="s">
        <v>28</v>
      </c>
      <c r="G7249" s="19">
        <v>0.02</v>
      </c>
      <c r="H7249" s="19" t="s">
        <v>28</v>
      </c>
      <c r="I7249" s="18" t="s">
        <v>28</v>
      </c>
      <c r="J7249" s="18" t="s">
        <v>28</v>
      </c>
      <c r="K7249" s="18" t="s">
        <v>28</v>
      </c>
      <c r="L7249" s="18" t="s">
        <v>28</v>
      </c>
      <c r="M7249" s="18" t="s">
        <v>28</v>
      </c>
      <c r="N7249" s="17">
        <v>43466</v>
      </c>
      <c r="O7249" s="15" t="s">
        <v>52</v>
      </c>
      <c r="P7249" s="16" t="s">
        <v>21587</v>
      </c>
      <c r="Q7249" s="15" t="s">
        <v>213</v>
      </c>
      <c r="R7249" s="13" t="str">
        <f>HYPERLINK("https://my.pitchbook.com?c=158707-63T","View Company Online")</f>
        <v>View Company Online</v>
      </c>
    </row>
    <row r="7250" spans="1:18" hidden="1" x14ac:dyDescent="0.3">
      <c r="A7250" s="9" t="s">
        <v>21588</v>
      </c>
      <c r="B7250" s="9" t="s">
        <v>5400</v>
      </c>
      <c r="C7250" s="11" t="s">
        <v>28</v>
      </c>
      <c r="D7250" s="9" t="s">
        <v>5401</v>
      </c>
      <c r="E7250" s="11" t="s">
        <v>28</v>
      </c>
      <c r="F7250" s="10" t="s">
        <v>28</v>
      </c>
      <c r="G7250" s="10">
        <v>0.18</v>
      </c>
      <c r="H7250" s="10" t="s">
        <v>28</v>
      </c>
      <c r="I7250" s="11" t="s">
        <v>28</v>
      </c>
      <c r="J7250" s="11" t="s">
        <v>28</v>
      </c>
      <c r="K7250" s="11" t="s">
        <v>28</v>
      </c>
      <c r="L7250" s="11" t="s">
        <v>28</v>
      </c>
      <c r="M7250" s="11" t="s">
        <v>28</v>
      </c>
      <c r="N7250" s="8">
        <v>43466</v>
      </c>
      <c r="O7250" s="9" t="s">
        <v>73</v>
      </c>
      <c r="P7250" s="12" t="s">
        <v>4148</v>
      </c>
      <c r="Q7250" s="9" t="s">
        <v>75</v>
      </c>
      <c r="R7250" s="14" t="str">
        <f>HYPERLINK("https://my.pitchbook.com?c=158656-33T","View Company Online")</f>
        <v>View Company Online</v>
      </c>
    </row>
    <row r="7251" spans="1:18" hidden="1" x14ac:dyDescent="0.3">
      <c r="A7251" s="15" t="s">
        <v>21589</v>
      </c>
      <c r="B7251" s="15" t="s">
        <v>14615</v>
      </c>
      <c r="C7251" s="18" t="s">
        <v>28</v>
      </c>
      <c r="D7251" s="15" t="s">
        <v>14616</v>
      </c>
      <c r="E7251" s="18" t="s">
        <v>28</v>
      </c>
      <c r="F7251" s="19" t="s">
        <v>28</v>
      </c>
      <c r="G7251" s="19" t="s">
        <v>28</v>
      </c>
      <c r="H7251" s="19" t="s">
        <v>28</v>
      </c>
      <c r="I7251" s="18" t="s">
        <v>28</v>
      </c>
      <c r="J7251" s="18" t="s">
        <v>28</v>
      </c>
      <c r="K7251" s="18" t="s">
        <v>28</v>
      </c>
      <c r="L7251" s="18" t="s">
        <v>28</v>
      </c>
      <c r="M7251" s="18" t="s">
        <v>28</v>
      </c>
      <c r="N7251" s="17">
        <v>43466</v>
      </c>
      <c r="O7251" s="15" t="s">
        <v>58</v>
      </c>
      <c r="P7251" s="16" t="s">
        <v>21590</v>
      </c>
      <c r="Q7251" s="15" t="s">
        <v>37</v>
      </c>
      <c r="R7251" s="13" t="str">
        <f>HYPERLINK("https://my.pitchbook.com?c=176821-30T","View Company Online")</f>
        <v>View Company Online</v>
      </c>
    </row>
    <row r="7252" spans="1:18" hidden="1" x14ac:dyDescent="0.3">
      <c r="A7252" s="9" t="s">
        <v>21591</v>
      </c>
      <c r="B7252" s="9" t="s">
        <v>7703</v>
      </c>
      <c r="C7252" s="11" t="s">
        <v>28</v>
      </c>
      <c r="D7252" s="9" t="s">
        <v>7704</v>
      </c>
      <c r="E7252" s="11" t="s">
        <v>28</v>
      </c>
      <c r="F7252" s="10" t="s">
        <v>28</v>
      </c>
      <c r="G7252" s="10" t="s">
        <v>28</v>
      </c>
      <c r="H7252" s="10" t="s">
        <v>28</v>
      </c>
      <c r="I7252" s="11" t="s">
        <v>28</v>
      </c>
      <c r="J7252" s="11" t="s">
        <v>28</v>
      </c>
      <c r="K7252" s="11" t="s">
        <v>28</v>
      </c>
      <c r="L7252" s="11" t="s">
        <v>28</v>
      </c>
      <c r="M7252" s="11" t="s">
        <v>28</v>
      </c>
      <c r="N7252" s="8">
        <v>43466</v>
      </c>
      <c r="O7252" s="9" t="s">
        <v>52</v>
      </c>
      <c r="P7252" s="12" t="s">
        <v>20888</v>
      </c>
      <c r="Q7252" s="9" t="s">
        <v>75</v>
      </c>
      <c r="R7252" s="14" t="str">
        <f>HYPERLINK("https://my.pitchbook.com?c=139825-09T","View Company Online")</f>
        <v>View Company Online</v>
      </c>
    </row>
    <row r="7253" spans="1:18" hidden="1" x14ac:dyDescent="0.3">
      <c r="A7253" s="15" t="s">
        <v>21592</v>
      </c>
      <c r="B7253" s="15" t="s">
        <v>7703</v>
      </c>
      <c r="C7253" s="18" t="s">
        <v>28</v>
      </c>
      <c r="D7253" s="15" t="s">
        <v>7704</v>
      </c>
      <c r="E7253" s="18" t="s">
        <v>28</v>
      </c>
      <c r="F7253" s="19" t="s">
        <v>28</v>
      </c>
      <c r="G7253" s="19" t="s">
        <v>28</v>
      </c>
      <c r="H7253" s="19" t="s">
        <v>28</v>
      </c>
      <c r="I7253" s="18" t="s">
        <v>28</v>
      </c>
      <c r="J7253" s="18" t="s">
        <v>28</v>
      </c>
      <c r="K7253" s="18" t="s">
        <v>28</v>
      </c>
      <c r="L7253" s="18" t="s">
        <v>28</v>
      </c>
      <c r="M7253" s="18" t="s">
        <v>28</v>
      </c>
      <c r="N7253" s="17">
        <v>43466</v>
      </c>
      <c r="O7253" s="15" t="s">
        <v>52</v>
      </c>
      <c r="P7253" s="16" t="s">
        <v>2830</v>
      </c>
      <c r="Q7253" s="15" t="s">
        <v>75</v>
      </c>
      <c r="R7253" s="13" t="str">
        <f>HYPERLINK("https://my.pitchbook.com?c=256569-58T","View Company Online")</f>
        <v>View Company Online</v>
      </c>
    </row>
    <row r="7254" spans="1:18" hidden="1" x14ac:dyDescent="0.3">
      <c r="A7254" s="9" t="s">
        <v>21593</v>
      </c>
      <c r="B7254" s="9" t="s">
        <v>21594</v>
      </c>
      <c r="C7254" s="11" t="s">
        <v>28</v>
      </c>
      <c r="D7254" s="9" t="s">
        <v>21595</v>
      </c>
      <c r="E7254" s="11" t="s">
        <v>28</v>
      </c>
      <c r="F7254" s="10" t="s">
        <v>28</v>
      </c>
      <c r="G7254" s="10" t="s">
        <v>28</v>
      </c>
      <c r="H7254" s="10" t="s">
        <v>28</v>
      </c>
      <c r="I7254" s="11" t="s">
        <v>28</v>
      </c>
      <c r="J7254" s="11" t="s">
        <v>28</v>
      </c>
      <c r="K7254" s="11" t="s">
        <v>28</v>
      </c>
      <c r="L7254" s="11" t="s">
        <v>28</v>
      </c>
      <c r="M7254" s="11" t="s">
        <v>28</v>
      </c>
      <c r="N7254" s="8">
        <v>43466</v>
      </c>
      <c r="O7254" s="9" t="s">
        <v>52</v>
      </c>
      <c r="P7254" s="12" t="s">
        <v>20888</v>
      </c>
      <c r="Q7254" s="9" t="s">
        <v>75</v>
      </c>
      <c r="R7254" s="14" t="str">
        <f>HYPERLINK("https://my.pitchbook.com?c=139809-70T","View Company Online")</f>
        <v>View Company Online</v>
      </c>
    </row>
    <row r="7255" spans="1:18" hidden="1" x14ac:dyDescent="0.3">
      <c r="A7255" s="15" t="s">
        <v>21596</v>
      </c>
      <c r="B7255" s="15" t="s">
        <v>21597</v>
      </c>
      <c r="C7255" s="18" t="s">
        <v>28</v>
      </c>
      <c r="D7255" s="15" t="s">
        <v>21598</v>
      </c>
      <c r="E7255" s="18" t="s">
        <v>28</v>
      </c>
      <c r="F7255" s="19" t="s">
        <v>28</v>
      </c>
      <c r="G7255" s="19" t="s">
        <v>28</v>
      </c>
      <c r="H7255" s="19" t="s">
        <v>28</v>
      </c>
      <c r="I7255" s="18" t="s">
        <v>28</v>
      </c>
      <c r="J7255" s="18" t="s">
        <v>28</v>
      </c>
      <c r="K7255" s="18" t="s">
        <v>28</v>
      </c>
      <c r="L7255" s="18" t="s">
        <v>28</v>
      </c>
      <c r="M7255" s="18" t="s">
        <v>28</v>
      </c>
      <c r="N7255" s="17">
        <v>43466</v>
      </c>
      <c r="O7255" s="15" t="s">
        <v>52</v>
      </c>
      <c r="P7255" s="16" t="s">
        <v>21599</v>
      </c>
      <c r="Q7255" s="15" t="s">
        <v>43</v>
      </c>
      <c r="R7255" s="13" t="str">
        <f>HYPERLINK("https://my.pitchbook.com?c=276376-51T","View Company Online")</f>
        <v>View Company Online</v>
      </c>
    </row>
    <row r="7256" spans="1:18" hidden="1" x14ac:dyDescent="0.3">
      <c r="A7256" s="9" t="s">
        <v>21600</v>
      </c>
      <c r="B7256" s="9" t="s">
        <v>21601</v>
      </c>
      <c r="C7256" s="11" t="s">
        <v>28</v>
      </c>
      <c r="D7256" s="9" t="s">
        <v>21602</v>
      </c>
      <c r="E7256" s="11" t="s">
        <v>28</v>
      </c>
      <c r="F7256" s="10" t="s">
        <v>28</v>
      </c>
      <c r="G7256" s="10" t="s">
        <v>28</v>
      </c>
      <c r="H7256" s="10" t="s">
        <v>28</v>
      </c>
      <c r="I7256" s="11" t="s">
        <v>28</v>
      </c>
      <c r="J7256" s="11" t="s">
        <v>28</v>
      </c>
      <c r="K7256" s="11" t="s">
        <v>28</v>
      </c>
      <c r="L7256" s="11" t="s">
        <v>28</v>
      </c>
      <c r="M7256" s="11" t="s">
        <v>28</v>
      </c>
      <c r="N7256" s="8">
        <v>43466</v>
      </c>
      <c r="O7256" s="9" t="s">
        <v>73</v>
      </c>
      <c r="P7256" s="12" t="s">
        <v>7291</v>
      </c>
      <c r="Q7256" s="9" t="s">
        <v>386</v>
      </c>
      <c r="R7256" s="14" t="str">
        <f>HYPERLINK("https://my.pitchbook.com?c=216059-59T","View Company Online")</f>
        <v>View Company Online</v>
      </c>
    </row>
    <row r="7257" spans="1:18" hidden="1" x14ac:dyDescent="0.3">
      <c r="A7257" s="15" t="s">
        <v>21603</v>
      </c>
      <c r="B7257" s="15" t="s">
        <v>6062</v>
      </c>
      <c r="C7257" s="18" t="s">
        <v>28</v>
      </c>
      <c r="D7257" s="15" t="s">
        <v>6063</v>
      </c>
      <c r="E7257" s="18" t="s">
        <v>28</v>
      </c>
      <c r="F7257" s="19" t="s">
        <v>28</v>
      </c>
      <c r="G7257" s="19" t="s">
        <v>28</v>
      </c>
      <c r="H7257" s="19" t="s">
        <v>28</v>
      </c>
      <c r="I7257" s="18" t="s">
        <v>28</v>
      </c>
      <c r="J7257" s="18" t="s">
        <v>28</v>
      </c>
      <c r="K7257" s="18" t="s">
        <v>28</v>
      </c>
      <c r="L7257" s="18" t="s">
        <v>28</v>
      </c>
      <c r="M7257" s="18" t="s">
        <v>28</v>
      </c>
      <c r="N7257" s="17">
        <v>43466</v>
      </c>
      <c r="O7257" s="15" t="s">
        <v>379</v>
      </c>
      <c r="P7257" s="16" t="s">
        <v>7110</v>
      </c>
      <c r="Q7257" s="15" t="s">
        <v>75</v>
      </c>
      <c r="R7257" s="13" t="str">
        <f>HYPERLINK("https://my.pitchbook.com?c=189727-03T","View Company Online")</f>
        <v>View Company Online</v>
      </c>
    </row>
    <row r="7258" spans="1:18" hidden="1" x14ac:dyDescent="0.3">
      <c r="A7258" s="9" t="s">
        <v>21604</v>
      </c>
      <c r="B7258" s="9" t="s">
        <v>21605</v>
      </c>
      <c r="C7258" s="11" t="s">
        <v>28</v>
      </c>
      <c r="D7258" s="9" t="s">
        <v>21606</v>
      </c>
      <c r="E7258" s="11" t="s">
        <v>28</v>
      </c>
      <c r="F7258" s="10" t="s">
        <v>28</v>
      </c>
      <c r="G7258" s="10">
        <v>0.5</v>
      </c>
      <c r="H7258" s="10" t="s">
        <v>28</v>
      </c>
      <c r="I7258" s="11" t="s">
        <v>28</v>
      </c>
      <c r="J7258" s="11" t="s">
        <v>28</v>
      </c>
      <c r="K7258" s="11" t="s">
        <v>28</v>
      </c>
      <c r="L7258" s="11" t="s">
        <v>28</v>
      </c>
      <c r="M7258" s="11" t="s">
        <v>28</v>
      </c>
      <c r="N7258" s="8">
        <v>43466</v>
      </c>
      <c r="O7258" s="9" t="s">
        <v>47</v>
      </c>
      <c r="P7258" s="12" t="s">
        <v>28</v>
      </c>
      <c r="Q7258" s="9" t="s">
        <v>75</v>
      </c>
      <c r="R7258" s="14" t="str">
        <f>HYPERLINK("https://my.pitchbook.com?c=130977-10T","View Company Online")</f>
        <v>View Company Online</v>
      </c>
    </row>
    <row r="7259" spans="1:18" hidden="1" x14ac:dyDescent="0.3">
      <c r="A7259" s="15" t="s">
        <v>21607</v>
      </c>
      <c r="B7259" s="15" t="s">
        <v>21608</v>
      </c>
      <c r="C7259" s="18" t="s">
        <v>28</v>
      </c>
      <c r="D7259" s="15" t="s">
        <v>21609</v>
      </c>
      <c r="E7259" s="18" t="s">
        <v>28</v>
      </c>
      <c r="F7259" s="19" t="s">
        <v>28</v>
      </c>
      <c r="G7259" s="19" t="s">
        <v>28</v>
      </c>
      <c r="H7259" s="19" t="s">
        <v>28</v>
      </c>
      <c r="I7259" s="18" t="s">
        <v>28</v>
      </c>
      <c r="J7259" s="18" t="s">
        <v>28</v>
      </c>
      <c r="K7259" s="18" t="s">
        <v>28</v>
      </c>
      <c r="L7259" s="18" t="s">
        <v>28</v>
      </c>
      <c r="M7259" s="18" t="s">
        <v>28</v>
      </c>
      <c r="N7259" s="17">
        <v>43466</v>
      </c>
      <c r="O7259" s="15" t="s">
        <v>79</v>
      </c>
      <c r="P7259" s="16" t="s">
        <v>5531</v>
      </c>
      <c r="Q7259" s="15" t="s">
        <v>386</v>
      </c>
      <c r="R7259" s="13" t="str">
        <f>HYPERLINK("https://my.pitchbook.com?c=126509-32T","View Company Online")</f>
        <v>View Company Online</v>
      </c>
    </row>
    <row r="7260" spans="1:18" hidden="1" x14ac:dyDescent="0.3">
      <c r="A7260" s="9" t="s">
        <v>21610</v>
      </c>
      <c r="B7260" s="9" t="s">
        <v>4211</v>
      </c>
      <c r="C7260" s="11" t="s">
        <v>28</v>
      </c>
      <c r="D7260" s="9" t="s">
        <v>4212</v>
      </c>
      <c r="E7260" s="11" t="s">
        <v>28</v>
      </c>
      <c r="F7260" s="10" t="s">
        <v>28</v>
      </c>
      <c r="G7260" s="10" t="s">
        <v>28</v>
      </c>
      <c r="H7260" s="10" t="s">
        <v>28</v>
      </c>
      <c r="I7260" s="11" t="s">
        <v>28</v>
      </c>
      <c r="J7260" s="11" t="s">
        <v>28</v>
      </c>
      <c r="K7260" s="11" t="s">
        <v>28</v>
      </c>
      <c r="L7260" s="11" t="s">
        <v>28</v>
      </c>
      <c r="M7260" s="11" t="s">
        <v>28</v>
      </c>
      <c r="N7260" s="8">
        <v>43466</v>
      </c>
      <c r="O7260" s="9" t="s">
        <v>52</v>
      </c>
      <c r="P7260" s="12" t="s">
        <v>12362</v>
      </c>
      <c r="Q7260" s="9" t="s">
        <v>386</v>
      </c>
      <c r="R7260" s="14" t="str">
        <f>HYPERLINK("https://my.pitchbook.com?c=284257-09T","View Company Online")</f>
        <v>View Company Online</v>
      </c>
    </row>
    <row r="7261" spans="1:18" hidden="1" x14ac:dyDescent="0.3">
      <c r="A7261" s="15" t="s">
        <v>21611</v>
      </c>
      <c r="B7261" s="15" t="s">
        <v>21612</v>
      </c>
      <c r="C7261" s="18" t="s">
        <v>28</v>
      </c>
      <c r="D7261" s="15" t="s">
        <v>21613</v>
      </c>
      <c r="E7261" s="18" t="s">
        <v>28</v>
      </c>
      <c r="F7261" s="19" t="s">
        <v>28</v>
      </c>
      <c r="G7261" s="19">
        <v>0.1</v>
      </c>
      <c r="H7261" s="19" t="s">
        <v>28</v>
      </c>
      <c r="I7261" s="18" t="s">
        <v>28</v>
      </c>
      <c r="J7261" s="18" t="s">
        <v>28</v>
      </c>
      <c r="K7261" s="18" t="s">
        <v>28</v>
      </c>
      <c r="L7261" s="18" t="s">
        <v>28</v>
      </c>
      <c r="M7261" s="18" t="s">
        <v>28</v>
      </c>
      <c r="N7261" s="17">
        <v>43466</v>
      </c>
      <c r="O7261" s="15" t="s">
        <v>52</v>
      </c>
      <c r="P7261" s="16" t="s">
        <v>15106</v>
      </c>
      <c r="Q7261" s="15" t="s">
        <v>855</v>
      </c>
      <c r="R7261" s="13" t="str">
        <f>HYPERLINK("https://my.pitchbook.com?c=126992-80T","View Company Online")</f>
        <v>View Company Online</v>
      </c>
    </row>
    <row r="7262" spans="1:18" hidden="1" x14ac:dyDescent="0.3">
      <c r="A7262" s="9" t="s">
        <v>21614</v>
      </c>
      <c r="B7262" s="9" t="s">
        <v>4133</v>
      </c>
      <c r="C7262" s="11" t="s">
        <v>28</v>
      </c>
      <c r="D7262" s="9" t="s">
        <v>4134</v>
      </c>
      <c r="E7262" s="11" t="s">
        <v>28</v>
      </c>
      <c r="F7262" s="10" t="s">
        <v>28</v>
      </c>
      <c r="G7262" s="10" t="s">
        <v>28</v>
      </c>
      <c r="H7262" s="10" t="s">
        <v>28</v>
      </c>
      <c r="I7262" s="11" t="s">
        <v>28</v>
      </c>
      <c r="J7262" s="11" t="s">
        <v>28</v>
      </c>
      <c r="K7262" s="11" t="s">
        <v>28</v>
      </c>
      <c r="L7262" s="11" t="s">
        <v>28</v>
      </c>
      <c r="M7262" s="11" t="s">
        <v>28</v>
      </c>
      <c r="N7262" s="8">
        <v>43466</v>
      </c>
      <c r="O7262" s="9" t="s">
        <v>99</v>
      </c>
      <c r="P7262" s="12" t="s">
        <v>21615</v>
      </c>
      <c r="Q7262" s="9" t="s">
        <v>1263</v>
      </c>
      <c r="R7262" s="14" t="str">
        <f>HYPERLINK("https://my.pitchbook.com?c=140884-84T","View Company Online")</f>
        <v>View Company Online</v>
      </c>
    </row>
    <row r="7263" spans="1:18" hidden="1" x14ac:dyDescent="0.3">
      <c r="A7263" s="15" t="s">
        <v>21616</v>
      </c>
      <c r="B7263" s="15" t="s">
        <v>18487</v>
      </c>
      <c r="C7263" s="18" t="s">
        <v>28</v>
      </c>
      <c r="D7263" s="15" t="s">
        <v>18488</v>
      </c>
      <c r="E7263" s="18" t="s">
        <v>28</v>
      </c>
      <c r="F7263" s="19" t="s">
        <v>28</v>
      </c>
      <c r="G7263" s="19" t="s">
        <v>28</v>
      </c>
      <c r="H7263" s="19" t="s">
        <v>28</v>
      </c>
      <c r="I7263" s="18" t="s">
        <v>28</v>
      </c>
      <c r="J7263" s="18" t="s">
        <v>28</v>
      </c>
      <c r="K7263" s="18" t="s">
        <v>28</v>
      </c>
      <c r="L7263" s="18" t="s">
        <v>28</v>
      </c>
      <c r="M7263" s="18" t="s">
        <v>28</v>
      </c>
      <c r="N7263" s="17">
        <v>43466</v>
      </c>
      <c r="O7263" s="15" t="s">
        <v>52</v>
      </c>
      <c r="P7263" s="16" t="s">
        <v>1970</v>
      </c>
      <c r="Q7263" s="15" t="s">
        <v>75</v>
      </c>
      <c r="R7263" s="13" t="str">
        <f>HYPERLINK("https://my.pitchbook.com?c=153570-97T","View Company Online")</f>
        <v>View Company Online</v>
      </c>
    </row>
    <row r="7264" spans="1:18" hidden="1" x14ac:dyDescent="0.3">
      <c r="A7264" s="9" t="s">
        <v>21617</v>
      </c>
      <c r="B7264" s="9" t="s">
        <v>7735</v>
      </c>
      <c r="C7264" s="11" t="s">
        <v>28</v>
      </c>
      <c r="D7264" s="9" t="s">
        <v>7736</v>
      </c>
      <c r="E7264" s="11" t="s">
        <v>28</v>
      </c>
      <c r="F7264" s="10" t="s">
        <v>28</v>
      </c>
      <c r="G7264" s="10">
        <v>0.03</v>
      </c>
      <c r="H7264" s="10" t="s">
        <v>28</v>
      </c>
      <c r="I7264" s="11" t="s">
        <v>28</v>
      </c>
      <c r="J7264" s="11" t="s">
        <v>28</v>
      </c>
      <c r="K7264" s="11" t="s">
        <v>28</v>
      </c>
      <c r="L7264" s="11" t="s">
        <v>28</v>
      </c>
      <c r="M7264" s="11" t="s">
        <v>28</v>
      </c>
      <c r="N7264" s="8">
        <v>43466</v>
      </c>
      <c r="O7264" s="9" t="s">
        <v>52</v>
      </c>
      <c r="P7264" s="12" t="s">
        <v>7737</v>
      </c>
      <c r="Q7264" s="9" t="s">
        <v>75</v>
      </c>
      <c r="R7264" s="14" t="str">
        <f>HYPERLINK("https://my.pitchbook.com?c=219784-33T","View Company Online")</f>
        <v>View Company Online</v>
      </c>
    </row>
    <row r="7265" spans="1:18" hidden="1" x14ac:dyDescent="0.3">
      <c r="A7265" s="15" t="s">
        <v>21618</v>
      </c>
      <c r="B7265" s="15" t="s">
        <v>13398</v>
      </c>
      <c r="C7265" s="18" t="s">
        <v>28</v>
      </c>
      <c r="D7265" s="15" t="s">
        <v>13399</v>
      </c>
      <c r="E7265" s="18" t="s">
        <v>28</v>
      </c>
      <c r="F7265" s="19" t="s">
        <v>28</v>
      </c>
      <c r="G7265" s="19" t="s">
        <v>28</v>
      </c>
      <c r="H7265" s="19" t="s">
        <v>28</v>
      </c>
      <c r="I7265" s="18" t="s">
        <v>28</v>
      </c>
      <c r="J7265" s="18" t="s">
        <v>28</v>
      </c>
      <c r="K7265" s="18" t="s">
        <v>28</v>
      </c>
      <c r="L7265" s="18" t="s">
        <v>28</v>
      </c>
      <c r="M7265" s="18" t="s">
        <v>28</v>
      </c>
      <c r="N7265" s="17">
        <v>43466</v>
      </c>
      <c r="O7265" s="15" t="s">
        <v>379</v>
      </c>
      <c r="P7265" s="16" t="s">
        <v>28</v>
      </c>
      <c r="Q7265" s="15" t="s">
        <v>75</v>
      </c>
      <c r="R7265" s="13" t="str">
        <f>HYPERLINK("https://my.pitchbook.com?c=182143-63T","View Company Online")</f>
        <v>View Company Online</v>
      </c>
    </row>
    <row r="7266" spans="1:18" hidden="1" x14ac:dyDescent="0.3">
      <c r="A7266" s="9" t="s">
        <v>21619</v>
      </c>
      <c r="B7266" s="9" t="s">
        <v>11927</v>
      </c>
      <c r="C7266" s="11" t="s">
        <v>28</v>
      </c>
      <c r="D7266" s="9" t="s">
        <v>11928</v>
      </c>
      <c r="E7266" s="11" t="s">
        <v>28</v>
      </c>
      <c r="F7266" s="10" t="s">
        <v>28</v>
      </c>
      <c r="G7266" s="10" t="s">
        <v>28</v>
      </c>
      <c r="H7266" s="10" t="s">
        <v>28</v>
      </c>
      <c r="I7266" s="11" t="s">
        <v>28</v>
      </c>
      <c r="J7266" s="11" t="s">
        <v>28</v>
      </c>
      <c r="K7266" s="11" t="s">
        <v>28</v>
      </c>
      <c r="L7266" s="11" t="s">
        <v>28</v>
      </c>
      <c r="M7266" s="11" t="s">
        <v>28</v>
      </c>
      <c r="N7266" s="8">
        <v>43466</v>
      </c>
      <c r="O7266" s="9" t="s">
        <v>93</v>
      </c>
      <c r="P7266" s="12" t="s">
        <v>8788</v>
      </c>
      <c r="Q7266" s="9" t="s">
        <v>37</v>
      </c>
      <c r="R7266" s="14" t="str">
        <f>HYPERLINK("https://my.pitchbook.com?c=122291-47T","View Company Online")</f>
        <v>View Company Online</v>
      </c>
    </row>
    <row r="7267" spans="1:18" hidden="1" x14ac:dyDescent="0.3">
      <c r="A7267" s="15" t="s">
        <v>21620</v>
      </c>
      <c r="B7267" s="15" t="s">
        <v>10756</v>
      </c>
      <c r="C7267" s="18" t="s">
        <v>28</v>
      </c>
      <c r="D7267" s="15" t="s">
        <v>10757</v>
      </c>
      <c r="E7267" s="18" t="s">
        <v>28</v>
      </c>
      <c r="F7267" s="19" t="s">
        <v>28</v>
      </c>
      <c r="G7267" s="19" t="s">
        <v>28</v>
      </c>
      <c r="H7267" s="19" t="s">
        <v>28</v>
      </c>
      <c r="I7267" s="18" t="s">
        <v>28</v>
      </c>
      <c r="J7267" s="18" t="s">
        <v>28</v>
      </c>
      <c r="K7267" s="18" t="s">
        <v>28</v>
      </c>
      <c r="L7267" s="18" t="s">
        <v>28</v>
      </c>
      <c r="M7267" s="18" t="s">
        <v>28</v>
      </c>
      <c r="N7267" s="17">
        <v>43466</v>
      </c>
      <c r="O7267" s="15" t="s">
        <v>52</v>
      </c>
      <c r="P7267" s="16" t="s">
        <v>12319</v>
      </c>
      <c r="Q7267" s="15" t="s">
        <v>54</v>
      </c>
      <c r="R7267" s="13" t="str">
        <f>HYPERLINK("https://my.pitchbook.com?c=270005-95T","View Company Online")</f>
        <v>View Company Online</v>
      </c>
    </row>
    <row r="7268" spans="1:18" hidden="1" x14ac:dyDescent="0.3">
      <c r="A7268" s="9" t="s">
        <v>21621</v>
      </c>
      <c r="B7268" s="9" t="s">
        <v>7016</v>
      </c>
      <c r="C7268" s="11" t="s">
        <v>28</v>
      </c>
      <c r="D7268" s="9" t="s">
        <v>7017</v>
      </c>
      <c r="E7268" s="11" t="s">
        <v>28</v>
      </c>
      <c r="F7268" s="10" t="s">
        <v>28</v>
      </c>
      <c r="G7268" s="10" t="s">
        <v>28</v>
      </c>
      <c r="H7268" s="10" t="s">
        <v>28</v>
      </c>
      <c r="I7268" s="11" t="s">
        <v>28</v>
      </c>
      <c r="J7268" s="11" t="s">
        <v>28</v>
      </c>
      <c r="K7268" s="11" t="s">
        <v>28</v>
      </c>
      <c r="L7268" s="11" t="s">
        <v>28</v>
      </c>
      <c r="M7268" s="11" t="s">
        <v>28</v>
      </c>
      <c r="N7268" s="8">
        <v>43466</v>
      </c>
      <c r="O7268" s="9" t="s">
        <v>99</v>
      </c>
      <c r="P7268" s="12" t="s">
        <v>21622</v>
      </c>
      <c r="Q7268" s="9" t="s">
        <v>37</v>
      </c>
      <c r="R7268" s="14" t="str">
        <f>HYPERLINK("https://my.pitchbook.com?c=125627-95T","View Company Online")</f>
        <v>View Company Online</v>
      </c>
    </row>
    <row r="7269" spans="1:18" hidden="1" x14ac:dyDescent="0.3">
      <c r="A7269" s="15" t="s">
        <v>21623</v>
      </c>
      <c r="B7269" s="15" t="s">
        <v>1004</v>
      </c>
      <c r="C7269" s="18" t="s">
        <v>28</v>
      </c>
      <c r="D7269" s="15" t="s">
        <v>1005</v>
      </c>
      <c r="E7269" s="18" t="s">
        <v>28</v>
      </c>
      <c r="F7269" s="19" t="s">
        <v>28</v>
      </c>
      <c r="G7269" s="19">
        <v>7.0000000000000007E-2</v>
      </c>
      <c r="H7269" s="19" t="s">
        <v>28</v>
      </c>
      <c r="I7269" s="18" t="s">
        <v>28</v>
      </c>
      <c r="J7269" s="18" t="s">
        <v>28</v>
      </c>
      <c r="K7269" s="18" t="s">
        <v>28</v>
      </c>
      <c r="L7269" s="18" t="s">
        <v>28</v>
      </c>
      <c r="M7269" s="18" t="s">
        <v>28</v>
      </c>
      <c r="N7269" s="17">
        <v>43466</v>
      </c>
      <c r="O7269" s="15" t="s">
        <v>52</v>
      </c>
      <c r="P7269" s="16" t="s">
        <v>3572</v>
      </c>
      <c r="Q7269" s="15" t="s">
        <v>1007</v>
      </c>
      <c r="R7269" s="13" t="str">
        <f>HYPERLINK("https://my.pitchbook.com?c=167842-18T","View Company Online")</f>
        <v>View Company Online</v>
      </c>
    </row>
    <row r="7270" spans="1:18" hidden="1" x14ac:dyDescent="0.3">
      <c r="A7270" s="9" t="s">
        <v>21624</v>
      </c>
      <c r="B7270" s="9" t="s">
        <v>21625</v>
      </c>
      <c r="C7270" s="11" t="s">
        <v>28</v>
      </c>
      <c r="D7270" s="9" t="s">
        <v>21626</v>
      </c>
      <c r="E7270" s="11" t="s">
        <v>28</v>
      </c>
      <c r="F7270" s="10" t="s">
        <v>28</v>
      </c>
      <c r="G7270" s="10" t="s">
        <v>28</v>
      </c>
      <c r="H7270" s="10" t="s">
        <v>28</v>
      </c>
      <c r="I7270" s="11" t="s">
        <v>28</v>
      </c>
      <c r="J7270" s="11" t="s">
        <v>28</v>
      </c>
      <c r="K7270" s="11" t="s">
        <v>28</v>
      </c>
      <c r="L7270" s="11" t="s">
        <v>28</v>
      </c>
      <c r="M7270" s="11" t="s">
        <v>28</v>
      </c>
      <c r="N7270" s="8">
        <v>43466</v>
      </c>
      <c r="O7270" s="9" t="s">
        <v>73</v>
      </c>
      <c r="P7270" s="12" t="s">
        <v>611</v>
      </c>
      <c r="Q7270" s="9" t="s">
        <v>566</v>
      </c>
      <c r="R7270" s="14" t="str">
        <f>HYPERLINK("https://my.pitchbook.com?c=191800-81T","View Company Online")</f>
        <v>View Company Online</v>
      </c>
    </row>
    <row r="7271" spans="1:18" hidden="1" x14ac:dyDescent="0.3">
      <c r="A7271" s="15" t="s">
        <v>21627</v>
      </c>
      <c r="B7271" s="15" t="s">
        <v>21628</v>
      </c>
      <c r="C7271" s="18" t="s">
        <v>28</v>
      </c>
      <c r="D7271" s="15" t="s">
        <v>21629</v>
      </c>
      <c r="E7271" s="18" t="s">
        <v>28</v>
      </c>
      <c r="F7271" s="19" t="s">
        <v>28</v>
      </c>
      <c r="G7271" s="19" t="s">
        <v>28</v>
      </c>
      <c r="H7271" s="19" t="s">
        <v>28</v>
      </c>
      <c r="I7271" s="18" t="s">
        <v>28</v>
      </c>
      <c r="J7271" s="18" t="s">
        <v>28</v>
      </c>
      <c r="K7271" s="18" t="s">
        <v>28</v>
      </c>
      <c r="L7271" s="18" t="s">
        <v>28</v>
      </c>
      <c r="M7271" s="18" t="s">
        <v>28</v>
      </c>
      <c r="N7271" s="17">
        <v>43466</v>
      </c>
      <c r="O7271" s="15" t="s">
        <v>52</v>
      </c>
      <c r="P7271" s="16" t="s">
        <v>2830</v>
      </c>
      <c r="Q7271" s="15" t="s">
        <v>245</v>
      </c>
      <c r="R7271" s="13" t="str">
        <f>HYPERLINK("https://my.pitchbook.com?c=292146-58T","View Company Online")</f>
        <v>View Company Online</v>
      </c>
    </row>
    <row r="7272" spans="1:18" hidden="1" x14ac:dyDescent="0.3">
      <c r="A7272" s="9" t="s">
        <v>21630</v>
      </c>
      <c r="B7272" s="9" t="s">
        <v>4664</v>
      </c>
      <c r="C7272" s="11" t="s">
        <v>28</v>
      </c>
      <c r="D7272" s="9" t="s">
        <v>4665</v>
      </c>
      <c r="E7272" s="11" t="s">
        <v>28</v>
      </c>
      <c r="F7272" s="10" t="s">
        <v>28</v>
      </c>
      <c r="G7272" s="10" t="s">
        <v>28</v>
      </c>
      <c r="H7272" s="10" t="s">
        <v>28</v>
      </c>
      <c r="I7272" s="11" t="s">
        <v>28</v>
      </c>
      <c r="J7272" s="11" t="s">
        <v>28</v>
      </c>
      <c r="K7272" s="11" t="s">
        <v>28</v>
      </c>
      <c r="L7272" s="11" t="s">
        <v>28</v>
      </c>
      <c r="M7272" s="11" t="s">
        <v>28</v>
      </c>
      <c r="N7272" s="8">
        <v>43466</v>
      </c>
      <c r="O7272" s="9" t="s">
        <v>58</v>
      </c>
      <c r="P7272" s="12" t="s">
        <v>21631</v>
      </c>
      <c r="Q7272" s="9" t="s">
        <v>37</v>
      </c>
      <c r="R7272" s="14" t="str">
        <f>HYPERLINK("https://my.pitchbook.com?c=125274-70T","View Company Online")</f>
        <v>View Company Online</v>
      </c>
    </row>
    <row r="7273" spans="1:18" hidden="1" x14ac:dyDescent="0.3">
      <c r="A7273" s="15" t="s">
        <v>21632</v>
      </c>
      <c r="B7273" s="15" t="s">
        <v>4842</v>
      </c>
      <c r="C7273" s="18" t="s">
        <v>28</v>
      </c>
      <c r="D7273" s="15" t="s">
        <v>4843</v>
      </c>
      <c r="E7273" s="18" t="s">
        <v>28</v>
      </c>
      <c r="F7273" s="19" t="s">
        <v>28</v>
      </c>
      <c r="G7273" s="19" t="s">
        <v>28</v>
      </c>
      <c r="H7273" s="19" t="s">
        <v>28</v>
      </c>
      <c r="I7273" s="18" t="s">
        <v>28</v>
      </c>
      <c r="J7273" s="18" t="s">
        <v>28</v>
      </c>
      <c r="K7273" s="18" t="s">
        <v>28</v>
      </c>
      <c r="L7273" s="18" t="s">
        <v>28</v>
      </c>
      <c r="M7273" s="18" t="s">
        <v>28</v>
      </c>
      <c r="N7273" s="17">
        <v>43466</v>
      </c>
      <c r="O7273" s="15" t="s">
        <v>73</v>
      </c>
      <c r="P7273" s="16" t="s">
        <v>21633</v>
      </c>
      <c r="Q7273" s="15" t="s">
        <v>75</v>
      </c>
      <c r="R7273" s="13" t="str">
        <f>HYPERLINK("https://my.pitchbook.com?c=227572-39T","View Company Online")</f>
        <v>View Company Online</v>
      </c>
    </row>
    <row r="7274" spans="1:18" hidden="1" x14ac:dyDescent="0.3">
      <c r="A7274" s="9" t="s">
        <v>21634</v>
      </c>
      <c r="B7274" s="9" t="s">
        <v>8422</v>
      </c>
      <c r="C7274" s="11" t="s">
        <v>28</v>
      </c>
      <c r="D7274" s="9" t="s">
        <v>8423</v>
      </c>
      <c r="E7274" s="11" t="s">
        <v>28</v>
      </c>
      <c r="F7274" s="10" t="s">
        <v>28</v>
      </c>
      <c r="G7274" s="10">
        <v>6.42</v>
      </c>
      <c r="H7274" s="10">
        <v>44.97</v>
      </c>
      <c r="I7274" s="11" t="s">
        <v>28</v>
      </c>
      <c r="J7274" s="11" t="s">
        <v>28</v>
      </c>
      <c r="K7274" s="11" t="s">
        <v>28</v>
      </c>
      <c r="L7274" s="11" t="s">
        <v>28</v>
      </c>
      <c r="M7274" s="11" t="s">
        <v>28</v>
      </c>
      <c r="N7274" s="8">
        <v>43466</v>
      </c>
      <c r="O7274" s="9" t="s">
        <v>73</v>
      </c>
      <c r="P7274" s="12" t="s">
        <v>21635</v>
      </c>
      <c r="Q7274" s="9" t="s">
        <v>37</v>
      </c>
      <c r="R7274" s="14" t="str">
        <f>HYPERLINK("https://my.pitchbook.com?c=178925-86T","View Company Online")</f>
        <v>View Company Online</v>
      </c>
    </row>
    <row r="7275" spans="1:18" hidden="1" x14ac:dyDescent="0.3">
      <c r="A7275" s="15" t="s">
        <v>21636</v>
      </c>
      <c r="B7275" s="15" t="s">
        <v>21637</v>
      </c>
      <c r="C7275" s="18" t="s">
        <v>28</v>
      </c>
      <c r="D7275" s="15" t="s">
        <v>21638</v>
      </c>
      <c r="E7275" s="18" t="s">
        <v>28</v>
      </c>
      <c r="F7275" s="19" t="s">
        <v>28</v>
      </c>
      <c r="G7275" s="19" t="s">
        <v>28</v>
      </c>
      <c r="H7275" s="19" t="s">
        <v>28</v>
      </c>
      <c r="I7275" s="18" t="s">
        <v>28</v>
      </c>
      <c r="J7275" s="18" t="s">
        <v>28</v>
      </c>
      <c r="K7275" s="18" t="s">
        <v>28</v>
      </c>
      <c r="L7275" s="18" t="s">
        <v>28</v>
      </c>
      <c r="M7275" s="18" t="s">
        <v>28</v>
      </c>
      <c r="N7275" s="17">
        <v>43466</v>
      </c>
      <c r="O7275" s="15" t="s">
        <v>52</v>
      </c>
      <c r="P7275" s="16" t="s">
        <v>20888</v>
      </c>
      <c r="Q7275" s="15" t="s">
        <v>75</v>
      </c>
      <c r="R7275" s="13" t="str">
        <f>HYPERLINK("https://my.pitchbook.com?c=139788-82T","View Company Online")</f>
        <v>View Company Online</v>
      </c>
    </row>
    <row r="7276" spans="1:18" hidden="1" x14ac:dyDescent="0.3">
      <c r="A7276" s="9" t="s">
        <v>21639</v>
      </c>
      <c r="B7276" s="9" t="s">
        <v>21640</v>
      </c>
      <c r="C7276" s="11" t="s">
        <v>28</v>
      </c>
      <c r="D7276" s="9" t="s">
        <v>21641</v>
      </c>
      <c r="E7276" s="11" t="s">
        <v>28</v>
      </c>
      <c r="F7276" s="10" t="s">
        <v>28</v>
      </c>
      <c r="G7276" s="10" t="s">
        <v>28</v>
      </c>
      <c r="H7276" s="10" t="s">
        <v>28</v>
      </c>
      <c r="I7276" s="11" t="s">
        <v>28</v>
      </c>
      <c r="J7276" s="11" t="s">
        <v>28</v>
      </c>
      <c r="K7276" s="11" t="s">
        <v>28</v>
      </c>
      <c r="L7276" s="11" t="s">
        <v>28</v>
      </c>
      <c r="M7276" s="11" t="s">
        <v>28</v>
      </c>
      <c r="N7276" s="8">
        <v>43466</v>
      </c>
      <c r="O7276" s="9" t="s">
        <v>73</v>
      </c>
      <c r="P7276" s="12" t="s">
        <v>10130</v>
      </c>
      <c r="Q7276" s="9" t="s">
        <v>2043</v>
      </c>
      <c r="R7276" s="14" t="str">
        <f>HYPERLINK("https://my.pitchbook.com?c=193799-71T","View Company Online")</f>
        <v>View Company Online</v>
      </c>
    </row>
    <row r="7277" spans="1:18" hidden="1" x14ac:dyDescent="0.3">
      <c r="A7277" s="15" t="s">
        <v>21642</v>
      </c>
      <c r="B7277" s="15" t="s">
        <v>21643</v>
      </c>
      <c r="C7277" s="18" t="s">
        <v>28</v>
      </c>
      <c r="D7277" s="15" t="s">
        <v>21644</v>
      </c>
      <c r="E7277" s="18" t="s">
        <v>28</v>
      </c>
      <c r="F7277" s="19" t="s">
        <v>28</v>
      </c>
      <c r="G7277" s="19" t="s">
        <v>28</v>
      </c>
      <c r="H7277" s="19" t="s">
        <v>28</v>
      </c>
      <c r="I7277" s="18" t="s">
        <v>28</v>
      </c>
      <c r="J7277" s="18" t="s">
        <v>28</v>
      </c>
      <c r="K7277" s="18" t="s">
        <v>28</v>
      </c>
      <c r="L7277" s="18" t="s">
        <v>28</v>
      </c>
      <c r="M7277" s="18" t="s">
        <v>28</v>
      </c>
      <c r="N7277" s="17">
        <v>43466</v>
      </c>
      <c r="O7277" s="15" t="s">
        <v>41</v>
      </c>
      <c r="P7277" s="16" t="s">
        <v>19324</v>
      </c>
      <c r="Q7277" s="15" t="s">
        <v>75</v>
      </c>
      <c r="R7277" s="13" t="str">
        <f>HYPERLINK("https://my.pitchbook.com?c=256285-09T","View Company Online")</f>
        <v>View Company Online</v>
      </c>
    </row>
    <row r="7278" spans="1:18" hidden="1" x14ac:dyDescent="0.3">
      <c r="A7278" s="9" t="s">
        <v>21645</v>
      </c>
      <c r="B7278" s="9" t="s">
        <v>21646</v>
      </c>
      <c r="C7278" s="11" t="s">
        <v>28</v>
      </c>
      <c r="D7278" s="9" t="s">
        <v>21647</v>
      </c>
      <c r="E7278" s="11" t="s">
        <v>28</v>
      </c>
      <c r="F7278" s="10">
        <v>94.3</v>
      </c>
      <c r="G7278" s="10">
        <v>94.3</v>
      </c>
      <c r="H7278" s="10">
        <v>94.3</v>
      </c>
      <c r="I7278" s="11" t="s">
        <v>28</v>
      </c>
      <c r="J7278" s="11" t="s">
        <v>28</v>
      </c>
      <c r="K7278" s="11" t="s">
        <v>28</v>
      </c>
      <c r="L7278" s="11" t="s">
        <v>28</v>
      </c>
      <c r="M7278" s="11" t="s">
        <v>28</v>
      </c>
      <c r="N7278" s="8">
        <v>43466</v>
      </c>
      <c r="O7278" s="9" t="s">
        <v>41</v>
      </c>
      <c r="P7278" s="12" t="s">
        <v>18837</v>
      </c>
      <c r="Q7278" s="9" t="s">
        <v>880</v>
      </c>
      <c r="R7278" s="14" t="str">
        <f>HYPERLINK("https://my.pitchbook.com?c=187767-55T","View Company Online")</f>
        <v>View Company Online</v>
      </c>
    </row>
    <row r="7279" spans="1:18" hidden="1" x14ac:dyDescent="0.3">
      <c r="A7279" s="15" t="s">
        <v>21648</v>
      </c>
      <c r="B7279" s="15" t="s">
        <v>19002</v>
      </c>
      <c r="C7279" s="18" t="s">
        <v>28</v>
      </c>
      <c r="D7279" s="15" t="s">
        <v>19003</v>
      </c>
      <c r="E7279" s="18" t="s">
        <v>28</v>
      </c>
      <c r="F7279" s="19" t="s">
        <v>28</v>
      </c>
      <c r="G7279" s="19" t="s">
        <v>28</v>
      </c>
      <c r="H7279" s="19" t="s">
        <v>28</v>
      </c>
      <c r="I7279" s="18" t="s">
        <v>28</v>
      </c>
      <c r="J7279" s="18" t="s">
        <v>28</v>
      </c>
      <c r="K7279" s="18" t="s">
        <v>28</v>
      </c>
      <c r="L7279" s="18" t="s">
        <v>28</v>
      </c>
      <c r="M7279" s="18" t="s">
        <v>28</v>
      </c>
      <c r="N7279" s="17">
        <v>43466</v>
      </c>
      <c r="O7279" s="15" t="s">
        <v>99</v>
      </c>
      <c r="P7279" s="16" t="s">
        <v>21649</v>
      </c>
      <c r="Q7279" s="15" t="s">
        <v>75</v>
      </c>
      <c r="R7279" s="13" t="str">
        <f>HYPERLINK("https://my.pitchbook.com?c=207586-54T","View Company Online")</f>
        <v>View Company Online</v>
      </c>
    </row>
    <row r="7280" spans="1:18" hidden="1" x14ac:dyDescent="0.3">
      <c r="A7280" s="9" t="s">
        <v>21650</v>
      </c>
      <c r="B7280" s="9" t="s">
        <v>21651</v>
      </c>
      <c r="C7280" s="11" t="s">
        <v>28</v>
      </c>
      <c r="D7280" s="9" t="s">
        <v>21652</v>
      </c>
      <c r="E7280" s="11" t="s">
        <v>28</v>
      </c>
      <c r="F7280" s="10" t="s">
        <v>28</v>
      </c>
      <c r="G7280" s="10" t="s">
        <v>28</v>
      </c>
      <c r="H7280" s="10" t="s">
        <v>28</v>
      </c>
      <c r="I7280" s="11" t="s">
        <v>28</v>
      </c>
      <c r="J7280" s="11" t="s">
        <v>28</v>
      </c>
      <c r="K7280" s="11" t="s">
        <v>28</v>
      </c>
      <c r="L7280" s="11" t="s">
        <v>28</v>
      </c>
      <c r="M7280" s="11" t="s">
        <v>28</v>
      </c>
      <c r="N7280" s="8">
        <v>43466</v>
      </c>
      <c r="O7280" s="9" t="s">
        <v>41</v>
      </c>
      <c r="P7280" s="12" t="s">
        <v>21653</v>
      </c>
      <c r="Q7280" s="9" t="s">
        <v>95</v>
      </c>
      <c r="R7280" s="14" t="str">
        <f>HYPERLINK("https://my.pitchbook.com?c=283541-86T","View Company Online")</f>
        <v>View Company Online</v>
      </c>
    </row>
    <row r="7281" spans="1:18" hidden="1" x14ac:dyDescent="0.3">
      <c r="A7281" s="15" t="s">
        <v>21654</v>
      </c>
      <c r="B7281" s="15" t="s">
        <v>21655</v>
      </c>
      <c r="C7281" s="18" t="s">
        <v>28</v>
      </c>
      <c r="D7281" s="15" t="s">
        <v>21656</v>
      </c>
      <c r="E7281" s="18" t="s">
        <v>28</v>
      </c>
      <c r="F7281" s="19" t="s">
        <v>28</v>
      </c>
      <c r="G7281" s="19" t="s">
        <v>28</v>
      </c>
      <c r="H7281" s="19" t="s">
        <v>28</v>
      </c>
      <c r="I7281" s="18" t="s">
        <v>28</v>
      </c>
      <c r="J7281" s="18" t="s">
        <v>28</v>
      </c>
      <c r="K7281" s="18" t="s">
        <v>28</v>
      </c>
      <c r="L7281" s="18" t="s">
        <v>28</v>
      </c>
      <c r="M7281" s="18" t="s">
        <v>28</v>
      </c>
      <c r="N7281" s="17">
        <v>43466</v>
      </c>
      <c r="O7281" s="15" t="s">
        <v>41</v>
      </c>
      <c r="P7281" s="16" t="s">
        <v>28</v>
      </c>
      <c r="Q7281" s="15" t="s">
        <v>75</v>
      </c>
      <c r="R7281" s="13" t="str">
        <f>HYPERLINK("https://my.pitchbook.com?c=119641-15T","View Company Online")</f>
        <v>View Company Online</v>
      </c>
    </row>
    <row r="7282" spans="1:18" hidden="1" x14ac:dyDescent="0.3">
      <c r="A7282" s="9" t="s">
        <v>21657</v>
      </c>
      <c r="B7282" s="9" t="s">
        <v>1626</v>
      </c>
      <c r="C7282" s="11" t="s">
        <v>28</v>
      </c>
      <c r="D7282" s="9" t="s">
        <v>1627</v>
      </c>
      <c r="E7282" s="11" t="s">
        <v>28</v>
      </c>
      <c r="F7282" s="10" t="s">
        <v>28</v>
      </c>
      <c r="G7282" s="10" t="s">
        <v>28</v>
      </c>
      <c r="H7282" s="10" t="s">
        <v>28</v>
      </c>
      <c r="I7282" s="11" t="s">
        <v>28</v>
      </c>
      <c r="J7282" s="11" t="s">
        <v>28</v>
      </c>
      <c r="K7282" s="11" t="s">
        <v>28</v>
      </c>
      <c r="L7282" s="11" t="s">
        <v>28</v>
      </c>
      <c r="M7282" s="11" t="s">
        <v>28</v>
      </c>
      <c r="N7282" s="8">
        <v>43466</v>
      </c>
      <c r="O7282" s="9" t="s">
        <v>379</v>
      </c>
      <c r="P7282" s="12" t="s">
        <v>28</v>
      </c>
      <c r="Q7282" s="9" t="s">
        <v>37</v>
      </c>
      <c r="R7282" s="14" t="str">
        <f>HYPERLINK("https://my.pitchbook.com?c=174853-90T","View Company Online")</f>
        <v>View Company Online</v>
      </c>
    </row>
    <row r="7283" spans="1:18" hidden="1" x14ac:dyDescent="0.3">
      <c r="A7283" s="15" t="s">
        <v>21658</v>
      </c>
      <c r="B7283" s="15" t="s">
        <v>21659</v>
      </c>
      <c r="C7283" s="18" t="s">
        <v>28</v>
      </c>
      <c r="D7283" s="15" t="s">
        <v>21660</v>
      </c>
      <c r="E7283" s="18" t="s">
        <v>28</v>
      </c>
      <c r="F7283" s="19" t="s">
        <v>28</v>
      </c>
      <c r="G7283" s="19" t="s">
        <v>28</v>
      </c>
      <c r="H7283" s="19" t="s">
        <v>28</v>
      </c>
      <c r="I7283" s="18" t="s">
        <v>28</v>
      </c>
      <c r="J7283" s="18" t="s">
        <v>28</v>
      </c>
      <c r="K7283" s="18" t="s">
        <v>28</v>
      </c>
      <c r="L7283" s="18" t="s">
        <v>28</v>
      </c>
      <c r="M7283" s="18" t="s">
        <v>28</v>
      </c>
      <c r="N7283" s="17">
        <v>43466</v>
      </c>
      <c r="O7283" s="15" t="s">
        <v>30</v>
      </c>
      <c r="P7283" s="16" t="s">
        <v>11318</v>
      </c>
      <c r="Q7283" s="15" t="s">
        <v>290</v>
      </c>
      <c r="R7283" s="13" t="str">
        <f>HYPERLINK("https://my.pitchbook.com?c=175655-08T","View Company Online")</f>
        <v>View Company Online</v>
      </c>
    </row>
    <row r="7284" spans="1:18" hidden="1" x14ac:dyDescent="0.3">
      <c r="A7284" s="9" t="s">
        <v>21661</v>
      </c>
      <c r="B7284" s="9" t="s">
        <v>21662</v>
      </c>
      <c r="C7284" s="11" t="s">
        <v>28</v>
      </c>
      <c r="D7284" s="9" t="s">
        <v>21663</v>
      </c>
      <c r="E7284" s="11" t="s">
        <v>28</v>
      </c>
      <c r="F7284" s="10" t="s">
        <v>28</v>
      </c>
      <c r="G7284" s="10" t="s">
        <v>28</v>
      </c>
      <c r="H7284" s="10" t="s">
        <v>28</v>
      </c>
      <c r="I7284" s="11" t="s">
        <v>28</v>
      </c>
      <c r="J7284" s="11" t="s">
        <v>28</v>
      </c>
      <c r="K7284" s="11" t="s">
        <v>28</v>
      </c>
      <c r="L7284" s="11" t="s">
        <v>28</v>
      </c>
      <c r="M7284" s="11" t="s">
        <v>28</v>
      </c>
      <c r="N7284" s="8">
        <v>43466</v>
      </c>
      <c r="O7284" s="9" t="s">
        <v>52</v>
      </c>
      <c r="P7284" s="12" t="s">
        <v>2442</v>
      </c>
      <c r="Q7284" s="9" t="s">
        <v>75</v>
      </c>
      <c r="R7284" s="14" t="str">
        <f>HYPERLINK("https://my.pitchbook.com?c=261624-97T","View Company Online")</f>
        <v>View Company Online</v>
      </c>
    </row>
    <row r="7285" spans="1:18" hidden="1" x14ac:dyDescent="0.3">
      <c r="A7285" s="15" t="s">
        <v>21664</v>
      </c>
      <c r="B7285" s="15" t="s">
        <v>21665</v>
      </c>
      <c r="C7285" s="18" t="s">
        <v>28</v>
      </c>
      <c r="D7285" s="15" t="s">
        <v>21666</v>
      </c>
      <c r="E7285" s="18" t="s">
        <v>28</v>
      </c>
      <c r="F7285" s="19" t="s">
        <v>28</v>
      </c>
      <c r="G7285" s="19">
        <v>0.5</v>
      </c>
      <c r="H7285" s="19" t="s">
        <v>28</v>
      </c>
      <c r="I7285" s="18" t="s">
        <v>28</v>
      </c>
      <c r="J7285" s="18" t="s">
        <v>28</v>
      </c>
      <c r="K7285" s="18" t="s">
        <v>28</v>
      </c>
      <c r="L7285" s="18" t="s">
        <v>28</v>
      </c>
      <c r="M7285" s="18" t="s">
        <v>28</v>
      </c>
      <c r="N7285" s="17">
        <v>43466</v>
      </c>
      <c r="O7285" s="15" t="s">
        <v>52</v>
      </c>
      <c r="P7285" s="16" t="s">
        <v>21667</v>
      </c>
      <c r="Q7285" s="15" t="s">
        <v>449</v>
      </c>
      <c r="R7285" s="13" t="str">
        <f>HYPERLINK("https://my.pitchbook.com?c=125849-71T","View Company Online")</f>
        <v>View Company Online</v>
      </c>
    </row>
    <row r="7286" spans="1:18" hidden="1" x14ac:dyDescent="0.3">
      <c r="A7286" s="9" t="s">
        <v>21668</v>
      </c>
      <c r="B7286" s="9" t="s">
        <v>19899</v>
      </c>
      <c r="C7286" s="11" t="s">
        <v>28</v>
      </c>
      <c r="D7286" s="9" t="s">
        <v>19900</v>
      </c>
      <c r="E7286" s="11" t="s">
        <v>28</v>
      </c>
      <c r="F7286" s="10" t="s">
        <v>28</v>
      </c>
      <c r="G7286" s="10">
        <v>0.01</v>
      </c>
      <c r="H7286" s="10" t="s">
        <v>28</v>
      </c>
      <c r="I7286" s="11" t="s">
        <v>28</v>
      </c>
      <c r="J7286" s="11" t="s">
        <v>28</v>
      </c>
      <c r="K7286" s="11" t="s">
        <v>28</v>
      </c>
      <c r="L7286" s="11" t="s">
        <v>28</v>
      </c>
      <c r="M7286" s="11" t="s">
        <v>28</v>
      </c>
      <c r="N7286" s="8">
        <v>43466</v>
      </c>
      <c r="O7286" s="9" t="s">
        <v>379</v>
      </c>
      <c r="P7286" s="12" t="s">
        <v>28</v>
      </c>
      <c r="Q7286" s="9" t="s">
        <v>136</v>
      </c>
      <c r="R7286" s="14" t="str">
        <f>HYPERLINK("https://my.pitchbook.com?c=127271-17T","View Company Online")</f>
        <v>View Company Online</v>
      </c>
    </row>
    <row r="7287" spans="1:18" hidden="1" x14ac:dyDescent="0.3">
      <c r="A7287" s="15" t="s">
        <v>21669</v>
      </c>
      <c r="B7287" s="15" t="s">
        <v>14493</v>
      </c>
      <c r="C7287" s="18" t="s">
        <v>28</v>
      </c>
      <c r="D7287" s="15" t="s">
        <v>14494</v>
      </c>
      <c r="E7287" s="18" t="s">
        <v>28</v>
      </c>
      <c r="F7287" s="19" t="s">
        <v>28</v>
      </c>
      <c r="G7287" s="19">
        <v>0.13</v>
      </c>
      <c r="H7287" s="19" t="s">
        <v>28</v>
      </c>
      <c r="I7287" s="18" t="s">
        <v>28</v>
      </c>
      <c r="J7287" s="18" t="s">
        <v>28</v>
      </c>
      <c r="K7287" s="18" t="s">
        <v>28</v>
      </c>
      <c r="L7287" s="18" t="s">
        <v>28</v>
      </c>
      <c r="M7287" s="18" t="s">
        <v>28</v>
      </c>
      <c r="N7287" s="17">
        <v>43466</v>
      </c>
      <c r="O7287" s="15" t="s">
        <v>379</v>
      </c>
      <c r="P7287" s="16" t="s">
        <v>28</v>
      </c>
      <c r="Q7287" s="15" t="s">
        <v>75</v>
      </c>
      <c r="R7287" s="13" t="str">
        <f>HYPERLINK("https://my.pitchbook.com?c=177535-90T","View Company Online")</f>
        <v>View Company Online</v>
      </c>
    </row>
    <row r="7288" spans="1:18" hidden="1" x14ac:dyDescent="0.3">
      <c r="A7288" s="9" t="s">
        <v>21670</v>
      </c>
      <c r="B7288" s="9" t="s">
        <v>9104</v>
      </c>
      <c r="C7288" s="11" t="s">
        <v>28</v>
      </c>
      <c r="D7288" s="9" t="s">
        <v>9105</v>
      </c>
      <c r="E7288" s="11" t="s">
        <v>28</v>
      </c>
      <c r="F7288" s="10" t="s">
        <v>28</v>
      </c>
      <c r="G7288" s="10">
        <v>0.51</v>
      </c>
      <c r="H7288" s="10" t="s">
        <v>28</v>
      </c>
      <c r="I7288" s="11" t="s">
        <v>28</v>
      </c>
      <c r="J7288" s="11" t="s">
        <v>28</v>
      </c>
      <c r="K7288" s="11" t="s">
        <v>28</v>
      </c>
      <c r="L7288" s="11" t="s">
        <v>28</v>
      </c>
      <c r="M7288" s="11" t="s">
        <v>28</v>
      </c>
      <c r="N7288" s="8">
        <v>43466</v>
      </c>
      <c r="O7288" s="9" t="s">
        <v>379</v>
      </c>
      <c r="P7288" s="12" t="s">
        <v>21671</v>
      </c>
      <c r="Q7288" s="9" t="s">
        <v>692</v>
      </c>
      <c r="R7288" s="14" t="str">
        <f>HYPERLINK("https://my.pitchbook.com?c=174311-20T","View Company Online")</f>
        <v>View Company Online</v>
      </c>
    </row>
    <row r="7289" spans="1:18" hidden="1" x14ac:dyDescent="0.3">
      <c r="A7289" s="15" t="s">
        <v>21672</v>
      </c>
      <c r="B7289" s="15" t="s">
        <v>834</v>
      </c>
      <c r="C7289" s="18" t="s">
        <v>28</v>
      </c>
      <c r="D7289" s="15" t="s">
        <v>835</v>
      </c>
      <c r="E7289" s="18" t="s">
        <v>28</v>
      </c>
      <c r="F7289" s="19" t="s">
        <v>28</v>
      </c>
      <c r="G7289" s="19">
        <v>0.1</v>
      </c>
      <c r="H7289" s="19" t="s">
        <v>28</v>
      </c>
      <c r="I7289" s="18" t="s">
        <v>28</v>
      </c>
      <c r="J7289" s="18" t="s">
        <v>28</v>
      </c>
      <c r="K7289" s="18" t="s">
        <v>28</v>
      </c>
      <c r="L7289" s="18" t="s">
        <v>28</v>
      </c>
      <c r="M7289" s="18" t="s">
        <v>28</v>
      </c>
      <c r="N7289" s="17">
        <v>43466</v>
      </c>
      <c r="O7289" s="15" t="s">
        <v>379</v>
      </c>
      <c r="P7289" s="16" t="s">
        <v>21673</v>
      </c>
      <c r="Q7289" s="15" t="s">
        <v>75</v>
      </c>
      <c r="R7289" s="13" t="str">
        <f>HYPERLINK("https://my.pitchbook.com?c=270466-03T","View Company Online")</f>
        <v>View Company Online</v>
      </c>
    </row>
    <row r="7290" spans="1:18" hidden="1" x14ac:dyDescent="0.3">
      <c r="A7290" s="9" t="s">
        <v>21674</v>
      </c>
      <c r="B7290" s="9" t="s">
        <v>11606</v>
      </c>
      <c r="C7290" s="11" t="s">
        <v>28</v>
      </c>
      <c r="D7290" s="9" t="s">
        <v>11607</v>
      </c>
      <c r="E7290" s="11" t="s">
        <v>28</v>
      </c>
      <c r="F7290" s="10" t="s">
        <v>28</v>
      </c>
      <c r="G7290" s="10" t="s">
        <v>28</v>
      </c>
      <c r="H7290" s="10" t="s">
        <v>28</v>
      </c>
      <c r="I7290" s="11" t="s">
        <v>28</v>
      </c>
      <c r="J7290" s="11" t="s">
        <v>28</v>
      </c>
      <c r="K7290" s="11" t="s">
        <v>28</v>
      </c>
      <c r="L7290" s="11" t="s">
        <v>28</v>
      </c>
      <c r="M7290" s="11" t="s">
        <v>28</v>
      </c>
      <c r="N7290" s="8">
        <v>43466</v>
      </c>
      <c r="O7290" s="9" t="s">
        <v>79</v>
      </c>
      <c r="P7290" s="12" t="s">
        <v>7308</v>
      </c>
      <c r="Q7290" s="9" t="s">
        <v>37</v>
      </c>
      <c r="R7290" s="14" t="str">
        <f>HYPERLINK("https://my.pitchbook.com?c=215877-34T","View Company Online")</f>
        <v>View Company Online</v>
      </c>
    </row>
    <row r="7291" spans="1:18" hidden="1" x14ac:dyDescent="0.3">
      <c r="A7291" s="15" t="s">
        <v>21675</v>
      </c>
      <c r="B7291" s="15" t="s">
        <v>11473</v>
      </c>
      <c r="C7291" s="18" t="s">
        <v>28</v>
      </c>
      <c r="D7291" s="15" t="s">
        <v>11474</v>
      </c>
      <c r="E7291" s="18" t="s">
        <v>28</v>
      </c>
      <c r="F7291" s="19" t="s">
        <v>28</v>
      </c>
      <c r="G7291" s="19">
        <v>0.3</v>
      </c>
      <c r="H7291" s="19" t="s">
        <v>28</v>
      </c>
      <c r="I7291" s="18" t="s">
        <v>28</v>
      </c>
      <c r="J7291" s="18" t="s">
        <v>28</v>
      </c>
      <c r="K7291" s="18" t="s">
        <v>28</v>
      </c>
      <c r="L7291" s="18" t="s">
        <v>28</v>
      </c>
      <c r="M7291" s="18" t="s">
        <v>28</v>
      </c>
      <c r="N7291" s="17">
        <v>43466</v>
      </c>
      <c r="O7291" s="15" t="s">
        <v>52</v>
      </c>
      <c r="P7291" s="16" t="s">
        <v>2864</v>
      </c>
      <c r="Q7291" s="15" t="s">
        <v>3912</v>
      </c>
      <c r="R7291" s="13" t="str">
        <f>HYPERLINK("https://my.pitchbook.com?c=202279-60T","View Company Online")</f>
        <v>View Company Online</v>
      </c>
    </row>
    <row r="7292" spans="1:18" hidden="1" x14ac:dyDescent="0.3">
      <c r="A7292" s="9" t="s">
        <v>21676</v>
      </c>
      <c r="B7292" s="9" t="s">
        <v>21677</v>
      </c>
      <c r="C7292" s="11" t="s">
        <v>28</v>
      </c>
      <c r="D7292" s="9" t="s">
        <v>21678</v>
      </c>
      <c r="E7292" s="11" t="s">
        <v>28</v>
      </c>
      <c r="F7292" s="10" t="s">
        <v>28</v>
      </c>
      <c r="G7292" s="10" t="s">
        <v>28</v>
      </c>
      <c r="H7292" s="10" t="s">
        <v>28</v>
      </c>
      <c r="I7292" s="11" t="s">
        <v>28</v>
      </c>
      <c r="J7292" s="11" t="s">
        <v>28</v>
      </c>
      <c r="K7292" s="11" t="s">
        <v>28</v>
      </c>
      <c r="L7292" s="11" t="s">
        <v>28</v>
      </c>
      <c r="M7292" s="11" t="s">
        <v>28</v>
      </c>
      <c r="N7292" s="8">
        <v>43466</v>
      </c>
      <c r="O7292" s="9" t="s">
        <v>41</v>
      </c>
      <c r="P7292" s="12" t="s">
        <v>10268</v>
      </c>
      <c r="Q7292" s="9" t="s">
        <v>75</v>
      </c>
      <c r="R7292" s="14" t="str">
        <f>HYPERLINK("https://my.pitchbook.com?c=276211-99T","View Company Online")</f>
        <v>View Company Online</v>
      </c>
    </row>
    <row r="7293" spans="1:18" hidden="1" x14ac:dyDescent="0.3">
      <c r="A7293" s="15" t="s">
        <v>21679</v>
      </c>
      <c r="B7293" s="15" t="s">
        <v>21680</v>
      </c>
      <c r="C7293" s="18" t="s">
        <v>28</v>
      </c>
      <c r="D7293" s="15" t="s">
        <v>21681</v>
      </c>
      <c r="E7293" s="18" t="s">
        <v>28</v>
      </c>
      <c r="F7293" s="19" t="s">
        <v>28</v>
      </c>
      <c r="G7293" s="19" t="s">
        <v>28</v>
      </c>
      <c r="H7293" s="19" t="s">
        <v>28</v>
      </c>
      <c r="I7293" s="18" t="s">
        <v>28</v>
      </c>
      <c r="J7293" s="18" t="s">
        <v>28</v>
      </c>
      <c r="K7293" s="18" t="s">
        <v>28</v>
      </c>
      <c r="L7293" s="18" t="s">
        <v>28</v>
      </c>
      <c r="M7293" s="18" t="s">
        <v>28</v>
      </c>
      <c r="N7293" s="17">
        <v>43466</v>
      </c>
      <c r="O7293" s="15" t="s">
        <v>30</v>
      </c>
      <c r="P7293" s="16" t="s">
        <v>21682</v>
      </c>
      <c r="Q7293" s="15" t="s">
        <v>7913</v>
      </c>
      <c r="R7293" s="13" t="str">
        <f>HYPERLINK("https://my.pitchbook.com?c=211916-89T","View Company Online")</f>
        <v>View Company Online</v>
      </c>
    </row>
    <row r="7294" spans="1:18" hidden="1" x14ac:dyDescent="0.3">
      <c r="A7294" s="9" t="s">
        <v>21683</v>
      </c>
      <c r="B7294" s="9" t="s">
        <v>21684</v>
      </c>
      <c r="C7294" s="11" t="s">
        <v>28</v>
      </c>
      <c r="D7294" s="9" t="s">
        <v>21685</v>
      </c>
      <c r="E7294" s="11" t="s">
        <v>28</v>
      </c>
      <c r="F7294" s="10" t="s">
        <v>28</v>
      </c>
      <c r="G7294" s="10">
        <v>0.08</v>
      </c>
      <c r="H7294" s="10" t="s">
        <v>28</v>
      </c>
      <c r="I7294" s="11" t="s">
        <v>28</v>
      </c>
      <c r="J7294" s="11" t="s">
        <v>28</v>
      </c>
      <c r="K7294" s="11" t="s">
        <v>28</v>
      </c>
      <c r="L7294" s="11" t="s">
        <v>28</v>
      </c>
      <c r="M7294" s="11" t="s">
        <v>28</v>
      </c>
      <c r="N7294" s="8">
        <v>43466</v>
      </c>
      <c r="O7294" s="9" t="s">
        <v>52</v>
      </c>
      <c r="P7294" s="12" t="s">
        <v>2864</v>
      </c>
      <c r="Q7294" s="9" t="s">
        <v>75</v>
      </c>
      <c r="R7294" s="14" t="str">
        <f>HYPERLINK("https://my.pitchbook.com?c=202257-64T","View Company Online")</f>
        <v>View Company Online</v>
      </c>
    </row>
    <row r="7295" spans="1:18" hidden="1" x14ac:dyDescent="0.3">
      <c r="A7295" s="15" t="s">
        <v>21686</v>
      </c>
      <c r="B7295" s="15" t="s">
        <v>17722</v>
      </c>
      <c r="C7295" s="18" t="s">
        <v>28</v>
      </c>
      <c r="D7295" s="15" t="s">
        <v>17723</v>
      </c>
      <c r="E7295" s="18" t="s">
        <v>28</v>
      </c>
      <c r="F7295" s="19" t="s">
        <v>28</v>
      </c>
      <c r="G7295" s="19" t="s">
        <v>28</v>
      </c>
      <c r="H7295" s="19" t="s">
        <v>28</v>
      </c>
      <c r="I7295" s="18">
        <v>-4.93</v>
      </c>
      <c r="J7295" s="18" t="s">
        <v>28</v>
      </c>
      <c r="K7295" s="18">
        <v>59.37</v>
      </c>
      <c r="L7295" s="18" t="s">
        <v>28</v>
      </c>
      <c r="M7295" s="18" t="s">
        <v>28</v>
      </c>
      <c r="N7295" s="17">
        <v>43466</v>
      </c>
      <c r="O7295" s="15" t="s">
        <v>73</v>
      </c>
      <c r="P7295" s="16" t="s">
        <v>21687</v>
      </c>
      <c r="Q7295" s="15" t="s">
        <v>119</v>
      </c>
      <c r="R7295" s="13" t="str">
        <f>HYPERLINK("https://my.pitchbook.com?c=119449-36T","View Company Online")</f>
        <v>View Company Online</v>
      </c>
    </row>
    <row r="7296" spans="1:18" hidden="1" x14ac:dyDescent="0.3">
      <c r="A7296" s="9" t="s">
        <v>21688</v>
      </c>
      <c r="B7296" s="9" t="s">
        <v>21689</v>
      </c>
      <c r="C7296" s="11" t="s">
        <v>28</v>
      </c>
      <c r="D7296" s="9" t="s">
        <v>21690</v>
      </c>
      <c r="E7296" s="11" t="s">
        <v>28</v>
      </c>
      <c r="F7296" s="10" t="s">
        <v>28</v>
      </c>
      <c r="G7296" s="10" t="s">
        <v>28</v>
      </c>
      <c r="H7296" s="10" t="s">
        <v>28</v>
      </c>
      <c r="I7296" s="11" t="s">
        <v>28</v>
      </c>
      <c r="J7296" s="11" t="s">
        <v>28</v>
      </c>
      <c r="K7296" s="11" t="s">
        <v>28</v>
      </c>
      <c r="L7296" s="11" t="s">
        <v>28</v>
      </c>
      <c r="M7296" s="11" t="s">
        <v>28</v>
      </c>
      <c r="N7296" s="8">
        <v>43466</v>
      </c>
      <c r="O7296" s="9" t="s">
        <v>52</v>
      </c>
      <c r="P7296" s="12" t="s">
        <v>16836</v>
      </c>
      <c r="Q7296" s="9" t="s">
        <v>386</v>
      </c>
      <c r="R7296" s="14" t="str">
        <f>HYPERLINK("https://my.pitchbook.com?c=288772-48T","View Company Online")</f>
        <v>View Company Online</v>
      </c>
    </row>
    <row r="7297" spans="1:18" hidden="1" x14ac:dyDescent="0.3">
      <c r="A7297" s="15" t="s">
        <v>21691</v>
      </c>
      <c r="B7297" s="15" t="s">
        <v>21692</v>
      </c>
      <c r="C7297" s="18" t="s">
        <v>28</v>
      </c>
      <c r="D7297" s="15" t="s">
        <v>21693</v>
      </c>
      <c r="E7297" s="18" t="s">
        <v>28</v>
      </c>
      <c r="F7297" s="19" t="s">
        <v>28</v>
      </c>
      <c r="G7297" s="19" t="s">
        <v>28</v>
      </c>
      <c r="H7297" s="19" t="s">
        <v>28</v>
      </c>
      <c r="I7297" s="18" t="s">
        <v>28</v>
      </c>
      <c r="J7297" s="18" t="s">
        <v>28</v>
      </c>
      <c r="K7297" s="18" t="s">
        <v>28</v>
      </c>
      <c r="L7297" s="18" t="s">
        <v>28</v>
      </c>
      <c r="M7297" s="18" t="s">
        <v>28</v>
      </c>
      <c r="N7297" s="17">
        <v>43466</v>
      </c>
      <c r="O7297" s="15" t="s">
        <v>52</v>
      </c>
      <c r="P7297" s="16" t="s">
        <v>20888</v>
      </c>
      <c r="Q7297" s="15" t="s">
        <v>75</v>
      </c>
      <c r="R7297" s="13" t="str">
        <f>HYPERLINK("https://my.pitchbook.com?c=139791-61T","View Company Online")</f>
        <v>View Company Online</v>
      </c>
    </row>
    <row r="7298" spans="1:18" hidden="1" x14ac:dyDescent="0.3">
      <c r="A7298" s="9" t="s">
        <v>21694</v>
      </c>
      <c r="B7298" s="9" t="s">
        <v>10413</v>
      </c>
      <c r="C7298" s="11" t="s">
        <v>28</v>
      </c>
      <c r="D7298" s="9" t="s">
        <v>10414</v>
      </c>
      <c r="E7298" s="11" t="s">
        <v>28</v>
      </c>
      <c r="F7298" s="10" t="s">
        <v>28</v>
      </c>
      <c r="G7298" s="10" t="s">
        <v>28</v>
      </c>
      <c r="H7298" s="10" t="s">
        <v>28</v>
      </c>
      <c r="I7298" s="11" t="s">
        <v>28</v>
      </c>
      <c r="J7298" s="11" t="s">
        <v>28</v>
      </c>
      <c r="K7298" s="11" t="s">
        <v>28</v>
      </c>
      <c r="L7298" s="11" t="s">
        <v>28</v>
      </c>
      <c r="M7298" s="11" t="s">
        <v>28</v>
      </c>
      <c r="N7298" s="8">
        <v>43466</v>
      </c>
      <c r="O7298" s="9" t="s">
        <v>52</v>
      </c>
      <c r="P7298" s="12" t="s">
        <v>2628</v>
      </c>
      <c r="Q7298" s="9" t="s">
        <v>75</v>
      </c>
      <c r="R7298" s="14" t="str">
        <f>HYPERLINK("https://my.pitchbook.com?c=139704-04T","View Company Online")</f>
        <v>View Company Online</v>
      </c>
    </row>
    <row r="7299" spans="1:18" hidden="1" x14ac:dyDescent="0.3">
      <c r="A7299" s="15" t="s">
        <v>21695</v>
      </c>
      <c r="B7299" s="15" t="s">
        <v>13424</v>
      </c>
      <c r="C7299" s="18" t="s">
        <v>28</v>
      </c>
      <c r="D7299" s="15" t="s">
        <v>13425</v>
      </c>
      <c r="E7299" s="18" t="s">
        <v>28</v>
      </c>
      <c r="F7299" s="19" t="s">
        <v>28</v>
      </c>
      <c r="G7299" s="19">
        <v>3.34</v>
      </c>
      <c r="H7299" s="19" t="s">
        <v>28</v>
      </c>
      <c r="I7299" s="18" t="s">
        <v>28</v>
      </c>
      <c r="J7299" s="18" t="s">
        <v>28</v>
      </c>
      <c r="K7299" s="18" t="s">
        <v>28</v>
      </c>
      <c r="L7299" s="18" t="s">
        <v>28</v>
      </c>
      <c r="M7299" s="18" t="s">
        <v>28</v>
      </c>
      <c r="N7299" s="17">
        <v>43466</v>
      </c>
      <c r="O7299" s="15" t="s">
        <v>73</v>
      </c>
      <c r="P7299" s="16" t="s">
        <v>21696</v>
      </c>
      <c r="Q7299" s="15" t="s">
        <v>37</v>
      </c>
      <c r="R7299" s="13" t="str">
        <f>HYPERLINK("https://my.pitchbook.com?c=167373-64T","View Company Online")</f>
        <v>View Company Online</v>
      </c>
    </row>
    <row r="7300" spans="1:18" hidden="1" x14ac:dyDescent="0.3">
      <c r="A7300" s="9" t="s">
        <v>21697</v>
      </c>
      <c r="B7300" s="9" t="s">
        <v>4156</v>
      </c>
      <c r="C7300" s="11" t="s">
        <v>28</v>
      </c>
      <c r="D7300" s="9" t="s">
        <v>4157</v>
      </c>
      <c r="E7300" s="11" t="s">
        <v>28</v>
      </c>
      <c r="F7300" s="10" t="s">
        <v>28</v>
      </c>
      <c r="G7300" s="10">
        <v>0.03</v>
      </c>
      <c r="H7300" s="10" t="s">
        <v>28</v>
      </c>
      <c r="I7300" s="11" t="s">
        <v>28</v>
      </c>
      <c r="J7300" s="11" t="s">
        <v>28</v>
      </c>
      <c r="K7300" s="11" t="s">
        <v>28</v>
      </c>
      <c r="L7300" s="11" t="s">
        <v>28</v>
      </c>
      <c r="M7300" s="11" t="s">
        <v>28</v>
      </c>
      <c r="N7300" s="8">
        <v>43466</v>
      </c>
      <c r="O7300" s="9" t="s">
        <v>9098</v>
      </c>
      <c r="P7300" s="12" t="s">
        <v>28</v>
      </c>
      <c r="Q7300" s="9" t="s">
        <v>249</v>
      </c>
      <c r="R7300" s="14" t="str">
        <f>HYPERLINK("https://my.pitchbook.com?c=178106-95T","View Company Online")</f>
        <v>View Company Online</v>
      </c>
    </row>
    <row r="7301" spans="1:18" hidden="1" x14ac:dyDescent="0.3">
      <c r="A7301" s="15" t="s">
        <v>21698</v>
      </c>
      <c r="B7301" s="15" t="s">
        <v>21699</v>
      </c>
      <c r="C7301" s="18" t="s">
        <v>28</v>
      </c>
      <c r="D7301" s="15" t="s">
        <v>21700</v>
      </c>
      <c r="E7301" s="18" t="s">
        <v>28</v>
      </c>
      <c r="F7301" s="19" t="s">
        <v>28</v>
      </c>
      <c r="G7301" s="19" t="s">
        <v>28</v>
      </c>
      <c r="H7301" s="19" t="s">
        <v>28</v>
      </c>
      <c r="I7301" s="18" t="s">
        <v>28</v>
      </c>
      <c r="J7301" s="18" t="s">
        <v>28</v>
      </c>
      <c r="K7301" s="18" t="s">
        <v>28</v>
      </c>
      <c r="L7301" s="18" t="s">
        <v>28</v>
      </c>
      <c r="M7301" s="18" t="s">
        <v>28</v>
      </c>
      <c r="N7301" s="17">
        <v>43466</v>
      </c>
      <c r="O7301" s="15" t="s">
        <v>52</v>
      </c>
      <c r="P7301" s="16" t="s">
        <v>21701</v>
      </c>
      <c r="Q7301" s="15" t="s">
        <v>371</v>
      </c>
      <c r="R7301" s="13" t="str">
        <f>HYPERLINK("https://my.pitchbook.com?c=295806-97T","View Company Online")</f>
        <v>View Company Online</v>
      </c>
    </row>
    <row r="7302" spans="1:18" hidden="1" x14ac:dyDescent="0.3">
      <c r="A7302" s="9" t="s">
        <v>21702</v>
      </c>
      <c r="B7302" s="9" t="s">
        <v>8778</v>
      </c>
      <c r="C7302" s="11" t="s">
        <v>28</v>
      </c>
      <c r="D7302" s="9" t="s">
        <v>8779</v>
      </c>
      <c r="E7302" s="11" t="s">
        <v>28</v>
      </c>
      <c r="F7302" s="10" t="s">
        <v>28</v>
      </c>
      <c r="G7302" s="10" t="s">
        <v>28</v>
      </c>
      <c r="H7302" s="10" t="s">
        <v>28</v>
      </c>
      <c r="I7302" s="11" t="s">
        <v>28</v>
      </c>
      <c r="J7302" s="11" t="s">
        <v>28</v>
      </c>
      <c r="K7302" s="11" t="s">
        <v>28</v>
      </c>
      <c r="L7302" s="11" t="s">
        <v>28</v>
      </c>
      <c r="M7302" s="11" t="s">
        <v>28</v>
      </c>
      <c r="N7302" s="8">
        <v>43466</v>
      </c>
      <c r="O7302" s="9" t="s">
        <v>52</v>
      </c>
      <c r="P7302" s="12" t="s">
        <v>16928</v>
      </c>
      <c r="Q7302" s="9" t="s">
        <v>75</v>
      </c>
      <c r="R7302" s="14" t="str">
        <f>HYPERLINK("https://my.pitchbook.com?c=284437-99T","View Company Online")</f>
        <v>View Company Online</v>
      </c>
    </row>
    <row r="7303" spans="1:18" hidden="1" x14ac:dyDescent="0.3">
      <c r="A7303" s="15" t="s">
        <v>21703</v>
      </c>
      <c r="B7303" s="15" t="s">
        <v>21704</v>
      </c>
      <c r="C7303" s="18" t="s">
        <v>28</v>
      </c>
      <c r="D7303" s="15" t="s">
        <v>21705</v>
      </c>
      <c r="E7303" s="18" t="s">
        <v>28</v>
      </c>
      <c r="F7303" s="19" t="s">
        <v>28</v>
      </c>
      <c r="G7303" s="19" t="s">
        <v>28</v>
      </c>
      <c r="H7303" s="19" t="s">
        <v>28</v>
      </c>
      <c r="I7303" s="18" t="s">
        <v>28</v>
      </c>
      <c r="J7303" s="18" t="s">
        <v>28</v>
      </c>
      <c r="K7303" s="18" t="s">
        <v>28</v>
      </c>
      <c r="L7303" s="18" t="s">
        <v>28</v>
      </c>
      <c r="M7303" s="18" t="s">
        <v>28</v>
      </c>
      <c r="N7303" s="17">
        <v>43466</v>
      </c>
      <c r="O7303" s="15" t="s">
        <v>30</v>
      </c>
      <c r="P7303" s="16" t="s">
        <v>21706</v>
      </c>
      <c r="Q7303" s="15" t="s">
        <v>753</v>
      </c>
      <c r="R7303" s="13" t="str">
        <f>HYPERLINK("https://my.pitchbook.com?c=123000-67T","View Company Online")</f>
        <v>View Company Online</v>
      </c>
    </row>
    <row r="7304" spans="1:18" hidden="1" x14ac:dyDescent="0.3">
      <c r="A7304" s="9" t="s">
        <v>21707</v>
      </c>
      <c r="B7304" s="9" t="s">
        <v>3095</v>
      </c>
      <c r="C7304" s="11" t="s">
        <v>28</v>
      </c>
      <c r="D7304" s="9" t="s">
        <v>3096</v>
      </c>
      <c r="E7304" s="11" t="s">
        <v>28</v>
      </c>
      <c r="F7304" s="10" t="s">
        <v>28</v>
      </c>
      <c r="G7304" s="10" t="s">
        <v>28</v>
      </c>
      <c r="H7304" s="10" t="s">
        <v>28</v>
      </c>
      <c r="I7304" s="11" t="s">
        <v>28</v>
      </c>
      <c r="J7304" s="11" t="s">
        <v>28</v>
      </c>
      <c r="K7304" s="11" t="s">
        <v>28</v>
      </c>
      <c r="L7304" s="11" t="s">
        <v>28</v>
      </c>
      <c r="M7304" s="11" t="s">
        <v>28</v>
      </c>
      <c r="N7304" s="8">
        <v>43466</v>
      </c>
      <c r="O7304" s="9" t="s">
        <v>99</v>
      </c>
      <c r="P7304" s="12" t="s">
        <v>21708</v>
      </c>
      <c r="Q7304" s="9" t="s">
        <v>404</v>
      </c>
      <c r="R7304" s="14" t="str">
        <f>HYPERLINK("https://my.pitchbook.com?c=138361-78T","View Company Online")</f>
        <v>View Company Online</v>
      </c>
    </row>
    <row r="7305" spans="1:18" hidden="1" x14ac:dyDescent="0.3">
      <c r="A7305" s="15" t="s">
        <v>21709</v>
      </c>
      <c r="B7305" s="15" t="s">
        <v>14257</v>
      </c>
      <c r="C7305" s="18" t="s">
        <v>28</v>
      </c>
      <c r="D7305" s="15" t="s">
        <v>14258</v>
      </c>
      <c r="E7305" s="18" t="s">
        <v>28</v>
      </c>
      <c r="F7305" s="19" t="s">
        <v>28</v>
      </c>
      <c r="G7305" s="19" t="s">
        <v>28</v>
      </c>
      <c r="H7305" s="19" t="s">
        <v>28</v>
      </c>
      <c r="I7305" s="18" t="s">
        <v>28</v>
      </c>
      <c r="J7305" s="18" t="s">
        <v>28</v>
      </c>
      <c r="K7305" s="18" t="s">
        <v>28</v>
      </c>
      <c r="L7305" s="18" t="s">
        <v>28</v>
      </c>
      <c r="M7305" s="18" t="s">
        <v>28</v>
      </c>
      <c r="N7305" s="17">
        <v>43466</v>
      </c>
      <c r="O7305" s="15" t="s">
        <v>41</v>
      </c>
      <c r="P7305" s="16" t="s">
        <v>21710</v>
      </c>
      <c r="Q7305" s="15" t="s">
        <v>226</v>
      </c>
      <c r="R7305" s="13" t="str">
        <f>HYPERLINK("https://my.pitchbook.com?c=140049-19T","View Company Online")</f>
        <v>View Company Online</v>
      </c>
    </row>
    <row r="7306" spans="1:18" hidden="1" x14ac:dyDescent="0.3">
      <c r="A7306" s="9" t="s">
        <v>21711</v>
      </c>
      <c r="B7306" s="9" t="s">
        <v>21712</v>
      </c>
      <c r="C7306" s="11" t="s">
        <v>28</v>
      </c>
      <c r="D7306" s="9" t="s">
        <v>21713</v>
      </c>
      <c r="E7306" s="11" t="s">
        <v>28</v>
      </c>
      <c r="F7306" s="10" t="s">
        <v>28</v>
      </c>
      <c r="G7306" s="10" t="s">
        <v>28</v>
      </c>
      <c r="H7306" s="10" t="s">
        <v>28</v>
      </c>
      <c r="I7306" s="11" t="s">
        <v>28</v>
      </c>
      <c r="J7306" s="11" t="s">
        <v>28</v>
      </c>
      <c r="K7306" s="11" t="s">
        <v>28</v>
      </c>
      <c r="L7306" s="11" t="s">
        <v>28</v>
      </c>
      <c r="M7306" s="11" t="s">
        <v>28</v>
      </c>
      <c r="N7306" s="8">
        <v>43466</v>
      </c>
      <c r="O7306" s="9" t="s">
        <v>30</v>
      </c>
      <c r="P7306" s="12" t="s">
        <v>21714</v>
      </c>
      <c r="Q7306" s="9" t="s">
        <v>114</v>
      </c>
      <c r="R7306" s="14" t="str">
        <f>HYPERLINK("https://my.pitchbook.com?c=292220-38T","View Company Online")</f>
        <v>View Company Online</v>
      </c>
    </row>
    <row r="7307" spans="1:18" hidden="1" x14ac:dyDescent="0.3">
      <c r="A7307" s="15" t="s">
        <v>21715</v>
      </c>
      <c r="B7307" s="15" t="s">
        <v>21716</v>
      </c>
      <c r="C7307" s="18" t="s">
        <v>28</v>
      </c>
      <c r="D7307" s="15" t="s">
        <v>21717</v>
      </c>
      <c r="E7307" s="18" t="s">
        <v>28</v>
      </c>
      <c r="F7307" s="19" t="s">
        <v>28</v>
      </c>
      <c r="G7307" s="19" t="s">
        <v>28</v>
      </c>
      <c r="H7307" s="19" t="s">
        <v>28</v>
      </c>
      <c r="I7307" s="18" t="s">
        <v>28</v>
      </c>
      <c r="J7307" s="18" t="s">
        <v>28</v>
      </c>
      <c r="K7307" s="18" t="s">
        <v>28</v>
      </c>
      <c r="L7307" s="18" t="s">
        <v>28</v>
      </c>
      <c r="M7307" s="18" t="s">
        <v>28</v>
      </c>
      <c r="N7307" s="17">
        <v>43466</v>
      </c>
      <c r="O7307" s="15" t="s">
        <v>41</v>
      </c>
      <c r="P7307" s="16" t="s">
        <v>19324</v>
      </c>
      <c r="Q7307" s="15" t="s">
        <v>583</v>
      </c>
      <c r="R7307" s="13" t="str">
        <f>HYPERLINK("https://my.pitchbook.com?c=219585-34T","View Company Online")</f>
        <v>View Company Online</v>
      </c>
    </row>
    <row r="7308" spans="1:18" hidden="1" x14ac:dyDescent="0.3">
      <c r="A7308" s="9" t="s">
        <v>21718</v>
      </c>
      <c r="B7308" s="9" t="s">
        <v>21719</v>
      </c>
      <c r="C7308" s="11" t="s">
        <v>28</v>
      </c>
      <c r="D7308" s="9" t="s">
        <v>21720</v>
      </c>
      <c r="E7308" s="11" t="s">
        <v>28</v>
      </c>
      <c r="F7308" s="10" t="s">
        <v>28</v>
      </c>
      <c r="G7308" s="10" t="s">
        <v>28</v>
      </c>
      <c r="H7308" s="10" t="s">
        <v>28</v>
      </c>
      <c r="I7308" s="11" t="s">
        <v>28</v>
      </c>
      <c r="J7308" s="11" t="s">
        <v>28</v>
      </c>
      <c r="K7308" s="11" t="s">
        <v>28</v>
      </c>
      <c r="L7308" s="11" t="s">
        <v>28</v>
      </c>
      <c r="M7308" s="11" t="s">
        <v>28</v>
      </c>
      <c r="N7308" s="8">
        <v>43466</v>
      </c>
      <c r="O7308" s="9" t="s">
        <v>93</v>
      </c>
      <c r="P7308" s="12" t="s">
        <v>8788</v>
      </c>
      <c r="Q7308" s="9" t="s">
        <v>285</v>
      </c>
      <c r="R7308" s="14" t="str">
        <f>HYPERLINK("https://my.pitchbook.com?c=121721-50T","View Company Online")</f>
        <v>View Company Online</v>
      </c>
    </row>
    <row r="7309" spans="1:18" hidden="1" x14ac:dyDescent="0.3">
      <c r="A7309" s="15" t="s">
        <v>21721</v>
      </c>
      <c r="B7309" s="15" t="s">
        <v>1347</v>
      </c>
      <c r="C7309" s="18" t="s">
        <v>28</v>
      </c>
      <c r="D7309" s="15" t="s">
        <v>1348</v>
      </c>
      <c r="E7309" s="18" t="s">
        <v>28</v>
      </c>
      <c r="F7309" s="19" t="s">
        <v>28</v>
      </c>
      <c r="G7309" s="19" t="s">
        <v>28</v>
      </c>
      <c r="H7309" s="19" t="s">
        <v>28</v>
      </c>
      <c r="I7309" s="18" t="s">
        <v>28</v>
      </c>
      <c r="J7309" s="18" t="s">
        <v>28</v>
      </c>
      <c r="K7309" s="18" t="s">
        <v>28</v>
      </c>
      <c r="L7309" s="18" t="s">
        <v>28</v>
      </c>
      <c r="M7309" s="18" t="s">
        <v>28</v>
      </c>
      <c r="N7309" s="17">
        <v>43466</v>
      </c>
      <c r="O7309" s="15" t="s">
        <v>52</v>
      </c>
      <c r="P7309" s="16" t="s">
        <v>21722</v>
      </c>
      <c r="Q7309" s="15" t="s">
        <v>583</v>
      </c>
      <c r="R7309" s="13" t="str">
        <f>HYPERLINK("https://my.pitchbook.com?c=220531-87T","View Company Online")</f>
        <v>View Company Online</v>
      </c>
    </row>
    <row r="7310" spans="1:18" hidden="1" x14ac:dyDescent="0.3">
      <c r="A7310" s="9" t="s">
        <v>21723</v>
      </c>
      <c r="B7310" s="9" t="s">
        <v>1347</v>
      </c>
      <c r="C7310" s="11" t="s">
        <v>28</v>
      </c>
      <c r="D7310" s="9" t="s">
        <v>1348</v>
      </c>
      <c r="E7310" s="11" t="s">
        <v>28</v>
      </c>
      <c r="F7310" s="10" t="s">
        <v>28</v>
      </c>
      <c r="G7310" s="10" t="s">
        <v>28</v>
      </c>
      <c r="H7310" s="10" t="s">
        <v>28</v>
      </c>
      <c r="I7310" s="11" t="s">
        <v>28</v>
      </c>
      <c r="J7310" s="11" t="s">
        <v>28</v>
      </c>
      <c r="K7310" s="11" t="s">
        <v>28</v>
      </c>
      <c r="L7310" s="11" t="s">
        <v>28</v>
      </c>
      <c r="M7310" s="11" t="s">
        <v>28</v>
      </c>
      <c r="N7310" s="8">
        <v>43466</v>
      </c>
      <c r="O7310" s="9" t="s">
        <v>52</v>
      </c>
      <c r="P7310" s="12" t="s">
        <v>21724</v>
      </c>
      <c r="Q7310" s="9" t="s">
        <v>583</v>
      </c>
      <c r="R7310" s="14" t="str">
        <f>HYPERLINK("https://my.pitchbook.com?c=220533-94T","View Company Online")</f>
        <v>View Company Online</v>
      </c>
    </row>
    <row r="7311" spans="1:18" hidden="1" x14ac:dyDescent="0.3">
      <c r="A7311" s="15" t="s">
        <v>21725</v>
      </c>
      <c r="B7311" s="15" t="s">
        <v>21726</v>
      </c>
      <c r="C7311" s="18" t="s">
        <v>28</v>
      </c>
      <c r="D7311" s="15" t="s">
        <v>21727</v>
      </c>
      <c r="E7311" s="18" t="s">
        <v>28</v>
      </c>
      <c r="F7311" s="19" t="s">
        <v>28</v>
      </c>
      <c r="G7311" s="19" t="s">
        <v>28</v>
      </c>
      <c r="H7311" s="19" t="s">
        <v>28</v>
      </c>
      <c r="I7311" s="18" t="s">
        <v>28</v>
      </c>
      <c r="J7311" s="18" t="s">
        <v>28</v>
      </c>
      <c r="K7311" s="18" t="s">
        <v>28</v>
      </c>
      <c r="L7311" s="18" t="s">
        <v>28</v>
      </c>
      <c r="M7311" s="18" t="s">
        <v>28</v>
      </c>
      <c r="N7311" s="17">
        <v>43466</v>
      </c>
      <c r="O7311" s="15" t="s">
        <v>30</v>
      </c>
      <c r="P7311" s="16" t="s">
        <v>11318</v>
      </c>
      <c r="Q7311" s="15" t="s">
        <v>290</v>
      </c>
      <c r="R7311" s="13" t="str">
        <f>HYPERLINK("https://my.pitchbook.com?c=175576-24T","View Company Online")</f>
        <v>View Company Online</v>
      </c>
    </row>
    <row r="7312" spans="1:18" hidden="1" x14ac:dyDescent="0.3">
      <c r="A7312" s="9" t="s">
        <v>21728</v>
      </c>
      <c r="B7312" s="9" t="s">
        <v>21729</v>
      </c>
      <c r="C7312" s="11" t="s">
        <v>28</v>
      </c>
      <c r="D7312" s="9" t="s">
        <v>21730</v>
      </c>
      <c r="E7312" s="11" t="s">
        <v>28</v>
      </c>
      <c r="F7312" s="10" t="s">
        <v>28</v>
      </c>
      <c r="G7312" s="10" t="s">
        <v>28</v>
      </c>
      <c r="H7312" s="10" t="s">
        <v>28</v>
      </c>
      <c r="I7312" s="11" t="s">
        <v>28</v>
      </c>
      <c r="J7312" s="11" t="s">
        <v>28</v>
      </c>
      <c r="K7312" s="11" t="s">
        <v>28</v>
      </c>
      <c r="L7312" s="11" t="s">
        <v>28</v>
      </c>
      <c r="M7312" s="11" t="s">
        <v>28</v>
      </c>
      <c r="N7312" s="8">
        <v>43466</v>
      </c>
      <c r="O7312" s="9" t="s">
        <v>52</v>
      </c>
      <c r="P7312" s="12" t="s">
        <v>20888</v>
      </c>
      <c r="Q7312" s="9" t="s">
        <v>75</v>
      </c>
      <c r="R7312" s="14" t="str">
        <f>HYPERLINK("https://my.pitchbook.com?c=139793-86T","View Company Online")</f>
        <v>View Company Online</v>
      </c>
    </row>
    <row r="7313" spans="1:18" hidden="1" x14ac:dyDescent="0.3">
      <c r="A7313" s="15" t="s">
        <v>21731</v>
      </c>
      <c r="B7313" s="15" t="s">
        <v>2052</v>
      </c>
      <c r="C7313" s="18" t="s">
        <v>28</v>
      </c>
      <c r="D7313" s="15" t="s">
        <v>2053</v>
      </c>
      <c r="E7313" s="18" t="s">
        <v>28</v>
      </c>
      <c r="F7313" s="19" t="s">
        <v>28</v>
      </c>
      <c r="G7313" s="19" t="s">
        <v>28</v>
      </c>
      <c r="H7313" s="19" t="s">
        <v>28</v>
      </c>
      <c r="I7313" s="18" t="s">
        <v>28</v>
      </c>
      <c r="J7313" s="18" t="s">
        <v>28</v>
      </c>
      <c r="K7313" s="18" t="s">
        <v>28</v>
      </c>
      <c r="L7313" s="18" t="s">
        <v>28</v>
      </c>
      <c r="M7313" s="18" t="s">
        <v>28</v>
      </c>
      <c r="N7313" s="17">
        <v>43466</v>
      </c>
      <c r="O7313" s="15" t="s">
        <v>79</v>
      </c>
      <c r="P7313" s="16" t="s">
        <v>21732</v>
      </c>
      <c r="Q7313" s="15" t="s">
        <v>419</v>
      </c>
      <c r="R7313" s="13" t="str">
        <f>HYPERLINK("https://my.pitchbook.com?c=221181-67T","View Company Online")</f>
        <v>View Company Online</v>
      </c>
    </row>
    <row r="7314" spans="1:18" hidden="1" x14ac:dyDescent="0.3">
      <c r="A7314" s="9" t="s">
        <v>21733</v>
      </c>
      <c r="B7314" s="9" t="s">
        <v>206</v>
      </c>
      <c r="C7314" s="11" t="s">
        <v>28</v>
      </c>
      <c r="D7314" s="9" t="s">
        <v>207</v>
      </c>
      <c r="E7314" s="11" t="s">
        <v>28</v>
      </c>
      <c r="F7314" s="10" t="s">
        <v>28</v>
      </c>
      <c r="G7314" s="10" t="s">
        <v>28</v>
      </c>
      <c r="H7314" s="10" t="s">
        <v>28</v>
      </c>
      <c r="I7314" s="11" t="s">
        <v>28</v>
      </c>
      <c r="J7314" s="11" t="s">
        <v>28</v>
      </c>
      <c r="K7314" s="11" t="s">
        <v>28</v>
      </c>
      <c r="L7314" s="11" t="s">
        <v>28</v>
      </c>
      <c r="M7314" s="11" t="s">
        <v>28</v>
      </c>
      <c r="N7314" s="8">
        <v>43466</v>
      </c>
      <c r="O7314" s="9" t="s">
        <v>99</v>
      </c>
      <c r="P7314" s="12" t="s">
        <v>21734</v>
      </c>
      <c r="Q7314" s="9" t="s">
        <v>85</v>
      </c>
      <c r="R7314" s="14" t="str">
        <f>HYPERLINK("https://my.pitchbook.com?c=117551-89T","View Company Online")</f>
        <v>View Company Online</v>
      </c>
    </row>
    <row r="7315" spans="1:18" hidden="1" x14ac:dyDescent="0.3">
      <c r="A7315" s="15" t="s">
        <v>21735</v>
      </c>
      <c r="B7315" s="15" t="s">
        <v>16112</v>
      </c>
      <c r="C7315" s="18" t="s">
        <v>28</v>
      </c>
      <c r="D7315" s="15" t="s">
        <v>16113</v>
      </c>
      <c r="E7315" s="18" t="s">
        <v>28</v>
      </c>
      <c r="F7315" s="19" t="s">
        <v>28</v>
      </c>
      <c r="G7315" s="19" t="s">
        <v>28</v>
      </c>
      <c r="H7315" s="19" t="s">
        <v>28</v>
      </c>
      <c r="I7315" s="18" t="s">
        <v>28</v>
      </c>
      <c r="J7315" s="18" t="s">
        <v>28</v>
      </c>
      <c r="K7315" s="18" t="s">
        <v>28</v>
      </c>
      <c r="L7315" s="18" t="s">
        <v>28</v>
      </c>
      <c r="M7315" s="18" t="s">
        <v>28</v>
      </c>
      <c r="N7315" s="17">
        <v>43466</v>
      </c>
      <c r="O7315" s="15" t="s">
        <v>93</v>
      </c>
      <c r="P7315" s="16" t="s">
        <v>11929</v>
      </c>
      <c r="Q7315" s="15" t="s">
        <v>37</v>
      </c>
      <c r="R7315" s="13" t="str">
        <f>HYPERLINK("https://my.pitchbook.com?c=121970-80T","View Company Online")</f>
        <v>View Company Online</v>
      </c>
    </row>
    <row r="7316" spans="1:18" hidden="1" x14ac:dyDescent="0.3">
      <c r="A7316" s="9" t="s">
        <v>21736</v>
      </c>
      <c r="B7316" s="9" t="s">
        <v>18662</v>
      </c>
      <c r="C7316" s="11" t="s">
        <v>28</v>
      </c>
      <c r="D7316" s="9" t="s">
        <v>18663</v>
      </c>
      <c r="E7316" s="11" t="s">
        <v>28</v>
      </c>
      <c r="F7316" s="10" t="s">
        <v>28</v>
      </c>
      <c r="G7316" s="10" t="s">
        <v>28</v>
      </c>
      <c r="H7316" s="10" t="s">
        <v>28</v>
      </c>
      <c r="I7316" s="11" t="s">
        <v>28</v>
      </c>
      <c r="J7316" s="11" t="s">
        <v>28</v>
      </c>
      <c r="K7316" s="11" t="s">
        <v>28</v>
      </c>
      <c r="L7316" s="11" t="s">
        <v>28</v>
      </c>
      <c r="M7316" s="11" t="s">
        <v>28</v>
      </c>
      <c r="N7316" s="8">
        <v>43466</v>
      </c>
      <c r="O7316" s="9" t="s">
        <v>73</v>
      </c>
      <c r="P7316" s="12" t="s">
        <v>21737</v>
      </c>
      <c r="Q7316" s="9" t="s">
        <v>75</v>
      </c>
      <c r="R7316" s="14" t="str">
        <f>HYPERLINK("https://my.pitchbook.com?c=184283-38T","View Company Online")</f>
        <v>View Company Online</v>
      </c>
    </row>
    <row r="7317" spans="1:18" hidden="1" x14ac:dyDescent="0.3">
      <c r="A7317" s="15" t="s">
        <v>21738</v>
      </c>
      <c r="B7317" s="15" t="s">
        <v>21739</v>
      </c>
      <c r="C7317" s="18" t="s">
        <v>28</v>
      </c>
      <c r="D7317" s="15" t="s">
        <v>21740</v>
      </c>
      <c r="E7317" s="18" t="s">
        <v>28</v>
      </c>
      <c r="F7317" s="19" t="s">
        <v>28</v>
      </c>
      <c r="G7317" s="19">
        <v>0.3</v>
      </c>
      <c r="H7317" s="19" t="s">
        <v>28</v>
      </c>
      <c r="I7317" s="18" t="s">
        <v>28</v>
      </c>
      <c r="J7317" s="18" t="s">
        <v>28</v>
      </c>
      <c r="K7317" s="18" t="s">
        <v>28</v>
      </c>
      <c r="L7317" s="18" t="s">
        <v>28</v>
      </c>
      <c r="M7317" s="18" t="s">
        <v>28</v>
      </c>
      <c r="N7317" s="17">
        <v>43466</v>
      </c>
      <c r="O7317" s="15" t="s">
        <v>52</v>
      </c>
      <c r="P7317" s="16" t="s">
        <v>2864</v>
      </c>
      <c r="Q7317" s="15" t="s">
        <v>75</v>
      </c>
      <c r="R7317" s="13" t="str">
        <f>HYPERLINK("https://my.pitchbook.com?c=202254-49T","View Company Online")</f>
        <v>View Company Online</v>
      </c>
    </row>
    <row r="7318" spans="1:18" hidden="1" x14ac:dyDescent="0.3">
      <c r="A7318" s="9" t="s">
        <v>21741</v>
      </c>
      <c r="B7318" s="9" t="s">
        <v>2056</v>
      </c>
      <c r="C7318" s="11" t="s">
        <v>28</v>
      </c>
      <c r="D7318" s="9" t="s">
        <v>2057</v>
      </c>
      <c r="E7318" s="11" t="s">
        <v>28</v>
      </c>
      <c r="F7318" s="10" t="s">
        <v>28</v>
      </c>
      <c r="G7318" s="10">
        <v>0.26</v>
      </c>
      <c r="H7318" s="10" t="s">
        <v>28</v>
      </c>
      <c r="I7318" s="11" t="s">
        <v>28</v>
      </c>
      <c r="J7318" s="11" t="s">
        <v>28</v>
      </c>
      <c r="K7318" s="11" t="s">
        <v>28</v>
      </c>
      <c r="L7318" s="11" t="s">
        <v>28</v>
      </c>
      <c r="M7318" s="11" t="s">
        <v>28</v>
      </c>
      <c r="N7318" s="8">
        <v>43466</v>
      </c>
      <c r="O7318" s="9" t="s">
        <v>47</v>
      </c>
      <c r="P7318" s="12" t="s">
        <v>3097</v>
      </c>
      <c r="Q7318" s="9" t="s">
        <v>75</v>
      </c>
      <c r="R7318" s="14" t="str">
        <f>HYPERLINK("https://my.pitchbook.com?c=284421-07T","View Company Online")</f>
        <v>View Company Online</v>
      </c>
    </row>
    <row r="7319" spans="1:18" hidden="1" x14ac:dyDescent="0.3">
      <c r="A7319" s="15" t="s">
        <v>21742</v>
      </c>
      <c r="B7319" s="15" t="s">
        <v>14044</v>
      </c>
      <c r="C7319" s="18" t="s">
        <v>28</v>
      </c>
      <c r="D7319" s="15" t="s">
        <v>14045</v>
      </c>
      <c r="E7319" s="18" t="s">
        <v>28</v>
      </c>
      <c r="F7319" s="19" t="s">
        <v>28</v>
      </c>
      <c r="G7319" s="19" t="s">
        <v>28</v>
      </c>
      <c r="H7319" s="19" t="s">
        <v>28</v>
      </c>
      <c r="I7319" s="18" t="s">
        <v>28</v>
      </c>
      <c r="J7319" s="18" t="s">
        <v>28</v>
      </c>
      <c r="K7319" s="18" t="s">
        <v>28</v>
      </c>
      <c r="L7319" s="18" t="s">
        <v>28</v>
      </c>
      <c r="M7319" s="18" t="s">
        <v>28</v>
      </c>
      <c r="N7319" s="17">
        <v>43466</v>
      </c>
      <c r="O7319" s="15" t="s">
        <v>52</v>
      </c>
      <c r="P7319" s="16" t="s">
        <v>221</v>
      </c>
      <c r="Q7319" s="15" t="s">
        <v>75</v>
      </c>
      <c r="R7319" s="13" t="str">
        <f>HYPERLINK("https://my.pitchbook.com?c=179617-24T","View Company Online")</f>
        <v>View Company Online</v>
      </c>
    </row>
    <row r="7320" spans="1:18" hidden="1" x14ac:dyDescent="0.3">
      <c r="A7320" s="9" t="s">
        <v>21743</v>
      </c>
      <c r="B7320" s="9" t="s">
        <v>15790</v>
      </c>
      <c r="C7320" s="11" t="s">
        <v>28</v>
      </c>
      <c r="D7320" s="9" t="s">
        <v>15791</v>
      </c>
      <c r="E7320" s="11" t="s">
        <v>28</v>
      </c>
      <c r="F7320" s="10" t="s">
        <v>28</v>
      </c>
      <c r="G7320" s="10" t="s">
        <v>28</v>
      </c>
      <c r="H7320" s="10" t="s">
        <v>28</v>
      </c>
      <c r="I7320" s="11" t="s">
        <v>28</v>
      </c>
      <c r="J7320" s="11" t="s">
        <v>28</v>
      </c>
      <c r="K7320" s="11" t="s">
        <v>28</v>
      </c>
      <c r="L7320" s="11" t="s">
        <v>28</v>
      </c>
      <c r="M7320" s="11" t="s">
        <v>28</v>
      </c>
      <c r="N7320" s="8">
        <v>43466</v>
      </c>
      <c r="O7320" s="9" t="s">
        <v>52</v>
      </c>
      <c r="P7320" s="12" t="s">
        <v>16980</v>
      </c>
      <c r="Q7320" s="9" t="s">
        <v>136</v>
      </c>
      <c r="R7320" s="14" t="str">
        <f>HYPERLINK("https://my.pitchbook.com?c=300926-35T","View Company Online")</f>
        <v>View Company Online</v>
      </c>
    </row>
    <row r="7321" spans="1:18" hidden="1" x14ac:dyDescent="0.3">
      <c r="A7321" s="15" t="s">
        <v>21744</v>
      </c>
      <c r="B7321" s="15" t="s">
        <v>21745</v>
      </c>
      <c r="C7321" s="18" t="s">
        <v>28</v>
      </c>
      <c r="D7321" s="15" t="s">
        <v>21746</v>
      </c>
      <c r="E7321" s="18" t="s">
        <v>28</v>
      </c>
      <c r="F7321" s="19" t="s">
        <v>28</v>
      </c>
      <c r="G7321" s="19" t="s">
        <v>28</v>
      </c>
      <c r="H7321" s="19" t="s">
        <v>28</v>
      </c>
      <c r="I7321" s="18" t="s">
        <v>28</v>
      </c>
      <c r="J7321" s="18" t="s">
        <v>28</v>
      </c>
      <c r="K7321" s="18" t="s">
        <v>28</v>
      </c>
      <c r="L7321" s="18" t="s">
        <v>28</v>
      </c>
      <c r="M7321" s="18" t="s">
        <v>28</v>
      </c>
      <c r="N7321" s="17">
        <v>43466</v>
      </c>
      <c r="O7321" s="15" t="s">
        <v>41</v>
      </c>
      <c r="P7321" s="16" t="s">
        <v>21747</v>
      </c>
      <c r="Q7321" s="15" t="s">
        <v>1007</v>
      </c>
      <c r="R7321" s="13" t="str">
        <f>HYPERLINK("https://my.pitchbook.com?c=207415-63T","View Company Online")</f>
        <v>View Company Online</v>
      </c>
    </row>
    <row r="7322" spans="1:18" hidden="1" x14ac:dyDescent="0.3">
      <c r="A7322" s="9" t="s">
        <v>21748</v>
      </c>
      <c r="B7322" s="9" t="s">
        <v>21749</v>
      </c>
      <c r="C7322" s="11" t="s">
        <v>28</v>
      </c>
      <c r="D7322" s="9" t="s">
        <v>21750</v>
      </c>
      <c r="E7322" s="11" t="s">
        <v>28</v>
      </c>
      <c r="F7322" s="10" t="s">
        <v>28</v>
      </c>
      <c r="G7322" s="10" t="s">
        <v>28</v>
      </c>
      <c r="H7322" s="10" t="s">
        <v>28</v>
      </c>
      <c r="I7322" s="11" t="s">
        <v>28</v>
      </c>
      <c r="J7322" s="11" t="s">
        <v>28</v>
      </c>
      <c r="K7322" s="11" t="s">
        <v>28</v>
      </c>
      <c r="L7322" s="11" t="s">
        <v>28</v>
      </c>
      <c r="M7322" s="11" t="s">
        <v>28</v>
      </c>
      <c r="N7322" s="8">
        <v>43466</v>
      </c>
      <c r="O7322" s="9" t="s">
        <v>30</v>
      </c>
      <c r="P7322" s="12" t="s">
        <v>21751</v>
      </c>
      <c r="Q7322" s="9" t="s">
        <v>307</v>
      </c>
      <c r="R7322" s="14" t="str">
        <f>HYPERLINK("https://my.pitchbook.com?c=233494-75T","View Company Online")</f>
        <v>View Company Online</v>
      </c>
    </row>
    <row r="7323" spans="1:18" hidden="1" x14ac:dyDescent="0.3">
      <c r="A7323" s="15" t="s">
        <v>21752</v>
      </c>
      <c r="B7323" s="15" t="s">
        <v>21753</v>
      </c>
      <c r="C7323" s="18" t="s">
        <v>28</v>
      </c>
      <c r="D7323" s="15" t="s">
        <v>21754</v>
      </c>
      <c r="E7323" s="18" t="s">
        <v>28</v>
      </c>
      <c r="F7323" s="19" t="s">
        <v>28</v>
      </c>
      <c r="G7323" s="19" t="s">
        <v>28</v>
      </c>
      <c r="H7323" s="19" t="s">
        <v>28</v>
      </c>
      <c r="I7323" s="18" t="s">
        <v>28</v>
      </c>
      <c r="J7323" s="18" t="s">
        <v>28</v>
      </c>
      <c r="K7323" s="18" t="s">
        <v>28</v>
      </c>
      <c r="L7323" s="18" t="s">
        <v>28</v>
      </c>
      <c r="M7323" s="18" t="s">
        <v>28</v>
      </c>
      <c r="N7323" s="17">
        <v>43466</v>
      </c>
      <c r="O7323" s="15" t="s">
        <v>30</v>
      </c>
      <c r="P7323" s="16" t="s">
        <v>4468</v>
      </c>
      <c r="Q7323" s="15" t="s">
        <v>75</v>
      </c>
      <c r="R7323" s="13" t="str">
        <f>HYPERLINK("https://my.pitchbook.com?c=211772-98T","View Company Online")</f>
        <v>View Company Online</v>
      </c>
    </row>
    <row r="7324" spans="1:18" hidden="1" x14ac:dyDescent="0.3">
      <c r="A7324" s="9" t="s">
        <v>21755</v>
      </c>
      <c r="B7324" s="9" t="s">
        <v>21756</v>
      </c>
      <c r="C7324" s="11" t="s">
        <v>28</v>
      </c>
      <c r="D7324" s="9" t="s">
        <v>21757</v>
      </c>
      <c r="E7324" s="11" t="s">
        <v>28</v>
      </c>
      <c r="F7324" s="10" t="s">
        <v>28</v>
      </c>
      <c r="G7324" s="10" t="s">
        <v>28</v>
      </c>
      <c r="H7324" s="10" t="s">
        <v>28</v>
      </c>
      <c r="I7324" s="11" t="s">
        <v>28</v>
      </c>
      <c r="J7324" s="11" t="s">
        <v>28</v>
      </c>
      <c r="K7324" s="11" t="s">
        <v>28</v>
      </c>
      <c r="L7324" s="11" t="s">
        <v>28</v>
      </c>
      <c r="M7324" s="11" t="s">
        <v>28</v>
      </c>
      <c r="N7324" s="8">
        <v>43466</v>
      </c>
      <c r="O7324" s="9" t="s">
        <v>30</v>
      </c>
      <c r="P7324" s="12" t="s">
        <v>21758</v>
      </c>
      <c r="Q7324" s="9" t="s">
        <v>470</v>
      </c>
      <c r="R7324" s="14" t="str">
        <f>HYPERLINK("https://my.pitchbook.com?c=199858-60T","View Company Online")</f>
        <v>View Company Online</v>
      </c>
    </row>
    <row r="7325" spans="1:18" hidden="1" x14ac:dyDescent="0.3">
      <c r="A7325" s="15" t="s">
        <v>21759</v>
      </c>
      <c r="B7325" s="15" t="s">
        <v>6170</v>
      </c>
      <c r="C7325" s="18" t="s">
        <v>28</v>
      </c>
      <c r="D7325" s="15" t="s">
        <v>6171</v>
      </c>
      <c r="E7325" s="18" t="s">
        <v>28</v>
      </c>
      <c r="F7325" s="19" t="s">
        <v>28</v>
      </c>
      <c r="G7325" s="19" t="s">
        <v>28</v>
      </c>
      <c r="H7325" s="19" t="s">
        <v>28</v>
      </c>
      <c r="I7325" s="18" t="s">
        <v>28</v>
      </c>
      <c r="J7325" s="18" t="s">
        <v>28</v>
      </c>
      <c r="K7325" s="18" t="s">
        <v>28</v>
      </c>
      <c r="L7325" s="18" t="s">
        <v>28</v>
      </c>
      <c r="M7325" s="18" t="s">
        <v>28</v>
      </c>
      <c r="N7325" s="17">
        <v>43466</v>
      </c>
      <c r="O7325" s="15" t="s">
        <v>52</v>
      </c>
      <c r="P7325" s="16" t="s">
        <v>6543</v>
      </c>
      <c r="Q7325" s="15" t="s">
        <v>75</v>
      </c>
      <c r="R7325" s="13" t="str">
        <f>HYPERLINK("https://my.pitchbook.com?c=243881-65T","View Company Online")</f>
        <v>View Company Online</v>
      </c>
    </row>
    <row r="7326" spans="1:18" hidden="1" x14ac:dyDescent="0.3">
      <c r="A7326" s="9" t="s">
        <v>21760</v>
      </c>
      <c r="B7326" s="9" t="s">
        <v>21761</v>
      </c>
      <c r="C7326" s="11" t="s">
        <v>28</v>
      </c>
      <c r="D7326" s="9" t="s">
        <v>21762</v>
      </c>
      <c r="E7326" s="11" t="s">
        <v>28</v>
      </c>
      <c r="F7326" s="10" t="s">
        <v>28</v>
      </c>
      <c r="G7326" s="10" t="s">
        <v>28</v>
      </c>
      <c r="H7326" s="10" t="s">
        <v>28</v>
      </c>
      <c r="I7326" s="11" t="s">
        <v>28</v>
      </c>
      <c r="J7326" s="11" t="s">
        <v>28</v>
      </c>
      <c r="K7326" s="11" t="s">
        <v>28</v>
      </c>
      <c r="L7326" s="11" t="s">
        <v>28</v>
      </c>
      <c r="M7326" s="11" t="s">
        <v>28</v>
      </c>
      <c r="N7326" s="8">
        <v>43466</v>
      </c>
      <c r="O7326" s="9" t="s">
        <v>52</v>
      </c>
      <c r="P7326" s="12" t="s">
        <v>2830</v>
      </c>
      <c r="Q7326" s="9" t="s">
        <v>75</v>
      </c>
      <c r="R7326" s="14" t="str">
        <f>HYPERLINK("https://my.pitchbook.com?c=292628-35T","View Company Online")</f>
        <v>View Company Online</v>
      </c>
    </row>
    <row r="7327" spans="1:18" hidden="1" x14ac:dyDescent="0.3">
      <c r="A7327" s="15" t="s">
        <v>21763</v>
      </c>
      <c r="B7327" s="15" t="s">
        <v>21764</v>
      </c>
      <c r="C7327" s="18" t="s">
        <v>28</v>
      </c>
      <c r="D7327" s="15" t="s">
        <v>21765</v>
      </c>
      <c r="E7327" s="18" t="s">
        <v>28</v>
      </c>
      <c r="F7327" s="19" t="s">
        <v>28</v>
      </c>
      <c r="G7327" s="19" t="s">
        <v>28</v>
      </c>
      <c r="H7327" s="19" t="s">
        <v>28</v>
      </c>
      <c r="I7327" s="18" t="s">
        <v>28</v>
      </c>
      <c r="J7327" s="18" t="s">
        <v>28</v>
      </c>
      <c r="K7327" s="18" t="s">
        <v>28</v>
      </c>
      <c r="L7327" s="18" t="s">
        <v>28</v>
      </c>
      <c r="M7327" s="18" t="s">
        <v>28</v>
      </c>
      <c r="N7327" s="17">
        <v>43466</v>
      </c>
      <c r="O7327" s="15" t="s">
        <v>52</v>
      </c>
      <c r="P7327" s="16" t="s">
        <v>8715</v>
      </c>
      <c r="Q7327" s="15" t="s">
        <v>95</v>
      </c>
      <c r="R7327" s="13" t="str">
        <f>HYPERLINK("https://my.pitchbook.com?c=160901-11T","View Company Online")</f>
        <v>View Company Online</v>
      </c>
    </row>
    <row r="7328" spans="1:18" hidden="1" x14ac:dyDescent="0.3">
      <c r="A7328" s="9" t="s">
        <v>21766</v>
      </c>
      <c r="B7328" s="9" t="s">
        <v>8317</v>
      </c>
      <c r="C7328" s="11" t="s">
        <v>28</v>
      </c>
      <c r="D7328" s="9" t="s">
        <v>8318</v>
      </c>
      <c r="E7328" s="11" t="s">
        <v>28</v>
      </c>
      <c r="F7328" s="10" t="s">
        <v>28</v>
      </c>
      <c r="G7328" s="10" t="s">
        <v>28</v>
      </c>
      <c r="H7328" s="10" t="s">
        <v>28</v>
      </c>
      <c r="I7328" s="11" t="s">
        <v>28</v>
      </c>
      <c r="J7328" s="11" t="s">
        <v>28</v>
      </c>
      <c r="K7328" s="11" t="s">
        <v>28</v>
      </c>
      <c r="L7328" s="11" t="s">
        <v>28</v>
      </c>
      <c r="M7328" s="11" t="s">
        <v>28</v>
      </c>
      <c r="N7328" s="8">
        <v>43466</v>
      </c>
      <c r="O7328" s="9" t="s">
        <v>93</v>
      </c>
      <c r="P7328" s="12" t="s">
        <v>21767</v>
      </c>
      <c r="Q7328" s="9" t="s">
        <v>409</v>
      </c>
      <c r="R7328" s="14" t="str">
        <f>HYPERLINK("https://my.pitchbook.com?c=172622-80T","View Company Online")</f>
        <v>View Company Online</v>
      </c>
    </row>
    <row r="7329" spans="1:18" hidden="1" x14ac:dyDescent="0.3">
      <c r="A7329" s="15" t="s">
        <v>21768</v>
      </c>
      <c r="B7329" s="15" t="s">
        <v>21769</v>
      </c>
      <c r="C7329" s="18" t="s">
        <v>28</v>
      </c>
      <c r="D7329" s="15" t="s">
        <v>21770</v>
      </c>
      <c r="E7329" s="18" t="s">
        <v>28</v>
      </c>
      <c r="F7329" s="19" t="s">
        <v>28</v>
      </c>
      <c r="G7329" s="19">
        <v>0.03</v>
      </c>
      <c r="H7329" s="19">
        <v>0.51</v>
      </c>
      <c r="I7329" s="18" t="s">
        <v>28</v>
      </c>
      <c r="J7329" s="18" t="s">
        <v>28</v>
      </c>
      <c r="K7329" s="18" t="s">
        <v>28</v>
      </c>
      <c r="L7329" s="18" t="s">
        <v>28</v>
      </c>
      <c r="M7329" s="18" t="s">
        <v>28</v>
      </c>
      <c r="N7329" s="17">
        <v>43466</v>
      </c>
      <c r="O7329" s="15" t="s">
        <v>52</v>
      </c>
      <c r="P7329" s="16" t="s">
        <v>7737</v>
      </c>
      <c r="Q7329" s="15" t="s">
        <v>1088</v>
      </c>
      <c r="R7329" s="13" t="str">
        <f>HYPERLINK("https://my.pitchbook.com?c=219768-58T","View Company Online")</f>
        <v>View Company Online</v>
      </c>
    </row>
    <row r="7330" spans="1:18" hidden="1" x14ac:dyDescent="0.3">
      <c r="A7330" s="9" t="s">
        <v>21771</v>
      </c>
      <c r="B7330" s="9" t="s">
        <v>21772</v>
      </c>
      <c r="C7330" s="11" t="s">
        <v>28</v>
      </c>
      <c r="D7330" s="9" t="s">
        <v>21773</v>
      </c>
      <c r="E7330" s="11" t="s">
        <v>28</v>
      </c>
      <c r="F7330" s="10" t="s">
        <v>28</v>
      </c>
      <c r="G7330" s="10" t="s">
        <v>28</v>
      </c>
      <c r="H7330" s="10" t="s">
        <v>28</v>
      </c>
      <c r="I7330" s="11" t="s">
        <v>28</v>
      </c>
      <c r="J7330" s="11" t="s">
        <v>28</v>
      </c>
      <c r="K7330" s="11" t="s">
        <v>28</v>
      </c>
      <c r="L7330" s="11" t="s">
        <v>28</v>
      </c>
      <c r="M7330" s="11" t="s">
        <v>28</v>
      </c>
      <c r="N7330" s="8">
        <v>43466</v>
      </c>
      <c r="O7330" s="9" t="s">
        <v>73</v>
      </c>
      <c r="P7330" s="12" t="s">
        <v>2338</v>
      </c>
      <c r="Q7330" s="9" t="s">
        <v>245</v>
      </c>
      <c r="R7330" s="14" t="str">
        <f>HYPERLINK("https://my.pitchbook.com?c=158188-60T","View Company Online")</f>
        <v>View Company Online</v>
      </c>
    </row>
    <row r="7331" spans="1:18" hidden="1" x14ac:dyDescent="0.3">
      <c r="A7331" s="15" t="s">
        <v>21774</v>
      </c>
      <c r="B7331" s="15" t="s">
        <v>519</v>
      </c>
      <c r="C7331" s="18" t="s">
        <v>28</v>
      </c>
      <c r="D7331" s="15" t="s">
        <v>520</v>
      </c>
      <c r="E7331" s="18" t="s">
        <v>28</v>
      </c>
      <c r="F7331" s="19" t="s">
        <v>28</v>
      </c>
      <c r="G7331" s="19" t="s">
        <v>28</v>
      </c>
      <c r="H7331" s="19" t="s">
        <v>28</v>
      </c>
      <c r="I7331" s="18" t="s">
        <v>28</v>
      </c>
      <c r="J7331" s="18" t="s">
        <v>28</v>
      </c>
      <c r="K7331" s="18" t="s">
        <v>28</v>
      </c>
      <c r="L7331" s="18" t="s">
        <v>28</v>
      </c>
      <c r="M7331" s="18" t="s">
        <v>28</v>
      </c>
      <c r="N7331" s="17">
        <v>43466</v>
      </c>
      <c r="O7331" s="15" t="s">
        <v>52</v>
      </c>
      <c r="P7331" s="16" t="s">
        <v>2830</v>
      </c>
      <c r="Q7331" s="15" t="s">
        <v>522</v>
      </c>
      <c r="R7331" s="13" t="str">
        <f>HYPERLINK("https://my.pitchbook.com?c=263496-25T","View Company Online")</f>
        <v>View Company Online</v>
      </c>
    </row>
    <row r="7332" spans="1:18" hidden="1" x14ac:dyDescent="0.3">
      <c r="A7332" s="9" t="s">
        <v>21775</v>
      </c>
      <c r="B7332" s="9" t="s">
        <v>15575</v>
      </c>
      <c r="C7332" s="11" t="s">
        <v>28</v>
      </c>
      <c r="D7332" s="9" t="s">
        <v>15576</v>
      </c>
      <c r="E7332" s="11" t="s">
        <v>28</v>
      </c>
      <c r="F7332" s="10" t="s">
        <v>28</v>
      </c>
      <c r="G7332" s="10" t="s">
        <v>28</v>
      </c>
      <c r="H7332" s="10" t="s">
        <v>28</v>
      </c>
      <c r="I7332" s="11" t="s">
        <v>28</v>
      </c>
      <c r="J7332" s="11" t="s">
        <v>28</v>
      </c>
      <c r="K7332" s="11" t="s">
        <v>28</v>
      </c>
      <c r="L7332" s="11" t="s">
        <v>28</v>
      </c>
      <c r="M7332" s="11" t="s">
        <v>28</v>
      </c>
      <c r="N7332" s="8">
        <v>43466</v>
      </c>
      <c r="O7332" s="9" t="s">
        <v>73</v>
      </c>
      <c r="P7332" s="12" t="s">
        <v>806</v>
      </c>
      <c r="Q7332" s="9" t="s">
        <v>37</v>
      </c>
      <c r="R7332" s="14" t="str">
        <f>HYPERLINK("https://my.pitchbook.com?c=109759-78T","View Company Online")</f>
        <v>View Company Online</v>
      </c>
    </row>
    <row r="7333" spans="1:18" hidden="1" x14ac:dyDescent="0.3">
      <c r="A7333" s="15" t="s">
        <v>21776</v>
      </c>
      <c r="B7333" s="15" t="s">
        <v>21777</v>
      </c>
      <c r="C7333" s="18" t="s">
        <v>28</v>
      </c>
      <c r="D7333" s="15" t="s">
        <v>21778</v>
      </c>
      <c r="E7333" s="18" t="s">
        <v>28</v>
      </c>
      <c r="F7333" s="19" t="s">
        <v>28</v>
      </c>
      <c r="G7333" s="19" t="s">
        <v>28</v>
      </c>
      <c r="H7333" s="19" t="s">
        <v>28</v>
      </c>
      <c r="I7333" s="18" t="s">
        <v>28</v>
      </c>
      <c r="J7333" s="18" t="s">
        <v>28</v>
      </c>
      <c r="K7333" s="18" t="s">
        <v>28</v>
      </c>
      <c r="L7333" s="18" t="s">
        <v>28</v>
      </c>
      <c r="M7333" s="18" t="s">
        <v>28</v>
      </c>
      <c r="N7333" s="17">
        <v>43466</v>
      </c>
      <c r="O7333" s="15" t="s">
        <v>52</v>
      </c>
      <c r="P7333" s="16" t="s">
        <v>2830</v>
      </c>
      <c r="Q7333" s="15" t="s">
        <v>75</v>
      </c>
      <c r="R7333" s="13" t="str">
        <f>HYPERLINK("https://my.pitchbook.com?c=292640-23T","View Company Online")</f>
        <v>View Company Online</v>
      </c>
    </row>
    <row r="7334" spans="1:18" hidden="1" x14ac:dyDescent="0.3">
      <c r="A7334" s="9" t="s">
        <v>21779</v>
      </c>
      <c r="B7334" s="9" t="s">
        <v>21780</v>
      </c>
      <c r="C7334" s="11" t="s">
        <v>28</v>
      </c>
      <c r="D7334" s="9" t="s">
        <v>21781</v>
      </c>
      <c r="E7334" s="11" t="s">
        <v>28</v>
      </c>
      <c r="F7334" s="10" t="s">
        <v>28</v>
      </c>
      <c r="G7334" s="10" t="s">
        <v>28</v>
      </c>
      <c r="H7334" s="10" t="s">
        <v>28</v>
      </c>
      <c r="I7334" s="11" t="s">
        <v>28</v>
      </c>
      <c r="J7334" s="11" t="s">
        <v>28</v>
      </c>
      <c r="K7334" s="11" t="s">
        <v>28</v>
      </c>
      <c r="L7334" s="11" t="s">
        <v>28</v>
      </c>
      <c r="M7334" s="11" t="s">
        <v>28</v>
      </c>
      <c r="N7334" s="8">
        <v>43466</v>
      </c>
      <c r="O7334" s="9" t="s">
        <v>99</v>
      </c>
      <c r="P7334" s="12" t="s">
        <v>21782</v>
      </c>
      <c r="Q7334" s="9" t="s">
        <v>75</v>
      </c>
      <c r="R7334" s="14" t="str">
        <f>HYPERLINK("https://my.pitchbook.com?c=158497-84T","View Company Online")</f>
        <v>View Company Online</v>
      </c>
    </row>
    <row r="7335" spans="1:18" hidden="1" x14ac:dyDescent="0.3">
      <c r="A7335" s="15" t="s">
        <v>21783</v>
      </c>
      <c r="B7335" s="15" t="s">
        <v>16922</v>
      </c>
      <c r="C7335" s="18" t="s">
        <v>28</v>
      </c>
      <c r="D7335" s="15" t="s">
        <v>17733</v>
      </c>
      <c r="E7335" s="18" t="s">
        <v>28</v>
      </c>
      <c r="F7335" s="19" t="s">
        <v>28</v>
      </c>
      <c r="G7335" s="19" t="s">
        <v>28</v>
      </c>
      <c r="H7335" s="19" t="s">
        <v>28</v>
      </c>
      <c r="I7335" s="18" t="s">
        <v>28</v>
      </c>
      <c r="J7335" s="18" t="s">
        <v>28</v>
      </c>
      <c r="K7335" s="18" t="s">
        <v>28</v>
      </c>
      <c r="L7335" s="18" t="s">
        <v>28</v>
      </c>
      <c r="M7335" s="18" t="s">
        <v>28</v>
      </c>
      <c r="N7335" s="17">
        <v>43466</v>
      </c>
      <c r="O7335" s="15" t="s">
        <v>52</v>
      </c>
      <c r="P7335" s="16" t="s">
        <v>4297</v>
      </c>
      <c r="Q7335" s="15" t="s">
        <v>280</v>
      </c>
      <c r="R7335" s="13" t="str">
        <f>HYPERLINK("https://my.pitchbook.com?c=284191-21T","View Company Online")</f>
        <v>View Company Online</v>
      </c>
    </row>
    <row r="7336" spans="1:18" hidden="1" x14ac:dyDescent="0.3">
      <c r="A7336" s="9" t="s">
        <v>21784</v>
      </c>
      <c r="B7336" s="9" t="s">
        <v>864</v>
      </c>
      <c r="C7336" s="11" t="s">
        <v>28</v>
      </c>
      <c r="D7336" s="9" t="s">
        <v>865</v>
      </c>
      <c r="E7336" s="11">
        <v>3982.89</v>
      </c>
      <c r="F7336" s="10" t="s">
        <v>28</v>
      </c>
      <c r="G7336" s="10" t="s">
        <v>28</v>
      </c>
      <c r="H7336" s="10" t="s">
        <v>28</v>
      </c>
      <c r="I7336" s="11">
        <v>5081.3</v>
      </c>
      <c r="J7336" s="11" t="s">
        <v>28</v>
      </c>
      <c r="K7336" s="11">
        <v>3340.83</v>
      </c>
      <c r="L7336" s="11" t="s">
        <v>28</v>
      </c>
      <c r="M7336" s="11">
        <v>6728.45</v>
      </c>
      <c r="N7336" s="8">
        <v>43466</v>
      </c>
      <c r="O7336" s="9" t="s">
        <v>159</v>
      </c>
      <c r="P7336" s="12" t="s">
        <v>21785</v>
      </c>
      <c r="Q7336" s="9" t="s">
        <v>692</v>
      </c>
      <c r="R7336" s="14" t="str">
        <f>HYPERLINK("https://my.pitchbook.com?c=272477-71T","View Company Online")</f>
        <v>View Company Online</v>
      </c>
    </row>
    <row r="7337" spans="1:18" hidden="1" x14ac:dyDescent="0.3">
      <c r="A7337" s="15" t="s">
        <v>21786</v>
      </c>
      <c r="B7337" s="15" t="s">
        <v>12777</v>
      </c>
      <c r="C7337" s="18" t="s">
        <v>28</v>
      </c>
      <c r="D7337" s="15" t="s">
        <v>12778</v>
      </c>
      <c r="E7337" s="18" t="s">
        <v>28</v>
      </c>
      <c r="F7337" s="19" t="s">
        <v>28</v>
      </c>
      <c r="G7337" s="19">
        <v>0.03</v>
      </c>
      <c r="H7337" s="19">
        <v>0.34</v>
      </c>
      <c r="I7337" s="18" t="s">
        <v>28</v>
      </c>
      <c r="J7337" s="18" t="s">
        <v>28</v>
      </c>
      <c r="K7337" s="18" t="s">
        <v>28</v>
      </c>
      <c r="L7337" s="18" t="s">
        <v>28</v>
      </c>
      <c r="M7337" s="18" t="s">
        <v>28</v>
      </c>
      <c r="N7337" s="17">
        <v>43466</v>
      </c>
      <c r="O7337" s="15" t="s">
        <v>52</v>
      </c>
      <c r="P7337" s="16" t="s">
        <v>16809</v>
      </c>
      <c r="Q7337" s="15" t="s">
        <v>85</v>
      </c>
      <c r="R7337" s="13" t="str">
        <f>HYPERLINK("https://my.pitchbook.com?c=125358-40T","View Company Online")</f>
        <v>View Company Online</v>
      </c>
    </row>
    <row r="7338" spans="1:18" hidden="1" x14ac:dyDescent="0.3">
      <c r="A7338" s="9" t="s">
        <v>21787</v>
      </c>
      <c r="B7338" s="9" t="s">
        <v>12777</v>
      </c>
      <c r="C7338" s="11" t="s">
        <v>28</v>
      </c>
      <c r="D7338" s="9" t="s">
        <v>12778</v>
      </c>
      <c r="E7338" s="11" t="s">
        <v>28</v>
      </c>
      <c r="F7338" s="10" t="s">
        <v>28</v>
      </c>
      <c r="G7338" s="10" t="s">
        <v>28</v>
      </c>
      <c r="H7338" s="10" t="s">
        <v>28</v>
      </c>
      <c r="I7338" s="11" t="s">
        <v>28</v>
      </c>
      <c r="J7338" s="11" t="s">
        <v>28</v>
      </c>
      <c r="K7338" s="11" t="s">
        <v>28</v>
      </c>
      <c r="L7338" s="11" t="s">
        <v>28</v>
      </c>
      <c r="M7338" s="11" t="s">
        <v>28</v>
      </c>
      <c r="N7338" s="8">
        <v>43466</v>
      </c>
      <c r="O7338" s="9" t="s">
        <v>73</v>
      </c>
      <c r="P7338" s="12" t="s">
        <v>21788</v>
      </c>
      <c r="Q7338" s="9" t="s">
        <v>85</v>
      </c>
      <c r="R7338" s="14" t="str">
        <f>HYPERLINK("https://my.pitchbook.com?c=135730-27T","View Company Online")</f>
        <v>View Company Online</v>
      </c>
    </row>
    <row r="7339" spans="1:18" hidden="1" x14ac:dyDescent="0.3">
      <c r="A7339" s="15" t="s">
        <v>21789</v>
      </c>
      <c r="B7339" s="15" t="s">
        <v>13129</v>
      </c>
      <c r="C7339" s="18" t="s">
        <v>28</v>
      </c>
      <c r="D7339" s="15" t="s">
        <v>13130</v>
      </c>
      <c r="E7339" s="18" t="s">
        <v>28</v>
      </c>
      <c r="F7339" s="19" t="s">
        <v>28</v>
      </c>
      <c r="G7339" s="19" t="s">
        <v>28</v>
      </c>
      <c r="H7339" s="19" t="s">
        <v>28</v>
      </c>
      <c r="I7339" s="18" t="s">
        <v>28</v>
      </c>
      <c r="J7339" s="18" t="s">
        <v>28</v>
      </c>
      <c r="K7339" s="18" t="s">
        <v>28</v>
      </c>
      <c r="L7339" s="18" t="s">
        <v>28</v>
      </c>
      <c r="M7339" s="18" t="s">
        <v>28</v>
      </c>
      <c r="N7339" s="17">
        <v>43466</v>
      </c>
      <c r="O7339" s="15" t="s">
        <v>52</v>
      </c>
      <c r="P7339" s="16" t="s">
        <v>21790</v>
      </c>
      <c r="Q7339" s="15" t="s">
        <v>37</v>
      </c>
      <c r="R7339" s="13" t="str">
        <f>HYPERLINK("https://my.pitchbook.com?c=127524-70T","View Company Online")</f>
        <v>View Company Online</v>
      </c>
    </row>
    <row r="7340" spans="1:18" hidden="1" x14ac:dyDescent="0.3">
      <c r="A7340" s="9" t="s">
        <v>21791</v>
      </c>
      <c r="B7340" s="9" t="s">
        <v>21792</v>
      </c>
      <c r="C7340" s="11" t="s">
        <v>28</v>
      </c>
      <c r="D7340" s="9" t="s">
        <v>21793</v>
      </c>
      <c r="E7340" s="11" t="s">
        <v>28</v>
      </c>
      <c r="F7340" s="10" t="s">
        <v>28</v>
      </c>
      <c r="G7340" s="10" t="s">
        <v>28</v>
      </c>
      <c r="H7340" s="10" t="s">
        <v>28</v>
      </c>
      <c r="I7340" s="11" t="s">
        <v>28</v>
      </c>
      <c r="J7340" s="11" t="s">
        <v>28</v>
      </c>
      <c r="K7340" s="11" t="s">
        <v>28</v>
      </c>
      <c r="L7340" s="11" t="s">
        <v>28</v>
      </c>
      <c r="M7340" s="11" t="s">
        <v>28</v>
      </c>
      <c r="N7340" s="8">
        <v>43466</v>
      </c>
      <c r="O7340" s="9" t="s">
        <v>30</v>
      </c>
      <c r="P7340" s="12" t="s">
        <v>28</v>
      </c>
      <c r="Q7340" s="9" t="s">
        <v>169</v>
      </c>
      <c r="R7340" s="14" t="str">
        <f>HYPERLINK("https://my.pitchbook.com?c=134869-33T","View Company Online")</f>
        <v>View Company Online</v>
      </c>
    </row>
    <row r="7341" spans="1:18" hidden="1" x14ac:dyDescent="0.3">
      <c r="A7341" s="15" t="s">
        <v>21794</v>
      </c>
      <c r="B7341" s="15" t="s">
        <v>12029</v>
      </c>
      <c r="C7341" s="18" t="s">
        <v>28</v>
      </c>
      <c r="D7341" s="15" t="s">
        <v>12030</v>
      </c>
      <c r="E7341" s="18" t="s">
        <v>28</v>
      </c>
      <c r="F7341" s="19" t="s">
        <v>28</v>
      </c>
      <c r="G7341" s="19" t="s">
        <v>28</v>
      </c>
      <c r="H7341" s="19" t="s">
        <v>28</v>
      </c>
      <c r="I7341" s="18" t="s">
        <v>28</v>
      </c>
      <c r="J7341" s="18" t="s">
        <v>28</v>
      </c>
      <c r="K7341" s="18" t="s">
        <v>28</v>
      </c>
      <c r="L7341" s="18" t="s">
        <v>28</v>
      </c>
      <c r="M7341" s="18" t="s">
        <v>28</v>
      </c>
      <c r="N7341" s="17">
        <v>43466</v>
      </c>
      <c r="O7341" s="15" t="s">
        <v>52</v>
      </c>
      <c r="P7341" s="16" t="s">
        <v>21795</v>
      </c>
      <c r="Q7341" s="15" t="s">
        <v>37</v>
      </c>
      <c r="R7341" s="13" t="str">
        <f>HYPERLINK("https://my.pitchbook.com?c=117938-44T","View Company Online")</f>
        <v>View Company Online</v>
      </c>
    </row>
    <row r="7342" spans="1:18" hidden="1" x14ac:dyDescent="0.3">
      <c r="A7342" s="9" t="s">
        <v>21796</v>
      </c>
      <c r="B7342" s="9" t="s">
        <v>21797</v>
      </c>
      <c r="C7342" s="11" t="s">
        <v>28</v>
      </c>
      <c r="D7342" s="9" t="s">
        <v>21798</v>
      </c>
      <c r="E7342" s="11" t="s">
        <v>28</v>
      </c>
      <c r="F7342" s="10" t="s">
        <v>28</v>
      </c>
      <c r="G7342" s="10" t="s">
        <v>28</v>
      </c>
      <c r="H7342" s="10" t="s">
        <v>28</v>
      </c>
      <c r="I7342" s="11" t="s">
        <v>28</v>
      </c>
      <c r="J7342" s="11" t="s">
        <v>28</v>
      </c>
      <c r="K7342" s="11" t="s">
        <v>28</v>
      </c>
      <c r="L7342" s="11" t="s">
        <v>28</v>
      </c>
      <c r="M7342" s="11" t="s">
        <v>28</v>
      </c>
      <c r="N7342" s="8">
        <v>43466</v>
      </c>
      <c r="O7342" s="9" t="s">
        <v>41</v>
      </c>
      <c r="P7342" s="12" t="s">
        <v>21799</v>
      </c>
      <c r="Q7342" s="9" t="s">
        <v>43</v>
      </c>
      <c r="R7342" s="14" t="str">
        <f>HYPERLINK("https://my.pitchbook.com?c=114388-39T","View Company Online")</f>
        <v>View Company Online</v>
      </c>
    </row>
    <row r="7343" spans="1:18" hidden="1" x14ac:dyDescent="0.3">
      <c r="A7343" s="15" t="s">
        <v>21800</v>
      </c>
      <c r="B7343" s="15" t="s">
        <v>21801</v>
      </c>
      <c r="C7343" s="18" t="s">
        <v>28</v>
      </c>
      <c r="D7343" s="15" t="s">
        <v>21802</v>
      </c>
      <c r="E7343" s="18" t="s">
        <v>28</v>
      </c>
      <c r="F7343" s="19" t="s">
        <v>28</v>
      </c>
      <c r="G7343" s="19" t="s">
        <v>28</v>
      </c>
      <c r="H7343" s="19" t="s">
        <v>28</v>
      </c>
      <c r="I7343" s="18" t="s">
        <v>28</v>
      </c>
      <c r="J7343" s="18" t="s">
        <v>28</v>
      </c>
      <c r="K7343" s="18" t="s">
        <v>28</v>
      </c>
      <c r="L7343" s="18" t="s">
        <v>28</v>
      </c>
      <c r="M7343" s="18" t="s">
        <v>28</v>
      </c>
      <c r="N7343" s="17">
        <v>43466</v>
      </c>
      <c r="O7343" s="15" t="s">
        <v>52</v>
      </c>
      <c r="P7343" s="16" t="s">
        <v>2830</v>
      </c>
      <c r="Q7343" s="15" t="s">
        <v>371</v>
      </c>
      <c r="R7343" s="13" t="str">
        <f>HYPERLINK("https://my.pitchbook.com?c=292637-26T","View Company Online")</f>
        <v>View Company Online</v>
      </c>
    </row>
    <row r="7344" spans="1:18" hidden="1" x14ac:dyDescent="0.3">
      <c r="A7344" s="9" t="s">
        <v>21803</v>
      </c>
      <c r="B7344" s="9" t="s">
        <v>21804</v>
      </c>
      <c r="C7344" s="11" t="s">
        <v>28</v>
      </c>
      <c r="D7344" s="9" t="s">
        <v>21805</v>
      </c>
      <c r="E7344" s="11" t="s">
        <v>28</v>
      </c>
      <c r="F7344" s="10" t="s">
        <v>28</v>
      </c>
      <c r="G7344" s="10" t="s">
        <v>28</v>
      </c>
      <c r="H7344" s="10" t="s">
        <v>28</v>
      </c>
      <c r="I7344" s="11" t="s">
        <v>28</v>
      </c>
      <c r="J7344" s="11" t="s">
        <v>28</v>
      </c>
      <c r="K7344" s="11" t="s">
        <v>28</v>
      </c>
      <c r="L7344" s="11" t="s">
        <v>28</v>
      </c>
      <c r="M7344" s="11" t="s">
        <v>28</v>
      </c>
      <c r="N7344" s="8">
        <v>43466</v>
      </c>
      <c r="O7344" s="9" t="s">
        <v>52</v>
      </c>
      <c r="P7344" s="12" t="s">
        <v>2830</v>
      </c>
      <c r="Q7344" s="9" t="s">
        <v>245</v>
      </c>
      <c r="R7344" s="14" t="str">
        <f>HYPERLINK("https://my.pitchbook.com?c=292168-63T","View Company Online")</f>
        <v>View Company Online</v>
      </c>
    </row>
    <row r="7345" spans="1:18" hidden="1" x14ac:dyDescent="0.3">
      <c r="A7345" s="15" t="s">
        <v>21806</v>
      </c>
      <c r="B7345" s="15" t="s">
        <v>3933</v>
      </c>
      <c r="C7345" s="18" t="s">
        <v>28</v>
      </c>
      <c r="D7345" s="15" t="s">
        <v>3934</v>
      </c>
      <c r="E7345" s="18" t="s">
        <v>28</v>
      </c>
      <c r="F7345" s="19" t="s">
        <v>28</v>
      </c>
      <c r="G7345" s="19" t="s">
        <v>28</v>
      </c>
      <c r="H7345" s="19" t="s">
        <v>28</v>
      </c>
      <c r="I7345" s="18" t="s">
        <v>28</v>
      </c>
      <c r="J7345" s="18" t="s">
        <v>28</v>
      </c>
      <c r="K7345" s="18" t="s">
        <v>28</v>
      </c>
      <c r="L7345" s="18" t="s">
        <v>28</v>
      </c>
      <c r="M7345" s="18" t="s">
        <v>28</v>
      </c>
      <c r="N7345" s="17">
        <v>43466</v>
      </c>
      <c r="O7345" s="15" t="s">
        <v>52</v>
      </c>
      <c r="P7345" s="16" t="s">
        <v>8092</v>
      </c>
      <c r="Q7345" s="15" t="s">
        <v>381</v>
      </c>
      <c r="R7345" s="13" t="str">
        <f>HYPERLINK("https://my.pitchbook.com?c=262494-28T","View Company Online")</f>
        <v>View Company Online</v>
      </c>
    </row>
    <row r="7346" spans="1:18" hidden="1" x14ac:dyDescent="0.3">
      <c r="A7346" s="9" t="s">
        <v>21807</v>
      </c>
      <c r="B7346" s="9" t="s">
        <v>21808</v>
      </c>
      <c r="C7346" s="11" t="s">
        <v>28</v>
      </c>
      <c r="D7346" s="9" t="s">
        <v>21809</v>
      </c>
      <c r="E7346" s="11" t="s">
        <v>28</v>
      </c>
      <c r="F7346" s="10" t="s">
        <v>28</v>
      </c>
      <c r="G7346" s="10" t="s">
        <v>28</v>
      </c>
      <c r="H7346" s="10" t="s">
        <v>28</v>
      </c>
      <c r="I7346" s="11" t="s">
        <v>28</v>
      </c>
      <c r="J7346" s="11" t="s">
        <v>28</v>
      </c>
      <c r="K7346" s="11" t="s">
        <v>28</v>
      </c>
      <c r="L7346" s="11" t="s">
        <v>28</v>
      </c>
      <c r="M7346" s="11" t="s">
        <v>28</v>
      </c>
      <c r="N7346" s="8">
        <v>43466</v>
      </c>
      <c r="O7346" s="9" t="s">
        <v>73</v>
      </c>
      <c r="P7346" s="12" t="s">
        <v>17245</v>
      </c>
      <c r="Q7346" s="9" t="s">
        <v>249</v>
      </c>
      <c r="R7346" s="14" t="str">
        <f>HYPERLINK("https://my.pitchbook.com?c=125779-96T","View Company Online")</f>
        <v>View Company Online</v>
      </c>
    </row>
    <row r="7347" spans="1:18" hidden="1" x14ac:dyDescent="0.3">
      <c r="A7347" s="15" t="s">
        <v>21810</v>
      </c>
      <c r="B7347" s="15" t="s">
        <v>21811</v>
      </c>
      <c r="C7347" s="18" t="s">
        <v>28</v>
      </c>
      <c r="D7347" s="15" t="s">
        <v>21812</v>
      </c>
      <c r="E7347" s="18" t="s">
        <v>28</v>
      </c>
      <c r="F7347" s="19" t="s">
        <v>28</v>
      </c>
      <c r="G7347" s="19" t="s">
        <v>28</v>
      </c>
      <c r="H7347" s="19" t="s">
        <v>28</v>
      </c>
      <c r="I7347" s="18" t="s">
        <v>28</v>
      </c>
      <c r="J7347" s="18" t="s">
        <v>28</v>
      </c>
      <c r="K7347" s="18" t="s">
        <v>28</v>
      </c>
      <c r="L7347" s="18" t="s">
        <v>28</v>
      </c>
      <c r="M7347" s="18" t="s">
        <v>28</v>
      </c>
      <c r="N7347" s="17">
        <v>43466</v>
      </c>
      <c r="O7347" s="15" t="s">
        <v>30</v>
      </c>
      <c r="P7347" s="16" t="s">
        <v>21813</v>
      </c>
      <c r="Q7347" s="15" t="s">
        <v>160</v>
      </c>
      <c r="R7347" s="13" t="str">
        <f>HYPERLINK("https://my.pitchbook.com?c=260436-25T","View Company Online")</f>
        <v>View Company Online</v>
      </c>
    </row>
    <row r="7348" spans="1:18" hidden="1" x14ac:dyDescent="0.3">
      <c r="A7348" s="9" t="s">
        <v>21814</v>
      </c>
      <c r="B7348" s="9" t="s">
        <v>6852</v>
      </c>
      <c r="C7348" s="11" t="s">
        <v>28</v>
      </c>
      <c r="D7348" s="9" t="s">
        <v>6853</v>
      </c>
      <c r="E7348" s="11" t="s">
        <v>28</v>
      </c>
      <c r="F7348" s="10" t="s">
        <v>28</v>
      </c>
      <c r="G7348" s="10" t="s">
        <v>28</v>
      </c>
      <c r="H7348" s="10" t="s">
        <v>28</v>
      </c>
      <c r="I7348" s="11" t="s">
        <v>28</v>
      </c>
      <c r="J7348" s="11" t="s">
        <v>28</v>
      </c>
      <c r="K7348" s="11" t="s">
        <v>28</v>
      </c>
      <c r="L7348" s="11" t="s">
        <v>28</v>
      </c>
      <c r="M7348" s="11" t="s">
        <v>28</v>
      </c>
      <c r="N7348" s="8">
        <v>43466</v>
      </c>
      <c r="O7348" s="9" t="s">
        <v>379</v>
      </c>
      <c r="P7348" s="12" t="s">
        <v>28</v>
      </c>
      <c r="Q7348" s="9" t="s">
        <v>75</v>
      </c>
      <c r="R7348" s="14" t="str">
        <f>HYPERLINK("https://my.pitchbook.com?c=216294-67T","View Company Online")</f>
        <v>View Company Online</v>
      </c>
    </row>
    <row r="7349" spans="1:18" hidden="1" x14ac:dyDescent="0.3">
      <c r="A7349" s="15" t="s">
        <v>21815</v>
      </c>
      <c r="B7349" s="15" t="s">
        <v>21816</v>
      </c>
      <c r="C7349" s="18" t="s">
        <v>28</v>
      </c>
      <c r="D7349" s="15" t="s">
        <v>21817</v>
      </c>
      <c r="E7349" s="18" t="s">
        <v>28</v>
      </c>
      <c r="F7349" s="19">
        <v>16.75</v>
      </c>
      <c r="G7349" s="19">
        <v>16.75</v>
      </c>
      <c r="H7349" s="19">
        <v>16.75</v>
      </c>
      <c r="I7349" s="18" t="s">
        <v>28</v>
      </c>
      <c r="J7349" s="18" t="s">
        <v>28</v>
      </c>
      <c r="K7349" s="18" t="s">
        <v>28</v>
      </c>
      <c r="L7349" s="18" t="s">
        <v>28</v>
      </c>
      <c r="M7349" s="18" t="s">
        <v>28</v>
      </c>
      <c r="N7349" s="17">
        <v>43466</v>
      </c>
      <c r="O7349" s="15" t="s">
        <v>30</v>
      </c>
      <c r="P7349" s="16" t="s">
        <v>28</v>
      </c>
      <c r="Q7349" s="15" t="s">
        <v>1035</v>
      </c>
      <c r="R7349" s="13" t="str">
        <f>HYPERLINK("https://my.pitchbook.com?c=228132-82T","View Company Online")</f>
        <v>View Company Online</v>
      </c>
    </row>
    <row r="7350" spans="1:18" hidden="1" x14ac:dyDescent="0.3">
      <c r="A7350" s="9" t="s">
        <v>21818</v>
      </c>
      <c r="B7350" s="9" t="s">
        <v>20123</v>
      </c>
      <c r="C7350" s="11" t="s">
        <v>28</v>
      </c>
      <c r="D7350" s="9" t="s">
        <v>20124</v>
      </c>
      <c r="E7350" s="11" t="s">
        <v>28</v>
      </c>
      <c r="F7350" s="10" t="s">
        <v>28</v>
      </c>
      <c r="G7350" s="10">
        <v>0.05</v>
      </c>
      <c r="H7350" s="10" t="s">
        <v>28</v>
      </c>
      <c r="I7350" s="11" t="s">
        <v>28</v>
      </c>
      <c r="J7350" s="11" t="s">
        <v>28</v>
      </c>
      <c r="K7350" s="11" t="s">
        <v>28</v>
      </c>
      <c r="L7350" s="11" t="s">
        <v>28</v>
      </c>
      <c r="M7350" s="11" t="s">
        <v>28</v>
      </c>
      <c r="N7350" s="8">
        <v>43466</v>
      </c>
      <c r="O7350" s="9" t="s">
        <v>52</v>
      </c>
      <c r="P7350" s="12" t="s">
        <v>221</v>
      </c>
      <c r="Q7350" s="9" t="s">
        <v>75</v>
      </c>
      <c r="R7350" s="14" t="str">
        <f>HYPERLINK("https://my.pitchbook.com?c=189064-54T","View Company Online")</f>
        <v>View Company Online</v>
      </c>
    </row>
    <row r="7351" spans="1:18" hidden="1" x14ac:dyDescent="0.3">
      <c r="A7351" s="15" t="s">
        <v>21819</v>
      </c>
      <c r="B7351" s="15" t="s">
        <v>12424</v>
      </c>
      <c r="C7351" s="18" t="s">
        <v>28</v>
      </c>
      <c r="D7351" s="15" t="s">
        <v>12425</v>
      </c>
      <c r="E7351" s="18" t="s">
        <v>28</v>
      </c>
      <c r="F7351" s="19" t="s">
        <v>28</v>
      </c>
      <c r="G7351" s="19" t="s">
        <v>28</v>
      </c>
      <c r="H7351" s="19" t="s">
        <v>28</v>
      </c>
      <c r="I7351" s="18" t="s">
        <v>28</v>
      </c>
      <c r="J7351" s="18" t="s">
        <v>28</v>
      </c>
      <c r="K7351" s="18" t="s">
        <v>28</v>
      </c>
      <c r="L7351" s="18" t="s">
        <v>28</v>
      </c>
      <c r="M7351" s="18" t="s">
        <v>28</v>
      </c>
      <c r="N7351" s="17">
        <v>43466</v>
      </c>
      <c r="O7351" s="15" t="s">
        <v>52</v>
      </c>
      <c r="P7351" s="16" t="s">
        <v>19418</v>
      </c>
      <c r="Q7351" s="15" t="s">
        <v>4901</v>
      </c>
      <c r="R7351" s="13" t="str">
        <f>HYPERLINK("https://my.pitchbook.com?c=227060-74T","View Company Online")</f>
        <v>View Company Online</v>
      </c>
    </row>
    <row r="7352" spans="1:18" hidden="1" x14ac:dyDescent="0.3">
      <c r="A7352" s="9" t="s">
        <v>21820</v>
      </c>
      <c r="B7352" s="9" t="s">
        <v>21821</v>
      </c>
      <c r="C7352" s="11" t="s">
        <v>28</v>
      </c>
      <c r="D7352" s="9" t="s">
        <v>21822</v>
      </c>
      <c r="E7352" s="11" t="s">
        <v>28</v>
      </c>
      <c r="F7352" s="10" t="s">
        <v>28</v>
      </c>
      <c r="G7352" s="10" t="s">
        <v>28</v>
      </c>
      <c r="H7352" s="10" t="s">
        <v>28</v>
      </c>
      <c r="I7352" s="11" t="s">
        <v>28</v>
      </c>
      <c r="J7352" s="11" t="s">
        <v>28</v>
      </c>
      <c r="K7352" s="11" t="s">
        <v>28</v>
      </c>
      <c r="L7352" s="11" t="s">
        <v>28</v>
      </c>
      <c r="M7352" s="11" t="s">
        <v>28</v>
      </c>
      <c r="N7352" s="8">
        <v>43466</v>
      </c>
      <c r="O7352" s="9" t="s">
        <v>52</v>
      </c>
      <c r="P7352" s="12" t="s">
        <v>2830</v>
      </c>
      <c r="Q7352" s="9" t="s">
        <v>75</v>
      </c>
      <c r="R7352" s="14" t="str">
        <f>HYPERLINK("https://my.pitchbook.com?c=292633-57T","View Company Online")</f>
        <v>View Company Online</v>
      </c>
    </row>
    <row r="7353" spans="1:18" hidden="1" x14ac:dyDescent="0.3">
      <c r="A7353" s="15" t="s">
        <v>21823</v>
      </c>
      <c r="B7353" s="15" t="s">
        <v>15774</v>
      </c>
      <c r="C7353" s="18" t="s">
        <v>28</v>
      </c>
      <c r="D7353" s="15" t="s">
        <v>15775</v>
      </c>
      <c r="E7353" s="18" t="s">
        <v>28</v>
      </c>
      <c r="F7353" s="19" t="s">
        <v>28</v>
      </c>
      <c r="G7353" s="19" t="s">
        <v>28</v>
      </c>
      <c r="H7353" s="19" t="s">
        <v>28</v>
      </c>
      <c r="I7353" s="18" t="s">
        <v>28</v>
      </c>
      <c r="J7353" s="18" t="s">
        <v>28</v>
      </c>
      <c r="K7353" s="18" t="s">
        <v>28</v>
      </c>
      <c r="L7353" s="18" t="s">
        <v>28</v>
      </c>
      <c r="M7353" s="18" t="s">
        <v>28</v>
      </c>
      <c r="N7353" s="17">
        <v>43466</v>
      </c>
      <c r="O7353" s="15" t="s">
        <v>52</v>
      </c>
      <c r="P7353" s="16" t="s">
        <v>2442</v>
      </c>
      <c r="Q7353" s="15" t="s">
        <v>75</v>
      </c>
      <c r="R7353" s="13" t="str">
        <f>HYPERLINK("https://my.pitchbook.com?c=259588-81T","View Company Online")</f>
        <v>View Company Online</v>
      </c>
    </row>
    <row r="7354" spans="1:18" hidden="1" x14ac:dyDescent="0.3">
      <c r="A7354" s="9" t="s">
        <v>21824</v>
      </c>
      <c r="B7354" s="9" t="s">
        <v>21074</v>
      </c>
      <c r="C7354" s="11" t="s">
        <v>28</v>
      </c>
      <c r="D7354" s="9" t="s">
        <v>21075</v>
      </c>
      <c r="E7354" s="11" t="s">
        <v>28</v>
      </c>
      <c r="F7354" s="10" t="s">
        <v>28</v>
      </c>
      <c r="G7354" s="10">
        <v>0.26</v>
      </c>
      <c r="H7354" s="10">
        <v>8.56</v>
      </c>
      <c r="I7354" s="11" t="s">
        <v>28</v>
      </c>
      <c r="J7354" s="11" t="s">
        <v>28</v>
      </c>
      <c r="K7354" s="11" t="s">
        <v>28</v>
      </c>
      <c r="L7354" s="11" t="s">
        <v>28</v>
      </c>
      <c r="M7354" s="11" t="s">
        <v>28</v>
      </c>
      <c r="N7354" s="8">
        <v>43466</v>
      </c>
      <c r="O7354" s="9" t="s">
        <v>52</v>
      </c>
      <c r="P7354" s="12" t="s">
        <v>3869</v>
      </c>
      <c r="Q7354" s="9" t="s">
        <v>119</v>
      </c>
      <c r="R7354" s="14" t="str">
        <f>HYPERLINK("https://my.pitchbook.com?c=289280-71T","View Company Online")</f>
        <v>View Company Online</v>
      </c>
    </row>
    <row r="7355" spans="1:18" hidden="1" x14ac:dyDescent="0.3">
      <c r="A7355" s="15" t="s">
        <v>21825</v>
      </c>
      <c r="B7355" s="15" t="s">
        <v>21826</v>
      </c>
      <c r="C7355" s="18" t="s">
        <v>28</v>
      </c>
      <c r="D7355" s="15" t="s">
        <v>21827</v>
      </c>
      <c r="E7355" s="18" t="s">
        <v>28</v>
      </c>
      <c r="F7355" s="19" t="s">
        <v>28</v>
      </c>
      <c r="G7355" s="19" t="s">
        <v>28</v>
      </c>
      <c r="H7355" s="19" t="s">
        <v>28</v>
      </c>
      <c r="I7355" s="18" t="s">
        <v>28</v>
      </c>
      <c r="J7355" s="18" t="s">
        <v>28</v>
      </c>
      <c r="K7355" s="18" t="s">
        <v>28</v>
      </c>
      <c r="L7355" s="18" t="s">
        <v>28</v>
      </c>
      <c r="M7355" s="18" t="s">
        <v>28</v>
      </c>
      <c r="N7355" s="17">
        <v>43466</v>
      </c>
      <c r="O7355" s="15" t="s">
        <v>52</v>
      </c>
      <c r="P7355" s="16" t="s">
        <v>20888</v>
      </c>
      <c r="Q7355" s="15" t="s">
        <v>566</v>
      </c>
      <c r="R7355" s="13" t="str">
        <f>HYPERLINK("https://my.pitchbook.com?c=139870-63T","View Company Online")</f>
        <v>View Company Online</v>
      </c>
    </row>
    <row r="7356" spans="1:18" hidden="1" x14ac:dyDescent="0.3">
      <c r="A7356" s="9" t="s">
        <v>21828</v>
      </c>
      <c r="B7356" s="9" t="s">
        <v>16950</v>
      </c>
      <c r="C7356" s="11" t="s">
        <v>28</v>
      </c>
      <c r="D7356" s="9" t="s">
        <v>16951</v>
      </c>
      <c r="E7356" s="11" t="s">
        <v>28</v>
      </c>
      <c r="F7356" s="10" t="s">
        <v>28</v>
      </c>
      <c r="G7356" s="10" t="s">
        <v>28</v>
      </c>
      <c r="H7356" s="10" t="s">
        <v>28</v>
      </c>
      <c r="I7356" s="11" t="s">
        <v>28</v>
      </c>
      <c r="J7356" s="11" t="s">
        <v>28</v>
      </c>
      <c r="K7356" s="11" t="s">
        <v>28</v>
      </c>
      <c r="L7356" s="11" t="s">
        <v>28</v>
      </c>
      <c r="M7356" s="11" t="s">
        <v>28</v>
      </c>
      <c r="N7356" s="8">
        <v>43466</v>
      </c>
      <c r="O7356" s="9" t="s">
        <v>52</v>
      </c>
      <c r="P7356" s="12" t="s">
        <v>21790</v>
      </c>
      <c r="Q7356" s="9" t="s">
        <v>386</v>
      </c>
      <c r="R7356" s="14" t="str">
        <f>HYPERLINK("https://my.pitchbook.com?c=274791-25T","View Company Online")</f>
        <v>View Company Online</v>
      </c>
    </row>
    <row r="7357" spans="1:18" hidden="1" x14ac:dyDescent="0.3">
      <c r="A7357" s="15" t="s">
        <v>21829</v>
      </c>
      <c r="B7357" s="15" t="s">
        <v>21830</v>
      </c>
      <c r="C7357" s="18" t="s">
        <v>28</v>
      </c>
      <c r="D7357" s="15" t="s">
        <v>21831</v>
      </c>
      <c r="E7357" s="18" t="s">
        <v>28</v>
      </c>
      <c r="F7357" s="19" t="s">
        <v>28</v>
      </c>
      <c r="G7357" s="19" t="s">
        <v>28</v>
      </c>
      <c r="H7357" s="19" t="s">
        <v>28</v>
      </c>
      <c r="I7357" s="18" t="s">
        <v>28</v>
      </c>
      <c r="J7357" s="18" t="s">
        <v>28</v>
      </c>
      <c r="K7357" s="18" t="s">
        <v>28</v>
      </c>
      <c r="L7357" s="18" t="s">
        <v>28</v>
      </c>
      <c r="M7357" s="18" t="s">
        <v>28</v>
      </c>
      <c r="N7357" s="17">
        <v>43466</v>
      </c>
      <c r="O7357" s="15" t="s">
        <v>41</v>
      </c>
      <c r="P7357" s="16" t="s">
        <v>1711</v>
      </c>
      <c r="Q7357" s="15" t="s">
        <v>69</v>
      </c>
      <c r="R7357" s="13" t="str">
        <f>HYPERLINK("https://my.pitchbook.com?c=213899-14T","View Company Online")</f>
        <v>View Company Online</v>
      </c>
    </row>
    <row r="7358" spans="1:18" hidden="1" x14ac:dyDescent="0.3">
      <c r="A7358" s="9" t="s">
        <v>21832</v>
      </c>
      <c r="B7358" s="9" t="s">
        <v>21833</v>
      </c>
      <c r="C7358" s="11" t="s">
        <v>28</v>
      </c>
      <c r="D7358" s="9" t="s">
        <v>21834</v>
      </c>
      <c r="E7358" s="11" t="s">
        <v>28</v>
      </c>
      <c r="F7358" s="10" t="s">
        <v>28</v>
      </c>
      <c r="G7358" s="10">
        <v>0.08</v>
      </c>
      <c r="H7358" s="10" t="s">
        <v>28</v>
      </c>
      <c r="I7358" s="11" t="s">
        <v>28</v>
      </c>
      <c r="J7358" s="11" t="s">
        <v>28</v>
      </c>
      <c r="K7358" s="11" t="s">
        <v>28</v>
      </c>
      <c r="L7358" s="11" t="s">
        <v>28</v>
      </c>
      <c r="M7358" s="11" t="s">
        <v>28</v>
      </c>
      <c r="N7358" s="8">
        <v>43466</v>
      </c>
      <c r="O7358" s="9" t="s">
        <v>52</v>
      </c>
      <c r="P7358" s="12" t="s">
        <v>2864</v>
      </c>
      <c r="Q7358" s="9" t="s">
        <v>75</v>
      </c>
      <c r="R7358" s="14" t="str">
        <f>HYPERLINK("https://my.pitchbook.com?c=202253-14T","View Company Online")</f>
        <v>View Company Online</v>
      </c>
    </row>
    <row r="7359" spans="1:18" hidden="1" x14ac:dyDescent="0.3">
      <c r="A7359" s="15" t="s">
        <v>21835</v>
      </c>
      <c r="B7359" s="15" t="s">
        <v>9217</v>
      </c>
      <c r="C7359" s="18" t="s">
        <v>28</v>
      </c>
      <c r="D7359" s="15" t="s">
        <v>9218</v>
      </c>
      <c r="E7359" s="18">
        <v>3.91</v>
      </c>
      <c r="F7359" s="19" t="s">
        <v>28</v>
      </c>
      <c r="G7359" s="19" t="s">
        <v>28</v>
      </c>
      <c r="H7359" s="19" t="s">
        <v>28</v>
      </c>
      <c r="I7359" s="18">
        <v>10.029999999999999</v>
      </c>
      <c r="J7359" s="18" t="s">
        <v>28</v>
      </c>
      <c r="K7359" s="18">
        <v>99.17</v>
      </c>
      <c r="L7359" s="18" t="s">
        <v>28</v>
      </c>
      <c r="M7359" s="18">
        <v>-0.17</v>
      </c>
      <c r="N7359" s="17">
        <v>43466</v>
      </c>
      <c r="O7359" s="15" t="s">
        <v>93</v>
      </c>
      <c r="P7359" s="16" t="s">
        <v>9551</v>
      </c>
      <c r="Q7359" s="15" t="s">
        <v>5347</v>
      </c>
      <c r="R7359" s="13" t="str">
        <f>HYPERLINK("https://my.pitchbook.com?c=160317-73T","View Company Online")</f>
        <v>View Company Online</v>
      </c>
    </row>
    <row r="7360" spans="1:18" hidden="1" x14ac:dyDescent="0.3">
      <c r="A7360" s="9" t="s">
        <v>21836</v>
      </c>
      <c r="B7360" s="9" t="s">
        <v>21837</v>
      </c>
      <c r="C7360" s="11" t="s">
        <v>28</v>
      </c>
      <c r="D7360" s="9" t="s">
        <v>21838</v>
      </c>
      <c r="E7360" s="11" t="s">
        <v>28</v>
      </c>
      <c r="F7360" s="10" t="s">
        <v>28</v>
      </c>
      <c r="G7360" s="10" t="s">
        <v>28</v>
      </c>
      <c r="H7360" s="10" t="s">
        <v>28</v>
      </c>
      <c r="I7360" s="11" t="s">
        <v>28</v>
      </c>
      <c r="J7360" s="11" t="s">
        <v>28</v>
      </c>
      <c r="K7360" s="11" t="s">
        <v>28</v>
      </c>
      <c r="L7360" s="11" t="s">
        <v>28</v>
      </c>
      <c r="M7360" s="11" t="s">
        <v>28</v>
      </c>
      <c r="N7360" s="8">
        <v>43466</v>
      </c>
      <c r="O7360" s="9" t="s">
        <v>30</v>
      </c>
      <c r="P7360" s="12" t="s">
        <v>11318</v>
      </c>
      <c r="Q7360" s="9" t="s">
        <v>290</v>
      </c>
      <c r="R7360" s="14" t="str">
        <f>HYPERLINK("https://my.pitchbook.com?c=175588-39T","View Company Online")</f>
        <v>View Company Online</v>
      </c>
    </row>
    <row r="7361" spans="1:18" hidden="1" x14ac:dyDescent="0.3">
      <c r="A7361" s="15" t="s">
        <v>21839</v>
      </c>
      <c r="B7361" s="15" t="s">
        <v>12445</v>
      </c>
      <c r="C7361" s="18" t="s">
        <v>28</v>
      </c>
      <c r="D7361" s="15" t="s">
        <v>12446</v>
      </c>
      <c r="E7361" s="18" t="s">
        <v>28</v>
      </c>
      <c r="F7361" s="19" t="s">
        <v>28</v>
      </c>
      <c r="G7361" s="19" t="s">
        <v>28</v>
      </c>
      <c r="H7361" s="19" t="s">
        <v>28</v>
      </c>
      <c r="I7361" s="18" t="s">
        <v>28</v>
      </c>
      <c r="J7361" s="18" t="s">
        <v>28</v>
      </c>
      <c r="K7361" s="18" t="s">
        <v>28</v>
      </c>
      <c r="L7361" s="18" t="s">
        <v>28</v>
      </c>
      <c r="M7361" s="18" t="s">
        <v>28</v>
      </c>
      <c r="N7361" s="17">
        <v>43466</v>
      </c>
      <c r="O7361" s="15" t="s">
        <v>52</v>
      </c>
      <c r="P7361" s="16" t="s">
        <v>12362</v>
      </c>
      <c r="Q7361" s="15" t="s">
        <v>75</v>
      </c>
      <c r="R7361" s="13" t="str">
        <f>HYPERLINK("https://my.pitchbook.com?c=284497-12T","View Company Online")</f>
        <v>View Company Online</v>
      </c>
    </row>
    <row r="7362" spans="1:18" hidden="1" x14ac:dyDescent="0.3">
      <c r="A7362" s="9" t="s">
        <v>21840</v>
      </c>
      <c r="B7362" s="9" t="s">
        <v>14374</v>
      </c>
      <c r="C7362" s="11" t="s">
        <v>28</v>
      </c>
      <c r="D7362" s="9" t="s">
        <v>14693</v>
      </c>
      <c r="E7362" s="11">
        <v>142.94</v>
      </c>
      <c r="F7362" s="10" t="s">
        <v>28</v>
      </c>
      <c r="G7362" s="10">
        <v>35</v>
      </c>
      <c r="H7362" s="10" t="s">
        <v>28</v>
      </c>
      <c r="I7362" s="11">
        <v>193.34</v>
      </c>
      <c r="J7362" s="11" t="s">
        <v>28</v>
      </c>
      <c r="K7362" s="11">
        <v>317.39999999999998</v>
      </c>
      <c r="L7362" s="11" t="s">
        <v>28</v>
      </c>
      <c r="M7362" s="11">
        <v>97.67</v>
      </c>
      <c r="N7362" s="8">
        <v>43466</v>
      </c>
      <c r="O7362" s="9" t="s">
        <v>93</v>
      </c>
      <c r="P7362" s="12" t="s">
        <v>21841</v>
      </c>
      <c r="Q7362" s="9" t="s">
        <v>1068</v>
      </c>
      <c r="R7362" s="14" t="str">
        <f>HYPERLINK("https://my.pitchbook.com?c=174227-68T","View Company Online")</f>
        <v>View Company Online</v>
      </c>
    </row>
    <row r="7363" spans="1:18" hidden="1" x14ac:dyDescent="0.3">
      <c r="A7363" s="15" t="s">
        <v>21842</v>
      </c>
      <c r="B7363" s="15" t="s">
        <v>21843</v>
      </c>
      <c r="C7363" s="18" t="s">
        <v>28</v>
      </c>
      <c r="D7363" s="15" t="s">
        <v>21844</v>
      </c>
      <c r="E7363" s="18" t="s">
        <v>28</v>
      </c>
      <c r="F7363" s="19" t="s">
        <v>28</v>
      </c>
      <c r="G7363" s="19" t="s">
        <v>28</v>
      </c>
      <c r="H7363" s="19" t="s">
        <v>28</v>
      </c>
      <c r="I7363" s="18" t="s">
        <v>28</v>
      </c>
      <c r="J7363" s="18" t="s">
        <v>28</v>
      </c>
      <c r="K7363" s="18" t="s">
        <v>28</v>
      </c>
      <c r="L7363" s="18" t="s">
        <v>28</v>
      </c>
      <c r="M7363" s="18" t="s">
        <v>28</v>
      </c>
      <c r="N7363" s="17">
        <v>43466</v>
      </c>
      <c r="O7363" s="15" t="s">
        <v>52</v>
      </c>
      <c r="P7363" s="16" t="s">
        <v>2442</v>
      </c>
      <c r="Q7363" s="15" t="s">
        <v>75</v>
      </c>
      <c r="R7363" s="13" t="str">
        <f>HYPERLINK("https://my.pitchbook.com?c=265646-35T","View Company Online")</f>
        <v>View Company Online</v>
      </c>
    </row>
    <row r="7364" spans="1:18" hidden="1" x14ac:dyDescent="0.3">
      <c r="A7364" s="9" t="s">
        <v>21845</v>
      </c>
      <c r="B7364" s="9" t="s">
        <v>21846</v>
      </c>
      <c r="C7364" s="11" t="s">
        <v>28</v>
      </c>
      <c r="D7364" s="9" t="s">
        <v>21847</v>
      </c>
      <c r="E7364" s="11" t="s">
        <v>28</v>
      </c>
      <c r="F7364" s="10" t="s">
        <v>28</v>
      </c>
      <c r="G7364" s="10" t="s">
        <v>28</v>
      </c>
      <c r="H7364" s="10" t="s">
        <v>28</v>
      </c>
      <c r="I7364" s="11" t="s">
        <v>28</v>
      </c>
      <c r="J7364" s="11" t="s">
        <v>28</v>
      </c>
      <c r="K7364" s="11" t="s">
        <v>28</v>
      </c>
      <c r="L7364" s="11" t="s">
        <v>28</v>
      </c>
      <c r="M7364" s="11" t="s">
        <v>28</v>
      </c>
      <c r="N7364" s="8">
        <v>43466</v>
      </c>
      <c r="O7364" s="9" t="s">
        <v>52</v>
      </c>
      <c r="P7364" s="12" t="s">
        <v>21848</v>
      </c>
      <c r="Q7364" s="9" t="s">
        <v>75</v>
      </c>
      <c r="R7364" s="14" t="str">
        <f>HYPERLINK("https://my.pitchbook.com?c=118423-00T","View Company Online")</f>
        <v>View Company Online</v>
      </c>
    </row>
    <row r="7365" spans="1:18" hidden="1" x14ac:dyDescent="0.3">
      <c r="A7365" s="15" t="s">
        <v>21849</v>
      </c>
      <c r="B7365" s="15" t="s">
        <v>10281</v>
      </c>
      <c r="C7365" s="18" t="s">
        <v>28</v>
      </c>
      <c r="D7365" s="15" t="s">
        <v>10282</v>
      </c>
      <c r="E7365" s="18" t="s">
        <v>28</v>
      </c>
      <c r="F7365" s="19" t="s">
        <v>28</v>
      </c>
      <c r="G7365" s="19">
        <v>1.5</v>
      </c>
      <c r="H7365" s="19" t="s">
        <v>28</v>
      </c>
      <c r="I7365" s="18" t="s">
        <v>28</v>
      </c>
      <c r="J7365" s="18" t="s">
        <v>28</v>
      </c>
      <c r="K7365" s="18" t="s">
        <v>28</v>
      </c>
      <c r="L7365" s="18" t="s">
        <v>28</v>
      </c>
      <c r="M7365" s="18" t="s">
        <v>28</v>
      </c>
      <c r="N7365" s="17">
        <v>43466</v>
      </c>
      <c r="O7365" s="15" t="s">
        <v>73</v>
      </c>
      <c r="P7365" s="16" t="s">
        <v>28</v>
      </c>
      <c r="Q7365" s="15" t="s">
        <v>105</v>
      </c>
      <c r="R7365" s="13" t="str">
        <f>HYPERLINK("https://my.pitchbook.com?c=206809-39T","View Company Online")</f>
        <v>View Company Online</v>
      </c>
    </row>
    <row r="7366" spans="1:18" hidden="1" x14ac:dyDescent="0.3">
      <c r="A7366" s="9" t="s">
        <v>21850</v>
      </c>
      <c r="B7366" s="9" t="s">
        <v>5272</v>
      </c>
      <c r="C7366" s="11" t="s">
        <v>28</v>
      </c>
      <c r="D7366" s="9" t="s">
        <v>5273</v>
      </c>
      <c r="E7366" s="11" t="s">
        <v>28</v>
      </c>
      <c r="F7366" s="10" t="s">
        <v>28</v>
      </c>
      <c r="G7366" s="10" t="s">
        <v>28</v>
      </c>
      <c r="H7366" s="10" t="s">
        <v>28</v>
      </c>
      <c r="I7366" s="11" t="s">
        <v>28</v>
      </c>
      <c r="J7366" s="11" t="s">
        <v>28</v>
      </c>
      <c r="K7366" s="11" t="s">
        <v>28</v>
      </c>
      <c r="L7366" s="11" t="s">
        <v>28</v>
      </c>
      <c r="M7366" s="11" t="s">
        <v>28</v>
      </c>
      <c r="N7366" s="8">
        <v>43466</v>
      </c>
      <c r="O7366" s="9" t="s">
        <v>52</v>
      </c>
      <c r="P7366" s="12" t="s">
        <v>8092</v>
      </c>
      <c r="Q7366" s="9" t="s">
        <v>404</v>
      </c>
      <c r="R7366" s="14" t="str">
        <f>HYPERLINK("https://my.pitchbook.com?c=262364-95T","View Company Online")</f>
        <v>View Company Online</v>
      </c>
    </row>
    <row r="7367" spans="1:18" hidden="1" x14ac:dyDescent="0.3">
      <c r="A7367" s="15" t="s">
        <v>21851</v>
      </c>
      <c r="B7367" s="15" t="s">
        <v>21852</v>
      </c>
      <c r="C7367" s="18" t="s">
        <v>28</v>
      </c>
      <c r="D7367" s="15" t="s">
        <v>21853</v>
      </c>
      <c r="E7367" s="18" t="s">
        <v>28</v>
      </c>
      <c r="F7367" s="19">
        <v>17.989999999999998</v>
      </c>
      <c r="G7367" s="19">
        <v>17.989999999999998</v>
      </c>
      <c r="H7367" s="19">
        <v>17.989999999999998</v>
      </c>
      <c r="I7367" s="18" t="s">
        <v>28</v>
      </c>
      <c r="J7367" s="18" t="s">
        <v>28</v>
      </c>
      <c r="K7367" s="18">
        <v>17.239999999999998</v>
      </c>
      <c r="L7367" s="18">
        <v>1.04</v>
      </c>
      <c r="M7367" s="18" t="s">
        <v>28</v>
      </c>
      <c r="N7367" s="17">
        <v>43466</v>
      </c>
      <c r="O7367" s="15" t="s">
        <v>41</v>
      </c>
      <c r="P7367" s="16" t="s">
        <v>21854</v>
      </c>
      <c r="Q7367" s="15" t="s">
        <v>245</v>
      </c>
      <c r="R7367" s="13" t="str">
        <f>HYPERLINK("https://my.pitchbook.com?c=123450-31T","View Company Online")</f>
        <v>View Company Online</v>
      </c>
    </row>
    <row r="7368" spans="1:18" hidden="1" x14ac:dyDescent="0.3">
      <c r="A7368" s="9" t="s">
        <v>21855</v>
      </c>
      <c r="B7368" s="9" t="s">
        <v>9141</v>
      </c>
      <c r="C7368" s="11" t="s">
        <v>28</v>
      </c>
      <c r="D7368" s="9" t="s">
        <v>9142</v>
      </c>
      <c r="E7368" s="11" t="s">
        <v>28</v>
      </c>
      <c r="F7368" s="10" t="s">
        <v>28</v>
      </c>
      <c r="G7368" s="10">
        <v>0.08</v>
      </c>
      <c r="H7368" s="10" t="s">
        <v>28</v>
      </c>
      <c r="I7368" s="11" t="s">
        <v>28</v>
      </c>
      <c r="J7368" s="11" t="s">
        <v>28</v>
      </c>
      <c r="K7368" s="11" t="s">
        <v>28</v>
      </c>
      <c r="L7368" s="11" t="s">
        <v>28</v>
      </c>
      <c r="M7368" s="11" t="s">
        <v>28</v>
      </c>
      <c r="N7368" s="8">
        <v>43466</v>
      </c>
      <c r="O7368" s="9" t="s">
        <v>99</v>
      </c>
      <c r="P7368" s="12" t="s">
        <v>21856</v>
      </c>
      <c r="Q7368" s="9" t="s">
        <v>740</v>
      </c>
      <c r="R7368" s="14" t="str">
        <f>HYPERLINK("https://my.pitchbook.com?c=194464-27T","View Company Online")</f>
        <v>View Company Online</v>
      </c>
    </row>
    <row r="7369" spans="1:18" hidden="1" x14ac:dyDescent="0.3">
      <c r="A7369" s="15" t="s">
        <v>21857</v>
      </c>
      <c r="B7369" s="15" t="s">
        <v>5888</v>
      </c>
      <c r="C7369" s="18" t="s">
        <v>28</v>
      </c>
      <c r="D7369" s="15" t="s">
        <v>5889</v>
      </c>
      <c r="E7369" s="18" t="s">
        <v>28</v>
      </c>
      <c r="F7369" s="19" t="s">
        <v>28</v>
      </c>
      <c r="G7369" s="19" t="s">
        <v>28</v>
      </c>
      <c r="H7369" s="19" t="s">
        <v>28</v>
      </c>
      <c r="I7369" s="18" t="s">
        <v>28</v>
      </c>
      <c r="J7369" s="18" t="s">
        <v>28</v>
      </c>
      <c r="K7369" s="18" t="s">
        <v>28</v>
      </c>
      <c r="L7369" s="18" t="s">
        <v>28</v>
      </c>
      <c r="M7369" s="18" t="s">
        <v>28</v>
      </c>
      <c r="N7369" s="17">
        <v>43466</v>
      </c>
      <c r="O7369" s="15" t="s">
        <v>93</v>
      </c>
      <c r="P7369" s="16" t="s">
        <v>21858</v>
      </c>
      <c r="Q7369" s="15" t="s">
        <v>37</v>
      </c>
      <c r="R7369" s="13" t="str">
        <f>HYPERLINK("https://my.pitchbook.com?c=133639-75T","View Company Online")</f>
        <v>View Company Online</v>
      </c>
    </row>
    <row r="7370" spans="1:18" hidden="1" x14ac:dyDescent="0.3">
      <c r="A7370" s="9" t="s">
        <v>21859</v>
      </c>
      <c r="B7370" s="9" t="s">
        <v>5573</v>
      </c>
      <c r="C7370" s="11" t="s">
        <v>28</v>
      </c>
      <c r="D7370" s="9" t="s">
        <v>5574</v>
      </c>
      <c r="E7370" s="11" t="s">
        <v>28</v>
      </c>
      <c r="F7370" s="10" t="s">
        <v>28</v>
      </c>
      <c r="G7370" s="10" t="s">
        <v>28</v>
      </c>
      <c r="H7370" s="10" t="s">
        <v>28</v>
      </c>
      <c r="I7370" s="11" t="s">
        <v>28</v>
      </c>
      <c r="J7370" s="11" t="s">
        <v>28</v>
      </c>
      <c r="K7370" s="11" t="s">
        <v>28</v>
      </c>
      <c r="L7370" s="11" t="s">
        <v>28</v>
      </c>
      <c r="M7370" s="11" t="s">
        <v>28</v>
      </c>
      <c r="N7370" s="8">
        <v>43466</v>
      </c>
      <c r="O7370" s="9" t="s">
        <v>52</v>
      </c>
      <c r="P7370" s="12" t="s">
        <v>7022</v>
      </c>
      <c r="Q7370" s="9" t="s">
        <v>404</v>
      </c>
      <c r="R7370" s="14" t="str">
        <f>HYPERLINK("https://my.pitchbook.com?c=125561-17T","View Company Online")</f>
        <v>View Company Online</v>
      </c>
    </row>
    <row r="7371" spans="1:18" hidden="1" x14ac:dyDescent="0.3">
      <c r="A7371" s="15" t="s">
        <v>21860</v>
      </c>
      <c r="B7371" s="15" t="s">
        <v>13868</v>
      </c>
      <c r="C7371" s="18" t="s">
        <v>28</v>
      </c>
      <c r="D7371" s="15" t="s">
        <v>13869</v>
      </c>
      <c r="E7371" s="18" t="s">
        <v>28</v>
      </c>
      <c r="F7371" s="19" t="s">
        <v>28</v>
      </c>
      <c r="G7371" s="19">
        <v>0.62</v>
      </c>
      <c r="H7371" s="19" t="s">
        <v>28</v>
      </c>
      <c r="I7371" s="18" t="s">
        <v>28</v>
      </c>
      <c r="J7371" s="18" t="s">
        <v>28</v>
      </c>
      <c r="K7371" s="18" t="s">
        <v>28</v>
      </c>
      <c r="L7371" s="18" t="s">
        <v>28</v>
      </c>
      <c r="M7371" s="18" t="s">
        <v>28</v>
      </c>
      <c r="N7371" s="17">
        <v>43466</v>
      </c>
      <c r="O7371" s="15" t="s">
        <v>379</v>
      </c>
      <c r="P7371" s="16" t="s">
        <v>28</v>
      </c>
      <c r="Q7371" s="15" t="s">
        <v>75</v>
      </c>
      <c r="R7371" s="13" t="str">
        <f>HYPERLINK("https://my.pitchbook.com?c=180287-29T","View Company Online")</f>
        <v>View Company Online</v>
      </c>
    </row>
    <row r="7372" spans="1:18" hidden="1" x14ac:dyDescent="0.3">
      <c r="A7372" s="9" t="s">
        <v>21861</v>
      </c>
      <c r="B7372" s="9" t="s">
        <v>4659</v>
      </c>
      <c r="C7372" s="11" t="s">
        <v>28</v>
      </c>
      <c r="D7372" s="9" t="s">
        <v>4660</v>
      </c>
      <c r="E7372" s="11" t="s">
        <v>28</v>
      </c>
      <c r="F7372" s="10" t="s">
        <v>28</v>
      </c>
      <c r="G7372" s="10">
        <v>0.13</v>
      </c>
      <c r="H7372" s="10" t="s">
        <v>28</v>
      </c>
      <c r="I7372" s="11" t="s">
        <v>28</v>
      </c>
      <c r="J7372" s="11" t="s">
        <v>28</v>
      </c>
      <c r="K7372" s="11" t="s">
        <v>28</v>
      </c>
      <c r="L7372" s="11" t="s">
        <v>28</v>
      </c>
      <c r="M7372" s="11" t="s">
        <v>28</v>
      </c>
      <c r="N7372" s="8">
        <v>43466</v>
      </c>
      <c r="O7372" s="9" t="s">
        <v>99</v>
      </c>
      <c r="P7372" s="12" t="s">
        <v>21862</v>
      </c>
      <c r="Q7372" s="9" t="s">
        <v>169</v>
      </c>
      <c r="R7372" s="14" t="str">
        <f>HYPERLINK("https://my.pitchbook.com?c=165235-60T","View Company Online")</f>
        <v>View Company Online</v>
      </c>
    </row>
    <row r="7373" spans="1:18" hidden="1" x14ac:dyDescent="0.3">
      <c r="A7373" s="15" t="s">
        <v>21863</v>
      </c>
      <c r="B7373" s="15" t="s">
        <v>17430</v>
      </c>
      <c r="C7373" s="18" t="s">
        <v>28</v>
      </c>
      <c r="D7373" s="15" t="s">
        <v>17431</v>
      </c>
      <c r="E7373" s="18" t="s">
        <v>28</v>
      </c>
      <c r="F7373" s="19" t="s">
        <v>28</v>
      </c>
      <c r="G7373" s="19" t="s">
        <v>28</v>
      </c>
      <c r="H7373" s="19" t="s">
        <v>28</v>
      </c>
      <c r="I7373" s="18" t="s">
        <v>28</v>
      </c>
      <c r="J7373" s="18" t="s">
        <v>28</v>
      </c>
      <c r="K7373" s="18" t="s">
        <v>28</v>
      </c>
      <c r="L7373" s="18" t="s">
        <v>28</v>
      </c>
      <c r="M7373" s="18" t="s">
        <v>28</v>
      </c>
      <c r="N7373" s="17">
        <v>43466</v>
      </c>
      <c r="O7373" s="15" t="s">
        <v>52</v>
      </c>
      <c r="P7373" s="16" t="s">
        <v>20698</v>
      </c>
      <c r="Q7373" s="15" t="s">
        <v>404</v>
      </c>
      <c r="R7373" s="13" t="str">
        <f>HYPERLINK("https://my.pitchbook.com?c=158852-17T","View Company Online")</f>
        <v>View Company Online</v>
      </c>
    </row>
    <row r="7374" spans="1:18" hidden="1" x14ac:dyDescent="0.3">
      <c r="A7374" s="9" t="s">
        <v>21864</v>
      </c>
      <c r="B7374" s="9" t="s">
        <v>21865</v>
      </c>
      <c r="C7374" s="11" t="s">
        <v>28</v>
      </c>
      <c r="D7374" s="9" t="s">
        <v>21866</v>
      </c>
      <c r="E7374" s="11" t="s">
        <v>28</v>
      </c>
      <c r="F7374" s="10" t="s">
        <v>28</v>
      </c>
      <c r="G7374" s="10" t="s">
        <v>28</v>
      </c>
      <c r="H7374" s="10" t="s">
        <v>28</v>
      </c>
      <c r="I7374" s="11" t="s">
        <v>28</v>
      </c>
      <c r="J7374" s="11" t="s">
        <v>28</v>
      </c>
      <c r="K7374" s="11" t="s">
        <v>28</v>
      </c>
      <c r="L7374" s="11" t="s">
        <v>28</v>
      </c>
      <c r="M7374" s="11" t="s">
        <v>28</v>
      </c>
      <c r="N7374" s="8">
        <v>43466</v>
      </c>
      <c r="O7374" s="9" t="s">
        <v>52</v>
      </c>
      <c r="P7374" s="12" t="s">
        <v>6543</v>
      </c>
      <c r="Q7374" s="9" t="s">
        <v>855</v>
      </c>
      <c r="R7374" s="14" t="str">
        <f>HYPERLINK("https://my.pitchbook.com?c=243902-08T","View Company Online")</f>
        <v>View Company Online</v>
      </c>
    </row>
    <row r="7375" spans="1:18" hidden="1" x14ac:dyDescent="0.3">
      <c r="A7375" s="15" t="s">
        <v>21867</v>
      </c>
      <c r="B7375" s="15" t="s">
        <v>3343</v>
      </c>
      <c r="C7375" s="18" t="s">
        <v>28</v>
      </c>
      <c r="D7375" s="15" t="s">
        <v>3344</v>
      </c>
      <c r="E7375" s="18" t="s">
        <v>28</v>
      </c>
      <c r="F7375" s="19" t="s">
        <v>28</v>
      </c>
      <c r="G7375" s="19" t="s">
        <v>28</v>
      </c>
      <c r="H7375" s="19" t="s">
        <v>28</v>
      </c>
      <c r="I7375" s="18" t="s">
        <v>28</v>
      </c>
      <c r="J7375" s="18" t="s">
        <v>28</v>
      </c>
      <c r="K7375" s="18" t="s">
        <v>28</v>
      </c>
      <c r="L7375" s="18" t="s">
        <v>28</v>
      </c>
      <c r="M7375" s="18" t="s">
        <v>28</v>
      </c>
      <c r="N7375" s="17">
        <v>43466</v>
      </c>
      <c r="O7375" s="15" t="s">
        <v>52</v>
      </c>
      <c r="P7375" s="16" t="s">
        <v>21868</v>
      </c>
      <c r="Q7375" s="15" t="s">
        <v>37</v>
      </c>
      <c r="R7375" s="13" t="str">
        <f>HYPERLINK("https://my.pitchbook.com?c=158362-57T","View Company Online")</f>
        <v>View Company Online</v>
      </c>
    </row>
    <row r="7376" spans="1:18" hidden="1" x14ac:dyDescent="0.3">
      <c r="A7376" s="9" t="s">
        <v>21869</v>
      </c>
      <c r="B7376" s="9" t="s">
        <v>21870</v>
      </c>
      <c r="C7376" s="11" t="s">
        <v>28</v>
      </c>
      <c r="D7376" s="9" t="s">
        <v>21871</v>
      </c>
      <c r="E7376" s="11" t="s">
        <v>28</v>
      </c>
      <c r="F7376" s="10" t="s">
        <v>28</v>
      </c>
      <c r="G7376" s="10" t="s">
        <v>28</v>
      </c>
      <c r="H7376" s="10" t="s">
        <v>28</v>
      </c>
      <c r="I7376" s="11" t="s">
        <v>28</v>
      </c>
      <c r="J7376" s="11" t="s">
        <v>28</v>
      </c>
      <c r="K7376" s="11" t="s">
        <v>28</v>
      </c>
      <c r="L7376" s="11" t="s">
        <v>28</v>
      </c>
      <c r="M7376" s="11" t="s">
        <v>28</v>
      </c>
      <c r="N7376" s="8">
        <v>43466</v>
      </c>
      <c r="O7376" s="9" t="s">
        <v>30</v>
      </c>
      <c r="P7376" s="12" t="s">
        <v>2005</v>
      </c>
      <c r="Q7376" s="9" t="s">
        <v>43</v>
      </c>
      <c r="R7376" s="14" t="str">
        <f>HYPERLINK("https://my.pitchbook.com?c=219462-49T","View Company Online")</f>
        <v>View Company Online</v>
      </c>
    </row>
    <row r="7377" spans="1:18" hidden="1" x14ac:dyDescent="0.3">
      <c r="A7377" s="15" t="s">
        <v>21872</v>
      </c>
      <c r="B7377" s="15" t="s">
        <v>21415</v>
      </c>
      <c r="C7377" s="18" t="s">
        <v>28</v>
      </c>
      <c r="D7377" s="15" t="s">
        <v>21416</v>
      </c>
      <c r="E7377" s="18" t="s">
        <v>28</v>
      </c>
      <c r="F7377" s="19" t="s">
        <v>28</v>
      </c>
      <c r="G7377" s="19">
        <v>0.01</v>
      </c>
      <c r="H7377" s="19" t="s">
        <v>28</v>
      </c>
      <c r="I7377" s="18" t="s">
        <v>28</v>
      </c>
      <c r="J7377" s="18" t="s">
        <v>28</v>
      </c>
      <c r="K7377" s="18" t="s">
        <v>28</v>
      </c>
      <c r="L7377" s="18" t="s">
        <v>28</v>
      </c>
      <c r="M7377" s="18" t="s">
        <v>28</v>
      </c>
      <c r="N7377" s="17">
        <v>43466</v>
      </c>
      <c r="O7377" s="15" t="s">
        <v>52</v>
      </c>
      <c r="P7377" s="16" t="s">
        <v>21873</v>
      </c>
      <c r="Q7377" s="15" t="s">
        <v>583</v>
      </c>
      <c r="R7377" s="13" t="str">
        <f>HYPERLINK("https://my.pitchbook.com?c=211240-27T","View Company Online")</f>
        <v>View Company Online</v>
      </c>
    </row>
    <row r="7378" spans="1:18" hidden="1" x14ac:dyDescent="0.3">
      <c r="A7378" s="9" t="s">
        <v>21874</v>
      </c>
      <c r="B7378" s="9" t="s">
        <v>7362</v>
      </c>
      <c r="C7378" s="11" t="s">
        <v>28</v>
      </c>
      <c r="D7378" s="9" t="s">
        <v>7363</v>
      </c>
      <c r="E7378" s="11" t="s">
        <v>28</v>
      </c>
      <c r="F7378" s="10" t="s">
        <v>28</v>
      </c>
      <c r="G7378" s="10">
        <v>0.2</v>
      </c>
      <c r="H7378" s="10" t="s">
        <v>28</v>
      </c>
      <c r="I7378" s="11" t="s">
        <v>28</v>
      </c>
      <c r="J7378" s="11" t="s">
        <v>28</v>
      </c>
      <c r="K7378" s="11" t="s">
        <v>28</v>
      </c>
      <c r="L7378" s="11" t="s">
        <v>28</v>
      </c>
      <c r="M7378" s="11" t="s">
        <v>28</v>
      </c>
      <c r="N7378" s="8">
        <v>43466</v>
      </c>
      <c r="O7378" s="9" t="s">
        <v>73</v>
      </c>
      <c r="P7378" s="12" t="s">
        <v>21875</v>
      </c>
      <c r="Q7378" s="9" t="s">
        <v>583</v>
      </c>
      <c r="R7378" s="14" t="str">
        <f>HYPERLINK("https://my.pitchbook.com?c=209550-43T","View Company Online")</f>
        <v>View Company Online</v>
      </c>
    </row>
    <row r="7379" spans="1:18" hidden="1" x14ac:dyDescent="0.3">
      <c r="A7379" s="15" t="s">
        <v>21876</v>
      </c>
      <c r="B7379" s="15" t="s">
        <v>21877</v>
      </c>
      <c r="C7379" s="18" t="s">
        <v>28</v>
      </c>
      <c r="D7379" s="15" t="s">
        <v>21878</v>
      </c>
      <c r="E7379" s="18" t="s">
        <v>28</v>
      </c>
      <c r="F7379" s="19" t="s">
        <v>28</v>
      </c>
      <c r="G7379" s="19" t="s">
        <v>28</v>
      </c>
      <c r="H7379" s="19" t="s">
        <v>28</v>
      </c>
      <c r="I7379" s="18" t="s">
        <v>28</v>
      </c>
      <c r="J7379" s="18" t="s">
        <v>28</v>
      </c>
      <c r="K7379" s="18" t="s">
        <v>28</v>
      </c>
      <c r="L7379" s="18" t="s">
        <v>28</v>
      </c>
      <c r="M7379" s="18" t="s">
        <v>28</v>
      </c>
      <c r="N7379" s="17">
        <v>43466</v>
      </c>
      <c r="O7379" s="15" t="s">
        <v>30</v>
      </c>
      <c r="P7379" s="16" t="s">
        <v>503</v>
      </c>
      <c r="Q7379" s="15" t="s">
        <v>75</v>
      </c>
      <c r="R7379" s="13" t="str">
        <f>HYPERLINK("https://my.pitchbook.com?c=213439-60T","View Company Online")</f>
        <v>View Company Online</v>
      </c>
    </row>
    <row r="7380" spans="1:18" hidden="1" x14ac:dyDescent="0.3">
      <c r="A7380" s="9" t="s">
        <v>21879</v>
      </c>
      <c r="B7380" s="9" t="s">
        <v>15209</v>
      </c>
      <c r="C7380" s="11" t="s">
        <v>28</v>
      </c>
      <c r="D7380" s="9" t="s">
        <v>15210</v>
      </c>
      <c r="E7380" s="11" t="s">
        <v>28</v>
      </c>
      <c r="F7380" s="10" t="s">
        <v>28</v>
      </c>
      <c r="G7380" s="10">
        <v>6</v>
      </c>
      <c r="H7380" s="10" t="s">
        <v>28</v>
      </c>
      <c r="I7380" s="11" t="s">
        <v>28</v>
      </c>
      <c r="J7380" s="11" t="s">
        <v>28</v>
      </c>
      <c r="K7380" s="11" t="s">
        <v>28</v>
      </c>
      <c r="L7380" s="11" t="s">
        <v>28</v>
      </c>
      <c r="M7380" s="11" t="s">
        <v>28</v>
      </c>
      <c r="N7380" s="8">
        <v>43466</v>
      </c>
      <c r="O7380" s="9" t="s">
        <v>73</v>
      </c>
      <c r="P7380" s="12" t="s">
        <v>21880</v>
      </c>
      <c r="Q7380" s="9" t="s">
        <v>37</v>
      </c>
      <c r="R7380" s="14" t="str">
        <f>HYPERLINK("https://my.pitchbook.com?c=120336-49T","View Company Online")</f>
        <v>View Company Online</v>
      </c>
    </row>
    <row r="7381" spans="1:18" hidden="1" x14ac:dyDescent="0.3">
      <c r="A7381" s="15" t="s">
        <v>21881</v>
      </c>
      <c r="B7381" s="15" t="s">
        <v>21882</v>
      </c>
      <c r="C7381" s="18" t="s">
        <v>28</v>
      </c>
      <c r="D7381" s="15" t="s">
        <v>21883</v>
      </c>
      <c r="E7381" s="18" t="s">
        <v>28</v>
      </c>
      <c r="F7381" s="19" t="s">
        <v>28</v>
      </c>
      <c r="G7381" s="19" t="s">
        <v>28</v>
      </c>
      <c r="H7381" s="19" t="s">
        <v>28</v>
      </c>
      <c r="I7381" s="18" t="s">
        <v>28</v>
      </c>
      <c r="J7381" s="18" t="s">
        <v>28</v>
      </c>
      <c r="K7381" s="18" t="s">
        <v>28</v>
      </c>
      <c r="L7381" s="18" t="s">
        <v>28</v>
      </c>
      <c r="M7381" s="18" t="s">
        <v>28</v>
      </c>
      <c r="N7381" s="17">
        <v>43466</v>
      </c>
      <c r="O7381" s="15" t="s">
        <v>30</v>
      </c>
      <c r="P7381" s="16" t="s">
        <v>21884</v>
      </c>
      <c r="Q7381" s="15" t="s">
        <v>213</v>
      </c>
      <c r="R7381" s="13" t="str">
        <f>HYPERLINK("https://my.pitchbook.com?c=212126-59T","View Company Online")</f>
        <v>View Company Online</v>
      </c>
    </row>
    <row r="7382" spans="1:18" hidden="1" x14ac:dyDescent="0.3">
      <c r="A7382" s="9" t="s">
        <v>21885</v>
      </c>
      <c r="B7382" s="9" t="s">
        <v>3026</v>
      </c>
      <c r="C7382" s="11" t="s">
        <v>28</v>
      </c>
      <c r="D7382" s="9" t="s">
        <v>3027</v>
      </c>
      <c r="E7382" s="11" t="s">
        <v>28</v>
      </c>
      <c r="F7382" s="10" t="s">
        <v>28</v>
      </c>
      <c r="G7382" s="10">
        <v>0.03</v>
      </c>
      <c r="H7382" s="10" t="s">
        <v>28</v>
      </c>
      <c r="I7382" s="11" t="s">
        <v>28</v>
      </c>
      <c r="J7382" s="11" t="s">
        <v>28</v>
      </c>
      <c r="K7382" s="11" t="s">
        <v>28</v>
      </c>
      <c r="L7382" s="11" t="s">
        <v>28</v>
      </c>
      <c r="M7382" s="11" t="s">
        <v>28</v>
      </c>
      <c r="N7382" s="8">
        <v>43466</v>
      </c>
      <c r="O7382" s="9" t="s">
        <v>52</v>
      </c>
      <c r="P7382" s="12" t="s">
        <v>21886</v>
      </c>
      <c r="Q7382" s="9" t="s">
        <v>95</v>
      </c>
      <c r="R7382" s="14" t="str">
        <f>HYPERLINK("https://my.pitchbook.com?c=184323-70T","View Company Online")</f>
        <v>View Company Online</v>
      </c>
    </row>
    <row r="7383" spans="1:18" hidden="1" x14ac:dyDescent="0.3">
      <c r="A7383" s="15" t="s">
        <v>21887</v>
      </c>
      <c r="B7383" s="15" t="s">
        <v>21888</v>
      </c>
      <c r="C7383" s="18" t="s">
        <v>28</v>
      </c>
      <c r="D7383" s="15" t="s">
        <v>21889</v>
      </c>
      <c r="E7383" s="18" t="s">
        <v>28</v>
      </c>
      <c r="F7383" s="19" t="s">
        <v>28</v>
      </c>
      <c r="G7383" s="19" t="s">
        <v>28</v>
      </c>
      <c r="H7383" s="19" t="s">
        <v>28</v>
      </c>
      <c r="I7383" s="18" t="s">
        <v>28</v>
      </c>
      <c r="J7383" s="18" t="s">
        <v>28</v>
      </c>
      <c r="K7383" s="18" t="s">
        <v>28</v>
      </c>
      <c r="L7383" s="18" t="s">
        <v>28</v>
      </c>
      <c r="M7383" s="18" t="s">
        <v>28</v>
      </c>
      <c r="N7383" s="17">
        <v>43466</v>
      </c>
      <c r="O7383" s="15" t="s">
        <v>30</v>
      </c>
      <c r="P7383" s="16" t="s">
        <v>28</v>
      </c>
      <c r="Q7383" s="15" t="s">
        <v>136</v>
      </c>
      <c r="R7383" s="13" t="str">
        <f>HYPERLINK("https://my.pitchbook.com?c=272529-28T","View Company Online")</f>
        <v>View Company Online</v>
      </c>
    </row>
    <row r="7384" spans="1:18" hidden="1" x14ac:dyDescent="0.3">
      <c r="A7384" s="9" t="s">
        <v>21890</v>
      </c>
      <c r="B7384" s="9" t="s">
        <v>21891</v>
      </c>
      <c r="C7384" s="11" t="s">
        <v>28</v>
      </c>
      <c r="D7384" s="9" t="s">
        <v>21892</v>
      </c>
      <c r="E7384" s="11" t="s">
        <v>28</v>
      </c>
      <c r="F7384" s="10" t="s">
        <v>28</v>
      </c>
      <c r="G7384" s="10">
        <v>0.08</v>
      </c>
      <c r="H7384" s="10" t="s">
        <v>28</v>
      </c>
      <c r="I7384" s="11" t="s">
        <v>28</v>
      </c>
      <c r="J7384" s="11" t="s">
        <v>28</v>
      </c>
      <c r="K7384" s="11" t="s">
        <v>28</v>
      </c>
      <c r="L7384" s="11" t="s">
        <v>28</v>
      </c>
      <c r="M7384" s="11" t="s">
        <v>28</v>
      </c>
      <c r="N7384" s="8">
        <v>43466</v>
      </c>
      <c r="O7384" s="9" t="s">
        <v>52</v>
      </c>
      <c r="P7384" s="12" t="s">
        <v>2864</v>
      </c>
      <c r="Q7384" s="9" t="s">
        <v>75</v>
      </c>
      <c r="R7384" s="14" t="str">
        <f>HYPERLINK("https://my.pitchbook.com?c=202252-96T","View Company Online")</f>
        <v>View Company Online</v>
      </c>
    </row>
    <row r="7385" spans="1:18" hidden="1" x14ac:dyDescent="0.3">
      <c r="A7385" s="15" t="s">
        <v>21893</v>
      </c>
      <c r="B7385" s="15" t="s">
        <v>21894</v>
      </c>
      <c r="C7385" s="18" t="s">
        <v>28</v>
      </c>
      <c r="D7385" s="15" t="s">
        <v>21895</v>
      </c>
      <c r="E7385" s="18" t="s">
        <v>28</v>
      </c>
      <c r="F7385" s="19" t="s">
        <v>28</v>
      </c>
      <c r="G7385" s="19" t="s">
        <v>28</v>
      </c>
      <c r="H7385" s="19" t="s">
        <v>28</v>
      </c>
      <c r="I7385" s="18" t="s">
        <v>28</v>
      </c>
      <c r="J7385" s="18" t="s">
        <v>28</v>
      </c>
      <c r="K7385" s="18" t="s">
        <v>28</v>
      </c>
      <c r="L7385" s="18" t="s">
        <v>28</v>
      </c>
      <c r="M7385" s="18" t="s">
        <v>28</v>
      </c>
      <c r="N7385" s="17">
        <v>43462</v>
      </c>
      <c r="O7385" s="15" t="s">
        <v>30</v>
      </c>
      <c r="P7385" s="16" t="s">
        <v>21896</v>
      </c>
      <c r="Q7385" s="15" t="s">
        <v>348</v>
      </c>
      <c r="R7385" s="13" t="str">
        <f>HYPERLINK("https://my.pitchbook.com?c=115557-40T","View Company Online")</f>
        <v>View Company Online</v>
      </c>
    </row>
    <row r="7386" spans="1:18" hidden="1" x14ac:dyDescent="0.3">
      <c r="A7386" s="9" t="s">
        <v>21897</v>
      </c>
      <c r="B7386" s="9" t="s">
        <v>21898</v>
      </c>
      <c r="C7386" s="11" t="s">
        <v>28</v>
      </c>
      <c r="D7386" s="9" t="s">
        <v>21899</v>
      </c>
      <c r="E7386" s="11" t="s">
        <v>28</v>
      </c>
      <c r="F7386" s="10" t="s">
        <v>28</v>
      </c>
      <c r="G7386" s="10" t="s">
        <v>28</v>
      </c>
      <c r="H7386" s="10" t="s">
        <v>28</v>
      </c>
      <c r="I7386" s="11" t="s">
        <v>28</v>
      </c>
      <c r="J7386" s="11" t="s">
        <v>28</v>
      </c>
      <c r="K7386" s="11" t="s">
        <v>28</v>
      </c>
      <c r="L7386" s="11" t="s">
        <v>28</v>
      </c>
      <c r="M7386" s="11" t="s">
        <v>28</v>
      </c>
      <c r="N7386" s="8">
        <v>43462</v>
      </c>
      <c r="O7386" s="9" t="s">
        <v>41</v>
      </c>
      <c r="P7386" s="12" t="s">
        <v>21900</v>
      </c>
      <c r="Q7386" s="9" t="s">
        <v>692</v>
      </c>
      <c r="R7386" s="14" t="str">
        <f>HYPERLINK("https://my.pitchbook.com?c=118437-13T","View Company Online")</f>
        <v>View Company Online</v>
      </c>
    </row>
    <row r="7387" spans="1:18" hidden="1" x14ac:dyDescent="0.3">
      <c r="A7387" s="15" t="s">
        <v>21901</v>
      </c>
      <c r="B7387" s="15" t="s">
        <v>21902</v>
      </c>
      <c r="C7387" s="18" t="s">
        <v>28</v>
      </c>
      <c r="D7387" s="15" t="s">
        <v>21903</v>
      </c>
      <c r="E7387" s="18" t="s">
        <v>28</v>
      </c>
      <c r="F7387" s="19" t="s">
        <v>28</v>
      </c>
      <c r="G7387" s="19" t="s">
        <v>28</v>
      </c>
      <c r="H7387" s="19" t="s">
        <v>28</v>
      </c>
      <c r="I7387" s="18" t="s">
        <v>28</v>
      </c>
      <c r="J7387" s="18" t="s">
        <v>28</v>
      </c>
      <c r="K7387" s="18" t="s">
        <v>28</v>
      </c>
      <c r="L7387" s="18" t="s">
        <v>28</v>
      </c>
      <c r="M7387" s="18" t="s">
        <v>28</v>
      </c>
      <c r="N7387" s="17">
        <v>43462</v>
      </c>
      <c r="O7387" s="15" t="s">
        <v>30</v>
      </c>
      <c r="P7387" s="16" t="s">
        <v>13396</v>
      </c>
      <c r="Q7387" s="15" t="s">
        <v>855</v>
      </c>
      <c r="R7387" s="13" t="str">
        <f>HYPERLINK("https://my.pitchbook.com?c=204261-40T","View Company Online")</f>
        <v>View Company Online</v>
      </c>
    </row>
    <row r="7388" spans="1:18" hidden="1" x14ac:dyDescent="0.3">
      <c r="A7388" s="9" t="s">
        <v>21904</v>
      </c>
      <c r="B7388" s="9" t="s">
        <v>21905</v>
      </c>
      <c r="C7388" s="11" t="s">
        <v>28</v>
      </c>
      <c r="D7388" s="9" t="s">
        <v>21906</v>
      </c>
      <c r="E7388" s="11">
        <v>20.28</v>
      </c>
      <c r="F7388" s="10" t="s">
        <v>28</v>
      </c>
      <c r="G7388" s="10" t="s">
        <v>28</v>
      </c>
      <c r="H7388" s="10" t="s">
        <v>28</v>
      </c>
      <c r="I7388" s="11">
        <v>20.28</v>
      </c>
      <c r="J7388" s="11" t="s">
        <v>28</v>
      </c>
      <c r="K7388" s="11">
        <v>23.51</v>
      </c>
      <c r="L7388" s="11" t="s">
        <v>28</v>
      </c>
      <c r="M7388" s="11">
        <v>20.07</v>
      </c>
      <c r="N7388" s="8">
        <v>43461</v>
      </c>
      <c r="O7388" s="9" t="s">
        <v>173</v>
      </c>
      <c r="P7388" s="12" t="s">
        <v>28</v>
      </c>
      <c r="Q7388" s="9" t="s">
        <v>424</v>
      </c>
      <c r="R7388" s="14" t="str">
        <f>HYPERLINK("https://my.pitchbook.com?c=224159-23T","View Company Online")</f>
        <v>View Company Online</v>
      </c>
    </row>
    <row r="7389" spans="1:18" hidden="1" x14ac:dyDescent="0.3">
      <c r="A7389" s="15" t="s">
        <v>21907</v>
      </c>
      <c r="B7389" s="15" t="s">
        <v>21908</v>
      </c>
      <c r="C7389" s="18" t="s">
        <v>28</v>
      </c>
      <c r="D7389" s="15" t="s">
        <v>21909</v>
      </c>
      <c r="E7389" s="18">
        <v>24.13</v>
      </c>
      <c r="F7389" s="19" t="s">
        <v>28</v>
      </c>
      <c r="G7389" s="19" t="s">
        <v>28</v>
      </c>
      <c r="H7389" s="19" t="s">
        <v>28</v>
      </c>
      <c r="I7389" s="18">
        <v>24.13</v>
      </c>
      <c r="J7389" s="18" t="s">
        <v>28</v>
      </c>
      <c r="K7389" s="18">
        <v>29.14</v>
      </c>
      <c r="L7389" s="18" t="s">
        <v>28</v>
      </c>
      <c r="M7389" s="18">
        <v>13.38</v>
      </c>
      <c r="N7389" s="17">
        <v>43455</v>
      </c>
      <c r="O7389" s="15" t="s">
        <v>173</v>
      </c>
      <c r="P7389" s="16" t="s">
        <v>28</v>
      </c>
      <c r="Q7389" s="15" t="s">
        <v>1361</v>
      </c>
      <c r="R7389" s="13" t="str">
        <f>HYPERLINK("https://my.pitchbook.com?c=135954-01T","View Company Online")</f>
        <v>View Company Online</v>
      </c>
    </row>
    <row r="7390" spans="1:18" hidden="1" x14ac:dyDescent="0.3">
      <c r="A7390" s="9" t="s">
        <v>21910</v>
      </c>
      <c r="B7390" s="9" t="s">
        <v>21911</v>
      </c>
      <c r="C7390" s="11" t="s">
        <v>28</v>
      </c>
      <c r="D7390" s="9" t="s">
        <v>21912</v>
      </c>
      <c r="E7390" s="11" t="s">
        <v>28</v>
      </c>
      <c r="F7390" s="10" t="s">
        <v>28</v>
      </c>
      <c r="G7390" s="10" t="s">
        <v>28</v>
      </c>
      <c r="H7390" s="10" t="s">
        <v>28</v>
      </c>
      <c r="I7390" s="11" t="s">
        <v>28</v>
      </c>
      <c r="J7390" s="11" t="s">
        <v>28</v>
      </c>
      <c r="K7390" s="11" t="s">
        <v>28</v>
      </c>
      <c r="L7390" s="11" t="s">
        <v>28</v>
      </c>
      <c r="M7390" s="11" t="s">
        <v>28</v>
      </c>
      <c r="N7390" s="8">
        <v>43454</v>
      </c>
      <c r="O7390" s="9" t="s">
        <v>52</v>
      </c>
      <c r="P7390" s="12" t="s">
        <v>21913</v>
      </c>
      <c r="Q7390" s="9" t="s">
        <v>75</v>
      </c>
      <c r="R7390" s="14" t="str">
        <f>HYPERLINK("https://my.pitchbook.com?c=134670-34T","View Company Online")</f>
        <v>View Company Online</v>
      </c>
    </row>
    <row r="7391" spans="1:18" hidden="1" x14ac:dyDescent="0.3">
      <c r="A7391" s="15" t="s">
        <v>21914</v>
      </c>
      <c r="B7391" s="15" t="s">
        <v>21915</v>
      </c>
      <c r="C7391" s="18" t="s">
        <v>28</v>
      </c>
      <c r="D7391" s="15" t="s">
        <v>21916</v>
      </c>
      <c r="E7391" s="18" t="s">
        <v>28</v>
      </c>
      <c r="F7391" s="19" t="s">
        <v>28</v>
      </c>
      <c r="G7391" s="19" t="s">
        <v>28</v>
      </c>
      <c r="H7391" s="19" t="s">
        <v>28</v>
      </c>
      <c r="I7391" s="18" t="s">
        <v>28</v>
      </c>
      <c r="J7391" s="18" t="s">
        <v>28</v>
      </c>
      <c r="K7391" s="18" t="s">
        <v>28</v>
      </c>
      <c r="L7391" s="18" t="s">
        <v>28</v>
      </c>
      <c r="M7391" s="18" t="s">
        <v>28</v>
      </c>
      <c r="N7391" s="17">
        <v>43454</v>
      </c>
      <c r="O7391" s="15" t="s">
        <v>41</v>
      </c>
      <c r="P7391" s="16" t="s">
        <v>21917</v>
      </c>
      <c r="Q7391" s="15" t="s">
        <v>353</v>
      </c>
      <c r="R7391" s="13" t="str">
        <f>HYPERLINK("https://my.pitchbook.com?c=226113-85T","View Company Online")</f>
        <v>View Company Online</v>
      </c>
    </row>
    <row r="7392" spans="1:18" hidden="1" x14ac:dyDescent="0.3">
      <c r="A7392" s="9" t="s">
        <v>21918</v>
      </c>
      <c r="B7392" s="9" t="s">
        <v>21919</v>
      </c>
      <c r="C7392" s="11" t="s">
        <v>28</v>
      </c>
      <c r="D7392" s="9" t="s">
        <v>21920</v>
      </c>
      <c r="E7392" s="11" t="s">
        <v>28</v>
      </c>
      <c r="F7392" s="10" t="s">
        <v>28</v>
      </c>
      <c r="G7392" s="10">
        <v>0.01</v>
      </c>
      <c r="H7392" s="10" t="s">
        <v>28</v>
      </c>
      <c r="I7392" s="11" t="s">
        <v>28</v>
      </c>
      <c r="J7392" s="11" t="s">
        <v>28</v>
      </c>
      <c r="K7392" s="11" t="s">
        <v>28</v>
      </c>
      <c r="L7392" s="11" t="s">
        <v>28</v>
      </c>
      <c r="M7392" s="11" t="s">
        <v>28</v>
      </c>
      <c r="N7392" s="8">
        <v>43453</v>
      </c>
      <c r="O7392" s="9" t="s">
        <v>52</v>
      </c>
      <c r="P7392" s="12" t="s">
        <v>408</v>
      </c>
      <c r="Q7392" s="9" t="s">
        <v>2916</v>
      </c>
      <c r="R7392" s="14" t="str">
        <f>HYPERLINK("https://my.pitchbook.com?c=252568-18T","View Company Online")</f>
        <v>View Company Online</v>
      </c>
    </row>
    <row r="7393" spans="1:18" hidden="1" x14ac:dyDescent="0.3">
      <c r="A7393" s="15" t="s">
        <v>21921</v>
      </c>
      <c r="B7393" s="15" t="s">
        <v>21030</v>
      </c>
      <c r="C7393" s="18" t="s">
        <v>28</v>
      </c>
      <c r="D7393" s="15" t="s">
        <v>21031</v>
      </c>
      <c r="E7393" s="18" t="s">
        <v>28</v>
      </c>
      <c r="F7393" s="19" t="s">
        <v>28</v>
      </c>
      <c r="G7393" s="19" t="s">
        <v>28</v>
      </c>
      <c r="H7393" s="19" t="s">
        <v>28</v>
      </c>
      <c r="I7393" s="18" t="s">
        <v>28</v>
      </c>
      <c r="J7393" s="18" t="s">
        <v>28</v>
      </c>
      <c r="K7393" s="18" t="s">
        <v>28</v>
      </c>
      <c r="L7393" s="18" t="s">
        <v>28</v>
      </c>
      <c r="M7393" s="18" t="s">
        <v>28</v>
      </c>
      <c r="N7393" s="17">
        <v>43453</v>
      </c>
      <c r="O7393" s="15" t="s">
        <v>52</v>
      </c>
      <c r="P7393" s="16" t="s">
        <v>21922</v>
      </c>
      <c r="Q7393" s="15" t="s">
        <v>75</v>
      </c>
      <c r="R7393" s="13" t="str">
        <f>HYPERLINK("https://my.pitchbook.com?c=284489-92T","View Company Online")</f>
        <v>View Company Online</v>
      </c>
    </row>
    <row r="7394" spans="1:18" hidden="1" x14ac:dyDescent="0.3">
      <c r="A7394" s="9" t="s">
        <v>21923</v>
      </c>
      <c r="B7394" s="9" t="s">
        <v>9162</v>
      </c>
      <c r="C7394" s="11" t="s">
        <v>28</v>
      </c>
      <c r="D7394" s="9" t="s">
        <v>9163</v>
      </c>
      <c r="E7394" s="11" t="s">
        <v>28</v>
      </c>
      <c r="F7394" s="10" t="s">
        <v>28</v>
      </c>
      <c r="G7394" s="10" t="s">
        <v>28</v>
      </c>
      <c r="H7394" s="10" t="s">
        <v>28</v>
      </c>
      <c r="I7394" s="11" t="s">
        <v>28</v>
      </c>
      <c r="J7394" s="11" t="s">
        <v>28</v>
      </c>
      <c r="K7394" s="11" t="s">
        <v>28</v>
      </c>
      <c r="L7394" s="11" t="s">
        <v>28</v>
      </c>
      <c r="M7394" s="11" t="s">
        <v>28</v>
      </c>
      <c r="N7394" s="8">
        <v>43452</v>
      </c>
      <c r="O7394" s="9" t="s">
        <v>73</v>
      </c>
      <c r="P7394" s="12" t="s">
        <v>21924</v>
      </c>
      <c r="Q7394" s="9" t="s">
        <v>696</v>
      </c>
      <c r="R7394" s="14" t="str">
        <f>HYPERLINK("https://my.pitchbook.com?c=115095-25T","View Company Online")</f>
        <v>View Company Online</v>
      </c>
    </row>
    <row r="7395" spans="1:18" hidden="1" x14ac:dyDescent="0.3">
      <c r="A7395" s="15" t="s">
        <v>21925</v>
      </c>
      <c r="B7395" s="15" t="s">
        <v>21926</v>
      </c>
      <c r="C7395" s="18" t="s">
        <v>28</v>
      </c>
      <c r="D7395" s="15" t="s">
        <v>21927</v>
      </c>
      <c r="E7395" s="18" t="s">
        <v>28</v>
      </c>
      <c r="F7395" s="19" t="s">
        <v>28</v>
      </c>
      <c r="G7395" s="19" t="s">
        <v>28</v>
      </c>
      <c r="H7395" s="19" t="s">
        <v>28</v>
      </c>
      <c r="I7395" s="18" t="s">
        <v>28</v>
      </c>
      <c r="J7395" s="18" t="s">
        <v>28</v>
      </c>
      <c r="K7395" s="18" t="s">
        <v>28</v>
      </c>
      <c r="L7395" s="18" t="s">
        <v>28</v>
      </c>
      <c r="M7395" s="18" t="s">
        <v>28</v>
      </c>
      <c r="N7395" s="17">
        <v>43452</v>
      </c>
      <c r="O7395" s="15" t="s">
        <v>30</v>
      </c>
      <c r="P7395" s="16" t="s">
        <v>20260</v>
      </c>
      <c r="Q7395" s="15" t="s">
        <v>1144</v>
      </c>
      <c r="R7395" s="13" t="str">
        <f>HYPERLINK("https://my.pitchbook.com?c=242765-29T","View Company Online")</f>
        <v>View Company Online</v>
      </c>
    </row>
    <row r="7396" spans="1:18" hidden="1" x14ac:dyDescent="0.3">
      <c r="A7396" s="9" t="s">
        <v>21928</v>
      </c>
      <c r="B7396" s="9" t="s">
        <v>4070</v>
      </c>
      <c r="C7396" s="11" t="s">
        <v>28</v>
      </c>
      <c r="D7396" s="9" t="s">
        <v>4071</v>
      </c>
      <c r="E7396" s="11" t="s">
        <v>28</v>
      </c>
      <c r="F7396" s="10" t="s">
        <v>28</v>
      </c>
      <c r="G7396" s="10" t="s">
        <v>28</v>
      </c>
      <c r="H7396" s="10" t="s">
        <v>28</v>
      </c>
      <c r="I7396" s="11" t="s">
        <v>28</v>
      </c>
      <c r="J7396" s="11" t="s">
        <v>28</v>
      </c>
      <c r="K7396" s="11" t="s">
        <v>28</v>
      </c>
      <c r="L7396" s="11" t="s">
        <v>28</v>
      </c>
      <c r="M7396" s="11" t="s">
        <v>28</v>
      </c>
      <c r="N7396" s="8">
        <v>43452</v>
      </c>
      <c r="O7396" s="9" t="s">
        <v>30</v>
      </c>
      <c r="P7396" s="12" t="s">
        <v>20260</v>
      </c>
      <c r="Q7396" s="9" t="s">
        <v>348</v>
      </c>
      <c r="R7396" s="14" t="str">
        <f>HYPERLINK("https://my.pitchbook.com?c=139574-71T","View Company Online")</f>
        <v>View Company Online</v>
      </c>
    </row>
    <row r="7397" spans="1:18" hidden="1" x14ac:dyDescent="0.3">
      <c r="A7397" s="15" t="s">
        <v>21929</v>
      </c>
      <c r="B7397" s="15" t="s">
        <v>1926</v>
      </c>
      <c r="C7397" s="18" t="s">
        <v>28</v>
      </c>
      <c r="D7397" s="15" t="s">
        <v>1927</v>
      </c>
      <c r="E7397" s="18" t="s">
        <v>28</v>
      </c>
      <c r="F7397" s="19" t="s">
        <v>28</v>
      </c>
      <c r="G7397" s="19" t="s">
        <v>28</v>
      </c>
      <c r="H7397" s="19" t="s">
        <v>28</v>
      </c>
      <c r="I7397" s="18" t="s">
        <v>28</v>
      </c>
      <c r="J7397" s="18" t="s">
        <v>28</v>
      </c>
      <c r="K7397" s="18" t="s">
        <v>28</v>
      </c>
      <c r="L7397" s="18" t="s">
        <v>28</v>
      </c>
      <c r="M7397" s="18" t="s">
        <v>28</v>
      </c>
      <c r="N7397" s="17">
        <v>43451</v>
      </c>
      <c r="O7397" s="15" t="s">
        <v>30</v>
      </c>
      <c r="P7397" s="16" t="s">
        <v>21930</v>
      </c>
      <c r="Q7397" s="15" t="s">
        <v>240</v>
      </c>
      <c r="R7397" s="13" t="str">
        <f>HYPERLINK("https://my.pitchbook.com?c=115052-05T","View Company Online")</f>
        <v>View Company Online</v>
      </c>
    </row>
    <row r="7398" spans="1:18" hidden="1" x14ac:dyDescent="0.3">
      <c r="A7398" s="9" t="s">
        <v>21931</v>
      </c>
      <c r="B7398" s="9" t="s">
        <v>21932</v>
      </c>
      <c r="C7398" s="11" t="s">
        <v>28</v>
      </c>
      <c r="D7398" s="9" t="s">
        <v>21933</v>
      </c>
      <c r="E7398" s="11" t="s">
        <v>28</v>
      </c>
      <c r="F7398" s="10" t="s">
        <v>28</v>
      </c>
      <c r="G7398" s="10" t="s">
        <v>28</v>
      </c>
      <c r="H7398" s="10" t="s">
        <v>28</v>
      </c>
      <c r="I7398" s="11" t="s">
        <v>28</v>
      </c>
      <c r="J7398" s="11" t="s">
        <v>28</v>
      </c>
      <c r="K7398" s="11" t="s">
        <v>28</v>
      </c>
      <c r="L7398" s="11" t="s">
        <v>28</v>
      </c>
      <c r="M7398" s="11" t="s">
        <v>28</v>
      </c>
      <c r="N7398" s="8">
        <v>43451</v>
      </c>
      <c r="O7398" s="9" t="s">
        <v>30</v>
      </c>
      <c r="P7398" s="12" t="s">
        <v>1852</v>
      </c>
      <c r="Q7398" s="9" t="s">
        <v>75</v>
      </c>
      <c r="R7398" s="14" t="str">
        <f>HYPERLINK("https://my.pitchbook.com?c=213968-98T","View Company Online")</f>
        <v>View Company Online</v>
      </c>
    </row>
    <row r="7399" spans="1:18" hidden="1" x14ac:dyDescent="0.3">
      <c r="A7399" s="15" t="s">
        <v>21934</v>
      </c>
      <c r="B7399" s="15" t="s">
        <v>6174</v>
      </c>
      <c r="C7399" s="18" t="s">
        <v>28</v>
      </c>
      <c r="D7399" s="15" t="s">
        <v>6175</v>
      </c>
      <c r="E7399" s="18" t="s">
        <v>28</v>
      </c>
      <c r="F7399" s="19" t="s">
        <v>28</v>
      </c>
      <c r="G7399" s="19">
        <v>0.1</v>
      </c>
      <c r="H7399" s="19" t="s">
        <v>28</v>
      </c>
      <c r="I7399" s="18" t="s">
        <v>28</v>
      </c>
      <c r="J7399" s="18" t="s">
        <v>28</v>
      </c>
      <c r="K7399" s="18" t="s">
        <v>28</v>
      </c>
      <c r="L7399" s="18" t="s">
        <v>28</v>
      </c>
      <c r="M7399" s="18" t="s">
        <v>28</v>
      </c>
      <c r="N7399" s="17">
        <v>43451</v>
      </c>
      <c r="O7399" s="15" t="s">
        <v>52</v>
      </c>
      <c r="P7399" s="16" t="s">
        <v>21935</v>
      </c>
      <c r="Q7399" s="15" t="s">
        <v>404</v>
      </c>
      <c r="R7399" s="13" t="str">
        <f>HYPERLINK("https://my.pitchbook.com?c=140467-60T","View Company Online")</f>
        <v>View Company Online</v>
      </c>
    </row>
    <row r="7400" spans="1:18" hidden="1" x14ac:dyDescent="0.3">
      <c r="A7400" s="9" t="s">
        <v>21936</v>
      </c>
      <c r="B7400" s="9" t="s">
        <v>4699</v>
      </c>
      <c r="C7400" s="11" t="s">
        <v>28</v>
      </c>
      <c r="D7400" s="9" t="s">
        <v>4700</v>
      </c>
      <c r="E7400" s="11" t="s">
        <v>28</v>
      </c>
      <c r="F7400" s="10" t="s">
        <v>28</v>
      </c>
      <c r="G7400" s="10">
        <v>24.67</v>
      </c>
      <c r="H7400" s="10">
        <v>82.25</v>
      </c>
      <c r="I7400" s="11" t="s">
        <v>28</v>
      </c>
      <c r="J7400" s="11" t="s">
        <v>28</v>
      </c>
      <c r="K7400" s="11" t="s">
        <v>28</v>
      </c>
      <c r="L7400" s="11" t="s">
        <v>28</v>
      </c>
      <c r="M7400" s="11" t="s">
        <v>28</v>
      </c>
      <c r="N7400" s="8">
        <v>43448</v>
      </c>
      <c r="O7400" s="9" t="s">
        <v>93</v>
      </c>
      <c r="P7400" s="12" t="s">
        <v>17150</v>
      </c>
      <c r="Q7400" s="9" t="s">
        <v>75</v>
      </c>
      <c r="R7400" s="14" t="str">
        <f>HYPERLINK("https://my.pitchbook.com?c=117960-40T","View Company Online")</f>
        <v>View Company Online</v>
      </c>
    </row>
    <row r="7401" spans="1:18" hidden="1" x14ac:dyDescent="0.3">
      <c r="A7401" s="15" t="s">
        <v>21937</v>
      </c>
      <c r="B7401" s="15" t="s">
        <v>21938</v>
      </c>
      <c r="C7401" s="18" t="s">
        <v>28</v>
      </c>
      <c r="D7401" s="15" t="s">
        <v>21939</v>
      </c>
      <c r="E7401" s="18" t="s">
        <v>28</v>
      </c>
      <c r="F7401" s="19" t="s">
        <v>28</v>
      </c>
      <c r="G7401" s="19" t="s">
        <v>28</v>
      </c>
      <c r="H7401" s="19" t="s">
        <v>28</v>
      </c>
      <c r="I7401" s="18" t="s">
        <v>28</v>
      </c>
      <c r="J7401" s="18" t="s">
        <v>28</v>
      </c>
      <c r="K7401" s="18" t="s">
        <v>28</v>
      </c>
      <c r="L7401" s="18" t="s">
        <v>28</v>
      </c>
      <c r="M7401" s="18" t="s">
        <v>28</v>
      </c>
      <c r="N7401" s="17">
        <v>43448</v>
      </c>
      <c r="O7401" s="15" t="s">
        <v>30</v>
      </c>
      <c r="P7401" s="16" t="s">
        <v>4004</v>
      </c>
      <c r="Q7401" s="15" t="s">
        <v>188</v>
      </c>
      <c r="R7401" s="13" t="str">
        <f>HYPERLINK("https://my.pitchbook.com?c=211612-69T","View Company Online")</f>
        <v>View Company Online</v>
      </c>
    </row>
    <row r="7402" spans="1:18" hidden="1" x14ac:dyDescent="0.3">
      <c r="A7402" s="9" t="s">
        <v>21940</v>
      </c>
      <c r="B7402" s="9" t="s">
        <v>1510</v>
      </c>
      <c r="C7402" s="11" t="s">
        <v>28</v>
      </c>
      <c r="D7402" s="9" t="s">
        <v>1511</v>
      </c>
      <c r="E7402" s="11" t="s">
        <v>28</v>
      </c>
      <c r="F7402" s="10" t="s">
        <v>28</v>
      </c>
      <c r="G7402" s="10">
        <v>0.04</v>
      </c>
      <c r="H7402" s="10">
        <v>0.37</v>
      </c>
      <c r="I7402" s="11" t="s">
        <v>28</v>
      </c>
      <c r="J7402" s="11" t="s">
        <v>28</v>
      </c>
      <c r="K7402" s="11">
        <v>0.21</v>
      </c>
      <c r="L7402" s="11">
        <v>1.75</v>
      </c>
      <c r="M7402" s="11" t="s">
        <v>28</v>
      </c>
      <c r="N7402" s="8">
        <v>43448</v>
      </c>
      <c r="O7402" s="9" t="s">
        <v>52</v>
      </c>
      <c r="P7402" s="12" t="s">
        <v>2915</v>
      </c>
      <c r="Q7402" s="9" t="s">
        <v>75</v>
      </c>
      <c r="R7402" s="14" t="str">
        <f>HYPERLINK("https://my.pitchbook.com?c=124785-37T","View Company Online")</f>
        <v>View Company Online</v>
      </c>
    </row>
    <row r="7403" spans="1:18" hidden="1" x14ac:dyDescent="0.3">
      <c r="A7403" s="15" t="s">
        <v>21941</v>
      </c>
      <c r="B7403" s="15" t="s">
        <v>6461</v>
      </c>
      <c r="C7403" s="18" t="s">
        <v>28</v>
      </c>
      <c r="D7403" s="15" t="s">
        <v>6462</v>
      </c>
      <c r="E7403" s="18" t="s">
        <v>28</v>
      </c>
      <c r="F7403" s="19" t="s">
        <v>28</v>
      </c>
      <c r="G7403" s="19">
        <v>0.05</v>
      </c>
      <c r="H7403" s="19">
        <v>0.74</v>
      </c>
      <c r="I7403" s="18" t="s">
        <v>28</v>
      </c>
      <c r="J7403" s="18" t="s">
        <v>28</v>
      </c>
      <c r="K7403" s="18" t="s">
        <v>28</v>
      </c>
      <c r="L7403" s="18" t="s">
        <v>28</v>
      </c>
      <c r="M7403" s="18" t="s">
        <v>28</v>
      </c>
      <c r="N7403" s="17">
        <v>43448</v>
      </c>
      <c r="O7403" s="15" t="s">
        <v>52</v>
      </c>
      <c r="P7403" s="16" t="s">
        <v>2915</v>
      </c>
      <c r="Q7403" s="15" t="s">
        <v>37</v>
      </c>
      <c r="R7403" s="13" t="str">
        <f>HYPERLINK("https://my.pitchbook.com?c=123048-82T","View Company Online")</f>
        <v>View Company Online</v>
      </c>
    </row>
    <row r="7404" spans="1:18" hidden="1" x14ac:dyDescent="0.3">
      <c r="A7404" s="9" t="s">
        <v>21942</v>
      </c>
      <c r="B7404" s="9" t="s">
        <v>21943</v>
      </c>
      <c r="C7404" s="11" t="s">
        <v>28</v>
      </c>
      <c r="D7404" s="9" t="s">
        <v>21944</v>
      </c>
      <c r="E7404" s="11" t="s">
        <v>28</v>
      </c>
      <c r="F7404" s="10" t="s">
        <v>28</v>
      </c>
      <c r="G7404" s="10" t="s">
        <v>28</v>
      </c>
      <c r="H7404" s="10" t="s">
        <v>28</v>
      </c>
      <c r="I7404" s="11" t="s">
        <v>28</v>
      </c>
      <c r="J7404" s="11" t="s">
        <v>28</v>
      </c>
      <c r="K7404" s="11" t="s">
        <v>28</v>
      </c>
      <c r="L7404" s="11" t="s">
        <v>28</v>
      </c>
      <c r="M7404" s="11" t="s">
        <v>28</v>
      </c>
      <c r="N7404" s="8">
        <v>43448</v>
      </c>
      <c r="O7404" s="9" t="s">
        <v>41</v>
      </c>
      <c r="P7404" s="12" t="s">
        <v>21945</v>
      </c>
      <c r="Q7404" s="9" t="s">
        <v>85</v>
      </c>
      <c r="R7404" s="14" t="str">
        <f>HYPERLINK("https://my.pitchbook.com?c=114900-31T","View Company Online")</f>
        <v>View Company Online</v>
      </c>
    </row>
    <row r="7405" spans="1:18" hidden="1" x14ac:dyDescent="0.3">
      <c r="A7405" s="15" t="s">
        <v>21946</v>
      </c>
      <c r="B7405" s="15" t="s">
        <v>4013</v>
      </c>
      <c r="C7405" s="18" t="s">
        <v>28</v>
      </c>
      <c r="D7405" s="15" t="s">
        <v>4014</v>
      </c>
      <c r="E7405" s="18" t="s">
        <v>28</v>
      </c>
      <c r="F7405" s="19" t="s">
        <v>28</v>
      </c>
      <c r="G7405" s="19" t="s">
        <v>28</v>
      </c>
      <c r="H7405" s="19" t="s">
        <v>28</v>
      </c>
      <c r="I7405" s="18" t="s">
        <v>28</v>
      </c>
      <c r="J7405" s="18" t="s">
        <v>28</v>
      </c>
      <c r="K7405" s="18" t="s">
        <v>28</v>
      </c>
      <c r="L7405" s="18" t="s">
        <v>28</v>
      </c>
      <c r="M7405" s="18" t="s">
        <v>28</v>
      </c>
      <c r="N7405" s="17">
        <v>43447</v>
      </c>
      <c r="O7405" s="15" t="s">
        <v>73</v>
      </c>
      <c r="P7405" s="16" t="s">
        <v>21947</v>
      </c>
      <c r="Q7405" s="15" t="s">
        <v>75</v>
      </c>
      <c r="R7405" s="13" t="str">
        <f>HYPERLINK("https://my.pitchbook.com?c=114614-83T","View Company Online")</f>
        <v>View Company Online</v>
      </c>
    </row>
    <row r="7406" spans="1:18" hidden="1" x14ac:dyDescent="0.3">
      <c r="A7406" s="9" t="s">
        <v>21948</v>
      </c>
      <c r="B7406" s="9" t="s">
        <v>17226</v>
      </c>
      <c r="C7406" s="11" t="s">
        <v>28</v>
      </c>
      <c r="D7406" s="9" t="s">
        <v>17227</v>
      </c>
      <c r="E7406" s="11" t="s">
        <v>28</v>
      </c>
      <c r="F7406" s="10" t="s">
        <v>28</v>
      </c>
      <c r="G7406" s="10">
        <v>0.05</v>
      </c>
      <c r="H7406" s="10" t="s">
        <v>28</v>
      </c>
      <c r="I7406" s="11" t="s">
        <v>28</v>
      </c>
      <c r="J7406" s="11" t="s">
        <v>28</v>
      </c>
      <c r="K7406" s="11" t="s">
        <v>28</v>
      </c>
      <c r="L7406" s="11" t="s">
        <v>28</v>
      </c>
      <c r="M7406" s="11" t="s">
        <v>28</v>
      </c>
      <c r="N7406" s="8">
        <v>43447</v>
      </c>
      <c r="O7406" s="9" t="s">
        <v>52</v>
      </c>
      <c r="P7406" s="12" t="s">
        <v>2915</v>
      </c>
      <c r="Q7406" s="9" t="s">
        <v>75</v>
      </c>
      <c r="R7406" s="14" t="str">
        <f>HYPERLINK("https://my.pitchbook.com?c=165793-96T","View Company Online")</f>
        <v>View Company Online</v>
      </c>
    </row>
    <row r="7407" spans="1:18" hidden="1" x14ac:dyDescent="0.3">
      <c r="A7407" s="15" t="s">
        <v>21949</v>
      </c>
      <c r="B7407" s="15" t="s">
        <v>16096</v>
      </c>
      <c r="C7407" s="18" t="s">
        <v>28</v>
      </c>
      <c r="D7407" s="15" t="s">
        <v>16097</v>
      </c>
      <c r="E7407" s="18" t="s">
        <v>28</v>
      </c>
      <c r="F7407" s="19" t="s">
        <v>28</v>
      </c>
      <c r="G7407" s="19" t="s">
        <v>28</v>
      </c>
      <c r="H7407" s="19" t="s">
        <v>28</v>
      </c>
      <c r="I7407" s="18" t="s">
        <v>28</v>
      </c>
      <c r="J7407" s="18" t="s">
        <v>28</v>
      </c>
      <c r="K7407" s="18" t="s">
        <v>28</v>
      </c>
      <c r="L7407" s="18" t="s">
        <v>28</v>
      </c>
      <c r="M7407" s="18" t="s">
        <v>28</v>
      </c>
      <c r="N7407" s="17">
        <v>43447</v>
      </c>
      <c r="O7407" s="15" t="s">
        <v>52</v>
      </c>
      <c r="P7407" s="16" t="s">
        <v>21950</v>
      </c>
      <c r="Q7407" s="15" t="s">
        <v>37</v>
      </c>
      <c r="R7407" s="13" t="str">
        <f>HYPERLINK("https://my.pitchbook.com?c=168362-02T","View Company Online")</f>
        <v>View Company Online</v>
      </c>
    </row>
    <row r="7408" spans="1:18" hidden="1" x14ac:dyDescent="0.3">
      <c r="A7408" s="9" t="s">
        <v>21951</v>
      </c>
      <c r="B7408" s="9" t="s">
        <v>21952</v>
      </c>
      <c r="C7408" s="11" t="s">
        <v>28</v>
      </c>
      <c r="D7408" s="9" t="s">
        <v>21953</v>
      </c>
      <c r="E7408" s="11" t="s">
        <v>28</v>
      </c>
      <c r="F7408" s="10">
        <v>0.01</v>
      </c>
      <c r="G7408" s="10">
        <v>0.01</v>
      </c>
      <c r="H7408" s="10">
        <v>0.01</v>
      </c>
      <c r="I7408" s="11" t="s">
        <v>28</v>
      </c>
      <c r="J7408" s="11" t="s">
        <v>28</v>
      </c>
      <c r="K7408" s="11" t="s">
        <v>28</v>
      </c>
      <c r="L7408" s="11" t="s">
        <v>28</v>
      </c>
      <c r="M7408" s="11" t="s">
        <v>28</v>
      </c>
      <c r="N7408" s="8">
        <v>43447</v>
      </c>
      <c r="O7408" s="9" t="s">
        <v>30</v>
      </c>
      <c r="P7408" s="12" t="s">
        <v>3609</v>
      </c>
      <c r="Q7408" s="9" t="s">
        <v>245</v>
      </c>
      <c r="R7408" s="14" t="str">
        <f>HYPERLINK("https://my.pitchbook.com?c=116991-19T","View Company Online")</f>
        <v>View Company Online</v>
      </c>
    </row>
    <row r="7409" spans="1:18" hidden="1" x14ac:dyDescent="0.3">
      <c r="A7409" s="15" t="s">
        <v>21954</v>
      </c>
      <c r="B7409" s="15" t="s">
        <v>21955</v>
      </c>
      <c r="C7409" s="18" t="s">
        <v>28</v>
      </c>
      <c r="D7409" s="15" t="s">
        <v>21956</v>
      </c>
      <c r="E7409" s="18" t="s">
        <v>28</v>
      </c>
      <c r="F7409" s="19" t="s">
        <v>28</v>
      </c>
      <c r="G7409" s="19" t="s">
        <v>28</v>
      </c>
      <c r="H7409" s="19" t="s">
        <v>28</v>
      </c>
      <c r="I7409" s="18" t="s">
        <v>28</v>
      </c>
      <c r="J7409" s="18" t="s">
        <v>28</v>
      </c>
      <c r="K7409" s="18" t="s">
        <v>28</v>
      </c>
      <c r="L7409" s="18" t="s">
        <v>28</v>
      </c>
      <c r="M7409" s="18" t="s">
        <v>28</v>
      </c>
      <c r="N7409" s="17">
        <v>43446</v>
      </c>
      <c r="O7409" s="15" t="s">
        <v>73</v>
      </c>
      <c r="P7409" s="16" t="s">
        <v>21957</v>
      </c>
      <c r="Q7409" s="15" t="s">
        <v>740</v>
      </c>
      <c r="R7409" s="13" t="str">
        <f>HYPERLINK("https://my.pitchbook.com?c=215954-02T","View Company Online")</f>
        <v>View Company Online</v>
      </c>
    </row>
    <row r="7410" spans="1:18" hidden="1" x14ac:dyDescent="0.3">
      <c r="A7410" s="9" t="s">
        <v>21958</v>
      </c>
      <c r="B7410" s="9" t="s">
        <v>21959</v>
      </c>
      <c r="C7410" s="11" t="s">
        <v>28</v>
      </c>
      <c r="D7410" s="9" t="s">
        <v>21960</v>
      </c>
      <c r="E7410" s="11" t="s">
        <v>28</v>
      </c>
      <c r="F7410" s="10" t="s">
        <v>28</v>
      </c>
      <c r="G7410" s="10" t="s">
        <v>28</v>
      </c>
      <c r="H7410" s="10" t="s">
        <v>28</v>
      </c>
      <c r="I7410" s="11" t="s">
        <v>28</v>
      </c>
      <c r="J7410" s="11" t="s">
        <v>28</v>
      </c>
      <c r="K7410" s="11" t="s">
        <v>28</v>
      </c>
      <c r="L7410" s="11" t="s">
        <v>28</v>
      </c>
      <c r="M7410" s="11" t="s">
        <v>28</v>
      </c>
      <c r="N7410" s="8">
        <v>43446</v>
      </c>
      <c r="O7410" s="9" t="s">
        <v>73</v>
      </c>
      <c r="P7410" s="12" t="s">
        <v>21961</v>
      </c>
      <c r="Q7410" s="9" t="s">
        <v>75</v>
      </c>
      <c r="R7410" s="14" t="str">
        <f>HYPERLINK("https://my.pitchbook.com?c=123291-82T","View Company Online")</f>
        <v>View Company Online</v>
      </c>
    </row>
    <row r="7411" spans="1:18" hidden="1" x14ac:dyDescent="0.3">
      <c r="A7411" s="15" t="s">
        <v>21962</v>
      </c>
      <c r="B7411" s="15" t="s">
        <v>1387</v>
      </c>
      <c r="C7411" s="18" t="s">
        <v>28</v>
      </c>
      <c r="D7411" s="15" t="s">
        <v>1388</v>
      </c>
      <c r="E7411" s="18">
        <v>8.4</v>
      </c>
      <c r="F7411" s="19" t="s">
        <v>28</v>
      </c>
      <c r="G7411" s="19">
        <v>155.77000000000001</v>
      </c>
      <c r="H7411" s="19">
        <v>370.88</v>
      </c>
      <c r="I7411" s="18">
        <v>30.35</v>
      </c>
      <c r="J7411" s="18">
        <v>12.22</v>
      </c>
      <c r="K7411" s="18">
        <v>447.73</v>
      </c>
      <c r="L7411" s="18">
        <v>0.83</v>
      </c>
      <c r="M7411" s="18">
        <v>-1.86</v>
      </c>
      <c r="N7411" s="17">
        <v>43446</v>
      </c>
      <c r="O7411" s="15" t="s">
        <v>159</v>
      </c>
      <c r="P7411" s="16" t="s">
        <v>28</v>
      </c>
      <c r="Q7411" s="15" t="s">
        <v>169</v>
      </c>
      <c r="R7411" s="13" t="str">
        <f>HYPERLINK("https://my.pitchbook.com?c=113942-26T","View Company Online")</f>
        <v>View Company Online</v>
      </c>
    </row>
    <row r="7412" spans="1:18" hidden="1" x14ac:dyDescent="0.3">
      <c r="A7412" s="9" t="s">
        <v>21963</v>
      </c>
      <c r="B7412" s="9" t="s">
        <v>21964</v>
      </c>
      <c r="C7412" s="11" t="s">
        <v>28</v>
      </c>
      <c r="D7412" s="9" t="s">
        <v>21965</v>
      </c>
      <c r="E7412" s="11" t="s">
        <v>28</v>
      </c>
      <c r="F7412" s="10" t="s">
        <v>28</v>
      </c>
      <c r="G7412" s="10" t="s">
        <v>28</v>
      </c>
      <c r="H7412" s="10" t="s">
        <v>28</v>
      </c>
      <c r="I7412" s="11" t="s">
        <v>28</v>
      </c>
      <c r="J7412" s="11" t="s">
        <v>28</v>
      </c>
      <c r="K7412" s="11" t="s">
        <v>28</v>
      </c>
      <c r="L7412" s="11" t="s">
        <v>28</v>
      </c>
      <c r="M7412" s="11" t="s">
        <v>28</v>
      </c>
      <c r="N7412" s="8">
        <v>43446</v>
      </c>
      <c r="O7412" s="9" t="s">
        <v>79</v>
      </c>
      <c r="P7412" s="12" t="s">
        <v>21957</v>
      </c>
      <c r="Q7412" s="9" t="s">
        <v>75</v>
      </c>
      <c r="R7412" s="14" t="str">
        <f>HYPERLINK("https://my.pitchbook.com?c=215956-81T","View Company Online")</f>
        <v>View Company Online</v>
      </c>
    </row>
    <row r="7413" spans="1:18" hidden="1" x14ac:dyDescent="0.3">
      <c r="A7413" s="15" t="s">
        <v>21966</v>
      </c>
      <c r="B7413" s="15" t="s">
        <v>21967</v>
      </c>
      <c r="C7413" s="18" t="s">
        <v>28</v>
      </c>
      <c r="D7413" s="15" t="s">
        <v>21968</v>
      </c>
      <c r="E7413" s="18" t="s">
        <v>28</v>
      </c>
      <c r="F7413" s="19">
        <v>520.35</v>
      </c>
      <c r="G7413" s="19">
        <v>520.35</v>
      </c>
      <c r="H7413" s="19">
        <v>520.35</v>
      </c>
      <c r="I7413" s="18" t="s">
        <v>28</v>
      </c>
      <c r="J7413" s="18" t="s">
        <v>28</v>
      </c>
      <c r="K7413" s="18" t="s">
        <v>28</v>
      </c>
      <c r="L7413" s="18" t="s">
        <v>28</v>
      </c>
      <c r="M7413" s="18">
        <v>-437.78</v>
      </c>
      <c r="N7413" s="17">
        <v>43446</v>
      </c>
      <c r="O7413" s="15" t="s">
        <v>30</v>
      </c>
      <c r="P7413" s="16" t="s">
        <v>10353</v>
      </c>
      <c r="Q7413" s="15" t="s">
        <v>226</v>
      </c>
      <c r="R7413" s="13" t="str">
        <f>HYPERLINK("https://my.pitchbook.com?c=112873-96T","View Company Online")</f>
        <v>View Company Online</v>
      </c>
    </row>
    <row r="7414" spans="1:18" hidden="1" x14ac:dyDescent="0.3">
      <c r="A7414" s="9" t="s">
        <v>21969</v>
      </c>
      <c r="B7414" s="9" t="s">
        <v>21970</v>
      </c>
      <c r="C7414" s="11" t="s">
        <v>28</v>
      </c>
      <c r="D7414" s="9" t="s">
        <v>21971</v>
      </c>
      <c r="E7414" s="11" t="s">
        <v>28</v>
      </c>
      <c r="F7414" s="10" t="s">
        <v>28</v>
      </c>
      <c r="G7414" s="10">
        <v>0.02</v>
      </c>
      <c r="H7414" s="10" t="s">
        <v>28</v>
      </c>
      <c r="I7414" s="11" t="s">
        <v>28</v>
      </c>
      <c r="J7414" s="11" t="s">
        <v>28</v>
      </c>
      <c r="K7414" s="11" t="s">
        <v>28</v>
      </c>
      <c r="L7414" s="11" t="s">
        <v>28</v>
      </c>
      <c r="M7414" s="11" t="s">
        <v>28</v>
      </c>
      <c r="N7414" s="8">
        <v>43446</v>
      </c>
      <c r="O7414" s="9" t="s">
        <v>52</v>
      </c>
      <c r="P7414" s="12" t="s">
        <v>21972</v>
      </c>
      <c r="Q7414" s="9" t="s">
        <v>1191</v>
      </c>
      <c r="R7414" s="14" t="str">
        <f>HYPERLINK("https://my.pitchbook.com?c=126507-70T","View Company Online")</f>
        <v>View Company Online</v>
      </c>
    </row>
    <row r="7415" spans="1:18" hidden="1" x14ac:dyDescent="0.3">
      <c r="A7415" s="15" t="s">
        <v>21973</v>
      </c>
      <c r="B7415" s="15" t="s">
        <v>948</v>
      </c>
      <c r="C7415" s="18" t="s">
        <v>28</v>
      </c>
      <c r="D7415" s="15" t="s">
        <v>949</v>
      </c>
      <c r="E7415" s="18" t="s">
        <v>28</v>
      </c>
      <c r="F7415" s="19">
        <v>128.15</v>
      </c>
      <c r="G7415" s="19">
        <v>128.15</v>
      </c>
      <c r="H7415" s="19">
        <v>128.15</v>
      </c>
      <c r="I7415" s="18" t="s">
        <v>28</v>
      </c>
      <c r="J7415" s="18" t="s">
        <v>28</v>
      </c>
      <c r="K7415" s="18" t="s">
        <v>28</v>
      </c>
      <c r="L7415" s="18" t="s">
        <v>28</v>
      </c>
      <c r="M7415" s="18" t="s">
        <v>28</v>
      </c>
      <c r="N7415" s="17">
        <v>43444</v>
      </c>
      <c r="O7415" s="15" t="s">
        <v>30</v>
      </c>
      <c r="P7415" s="16" t="s">
        <v>21974</v>
      </c>
      <c r="Q7415" s="15" t="s">
        <v>348</v>
      </c>
      <c r="R7415" s="13" t="str">
        <f>HYPERLINK("https://my.pitchbook.com?c=114586-84T","View Company Online")</f>
        <v>View Company Online</v>
      </c>
    </row>
    <row r="7416" spans="1:18" hidden="1" x14ac:dyDescent="0.3">
      <c r="A7416" s="9" t="s">
        <v>21975</v>
      </c>
      <c r="B7416" s="9" t="s">
        <v>7120</v>
      </c>
      <c r="C7416" s="11" t="s">
        <v>28</v>
      </c>
      <c r="D7416" s="9" t="s">
        <v>7121</v>
      </c>
      <c r="E7416" s="11" t="s">
        <v>28</v>
      </c>
      <c r="F7416" s="10" t="s">
        <v>28</v>
      </c>
      <c r="G7416" s="10">
        <v>0.1</v>
      </c>
      <c r="H7416" s="10" t="s">
        <v>28</v>
      </c>
      <c r="I7416" s="11" t="s">
        <v>28</v>
      </c>
      <c r="J7416" s="11" t="s">
        <v>28</v>
      </c>
      <c r="K7416" s="11" t="s">
        <v>28</v>
      </c>
      <c r="L7416" s="11" t="s">
        <v>28</v>
      </c>
      <c r="M7416" s="11" t="s">
        <v>28</v>
      </c>
      <c r="N7416" s="8">
        <v>43444</v>
      </c>
      <c r="O7416" s="9" t="s">
        <v>47</v>
      </c>
      <c r="P7416" s="12" t="s">
        <v>21976</v>
      </c>
      <c r="Q7416" s="9" t="s">
        <v>85</v>
      </c>
      <c r="R7416" s="14" t="str">
        <f>HYPERLINK("https://my.pitchbook.com?c=122935-69T","View Company Online")</f>
        <v>View Company Online</v>
      </c>
    </row>
    <row r="7417" spans="1:18" hidden="1" x14ac:dyDescent="0.3">
      <c r="A7417" s="15" t="s">
        <v>21977</v>
      </c>
      <c r="B7417" s="15" t="s">
        <v>21978</v>
      </c>
      <c r="C7417" s="18" t="s">
        <v>28</v>
      </c>
      <c r="D7417" s="15" t="s">
        <v>21979</v>
      </c>
      <c r="E7417" s="18" t="s">
        <v>28</v>
      </c>
      <c r="F7417" s="19" t="s">
        <v>28</v>
      </c>
      <c r="G7417" s="19" t="s">
        <v>28</v>
      </c>
      <c r="H7417" s="19" t="s">
        <v>28</v>
      </c>
      <c r="I7417" s="18" t="s">
        <v>28</v>
      </c>
      <c r="J7417" s="18" t="s">
        <v>28</v>
      </c>
      <c r="K7417" s="18" t="s">
        <v>28</v>
      </c>
      <c r="L7417" s="18" t="s">
        <v>28</v>
      </c>
      <c r="M7417" s="18" t="s">
        <v>28</v>
      </c>
      <c r="N7417" s="17">
        <v>43444</v>
      </c>
      <c r="O7417" s="15" t="s">
        <v>30</v>
      </c>
      <c r="P7417" s="16" t="s">
        <v>3076</v>
      </c>
      <c r="Q7417" s="15" t="s">
        <v>855</v>
      </c>
      <c r="R7417" s="13" t="str">
        <f>HYPERLINK("https://my.pitchbook.com?c=134611-84T","View Company Online")</f>
        <v>View Company Online</v>
      </c>
    </row>
    <row r="7418" spans="1:18" hidden="1" x14ac:dyDescent="0.3">
      <c r="A7418" s="9" t="s">
        <v>21980</v>
      </c>
      <c r="B7418" s="9" t="s">
        <v>21981</v>
      </c>
      <c r="C7418" s="11" t="s">
        <v>28</v>
      </c>
      <c r="D7418" s="9" t="s">
        <v>21982</v>
      </c>
      <c r="E7418" s="11" t="s">
        <v>28</v>
      </c>
      <c r="F7418" s="10">
        <v>37.5</v>
      </c>
      <c r="G7418" s="10">
        <v>30</v>
      </c>
      <c r="H7418" s="10">
        <v>37.5</v>
      </c>
      <c r="I7418" s="11" t="s">
        <v>28</v>
      </c>
      <c r="J7418" s="11" t="s">
        <v>28</v>
      </c>
      <c r="K7418" s="11" t="s">
        <v>28</v>
      </c>
      <c r="L7418" s="11" t="s">
        <v>28</v>
      </c>
      <c r="M7418" s="11" t="s">
        <v>28</v>
      </c>
      <c r="N7418" s="8">
        <v>43444</v>
      </c>
      <c r="O7418" s="9" t="s">
        <v>41</v>
      </c>
      <c r="P7418" s="12" t="s">
        <v>21983</v>
      </c>
      <c r="Q7418" s="9" t="s">
        <v>1007</v>
      </c>
      <c r="R7418" s="14" t="str">
        <f>HYPERLINK("https://my.pitchbook.com?c=114582-43T","View Company Online")</f>
        <v>View Company Online</v>
      </c>
    </row>
    <row r="7419" spans="1:18" hidden="1" x14ac:dyDescent="0.3">
      <c r="A7419" s="15" t="s">
        <v>21984</v>
      </c>
      <c r="B7419" s="15" t="s">
        <v>12893</v>
      </c>
      <c r="C7419" s="18" t="s">
        <v>28</v>
      </c>
      <c r="D7419" s="15" t="s">
        <v>12894</v>
      </c>
      <c r="E7419" s="18" t="s">
        <v>28</v>
      </c>
      <c r="F7419" s="19" t="s">
        <v>28</v>
      </c>
      <c r="G7419" s="19">
        <v>30</v>
      </c>
      <c r="H7419" s="19" t="s">
        <v>28</v>
      </c>
      <c r="I7419" s="18" t="s">
        <v>28</v>
      </c>
      <c r="J7419" s="18" t="s">
        <v>28</v>
      </c>
      <c r="K7419" s="18" t="s">
        <v>28</v>
      </c>
      <c r="L7419" s="18" t="s">
        <v>28</v>
      </c>
      <c r="M7419" s="18" t="s">
        <v>28</v>
      </c>
      <c r="N7419" s="17">
        <v>43443</v>
      </c>
      <c r="O7419" s="15" t="s">
        <v>379</v>
      </c>
      <c r="P7419" s="16" t="s">
        <v>21985</v>
      </c>
      <c r="Q7419" s="15" t="s">
        <v>616</v>
      </c>
      <c r="R7419" s="13" t="str">
        <f>HYPERLINK("https://my.pitchbook.com?c=225289-00T","View Company Online")</f>
        <v>View Company Online</v>
      </c>
    </row>
    <row r="7420" spans="1:18" hidden="1" x14ac:dyDescent="0.3">
      <c r="A7420" s="9" t="s">
        <v>21986</v>
      </c>
      <c r="B7420" s="9" t="s">
        <v>15596</v>
      </c>
      <c r="C7420" s="11" t="s">
        <v>28</v>
      </c>
      <c r="D7420" s="9" t="s">
        <v>15597</v>
      </c>
      <c r="E7420" s="11" t="s">
        <v>28</v>
      </c>
      <c r="F7420" s="10" t="s">
        <v>28</v>
      </c>
      <c r="G7420" s="10">
        <v>0.04</v>
      </c>
      <c r="H7420" s="10">
        <v>0.33</v>
      </c>
      <c r="I7420" s="11" t="s">
        <v>28</v>
      </c>
      <c r="J7420" s="11" t="s">
        <v>28</v>
      </c>
      <c r="K7420" s="11" t="s">
        <v>28</v>
      </c>
      <c r="L7420" s="11" t="s">
        <v>28</v>
      </c>
      <c r="M7420" s="11" t="s">
        <v>28</v>
      </c>
      <c r="N7420" s="8">
        <v>43442</v>
      </c>
      <c r="O7420" s="9" t="s">
        <v>52</v>
      </c>
      <c r="P7420" s="12" t="s">
        <v>21987</v>
      </c>
      <c r="Q7420" s="9" t="s">
        <v>404</v>
      </c>
      <c r="R7420" s="14" t="str">
        <f>HYPERLINK("https://my.pitchbook.com?c=166821-40T","View Company Online")</f>
        <v>View Company Online</v>
      </c>
    </row>
    <row r="7421" spans="1:18" hidden="1" x14ac:dyDescent="0.3">
      <c r="A7421" s="15" t="s">
        <v>21988</v>
      </c>
      <c r="B7421" s="15" t="s">
        <v>17289</v>
      </c>
      <c r="C7421" s="18" t="s">
        <v>28</v>
      </c>
      <c r="D7421" s="15" t="s">
        <v>17290</v>
      </c>
      <c r="E7421" s="18" t="s">
        <v>28</v>
      </c>
      <c r="F7421" s="19" t="s">
        <v>28</v>
      </c>
      <c r="G7421" s="19">
        <v>0.05</v>
      </c>
      <c r="H7421" s="19">
        <v>0.65</v>
      </c>
      <c r="I7421" s="18" t="s">
        <v>28</v>
      </c>
      <c r="J7421" s="18" t="s">
        <v>28</v>
      </c>
      <c r="K7421" s="18" t="s">
        <v>28</v>
      </c>
      <c r="L7421" s="18" t="s">
        <v>28</v>
      </c>
      <c r="M7421" s="18" t="s">
        <v>28</v>
      </c>
      <c r="N7421" s="17">
        <v>43442</v>
      </c>
      <c r="O7421" s="15" t="s">
        <v>52</v>
      </c>
      <c r="P7421" s="16" t="s">
        <v>21987</v>
      </c>
      <c r="Q7421" s="15" t="s">
        <v>37</v>
      </c>
      <c r="R7421" s="13" t="str">
        <f>HYPERLINK("https://my.pitchbook.com?c=166513-96T","View Company Online")</f>
        <v>View Company Online</v>
      </c>
    </row>
    <row r="7422" spans="1:18" hidden="1" x14ac:dyDescent="0.3">
      <c r="A7422" s="9" t="s">
        <v>21989</v>
      </c>
      <c r="B7422" s="9" t="s">
        <v>14796</v>
      </c>
      <c r="C7422" s="11" t="s">
        <v>28</v>
      </c>
      <c r="D7422" s="9" t="s">
        <v>14797</v>
      </c>
      <c r="E7422" s="11" t="s">
        <v>28</v>
      </c>
      <c r="F7422" s="10" t="s">
        <v>28</v>
      </c>
      <c r="G7422" s="10" t="s">
        <v>28</v>
      </c>
      <c r="H7422" s="10" t="s">
        <v>28</v>
      </c>
      <c r="I7422" s="11" t="s">
        <v>28</v>
      </c>
      <c r="J7422" s="11" t="s">
        <v>28</v>
      </c>
      <c r="K7422" s="11" t="s">
        <v>28</v>
      </c>
      <c r="L7422" s="11" t="s">
        <v>28</v>
      </c>
      <c r="M7422" s="11" t="s">
        <v>28</v>
      </c>
      <c r="N7422" s="8">
        <v>43441</v>
      </c>
      <c r="O7422" s="9" t="s">
        <v>99</v>
      </c>
      <c r="P7422" s="12" t="s">
        <v>21990</v>
      </c>
      <c r="Q7422" s="9" t="s">
        <v>7261</v>
      </c>
      <c r="R7422" s="14" t="str">
        <f>HYPERLINK("https://my.pitchbook.com?c=120000-88T","View Company Online")</f>
        <v>View Company Online</v>
      </c>
    </row>
    <row r="7423" spans="1:18" hidden="1" x14ac:dyDescent="0.3">
      <c r="A7423" s="15" t="s">
        <v>21991</v>
      </c>
      <c r="B7423" s="15" t="s">
        <v>21374</v>
      </c>
      <c r="C7423" s="18" t="s">
        <v>28</v>
      </c>
      <c r="D7423" s="15" t="s">
        <v>21375</v>
      </c>
      <c r="E7423" s="18" t="s">
        <v>28</v>
      </c>
      <c r="F7423" s="19" t="s">
        <v>28</v>
      </c>
      <c r="G7423" s="19" t="s">
        <v>28</v>
      </c>
      <c r="H7423" s="19" t="s">
        <v>28</v>
      </c>
      <c r="I7423" s="18" t="s">
        <v>28</v>
      </c>
      <c r="J7423" s="18" t="s">
        <v>28</v>
      </c>
      <c r="K7423" s="18" t="s">
        <v>28</v>
      </c>
      <c r="L7423" s="18" t="s">
        <v>28</v>
      </c>
      <c r="M7423" s="18" t="s">
        <v>28</v>
      </c>
      <c r="N7423" s="17">
        <v>43441</v>
      </c>
      <c r="O7423" s="15" t="s">
        <v>52</v>
      </c>
      <c r="P7423" s="16" t="s">
        <v>8895</v>
      </c>
      <c r="Q7423" s="15" t="s">
        <v>1035</v>
      </c>
      <c r="R7423" s="13" t="str">
        <f>HYPERLINK("https://my.pitchbook.com?c=284589-37T","View Company Online")</f>
        <v>View Company Online</v>
      </c>
    </row>
    <row r="7424" spans="1:18" hidden="1" x14ac:dyDescent="0.3">
      <c r="A7424" s="9" t="s">
        <v>21992</v>
      </c>
      <c r="B7424" s="9" t="s">
        <v>21993</v>
      </c>
      <c r="C7424" s="11" t="s">
        <v>28</v>
      </c>
      <c r="D7424" s="9" t="s">
        <v>21994</v>
      </c>
      <c r="E7424" s="11" t="s">
        <v>28</v>
      </c>
      <c r="F7424" s="10" t="s">
        <v>28</v>
      </c>
      <c r="G7424" s="10" t="s">
        <v>28</v>
      </c>
      <c r="H7424" s="10" t="s">
        <v>28</v>
      </c>
      <c r="I7424" s="11" t="s">
        <v>28</v>
      </c>
      <c r="J7424" s="11" t="s">
        <v>28</v>
      </c>
      <c r="K7424" s="11" t="s">
        <v>28</v>
      </c>
      <c r="L7424" s="11" t="s">
        <v>28</v>
      </c>
      <c r="M7424" s="11" t="s">
        <v>28</v>
      </c>
      <c r="N7424" s="8">
        <v>43440</v>
      </c>
      <c r="O7424" s="9" t="s">
        <v>30</v>
      </c>
      <c r="P7424" s="12" t="s">
        <v>769</v>
      </c>
      <c r="Q7424" s="9" t="s">
        <v>855</v>
      </c>
      <c r="R7424" s="14" t="str">
        <f>HYPERLINK("https://my.pitchbook.com?c=155536-39T","View Company Online")</f>
        <v>View Company Online</v>
      </c>
    </row>
    <row r="7425" spans="1:18" hidden="1" x14ac:dyDescent="0.3">
      <c r="A7425" s="15" t="s">
        <v>21995</v>
      </c>
      <c r="B7425" s="15" t="s">
        <v>5185</v>
      </c>
      <c r="C7425" s="18" t="s">
        <v>28</v>
      </c>
      <c r="D7425" s="15" t="s">
        <v>5186</v>
      </c>
      <c r="E7425" s="18" t="s">
        <v>28</v>
      </c>
      <c r="F7425" s="19" t="s">
        <v>28</v>
      </c>
      <c r="G7425" s="19" t="s">
        <v>28</v>
      </c>
      <c r="H7425" s="19" t="s">
        <v>28</v>
      </c>
      <c r="I7425" s="18" t="s">
        <v>28</v>
      </c>
      <c r="J7425" s="18" t="s">
        <v>28</v>
      </c>
      <c r="K7425" s="18" t="s">
        <v>28</v>
      </c>
      <c r="L7425" s="18" t="s">
        <v>28</v>
      </c>
      <c r="M7425" s="18" t="s">
        <v>28</v>
      </c>
      <c r="N7425" s="17">
        <v>43440</v>
      </c>
      <c r="O7425" s="15" t="s">
        <v>52</v>
      </c>
      <c r="P7425" s="16" t="s">
        <v>17549</v>
      </c>
      <c r="Q7425" s="15" t="s">
        <v>263</v>
      </c>
      <c r="R7425" s="13" t="str">
        <f>HYPERLINK("https://my.pitchbook.com?c=284255-11T","View Company Online")</f>
        <v>View Company Online</v>
      </c>
    </row>
    <row r="7426" spans="1:18" hidden="1" x14ac:dyDescent="0.3">
      <c r="A7426" s="9" t="s">
        <v>21996</v>
      </c>
      <c r="B7426" s="9" t="s">
        <v>21997</v>
      </c>
      <c r="C7426" s="11" t="s">
        <v>28</v>
      </c>
      <c r="D7426" s="9" t="s">
        <v>21998</v>
      </c>
      <c r="E7426" s="11" t="s">
        <v>28</v>
      </c>
      <c r="F7426" s="10" t="s">
        <v>28</v>
      </c>
      <c r="G7426" s="10">
        <v>0.02</v>
      </c>
      <c r="H7426" s="10" t="s">
        <v>28</v>
      </c>
      <c r="I7426" s="11" t="s">
        <v>28</v>
      </c>
      <c r="J7426" s="11" t="s">
        <v>28</v>
      </c>
      <c r="K7426" s="11" t="s">
        <v>28</v>
      </c>
      <c r="L7426" s="11" t="s">
        <v>28</v>
      </c>
      <c r="M7426" s="11" t="s">
        <v>28</v>
      </c>
      <c r="N7426" s="8">
        <v>43440</v>
      </c>
      <c r="O7426" s="9" t="s">
        <v>47</v>
      </c>
      <c r="P7426" s="12" t="s">
        <v>21999</v>
      </c>
      <c r="Q7426" s="9" t="s">
        <v>404</v>
      </c>
      <c r="R7426" s="14" t="str">
        <f>HYPERLINK("https://my.pitchbook.com?c=127530-64T","View Company Online")</f>
        <v>View Company Online</v>
      </c>
    </row>
    <row r="7427" spans="1:18" hidden="1" x14ac:dyDescent="0.3">
      <c r="A7427" s="15" t="s">
        <v>22000</v>
      </c>
      <c r="B7427" s="15" t="s">
        <v>22001</v>
      </c>
      <c r="C7427" s="18" t="s">
        <v>28</v>
      </c>
      <c r="D7427" s="15" t="s">
        <v>22002</v>
      </c>
      <c r="E7427" s="18" t="s">
        <v>28</v>
      </c>
      <c r="F7427" s="19" t="s">
        <v>28</v>
      </c>
      <c r="G7427" s="19" t="s">
        <v>28</v>
      </c>
      <c r="H7427" s="19" t="s">
        <v>28</v>
      </c>
      <c r="I7427" s="18" t="s">
        <v>28</v>
      </c>
      <c r="J7427" s="18" t="s">
        <v>28</v>
      </c>
      <c r="K7427" s="18" t="s">
        <v>28</v>
      </c>
      <c r="L7427" s="18" t="s">
        <v>28</v>
      </c>
      <c r="M7427" s="18" t="s">
        <v>28</v>
      </c>
      <c r="N7427" s="17">
        <v>43439</v>
      </c>
      <c r="O7427" s="15" t="s">
        <v>30</v>
      </c>
      <c r="P7427" s="16" t="s">
        <v>22003</v>
      </c>
      <c r="Q7427" s="15" t="s">
        <v>37</v>
      </c>
      <c r="R7427" s="13" t="str">
        <f>HYPERLINK("https://my.pitchbook.com?c=256860-28T","View Company Online")</f>
        <v>View Company Online</v>
      </c>
    </row>
    <row r="7428" spans="1:18" hidden="1" x14ac:dyDescent="0.3">
      <c r="A7428" s="9" t="s">
        <v>22004</v>
      </c>
      <c r="B7428" s="9" t="s">
        <v>22005</v>
      </c>
      <c r="C7428" s="11" t="s">
        <v>28</v>
      </c>
      <c r="D7428" s="9" t="s">
        <v>22006</v>
      </c>
      <c r="E7428" s="11" t="s">
        <v>28</v>
      </c>
      <c r="F7428" s="10">
        <v>550</v>
      </c>
      <c r="G7428" s="10">
        <v>550</v>
      </c>
      <c r="H7428" s="10">
        <v>714.28</v>
      </c>
      <c r="I7428" s="11" t="s">
        <v>28</v>
      </c>
      <c r="J7428" s="11" t="s">
        <v>28</v>
      </c>
      <c r="K7428" s="11" t="s">
        <v>28</v>
      </c>
      <c r="L7428" s="11" t="s">
        <v>28</v>
      </c>
      <c r="M7428" s="11" t="s">
        <v>28</v>
      </c>
      <c r="N7428" s="8">
        <v>43438</v>
      </c>
      <c r="O7428" s="9" t="s">
        <v>30</v>
      </c>
      <c r="P7428" s="12" t="s">
        <v>63</v>
      </c>
      <c r="Q7428" s="9" t="s">
        <v>64</v>
      </c>
      <c r="R7428" s="14" t="str">
        <f>HYPERLINK("https://my.pitchbook.com?c=114418-45T","View Company Online")</f>
        <v>View Company Online</v>
      </c>
    </row>
    <row r="7429" spans="1:18" hidden="1" x14ac:dyDescent="0.3">
      <c r="A7429" s="15" t="s">
        <v>22007</v>
      </c>
      <c r="B7429" s="15" t="s">
        <v>22008</v>
      </c>
      <c r="C7429" s="18" t="s">
        <v>28</v>
      </c>
      <c r="D7429" s="15" t="s">
        <v>22009</v>
      </c>
      <c r="E7429" s="18" t="s">
        <v>28</v>
      </c>
      <c r="F7429" s="19">
        <v>8.17</v>
      </c>
      <c r="G7429" s="19">
        <v>8.17</v>
      </c>
      <c r="H7429" s="19">
        <v>8.17</v>
      </c>
      <c r="I7429" s="18" t="s">
        <v>28</v>
      </c>
      <c r="J7429" s="18" t="s">
        <v>28</v>
      </c>
      <c r="K7429" s="18" t="s">
        <v>28</v>
      </c>
      <c r="L7429" s="18" t="s">
        <v>28</v>
      </c>
      <c r="M7429" s="18" t="s">
        <v>28</v>
      </c>
      <c r="N7429" s="17">
        <v>43438</v>
      </c>
      <c r="O7429" s="15" t="s">
        <v>41</v>
      </c>
      <c r="P7429" s="16" t="s">
        <v>22010</v>
      </c>
      <c r="Q7429" s="15" t="s">
        <v>136</v>
      </c>
      <c r="R7429" s="13" t="str">
        <f>HYPERLINK("https://my.pitchbook.com?c=119561-05T","View Company Online")</f>
        <v>View Company Online</v>
      </c>
    </row>
    <row r="7430" spans="1:18" hidden="1" x14ac:dyDescent="0.3">
      <c r="A7430" s="9" t="s">
        <v>22011</v>
      </c>
      <c r="B7430" s="9" t="s">
        <v>22012</v>
      </c>
      <c r="C7430" s="11" t="s">
        <v>28</v>
      </c>
      <c r="D7430" s="9" t="s">
        <v>22013</v>
      </c>
      <c r="E7430" s="11" t="s">
        <v>28</v>
      </c>
      <c r="F7430" s="10" t="s">
        <v>28</v>
      </c>
      <c r="G7430" s="10" t="s">
        <v>28</v>
      </c>
      <c r="H7430" s="10" t="s">
        <v>28</v>
      </c>
      <c r="I7430" s="11" t="s">
        <v>28</v>
      </c>
      <c r="J7430" s="11" t="s">
        <v>28</v>
      </c>
      <c r="K7430" s="11" t="s">
        <v>28</v>
      </c>
      <c r="L7430" s="11" t="s">
        <v>28</v>
      </c>
      <c r="M7430" s="11" t="s">
        <v>28</v>
      </c>
      <c r="N7430" s="8">
        <v>43437</v>
      </c>
      <c r="O7430" s="9" t="s">
        <v>173</v>
      </c>
      <c r="P7430" s="12" t="s">
        <v>28</v>
      </c>
      <c r="Q7430" s="9" t="s">
        <v>240</v>
      </c>
      <c r="R7430" s="14" t="str">
        <f>HYPERLINK("https://my.pitchbook.com?c=227693-80T","View Company Online")</f>
        <v>View Company Online</v>
      </c>
    </row>
    <row r="7431" spans="1:18" hidden="1" x14ac:dyDescent="0.3">
      <c r="A7431" s="15" t="s">
        <v>22014</v>
      </c>
      <c r="B7431" s="15" t="s">
        <v>11510</v>
      </c>
      <c r="C7431" s="18" t="s">
        <v>28</v>
      </c>
      <c r="D7431" s="15" t="s">
        <v>11511</v>
      </c>
      <c r="E7431" s="18" t="s">
        <v>28</v>
      </c>
      <c r="F7431" s="19" t="s">
        <v>28</v>
      </c>
      <c r="G7431" s="19">
        <v>3</v>
      </c>
      <c r="H7431" s="19" t="s">
        <v>28</v>
      </c>
      <c r="I7431" s="18" t="s">
        <v>28</v>
      </c>
      <c r="J7431" s="18" t="s">
        <v>28</v>
      </c>
      <c r="K7431" s="18" t="s">
        <v>28</v>
      </c>
      <c r="L7431" s="18" t="s">
        <v>28</v>
      </c>
      <c r="M7431" s="18" t="s">
        <v>28</v>
      </c>
      <c r="N7431" s="17">
        <v>43437</v>
      </c>
      <c r="O7431" s="15" t="s">
        <v>73</v>
      </c>
      <c r="P7431" s="16" t="s">
        <v>22015</v>
      </c>
      <c r="Q7431" s="15" t="s">
        <v>75</v>
      </c>
      <c r="R7431" s="13" t="str">
        <f>HYPERLINK("https://my.pitchbook.com?c=122760-64T","View Company Online")</f>
        <v>View Company Online</v>
      </c>
    </row>
    <row r="7432" spans="1:18" hidden="1" x14ac:dyDescent="0.3">
      <c r="A7432" s="9" t="s">
        <v>22016</v>
      </c>
      <c r="B7432" s="9" t="s">
        <v>22017</v>
      </c>
      <c r="C7432" s="11" t="s">
        <v>28</v>
      </c>
      <c r="D7432" s="9" t="s">
        <v>22018</v>
      </c>
      <c r="E7432" s="11" t="s">
        <v>28</v>
      </c>
      <c r="F7432" s="10">
        <v>50.06</v>
      </c>
      <c r="G7432" s="10">
        <v>50.06</v>
      </c>
      <c r="H7432" s="10">
        <v>50.06</v>
      </c>
      <c r="I7432" s="11" t="s">
        <v>28</v>
      </c>
      <c r="J7432" s="11" t="s">
        <v>28</v>
      </c>
      <c r="K7432" s="11" t="s">
        <v>28</v>
      </c>
      <c r="L7432" s="11" t="s">
        <v>28</v>
      </c>
      <c r="M7432" s="11" t="s">
        <v>28</v>
      </c>
      <c r="N7432" s="8">
        <v>43437</v>
      </c>
      <c r="O7432" s="9" t="s">
        <v>30</v>
      </c>
      <c r="P7432" s="12" t="s">
        <v>22019</v>
      </c>
      <c r="Q7432" s="9" t="s">
        <v>136</v>
      </c>
      <c r="R7432" s="14" t="str">
        <f>HYPERLINK("https://my.pitchbook.com?c=118856-80T","View Company Online")</f>
        <v>View Company Online</v>
      </c>
    </row>
    <row r="7433" spans="1:18" hidden="1" x14ac:dyDescent="0.3">
      <c r="A7433" s="15" t="s">
        <v>22020</v>
      </c>
      <c r="B7433" s="15" t="s">
        <v>884</v>
      </c>
      <c r="C7433" s="18" t="s">
        <v>28</v>
      </c>
      <c r="D7433" s="15" t="s">
        <v>14058</v>
      </c>
      <c r="E7433" s="18" t="s">
        <v>28</v>
      </c>
      <c r="F7433" s="19" t="s">
        <v>28</v>
      </c>
      <c r="G7433" s="19" t="s">
        <v>28</v>
      </c>
      <c r="H7433" s="19" t="s">
        <v>28</v>
      </c>
      <c r="I7433" s="18" t="s">
        <v>28</v>
      </c>
      <c r="J7433" s="18" t="s">
        <v>28</v>
      </c>
      <c r="K7433" s="18" t="s">
        <v>28</v>
      </c>
      <c r="L7433" s="18" t="s">
        <v>28</v>
      </c>
      <c r="M7433" s="18" t="s">
        <v>28</v>
      </c>
      <c r="N7433" s="17">
        <v>43435</v>
      </c>
      <c r="O7433" s="15" t="s">
        <v>73</v>
      </c>
      <c r="P7433" s="16" t="s">
        <v>4766</v>
      </c>
      <c r="Q7433" s="15" t="s">
        <v>14060</v>
      </c>
      <c r="R7433" s="13" t="str">
        <f>HYPERLINK("https://my.pitchbook.com?c=215657-92T","View Company Online")</f>
        <v>View Company Online</v>
      </c>
    </row>
    <row r="7434" spans="1:18" hidden="1" x14ac:dyDescent="0.3">
      <c r="A7434" s="9" t="s">
        <v>22021</v>
      </c>
      <c r="B7434" s="9" t="s">
        <v>22022</v>
      </c>
      <c r="C7434" s="11" t="s">
        <v>28</v>
      </c>
      <c r="D7434" s="9" t="s">
        <v>22023</v>
      </c>
      <c r="E7434" s="11" t="s">
        <v>28</v>
      </c>
      <c r="F7434" s="10" t="s">
        <v>28</v>
      </c>
      <c r="G7434" s="10" t="s">
        <v>28</v>
      </c>
      <c r="H7434" s="10" t="s">
        <v>28</v>
      </c>
      <c r="I7434" s="11" t="s">
        <v>28</v>
      </c>
      <c r="J7434" s="11" t="s">
        <v>28</v>
      </c>
      <c r="K7434" s="11">
        <v>82.08</v>
      </c>
      <c r="L7434" s="11" t="s">
        <v>28</v>
      </c>
      <c r="M7434" s="11" t="s">
        <v>28</v>
      </c>
      <c r="N7434" s="8">
        <v>43435</v>
      </c>
      <c r="O7434" s="9" t="s">
        <v>41</v>
      </c>
      <c r="P7434" s="12" t="s">
        <v>22024</v>
      </c>
      <c r="Q7434" s="9" t="s">
        <v>136</v>
      </c>
      <c r="R7434" s="14" t="str">
        <f>HYPERLINK("https://my.pitchbook.com?c=119826-01T","View Company Online")</f>
        <v>View Company Online</v>
      </c>
    </row>
    <row r="7435" spans="1:18" hidden="1" x14ac:dyDescent="0.3">
      <c r="A7435" s="15" t="s">
        <v>22025</v>
      </c>
      <c r="B7435" s="15" t="s">
        <v>16686</v>
      </c>
      <c r="C7435" s="18" t="s">
        <v>28</v>
      </c>
      <c r="D7435" s="15" t="s">
        <v>16687</v>
      </c>
      <c r="E7435" s="18" t="s">
        <v>28</v>
      </c>
      <c r="F7435" s="19" t="s">
        <v>28</v>
      </c>
      <c r="G7435" s="19" t="s">
        <v>28</v>
      </c>
      <c r="H7435" s="19" t="s">
        <v>28</v>
      </c>
      <c r="I7435" s="18" t="s">
        <v>28</v>
      </c>
      <c r="J7435" s="18" t="s">
        <v>28</v>
      </c>
      <c r="K7435" s="18" t="s">
        <v>28</v>
      </c>
      <c r="L7435" s="18" t="s">
        <v>28</v>
      </c>
      <c r="M7435" s="18" t="s">
        <v>28</v>
      </c>
      <c r="N7435" s="17">
        <v>43435</v>
      </c>
      <c r="O7435" s="15" t="s">
        <v>73</v>
      </c>
      <c r="P7435" s="16" t="s">
        <v>22026</v>
      </c>
      <c r="Q7435" s="15" t="s">
        <v>37</v>
      </c>
      <c r="R7435" s="13" t="str">
        <f>HYPERLINK("https://my.pitchbook.com?c=119643-67T","View Company Online")</f>
        <v>View Company Online</v>
      </c>
    </row>
    <row r="7436" spans="1:18" hidden="1" x14ac:dyDescent="0.3">
      <c r="A7436" s="9" t="s">
        <v>22027</v>
      </c>
      <c r="B7436" s="9" t="s">
        <v>22028</v>
      </c>
      <c r="C7436" s="11" t="s">
        <v>28</v>
      </c>
      <c r="D7436" s="9" t="s">
        <v>22029</v>
      </c>
      <c r="E7436" s="11" t="s">
        <v>28</v>
      </c>
      <c r="F7436" s="10" t="s">
        <v>28</v>
      </c>
      <c r="G7436" s="10">
        <v>0.03</v>
      </c>
      <c r="H7436" s="10" t="s">
        <v>28</v>
      </c>
      <c r="I7436" s="11" t="s">
        <v>28</v>
      </c>
      <c r="J7436" s="11" t="s">
        <v>28</v>
      </c>
      <c r="K7436" s="11" t="s">
        <v>28</v>
      </c>
      <c r="L7436" s="11" t="s">
        <v>28</v>
      </c>
      <c r="M7436" s="11" t="s">
        <v>28</v>
      </c>
      <c r="N7436" s="8">
        <v>43435</v>
      </c>
      <c r="O7436" s="9" t="s">
        <v>52</v>
      </c>
      <c r="P7436" s="12" t="s">
        <v>221</v>
      </c>
      <c r="Q7436" s="9" t="s">
        <v>1007</v>
      </c>
      <c r="R7436" s="14" t="str">
        <f>HYPERLINK("https://my.pitchbook.com?c=215454-25T","View Company Online")</f>
        <v>View Company Online</v>
      </c>
    </row>
    <row r="7437" spans="1:18" hidden="1" x14ac:dyDescent="0.3">
      <c r="A7437" s="15" t="s">
        <v>22030</v>
      </c>
      <c r="B7437" s="15" t="s">
        <v>19492</v>
      </c>
      <c r="C7437" s="18" t="s">
        <v>28</v>
      </c>
      <c r="D7437" s="15" t="s">
        <v>19493</v>
      </c>
      <c r="E7437" s="18" t="s">
        <v>28</v>
      </c>
      <c r="F7437" s="19" t="s">
        <v>28</v>
      </c>
      <c r="G7437" s="19" t="s">
        <v>28</v>
      </c>
      <c r="H7437" s="19" t="s">
        <v>28</v>
      </c>
      <c r="I7437" s="18" t="s">
        <v>28</v>
      </c>
      <c r="J7437" s="18" t="s">
        <v>28</v>
      </c>
      <c r="K7437" s="18" t="s">
        <v>28</v>
      </c>
      <c r="L7437" s="18" t="s">
        <v>28</v>
      </c>
      <c r="M7437" s="18" t="s">
        <v>28</v>
      </c>
      <c r="N7437" s="17">
        <v>43435</v>
      </c>
      <c r="O7437" s="15" t="s">
        <v>58</v>
      </c>
      <c r="P7437" s="16" t="s">
        <v>28</v>
      </c>
      <c r="Q7437" s="15" t="s">
        <v>75</v>
      </c>
      <c r="R7437" s="13" t="str">
        <f>HYPERLINK("https://my.pitchbook.com?c=136072-81T","View Company Online")</f>
        <v>View Company Online</v>
      </c>
    </row>
    <row r="7438" spans="1:18" hidden="1" x14ac:dyDescent="0.3">
      <c r="A7438" s="9" t="s">
        <v>22031</v>
      </c>
      <c r="B7438" s="9" t="s">
        <v>18068</v>
      </c>
      <c r="C7438" s="11" t="s">
        <v>28</v>
      </c>
      <c r="D7438" s="9" t="s">
        <v>18069</v>
      </c>
      <c r="E7438" s="11" t="s">
        <v>28</v>
      </c>
      <c r="F7438" s="10" t="s">
        <v>28</v>
      </c>
      <c r="G7438" s="10">
        <v>4.5999999999999996</v>
      </c>
      <c r="H7438" s="10" t="s">
        <v>28</v>
      </c>
      <c r="I7438" s="11" t="s">
        <v>28</v>
      </c>
      <c r="J7438" s="11" t="s">
        <v>28</v>
      </c>
      <c r="K7438" s="11" t="s">
        <v>28</v>
      </c>
      <c r="L7438" s="11" t="s">
        <v>28</v>
      </c>
      <c r="M7438" s="11" t="s">
        <v>28</v>
      </c>
      <c r="N7438" s="8">
        <v>43435</v>
      </c>
      <c r="O7438" s="9" t="s">
        <v>73</v>
      </c>
      <c r="P7438" s="12" t="s">
        <v>22032</v>
      </c>
      <c r="Q7438" s="9" t="s">
        <v>37</v>
      </c>
      <c r="R7438" s="14" t="str">
        <f>HYPERLINK("https://my.pitchbook.com?c=107557-93T","View Company Online")</f>
        <v>View Company Online</v>
      </c>
    </row>
    <row r="7439" spans="1:18" hidden="1" x14ac:dyDescent="0.3">
      <c r="A7439" s="15" t="s">
        <v>22033</v>
      </c>
      <c r="B7439" s="15" t="s">
        <v>7428</v>
      </c>
      <c r="C7439" s="18" t="s">
        <v>28</v>
      </c>
      <c r="D7439" s="15" t="s">
        <v>7429</v>
      </c>
      <c r="E7439" s="18" t="s">
        <v>28</v>
      </c>
      <c r="F7439" s="19" t="s">
        <v>28</v>
      </c>
      <c r="G7439" s="19" t="s">
        <v>28</v>
      </c>
      <c r="H7439" s="19" t="s">
        <v>28</v>
      </c>
      <c r="I7439" s="18" t="s">
        <v>28</v>
      </c>
      <c r="J7439" s="18" t="s">
        <v>28</v>
      </c>
      <c r="K7439" s="18" t="s">
        <v>28</v>
      </c>
      <c r="L7439" s="18" t="s">
        <v>28</v>
      </c>
      <c r="M7439" s="18" t="s">
        <v>28</v>
      </c>
      <c r="N7439" s="17">
        <v>43435</v>
      </c>
      <c r="O7439" s="15" t="s">
        <v>99</v>
      </c>
      <c r="P7439" s="16" t="s">
        <v>28</v>
      </c>
      <c r="Q7439" s="15" t="s">
        <v>114</v>
      </c>
      <c r="R7439" s="13" t="str">
        <f>HYPERLINK("https://my.pitchbook.com?c=211247-83T","View Company Online")</f>
        <v>View Company Online</v>
      </c>
    </row>
    <row r="7440" spans="1:18" hidden="1" x14ac:dyDescent="0.3">
      <c r="A7440" s="9" t="s">
        <v>22034</v>
      </c>
      <c r="B7440" s="9" t="s">
        <v>22035</v>
      </c>
      <c r="C7440" s="11" t="s">
        <v>28</v>
      </c>
      <c r="D7440" s="9" t="s">
        <v>22036</v>
      </c>
      <c r="E7440" s="11" t="s">
        <v>28</v>
      </c>
      <c r="F7440" s="10" t="s">
        <v>28</v>
      </c>
      <c r="G7440" s="10" t="s">
        <v>28</v>
      </c>
      <c r="H7440" s="10" t="s">
        <v>28</v>
      </c>
      <c r="I7440" s="11" t="s">
        <v>28</v>
      </c>
      <c r="J7440" s="11" t="s">
        <v>28</v>
      </c>
      <c r="K7440" s="11" t="s">
        <v>28</v>
      </c>
      <c r="L7440" s="11" t="s">
        <v>28</v>
      </c>
      <c r="M7440" s="11" t="s">
        <v>28</v>
      </c>
      <c r="N7440" s="8">
        <v>43435</v>
      </c>
      <c r="O7440" s="9" t="s">
        <v>41</v>
      </c>
      <c r="P7440" s="12" t="s">
        <v>22024</v>
      </c>
      <c r="Q7440" s="9" t="s">
        <v>740</v>
      </c>
      <c r="R7440" s="14" t="str">
        <f>HYPERLINK("https://my.pitchbook.com?c=115721-29T","View Company Online")</f>
        <v>View Company Online</v>
      </c>
    </row>
    <row r="7441" spans="1:18" hidden="1" x14ac:dyDescent="0.3">
      <c r="A7441" s="15" t="s">
        <v>22037</v>
      </c>
      <c r="B7441" s="15" t="s">
        <v>11170</v>
      </c>
      <c r="C7441" s="18" t="s">
        <v>28</v>
      </c>
      <c r="D7441" s="15" t="s">
        <v>11171</v>
      </c>
      <c r="E7441" s="18" t="s">
        <v>28</v>
      </c>
      <c r="F7441" s="19" t="s">
        <v>28</v>
      </c>
      <c r="G7441" s="19">
        <v>0.72</v>
      </c>
      <c r="H7441" s="19" t="s">
        <v>28</v>
      </c>
      <c r="I7441" s="18" t="s">
        <v>28</v>
      </c>
      <c r="J7441" s="18" t="s">
        <v>28</v>
      </c>
      <c r="K7441" s="18" t="s">
        <v>28</v>
      </c>
      <c r="L7441" s="18" t="s">
        <v>28</v>
      </c>
      <c r="M7441" s="18" t="s">
        <v>28</v>
      </c>
      <c r="N7441" s="17">
        <v>43435</v>
      </c>
      <c r="O7441" s="15" t="s">
        <v>99</v>
      </c>
      <c r="P7441" s="16" t="s">
        <v>22038</v>
      </c>
      <c r="Q7441" s="15" t="s">
        <v>409</v>
      </c>
      <c r="R7441" s="13" t="str">
        <f>HYPERLINK("https://my.pitchbook.com?c=211380-49T","View Company Online")</f>
        <v>View Company Online</v>
      </c>
    </row>
    <row r="7442" spans="1:18" hidden="1" x14ac:dyDescent="0.3">
      <c r="A7442" s="9" t="s">
        <v>22039</v>
      </c>
      <c r="B7442" s="9" t="s">
        <v>20140</v>
      </c>
      <c r="C7442" s="11" t="s">
        <v>28</v>
      </c>
      <c r="D7442" s="9" t="s">
        <v>20141</v>
      </c>
      <c r="E7442" s="11" t="s">
        <v>28</v>
      </c>
      <c r="F7442" s="10" t="s">
        <v>28</v>
      </c>
      <c r="G7442" s="10">
        <v>0.04</v>
      </c>
      <c r="H7442" s="10" t="s">
        <v>28</v>
      </c>
      <c r="I7442" s="11" t="s">
        <v>28</v>
      </c>
      <c r="J7442" s="11" t="s">
        <v>28</v>
      </c>
      <c r="K7442" s="11" t="s">
        <v>28</v>
      </c>
      <c r="L7442" s="11" t="s">
        <v>28</v>
      </c>
      <c r="M7442" s="11" t="s">
        <v>28</v>
      </c>
      <c r="N7442" s="8">
        <v>43435</v>
      </c>
      <c r="O7442" s="9" t="s">
        <v>52</v>
      </c>
      <c r="P7442" s="12" t="s">
        <v>8261</v>
      </c>
      <c r="Q7442" s="9" t="s">
        <v>9184</v>
      </c>
      <c r="R7442" s="14" t="str">
        <f>HYPERLINK("https://my.pitchbook.com?c=124668-73T","View Company Online")</f>
        <v>View Company Online</v>
      </c>
    </row>
    <row r="7443" spans="1:18" hidden="1" x14ac:dyDescent="0.3">
      <c r="A7443" s="15" t="s">
        <v>22040</v>
      </c>
      <c r="B7443" s="15" t="s">
        <v>5490</v>
      </c>
      <c r="C7443" s="18" t="s">
        <v>28</v>
      </c>
      <c r="D7443" s="15" t="s">
        <v>5491</v>
      </c>
      <c r="E7443" s="18" t="s">
        <v>28</v>
      </c>
      <c r="F7443" s="19" t="s">
        <v>28</v>
      </c>
      <c r="G7443" s="19">
        <v>0.14000000000000001</v>
      </c>
      <c r="H7443" s="19" t="s">
        <v>28</v>
      </c>
      <c r="I7443" s="18" t="s">
        <v>28</v>
      </c>
      <c r="J7443" s="18" t="s">
        <v>28</v>
      </c>
      <c r="K7443" s="18" t="s">
        <v>28</v>
      </c>
      <c r="L7443" s="18" t="s">
        <v>28</v>
      </c>
      <c r="M7443" s="18" t="s">
        <v>28</v>
      </c>
      <c r="N7443" s="17">
        <v>43435</v>
      </c>
      <c r="O7443" s="15" t="s">
        <v>379</v>
      </c>
      <c r="P7443" s="16" t="s">
        <v>28</v>
      </c>
      <c r="Q7443" s="15" t="s">
        <v>54</v>
      </c>
      <c r="R7443" s="13" t="str">
        <f>HYPERLINK("https://my.pitchbook.com?c=125980-39T","View Company Online")</f>
        <v>View Company Online</v>
      </c>
    </row>
    <row r="7444" spans="1:18" hidden="1" x14ac:dyDescent="0.3">
      <c r="A7444" s="9" t="s">
        <v>22041</v>
      </c>
      <c r="B7444" s="9" t="s">
        <v>22042</v>
      </c>
      <c r="C7444" s="11" t="s">
        <v>28</v>
      </c>
      <c r="D7444" s="9" t="s">
        <v>22043</v>
      </c>
      <c r="E7444" s="11" t="s">
        <v>28</v>
      </c>
      <c r="F7444" s="10" t="s">
        <v>28</v>
      </c>
      <c r="G7444" s="10" t="s">
        <v>28</v>
      </c>
      <c r="H7444" s="10" t="s">
        <v>28</v>
      </c>
      <c r="I7444" s="11" t="s">
        <v>28</v>
      </c>
      <c r="J7444" s="11" t="s">
        <v>28</v>
      </c>
      <c r="K7444" s="11" t="s">
        <v>28</v>
      </c>
      <c r="L7444" s="11" t="s">
        <v>28</v>
      </c>
      <c r="M7444" s="11" t="s">
        <v>28</v>
      </c>
      <c r="N7444" s="8">
        <v>43435</v>
      </c>
      <c r="O7444" s="9" t="s">
        <v>30</v>
      </c>
      <c r="P7444" s="12" t="s">
        <v>11237</v>
      </c>
      <c r="Q7444" s="9" t="s">
        <v>1536</v>
      </c>
      <c r="R7444" s="14" t="str">
        <f>HYPERLINK("https://my.pitchbook.com?c=280805-23T","View Company Online")</f>
        <v>View Company Online</v>
      </c>
    </row>
    <row r="7445" spans="1:18" hidden="1" x14ac:dyDescent="0.3">
      <c r="A7445" s="15" t="s">
        <v>22044</v>
      </c>
      <c r="B7445" s="15" t="s">
        <v>22045</v>
      </c>
      <c r="C7445" s="18" t="s">
        <v>28</v>
      </c>
      <c r="D7445" s="15" t="s">
        <v>22046</v>
      </c>
      <c r="E7445" s="18" t="s">
        <v>28</v>
      </c>
      <c r="F7445" s="19" t="s">
        <v>28</v>
      </c>
      <c r="G7445" s="19">
        <v>0.04</v>
      </c>
      <c r="H7445" s="19" t="s">
        <v>28</v>
      </c>
      <c r="I7445" s="18" t="s">
        <v>28</v>
      </c>
      <c r="J7445" s="18" t="s">
        <v>28</v>
      </c>
      <c r="K7445" s="18" t="s">
        <v>28</v>
      </c>
      <c r="L7445" s="18" t="s">
        <v>28</v>
      </c>
      <c r="M7445" s="18" t="s">
        <v>28</v>
      </c>
      <c r="N7445" s="17">
        <v>43435</v>
      </c>
      <c r="O7445" s="15" t="s">
        <v>379</v>
      </c>
      <c r="P7445" s="16" t="s">
        <v>28</v>
      </c>
      <c r="Q7445" s="15" t="s">
        <v>75</v>
      </c>
      <c r="R7445" s="13" t="str">
        <f>HYPERLINK("https://my.pitchbook.com?c=215383-15T","View Company Online")</f>
        <v>View Company Online</v>
      </c>
    </row>
    <row r="7446" spans="1:18" hidden="1" x14ac:dyDescent="0.3">
      <c r="A7446" s="9" t="s">
        <v>22047</v>
      </c>
      <c r="B7446" s="9" t="s">
        <v>11177</v>
      </c>
      <c r="C7446" s="11" t="s">
        <v>28</v>
      </c>
      <c r="D7446" s="9" t="s">
        <v>11178</v>
      </c>
      <c r="E7446" s="11" t="s">
        <v>28</v>
      </c>
      <c r="F7446" s="10" t="s">
        <v>28</v>
      </c>
      <c r="G7446" s="10" t="s">
        <v>28</v>
      </c>
      <c r="H7446" s="10" t="s">
        <v>28</v>
      </c>
      <c r="I7446" s="11" t="s">
        <v>28</v>
      </c>
      <c r="J7446" s="11" t="s">
        <v>28</v>
      </c>
      <c r="K7446" s="11" t="s">
        <v>28</v>
      </c>
      <c r="L7446" s="11" t="s">
        <v>28</v>
      </c>
      <c r="M7446" s="11" t="s">
        <v>28</v>
      </c>
      <c r="N7446" s="8">
        <v>43435</v>
      </c>
      <c r="O7446" s="9" t="s">
        <v>93</v>
      </c>
      <c r="P7446" s="12" t="s">
        <v>12009</v>
      </c>
      <c r="Q7446" s="9" t="s">
        <v>85</v>
      </c>
      <c r="R7446" s="14" t="str">
        <f>HYPERLINK("https://my.pitchbook.com?c=140264-38T","View Company Online")</f>
        <v>View Company Online</v>
      </c>
    </row>
    <row r="7447" spans="1:18" hidden="1" x14ac:dyDescent="0.3">
      <c r="A7447" s="15" t="s">
        <v>22048</v>
      </c>
      <c r="B7447" s="15" t="s">
        <v>22049</v>
      </c>
      <c r="C7447" s="18" t="s">
        <v>28</v>
      </c>
      <c r="D7447" s="15" t="s">
        <v>22050</v>
      </c>
      <c r="E7447" s="18" t="s">
        <v>28</v>
      </c>
      <c r="F7447" s="19" t="s">
        <v>28</v>
      </c>
      <c r="G7447" s="19">
        <v>0.79</v>
      </c>
      <c r="H7447" s="19" t="s">
        <v>28</v>
      </c>
      <c r="I7447" s="18" t="s">
        <v>28</v>
      </c>
      <c r="J7447" s="18" t="s">
        <v>28</v>
      </c>
      <c r="K7447" s="18" t="s">
        <v>28</v>
      </c>
      <c r="L7447" s="18" t="s">
        <v>28</v>
      </c>
      <c r="M7447" s="18" t="s">
        <v>28</v>
      </c>
      <c r="N7447" s="17">
        <v>43434</v>
      </c>
      <c r="O7447" s="15" t="s">
        <v>99</v>
      </c>
      <c r="P7447" s="16" t="s">
        <v>8824</v>
      </c>
      <c r="Q7447" s="15" t="s">
        <v>404</v>
      </c>
      <c r="R7447" s="13" t="str">
        <f>HYPERLINK("https://my.pitchbook.com?c=128809-99T","View Company Online")</f>
        <v>View Company Online</v>
      </c>
    </row>
    <row r="7448" spans="1:18" hidden="1" x14ac:dyDescent="0.3">
      <c r="A7448" s="9" t="s">
        <v>22051</v>
      </c>
      <c r="B7448" s="9" t="s">
        <v>14104</v>
      </c>
      <c r="C7448" s="11" t="s">
        <v>28</v>
      </c>
      <c r="D7448" s="9" t="s">
        <v>14105</v>
      </c>
      <c r="E7448" s="11" t="s">
        <v>28</v>
      </c>
      <c r="F7448" s="10" t="s">
        <v>28</v>
      </c>
      <c r="G7448" s="10">
        <v>0.01</v>
      </c>
      <c r="H7448" s="10" t="s">
        <v>28</v>
      </c>
      <c r="I7448" s="11" t="s">
        <v>28</v>
      </c>
      <c r="J7448" s="11" t="s">
        <v>28</v>
      </c>
      <c r="K7448" s="11" t="s">
        <v>28</v>
      </c>
      <c r="L7448" s="11" t="s">
        <v>28</v>
      </c>
      <c r="M7448" s="11" t="s">
        <v>28</v>
      </c>
      <c r="N7448" s="8">
        <v>43434</v>
      </c>
      <c r="O7448" s="9" t="s">
        <v>52</v>
      </c>
      <c r="P7448" s="12" t="s">
        <v>21101</v>
      </c>
      <c r="Q7448" s="9" t="s">
        <v>419</v>
      </c>
      <c r="R7448" s="14" t="str">
        <f>HYPERLINK("https://my.pitchbook.com?c=125556-67T","View Company Online")</f>
        <v>View Company Online</v>
      </c>
    </row>
    <row r="7449" spans="1:18" hidden="1" x14ac:dyDescent="0.3">
      <c r="A7449" s="15" t="s">
        <v>22052</v>
      </c>
      <c r="B7449" s="15" t="s">
        <v>22045</v>
      </c>
      <c r="C7449" s="18" t="s">
        <v>28</v>
      </c>
      <c r="D7449" s="15" t="s">
        <v>22046</v>
      </c>
      <c r="E7449" s="18" t="s">
        <v>28</v>
      </c>
      <c r="F7449" s="19" t="s">
        <v>28</v>
      </c>
      <c r="G7449" s="19">
        <v>0.08</v>
      </c>
      <c r="H7449" s="19" t="s">
        <v>28</v>
      </c>
      <c r="I7449" s="18" t="s">
        <v>28</v>
      </c>
      <c r="J7449" s="18" t="s">
        <v>28</v>
      </c>
      <c r="K7449" s="18" t="s">
        <v>28</v>
      </c>
      <c r="L7449" s="18" t="s">
        <v>28</v>
      </c>
      <c r="M7449" s="18" t="s">
        <v>28</v>
      </c>
      <c r="N7449" s="17">
        <v>43434</v>
      </c>
      <c r="O7449" s="15" t="s">
        <v>52</v>
      </c>
      <c r="P7449" s="16" t="s">
        <v>221</v>
      </c>
      <c r="Q7449" s="15" t="s">
        <v>75</v>
      </c>
      <c r="R7449" s="13" t="str">
        <f>HYPERLINK("https://my.pitchbook.com?c=215382-70T","View Company Online")</f>
        <v>View Company Online</v>
      </c>
    </row>
    <row r="7450" spans="1:18" hidden="1" x14ac:dyDescent="0.3">
      <c r="A7450" s="9" t="s">
        <v>22053</v>
      </c>
      <c r="B7450" s="9" t="s">
        <v>9691</v>
      </c>
      <c r="C7450" s="11" t="s">
        <v>28</v>
      </c>
      <c r="D7450" s="9" t="s">
        <v>9692</v>
      </c>
      <c r="E7450" s="11" t="s">
        <v>28</v>
      </c>
      <c r="F7450" s="10" t="s">
        <v>28</v>
      </c>
      <c r="G7450" s="10">
        <v>6.6</v>
      </c>
      <c r="H7450" s="10" t="s">
        <v>28</v>
      </c>
      <c r="I7450" s="11" t="s">
        <v>28</v>
      </c>
      <c r="J7450" s="11" t="s">
        <v>28</v>
      </c>
      <c r="K7450" s="11">
        <v>5.47</v>
      </c>
      <c r="L7450" s="11" t="s">
        <v>28</v>
      </c>
      <c r="M7450" s="11" t="s">
        <v>28</v>
      </c>
      <c r="N7450" s="8">
        <v>43432</v>
      </c>
      <c r="O7450" s="9" t="s">
        <v>73</v>
      </c>
      <c r="P7450" s="12" t="s">
        <v>22054</v>
      </c>
      <c r="Q7450" s="9" t="s">
        <v>119</v>
      </c>
      <c r="R7450" s="14" t="str">
        <f>HYPERLINK("https://my.pitchbook.com?c=117381-25T","View Company Online")</f>
        <v>View Company Online</v>
      </c>
    </row>
    <row r="7451" spans="1:18" hidden="1" x14ac:dyDescent="0.3">
      <c r="A7451" s="15" t="s">
        <v>22055</v>
      </c>
      <c r="B7451" s="15" t="s">
        <v>8637</v>
      </c>
      <c r="C7451" s="18" t="s">
        <v>28</v>
      </c>
      <c r="D7451" s="15" t="s">
        <v>8638</v>
      </c>
      <c r="E7451" s="18" t="s">
        <v>28</v>
      </c>
      <c r="F7451" s="19" t="s">
        <v>28</v>
      </c>
      <c r="G7451" s="19">
        <v>66.3</v>
      </c>
      <c r="H7451" s="19" t="s">
        <v>28</v>
      </c>
      <c r="I7451" s="18" t="s">
        <v>28</v>
      </c>
      <c r="J7451" s="18" t="s">
        <v>28</v>
      </c>
      <c r="K7451" s="18" t="s">
        <v>28</v>
      </c>
      <c r="L7451" s="18" t="s">
        <v>28</v>
      </c>
      <c r="M7451" s="18" t="s">
        <v>28</v>
      </c>
      <c r="N7451" s="17">
        <v>43431</v>
      </c>
      <c r="O7451" s="15" t="s">
        <v>79</v>
      </c>
      <c r="P7451" s="16" t="s">
        <v>22056</v>
      </c>
      <c r="Q7451" s="15" t="s">
        <v>119</v>
      </c>
      <c r="R7451" s="13" t="str">
        <f>HYPERLINK("https://my.pitchbook.com?c=114119-47T","View Company Online")</f>
        <v>View Company Online</v>
      </c>
    </row>
    <row r="7452" spans="1:18" hidden="1" x14ac:dyDescent="0.3">
      <c r="A7452" s="9" t="s">
        <v>22057</v>
      </c>
      <c r="B7452" s="9" t="s">
        <v>11377</v>
      </c>
      <c r="C7452" s="11" t="s">
        <v>28</v>
      </c>
      <c r="D7452" s="9" t="s">
        <v>11378</v>
      </c>
      <c r="E7452" s="11" t="s">
        <v>28</v>
      </c>
      <c r="F7452" s="10" t="s">
        <v>28</v>
      </c>
      <c r="G7452" s="10" t="s">
        <v>28</v>
      </c>
      <c r="H7452" s="10" t="s">
        <v>28</v>
      </c>
      <c r="I7452" s="11" t="s">
        <v>28</v>
      </c>
      <c r="J7452" s="11" t="s">
        <v>28</v>
      </c>
      <c r="K7452" s="11" t="s">
        <v>28</v>
      </c>
      <c r="L7452" s="11" t="s">
        <v>28</v>
      </c>
      <c r="M7452" s="11" t="s">
        <v>28</v>
      </c>
      <c r="N7452" s="8">
        <v>43428</v>
      </c>
      <c r="O7452" s="9" t="s">
        <v>58</v>
      </c>
      <c r="P7452" s="12" t="s">
        <v>22058</v>
      </c>
      <c r="Q7452" s="9" t="s">
        <v>37</v>
      </c>
      <c r="R7452" s="14" t="str">
        <f>HYPERLINK("https://my.pitchbook.com?c=256569-94T","View Company Online")</f>
        <v>View Company Online</v>
      </c>
    </row>
    <row r="7453" spans="1:18" hidden="1" x14ac:dyDescent="0.3">
      <c r="A7453" s="15" t="s">
        <v>22059</v>
      </c>
      <c r="B7453" s="15" t="s">
        <v>22060</v>
      </c>
      <c r="C7453" s="18" t="s">
        <v>28</v>
      </c>
      <c r="D7453" s="15" t="s">
        <v>28</v>
      </c>
      <c r="E7453" s="18" t="s">
        <v>28</v>
      </c>
      <c r="F7453" s="19" t="s">
        <v>28</v>
      </c>
      <c r="G7453" s="19" t="s">
        <v>28</v>
      </c>
      <c r="H7453" s="19" t="s">
        <v>28</v>
      </c>
      <c r="I7453" s="18" t="s">
        <v>28</v>
      </c>
      <c r="J7453" s="18" t="s">
        <v>28</v>
      </c>
      <c r="K7453" s="18" t="s">
        <v>28</v>
      </c>
      <c r="L7453" s="18" t="s">
        <v>28</v>
      </c>
      <c r="M7453" s="18" t="s">
        <v>28</v>
      </c>
      <c r="N7453" s="17">
        <v>43426</v>
      </c>
      <c r="O7453" s="15" t="s">
        <v>58</v>
      </c>
      <c r="P7453" s="16" t="s">
        <v>21908</v>
      </c>
      <c r="Q7453" s="15" t="s">
        <v>119</v>
      </c>
      <c r="R7453" s="13" t="str">
        <f>HYPERLINK("https://my.pitchbook.com?c=241953-76T","View Company Online")</f>
        <v>View Company Online</v>
      </c>
    </row>
    <row r="7454" spans="1:18" hidden="1" x14ac:dyDescent="0.3">
      <c r="A7454" s="9" t="s">
        <v>22061</v>
      </c>
      <c r="B7454" s="9" t="s">
        <v>14764</v>
      </c>
      <c r="C7454" s="11" t="s">
        <v>28</v>
      </c>
      <c r="D7454" s="9" t="s">
        <v>14765</v>
      </c>
      <c r="E7454" s="11" t="s">
        <v>28</v>
      </c>
      <c r="F7454" s="10" t="s">
        <v>28</v>
      </c>
      <c r="G7454" s="10" t="s">
        <v>28</v>
      </c>
      <c r="H7454" s="10" t="s">
        <v>28</v>
      </c>
      <c r="I7454" s="11" t="s">
        <v>28</v>
      </c>
      <c r="J7454" s="11" t="s">
        <v>28</v>
      </c>
      <c r="K7454" s="11" t="s">
        <v>28</v>
      </c>
      <c r="L7454" s="11" t="s">
        <v>28</v>
      </c>
      <c r="M7454" s="11" t="s">
        <v>28</v>
      </c>
      <c r="N7454" s="8">
        <v>43426</v>
      </c>
      <c r="O7454" s="9" t="s">
        <v>41</v>
      </c>
      <c r="P7454" s="12" t="s">
        <v>22062</v>
      </c>
      <c r="Q7454" s="9" t="s">
        <v>290</v>
      </c>
      <c r="R7454" s="14" t="str">
        <f>HYPERLINK("https://my.pitchbook.com?c=175988-89T","View Company Online")</f>
        <v>View Company Online</v>
      </c>
    </row>
    <row r="7455" spans="1:18" hidden="1" x14ac:dyDescent="0.3">
      <c r="A7455" s="15" t="s">
        <v>22063</v>
      </c>
      <c r="B7455" s="15" t="s">
        <v>22064</v>
      </c>
      <c r="C7455" s="18" t="s">
        <v>28</v>
      </c>
      <c r="D7455" s="15" t="s">
        <v>22065</v>
      </c>
      <c r="E7455" s="18" t="s">
        <v>28</v>
      </c>
      <c r="F7455" s="19" t="s">
        <v>28</v>
      </c>
      <c r="G7455" s="19" t="s">
        <v>28</v>
      </c>
      <c r="H7455" s="19" t="s">
        <v>28</v>
      </c>
      <c r="I7455" s="18" t="s">
        <v>28</v>
      </c>
      <c r="J7455" s="18" t="s">
        <v>28</v>
      </c>
      <c r="K7455" s="18" t="s">
        <v>28</v>
      </c>
      <c r="L7455" s="18" t="s">
        <v>28</v>
      </c>
      <c r="M7455" s="18" t="s">
        <v>28</v>
      </c>
      <c r="N7455" s="17">
        <v>43426</v>
      </c>
      <c r="O7455" s="15" t="s">
        <v>30</v>
      </c>
      <c r="P7455" s="16" t="s">
        <v>22066</v>
      </c>
      <c r="Q7455" s="15" t="s">
        <v>1144</v>
      </c>
      <c r="R7455" s="13" t="str">
        <f>HYPERLINK("https://my.pitchbook.com?c=114003-10T","View Company Online")</f>
        <v>View Company Online</v>
      </c>
    </row>
    <row r="7456" spans="1:18" hidden="1" x14ac:dyDescent="0.3">
      <c r="A7456" s="9" t="s">
        <v>22067</v>
      </c>
      <c r="B7456" s="9" t="s">
        <v>15154</v>
      </c>
      <c r="C7456" s="11" t="s">
        <v>28</v>
      </c>
      <c r="D7456" s="9" t="s">
        <v>15155</v>
      </c>
      <c r="E7456" s="11" t="s">
        <v>28</v>
      </c>
      <c r="F7456" s="10" t="s">
        <v>28</v>
      </c>
      <c r="G7456" s="10">
        <v>7.27</v>
      </c>
      <c r="H7456" s="10" t="s">
        <v>28</v>
      </c>
      <c r="I7456" s="11" t="s">
        <v>28</v>
      </c>
      <c r="J7456" s="11" t="s">
        <v>28</v>
      </c>
      <c r="K7456" s="11" t="s">
        <v>28</v>
      </c>
      <c r="L7456" s="11" t="s">
        <v>28</v>
      </c>
      <c r="M7456" s="11" t="s">
        <v>28</v>
      </c>
      <c r="N7456" s="8">
        <v>43425</v>
      </c>
      <c r="O7456" s="9" t="s">
        <v>73</v>
      </c>
      <c r="P7456" s="12" t="s">
        <v>22068</v>
      </c>
      <c r="Q7456" s="9" t="s">
        <v>85</v>
      </c>
      <c r="R7456" s="14" t="str">
        <f>HYPERLINK("https://my.pitchbook.com?c=99910-90T","View Company Online")</f>
        <v>View Company Online</v>
      </c>
    </row>
    <row r="7457" spans="1:18" hidden="1" x14ac:dyDescent="0.3">
      <c r="A7457" s="15" t="s">
        <v>22069</v>
      </c>
      <c r="B7457" s="15" t="s">
        <v>22070</v>
      </c>
      <c r="C7457" s="18" t="s">
        <v>28</v>
      </c>
      <c r="D7457" s="15" t="s">
        <v>22071</v>
      </c>
      <c r="E7457" s="18">
        <v>-0.4</v>
      </c>
      <c r="F7457" s="19" t="s">
        <v>28</v>
      </c>
      <c r="G7457" s="19" t="s">
        <v>28</v>
      </c>
      <c r="H7457" s="19" t="s">
        <v>28</v>
      </c>
      <c r="I7457" s="18">
        <v>-0.38</v>
      </c>
      <c r="J7457" s="18" t="s">
        <v>28</v>
      </c>
      <c r="K7457" s="18">
        <v>0.01</v>
      </c>
      <c r="L7457" s="18" t="s">
        <v>28</v>
      </c>
      <c r="M7457" s="18">
        <v>-0.4</v>
      </c>
      <c r="N7457" s="17">
        <v>43424</v>
      </c>
      <c r="O7457" s="15" t="s">
        <v>173</v>
      </c>
      <c r="P7457" s="16" t="s">
        <v>28</v>
      </c>
      <c r="Q7457" s="15" t="s">
        <v>975</v>
      </c>
      <c r="R7457" s="13" t="str">
        <f>HYPERLINK("https://my.pitchbook.com?c=79282-36T","View Company Online")</f>
        <v>View Company Online</v>
      </c>
    </row>
    <row r="7458" spans="1:18" hidden="1" x14ac:dyDescent="0.3">
      <c r="A7458" s="9" t="s">
        <v>22072</v>
      </c>
      <c r="B7458" s="9" t="s">
        <v>15694</v>
      </c>
      <c r="C7458" s="11" t="s">
        <v>28</v>
      </c>
      <c r="D7458" s="9" t="s">
        <v>15695</v>
      </c>
      <c r="E7458" s="11" t="s">
        <v>28</v>
      </c>
      <c r="F7458" s="10" t="s">
        <v>28</v>
      </c>
      <c r="G7458" s="10">
        <v>0.54</v>
      </c>
      <c r="H7458" s="10">
        <v>5.37</v>
      </c>
      <c r="I7458" s="11" t="s">
        <v>28</v>
      </c>
      <c r="J7458" s="11" t="s">
        <v>28</v>
      </c>
      <c r="K7458" s="11" t="s">
        <v>28</v>
      </c>
      <c r="L7458" s="11" t="s">
        <v>28</v>
      </c>
      <c r="M7458" s="11" t="s">
        <v>28</v>
      </c>
      <c r="N7458" s="8">
        <v>43423</v>
      </c>
      <c r="O7458" s="9" t="s">
        <v>1639</v>
      </c>
      <c r="P7458" s="12" t="s">
        <v>28</v>
      </c>
      <c r="Q7458" s="9" t="s">
        <v>114</v>
      </c>
      <c r="R7458" s="14" t="str">
        <f>HYPERLINK("https://my.pitchbook.com?c=122942-08T","View Company Online")</f>
        <v>View Company Online</v>
      </c>
    </row>
    <row r="7459" spans="1:18" hidden="1" x14ac:dyDescent="0.3">
      <c r="A7459" s="15" t="s">
        <v>22073</v>
      </c>
      <c r="B7459" s="15" t="s">
        <v>19917</v>
      </c>
      <c r="C7459" s="18" t="s">
        <v>28</v>
      </c>
      <c r="D7459" s="15" t="s">
        <v>19918</v>
      </c>
      <c r="E7459" s="18" t="s">
        <v>28</v>
      </c>
      <c r="F7459" s="19">
        <v>751.34</v>
      </c>
      <c r="G7459" s="19">
        <v>751.34</v>
      </c>
      <c r="H7459" s="19">
        <v>751.34</v>
      </c>
      <c r="I7459" s="18" t="s">
        <v>28</v>
      </c>
      <c r="J7459" s="18" t="s">
        <v>28</v>
      </c>
      <c r="K7459" s="18">
        <v>1532.23</v>
      </c>
      <c r="L7459" s="18">
        <v>0.49</v>
      </c>
      <c r="M7459" s="18" t="s">
        <v>28</v>
      </c>
      <c r="N7459" s="17">
        <v>43422</v>
      </c>
      <c r="O7459" s="15" t="s">
        <v>30</v>
      </c>
      <c r="P7459" s="16" t="s">
        <v>28</v>
      </c>
      <c r="Q7459" s="15" t="s">
        <v>4901</v>
      </c>
      <c r="R7459" s="13" t="str">
        <f>HYPERLINK("https://my.pitchbook.com?c=113928-85T","View Company Online")</f>
        <v>View Company Online</v>
      </c>
    </row>
    <row r="7460" spans="1:18" hidden="1" x14ac:dyDescent="0.3">
      <c r="A7460" s="9" t="s">
        <v>22074</v>
      </c>
      <c r="B7460" s="9" t="s">
        <v>22075</v>
      </c>
      <c r="C7460" s="11" t="s">
        <v>28</v>
      </c>
      <c r="D7460" s="9" t="s">
        <v>22076</v>
      </c>
      <c r="E7460" s="11" t="s">
        <v>28</v>
      </c>
      <c r="F7460" s="10" t="s">
        <v>28</v>
      </c>
      <c r="G7460" s="10" t="s">
        <v>28</v>
      </c>
      <c r="H7460" s="10" t="s">
        <v>28</v>
      </c>
      <c r="I7460" s="11" t="s">
        <v>28</v>
      </c>
      <c r="J7460" s="11" t="s">
        <v>28</v>
      </c>
      <c r="K7460" s="11" t="s">
        <v>28</v>
      </c>
      <c r="L7460" s="11" t="s">
        <v>28</v>
      </c>
      <c r="M7460" s="11" t="s">
        <v>28</v>
      </c>
      <c r="N7460" s="8">
        <v>43420</v>
      </c>
      <c r="O7460" s="9" t="s">
        <v>173</v>
      </c>
      <c r="P7460" s="12" t="s">
        <v>28</v>
      </c>
      <c r="Q7460" s="9" t="s">
        <v>174</v>
      </c>
      <c r="R7460" s="14" t="str">
        <f>HYPERLINK("https://my.pitchbook.com?c=227536-39T","View Company Online")</f>
        <v>View Company Online</v>
      </c>
    </row>
    <row r="7461" spans="1:18" hidden="1" x14ac:dyDescent="0.3">
      <c r="A7461" s="15" t="s">
        <v>22077</v>
      </c>
      <c r="B7461" s="15" t="s">
        <v>11369</v>
      </c>
      <c r="C7461" s="18" t="s">
        <v>28</v>
      </c>
      <c r="D7461" s="15" t="s">
        <v>11370</v>
      </c>
      <c r="E7461" s="18" t="s">
        <v>28</v>
      </c>
      <c r="F7461" s="19" t="s">
        <v>28</v>
      </c>
      <c r="G7461" s="19" t="s">
        <v>28</v>
      </c>
      <c r="H7461" s="19" t="s">
        <v>28</v>
      </c>
      <c r="I7461" s="18" t="s">
        <v>28</v>
      </c>
      <c r="J7461" s="18" t="s">
        <v>28</v>
      </c>
      <c r="K7461" s="18" t="s">
        <v>28</v>
      </c>
      <c r="L7461" s="18" t="s">
        <v>28</v>
      </c>
      <c r="M7461" s="18" t="s">
        <v>28</v>
      </c>
      <c r="N7461" s="17">
        <v>43418</v>
      </c>
      <c r="O7461" s="15" t="s">
        <v>52</v>
      </c>
      <c r="P7461" s="16" t="s">
        <v>22078</v>
      </c>
      <c r="Q7461" s="15" t="s">
        <v>75</v>
      </c>
      <c r="R7461" s="13" t="str">
        <f>HYPERLINK("https://my.pitchbook.com?c=164810-71T","View Company Online")</f>
        <v>View Company Online</v>
      </c>
    </row>
    <row r="7462" spans="1:18" hidden="1" x14ac:dyDescent="0.3">
      <c r="A7462" s="9" t="s">
        <v>22079</v>
      </c>
      <c r="B7462" s="9" t="s">
        <v>14200</v>
      </c>
      <c r="C7462" s="11" t="s">
        <v>28</v>
      </c>
      <c r="D7462" s="9" t="s">
        <v>14201</v>
      </c>
      <c r="E7462" s="11">
        <v>0.94</v>
      </c>
      <c r="F7462" s="10" t="s">
        <v>28</v>
      </c>
      <c r="G7462" s="10" t="s">
        <v>28</v>
      </c>
      <c r="H7462" s="10" t="s">
        <v>28</v>
      </c>
      <c r="I7462" s="11">
        <v>1.04</v>
      </c>
      <c r="J7462" s="11" t="s">
        <v>28</v>
      </c>
      <c r="K7462" s="11">
        <v>6.97</v>
      </c>
      <c r="L7462" s="11" t="s">
        <v>28</v>
      </c>
      <c r="M7462" s="11">
        <v>0.2</v>
      </c>
      <c r="N7462" s="8">
        <v>43417</v>
      </c>
      <c r="O7462" s="9" t="s">
        <v>173</v>
      </c>
      <c r="P7462" s="12" t="s">
        <v>28</v>
      </c>
      <c r="Q7462" s="9" t="s">
        <v>240</v>
      </c>
      <c r="R7462" s="14" t="str">
        <f>HYPERLINK("https://my.pitchbook.com?c=256115-44T","View Company Online")</f>
        <v>View Company Online</v>
      </c>
    </row>
    <row r="7463" spans="1:18" hidden="1" x14ac:dyDescent="0.3">
      <c r="A7463" s="15" t="s">
        <v>22080</v>
      </c>
      <c r="B7463" s="15" t="s">
        <v>22081</v>
      </c>
      <c r="C7463" s="18" t="s">
        <v>28</v>
      </c>
      <c r="D7463" s="15" t="s">
        <v>22082</v>
      </c>
      <c r="E7463" s="18" t="s">
        <v>28</v>
      </c>
      <c r="F7463" s="19" t="s">
        <v>28</v>
      </c>
      <c r="G7463" s="19" t="s">
        <v>28</v>
      </c>
      <c r="H7463" s="19" t="s">
        <v>28</v>
      </c>
      <c r="I7463" s="18" t="s">
        <v>28</v>
      </c>
      <c r="J7463" s="18" t="s">
        <v>28</v>
      </c>
      <c r="K7463" s="18" t="s">
        <v>28</v>
      </c>
      <c r="L7463" s="18" t="s">
        <v>28</v>
      </c>
      <c r="M7463" s="18" t="s">
        <v>28</v>
      </c>
      <c r="N7463" s="17">
        <v>43417</v>
      </c>
      <c r="O7463" s="15" t="s">
        <v>30</v>
      </c>
      <c r="P7463" s="16" t="s">
        <v>3076</v>
      </c>
      <c r="Q7463" s="15" t="s">
        <v>169</v>
      </c>
      <c r="R7463" s="13" t="str">
        <f>HYPERLINK("https://my.pitchbook.com?c=113798-89T","View Company Online")</f>
        <v>View Company Online</v>
      </c>
    </row>
    <row r="7464" spans="1:18" hidden="1" x14ac:dyDescent="0.3">
      <c r="A7464" s="9" t="s">
        <v>22083</v>
      </c>
      <c r="B7464" s="9" t="s">
        <v>22084</v>
      </c>
      <c r="C7464" s="11" t="s">
        <v>28</v>
      </c>
      <c r="D7464" s="9" t="s">
        <v>22085</v>
      </c>
      <c r="E7464" s="11" t="s">
        <v>28</v>
      </c>
      <c r="F7464" s="10" t="s">
        <v>28</v>
      </c>
      <c r="G7464" s="10">
        <v>2.42</v>
      </c>
      <c r="H7464" s="10" t="s">
        <v>28</v>
      </c>
      <c r="I7464" s="11" t="s">
        <v>28</v>
      </c>
      <c r="J7464" s="11" t="s">
        <v>28</v>
      </c>
      <c r="K7464" s="11" t="s">
        <v>28</v>
      </c>
      <c r="L7464" s="11" t="s">
        <v>28</v>
      </c>
      <c r="M7464" s="11" t="s">
        <v>28</v>
      </c>
      <c r="N7464" s="8">
        <v>43417</v>
      </c>
      <c r="O7464" s="9" t="s">
        <v>79</v>
      </c>
      <c r="P7464" s="12" t="s">
        <v>22086</v>
      </c>
      <c r="Q7464" s="9" t="s">
        <v>566</v>
      </c>
      <c r="R7464" s="14" t="str">
        <f>HYPERLINK("https://my.pitchbook.com?c=113887-36T","View Company Online")</f>
        <v>View Company Online</v>
      </c>
    </row>
    <row r="7465" spans="1:18" hidden="1" x14ac:dyDescent="0.3">
      <c r="A7465" s="15" t="s">
        <v>22087</v>
      </c>
      <c r="B7465" s="15" t="s">
        <v>19346</v>
      </c>
      <c r="C7465" s="18" t="s">
        <v>28</v>
      </c>
      <c r="D7465" s="15" t="s">
        <v>19347</v>
      </c>
      <c r="E7465" s="18" t="s">
        <v>28</v>
      </c>
      <c r="F7465" s="19" t="s">
        <v>28</v>
      </c>
      <c r="G7465" s="19">
        <v>0.13</v>
      </c>
      <c r="H7465" s="19">
        <v>0.67</v>
      </c>
      <c r="I7465" s="18" t="s">
        <v>28</v>
      </c>
      <c r="J7465" s="18" t="s">
        <v>28</v>
      </c>
      <c r="K7465" s="18">
        <v>0.27</v>
      </c>
      <c r="L7465" s="18">
        <v>2.46</v>
      </c>
      <c r="M7465" s="18" t="s">
        <v>28</v>
      </c>
      <c r="N7465" s="17">
        <v>43417</v>
      </c>
      <c r="O7465" s="15" t="s">
        <v>1639</v>
      </c>
      <c r="P7465" s="16" t="s">
        <v>28</v>
      </c>
      <c r="Q7465" s="15" t="s">
        <v>371</v>
      </c>
      <c r="R7465" s="13" t="str">
        <f>HYPERLINK("https://my.pitchbook.com?c=122948-29T","View Company Online")</f>
        <v>View Company Online</v>
      </c>
    </row>
    <row r="7466" spans="1:18" hidden="1" x14ac:dyDescent="0.3">
      <c r="A7466" s="9" t="s">
        <v>22088</v>
      </c>
      <c r="B7466" s="9" t="s">
        <v>22089</v>
      </c>
      <c r="C7466" s="11" t="s">
        <v>28</v>
      </c>
      <c r="D7466" s="9" t="s">
        <v>22090</v>
      </c>
      <c r="E7466" s="11" t="s">
        <v>28</v>
      </c>
      <c r="F7466" s="10" t="s">
        <v>28</v>
      </c>
      <c r="G7466" s="10" t="s">
        <v>28</v>
      </c>
      <c r="H7466" s="10" t="s">
        <v>28</v>
      </c>
      <c r="I7466" s="11" t="s">
        <v>28</v>
      </c>
      <c r="J7466" s="11" t="s">
        <v>28</v>
      </c>
      <c r="K7466" s="11" t="s">
        <v>28</v>
      </c>
      <c r="L7466" s="11" t="s">
        <v>28</v>
      </c>
      <c r="M7466" s="11" t="s">
        <v>28</v>
      </c>
      <c r="N7466" s="8">
        <v>43413</v>
      </c>
      <c r="O7466" s="9" t="s">
        <v>30</v>
      </c>
      <c r="P7466" s="12" t="s">
        <v>22091</v>
      </c>
      <c r="Q7466" s="9" t="s">
        <v>855</v>
      </c>
      <c r="R7466" s="14" t="str">
        <f>HYPERLINK("https://my.pitchbook.com?c=202887-10T","View Company Online")</f>
        <v>View Company Online</v>
      </c>
    </row>
    <row r="7467" spans="1:18" hidden="1" x14ac:dyDescent="0.3">
      <c r="A7467" s="15" t="s">
        <v>22092</v>
      </c>
      <c r="B7467" s="15" t="s">
        <v>22093</v>
      </c>
      <c r="C7467" s="18" t="s">
        <v>28</v>
      </c>
      <c r="D7467" s="15" t="s">
        <v>22094</v>
      </c>
      <c r="E7467" s="18" t="s">
        <v>28</v>
      </c>
      <c r="F7467" s="19" t="s">
        <v>28</v>
      </c>
      <c r="G7467" s="19" t="s">
        <v>28</v>
      </c>
      <c r="H7467" s="19" t="s">
        <v>28</v>
      </c>
      <c r="I7467" s="18" t="s">
        <v>28</v>
      </c>
      <c r="J7467" s="18" t="s">
        <v>28</v>
      </c>
      <c r="K7467" s="18" t="s">
        <v>28</v>
      </c>
      <c r="L7467" s="18" t="s">
        <v>28</v>
      </c>
      <c r="M7467" s="18" t="s">
        <v>28</v>
      </c>
      <c r="N7467" s="17">
        <v>43413</v>
      </c>
      <c r="O7467" s="15" t="s">
        <v>30</v>
      </c>
      <c r="P7467" s="16" t="s">
        <v>17669</v>
      </c>
      <c r="Q7467" s="15" t="s">
        <v>75</v>
      </c>
      <c r="R7467" s="13" t="str">
        <f>HYPERLINK("https://my.pitchbook.com?c=157971-79T","View Company Online")</f>
        <v>View Company Online</v>
      </c>
    </row>
    <row r="7468" spans="1:18" hidden="1" x14ac:dyDescent="0.3">
      <c r="A7468" s="9" t="s">
        <v>22095</v>
      </c>
      <c r="B7468" s="9" t="s">
        <v>22096</v>
      </c>
      <c r="C7468" s="11" t="s">
        <v>28</v>
      </c>
      <c r="D7468" s="9" t="s">
        <v>22097</v>
      </c>
      <c r="E7468" s="11" t="s">
        <v>28</v>
      </c>
      <c r="F7468" s="10">
        <v>18.8</v>
      </c>
      <c r="G7468" s="10">
        <v>18.8</v>
      </c>
      <c r="H7468" s="10">
        <v>18.8</v>
      </c>
      <c r="I7468" s="11" t="s">
        <v>28</v>
      </c>
      <c r="J7468" s="11" t="s">
        <v>28</v>
      </c>
      <c r="K7468" s="11" t="s">
        <v>28</v>
      </c>
      <c r="L7468" s="11" t="s">
        <v>28</v>
      </c>
      <c r="M7468" s="11" t="s">
        <v>28</v>
      </c>
      <c r="N7468" s="8">
        <v>43413</v>
      </c>
      <c r="O7468" s="9" t="s">
        <v>30</v>
      </c>
      <c r="P7468" s="12" t="s">
        <v>22098</v>
      </c>
      <c r="Q7468" s="9" t="s">
        <v>105</v>
      </c>
      <c r="R7468" s="14" t="str">
        <f>HYPERLINK("https://my.pitchbook.com?c=262883-44T","View Company Online")</f>
        <v>View Company Online</v>
      </c>
    </row>
    <row r="7469" spans="1:18" hidden="1" x14ac:dyDescent="0.3">
      <c r="A7469" s="15" t="s">
        <v>22099</v>
      </c>
      <c r="B7469" s="15" t="s">
        <v>8574</v>
      </c>
      <c r="C7469" s="18" t="s">
        <v>28</v>
      </c>
      <c r="D7469" s="15" t="s">
        <v>22100</v>
      </c>
      <c r="E7469" s="18" t="s">
        <v>28</v>
      </c>
      <c r="F7469" s="19" t="s">
        <v>28</v>
      </c>
      <c r="G7469" s="19">
        <v>80.59</v>
      </c>
      <c r="H7469" s="19" t="s">
        <v>28</v>
      </c>
      <c r="I7469" s="18" t="s">
        <v>28</v>
      </c>
      <c r="J7469" s="18" t="s">
        <v>28</v>
      </c>
      <c r="K7469" s="18" t="s">
        <v>28</v>
      </c>
      <c r="L7469" s="18" t="s">
        <v>28</v>
      </c>
      <c r="M7469" s="18" t="s">
        <v>28</v>
      </c>
      <c r="N7469" s="17">
        <v>43412</v>
      </c>
      <c r="O7469" s="15" t="s">
        <v>93</v>
      </c>
      <c r="P7469" s="16" t="s">
        <v>22101</v>
      </c>
      <c r="Q7469" s="15" t="s">
        <v>1361</v>
      </c>
      <c r="R7469" s="13" t="str">
        <f>HYPERLINK("https://my.pitchbook.com?c=113796-19T","View Company Online")</f>
        <v>View Company Online</v>
      </c>
    </row>
    <row r="7470" spans="1:18" hidden="1" x14ac:dyDescent="0.3">
      <c r="A7470" s="9" t="s">
        <v>22102</v>
      </c>
      <c r="B7470" s="9" t="s">
        <v>11806</v>
      </c>
      <c r="C7470" s="11" t="s">
        <v>28</v>
      </c>
      <c r="D7470" s="9" t="s">
        <v>11807</v>
      </c>
      <c r="E7470" s="11" t="s">
        <v>28</v>
      </c>
      <c r="F7470" s="10" t="s">
        <v>28</v>
      </c>
      <c r="G7470" s="10">
        <v>0.03</v>
      </c>
      <c r="H7470" s="10" t="s">
        <v>28</v>
      </c>
      <c r="I7470" s="11" t="s">
        <v>28</v>
      </c>
      <c r="J7470" s="11" t="s">
        <v>28</v>
      </c>
      <c r="K7470" s="11" t="s">
        <v>28</v>
      </c>
      <c r="L7470" s="11" t="s">
        <v>28</v>
      </c>
      <c r="M7470" s="11" t="s">
        <v>28</v>
      </c>
      <c r="N7470" s="8">
        <v>43412</v>
      </c>
      <c r="O7470" s="9" t="s">
        <v>47</v>
      </c>
      <c r="P7470" s="12" t="s">
        <v>22103</v>
      </c>
      <c r="Q7470" s="9" t="s">
        <v>75</v>
      </c>
      <c r="R7470" s="14" t="str">
        <f>HYPERLINK("https://my.pitchbook.com?c=155365-93T","View Company Online")</f>
        <v>View Company Online</v>
      </c>
    </row>
    <row r="7471" spans="1:18" hidden="1" x14ac:dyDescent="0.3">
      <c r="A7471" s="15" t="s">
        <v>22104</v>
      </c>
      <c r="B7471" s="15" t="s">
        <v>22105</v>
      </c>
      <c r="C7471" s="18" t="s">
        <v>28</v>
      </c>
      <c r="D7471" s="15" t="s">
        <v>22106</v>
      </c>
      <c r="E7471" s="18" t="s">
        <v>28</v>
      </c>
      <c r="F7471" s="19" t="s">
        <v>28</v>
      </c>
      <c r="G7471" s="19" t="s">
        <v>28</v>
      </c>
      <c r="H7471" s="19" t="s">
        <v>28</v>
      </c>
      <c r="I7471" s="18" t="s">
        <v>28</v>
      </c>
      <c r="J7471" s="18" t="s">
        <v>28</v>
      </c>
      <c r="K7471" s="18" t="s">
        <v>28</v>
      </c>
      <c r="L7471" s="18" t="s">
        <v>28</v>
      </c>
      <c r="M7471" s="18" t="s">
        <v>28</v>
      </c>
      <c r="N7471" s="17">
        <v>43412</v>
      </c>
      <c r="O7471" s="15" t="s">
        <v>93</v>
      </c>
      <c r="P7471" s="16" t="s">
        <v>1833</v>
      </c>
      <c r="Q7471" s="15" t="s">
        <v>285</v>
      </c>
      <c r="R7471" s="13" t="str">
        <f>HYPERLINK("https://my.pitchbook.com?c=115854-04T","View Company Online")</f>
        <v>View Company Online</v>
      </c>
    </row>
    <row r="7472" spans="1:18" hidden="1" x14ac:dyDescent="0.3">
      <c r="A7472" s="9" t="s">
        <v>22107</v>
      </c>
      <c r="B7472" s="9" t="s">
        <v>9777</v>
      </c>
      <c r="C7472" s="11" t="s">
        <v>28</v>
      </c>
      <c r="D7472" s="9" t="s">
        <v>9778</v>
      </c>
      <c r="E7472" s="11" t="s">
        <v>28</v>
      </c>
      <c r="F7472" s="10" t="s">
        <v>28</v>
      </c>
      <c r="G7472" s="10" t="s">
        <v>28</v>
      </c>
      <c r="H7472" s="10" t="s">
        <v>28</v>
      </c>
      <c r="I7472" s="11" t="s">
        <v>28</v>
      </c>
      <c r="J7472" s="11" t="s">
        <v>28</v>
      </c>
      <c r="K7472" s="11" t="s">
        <v>28</v>
      </c>
      <c r="L7472" s="11" t="s">
        <v>28</v>
      </c>
      <c r="M7472" s="11" t="s">
        <v>28</v>
      </c>
      <c r="N7472" s="8">
        <v>43411</v>
      </c>
      <c r="O7472" s="9" t="s">
        <v>58</v>
      </c>
      <c r="P7472" s="12" t="s">
        <v>28</v>
      </c>
      <c r="Q7472" s="9" t="s">
        <v>114</v>
      </c>
      <c r="R7472" s="14" t="str">
        <f>HYPERLINK("https://my.pitchbook.com?c=246143-80T","View Company Online")</f>
        <v>View Company Online</v>
      </c>
    </row>
    <row r="7473" spans="1:18" hidden="1" x14ac:dyDescent="0.3">
      <c r="A7473" s="15" t="s">
        <v>22108</v>
      </c>
      <c r="B7473" s="15" t="s">
        <v>12292</v>
      </c>
      <c r="C7473" s="18" t="s">
        <v>28</v>
      </c>
      <c r="D7473" s="15" t="s">
        <v>12293</v>
      </c>
      <c r="E7473" s="18" t="s">
        <v>28</v>
      </c>
      <c r="F7473" s="19" t="s">
        <v>28</v>
      </c>
      <c r="G7473" s="19">
        <v>0.01</v>
      </c>
      <c r="H7473" s="19" t="s">
        <v>28</v>
      </c>
      <c r="I7473" s="18" t="s">
        <v>28</v>
      </c>
      <c r="J7473" s="18" t="s">
        <v>28</v>
      </c>
      <c r="K7473" s="18" t="s">
        <v>28</v>
      </c>
      <c r="L7473" s="18" t="s">
        <v>28</v>
      </c>
      <c r="M7473" s="18" t="s">
        <v>28</v>
      </c>
      <c r="N7473" s="17">
        <v>43410</v>
      </c>
      <c r="O7473" s="15" t="s">
        <v>52</v>
      </c>
      <c r="P7473" s="16" t="s">
        <v>4500</v>
      </c>
      <c r="Q7473" s="15" t="s">
        <v>566</v>
      </c>
      <c r="R7473" s="13" t="str">
        <f>HYPERLINK("https://my.pitchbook.com?c=250942-33T","View Company Online")</f>
        <v>View Company Online</v>
      </c>
    </row>
    <row r="7474" spans="1:18" hidden="1" x14ac:dyDescent="0.3">
      <c r="A7474" s="9" t="s">
        <v>22109</v>
      </c>
      <c r="B7474" s="9" t="s">
        <v>22110</v>
      </c>
      <c r="C7474" s="11" t="s">
        <v>28</v>
      </c>
      <c r="D7474" s="9" t="s">
        <v>22111</v>
      </c>
      <c r="E7474" s="11" t="s">
        <v>28</v>
      </c>
      <c r="F7474" s="10" t="s">
        <v>28</v>
      </c>
      <c r="G7474" s="10" t="s">
        <v>28</v>
      </c>
      <c r="H7474" s="10" t="s">
        <v>28</v>
      </c>
      <c r="I7474" s="11" t="s">
        <v>28</v>
      </c>
      <c r="J7474" s="11" t="s">
        <v>28</v>
      </c>
      <c r="K7474" s="11" t="s">
        <v>28</v>
      </c>
      <c r="L7474" s="11" t="s">
        <v>28</v>
      </c>
      <c r="M7474" s="11" t="s">
        <v>28</v>
      </c>
      <c r="N7474" s="8">
        <v>43410</v>
      </c>
      <c r="O7474" s="9" t="s">
        <v>30</v>
      </c>
      <c r="P7474" s="12" t="s">
        <v>22112</v>
      </c>
      <c r="Q7474" s="9" t="s">
        <v>353</v>
      </c>
      <c r="R7474" s="14" t="str">
        <f>HYPERLINK("https://my.pitchbook.com?c=113663-71T","View Company Online")</f>
        <v>View Company Online</v>
      </c>
    </row>
    <row r="7475" spans="1:18" hidden="1" x14ac:dyDescent="0.3">
      <c r="A7475" s="15" t="s">
        <v>22113</v>
      </c>
      <c r="B7475" s="15" t="s">
        <v>3284</v>
      </c>
      <c r="C7475" s="18" t="s">
        <v>28</v>
      </c>
      <c r="D7475" s="15" t="s">
        <v>3285</v>
      </c>
      <c r="E7475" s="18" t="s">
        <v>28</v>
      </c>
      <c r="F7475" s="19" t="s">
        <v>28</v>
      </c>
      <c r="G7475" s="19">
        <v>2</v>
      </c>
      <c r="H7475" s="19">
        <v>7.33</v>
      </c>
      <c r="I7475" s="18" t="s">
        <v>28</v>
      </c>
      <c r="J7475" s="18" t="s">
        <v>28</v>
      </c>
      <c r="K7475" s="18" t="s">
        <v>28</v>
      </c>
      <c r="L7475" s="18" t="s">
        <v>28</v>
      </c>
      <c r="M7475" s="18" t="s">
        <v>28</v>
      </c>
      <c r="N7475" s="17">
        <v>43409</v>
      </c>
      <c r="O7475" s="15" t="s">
        <v>79</v>
      </c>
      <c r="P7475" s="16" t="s">
        <v>22114</v>
      </c>
      <c r="Q7475" s="15" t="s">
        <v>119</v>
      </c>
      <c r="R7475" s="13" t="str">
        <f>HYPERLINK("https://my.pitchbook.com?c=99365-23T","View Company Online")</f>
        <v>View Company Online</v>
      </c>
    </row>
    <row r="7476" spans="1:18" hidden="1" x14ac:dyDescent="0.3">
      <c r="A7476" s="9" t="s">
        <v>22115</v>
      </c>
      <c r="B7476" s="9" t="s">
        <v>22116</v>
      </c>
      <c r="C7476" s="11" t="s">
        <v>28</v>
      </c>
      <c r="D7476" s="9" t="s">
        <v>22117</v>
      </c>
      <c r="E7476" s="11" t="s">
        <v>28</v>
      </c>
      <c r="F7476" s="10" t="s">
        <v>28</v>
      </c>
      <c r="G7476" s="10" t="s">
        <v>28</v>
      </c>
      <c r="H7476" s="10" t="s">
        <v>28</v>
      </c>
      <c r="I7476" s="11" t="s">
        <v>28</v>
      </c>
      <c r="J7476" s="11" t="s">
        <v>28</v>
      </c>
      <c r="K7476" s="11" t="s">
        <v>28</v>
      </c>
      <c r="L7476" s="11" t="s">
        <v>28</v>
      </c>
      <c r="M7476" s="11" t="s">
        <v>28</v>
      </c>
      <c r="N7476" s="8">
        <v>43409</v>
      </c>
      <c r="O7476" s="9" t="s">
        <v>30</v>
      </c>
      <c r="P7476" s="12" t="s">
        <v>22118</v>
      </c>
      <c r="Q7476" s="9" t="s">
        <v>1035</v>
      </c>
      <c r="R7476" s="14" t="str">
        <f>HYPERLINK("https://my.pitchbook.com?c=114958-99T","View Company Online")</f>
        <v>View Company Online</v>
      </c>
    </row>
    <row r="7477" spans="1:18" hidden="1" x14ac:dyDescent="0.3">
      <c r="A7477" s="15" t="s">
        <v>22119</v>
      </c>
      <c r="B7477" s="15" t="s">
        <v>1415</v>
      </c>
      <c r="C7477" s="18" t="s">
        <v>28</v>
      </c>
      <c r="D7477" s="15" t="s">
        <v>1416</v>
      </c>
      <c r="E7477" s="18" t="s">
        <v>28</v>
      </c>
      <c r="F7477" s="19">
        <v>111.78</v>
      </c>
      <c r="G7477" s="19">
        <v>77.28</v>
      </c>
      <c r="H7477" s="19">
        <v>111.78</v>
      </c>
      <c r="I7477" s="18" t="s">
        <v>28</v>
      </c>
      <c r="J7477" s="18" t="s">
        <v>28</v>
      </c>
      <c r="K7477" s="18" t="s">
        <v>28</v>
      </c>
      <c r="L7477" s="18" t="s">
        <v>28</v>
      </c>
      <c r="M7477" s="18" t="s">
        <v>28</v>
      </c>
      <c r="N7477" s="17">
        <v>43409</v>
      </c>
      <c r="O7477" s="15" t="s">
        <v>30</v>
      </c>
      <c r="P7477" s="16" t="s">
        <v>22120</v>
      </c>
      <c r="Q7477" s="15" t="s">
        <v>240</v>
      </c>
      <c r="R7477" s="13" t="str">
        <f>HYPERLINK("https://my.pitchbook.com?c=211734-64T","View Company Online")</f>
        <v>View Company Online</v>
      </c>
    </row>
    <row r="7478" spans="1:18" hidden="1" x14ac:dyDescent="0.3">
      <c r="A7478" s="9" t="s">
        <v>22121</v>
      </c>
      <c r="B7478" s="9" t="s">
        <v>22122</v>
      </c>
      <c r="C7478" s="11" t="s">
        <v>28</v>
      </c>
      <c r="D7478" s="9" t="s">
        <v>22123</v>
      </c>
      <c r="E7478" s="11" t="s">
        <v>28</v>
      </c>
      <c r="F7478" s="10" t="s">
        <v>28</v>
      </c>
      <c r="G7478" s="10" t="s">
        <v>28</v>
      </c>
      <c r="H7478" s="10" t="s">
        <v>28</v>
      </c>
      <c r="I7478" s="11" t="s">
        <v>28</v>
      </c>
      <c r="J7478" s="11" t="s">
        <v>28</v>
      </c>
      <c r="K7478" s="11" t="s">
        <v>28</v>
      </c>
      <c r="L7478" s="11" t="s">
        <v>28</v>
      </c>
      <c r="M7478" s="11" t="s">
        <v>28</v>
      </c>
      <c r="N7478" s="8">
        <v>43409</v>
      </c>
      <c r="O7478" s="9" t="s">
        <v>30</v>
      </c>
      <c r="P7478" s="12" t="s">
        <v>22124</v>
      </c>
      <c r="Q7478" s="9" t="s">
        <v>18014</v>
      </c>
      <c r="R7478" s="14" t="str">
        <f>HYPERLINK("https://my.pitchbook.com?c=116145-10T","View Company Online")</f>
        <v>View Company Online</v>
      </c>
    </row>
    <row r="7479" spans="1:18" hidden="1" x14ac:dyDescent="0.3">
      <c r="A7479" s="15" t="s">
        <v>22125</v>
      </c>
      <c r="B7479" s="15" t="s">
        <v>7078</v>
      </c>
      <c r="C7479" s="18" t="s">
        <v>28</v>
      </c>
      <c r="D7479" s="15" t="s">
        <v>7079</v>
      </c>
      <c r="E7479" s="18" t="s">
        <v>28</v>
      </c>
      <c r="F7479" s="19" t="s">
        <v>28</v>
      </c>
      <c r="G7479" s="19">
        <v>46.18</v>
      </c>
      <c r="H7479" s="19">
        <v>115.44</v>
      </c>
      <c r="I7479" s="18" t="s">
        <v>28</v>
      </c>
      <c r="J7479" s="18" t="s">
        <v>28</v>
      </c>
      <c r="K7479" s="18" t="s">
        <v>28</v>
      </c>
      <c r="L7479" s="18" t="s">
        <v>28</v>
      </c>
      <c r="M7479" s="18" t="s">
        <v>28</v>
      </c>
      <c r="N7479" s="17">
        <v>43405</v>
      </c>
      <c r="O7479" s="15" t="s">
        <v>93</v>
      </c>
      <c r="P7479" s="16" t="s">
        <v>22126</v>
      </c>
      <c r="Q7479" s="15" t="s">
        <v>583</v>
      </c>
      <c r="R7479" s="13" t="str">
        <f>HYPERLINK("https://my.pitchbook.com?c=115088-68T","View Company Online")</f>
        <v>View Company Online</v>
      </c>
    </row>
    <row r="7480" spans="1:18" hidden="1" x14ac:dyDescent="0.3">
      <c r="A7480" s="9" t="s">
        <v>22127</v>
      </c>
      <c r="B7480" s="9" t="s">
        <v>2311</v>
      </c>
      <c r="C7480" s="11" t="s">
        <v>28</v>
      </c>
      <c r="D7480" s="9" t="s">
        <v>2312</v>
      </c>
      <c r="E7480" s="11" t="s">
        <v>28</v>
      </c>
      <c r="F7480" s="10" t="s">
        <v>28</v>
      </c>
      <c r="G7480" s="10" t="s">
        <v>28</v>
      </c>
      <c r="H7480" s="10" t="s">
        <v>28</v>
      </c>
      <c r="I7480" s="11" t="s">
        <v>28</v>
      </c>
      <c r="J7480" s="11" t="s">
        <v>28</v>
      </c>
      <c r="K7480" s="11" t="s">
        <v>28</v>
      </c>
      <c r="L7480" s="11" t="s">
        <v>28</v>
      </c>
      <c r="M7480" s="11" t="s">
        <v>28</v>
      </c>
      <c r="N7480" s="8">
        <v>43405</v>
      </c>
      <c r="O7480" s="9" t="s">
        <v>73</v>
      </c>
      <c r="P7480" s="12" t="s">
        <v>20372</v>
      </c>
      <c r="Q7480" s="9" t="s">
        <v>37</v>
      </c>
      <c r="R7480" s="14" t="str">
        <f>HYPERLINK("https://my.pitchbook.com?c=138757-96T","View Company Online")</f>
        <v>View Company Online</v>
      </c>
    </row>
    <row r="7481" spans="1:18" hidden="1" x14ac:dyDescent="0.3">
      <c r="A7481" s="15" t="s">
        <v>22128</v>
      </c>
      <c r="B7481" s="15" t="s">
        <v>22129</v>
      </c>
      <c r="C7481" s="18" t="s">
        <v>28</v>
      </c>
      <c r="D7481" s="15" t="s">
        <v>22130</v>
      </c>
      <c r="E7481" s="18" t="s">
        <v>28</v>
      </c>
      <c r="F7481" s="19">
        <v>6.33</v>
      </c>
      <c r="G7481" s="19">
        <v>6.33</v>
      </c>
      <c r="H7481" s="19">
        <v>6.33</v>
      </c>
      <c r="I7481" s="18" t="s">
        <v>28</v>
      </c>
      <c r="J7481" s="18" t="s">
        <v>28</v>
      </c>
      <c r="K7481" s="18" t="s">
        <v>28</v>
      </c>
      <c r="L7481" s="18" t="s">
        <v>28</v>
      </c>
      <c r="M7481" s="18" t="s">
        <v>28</v>
      </c>
      <c r="N7481" s="17">
        <v>43405</v>
      </c>
      <c r="O7481" s="15" t="s">
        <v>41</v>
      </c>
      <c r="P7481" s="16" t="s">
        <v>22131</v>
      </c>
      <c r="Q7481" s="15" t="s">
        <v>1035</v>
      </c>
      <c r="R7481" s="13" t="str">
        <f>HYPERLINK("https://my.pitchbook.com?c=119560-87T","View Company Online")</f>
        <v>View Company Online</v>
      </c>
    </row>
    <row r="7482" spans="1:18" hidden="1" x14ac:dyDescent="0.3">
      <c r="A7482" s="9" t="s">
        <v>22132</v>
      </c>
      <c r="B7482" s="9" t="s">
        <v>4233</v>
      </c>
      <c r="C7482" s="11" t="s">
        <v>28</v>
      </c>
      <c r="D7482" s="9" t="s">
        <v>4234</v>
      </c>
      <c r="E7482" s="11" t="s">
        <v>28</v>
      </c>
      <c r="F7482" s="10" t="s">
        <v>28</v>
      </c>
      <c r="G7482" s="10" t="s">
        <v>28</v>
      </c>
      <c r="H7482" s="10" t="s">
        <v>28</v>
      </c>
      <c r="I7482" s="11" t="s">
        <v>28</v>
      </c>
      <c r="J7482" s="11" t="s">
        <v>28</v>
      </c>
      <c r="K7482" s="11" t="s">
        <v>28</v>
      </c>
      <c r="L7482" s="11" t="s">
        <v>28</v>
      </c>
      <c r="M7482" s="11" t="s">
        <v>28</v>
      </c>
      <c r="N7482" s="8">
        <v>43405</v>
      </c>
      <c r="O7482" s="9" t="s">
        <v>52</v>
      </c>
      <c r="P7482" s="12" t="s">
        <v>221</v>
      </c>
      <c r="Q7482" s="9" t="s">
        <v>75</v>
      </c>
      <c r="R7482" s="14" t="str">
        <f>HYPERLINK("https://my.pitchbook.com?c=155722-78T","View Company Online")</f>
        <v>View Company Online</v>
      </c>
    </row>
    <row r="7483" spans="1:18" hidden="1" x14ac:dyDescent="0.3">
      <c r="A7483" s="15" t="s">
        <v>22133</v>
      </c>
      <c r="B7483" s="15" t="s">
        <v>20209</v>
      </c>
      <c r="C7483" s="18" t="s">
        <v>28</v>
      </c>
      <c r="D7483" s="15" t="s">
        <v>20210</v>
      </c>
      <c r="E7483" s="18" t="s">
        <v>28</v>
      </c>
      <c r="F7483" s="19" t="s">
        <v>28</v>
      </c>
      <c r="G7483" s="19">
        <v>0.27</v>
      </c>
      <c r="H7483" s="19" t="s">
        <v>28</v>
      </c>
      <c r="I7483" s="18" t="s">
        <v>28</v>
      </c>
      <c r="J7483" s="18" t="s">
        <v>28</v>
      </c>
      <c r="K7483" s="18" t="s">
        <v>28</v>
      </c>
      <c r="L7483" s="18" t="s">
        <v>28</v>
      </c>
      <c r="M7483" s="18" t="s">
        <v>28</v>
      </c>
      <c r="N7483" s="17">
        <v>43405</v>
      </c>
      <c r="O7483" s="15" t="s">
        <v>379</v>
      </c>
      <c r="P7483" s="16" t="s">
        <v>28</v>
      </c>
      <c r="Q7483" s="15" t="s">
        <v>114</v>
      </c>
      <c r="R7483" s="13" t="str">
        <f>HYPERLINK("https://my.pitchbook.com?c=139635-28T","View Company Online")</f>
        <v>View Company Online</v>
      </c>
    </row>
    <row r="7484" spans="1:18" hidden="1" x14ac:dyDescent="0.3">
      <c r="A7484" s="9" t="s">
        <v>22134</v>
      </c>
      <c r="B7484" s="9" t="s">
        <v>22135</v>
      </c>
      <c r="C7484" s="11" t="s">
        <v>28</v>
      </c>
      <c r="D7484" s="9" t="s">
        <v>22136</v>
      </c>
      <c r="E7484" s="11" t="s">
        <v>28</v>
      </c>
      <c r="F7484" s="10" t="s">
        <v>28</v>
      </c>
      <c r="G7484" s="10" t="s">
        <v>28</v>
      </c>
      <c r="H7484" s="10" t="s">
        <v>28</v>
      </c>
      <c r="I7484" s="11" t="s">
        <v>28</v>
      </c>
      <c r="J7484" s="11" t="s">
        <v>28</v>
      </c>
      <c r="K7484" s="11" t="s">
        <v>28</v>
      </c>
      <c r="L7484" s="11" t="s">
        <v>28</v>
      </c>
      <c r="M7484" s="11" t="s">
        <v>28</v>
      </c>
      <c r="N7484" s="8">
        <v>43405</v>
      </c>
      <c r="O7484" s="9" t="s">
        <v>73</v>
      </c>
      <c r="P7484" s="12" t="s">
        <v>611</v>
      </c>
      <c r="Q7484" s="9" t="s">
        <v>136</v>
      </c>
      <c r="R7484" s="14" t="str">
        <f>HYPERLINK("https://my.pitchbook.com?c=132146-11T","View Company Online")</f>
        <v>View Company Online</v>
      </c>
    </row>
    <row r="7485" spans="1:18" hidden="1" x14ac:dyDescent="0.3">
      <c r="A7485" s="15" t="s">
        <v>22137</v>
      </c>
      <c r="B7485" s="15" t="s">
        <v>15288</v>
      </c>
      <c r="C7485" s="18" t="s">
        <v>28</v>
      </c>
      <c r="D7485" s="15" t="s">
        <v>15289</v>
      </c>
      <c r="E7485" s="18" t="s">
        <v>28</v>
      </c>
      <c r="F7485" s="19" t="s">
        <v>28</v>
      </c>
      <c r="G7485" s="19" t="s">
        <v>28</v>
      </c>
      <c r="H7485" s="19" t="s">
        <v>28</v>
      </c>
      <c r="I7485" s="18" t="s">
        <v>28</v>
      </c>
      <c r="J7485" s="18" t="s">
        <v>28</v>
      </c>
      <c r="K7485" s="18" t="s">
        <v>28</v>
      </c>
      <c r="L7485" s="18" t="s">
        <v>28</v>
      </c>
      <c r="M7485" s="18" t="s">
        <v>28</v>
      </c>
      <c r="N7485" s="17">
        <v>43405</v>
      </c>
      <c r="O7485" s="15" t="s">
        <v>99</v>
      </c>
      <c r="P7485" s="16" t="s">
        <v>22138</v>
      </c>
      <c r="Q7485" s="15" t="s">
        <v>409</v>
      </c>
      <c r="R7485" s="13" t="str">
        <f>HYPERLINK("https://my.pitchbook.com?c=123797-53T","View Company Online")</f>
        <v>View Company Online</v>
      </c>
    </row>
    <row r="7486" spans="1:18" hidden="1" x14ac:dyDescent="0.3">
      <c r="A7486" s="9" t="s">
        <v>22139</v>
      </c>
      <c r="B7486" s="9" t="s">
        <v>14989</v>
      </c>
      <c r="C7486" s="11" t="s">
        <v>28</v>
      </c>
      <c r="D7486" s="9" t="s">
        <v>14990</v>
      </c>
      <c r="E7486" s="11" t="s">
        <v>28</v>
      </c>
      <c r="F7486" s="10" t="s">
        <v>28</v>
      </c>
      <c r="G7486" s="10">
        <v>3.8</v>
      </c>
      <c r="H7486" s="10" t="s">
        <v>28</v>
      </c>
      <c r="I7486" s="11" t="s">
        <v>28</v>
      </c>
      <c r="J7486" s="11" t="s">
        <v>28</v>
      </c>
      <c r="K7486" s="11" t="s">
        <v>28</v>
      </c>
      <c r="L7486" s="11" t="s">
        <v>28</v>
      </c>
      <c r="M7486" s="11" t="s">
        <v>28</v>
      </c>
      <c r="N7486" s="8">
        <v>43404</v>
      </c>
      <c r="O7486" s="9" t="s">
        <v>79</v>
      </c>
      <c r="P7486" s="12" t="s">
        <v>6846</v>
      </c>
      <c r="Q7486" s="9" t="s">
        <v>75</v>
      </c>
      <c r="R7486" s="14" t="str">
        <f>HYPERLINK("https://my.pitchbook.com?c=172351-63T","View Company Online")</f>
        <v>View Company Online</v>
      </c>
    </row>
    <row r="7487" spans="1:18" hidden="1" x14ac:dyDescent="0.3">
      <c r="A7487" s="15" t="s">
        <v>22140</v>
      </c>
      <c r="B7487" s="15" t="s">
        <v>1315</v>
      </c>
      <c r="C7487" s="18" t="s">
        <v>28</v>
      </c>
      <c r="D7487" s="15" t="s">
        <v>1316</v>
      </c>
      <c r="E7487" s="18">
        <v>45.49</v>
      </c>
      <c r="F7487" s="19" t="s">
        <v>28</v>
      </c>
      <c r="G7487" s="19">
        <v>106.54</v>
      </c>
      <c r="H7487" s="19" t="s">
        <v>28</v>
      </c>
      <c r="I7487" s="18">
        <v>59.87</v>
      </c>
      <c r="J7487" s="18" t="s">
        <v>28</v>
      </c>
      <c r="K7487" s="18">
        <v>189.53</v>
      </c>
      <c r="L7487" s="18" t="s">
        <v>28</v>
      </c>
      <c r="M7487" s="18">
        <v>7.44</v>
      </c>
      <c r="N7487" s="17">
        <v>43404</v>
      </c>
      <c r="O7487" s="15" t="s">
        <v>93</v>
      </c>
      <c r="P7487" s="16" t="s">
        <v>22141</v>
      </c>
      <c r="Q7487" s="15" t="s">
        <v>1088</v>
      </c>
      <c r="R7487" s="13" t="str">
        <f>HYPERLINK("https://my.pitchbook.com?c=110093-05T","View Company Online")</f>
        <v>View Company Online</v>
      </c>
    </row>
    <row r="7488" spans="1:18" hidden="1" x14ac:dyDescent="0.3">
      <c r="A7488" s="9" t="s">
        <v>22142</v>
      </c>
      <c r="B7488" s="9" t="s">
        <v>22143</v>
      </c>
      <c r="C7488" s="11" t="s">
        <v>28</v>
      </c>
      <c r="D7488" s="9" t="s">
        <v>22144</v>
      </c>
      <c r="E7488" s="11" t="s">
        <v>28</v>
      </c>
      <c r="F7488" s="10">
        <v>1.6</v>
      </c>
      <c r="G7488" s="10">
        <v>1.6</v>
      </c>
      <c r="H7488" s="10">
        <v>1.6</v>
      </c>
      <c r="I7488" s="11" t="s">
        <v>28</v>
      </c>
      <c r="J7488" s="11" t="s">
        <v>28</v>
      </c>
      <c r="K7488" s="11" t="s">
        <v>28</v>
      </c>
      <c r="L7488" s="11" t="s">
        <v>28</v>
      </c>
      <c r="M7488" s="11" t="s">
        <v>28</v>
      </c>
      <c r="N7488" s="8">
        <v>43404</v>
      </c>
      <c r="O7488" s="9" t="s">
        <v>30</v>
      </c>
      <c r="P7488" s="12" t="s">
        <v>22145</v>
      </c>
      <c r="Q7488" s="9" t="s">
        <v>114</v>
      </c>
      <c r="R7488" s="14" t="str">
        <f>HYPERLINK("https://my.pitchbook.com?c=158368-96T","View Company Online")</f>
        <v>View Company Online</v>
      </c>
    </row>
    <row r="7489" spans="1:18" hidden="1" x14ac:dyDescent="0.3">
      <c r="A7489" s="15" t="s">
        <v>22146</v>
      </c>
      <c r="B7489" s="15" t="s">
        <v>15976</v>
      </c>
      <c r="C7489" s="18" t="s">
        <v>28</v>
      </c>
      <c r="D7489" s="15" t="s">
        <v>15977</v>
      </c>
      <c r="E7489" s="18" t="s">
        <v>28</v>
      </c>
      <c r="F7489" s="19" t="s">
        <v>28</v>
      </c>
      <c r="G7489" s="19">
        <v>0.26</v>
      </c>
      <c r="H7489" s="19" t="s">
        <v>28</v>
      </c>
      <c r="I7489" s="18" t="s">
        <v>28</v>
      </c>
      <c r="J7489" s="18" t="s">
        <v>28</v>
      </c>
      <c r="K7489" s="18" t="s">
        <v>28</v>
      </c>
      <c r="L7489" s="18" t="s">
        <v>28</v>
      </c>
      <c r="M7489" s="18" t="s">
        <v>28</v>
      </c>
      <c r="N7489" s="17">
        <v>43403</v>
      </c>
      <c r="O7489" s="15" t="s">
        <v>47</v>
      </c>
      <c r="P7489" s="16" t="s">
        <v>3097</v>
      </c>
      <c r="Q7489" s="15" t="s">
        <v>75</v>
      </c>
      <c r="R7489" s="13" t="str">
        <f>HYPERLINK("https://my.pitchbook.com?c=124098-22T","View Company Online")</f>
        <v>View Company Online</v>
      </c>
    </row>
    <row r="7490" spans="1:18" hidden="1" x14ac:dyDescent="0.3">
      <c r="A7490" s="9" t="s">
        <v>22147</v>
      </c>
      <c r="B7490" s="9" t="s">
        <v>1553</v>
      </c>
      <c r="C7490" s="11" t="s">
        <v>28</v>
      </c>
      <c r="D7490" s="9" t="s">
        <v>1554</v>
      </c>
      <c r="E7490" s="11" t="s">
        <v>28</v>
      </c>
      <c r="F7490" s="10" t="s">
        <v>28</v>
      </c>
      <c r="G7490" s="10">
        <v>0.4</v>
      </c>
      <c r="H7490" s="10" t="s">
        <v>28</v>
      </c>
      <c r="I7490" s="11" t="s">
        <v>28</v>
      </c>
      <c r="J7490" s="11" t="s">
        <v>28</v>
      </c>
      <c r="K7490" s="11" t="s">
        <v>28</v>
      </c>
      <c r="L7490" s="11" t="s">
        <v>28</v>
      </c>
      <c r="M7490" s="11" t="s">
        <v>28</v>
      </c>
      <c r="N7490" s="8">
        <v>43403</v>
      </c>
      <c r="O7490" s="9" t="s">
        <v>47</v>
      </c>
      <c r="P7490" s="12" t="s">
        <v>3097</v>
      </c>
      <c r="Q7490" s="9" t="s">
        <v>43</v>
      </c>
      <c r="R7490" s="14" t="str">
        <f>HYPERLINK("https://my.pitchbook.com?c=115630-84T","View Company Online")</f>
        <v>View Company Online</v>
      </c>
    </row>
    <row r="7491" spans="1:18" hidden="1" x14ac:dyDescent="0.3">
      <c r="A7491" s="15" t="s">
        <v>22148</v>
      </c>
      <c r="B7491" s="15" t="s">
        <v>22149</v>
      </c>
      <c r="C7491" s="18" t="s">
        <v>28</v>
      </c>
      <c r="D7491" s="15" t="s">
        <v>22150</v>
      </c>
      <c r="E7491" s="18" t="s">
        <v>28</v>
      </c>
      <c r="F7491" s="19" t="s">
        <v>28</v>
      </c>
      <c r="G7491" s="19" t="s">
        <v>28</v>
      </c>
      <c r="H7491" s="19" t="s">
        <v>28</v>
      </c>
      <c r="I7491" s="18" t="s">
        <v>28</v>
      </c>
      <c r="J7491" s="18" t="s">
        <v>28</v>
      </c>
      <c r="K7491" s="18" t="s">
        <v>28</v>
      </c>
      <c r="L7491" s="18" t="s">
        <v>28</v>
      </c>
      <c r="M7491" s="18" t="s">
        <v>28</v>
      </c>
      <c r="N7491" s="17">
        <v>43402</v>
      </c>
      <c r="O7491" s="15" t="s">
        <v>30</v>
      </c>
      <c r="P7491" s="16" t="s">
        <v>7578</v>
      </c>
      <c r="Q7491" s="15" t="s">
        <v>268</v>
      </c>
      <c r="R7491" s="13" t="str">
        <f>HYPERLINK("https://my.pitchbook.com?c=113985-19T","View Company Online")</f>
        <v>View Company Online</v>
      </c>
    </row>
    <row r="7492" spans="1:18" hidden="1" x14ac:dyDescent="0.3">
      <c r="A7492" s="9" t="s">
        <v>22151</v>
      </c>
      <c r="B7492" s="9" t="s">
        <v>22152</v>
      </c>
      <c r="C7492" s="11" t="s">
        <v>28</v>
      </c>
      <c r="D7492" s="9" t="s">
        <v>22153</v>
      </c>
      <c r="E7492" s="11" t="s">
        <v>28</v>
      </c>
      <c r="F7492" s="10" t="s">
        <v>28</v>
      </c>
      <c r="G7492" s="10">
        <v>0.26</v>
      </c>
      <c r="H7492" s="10" t="s">
        <v>28</v>
      </c>
      <c r="I7492" s="11" t="s">
        <v>28</v>
      </c>
      <c r="J7492" s="11" t="s">
        <v>28</v>
      </c>
      <c r="K7492" s="11" t="s">
        <v>28</v>
      </c>
      <c r="L7492" s="11" t="s">
        <v>28</v>
      </c>
      <c r="M7492" s="11" t="s">
        <v>28</v>
      </c>
      <c r="N7492" s="8">
        <v>43402</v>
      </c>
      <c r="O7492" s="9" t="s">
        <v>47</v>
      </c>
      <c r="P7492" s="12" t="s">
        <v>22154</v>
      </c>
      <c r="Q7492" s="9" t="s">
        <v>37</v>
      </c>
      <c r="R7492" s="14" t="str">
        <f>HYPERLINK("https://my.pitchbook.com?c=164001-25T","View Company Online")</f>
        <v>View Company Online</v>
      </c>
    </row>
    <row r="7493" spans="1:18" hidden="1" x14ac:dyDescent="0.3">
      <c r="A7493" s="15" t="s">
        <v>22155</v>
      </c>
      <c r="B7493" s="15" t="s">
        <v>16176</v>
      </c>
      <c r="C7493" s="18" t="s">
        <v>28</v>
      </c>
      <c r="D7493" s="15" t="s">
        <v>16177</v>
      </c>
      <c r="E7493" s="18" t="s">
        <v>28</v>
      </c>
      <c r="F7493" s="19" t="s">
        <v>28</v>
      </c>
      <c r="G7493" s="19">
        <v>4</v>
      </c>
      <c r="H7493" s="19" t="s">
        <v>28</v>
      </c>
      <c r="I7493" s="18" t="s">
        <v>28</v>
      </c>
      <c r="J7493" s="18" t="s">
        <v>28</v>
      </c>
      <c r="K7493" s="18" t="s">
        <v>28</v>
      </c>
      <c r="L7493" s="18" t="s">
        <v>28</v>
      </c>
      <c r="M7493" s="18" t="s">
        <v>28</v>
      </c>
      <c r="N7493" s="17">
        <v>43402</v>
      </c>
      <c r="O7493" s="15" t="s">
        <v>73</v>
      </c>
      <c r="P7493" s="16" t="s">
        <v>22156</v>
      </c>
      <c r="Q7493" s="15" t="s">
        <v>37</v>
      </c>
      <c r="R7493" s="13" t="str">
        <f>HYPERLINK("https://my.pitchbook.com?c=113355-82T","View Company Online")</f>
        <v>View Company Online</v>
      </c>
    </row>
    <row r="7494" spans="1:18" hidden="1" x14ac:dyDescent="0.3">
      <c r="A7494" s="9" t="s">
        <v>22157</v>
      </c>
      <c r="B7494" s="9" t="s">
        <v>22158</v>
      </c>
      <c r="C7494" s="11" t="s">
        <v>28</v>
      </c>
      <c r="D7494" s="9" t="s">
        <v>22159</v>
      </c>
      <c r="E7494" s="11" t="s">
        <v>28</v>
      </c>
      <c r="F7494" s="10" t="s">
        <v>28</v>
      </c>
      <c r="G7494" s="10" t="s">
        <v>28</v>
      </c>
      <c r="H7494" s="10" t="s">
        <v>28</v>
      </c>
      <c r="I7494" s="11" t="s">
        <v>28</v>
      </c>
      <c r="J7494" s="11" t="s">
        <v>28</v>
      </c>
      <c r="K7494" s="11" t="s">
        <v>28</v>
      </c>
      <c r="L7494" s="11" t="s">
        <v>28</v>
      </c>
      <c r="M7494" s="11" t="s">
        <v>28</v>
      </c>
      <c r="N7494" s="8">
        <v>43402</v>
      </c>
      <c r="O7494" s="9" t="s">
        <v>30</v>
      </c>
      <c r="P7494" s="12" t="s">
        <v>22160</v>
      </c>
      <c r="Q7494" s="9" t="s">
        <v>85</v>
      </c>
      <c r="R7494" s="14" t="str">
        <f>HYPERLINK("https://my.pitchbook.com?c=113256-01T","View Company Online")</f>
        <v>View Company Online</v>
      </c>
    </row>
    <row r="7495" spans="1:18" hidden="1" x14ac:dyDescent="0.3">
      <c r="A7495" s="15" t="s">
        <v>22161</v>
      </c>
      <c r="B7495" s="15" t="s">
        <v>22162</v>
      </c>
      <c r="C7495" s="18" t="s">
        <v>28</v>
      </c>
      <c r="D7495" s="15" t="s">
        <v>22163</v>
      </c>
      <c r="E7495" s="18" t="s">
        <v>28</v>
      </c>
      <c r="F7495" s="19">
        <v>0.15</v>
      </c>
      <c r="G7495" s="19">
        <v>148.74</v>
      </c>
      <c r="H7495" s="19">
        <v>148.74</v>
      </c>
      <c r="I7495" s="18" t="s">
        <v>28</v>
      </c>
      <c r="J7495" s="18" t="s">
        <v>28</v>
      </c>
      <c r="K7495" s="18" t="s">
        <v>28</v>
      </c>
      <c r="L7495" s="18" t="s">
        <v>28</v>
      </c>
      <c r="M7495" s="18" t="s">
        <v>28</v>
      </c>
      <c r="N7495" s="17">
        <v>43400</v>
      </c>
      <c r="O7495" s="15" t="s">
        <v>30</v>
      </c>
      <c r="P7495" s="16" t="s">
        <v>22164</v>
      </c>
      <c r="Q7495" s="15" t="s">
        <v>669</v>
      </c>
      <c r="R7495" s="13" t="str">
        <f>HYPERLINK("https://my.pitchbook.com?c=116268-22T","View Company Online")</f>
        <v>View Company Online</v>
      </c>
    </row>
    <row r="7496" spans="1:18" hidden="1" x14ac:dyDescent="0.3">
      <c r="A7496" s="9" t="s">
        <v>22165</v>
      </c>
      <c r="B7496" s="9" t="s">
        <v>8839</v>
      </c>
      <c r="C7496" s="11" t="s">
        <v>28</v>
      </c>
      <c r="D7496" s="9" t="s">
        <v>8840</v>
      </c>
      <c r="E7496" s="11" t="s">
        <v>28</v>
      </c>
      <c r="F7496" s="10" t="s">
        <v>28</v>
      </c>
      <c r="G7496" s="10">
        <v>9.73</v>
      </c>
      <c r="H7496" s="10" t="s">
        <v>28</v>
      </c>
      <c r="I7496" s="11" t="s">
        <v>28</v>
      </c>
      <c r="J7496" s="11" t="s">
        <v>28</v>
      </c>
      <c r="K7496" s="11">
        <v>13.68</v>
      </c>
      <c r="L7496" s="11" t="s">
        <v>28</v>
      </c>
      <c r="M7496" s="11" t="s">
        <v>28</v>
      </c>
      <c r="N7496" s="8">
        <v>43399</v>
      </c>
      <c r="O7496" s="9" t="s">
        <v>79</v>
      </c>
      <c r="P7496" s="12" t="s">
        <v>22166</v>
      </c>
      <c r="Q7496" s="9" t="s">
        <v>386</v>
      </c>
      <c r="R7496" s="14" t="str">
        <f>HYPERLINK("https://my.pitchbook.com?c=121337-29T","View Company Online")</f>
        <v>View Company Online</v>
      </c>
    </row>
    <row r="7497" spans="1:18" hidden="1" x14ac:dyDescent="0.3">
      <c r="A7497" s="15" t="s">
        <v>22167</v>
      </c>
      <c r="B7497" s="15" t="s">
        <v>22168</v>
      </c>
      <c r="C7497" s="18" t="s">
        <v>28</v>
      </c>
      <c r="D7497" s="15" t="s">
        <v>22169</v>
      </c>
      <c r="E7497" s="18" t="s">
        <v>28</v>
      </c>
      <c r="F7497" s="19" t="s">
        <v>28</v>
      </c>
      <c r="G7497" s="19" t="s">
        <v>28</v>
      </c>
      <c r="H7497" s="19" t="s">
        <v>28</v>
      </c>
      <c r="I7497" s="18" t="s">
        <v>28</v>
      </c>
      <c r="J7497" s="18" t="s">
        <v>28</v>
      </c>
      <c r="K7497" s="18" t="s">
        <v>28</v>
      </c>
      <c r="L7497" s="18" t="s">
        <v>28</v>
      </c>
      <c r="M7497" s="18" t="s">
        <v>28</v>
      </c>
      <c r="N7497" s="17">
        <v>43398</v>
      </c>
      <c r="O7497" s="15" t="s">
        <v>30</v>
      </c>
      <c r="P7497" s="16" t="s">
        <v>22170</v>
      </c>
      <c r="Q7497" s="15" t="s">
        <v>75</v>
      </c>
      <c r="R7497" s="13" t="str">
        <f>HYPERLINK("https://my.pitchbook.com?c=130689-64T","View Company Online")</f>
        <v>View Company Online</v>
      </c>
    </row>
    <row r="7498" spans="1:18" hidden="1" x14ac:dyDescent="0.3">
      <c r="A7498" s="9" t="s">
        <v>22171</v>
      </c>
      <c r="B7498" s="9" t="s">
        <v>11193</v>
      </c>
      <c r="C7498" s="11" t="s">
        <v>28</v>
      </c>
      <c r="D7498" s="9" t="s">
        <v>22172</v>
      </c>
      <c r="E7498" s="11">
        <v>145.32</v>
      </c>
      <c r="F7498" s="10" t="s">
        <v>28</v>
      </c>
      <c r="G7498" s="10">
        <v>1217.3900000000001</v>
      </c>
      <c r="H7498" s="10">
        <v>6649.76</v>
      </c>
      <c r="I7498" s="11">
        <v>168.58</v>
      </c>
      <c r="J7498" s="11">
        <v>39.450000000000003</v>
      </c>
      <c r="K7498" s="11">
        <v>361.93</v>
      </c>
      <c r="L7498" s="11">
        <v>18.37</v>
      </c>
      <c r="M7498" s="11">
        <v>45.6</v>
      </c>
      <c r="N7498" s="8">
        <v>43398</v>
      </c>
      <c r="O7498" s="9" t="s">
        <v>173</v>
      </c>
      <c r="P7498" s="12" t="s">
        <v>28</v>
      </c>
      <c r="Q7498" s="9" t="s">
        <v>37</v>
      </c>
      <c r="R7498" s="14" t="str">
        <f>HYPERLINK("https://my.pitchbook.com?c=110624-86T","View Company Online")</f>
        <v>View Company Online</v>
      </c>
    </row>
    <row r="7499" spans="1:18" hidden="1" x14ac:dyDescent="0.3">
      <c r="A7499" s="15" t="s">
        <v>22173</v>
      </c>
      <c r="B7499" s="15" t="s">
        <v>20677</v>
      </c>
      <c r="C7499" s="18" t="s">
        <v>28</v>
      </c>
      <c r="D7499" s="15" t="s">
        <v>20678</v>
      </c>
      <c r="E7499" s="18" t="s">
        <v>28</v>
      </c>
      <c r="F7499" s="19" t="s">
        <v>28</v>
      </c>
      <c r="G7499" s="19">
        <v>0.25</v>
      </c>
      <c r="H7499" s="19" t="s">
        <v>28</v>
      </c>
      <c r="I7499" s="18" t="s">
        <v>28</v>
      </c>
      <c r="J7499" s="18" t="s">
        <v>28</v>
      </c>
      <c r="K7499" s="18" t="s">
        <v>28</v>
      </c>
      <c r="L7499" s="18" t="s">
        <v>28</v>
      </c>
      <c r="M7499" s="18" t="s">
        <v>28</v>
      </c>
      <c r="N7499" s="17">
        <v>43397</v>
      </c>
      <c r="O7499" s="15" t="s">
        <v>47</v>
      </c>
      <c r="P7499" s="16" t="s">
        <v>3097</v>
      </c>
      <c r="Q7499" s="15" t="s">
        <v>3912</v>
      </c>
      <c r="R7499" s="13" t="str">
        <f>HYPERLINK("https://my.pitchbook.com?c=127614-79T","View Company Online")</f>
        <v>View Company Online</v>
      </c>
    </row>
    <row r="7500" spans="1:18" hidden="1" x14ac:dyDescent="0.3">
      <c r="A7500" s="9" t="s">
        <v>22174</v>
      </c>
      <c r="B7500" s="9" t="s">
        <v>22175</v>
      </c>
      <c r="C7500" s="11" t="s">
        <v>28</v>
      </c>
      <c r="D7500" s="9" t="s">
        <v>22176</v>
      </c>
      <c r="E7500" s="11" t="s">
        <v>28</v>
      </c>
      <c r="F7500" s="10" t="s">
        <v>28</v>
      </c>
      <c r="G7500" s="10" t="s">
        <v>28</v>
      </c>
      <c r="H7500" s="10" t="s">
        <v>28</v>
      </c>
      <c r="I7500" s="11" t="s">
        <v>28</v>
      </c>
      <c r="J7500" s="11" t="s">
        <v>28</v>
      </c>
      <c r="K7500" s="11" t="s">
        <v>28</v>
      </c>
      <c r="L7500" s="11" t="s">
        <v>28</v>
      </c>
      <c r="M7500" s="11" t="s">
        <v>28</v>
      </c>
      <c r="N7500" s="8">
        <v>43397</v>
      </c>
      <c r="O7500" s="9" t="s">
        <v>73</v>
      </c>
      <c r="P7500" s="12" t="s">
        <v>20225</v>
      </c>
      <c r="Q7500" s="9" t="s">
        <v>119</v>
      </c>
      <c r="R7500" s="14" t="str">
        <f>HYPERLINK("https://my.pitchbook.com?c=123283-18T","View Company Online")</f>
        <v>View Company Online</v>
      </c>
    </row>
    <row r="7501" spans="1:18" hidden="1" x14ac:dyDescent="0.3">
      <c r="A7501" s="15" t="s">
        <v>22177</v>
      </c>
      <c r="B7501" s="15" t="s">
        <v>10645</v>
      </c>
      <c r="C7501" s="18" t="s">
        <v>28</v>
      </c>
      <c r="D7501" s="15" t="s">
        <v>10646</v>
      </c>
      <c r="E7501" s="18" t="s">
        <v>28</v>
      </c>
      <c r="F7501" s="19" t="s">
        <v>28</v>
      </c>
      <c r="G7501" s="19" t="s">
        <v>28</v>
      </c>
      <c r="H7501" s="19" t="s">
        <v>28</v>
      </c>
      <c r="I7501" s="18" t="s">
        <v>28</v>
      </c>
      <c r="J7501" s="18" t="s">
        <v>28</v>
      </c>
      <c r="K7501" s="18" t="s">
        <v>28</v>
      </c>
      <c r="L7501" s="18" t="s">
        <v>28</v>
      </c>
      <c r="M7501" s="18" t="s">
        <v>28</v>
      </c>
      <c r="N7501" s="17">
        <v>43396</v>
      </c>
      <c r="O7501" s="15" t="s">
        <v>93</v>
      </c>
      <c r="P7501" s="16" t="s">
        <v>22178</v>
      </c>
      <c r="Q7501" s="15" t="s">
        <v>37</v>
      </c>
      <c r="R7501" s="13" t="str">
        <f>HYPERLINK("https://my.pitchbook.com?c=113153-59T","View Company Online")</f>
        <v>View Company Online</v>
      </c>
    </row>
    <row r="7502" spans="1:18" hidden="1" x14ac:dyDescent="0.3">
      <c r="A7502" s="9" t="s">
        <v>22179</v>
      </c>
      <c r="B7502" s="9" t="s">
        <v>22180</v>
      </c>
      <c r="C7502" s="11" t="s">
        <v>28</v>
      </c>
      <c r="D7502" s="9" t="s">
        <v>22181</v>
      </c>
      <c r="E7502" s="11" t="s">
        <v>28</v>
      </c>
      <c r="F7502" s="10" t="s">
        <v>28</v>
      </c>
      <c r="G7502" s="10" t="s">
        <v>28</v>
      </c>
      <c r="H7502" s="10" t="s">
        <v>28</v>
      </c>
      <c r="I7502" s="11" t="s">
        <v>28</v>
      </c>
      <c r="J7502" s="11" t="s">
        <v>28</v>
      </c>
      <c r="K7502" s="11" t="s">
        <v>28</v>
      </c>
      <c r="L7502" s="11" t="s">
        <v>28</v>
      </c>
      <c r="M7502" s="11" t="s">
        <v>28</v>
      </c>
      <c r="N7502" s="8">
        <v>43396</v>
      </c>
      <c r="O7502" s="9" t="s">
        <v>30</v>
      </c>
      <c r="P7502" s="12" t="s">
        <v>5134</v>
      </c>
      <c r="Q7502" s="9" t="s">
        <v>37</v>
      </c>
      <c r="R7502" s="14" t="str">
        <f>HYPERLINK("https://my.pitchbook.com?c=113158-09T","View Company Online")</f>
        <v>View Company Online</v>
      </c>
    </row>
    <row r="7503" spans="1:18" hidden="1" x14ac:dyDescent="0.3">
      <c r="A7503" s="15" t="s">
        <v>22182</v>
      </c>
      <c r="B7503" s="15" t="s">
        <v>20727</v>
      </c>
      <c r="C7503" s="18" t="s">
        <v>28</v>
      </c>
      <c r="D7503" s="15" t="s">
        <v>22183</v>
      </c>
      <c r="E7503" s="18" t="s">
        <v>28</v>
      </c>
      <c r="F7503" s="19" t="s">
        <v>28</v>
      </c>
      <c r="G7503" s="19" t="s">
        <v>28</v>
      </c>
      <c r="H7503" s="19" t="s">
        <v>28</v>
      </c>
      <c r="I7503" s="18" t="s">
        <v>28</v>
      </c>
      <c r="J7503" s="18" t="s">
        <v>28</v>
      </c>
      <c r="K7503" s="18" t="s">
        <v>28</v>
      </c>
      <c r="L7503" s="18" t="s">
        <v>28</v>
      </c>
      <c r="M7503" s="18" t="s">
        <v>28</v>
      </c>
      <c r="N7503" s="17">
        <v>43396</v>
      </c>
      <c r="O7503" s="15" t="s">
        <v>30</v>
      </c>
      <c r="P7503" s="16" t="s">
        <v>5134</v>
      </c>
      <c r="Q7503" s="15" t="s">
        <v>37</v>
      </c>
      <c r="R7503" s="13" t="str">
        <f>HYPERLINK("https://my.pitchbook.com?c=219627-73T","View Company Online")</f>
        <v>View Company Online</v>
      </c>
    </row>
    <row r="7504" spans="1:18" hidden="1" x14ac:dyDescent="0.3">
      <c r="A7504" s="9" t="s">
        <v>22184</v>
      </c>
      <c r="B7504" s="9" t="s">
        <v>22185</v>
      </c>
      <c r="C7504" s="11" t="s">
        <v>28</v>
      </c>
      <c r="D7504" s="9" t="s">
        <v>22186</v>
      </c>
      <c r="E7504" s="11" t="s">
        <v>28</v>
      </c>
      <c r="F7504" s="10">
        <v>3.25</v>
      </c>
      <c r="G7504" s="10">
        <v>1.68</v>
      </c>
      <c r="H7504" s="10">
        <v>3.25</v>
      </c>
      <c r="I7504" s="11" t="s">
        <v>28</v>
      </c>
      <c r="J7504" s="11" t="s">
        <v>28</v>
      </c>
      <c r="K7504" s="11" t="s">
        <v>28</v>
      </c>
      <c r="L7504" s="11" t="s">
        <v>28</v>
      </c>
      <c r="M7504" s="11" t="s">
        <v>28</v>
      </c>
      <c r="N7504" s="8">
        <v>43395</v>
      </c>
      <c r="O7504" s="9" t="s">
        <v>30</v>
      </c>
      <c r="P7504" s="12" t="s">
        <v>18400</v>
      </c>
      <c r="Q7504" s="9" t="s">
        <v>22187</v>
      </c>
      <c r="R7504" s="14" t="str">
        <f>HYPERLINK("https://my.pitchbook.com?c=113124-34T","View Company Online")</f>
        <v>View Company Online</v>
      </c>
    </row>
    <row r="7505" spans="1:18" hidden="1" x14ac:dyDescent="0.3">
      <c r="A7505" s="15" t="s">
        <v>22188</v>
      </c>
      <c r="B7505" s="15" t="s">
        <v>1444</v>
      </c>
      <c r="C7505" s="18" t="s">
        <v>28</v>
      </c>
      <c r="D7505" s="15" t="s">
        <v>1445</v>
      </c>
      <c r="E7505" s="18" t="s">
        <v>28</v>
      </c>
      <c r="F7505" s="19" t="s">
        <v>28</v>
      </c>
      <c r="G7505" s="19">
        <v>31.09</v>
      </c>
      <c r="H7505" s="19" t="s">
        <v>28</v>
      </c>
      <c r="I7505" s="18" t="s">
        <v>28</v>
      </c>
      <c r="J7505" s="18" t="s">
        <v>28</v>
      </c>
      <c r="K7505" s="18">
        <v>492.5</v>
      </c>
      <c r="L7505" s="18" t="s">
        <v>28</v>
      </c>
      <c r="M7505" s="18" t="s">
        <v>28</v>
      </c>
      <c r="N7505" s="17">
        <v>43395</v>
      </c>
      <c r="O7505" s="15" t="s">
        <v>173</v>
      </c>
      <c r="P7505" s="16" t="s">
        <v>28</v>
      </c>
      <c r="Q7505" s="15" t="s">
        <v>245</v>
      </c>
      <c r="R7505" s="13" t="str">
        <f>HYPERLINK("https://my.pitchbook.com?c=111802-87T","View Company Online")</f>
        <v>View Company Online</v>
      </c>
    </row>
    <row r="7506" spans="1:18" x14ac:dyDescent="0.3">
      <c r="A7506" s="9" t="s">
        <v>22189</v>
      </c>
      <c r="B7506" s="9" t="s">
        <v>12263</v>
      </c>
      <c r="C7506" s="11">
        <v>3.36</v>
      </c>
      <c r="D7506" s="9" t="s">
        <v>12264</v>
      </c>
      <c r="E7506" s="11">
        <v>3.4</v>
      </c>
      <c r="F7506" s="10">
        <v>314.91000000000003</v>
      </c>
      <c r="G7506" s="10">
        <v>436.51</v>
      </c>
      <c r="H7506" s="10">
        <v>436.51</v>
      </c>
      <c r="I7506" s="11">
        <v>93.82</v>
      </c>
      <c r="J7506" s="11">
        <v>4.6500000000000004</v>
      </c>
      <c r="K7506" s="11">
        <v>461.26</v>
      </c>
      <c r="L7506" s="11">
        <v>0.95</v>
      </c>
      <c r="M7506" s="11">
        <v>29.36</v>
      </c>
      <c r="N7506" s="8">
        <v>43392</v>
      </c>
      <c r="O7506" s="9" t="s">
        <v>30</v>
      </c>
      <c r="P7506" s="12" t="s">
        <v>22190</v>
      </c>
      <c r="Q7506" s="9" t="s">
        <v>226</v>
      </c>
      <c r="R7506" s="14" t="str">
        <f>HYPERLINK("https://my.pitchbook.com?c=110322-28T","View Company Online")</f>
        <v>View Company Online</v>
      </c>
    </row>
    <row r="7507" spans="1:18" hidden="1" x14ac:dyDescent="0.3">
      <c r="A7507" s="15" t="s">
        <v>22191</v>
      </c>
      <c r="B7507" s="15" t="s">
        <v>16371</v>
      </c>
      <c r="C7507" s="18" t="s">
        <v>28</v>
      </c>
      <c r="D7507" s="15" t="s">
        <v>16372</v>
      </c>
      <c r="E7507" s="18">
        <v>2.06</v>
      </c>
      <c r="F7507" s="19" t="s">
        <v>28</v>
      </c>
      <c r="G7507" s="19" t="s">
        <v>28</v>
      </c>
      <c r="H7507" s="19" t="s">
        <v>28</v>
      </c>
      <c r="I7507" s="18">
        <v>2.2000000000000002</v>
      </c>
      <c r="J7507" s="18" t="s">
        <v>28</v>
      </c>
      <c r="K7507" s="18">
        <v>32.53</v>
      </c>
      <c r="L7507" s="18" t="s">
        <v>28</v>
      </c>
      <c r="M7507" s="18">
        <v>0.77</v>
      </c>
      <c r="N7507" s="17">
        <v>43392</v>
      </c>
      <c r="O7507" s="15" t="s">
        <v>41</v>
      </c>
      <c r="P7507" s="16" t="s">
        <v>9964</v>
      </c>
      <c r="Q7507" s="15" t="s">
        <v>409</v>
      </c>
      <c r="R7507" s="13" t="str">
        <f>HYPERLINK("https://my.pitchbook.com?c=124045-84T","View Company Online")</f>
        <v>View Company Online</v>
      </c>
    </row>
    <row r="7508" spans="1:18" hidden="1" x14ac:dyDescent="0.3">
      <c r="A7508" s="9" t="s">
        <v>22192</v>
      </c>
      <c r="B7508" s="9" t="s">
        <v>22193</v>
      </c>
      <c r="C7508" s="11" t="s">
        <v>28</v>
      </c>
      <c r="D7508" s="9" t="s">
        <v>22194</v>
      </c>
      <c r="E7508" s="11" t="s">
        <v>28</v>
      </c>
      <c r="F7508" s="10" t="s">
        <v>28</v>
      </c>
      <c r="G7508" s="10">
        <v>0.25</v>
      </c>
      <c r="H7508" s="10" t="s">
        <v>28</v>
      </c>
      <c r="I7508" s="11" t="s">
        <v>28</v>
      </c>
      <c r="J7508" s="11" t="s">
        <v>28</v>
      </c>
      <c r="K7508" s="11" t="s">
        <v>28</v>
      </c>
      <c r="L7508" s="11" t="s">
        <v>28</v>
      </c>
      <c r="M7508" s="11" t="s">
        <v>28</v>
      </c>
      <c r="N7508" s="8">
        <v>43390</v>
      </c>
      <c r="O7508" s="9" t="s">
        <v>73</v>
      </c>
      <c r="P7508" s="12" t="s">
        <v>11495</v>
      </c>
      <c r="Q7508" s="9" t="s">
        <v>75</v>
      </c>
      <c r="R7508" s="14" t="str">
        <f>HYPERLINK("https://my.pitchbook.com?c=194633-74T","View Company Online")</f>
        <v>View Company Online</v>
      </c>
    </row>
    <row r="7509" spans="1:18" hidden="1" x14ac:dyDescent="0.3">
      <c r="A7509" s="15" t="s">
        <v>22195</v>
      </c>
      <c r="B7509" s="15" t="s">
        <v>16272</v>
      </c>
      <c r="C7509" s="18" t="s">
        <v>28</v>
      </c>
      <c r="D7509" s="15" t="s">
        <v>16273</v>
      </c>
      <c r="E7509" s="18" t="s">
        <v>28</v>
      </c>
      <c r="F7509" s="19" t="s">
        <v>28</v>
      </c>
      <c r="G7509" s="19">
        <v>100</v>
      </c>
      <c r="H7509" s="19" t="s">
        <v>28</v>
      </c>
      <c r="I7509" s="18" t="s">
        <v>28</v>
      </c>
      <c r="J7509" s="18" t="s">
        <v>28</v>
      </c>
      <c r="K7509" s="18" t="s">
        <v>28</v>
      </c>
      <c r="L7509" s="18" t="s">
        <v>28</v>
      </c>
      <c r="M7509" s="18" t="s">
        <v>28</v>
      </c>
      <c r="N7509" s="17">
        <v>43389</v>
      </c>
      <c r="O7509" s="15" t="s">
        <v>79</v>
      </c>
      <c r="P7509" s="16" t="s">
        <v>22196</v>
      </c>
      <c r="Q7509" s="15" t="s">
        <v>5347</v>
      </c>
      <c r="R7509" s="13" t="str">
        <f>HYPERLINK("https://my.pitchbook.com?c=103876-84T","View Company Online")</f>
        <v>View Company Online</v>
      </c>
    </row>
    <row r="7510" spans="1:18" hidden="1" x14ac:dyDescent="0.3">
      <c r="A7510" s="9" t="s">
        <v>22197</v>
      </c>
      <c r="B7510" s="9" t="s">
        <v>13922</v>
      </c>
      <c r="C7510" s="11" t="s">
        <v>28</v>
      </c>
      <c r="D7510" s="9" t="s">
        <v>13923</v>
      </c>
      <c r="E7510" s="11" t="s">
        <v>28</v>
      </c>
      <c r="F7510" s="10" t="s">
        <v>28</v>
      </c>
      <c r="G7510" s="10">
        <v>1.26</v>
      </c>
      <c r="H7510" s="10" t="s">
        <v>28</v>
      </c>
      <c r="I7510" s="11" t="s">
        <v>28</v>
      </c>
      <c r="J7510" s="11" t="s">
        <v>28</v>
      </c>
      <c r="K7510" s="11" t="s">
        <v>28</v>
      </c>
      <c r="L7510" s="11" t="s">
        <v>28</v>
      </c>
      <c r="M7510" s="11" t="s">
        <v>28</v>
      </c>
      <c r="N7510" s="8">
        <v>43388</v>
      </c>
      <c r="O7510" s="9" t="s">
        <v>73</v>
      </c>
      <c r="P7510" s="12" t="s">
        <v>22198</v>
      </c>
      <c r="Q7510" s="9" t="s">
        <v>75</v>
      </c>
      <c r="R7510" s="14" t="str">
        <f>HYPERLINK("https://my.pitchbook.com?c=111293-83T","View Company Online")</f>
        <v>View Company Online</v>
      </c>
    </row>
    <row r="7511" spans="1:18" hidden="1" x14ac:dyDescent="0.3">
      <c r="A7511" s="15" t="s">
        <v>22199</v>
      </c>
      <c r="B7511" s="15" t="s">
        <v>22200</v>
      </c>
      <c r="C7511" s="18" t="s">
        <v>28</v>
      </c>
      <c r="D7511" s="15" t="s">
        <v>22201</v>
      </c>
      <c r="E7511" s="18" t="s">
        <v>28</v>
      </c>
      <c r="F7511" s="19" t="s">
        <v>28</v>
      </c>
      <c r="G7511" s="19" t="s">
        <v>28</v>
      </c>
      <c r="H7511" s="19" t="s">
        <v>28</v>
      </c>
      <c r="I7511" s="18" t="s">
        <v>28</v>
      </c>
      <c r="J7511" s="18" t="s">
        <v>28</v>
      </c>
      <c r="K7511" s="18" t="s">
        <v>28</v>
      </c>
      <c r="L7511" s="18" t="s">
        <v>28</v>
      </c>
      <c r="M7511" s="18" t="s">
        <v>28</v>
      </c>
      <c r="N7511" s="17">
        <v>43388</v>
      </c>
      <c r="O7511" s="15" t="s">
        <v>30</v>
      </c>
      <c r="P7511" s="16" t="s">
        <v>22202</v>
      </c>
      <c r="Q7511" s="15" t="s">
        <v>54</v>
      </c>
      <c r="R7511" s="13" t="str">
        <f>HYPERLINK("https://my.pitchbook.com?c=117420-22T","View Company Online")</f>
        <v>View Company Online</v>
      </c>
    </row>
    <row r="7512" spans="1:18" hidden="1" x14ac:dyDescent="0.3">
      <c r="A7512" s="9" t="s">
        <v>22203</v>
      </c>
      <c r="B7512" s="9" t="s">
        <v>5292</v>
      </c>
      <c r="C7512" s="11" t="s">
        <v>28</v>
      </c>
      <c r="D7512" s="9" t="s">
        <v>5293</v>
      </c>
      <c r="E7512" s="11" t="s">
        <v>28</v>
      </c>
      <c r="F7512" s="10" t="s">
        <v>28</v>
      </c>
      <c r="G7512" s="10">
        <v>0.63</v>
      </c>
      <c r="H7512" s="10" t="s">
        <v>28</v>
      </c>
      <c r="I7512" s="11" t="s">
        <v>28</v>
      </c>
      <c r="J7512" s="11" t="s">
        <v>28</v>
      </c>
      <c r="K7512" s="11" t="s">
        <v>28</v>
      </c>
      <c r="L7512" s="11" t="s">
        <v>28</v>
      </c>
      <c r="M7512" s="11" t="s">
        <v>28</v>
      </c>
      <c r="N7512" s="8">
        <v>43385</v>
      </c>
      <c r="O7512" s="9" t="s">
        <v>1639</v>
      </c>
      <c r="P7512" s="12" t="s">
        <v>28</v>
      </c>
      <c r="Q7512" s="9" t="s">
        <v>114</v>
      </c>
      <c r="R7512" s="14" t="str">
        <f>HYPERLINK("https://my.pitchbook.com?c=233202-70T","View Company Online")</f>
        <v>View Company Online</v>
      </c>
    </row>
    <row r="7513" spans="1:18" hidden="1" x14ac:dyDescent="0.3">
      <c r="A7513" s="15" t="s">
        <v>22204</v>
      </c>
      <c r="B7513" s="15" t="s">
        <v>22205</v>
      </c>
      <c r="C7513" s="18" t="s">
        <v>28</v>
      </c>
      <c r="D7513" s="15" t="s">
        <v>22206</v>
      </c>
      <c r="E7513" s="18" t="s">
        <v>28</v>
      </c>
      <c r="F7513" s="19">
        <v>1.7</v>
      </c>
      <c r="G7513" s="19">
        <v>1.7</v>
      </c>
      <c r="H7513" s="19">
        <v>1.7</v>
      </c>
      <c r="I7513" s="18" t="s">
        <v>28</v>
      </c>
      <c r="J7513" s="18" t="s">
        <v>28</v>
      </c>
      <c r="K7513" s="18">
        <v>1.43</v>
      </c>
      <c r="L7513" s="18">
        <v>1.19</v>
      </c>
      <c r="M7513" s="18" t="s">
        <v>28</v>
      </c>
      <c r="N7513" s="17">
        <v>43384</v>
      </c>
      <c r="O7513" s="15" t="s">
        <v>30</v>
      </c>
      <c r="P7513" s="16" t="s">
        <v>4616</v>
      </c>
      <c r="Q7513" s="15" t="s">
        <v>37</v>
      </c>
      <c r="R7513" s="13" t="str">
        <f>HYPERLINK("https://my.pitchbook.com?c=257857-48T","View Company Online")</f>
        <v>View Company Online</v>
      </c>
    </row>
    <row r="7514" spans="1:18" x14ac:dyDescent="0.3">
      <c r="A7514" s="9" t="s">
        <v>22207</v>
      </c>
      <c r="B7514" s="9" t="s">
        <v>12054</v>
      </c>
      <c r="C7514" s="11">
        <v>46.3</v>
      </c>
      <c r="D7514" s="9" t="s">
        <v>22208</v>
      </c>
      <c r="E7514" s="11">
        <v>30.6</v>
      </c>
      <c r="F7514" s="10">
        <v>1416.91</v>
      </c>
      <c r="G7514" s="10">
        <v>1571.41</v>
      </c>
      <c r="H7514" s="10">
        <v>1614.19</v>
      </c>
      <c r="I7514" s="11">
        <v>30.6</v>
      </c>
      <c r="J7514" s="11">
        <v>52.75</v>
      </c>
      <c r="K7514" s="11">
        <v>594.11</v>
      </c>
      <c r="L7514" s="11">
        <v>2.72</v>
      </c>
      <c r="M7514" s="11">
        <v>-29.59</v>
      </c>
      <c r="N7514" s="8">
        <v>43384</v>
      </c>
      <c r="O7514" s="9" t="s">
        <v>30</v>
      </c>
      <c r="P7514" s="12" t="s">
        <v>21227</v>
      </c>
      <c r="Q7514" s="9" t="s">
        <v>43</v>
      </c>
      <c r="R7514" s="14" t="str">
        <f>HYPERLINK("https://my.pitchbook.com?c=98490-97T","View Company Online")</f>
        <v>View Company Online</v>
      </c>
    </row>
    <row r="7515" spans="1:18" hidden="1" x14ac:dyDescent="0.3">
      <c r="A7515" s="15" t="s">
        <v>22209</v>
      </c>
      <c r="B7515" s="15" t="s">
        <v>22210</v>
      </c>
      <c r="C7515" s="18" t="s">
        <v>28</v>
      </c>
      <c r="D7515" s="15" t="s">
        <v>22211</v>
      </c>
      <c r="E7515" s="18" t="s">
        <v>28</v>
      </c>
      <c r="F7515" s="19" t="s">
        <v>28</v>
      </c>
      <c r="G7515" s="19" t="s">
        <v>28</v>
      </c>
      <c r="H7515" s="19" t="s">
        <v>28</v>
      </c>
      <c r="I7515" s="18" t="s">
        <v>28</v>
      </c>
      <c r="J7515" s="18" t="s">
        <v>28</v>
      </c>
      <c r="K7515" s="18" t="s">
        <v>28</v>
      </c>
      <c r="L7515" s="18" t="s">
        <v>28</v>
      </c>
      <c r="M7515" s="18" t="s">
        <v>28</v>
      </c>
      <c r="N7515" s="17">
        <v>43383</v>
      </c>
      <c r="O7515" s="15" t="s">
        <v>30</v>
      </c>
      <c r="P7515" s="16" t="s">
        <v>22212</v>
      </c>
      <c r="Q7515" s="15" t="s">
        <v>136</v>
      </c>
      <c r="R7515" s="13" t="str">
        <f>HYPERLINK("https://my.pitchbook.com?c=255079-54T","View Company Online")</f>
        <v>View Company Online</v>
      </c>
    </row>
    <row r="7516" spans="1:18" hidden="1" x14ac:dyDescent="0.3">
      <c r="A7516" s="9" t="s">
        <v>22213</v>
      </c>
      <c r="B7516" s="9" t="s">
        <v>22214</v>
      </c>
      <c r="C7516" s="11" t="s">
        <v>28</v>
      </c>
      <c r="D7516" s="9" t="s">
        <v>22215</v>
      </c>
      <c r="E7516" s="11" t="s">
        <v>28</v>
      </c>
      <c r="F7516" s="10" t="s">
        <v>28</v>
      </c>
      <c r="G7516" s="10" t="s">
        <v>28</v>
      </c>
      <c r="H7516" s="10" t="s">
        <v>28</v>
      </c>
      <c r="I7516" s="11" t="s">
        <v>28</v>
      </c>
      <c r="J7516" s="11" t="s">
        <v>28</v>
      </c>
      <c r="K7516" s="11" t="s">
        <v>28</v>
      </c>
      <c r="L7516" s="11" t="s">
        <v>28</v>
      </c>
      <c r="M7516" s="11" t="s">
        <v>28</v>
      </c>
      <c r="N7516" s="8">
        <v>43383</v>
      </c>
      <c r="O7516" s="9" t="s">
        <v>52</v>
      </c>
      <c r="P7516" s="12" t="s">
        <v>22216</v>
      </c>
      <c r="Q7516" s="9" t="s">
        <v>75</v>
      </c>
      <c r="R7516" s="14" t="str">
        <f>HYPERLINK("https://my.pitchbook.com?c=123157-27T","View Company Online")</f>
        <v>View Company Online</v>
      </c>
    </row>
    <row r="7517" spans="1:18" hidden="1" x14ac:dyDescent="0.3">
      <c r="A7517" s="15" t="s">
        <v>22217</v>
      </c>
      <c r="B7517" s="15" t="s">
        <v>16564</v>
      </c>
      <c r="C7517" s="18" t="s">
        <v>28</v>
      </c>
      <c r="D7517" s="15" t="s">
        <v>16565</v>
      </c>
      <c r="E7517" s="18" t="s">
        <v>28</v>
      </c>
      <c r="F7517" s="19" t="s">
        <v>28</v>
      </c>
      <c r="G7517" s="19">
        <v>0.02</v>
      </c>
      <c r="H7517" s="19" t="s">
        <v>28</v>
      </c>
      <c r="I7517" s="18" t="s">
        <v>28</v>
      </c>
      <c r="J7517" s="18" t="s">
        <v>28</v>
      </c>
      <c r="K7517" s="18" t="s">
        <v>28</v>
      </c>
      <c r="L7517" s="18" t="s">
        <v>28</v>
      </c>
      <c r="M7517" s="18" t="s">
        <v>28</v>
      </c>
      <c r="N7517" s="17">
        <v>43382</v>
      </c>
      <c r="O7517" s="15" t="s">
        <v>99</v>
      </c>
      <c r="P7517" s="16" t="s">
        <v>28</v>
      </c>
      <c r="Q7517" s="15" t="s">
        <v>1263</v>
      </c>
      <c r="R7517" s="13" t="str">
        <f>HYPERLINK("https://my.pitchbook.com?c=157005-73T","View Company Online")</f>
        <v>View Company Online</v>
      </c>
    </row>
    <row r="7518" spans="1:18" hidden="1" x14ac:dyDescent="0.3">
      <c r="A7518" s="9" t="s">
        <v>22218</v>
      </c>
      <c r="B7518" s="9" t="s">
        <v>11477</v>
      </c>
      <c r="C7518" s="11" t="s">
        <v>28</v>
      </c>
      <c r="D7518" s="9" t="s">
        <v>11478</v>
      </c>
      <c r="E7518" s="11" t="s">
        <v>28</v>
      </c>
      <c r="F7518" s="10" t="s">
        <v>28</v>
      </c>
      <c r="G7518" s="10">
        <v>1.7</v>
      </c>
      <c r="H7518" s="10" t="s">
        <v>28</v>
      </c>
      <c r="I7518" s="11" t="s">
        <v>28</v>
      </c>
      <c r="J7518" s="11" t="s">
        <v>28</v>
      </c>
      <c r="K7518" s="11" t="s">
        <v>28</v>
      </c>
      <c r="L7518" s="11" t="s">
        <v>28</v>
      </c>
      <c r="M7518" s="11" t="s">
        <v>28</v>
      </c>
      <c r="N7518" s="8">
        <v>43381</v>
      </c>
      <c r="O7518" s="9" t="s">
        <v>379</v>
      </c>
      <c r="P7518" s="12" t="s">
        <v>28</v>
      </c>
      <c r="Q7518" s="9" t="s">
        <v>855</v>
      </c>
      <c r="R7518" s="14" t="str">
        <f>HYPERLINK("https://my.pitchbook.com?c=200827-45T","View Company Online")</f>
        <v>View Company Online</v>
      </c>
    </row>
    <row r="7519" spans="1:18" hidden="1" x14ac:dyDescent="0.3">
      <c r="A7519" s="15" t="s">
        <v>22219</v>
      </c>
      <c r="B7519" s="15" t="s">
        <v>5785</v>
      </c>
      <c r="C7519" s="18" t="s">
        <v>28</v>
      </c>
      <c r="D7519" s="15" t="s">
        <v>12775</v>
      </c>
      <c r="E7519" s="18" t="s">
        <v>28</v>
      </c>
      <c r="F7519" s="19" t="s">
        <v>28</v>
      </c>
      <c r="G7519" s="19">
        <v>180</v>
      </c>
      <c r="H7519" s="19">
        <v>4000</v>
      </c>
      <c r="I7519" s="18" t="s">
        <v>28</v>
      </c>
      <c r="J7519" s="18" t="s">
        <v>28</v>
      </c>
      <c r="K7519" s="18">
        <v>207.97</v>
      </c>
      <c r="L7519" s="18">
        <v>19.23</v>
      </c>
      <c r="M7519" s="18">
        <v>-28.58</v>
      </c>
      <c r="N7519" s="17">
        <v>43381</v>
      </c>
      <c r="O7519" s="15" t="s">
        <v>79</v>
      </c>
      <c r="P7519" s="16" t="s">
        <v>22220</v>
      </c>
      <c r="Q7519" s="15" t="s">
        <v>1213</v>
      </c>
      <c r="R7519" s="13" t="str">
        <f>HYPERLINK("https://my.pitchbook.com?c=112666-15T","View Company Online")</f>
        <v>View Company Online</v>
      </c>
    </row>
    <row r="7520" spans="1:18" hidden="1" x14ac:dyDescent="0.3">
      <c r="A7520" s="9" t="s">
        <v>22221</v>
      </c>
      <c r="B7520" s="9" t="s">
        <v>6047</v>
      </c>
      <c r="C7520" s="11" t="s">
        <v>28</v>
      </c>
      <c r="D7520" s="9" t="s">
        <v>6048</v>
      </c>
      <c r="E7520" s="11" t="s">
        <v>28</v>
      </c>
      <c r="F7520" s="10" t="s">
        <v>28</v>
      </c>
      <c r="G7520" s="10">
        <v>12</v>
      </c>
      <c r="H7520" s="10">
        <v>120</v>
      </c>
      <c r="I7520" s="11" t="s">
        <v>28</v>
      </c>
      <c r="J7520" s="11" t="s">
        <v>28</v>
      </c>
      <c r="K7520" s="11" t="s">
        <v>28</v>
      </c>
      <c r="L7520" s="11" t="s">
        <v>28</v>
      </c>
      <c r="M7520" s="11" t="s">
        <v>28</v>
      </c>
      <c r="N7520" s="8">
        <v>43381</v>
      </c>
      <c r="O7520" s="9" t="s">
        <v>93</v>
      </c>
      <c r="P7520" s="12" t="s">
        <v>22222</v>
      </c>
      <c r="Q7520" s="9" t="s">
        <v>880</v>
      </c>
      <c r="R7520" s="14" t="str">
        <f>HYPERLINK("https://my.pitchbook.com?c=186881-68T","View Company Online")</f>
        <v>View Company Online</v>
      </c>
    </row>
    <row r="7521" spans="1:18" hidden="1" x14ac:dyDescent="0.3">
      <c r="A7521" s="15" t="s">
        <v>22223</v>
      </c>
      <c r="B7521" s="15" t="s">
        <v>22224</v>
      </c>
      <c r="C7521" s="18" t="s">
        <v>28</v>
      </c>
      <c r="D7521" s="15" t="s">
        <v>22225</v>
      </c>
      <c r="E7521" s="18" t="s">
        <v>28</v>
      </c>
      <c r="F7521" s="19" t="s">
        <v>28</v>
      </c>
      <c r="G7521" s="19">
        <v>0.15</v>
      </c>
      <c r="H7521" s="19">
        <v>1.48</v>
      </c>
      <c r="I7521" s="18" t="s">
        <v>28</v>
      </c>
      <c r="J7521" s="18" t="s">
        <v>28</v>
      </c>
      <c r="K7521" s="18" t="s">
        <v>28</v>
      </c>
      <c r="L7521" s="18" t="s">
        <v>28</v>
      </c>
      <c r="M7521" s="18" t="s">
        <v>28</v>
      </c>
      <c r="N7521" s="17">
        <v>43381</v>
      </c>
      <c r="O7521" s="15" t="s">
        <v>1639</v>
      </c>
      <c r="P7521" s="16" t="s">
        <v>28</v>
      </c>
      <c r="Q7521" s="15" t="s">
        <v>2916</v>
      </c>
      <c r="R7521" s="13" t="str">
        <f>HYPERLINK("https://my.pitchbook.com?c=122959-18T","View Company Online")</f>
        <v>View Company Online</v>
      </c>
    </row>
    <row r="7522" spans="1:18" hidden="1" x14ac:dyDescent="0.3">
      <c r="A7522" s="9" t="s">
        <v>22226</v>
      </c>
      <c r="B7522" s="9" t="s">
        <v>22227</v>
      </c>
      <c r="C7522" s="11" t="s">
        <v>28</v>
      </c>
      <c r="D7522" s="9" t="s">
        <v>22228</v>
      </c>
      <c r="E7522" s="11" t="s">
        <v>28</v>
      </c>
      <c r="F7522" s="10" t="s">
        <v>28</v>
      </c>
      <c r="G7522" s="10" t="s">
        <v>28</v>
      </c>
      <c r="H7522" s="10" t="s">
        <v>28</v>
      </c>
      <c r="I7522" s="11" t="s">
        <v>28</v>
      </c>
      <c r="J7522" s="11" t="s">
        <v>28</v>
      </c>
      <c r="K7522" s="11" t="s">
        <v>28</v>
      </c>
      <c r="L7522" s="11" t="s">
        <v>28</v>
      </c>
      <c r="M7522" s="11" t="s">
        <v>28</v>
      </c>
      <c r="N7522" s="8">
        <v>43378</v>
      </c>
      <c r="O7522" s="9" t="s">
        <v>30</v>
      </c>
      <c r="P7522" s="12" t="s">
        <v>22229</v>
      </c>
      <c r="Q7522" s="9" t="s">
        <v>37</v>
      </c>
      <c r="R7522" s="14" t="str">
        <f>HYPERLINK("https://my.pitchbook.com?c=112877-65T","View Company Online")</f>
        <v>View Company Online</v>
      </c>
    </row>
    <row r="7523" spans="1:18" hidden="1" x14ac:dyDescent="0.3">
      <c r="A7523" s="15" t="s">
        <v>22230</v>
      </c>
      <c r="B7523" s="15" t="s">
        <v>22231</v>
      </c>
      <c r="C7523" s="18" t="s">
        <v>28</v>
      </c>
      <c r="D7523" s="15" t="s">
        <v>22232</v>
      </c>
      <c r="E7523" s="18" t="s">
        <v>28</v>
      </c>
      <c r="F7523" s="19" t="s">
        <v>28</v>
      </c>
      <c r="G7523" s="19" t="s">
        <v>28</v>
      </c>
      <c r="H7523" s="19" t="s">
        <v>28</v>
      </c>
      <c r="I7523" s="18" t="s">
        <v>28</v>
      </c>
      <c r="J7523" s="18" t="s">
        <v>28</v>
      </c>
      <c r="K7523" s="18" t="s">
        <v>28</v>
      </c>
      <c r="L7523" s="18" t="s">
        <v>28</v>
      </c>
      <c r="M7523" s="18" t="s">
        <v>28</v>
      </c>
      <c r="N7523" s="17">
        <v>43378</v>
      </c>
      <c r="O7523" s="15" t="s">
        <v>30</v>
      </c>
      <c r="P7523" s="16" t="s">
        <v>20497</v>
      </c>
      <c r="Q7523" s="15" t="s">
        <v>740</v>
      </c>
      <c r="R7523" s="13" t="str">
        <f>HYPERLINK("https://my.pitchbook.com?c=112961-08T","View Company Online")</f>
        <v>View Company Online</v>
      </c>
    </row>
    <row r="7524" spans="1:18" hidden="1" x14ac:dyDescent="0.3">
      <c r="A7524" s="9" t="s">
        <v>22233</v>
      </c>
      <c r="B7524" s="9" t="s">
        <v>20463</v>
      </c>
      <c r="C7524" s="11" t="s">
        <v>28</v>
      </c>
      <c r="D7524" s="9" t="s">
        <v>20464</v>
      </c>
      <c r="E7524" s="11" t="s">
        <v>28</v>
      </c>
      <c r="F7524" s="10" t="s">
        <v>28</v>
      </c>
      <c r="G7524" s="10" t="s">
        <v>28</v>
      </c>
      <c r="H7524" s="10" t="s">
        <v>28</v>
      </c>
      <c r="I7524" s="11" t="s">
        <v>28</v>
      </c>
      <c r="J7524" s="11" t="s">
        <v>28</v>
      </c>
      <c r="K7524" s="11" t="s">
        <v>28</v>
      </c>
      <c r="L7524" s="11" t="s">
        <v>28</v>
      </c>
      <c r="M7524" s="11" t="s">
        <v>28</v>
      </c>
      <c r="N7524" s="8">
        <v>43375</v>
      </c>
      <c r="O7524" s="9" t="s">
        <v>99</v>
      </c>
      <c r="P7524" s="12" t="s">
        <v>22234</v>
      </c>
      <c r="Q7524" s="9" t="s">
        <v>95</v>
      </c>
      <c r="R7524" s="14" t="str">
        <f>HYPERLINK("https://my.pitchbook.com?c=114986-62T","View Company Online")</f>
        <v>View Company Online</v>
      </c>
    </row>
    <row r="7525" spans="1:18" hidden="1" x14ac:dyDescent="0.3">
      <c r="A7525" s="15" t="s">
        <v>22235</v>
      </c>
      <c r="B7525" s="15" t="s">
        <v>22236</v>
      </c>
      <c r="C7525" s="18" t="s">
        <v>28</v>
      </c>
      <c r="D7525" s="15" t="s">
        <v>22237</v>
      </c>
      <c r="E7525" s="18" t="s">
        <v>28</v>
      </c>
      <c r="F7525" s="19">
        <v>84.14</v>
      </c>
      <c r="G7525" s="19">
        <v>54.69</v>
      </c>
      <c r="H7525" s="19">
        <v>84.14</v>
      </c>
      <c r="I7525" s="18" t="s">
        <v>28</v>
      </c>
      <c r="J7525" s="18" t="s">
        <v>28</v>
      </c>
      <c r="K7525" s="18" t="s">
        <v>28</v>
      </c>
      <c r="L7525" s="18" t="s">
        <v>28</v>
      </c>
      <c r="M7525" s="18" t="s">
        <v>28</v>
      </c>
      <c r="N7525" s="17">
        <v>43375</v>
      </c>
      <c r="O7525" s="15" t="s">
        <v>30</v>
      </c>
      <c r="P7525" s="16" t="s">
        <v>6286</v>
      </c>
      <c r="Q7525" s="15" t="s">
        <v>114</v>
      </c>
      <c r="R7525" s="13" t="str">
        <f>HYPERLINK("https://my.pitchbook.com?c=121016-62T","View Company Online")</f>
        <v>View Company Online</v>
      </c>
    </row>
    <row r="7526" spans="1:18" hidden="1" x14ac:dyDescent="0.3">
      <c r="A7526" s="9" t="s">
        <v>22238</v>
      </c>
      <c r="B7526" s="9" t="s">
        <v>22239</v>
      </c>
      <c r="C7526" s="11" t="s">
        <v>28</v>
      </c>
      <c r="D7526" s="9" t="s">
        <v>22240</v>
      </c>
      <c r="E7526" s="11" t="s">
        <v>28</v>
      </c>
      <c r="F7526" s="10" t="s">
        <v>28</v>
      </c>
      <c r="G7526" s="10" t="s">
        <v>28</v>
      </c>
      <c r="H7526" s="10" t="s">
        <v>28</v>
      </c>
      <c r="I7526" s="11" t="s">
        <v>28</v>
      </c>
      <c r="J7526" s="11" t="s">
        <v>28</v>
      </c>
      <c r="K7526" s="11" t="s">
        <v>28</v>
      </c>
      <c r="L7526" s="11" t="s">
        <v>28</v>
      </c>
      <c r="M7526" s="11" t="s">
        <v>28</v>
      </c>
      <c r="N7526" s="8">
        <v>43375</v>
      </c>
      <c r="O7526" s="9" t="s">
        <v>30</v>
      </c>
      <c r="P7526" s="12" t="s">
        <v>22241</v>
      </c>
      <c r="Q7526" s="9" t="s">
        <v>75</v>
      </c>
      <c r="R7526" s="14" t="str">
        <f>HYPERLINK("https://my.pitchbook.com?c=113912-83T","View Company Online")</f>
        <v>View Company Online</v>
      </c>
    </row>
    <row r="7527" spans="1:18" hidden="1" x14ac:dyDescent="0.3">
      <c r="A7527" s="15" t="s">
        <v>22242</v>
      </c>
      <c r="B7527" s="15" t="s">
        <v>2972</v>
      </c>
      <c r="C7527" s="18" t="s">
        <v>28</v>
      </c>
      <c r="D7527" s="15" t="s">
        <v>2973</v>
      </c>
      <c r="E7527" s="18" t="s">
        <v>28</v>
      </c>
      <c r="F7527" s="19" t="s">
        <v>28</v>
      </c>
      <c r="G7527" s="19">
        <v>1.22</v>
      </c>
      <c r="H7527" s="19" t="s">
        <v>28</v>
      </c>
      <c r="I7527" s="18" t="s">
        <v>28</v>
      </c>
      <c r="J7527" s="18" t="s">
        <v>28</v>
      </c>
      <c r="K7527" s="18" t="s">
        <v>28</v>
      </c>
      <c r="L7527" s="18" t="s">
        <v>28</v>
      </c>
      <c r="M7527" s="18" t="s">
        <v>28</v>
      </c>
      <c r="N7527" s="17">
        <v>43374</v>
      </c>
      <c r="O7527" s="15" t="s">
        <v>99</v>
      </c>
      <c r="P7527" s="16" t="s">
        <v>22243</v>
      </c>
      <c r="Q7527" s="15" t="s">
        <v>119</v>
      </c>
      <c r="R7527" s="13" t="str">
        <f>HYPERLINK("https://my.pitchbook.com?c=120008-17T","View Company Online")</f>
        <v>View Company Online</v>
      </c>
    </row>
    <row r="7528" spans="1:18" hidden="1" x14ac:dyDescent="0.3">
      <c r="A7528" s="9" t="s">
        <v>22244</v>
      </c>
      <c r="B7528" s="9" t="s">
        <v>22245</v>
      </c>
      <c r="C7528" s="11" t="s">
        <v>28</v>
      </c>
      <c r="D7528" s="9" t="s">
        <v>22246</v>
      </c>
      <c r="E7528" s="11" t="s">
        <v>28</v>
      </c>
      <c r="F7528" s="10" t="s">
        <v>28</v>
      </c>
      <c r="G7528" s="10" t="s">
        <v>28</v>
      </c>
      <c r="H7528" s="10" t="s">
        <v>28</v>
      </c>
      <c r="I7528" s="11" t="s">
        <v>28</v>
      </c>
      <c r="J7528" s="11" t="s">
        <v>28</v>
      </c>
      <c r="K7528" s="11" t="s">
        <v>28</v>
      </c>
      <c r="L7528" s="11" t="s">
        <v>28</v>
      </c>
      <c r="M7528" s="11" t="s">
        <v>28</v>
      </c>
      <c r="N7528" s="8">
        <v>43374</v>
      </c>
      <c r="O7528" s="9" t="s">
        <v>99</v>
      </c>
      <c r="P7528" s="12" t="s">
        <v>18538</v>
      </c>
      <c r="Q7528" s="9" t="s">
        <v>75</v>
      </c>
      <c r="R7528" s="14" t="str">
        <f>HYPERLINK("https://my.pitchbook.com?c=120131-47T","View Company Online")</f>
        <v>View Company Online</v>
      </c>
    </row>
    <row r="7529" spans="1:18" hidden="1" x14ac:dyDescent="0.3">
      <c r="A7529" s="15" t="s">
        <v>22247</v>
      </c>
      <c r="B7529" s="15" t="s">
        <v>22248</v>
      </c>
      <c r="C7529" s="18" t="s">
        <v>28</v>
      </c>
      <c r="D7529" s="15" t="s">
        <v>22249</v>
      </c>
      <c r="E7529" s="18" t="s">
        <v>28</v>
      </c>
      <c r="F7529" s="19" t="s">
        <v>28</v>
      </c>
      <c r="G7529" s="19" t="s">
        <v>28</v>
      </c>
      <c r="H7529" s="19" t="s">
        <v>28</v>
      </c>
      <c r="I7529" s="18" t="s">
        <v>28</v>
      </c>
      <c r="J7529" s="18" t="s">
        <v>28</v>
      </c>
      <c r="K7529" s="18" t="s">
        <v>28</v>
      </c>
      <c r="L7529" s="18" t="s">
        <v>28</v>
      </c>
      <c r="M7529" s="18" t="s">
        <v>28</v>
      </c>
      <c r="N7529" s="17">
        <v>43374</v>
      </c>
      <c r="O7529" s="15" t="s">
        <v>30</v>
      </c>
      <c r="P7529" s="16" t="s">
        <v>6286</v>
      </c>
      <c r="Q7529" s="15" t="s">
        <v>114</v>
      </c>
      <c r="R7529" s="13" t="str">
        <f>HYPERLINK("https://my.pitchbook.com?c=224242-12T","View Company Online")</f>
        <v>View Company Online</v>
      </c>
    </row>
    <row r="7530" spans="1:18" hidden="1" x14ac:dyDescent="0.3">
      <c r="A7530" s="9" t="s">
        <v>22250</v>
      </c>
      <c r="B7530" s="9" t="s">
        <v>12150</v>
      </c>
      <c r="C7530" s="11" t="s">
        <v>28</v>
      </c>
      <c r="D7530" s="9" t="s">
        <v>12151</v>
      </c>
      <c r="E7530" s="11" t="s">
        <v>28</v>
      </c>
      <c r="F7530" s="10" t="s">
        <v>28</v>
      </c>
      <c r="G7530" s="10">
        <v>40</v>
      </c>
      <c r="H7530" s="10" t="s">
        <v>28</v>
      </c>
      <c r="I7530" s="11" t="s">
        <v>28</v>
      </c>
      <c r="J7530" s="11" t="s">
        <v>28</v>
      </c>
      <c r="K7530" s="11" t="s">
        <v>28</v>
      </c>
      <c r="L7530" s="11" t="s">
        <v>28</v>
      </c>
      <c r="M7530" s="11" t="s">
        <v>28</v>
      </c>
      <c r="N7530" s="8">
        <v>43374</v>
      </c>
      <c r="O7530" s="9" t="s">
        <v>99</v>
      </c>
      <c r="P7530" s="12" t="s">
        <v>22251</v>
      </c>
      <c r="Q7530" s="9" t="s">
        <v>75</v>
      </c>
      <c r="R7530" s="14" t="str">
        <f>HYPERLINK("https://my.pitchbook.com?c=123537-61T","View Company Online")</f>
        <v>View Company Online</v>
      </c>
    </row>
    <row r="7531" spans="1:18" hidden="1" x14ac:dyDescent="0.3">
      <c r="A7531" s="15" t="s">
        <v>22252</v>
      </c>
      <c r="B7531" s="15" t="s">
        <v>21255</v>
      </c>
      <c r="C7531" s="18" t="s">
        <v>28</v>
      </c>
      <c r="D7531" s="15" t="s">
        <v>21256</v>
      </c>
      <c r="E7531" s="18" t="s">
        <v>28</v>
      </c>
      <c r="F7531" s="19" t="s">
        <v>28</v>
      </c>
      <c r="G7531" s="19">
        <v>4</v>
      </c>
      <c r="H7531" s="19" t="s">
        <v>28</v>
      </c>
      <c r="I7531" s="18" t="s">
        <v>28</v>
      </c>
      <c r="J7531" s="18" t="s">
        <v>28</v>
      </c>
      <c r="K7531" s="18" t="s">
        <v>28</v>
      </c>
      <c r="L7531" s="18" t="s">
        <v>28</v>
      </c>
      <c r="M7531" s="18" t="s">
        <v>28</v>
      </c>
      <c r="N7531" s="17">
        <v>43374</v>
      </c>
      <c r="O7531" s="15" t="s">
        <v>73</v>
      </c>
      <c r="P7531" s="16" t="s">
        <v>22253</v>
      </c>
      <c r="Q7531" s="15" t="s">
        <v>75</v>
      </c>
      <c r="R7531" s="13" t="str">
        <f>HYPERLINK("https://my.pitchbook.com?c=113563-81T","View Company Online")</f>
        <v>View Company Online</v>
      </c>
    </row>
    <row r="7532" spans="1:18" hidden="1" x14ac:dyDescent="0.3">
      <c r="A7532" s="9" t="s">
        <v>22254</v>
      </c>
      <c r="B7532" s="9" t="s">
        <v>13913</v>
      </c>
      <c r="C7532" s="11" t="s">
        <v>28</v>
      </c>
      <c r="D7532" s="9" t="s">
        <v>13914</v>
      </c>
      <c r="E7532" s="11" t="s">
        <v>28</v>
      </c>
      <c r="F7532" s="10" t="s">
        <v>28</v>
      </c>
      <c r="G7532" s="10" t="s">
        <v>28</v>
      </c>
      <c r="H7532" s="10" t="s">
        <v>28</v>
      </c>
      <c r="I7532" s="11" t="s">
        <v>28</v>
      </c>
      <c r="J7532" s="11" t="s">
        <v>28</v>
      </c>
      <c r="K7532" s="11" t="s">
        <v>28</v>
      </c>
      <c r="L7532" s="11" t="s">
        <v>28</v>
      </c>
      <c r="M7532" s="11" t="s">
        <v>28</v>
      </c>
      <c r="N7532" s="8">
        <v>43374</v>
      </c>
      <c r="O7532" s="9" t="s">
        <v>379</v>
      </c>
      <c r="P7532" s="12" t="s">
        <v>28</v>
      </c>
      <c r="Q7532" s="9" t="s">
        <v>75</v>
      </c>
      <c r="R7532" s="14" t="str">
        <f>HYPERLINK("https://my.pitchbook.com?c=210994-66T","View Company Online")</f>
        <v>View Company Online</v>
      </c>
    </row>
    <row r="7533" spans="1:18" hidden="1" x14ac:dyDescent="0.3">
      <c r="A7533" s="15" t="s">
        <v>22255</v>
      </c>
      <c r="B7533" s="15" t="s">
        <v>11986</v>
      </c>
      <c r="C7533" s="18" t="s">
        <v>28</v>
      </c>
      <c r="D7533" s="15" t="s">
        <v>11987</v>
      </c>
      <c r="E7533" s="18" t="s">
        <v>28</v>
      </c>
      <c r="F7533" s="19" t="s">
        <v>28</v>
      </c>
      <c r="G7533" s="19">
        <v>0.9</v>
      </c>
      <c r="H7533" s="19" t="s">
        <v>28</v>
      </c>
      <c r="I7533" s="18" t="s">
        <v>28</v>
      </c>
      <c r="J7533" s="18" t="s">
        <v>28</v>
      </c>
      <c r="K7533" s="18" t="s">
        <v>28</v>
      </c>
      <c r="L7533" s="18" t="s">
        <v>28</v>
      </c>
      <c r="M7533" s="18" t="s">
        <v>28</v>
      </c>
      <c r="N7533" s="17">
        <v>43374</v>
      </c>
      <c r="O7533" s="15" t="s">
        <v>99</v>
      </c>
      <c r="P7533" s="16" t="s">
        <v>28</v>
      </c>
      <c r="Q7533" s="15" t="s">
        <v>75</v>
      </c>
      <c r="R7533" s="13" t="str">
        <f>HYPERLINK("https://my.pitchbook.com?c=207680-59T","View Company Online")</f>
        <v>View Company Online</v>
      </c>
    </row>
    <row r="7534" spans="1:18" hidden="1" x14ac:dyDescent="0.3">
      <c r="A7534" s="9" t="s">
        <v>22256</v>
      </c>
      <c r="B7534" s="9" t="s">
        <v>4059</v>
      </c>
      <c r="C7534" s="11" t="s">
        <v>28</v>
      </c>
      <c r="D7534" s="9" t="s">
        <v>4060</v>
      </c>
      <c r="E7534" s="11" t="s">
        <v>28</v>
      </c>
      <c r="F7534" s="10" t="s">
        <v>28</v>
      </c>
      <c r="G7534" s="10" t="s">
        <v>28</v>
      </c>
      <c r="H7534" s="10" t="s">
        <v>28</v>
      </c>
      <c r="I7534" s="11" t="s">
        <v>28</v>
      </c>
      <c r="J7534" s="11" t="s">
        <v>28</v>
      </c>
      <c r="K7534" s="11" t="s">
        <v>28</v>
      </c>
      <c r="L7534" s="11" t="s">
        <v>28</v>
      </c>
      <c r="M7534" s="11" t="s">
        <v>28</v>
      </c>
      <c r="N7534" s="8">
        <v>43374</v>
      </c>
      <c r="O7534" s="9" t="s">
        <v>52</v>
      </c>
      <c r="P7534" s="12" t="s">
        <v>4297</v>
      </c>
      <c r="Q7534" s="9" t="s">
        <v>959</v>
      </c>
      <c r="R7534" s="14" t="str">
        <f>HYPERLINK("https://my.pitchbook.com?c=284330-80T","View Company Online")</f>
        <v>View Company Online</v>
      </c>
    </row>
    <row r="7535" spans="1:18" hidden="1" x14ac:dyDescent="0.3">
      <c r="A7535" s="15" t="s">
        <v>22257</v>
      </c>
      <c r="B7535" s="15" t="s">
        <v>14403</v>
      </c>
      <c r="C7535" s="18" t="s">
        <v>28</v>
      </c>
      <c r="D7535" s="15" t="s">
        <v>14404</v>
      </c>
      <c r="E7535" s="18" t="s">
        <v>28</v>
      </c>
      <c r="F7535" s="19" t="s">
        <v>28</v>
      </c>
      <c r="G7535" s="19" t="s">
        <v>28</v>
      </c>
      <c r="H7535" s="19" t="s">
        <v>28</v>
      </c>
      <c r="I7535" s="18" t="s">
        <v>28</v>
      </c>
      <c r="J7535" s="18" t="s">
        <v>28</v>
      </c>
      <c r="K7535" s="18">
        <v>1368.06</v>
      </c>
      <c r="L7535" s="18" t="s">
        <v>28</v>
      </c>
      <c r="M7535" s="18" t="s">
        <v>28</v>
      </c>
      <c r="N7535" s="17">
        <v>43374</v>
      </c>
      <c r="O7535" s="15" t="s">
        <v>30</v>
      </c>
      <c r="P7535" s="16" t="s">
        <v>22258</v>
      </c>
      <c r="Q7535" s="15" t="s">
        <v>193</v>
      </c>
      <c r="R7535" s="13" t="str">
        <f>HYPERLINK("https://my.pitchbook.com?c=112483-54T","View Company Online")</f>
        <v>View Company Online</v>
      </c>
    </row>
    <row r="7536" spans="1:18" hidden="1" x14ac:dyDescent="0.3">
      <c r="A7536" s="9" t="s">
        <v>22259</v>
      </c>
      <c r="B7536" s="9" t="s">
        <v>22260</v>
      </c>
      <c r="C7536" s="11" t="s">
        <v>28</v>
      </c>
      <c r="D7536" s="9" t="s">
        <v>22261</v>
      </c>
      <c r="E7536" s="11" t="s">
        <v>28</v>
      </c>
      <c r="F7536" s="10" t="s">
        <v>28</v>
      </c>
      <c r="G7536" s="10" t="s">
        <v>28</v>
      </c>
      <c r="H7536" s="10" t="s">
        <v>28</v>
      </c>
      <c r="I7536" s="11" t="s">
        <v>28</v>
      </c>
      <c r="J7536" s="11" t="s">
        <v>28</v>
      </c>
      <c r="K7536" s="11" t="s">
        <v>28</v>
      </c>
      <c r="L7536" s="11" t="s">
        <v>28</v>
      </c>
      <c r="M7536" s="11" t="s">
        <v>28</v>
      </c>
      <c r="N7536" s="8">
        <v>43374</v>
      </c>
      <c r="O7536" s="9" t="s">
        <v>52</v>
      </c>
      <c r="P7536" s="12" t="s">
        <v>22262</v>
      </c>
      <c r="Q7536" s="9" t="s">
        <v>386</v>
      </c>
      <c r="R7536" s="14" t="str">
        <f>HYPERLINK("https://my.pitchbook.com?c=115039-27T","View Company Online")</f>
        <v>View Company Online</v>
      </c>
    </row>
    <row r="7537" spans="1:18" hidden="1" x14ac:dyDescent="0.3">
      <c r="A7537" s="15" t="s">
        <v>22263</v>
      </c>
      <c r="B7537" s="15" t="s">
        <v>22264</v>
      </c>
      <c r="C7537" s="18" t="s">
        <v>28</v>
      </c>
      <c r="D7537" s="15" t="s">
        <v>22265</v>
      </c>
      <c r="E7537" s="18" t="s">
        <v>28</v>
      </c>
      <c r="F7537" s="19">
        <v>23.78</v>
      </c>
      <c r="G7537" s="19">
        <v>23.78</v>
      </c>
      <c r="H7537" s="19">
        <v>23.78</v>
      </c>
      <c r="I7537" s="18" t="s">
        <v>28</v>
      </c>
      <c r="J7537" s="18" t="s">
        <v>28</v>
      </c>
      <c r="K7537" s="18" t="s">
        <v>28</v>
      </c>
      <c r="L7537" s="18" t="s">
        <v>28</v>
      </c>
      <c r="M7537" s="18" t="s">
        <v>28</v>
      </c>
      <c r="N7537" s="17">
        <v>43374</v>
      </c>
      <c r="O7537" s="15" t="s">
        <v>30</v>
      </c>
      <c r="P7537" s="16" t="s">
        <v>22266</v>
      </c>
      <c r="Q7537" s="15" t="s">
        <v>607</v>
      </c>
      <c r="R7537" s="13" t="str">
        <f>HYPERLINK("https://my.pitchbook.com?c=185403-07T","View Company Online")</f>
        <v>View Company Online</v>
      </c>
    </row>
    <row r="7538" spans="1:18" hidden="1" x14ac:dyDescent="0.3">
      <c r="A7538" s="9" t="s">
        <v>22267</v>
      </c>
      <c r="B7538" s="9" t="s">
        <v>22268</v>
      </c>
      <c r="C7538" s="11" t="s">
        <v>28</v>
      </c>
      <c r="D7538" s="9" t="s">
        <v>22269</v>
      </c>
      <c r="E7538" s="11" t="s">
        <v>28</v>
      </c>
      <c r="F7538" s="10" t="s">
        <v>28</v>
      </c>
      <c r="G7538" s="10" t="s">
        <v>28</v>
      </c>
      <c r="H7538" s="10" t="s">
        <v>28</v>
      </c>
      <c r="I7538" s="11" t="s">
        <v>28</v>
      </c>
      <c r="J7538" s="11" t="s">
        <v>28</v>
      </c>
      <c r="K7538" s="11" t="s">
        <v>28</v>
      </c>
      <c r="L7538" s="11" t="s">
        <v>28</v>
      </c>
      <c r="M7538" s="11" t="s">
        <v>28</v>
      </c>
      <c r="N7538" s="8">
        <v>43374</v>
      </c>
      <c r="O7538" s="9" t="s">
        <v>30</v>
      </c>
      <c r="P7538" s="12" t="s">
        <v>14833</v>
      </c>
      <c r="Q7538" s="9" t="s">
        <v>95</v>
      </c>
      <c r="R7538" s="14" t="str">
        <f>HYPERLINK("https://my.pitchbook.com?c=216175-96T","View Company Online")</f>
        <v>View Company Online</v>
      </c>
    </row>
    <row r="7539" spans="1:18" hidden="1" x14ac:dyDescent="0.3">
      <c r="A7539" s="15" t="s">
        <v>22270</v>
      </c>
      <c r="B7539" s="15" t="s">
        <v>12838</v>
      </c>
      <c r="C7539" s="18" t="s">
        <v>28</v>
      </c>
      <c r="D7539" s="15" t="s">
        <v>12839</v>
      </c>
      <c r="E7539" s="18" t="s">
        <v>28</v>
      </c>
      <c r="F7539" s="19" t="s">
        <v>28</v>
      </c>
      <c r="G7539" s="19" t="s">
        <v>28</v>
      </c>
      <c r="H7539" s="19" t="s">
        <v>28</v>
      </c>
      <c r="I7539" s="18" t="s">
        <v>28</v>
      </c>
      <c r="J7539" s="18" t="s">
        <v>28</v>
      </c>
      <c r="K7539" s="18" t="s">
        <v>28</v>
      </c>
      <c r="L7539" s="18" t="s">
        <v>28</v>
      </c>
      <c r="M7539" s="18" t="s">
        <v>28</v>
      </c>
      <c r="N7539" s="17">
        <v>43371</v>
      </c>
      <c r="O7539" s="15" t="s">
        <v>379</v>
      </c>
      <c r="P7539" s="16" t="s">
        <v>28</v>
      </c>
      <c r="Q7539" s="15" t="s">
        <v>3973</v>
      </c>
      <c r="R7539" s="13" t="str">
        <f>HYPERLINK("https://my.pitchbook.com?c=199119-97T","View Company Online")</f>
        <v>View Company Online</v>
      </c>
    </row>
    <row r="7540" spans="1:18" hidden="1" x14ac:dyDescent="0.3">
      <c r="A7540" s="9" t="s">
        <v>22271</v>
      </c>
      <c r="B7540" s="9" t="s">
        <v>6911</v>
      </c>
      <c r="C7540" s="11" t="s">
        <v>28</v>
      </c>
      <c r="D7540" s="9" t="s">
        <v>6912</v>
      </c>
      <c r="E7540" s="11" t="s">
        <v>28</v>
      </c>
      <c r="F7540" s="10" t="s">
        <v>28</v>
      </c>
      <c r="G7540" s="10">
        <v>1</v>
      </c>
      <c r="H7540" s="10" t="s">
        <v>28</v>
      </c>
      <c r="I7540" s="11" t="s">
        <v>28</v>
      </c>
      <c r="J7540" s="11" t="s">
        <v>28</v>
      </c>
      <c r="K7540" s="11" t="s">
        <v>28</v>
      </c>
      <c r="L7540" s="11" t="s">
        <v>28</v>
      </c>
      <c r="M7540" s="11" t="s">
        <v>28</v>
      </c>
      <c r="N7540" s="8">
        <v>43371</v>
      </c>
      <c r="O7540" s="9" t="s">
        <v>99</v>
      </c>
      <c r="P7540" s="12" t="s">
        <v>140</v>
      </c>
      <c r="Q7540" s="9" t="s">
        <v>75</v>
      </c>
      <c r="R7540" s="14" t="str">
        <f>HYPERLINK("https://my.pitchbook.com?c=226872-37T","View Company Online")</f>
        <v>View Company Online</v>
      </c>
    </row>
    <row r="7541" spans="1:18" hidden="1" x14ac:dyDescent="0.3">
      <c r="A7541" s="15" t="s">
        <v>22272</v>
      </c>
      <c r="B7541" s="15" t="s">
        <v>11471</v>
      </c>
      <c r="C7541" s="18" t="s">
        <v>28</v>
      </c>
      <c r="D7541" s="15" t="s">
        <v>14134</v>
      </c>
      <c r="E7541" s="18">
        <v>142.47999999999999</v>
      </c>
      <c r="F7541" s="19" t="s">
        <v>28</v>
      </c>
      <c r="G7541" s="19">
        <v>45.04</v>
      </c>
      <c r="H7541" s="19">
        <v>300.2</v>
      </c>
      <c r="I7541" s="18">
        <v>174.97</v>
      </c>
      <c r="J7541" s="18">
        <v>1.72</v>
      </c>
      <c r="K7541" s="18">
        <v>210.6</v>
      </c>
      <c r="L7541" s="18">
        <v>1.43</v>
      </c>
      <c r="M7541" s="18">
        <v>70.73</v>
      </c>
      <c r="N7541" s="17">
        <v>43371</v>
      </c>
      <c r="O7541" s="15" t="s">
        <v>159</v>
      </c>
      <c r="P7541" s="16" t="s">
        <v>22273</v>
      </c>
      <c r="Q7541" s="15" t="s">
        <v>299</v>
      </c>
      <c r="R7541" s="13" t="str">
        <f>HYPERLINK("https://my.pitchbook.com?c=185261-41T","View Company Online")</f>
        <v>View Company Online</v>
      </c>
    </row>
    <row r="7542" spans="1:18" hidden="1" x14ac:dyDescent="0.3">
      <c r="A7542" s="9" t="s">
        <v>22274</v>
      </c>
      <c r="B7542" s="9" t="s">
        <v>6277</v>
      </c>
      <c r="C7542" s="11" t="s">
        <v>28</v>
      </c>
      <c r="D7542" s="9" t="s">
        <v>6278</v>
      </c>
      <c r="E7542" s="11" t="s">
        <v>28</v>
      </c>
      <c r="F7542" s="10" t="s">
        <v>28</v>
      </c>
      <c r="G7542" s="10">
        <v>0.61</v>
      </c>
      <c r="H7542" s="10" t="s">
        <v>28</v>
      </c>
      <c r="I7542" s="11" t="s">
        <v>28</v>
      </c>
      <c r="J7542" s="11" t="s">
        <v>28</v>
      </c>
      <c r="K7542" s="11" t="s">
        <v>28</v>
      </c>
      <c r="L7542" s="11" t="s">
        <v>28</v>
      </c>
      <c r="M7542" s="11" t="s">
        <v>28</v>
      </c>
      <c r="N7542" s="8">
        <v>43371</v>
      </c>
      <c r="O7542" s="9" t="s">
        <v>79</v>
      </c>
      <c r="P7542" s="12" t="s">
        <v>11495</v>
      </c>
      <c r="Q7542" s="9" t="s">
        <v>75</v>
      </c>
      <c r="R7542" s="14" t="str">
        <f>HYPERLINK("https://my.pitchbook.com?c=128786-41T","View Company Online")</f>
        <v>View Company Online</v>
      </c>
    </row>
    <row r="7543" spans="1:18" hidden="1" x14ac:dyDescent="0.3">
      <c r="A7543" s="15" t="s">
        <v>22275</v>
      </c>
      <c r="B7543" s="15" t="s">
        <v>4196</v>
      </c>
      <c r="C7543" s="18" t="s">
        <v>28</v>
      </c>
      <c r="D7543" s="15" t="s">
        <v>4197</v>
      </c>
      <c r="E7543" s="18">
        <v>29.53</v>
      </c>
      <c r="F7543" s="19" t="s">
        <v>28</v>
      </c>
      <c r="G7543" s="19">
        <v>194.44</v>
      </c>
      <c r="H7543" s="19">
        <v>850.4</v>
      </c>
      <c r="I7543" s="18">
        <v>34.56</v>
      </c>
      <c r="J7543" s="18">
        <v>24.61</v>
      </c>
      <c r="K7543" s="18">
        <v>91.42</v>
      </c>
      <c r="L7543" s="18">
        <v>9.3000000000000007</v>
      </c>
      <c r="M7543" s="18">
        <v>18.89</v>
      </c>
      <c r="N7543" s="17">
        <v>43369</v>
      </c>
      <c r="O7543" s="15" t="s">
        <v>173</v>
      </c>
      <c r="P7543" s="16" t="s">
        <v>28</v>
      </c>
      <c r="Q7543" s="15" t="s">
        <v>583</v>
      </c>
      <c r="R7543" s="13" t="str">
        <f>HYPERLINK("https://my.pitchbook.com?c=110894-59T","View Company Online")</f>
        <v>View Company Online</v>
      </c>
    </row>
    <row r="7544" spans="1:18" hidden="1" x14ac:dyDescent="0.3">
      <c r="A7544" s="9" t="s">
        <v>22276</v>
      </c>
      <c r="B7544" s="9" t="s">
        <v>22277</v>
      </c>
      <c r="C7544" s="11" t="s">
        <v>28</v>
      </c>
      <c r="D7544" s="9" t="s">
        <v>22278</v>
      </c>
      <c r="E7544" s="11" t="s">
        <v>28</v>
      </c>
      <c r="F7544" s="10" t="s">
        <v>28</v>
      </c>
      <c r="G7544" s="10">
        <v>0.1</v>
      </c>
      <c r="H7544" s="10" t="s">
        <v>28</v>
      </c>
      <c r="I7544" s="11" t="s">
        <v>28</v>
      </c>
      <c r="J7544" s="11" t="s">
        <v>28</v>
      </c>
      <c r="K7544" s="11" t="s">
        <v>28</v>
      </c>
      <c r="L7544" s="11" t="s">
        <v>28</v>
      </c>
      <c r="M7544" s="11" t="s">
        <v>28</v>
      </c>
      <c r="N7544" s="8">
        <v>43369</v>
      </c>
      <c r="O7544" s="9" t="s">
        <v>52</v>
      </c>
      <c r="P7544" s="12" t="s">
        <v>22279</v>
      </c>
      <c r="Q7544" s="9" t="s">
        <v>37</v>
      </c>
      <c r="R7544" s="14" t="str">
        <f>HYPERLINK("https://my.pitchbook.com?c=215782-03T","View Company Online")</f>
        <v>View Company Online</v>
      </c>
    </row>
    <row r="7545" spans="1:18" hidden="1" x14ac:dyDescent="0.3">
      <c r="A7545" s="15" t="s">
        <v>22280</v>
      </c>
      <c r="B7545" s="15" t="s">
        <v>16360</v>
      </c>
      <c r="C7545" s="18" t="s">
        <v>28</v>
      </c>
      <c r="D7545" s="15" t="s">
        <v>17606</v>
      </c>
      <c r="E7545" s="18" t="s">
        <v>28</v>
      </c>
      <c r="F7545" s="19" t="s">
        <v>28</v>
      </c>
      <c r="G7545" s="19">
        <v>0.02</v>
      </c>
      <c r="H7545" s="19" t="s">
        <v>28</v>
      </c>
      <c r="I7545" s="18" t="s">
        <v>28</v>
      </c>
      <c r="J7545" s="18" t="s">
        <v>28</v>
      </c>
      <c r="K7545" s="18" t="s">
        <v>28</v>
      </c>
      <c r="L7545" s="18" t="s">
        <v>28</v>
      </c>
      <c r="M7545" s="18" t="s">
        <v>28</v>
      </c>
      <c r="N7545" s="17">
        <v>43369</v>
      </c>
      <c r="O7545" s="15" t="s">
        <v>52</v>
      </c>
      <c r="P7545" s="16" t="s">
        <v>22281</v>
      </c>
      <c r="Q7545" s="15" t="s">
        <v>414</v>
      </c>
      <c r="R7545" s="13" t="str">
        <f>HYPERLINK("https://my.pitchbook.com?c=128896-75T","View Company Online")</f>
        <v>View Company Online</v>
      </c>
    </row>
    <row r="7546" spans="1:18" hidden="1" x14ac:dyDescent="0.3">
      <c r="A7546" s="9" t="s">
        <v>22282</v>
      </c>
      <c r="B7546" s="9" t="s">
        <v>22283</v>
      </c>
      <c r="C7546" s="11" t="s">
        <v>28</v>
      </c>
      <c r="D7546" s="9" t="s">
        <v>22284</v>
      </c>
      <c r="E7546" s="11" t="s">
        <v>28</v>
      </c>
      <c r="F7546" s="10" t="s">
        <v>28</v>
      </c>
      <c r="G7546" s="10" t="s">
        <v>28</v>
      </c>
      <c r="H7546" s="10" t="s">
        <v>28</v>
      </c>
      <c r="I7546" s="11" t="s">
        <v>28</v>
      </c>
      <c r="J7546" s="11" t="s">
        <v>28</v>
      </c>
      <c r="K7546" s="11" t="s">
        <v>28</v>
      </c>
      <c r="L7546" s="11" t="s">
        <v>28</v>
      </c>
      <c r="M7546" s="11" t="s">
        <v>28</v>
      </c>
      <c r="N7546" s="8">
        <v>43369</v>
      </c>
      <c r="O7546" s="9" t="s">
        <v>30</v>
      </c>
      <c r="P7546" s="12" t="s">
        <v>22285</v>
      </c>
      <c r="Q7546" s="9" t="s">
        <v>169</v>
      </c>
      <c r="R7546" s="14" t="str">
        <f>HYPERLINK("https://my.pitchbook.com?c=257020-21T","View Company Online")</f>
        <v>View Company Online</v>
      </c>
    </row>
    <row r="7547" spans="1:18" hidden="1" x14ac:dyDescent="0.3">
      <c r="A7547" s="15" t="s">
        <v>22286</v>
      </c>
      <c r="B7547" s="15" t="s">
        <v>22287</v>
      </c>
      <c r="C7547" s="18" t="s">
        <v>28</v>
      </c>
      <c r="D7547" s="15" t="s">
        <v>22288</v>
      </c>
      <c r="E7547" s="18" t="s">
        <v>28</v>
      </c>
      <c r="F7547" s="19" t="s">
        <v>28</v>
      </c>
      <c r="G7547" s="19" t="s">
        <v>28</v>
      </c>
      <c r="H7547" s="19" t="s">
        <v>28</v>
      </c>
      <c r="I7547" s="18" t="s">
        <v>28</v>
      </c>
      <c r="J7547" s="18" t="s">
        <v>28</v>
      </c>
      <c r="K7547" s="18" t="s">
        <v>28</v>
      </c>
      <c r="L7547" s="18" t="s">
        <v>28</v>
      </c>
      <c r="M7547" s="18" t="s">
        <v>28</v>
      </c>
      <c r="N7547" s="17">
        <v>43368</v>
      </c>
      <c r="O7547" s="15" t="s">
        <v>52</v>
      </c>
      <c r="P7547" s="16" t="s">
        <v>22262</v>
      </c>
      <c r="Q7547" s="15" t="s">
        <v>75</v>
      </c>
      <c r="R7547" s="13" t="str">
        <f>HYPERLINK("https://my.pitchbook.com?c=112176-37T","View Company Online")</f>
        <v>View Company Online</v>
      </c>
    </row>
    <row r="7548" spans="1:18" hidden="1" x14ac:dyDescent="0.3">
      <c r="A7548" s="9" t="s">
        <v>22289</v>
      </c>
      <c r="B7548" s="9" t="s">
        <v>14330</v>
      </c>
      <c r="C7548" s="11" t="s">
        <v>28</v>
      </c>
      <c r="D7548" s="9" t="s">
        <v>14331</v>
      </c>
      <c r="E7548" s="11">
        <v>-237.52</v>
      </c>
      <c r="F7548" s="10" t="s">
        <v>28</v>
      </c>
      <c r="G7548" s="10">
        <v>1000</v>
      </c>
      <c r="H7548" s="10" t="s">
        <v>28</v>
      </c>
      <c r="I7548" s="11">
        <v>205.45</v>
      </c>
      <c r="J7548" s="11" t="s">
        <v>28</v>
      </c>
      <c r="K7548" s="11">
        <v>2165.9</v>
      </c>
      <c r="L7548" s="11" t="s">
        <v>28</v>
      </c>
      <c r="M7548" s="11">
        <v>-361.26</v>
      </c>
      <c r="N7548" s="8">
        <v>43368</v>
      </c>
      <c r="O7548" s="9" t="s">
        <v>159</v>
      </c>
      <c r="P7548" s="12" t="s">
        <v>22290</v>
      </c>
      <c r="Q7548" s="9" t="s">
        <v>69</v>
      </c>
      <c r="R7548" s="14" t="str">
        <f>HYPERLINK("https://my.pitchbook.com?c=112168-72T","View Company Online")</f>
        <v>View Company Online</v>
      </c>
    </row>
    <row r="7549" spans="1:18" hidden="1" x14ac:dyDescent="0.3">
      <c r="A7549" s="15" t="s">
        <v>22291</v>
      </c>
      <c r="B7549" s="15" t="s">
        <v>2362</v>
      </c>
      <c r="C7549" s="18" t="s">
        <v>28</v>
      </c>
      <c r="D7549" s="15" t="s">
        <v>2363</v>
      </c>
      <c r="E7549" s="18" t="s">
        <v>28</v>
      </c>
      <c r="F7549" s="19" t="s">
        <v>28</v>
      </c>
      <c r="G7549" s="19">
        <v>1.46</v>
      </c>
      <c r="H7549" s="19" t="s">
        <v>28</v>
      </c>
      <c r="I7549" s="18" t="s">
        <v>28</v>
      </c>
      <c r="J7549" s="18" t="s">
        <v>28</v>
      </c>
      <c r="K7549" s="18" t="s">
        <v>28</v>
      </c>
      <c r="L7549" s="18" t="s">
        <v>28</v>
      </c>
      <c r="M7549" s="18" t="s">
        <v>28</v>
      </c>
      <c r="N7549" s="17">
        <v>43368</v>
      </c>
      <c r="O7549" s="15" t="s">
        <v>73</v>
      </c>
      <c r="P7549" s="16" t="s">
        <v>8935</v>
      </c>
      <c r="Q7549" s="15" t="s">
        <v>75</v>
      </c>
      <c r="R7549" s="13" t="str">
        <f>HYPERLINK("https://my.pitchbook.com?c=156922-84T","View Company Online")</f>
        <v>View Company Online</v>
      </c>
    </row>
    <row r="7550" spans="1:18" hidden="1" x14ac:dyDescent="0.3">
      <c r="A7550" s="9" t="s">
        <v>22292</v>
      </c>
      <c r="B7550" s="9" t="s">
        <v>22293</v>
      </c>
      <c r="C7550" s="11" t="s">
        <v>28</v>
      </c>
      <c r="D7550" s="9" t="s">
        <v>22294</v>
      </c>
      <c r="E7550" s="11" t="s">
        <v>28</v>
      </c>
      <c r="F7550" s="10" t="s">
        <v>28</v>
      </c>
      <c r="G7550" s="10" t="s">
        <v>28</v>
      </c>
      <c r="H7550" s="10" t="s">
        <v>28</v>
      </c>
      <c r="I7550" s="11" t="s">
        <v>28</v>
      </c>
      <c r="J7550" s="11" t="s">
        <v>28</v>
      </c>
      <c r="K7550" s="11" t="s">
        <v>28</v>
      </c>
      <c r="L7550" s="11" t="s">
        <v>28</v>
      </c>
      <c r="M7550" s="11" t="s">
        <v>28</v>
      </c>
      <c r="N7550" s="8">
        <v>43368</v>
      </c>
      <c r="O7550" s="9" t="s">
        <v>52</v>
      </c>
      <c r="P7550" s="12" t="s">
        <v>22295</v>
      </c>
      <c r="Q7550" s="9" t="s">
        <v>75</v>
      </c>
      <c r="R7550" s="14" t="str">
        <f>HYPERLINK("https://my.pitchbook.com?c=115038-64T","View Company Online")</f>
        <v>View Company Online</v>
      </c>
    </row>
    <row r="7551" spans="1:18" hidden="1" x14ac:dyDescent="0.3">
      <c r="A7551" s="15" t="s">
        <v>22296</v>
      </c>
      <c r="B7551" s="15" t="s">
        <v>2778</v>
      </c>
      <c r="C7551" s="18" t="s">
        <v>28</v>
      </c>
      <c r="D7551" s="15" t="s">
        <v>2779</v>
      </c>
      <c r="E7551" s="18" t="s">
        <v>28</v>
      </c>
      <c r="F7551" s="19" t="s">
        <v>28</v>
      </c>
      <c r="G7551" s="19">
        <v>0.97</v>
      </c>
      <c r="H7551" s="19" t="s">
        <v>28</v>
      </c>
      <c r="I7551" s="18" t="s">
        <v>28</v>
      </c>
      <c r="J7551" s="18" t="s">
        <v>28</v>
      </c>
      <c r="K7551" s="18" t="s">
        <v>28</v>
      </c>
      <c r="L7551" s="18" t="s">
        <v>28</v>
      </c>
      <c r="M7551" s="18" t="s">
        <v>28</v>
      </c>
      <c r="N7551" s="17">
        <v>43368</v>
      </c>
      <c r="O7551" s="15" t="s">
        <v>73</v>
      </c>
      <c r="P7551" s="16" t="s">
        <v>22297</v>
      </c>
      <c r="Q7551" s="15" t="s">
        <v>85</v>
      </c>
      <c r="R7551" s="13" t="str">
        <f>HYPERLINK("https://my.pitchbook.com?c=112468-33T","View Company Online")</f>
        <v>View Company Online</v>
      </c>
    </row>
    <row r="7552" spans="1:18" hidden="1" x14ac:dyDescent="0.3">
      <c r="A7552" s="9" t="s">
        <v>22298</v>
      </c>
      <c r="B7552" s="9" t="s">
        <v>22299</v>
      </c>
      <c r="C7552" s="11" t="s">
        <v>28</v>
      </c>
      <c r="D7552" s="9" t="s">
        <v>22300</v>
      </c>
      <c r="E7552" s="11" t="s">
        <v>28</v>
      </c>
      <c r="F7552" s="10">
        <v>1826</v>
      </c>
      <c r="G7552" s="10">
        <v>1826</v>
      </c>
      <c r="H7552" s="10">
        <v>1826</v>
      </c>
      <c r="I7552" s="11" t="s">
        <v>28</v>
      </c>
      <c r="J7552" s="11" t="s">
        <v>28</v>
      </c>
      <c r="K7552" s="11">
        <v>240</v>
      </c>
      <c r="L7552" s="11">
        <v>7.61</v>
      </c>
      <c r="M7552" s="11" t="s">
        <v>28</v>
      </c>
      <c r="N7552" s="8">
        <v>43367</v>
      </c>
      <c r="O7552" s="9" t="s">
        <v>30</v>
      </c>
      <c r="P7552" s="12" t="s">
        <v>22301</v>
      </c>
      <c r="Q7552" s="9" t="s">
        <v>880</v>
      </c>
      <c r="R7552" s="14" t="str">
        <f>HYPERLINK("https://my.pitchbook.com?c=112073-86T","View Company Online")</f>
        <v>View Company Online</v>
      </c>
    </row>
    <row r="7553" spans="1:18" hidden="1" x14ac:dyDescent="0.3">
      <c r="A7553" s="15" t="s">
        <v>22302</v>
      </c>
      <c r="B7553" s="15" t="s">
        <v>10224</v>
      </c>
      <c r="C7553" s="18" t="s">
        <v>28</v>
      </c>
      <c r="D7553" s="15" t="s">
        <v>10225</v>
      </c>
      <c r="E7553" s="18" t="s">
        <v>28</v>
      </c>
      <c r="F7553" s="19" t="s">
        <v>28</v>
      </c>
      <c r="G7553" s="19" t="s">
        <v>28</v>
      </c>
      <c r="H7553" s="19" t="s">
        <v>28</v>
      </c>
      <c r="I7553" s="18" t="s">
        <v>28</v>
      </c>
      <c r="J7553" s="18" t="s">
        <v>28</v>
      </c>
      <c r="K7553" s="18" t="s">
        <v>28</v>
      </c>
      <c r="L7553" s="18" t="s">
        <v>28</v>
      </c>
      <c r="M7553" s="18" t="s">
        <v>28</v>
      </c>
      <c r="N7553" s="17">
        <v>43367</v>
      </c>
      <c r="O7553" s="15" t="s">
        <v>52</v>
      </c>
      <c r="P7553" s="16" t="s">
        <v>28</v>
      </c>
      <c r="Q7553" s="15" t="s">
        <v>37</v>
      </c>
      <c r="R7553" s="13" t="str">
        <f>HYPERLINK("https://my.pitchbook.com?c=139470-94T","View Company Online")</f>
        <v>View Company Online</v>
      </c>
    </row>
    <row r="7554" spans="1:18" hidden="1" x14ac:dyDescent="0.3">
      <c r="A7554" s="9" t="s">
        <v>22303</v>
      </c>
      <c r="B7554" s="9" t="s">
        <v>21662</v>
      </c>
      <c r="C7554" s="11" t="s">
        <v>28</v>
      </c>
      <c r="D7554" s="9" t="s">
        <v>21663</v>
      </c>
      <c r="E7554" s="11" t="s">
        <v>28</v>
      </c>
      <c r="F7554" s="10" t="s">
        <v>28</v>
      </c>
      <c r="G7554" s="10" t="s">
        <v>28</v>
      </c>
      <c r="H7554" s="10" t="s">
        <v>28</v>
      </c>
      <c r="I7554" s="11" t="s">
        <v>28</v>
      </c>
      <c r="J7554" s="11" t="s">
        <v>28</v>
      </c>
      <c r="K7554" s="11" t="s">
        <v>28</v>
      </c>
      <c r="L7554" s="11" t="s">
        <v>28</v>
      </c>
      <c r="M7554" s="11" t="s">
        <v>28</v>
      </c>
      <c r="N7554" s="8">
        <v>43367</v>
      </c>
      <c r="O7554" s="9" t="s">
        <v>52</v>
      </c>
      <c r="P7554" s="12" t="s">
        <v>1880</v>
      </c>
      <c r="Q7554" s="9" t="s">
        <v>75</v>
      </c>
      <c r="R7554" s="14" t="str">
        <f>HYPERLINK("https://my.pitchbook.com?c=195483-61T","View Company Online")</f>
        <v>View Company Online</v>
      </c>
    </row>
    <row r="7555" spans="1:18" hidden="1" x14ac:dyDescent="0.3">
      <c r="A7555" s="15" t="s">
        <v>22304</v>
      </c>
      <c r="B7555" s="15" t="s">
        <v>4890</v>
      </c>
      <c r="C7555" s="18" t="s">
        <v>28</v>
      </c>
      <c r="D7555" s="15" t="s">
        <v>4891</v>
      </c>
      <c r="E7555" s="18" t="s">
        <v>28</v>
      </c>
      <c r="F7555" s="19" t="s">
        <v>28</v>
      </c>
      <c r="G7555" s="19" t="s">
        <v>28</v>
      </c>
      <c r="H7555" s="19" t="s">
        <v>28</v>
      </c>
      <c r="I7555" s="18" t="s">
        <v>28</v>
      </c>
      <c r="J7555" s="18" t="s">
        <v>28</v>
      </c>
      <c r="K7555" s="18" t="s">
        <v>28</v>
      </c>
      <c r="L7555" s="18" t="s">
        <v>28</v>
      </c>
      <c r="M7555" s="18" t="s">
        <v>28</v>
      </c>
      <c r="N7555" s="17">
        <v>43367</v>
      </c>
      <c r="O7555" s="15" t="s">
        <v>52</v>
      </c>
      <c r="P7555" s="16" t="s">
        <v>1880</v>
      </c>
      <c r="Q7555" s="15" t="s">
        <v>75</v>
      </c>
      <c r="R7555" s="13" t="str">
        <f>HYPERLINK("https://my.pitchbook.com?c=195469-75T","View Company Online")</f>
        <v>View Company Online</v>
      </c>
    </row>
    <row r="7556" spans="1:18" hidden="1" x14ac:dyDescent="0.3">
      <c r="A7556" s="9" t="s">
        <v>22305</v>
      </c>
      <c r="B7556" s="9" t="s">
        <v>5509</v>
      </c>
      <c r="C7556" s="11" t="s">
        <v>28</v>
      </c>
      <c r="D7556" s="9" t="s">
        <v>5510</v>
      </c>
      <c r="E7556" s="11" t="s">
        <v>28</v>
      </c>
      <c r="F7556" s="10" t="s">
        <v>28</v>
      </c>
      <c r="G7556" s="10" t="s">
        <v>28</v>
      </c>
      <c r="H7556" s="10" t="s">
        <v>28</v>
      </c>
      <c r="I7556" s="11" t="s">
        <v>28</v>
      </c>
      <c r="J7556" s="11" t="s">
        <v>28</v>
      </c>
      <c r="K7556" s="11" t="s">
        <v>28</v>
      </c>
      <c r="L7556" s="11" t="s">
        <v>28</v>
      </c>
      <c r="M7556" s="11" t="s">
        <v>28</v>
      </c>
      <c r="N7556" s="8">
        <v>43367</v>
      </c>
      <c r="O7556" s="9" t="s">
        <v>52</v>
      </c>
      <c r="P7556" s="12" t="s">
        <v>1880</v>
      </c>
      <c r="Q7556" s="9" t="s">
        <v>75</v>
      </c>
      <c r="R7556" s="14" t="str">
        <f>HYPERLINK("https://my.pitchbook.com?c=122370-76T","View Company Online")</f>
        <v>View Company Online</v>
      </c>
    </row>
    <row r="7557" spans="1:18" hidden="1" x14ac:dyDescent="0.3">
      <c r="A7557" s="15" t="s">
        <v>22306</v>
      </c>
      <c r="B7557" s="15" t="s">
        <v>22307</v>
      </c>
      <c r="C7557" s="18" t="s">
        <v>28</v>
      </c>
      <c r="D7557" s="15" t="s">
        <v>22308</v>
      </c>
      <c r="E7557" s="18" t="s">
        <v>28</v>
      </c>
      <c r="F7557" s="19" t="s">
        <v>28</v>
      </c>
      <c r="G7557" s="19" t="s">
        <v>28</v>
      </c>
      <c r="H7557" s="19" t="s">
        <v>28</v>
      </c>
      <c r="I7557" s="18" t="s">
        <v>28</v>
      </c>
      <c r="J7557" s="18" t="s">
        <v>28</v>
      </c>
      <c r="K7557" s="18" t="s">
        <v>28</v>
      </c>
      <c r="L7557" s="18" t="s">
        <v>28</v>
      </c>
      <c r="M7557" s="18" t="s">
        <v>28</v>
      </c>
      <c r="N7557" s="17">
        <v>43367</v>
      </c>
      <c r="O7557" s="15" t="s">
        <v>52</v>
      </c>
      <c r="P7557" s="16" t="s">
        <v>1880</v>
      </c>
      <c r="Q7557" s="15" t="s">
        <v>95</v>
      </c>
      <c r="R7557" s="13" t="str">
        <f>HYPERLINK("https://my.pitchbook.com?c=122373-28T","View Company Online")</f>
        <v>View Company Online</v>
      </c>
    </row>
    <row r="7558" spans="1:18" hidden="1" x14ac:dyDescent="0.3">
      <c r="A7558" s="9" t="s">
        <v>22309</v>
      </c>
      <c r="B7558" s="9" t="s">
        <v>4981</v>
      </c>
      <c r="C7558" s="11" t="s">
        <v>28</v>
      </c>
      <c r="D7558" s="9" t="s">
        <v>4982</v>
      </c>
      <c r="E7558" s="11" t="s">
        <v>28</v>
      </c>
      <c r="F7558" s="10" t="s">
        <v>28</v>
      </c>
      <c r="G7558" s="10" t="s">
        <v>28</v>
      </c>
      <c r="H7558" s="10" t="s">
        <v>28</v>
      </c>
      <c r="I7558" s="11" t="s">
        <v>28</v>
      </c>
      <c r="J7558" s="11" t="s">
        <v>28</v>
      </c>
      <c r="K7558" s="11" t="s">
        <v>28</v>
      </c>
      <c r="L7558" s="11" t="s">
        <v>28</v>
      </c>
      <c r="M7558" s="11" t="s">
        <v>28</v>
      </c>
      <c r="N7558" s="8">
        <v>43367</v>
      </c>
      <c r="O7558" s="9" t="s">
        <v>52</v>
      </c>
      <c r="P7558" s="12" t="s">
        <v>1880</v>
      </c>
      <c r="Q7558" s="9" t="s">
        <v>1336</v>
      </c>
      <c r="R7558" s="14" t="str">
        <f>HYPERLINK("https://my.pitchbook.com?c=122376-52T","View Company Online")</f>
        <v>View Company Online</v>
      </c>
    </row>
    <row r="7559" spans="1:18" hidden="1" x14ac:dyDescent="0.3">
      <c r="A7559" s="15" t="s">
        <v>22310</v>
      </c>
      <c r="B7559" s="15" t="s">
        <v>13039</v>
      </c>
      <c r="C7559" s="18" t="s">
        <v>28</v>
      </c>
      <c r="D7559" s="15" t="s">
        <v>13040</v>
      </c>
      <c r="E7559" s="18" t="s">
        <v>28</v>
      </c>
      <c r="F7559" s="19" t="s">
        <v>28</v>
      </c>
      <c r="G7559" s="19" t="s">
        <v>28</v>
      </c>
      <c r="H7559" s="19" t="s">
        <v>28</v>
      </c>
      <c r="I7559" s="18" t="s">
        <v>28</v>
      </c>
      <c r="J7559" s="18" t="s">
        <v>28</v>
      </c>
      <c r="K7559" s="18" t="s">
        <v>28</v>
      </c>
      <c r="L7559" s="18" t="s">
        <v>28</v>
      </c>
      <c r="M7559" s="18" t="s">
        <v>28</v>
      </c>
      <c r="N7559" s="17">
        <v>43367</v>
      </c>
      <c r="O7559" s="15" t="s">
        <v>52</v>
      </c>
      <c r="P7559" s="16" t="s">
        <v>1880</v>
      </c>
      <c r="Q7559" s="15" t="s">
        <v>1336</v>
      </c>
      <c r="R7559" s="13" t="str">
        <f>HYPERLINK("https://my.pitchbook.com?c=195469-84T","View Company Online")</f>
        <v>View Company Online</v>
      </c>
    </row>
    <row r="7560" spans="1:18" hidden="1" x14ac:dyDescent="0.3">
      <c r="A7560" s="9" t="s">
        <v>22311</v>
      </c>
      <c r="B7560" s="9" t="s">
        <v>7135</v>
      </c>
      <c r="C7560" s="11" t="s">
        <v>28</v>
      </c>
      <c r="D7560" s="9" t="s">
        <v>7136</v>
      </c>
      <c r="E7560" s="11" t="s">
        <v>28</v>
      </c>
      <c r="F7560" s="10" t="s">
        <v>28</v>
      </c>
      <c r="G7560" s="10" t="s">
        <v>28</v>
      </c>
      <c r="H7560" s="10" t="s">
        <v>28</v>
      </c>
      <c r="I7560" s="11" t="s">
        <v>28</v>
      </c>
      <c r="J7560" s="11" t="s">
        <v>28</v>
      </c>
      <c r="K7560" s="11" t="s">
        <v>28</v>
      </c>
      <c r="L7560" s="11" t="s">
        <v>28</v>
      </c>
      <c r="M7560" s="11" t="s">
        <v>28</v>
      </c>
      <c r="N7560" s="8">
        <v>43364</v>
      </c>
      <c r="O7560" s="9" t="s">
        <v>99</v>
      </c>
      <c r="P7560" s="12" t="s">
        <v>22312</v>
      </c>
      <c r="Q7560" s="9" t="s">
        <v>75</v>
      </c>
      <c r="R7560" s="14" t="str">
        <f>HYPERLINK("https://my.pitchbook.com?c=112549-51T","View Company Online")</f>
        <v>View Company Online</v>
      </c>
    </row>
    <row r="7561" spans="1:18" hidden="1" x14ac:dyDescent="0.3">
      <c r="A7561" s="15" t="s">
        <v>22313</v>
      </c>
      <c r="B7561" s="15" t="s">
        <v>14430</v>
      </c>
      <c r="C7561" s="18" t="s">
        <v>28</v>
      </c>
      <c r="D7561" s="15" t="s">
        <v>14431</v>
      </c>
      <c r="E7561" s="18" t="s">
        <v>28</v>
      </c>
      <c r="F7561" s="19" t="s">
        <v>28</v>
      </c>
      <c r="G7561" s="19">
        <v>6.06</v>
      </c>
      <c r="H7561" s="19" t="s">
        <v>28</v>
      </c>
      <c r="I7561" s="18" t="s">
        <v>28</v>
      </c>
      <c r="J7561" s="18" t="s">
        <v>28</v>
      </c>
      <c r="K7561" s="18">
        <v>7.3</v>
      </c>
      <c r="L7561" s="18" t="s">
        <v>28</v>
      </c>
      <c r="M7561" s="18" t="s">
        <v>28</v>
      </c>
      <c r="N7561" s="17">
        <v>43364</v>
      </c>
      <c r="O7561" s="15" t="s">
        <v>79</v>
      </c>
      <c r="P7561" s="16" t="s">
        <v>22314</v>
      </c>
      <c r="Q7561" s="15" t="s">
        <v>75</v>
      </c>
      <c r="R7561" s="13" t="str">
        <f>HYPERLINK("https://my.pitchbook.com?c=112836-97T","View Company Online")</f>
        <v>View Company Online</v>
      </c>
    </row>
    <row r="7562" spans="1:18" hidden="1" x14ac:dyDescent="0.3">
      <c r="A7562" s="9" t="s">
        <v>22315</v>
      </c>
      <c r="B7562" s="9" t="s">
        <v>22316</v>
      </c>
      <c r="C7562" s="11" t="s">
        <v>28</v>
      </c>
      <c r="D7562" s="9" t="s">
        <v>22317</v>
      </c>
      <c r="E7562" s="11" t="s">
        <v>28</v>
      </c>
      <c r="F7562" s="10" t="s">
        <v>28</v>
      </c>
      <c r="G7562" s="10" t="s">
        <v>28</v>
      </c>
      <c r="H7562" s="10" t="s">
        <v>28</v>
      </c>
      <c r="I7562" s="11" t="s">
        <v>28</v>
      </c>
      <c r="J7562" s="11" t="s">
        <v>28</v>
      </c>
      <c r="K7562" s="11" t="s">
        <v>28</v>
      </c>
      <c r="L7562" s="11" t="s">
        <v>28</v>
      </c>
      <c r="M7562" s="11" t="s">
        <v>28</v>
      </c>
      <c r="N7562" s="8">
        <v>43364</v>
      </c>
      <c r="O7562" s="9" t="s">
        <v>30</v>
      </c>
      <c r="P7562" s="12" t="s">
        <v>22318</v>
      </c>
      <c r="Q7562" s="9" t="s">
        <v>331</v>
      </c>
      <c r="R7562" s="14" t="str">
        <f>HYPERLINK("https://my.pitchbook.com?c=109374-13T","View Company Online")</f>
        <v>View Company Online</v>
      </c>
    </row>
    <row r="7563" spans="1:18" hidden="1" x14ac:dyDescent="0.3">
      <c r="A7563" s="15" t="s">
        <v>22319</v>
      </c>
      <c r="B7563" s="15" t="s">
        <v>16679</v>
      </c>
      <c r="C7563" s="18" t="s">
        <v>28</v>
      </c>
      <c r="D7563" s="15" t="s">
        <v>16680</v>
      </c>
      <c r="E7563" s="18" t="s">
        <v>28</v>
      </c>
      <c r="F7563" s="19" t="s">
        <v>28</v>
      </c>
      <c r="G7563" s="19">
        <v>0.51</v>
      </c>
      <c r="H7563" s="19">
        <v>2.4300000000000002</v>
      </c>
      <c r="I7563" s="18" t="s">
        <v>28</v>
      </c>
      <c r="J7563" s="18" t="s">
        <v>28</v>
      </c>
      <c r="K7563" s="18" t="s">
        <v>28</v>
      </c>
      <c r="L7563" s="18" t="s">
        <v>28</v>
      </c>
      <c r="M7563" s="18" t="s">
        <v>28</v>
      </c>
      <c r="N7563" s="17">
        <v>43364</v>
      </c>
      <c r="O7563" s="15" t="s">
        <v>73</v>
      </c>
      <c r="P7563" s="16" t="s">
        <v>22320</v>
      </c>
      <c r="Q7563" s="15" t="s">
        <v>3912</v>
      </c>
      <c r="R7563" s="13" t="str">
        <f>HYPERLINK("https://my.pitchbook.com?c=129336-76T","View Company Online")</f>
        <v>View Company Online</v>
      </c>
    </row>
    <row r="7564" spans="1:18" hidden="1" x14ac:dyDescent="0.3">
      <c r="A7564" s="9" t="s">
        <v>22321</v>
      </c>
      <c r="B7564" s="9" t="s">
        <v>22322</v>
      </c>
      <c r="C7564" s="11" t="s">
        <v>28</v>
      </c>
      <c r="D7564" s="9" t="s">
        <v>22323</v>
      </c>
      <c r="E7564" s="11" t="s">
        <v>28</v>
      </c>
      <c r="F7564" s="10" t="s">
        <v>28</v>
      </c>
      <c r="G7564" s="10" t="s">
        <v>28</v>
      </c>
      <c r="H7564" s="10" t="s">
        <v>28</v>
      </c>
      <c r="I7564" s="11" t="s">
        <v>28</v>
      </c>
      <c r="J7564" s="11" t="s">
        <v>28</v>
      </c>
      <c r="K7564" s="11" t="s">
        <v>28</v>
      </c>
      <c r="L7564" s="11" t="s">
        <v>28</v>
      </c>
      <c r="M7564" s="11" t="s">
        <v>28</v>
      </c>
      <c r="N7564" s="8">
        <v>43363</v>
      </c>
      <c r="O7564" s="9" t="s">
        <v>58</v>
      </c>
      <c r="P7564" s="12" t="s">
        <v>22324</v>
      </c>
      <c r="Q7564" s="9" t="s">
        <v>404</v>
      </c>
      <c r="R7564" s="14" t="str">
        <f>HYPERLINK("https://my.pitchbook.com?c=134138-53T","View Company Online")</f>
        <v>View Company Online</v>
      </c>
    </row>
    <row r="7565" spans="1:18" hidden="1" x14ac:dyDescent="0.3">
      <c r="A7565" s="15" t="s">
        <v>22325</v>
      </c>
      <c r="B7565" s="15" t="s">
        <v>15368</v>
      </c>
      <c r="C7565" s="18" t="s">
        <v>28</v>
      </c>
      <c r="D7565" s="15" t="s">
        <v>15369</v>
      </c>
      <c r="E7565" s="18" t="s">
        <v>28</v>
      </c>
      <c r="F7565" s="19">
        <v>121.3</v>
      </c>
      <c r="G7565" s="19">
        <v>121.3</v>
      </c>
      <c r="H7565" s="19">
        <v>121.3</v>
      </c>
      <c r="I7565" s="18" t="s">
        <v>28</v>
      </c>
      <c r="J7565" s="18" t="s">
        <v>28</v>
      </c>
      <c r="K7565" s="18" t="s">
        <v>28</v>
      </c>
      <c r="L7565" s="18" t="s">
        <v>28</v>
      </c>
      <c r="M7565" s="18" t="s">
        <v>28</v>
      </c>
      <c r="N7565" s="17">
        <v>43363</v>
      </c>
      <c r="O7565" s="15" t="s">
        <v>30</v>
      </c>
      <c r="P7565" s="16" t="s">
        <v>28</v>
      </c>
      <c r="Q7565" s="15" t="s">
        <v>43</v>
      </c>
      <c r="R7565" s="13" t="str">
        <f>HYPERLINK("https://my.pitchbook.com?c=102759-13T","View Company Online")</f>
        <v>View Company Online</v>
      </c>
    </row>
    <row r="7566" spans="1:18" hidden="1" x14ac:dyDescent="0.3">
      <c r="A7566" s="9" t="s">
        <v>22326</v>
      </c>
      <c r="B7566" s="9" t="s">
        <v>455</v>
      </c>
      <c r="C7566" s="11" t="s">
        <v>28</v>
      </c>
      <c r="D7566" s="9" t="s">
        <v>456</v>
      </c>
      <c r="E7566" s="11" t="s">
        <v>28</v>
      </c>
      <c r="F7566" s="10" t="s">
        <v>28</v>
      </c>
      <c r="G7566" s="10" t="s">
        <v>28</v>
      </c>
      <c r="H7566" s="10" t="s">
        <v>28</v>
      </c>
      <c r="I7566" s="11" t="s">
        <v>28</v>
      </c>
      <c r="J7566" s="11" t="s">
        <v>28</v>
      </c>
      <c r="K7566" s="11" t="s">
        <v>28</v>
      </c>
      <c r="L7566" s="11" t="s">
        <v>28</v>
      </c>
      <c r="M7566" s="11" t="s">
        <v>28</v>
      </c>
      <c r="N7566" s="8">
        <v>43362</v>
      </c>
      <c r="O7566" s="9" t="s">
        <v>52</v>
      </c>
      <c r="P7566" s="12" t="s">
        <v>10628</v>
      </c>
      <c r="Q7566" s="9" t="s">
        <v>75</v>
      </c>
      <c r="R7566" s="14" t="str">
        <f>HYPERLINK("https://my.pitchbook.com?c=279150-85T","View Company Online")</f>
        <v>View Company Online</v>
      </c>
    </row>
    <row r="7567" spans="1:18" hidden="1" x14ac:dyDescent="0.3">
      <c r="A7567" s="15" t="s">
        <v>22327</v>
      </c>
      <c r="B7567" s="15" t="s">
        <v>22328</v>
      </c>
      <c r="C7567" s="18" t="s">
        <v>28</v>
      </c>
      <c r="D7567" s="15" t="s">
        <v>22329</v>
      </c>
      <c r="E7567" s="18" t="s">
        <v>28</v>
      </c>
      <c r="F7567" s="19" t="s">
        <v>28</v>
      </c>
      <c r="G7567" s="19" t="s">
        <v>28</v>
      </c>
      <c r="H7567" s="19" t="s">
        <v>28</v>
      </c>
      <c r="I7567" s="18" t="s">
        <v>28</v>
      </c>
      <c r="J7567" s="18" t="s">
        <v>28</v>
      </c>
      <c r="K7567" s="18" t="s">
        <v>28</v>
      </c>
      <c r="L7567" s="18" t="s">
        <v>28</v>
      </c>
      <c r="M7567" s="18" t="s">
        <v>28</v>
      </c>
      <c r="N7567" s="17">
        <v>43362</v>
      </c>
      <c r="O7567" s="15" t="s">
        <v>30</v>
      </c>
      <c r="P7567" s="16" t="s">
        <v>22330</v>
      </c>
      <c r="Q7567" s="15" t="s">
        <v>2706</v>
      </c>
      <c r="R7567" s="13" t="str">
        <f>HYPERLINK("https://my.pitchbook.com?c=213712-66T","View Company Online")</f>
        <v>View Company Online</v>
      </c>
    </row>
    <row r="7568" spans="1:18" hidden="1" x14ac:dyDescent="0.3">
      <c r="A7568" s="9" t="s">
        <v>22331</v>
      </c>
      <c r="B7568" s="9" t="s">
        <v>22332</v>
      </c>
      <c r="C7568" s="11" t="s">
        <v>28</v>
      </c>
      <c r="D7568" s="9" t="s">
        <v>22333</v>
      </c>
      <c r="E7568" s="11" t="s">
        <v>28</v>
      </c>
      <c r="F7568" s="10" t="s">
        <v>28</v>
      </c>
      <c r="G7568" s="10">
        <v>0.49</v>
      </c>
      <c r="H7568" s="10" t="s">
        <v>28</v>
      </c>
      <c r="I7568" s="11" t="s">
        <v>28</v>
      </c>
      <c r="J7568" s="11" t="s">
        <v>28</v>
      </c>
      <c r="K7568" s="11" t="s">
        <v>28</v>
      </c>
      <c r="L7568" s="11" t="s">
        <v>28</v>
      </c>
      <c r="M7568" s="11" t="s">
        <v>28</v>
      </c>
      <c r="N7568" s="8">
        <v>43361</v>
      </c>
      <c r="O7568" s="9" t="s">
        <v>1639</v>
      </c>
      <c r="P7568" s="12" t="s">
        <v>28</v>
      </c>
      <c r="Q7568" s="9" t="s">
        <v>105</v>
      </c>
      <c r="R7568" s="14" t="str">
        <f>HYPERLINK("https://my.pitchbook.com?c=122931-37T","View Company Online")</f>
        <v>View Company Online</v>
      </c>
    </row>
    <row r="7569" spans="1:18" hidden="1" x14ac:dyDescent="0.3">
      <c r="A7569" s="15" t="s">
        <v>22334</v>
      </c>
      <c r="B7569" s="15" t="s">
        <v>19908</v>
      </c>
      <c r="C7569" s="18" t="s">
        <v>28</v>
      </c>
      <c r="D7569" s="15" t="s">
        <v>22335</v>
      </c>
      <c r="E7569" s="18" t="s">
        <v>28</v>
      </c>
      <c r="F7569" s="19" t="s">
        <v>28</v>
      </c>
      <c r="G7569" s="19" t="s">
        <v>28</v>
      </c>
      <c r="H7569" s="19" t="s">
        <v>28</v>
      </c>
      <c r="I7569" s="18" t="s">
        <v>28</v>
      </c>
      <c r="J7569" s="18" t="s">
        <v>28</v>
      </c>
      <c r="K7569" s="18" t="s">
        <v>28</v>
      </c>
      <c r="L7569" s="18" t="s">
        <v>28</v>
      </c>
      <c r="M7569" s="18" t="s">
        <v>28</v>
      </c>
      <c r="N7569" s="17">
        <v>43361</v>
      </c>
      <c r="O7569" s="15" t="s">
        <v>30</v>
      </c>
      <c r="P7569" s="16" t="s">
        <v>22336</v>
      </c>
      <c r="Q7569" s="15" t="s">
        <v>95</v>
      </c>
      <c r="R7569" s="13" t="str">
        <f>HYPERLINK("https://my.pitchbook.com?c=111931-30T","View Company Online")</f>
        <v>View Company Online</v>
      </c>
    </row>
    <row r="7570" spans="1:18" hidden="1" x14ac:dyDescent="0.3">
      <c r="A7570" s="9" t="s">
        <v>22337</v>
      </c>
      <c r="B7570" s="9" t="s">
        <v>19272</v>
      </c>
      <c r="C7570" s="11" t="s">
        <v>28</v>
      </c>
      <c r="D7570" s="9" t="s">
        <v>19273</v>
      </c>
      <c r="E7570" s="11" t="s">
        <v>28</v>
      </c>
      <c r="F7570" s="10" t="s">
        <v>28</v>
      </c>
      <c r="G7570" s="10" t="s">
        <v>28</v>
      </c>
      <c r="H7570" s="10" t="s">
        <v>28</v>
      </c>
      <c r="I7570" s="11" t="s">
        <v>28</v>
      </c>
      <c r="J7570" s="11" t="s">
        <v>28</v>
      </c>
      <c r="K7570" s="11">
        <v>81.81</v>
      </c>
      <c r="L7570" s="11" t="s">
        <v>28</v>
      </c>
      <c r="M7570" s="11" t="s">
        <v>28</v>
      </c>
      <c r="N7570" s="8">
        <v>43361</v>
      </c>
      <c r="O7570" s="9" t="s">
        <v>41</v>
      </c>
      <c r="P7570" s="12" t="s">
        <v>22338</v>
      </c>
      <c r="Q7570" s="9" t="s">
        <v>3973</v>
      </c>
      <c r="R7570" s="14" t="str">
        <f>HYPERLINK("https://my.pitchbook.com?c=114372-37T","View Company Online")</f>
        <v>View Company Online</v>
      </c>
    </row>
    <row r="7571" spans="1:18" hidden="1" x14ac:dyDescent="0.3">
      <c r="A7571" s="15" t="s">
        <v>22339</v>
      </c>
      <c r="B7571" s="15" t="s">
        <v>22340</v>
      </c>
      <c r="C7571" s="18" t="s">
        <v>28</v>
      </c>
      <c r="D7571" s="15" t="s">
        <v>22341</v>
      </c>
      <c r="E7571" s="18" t="s">
        <v>28</v>
      </c>
      <c r="F7571" s="19" t="s">
        <v>28</v>
      </c>
      <c r="G7571" s="19">
        <v>0.13</v>
      </c>
      <c r="H7571" s="19" t="s">
        <v>28</v>
      </c>
      <c r="I7571" s="18" t="s">
        <v>28</v>
      </c>
      <c r="J7571" s="18" t="s">
        <v>28</v>
      </c>
      <c r="K7571" s="18" t="s">
        <v>28</v>
      </c>
      <c r="L7571" s="18" t="s">
        <v>28</v>
      </c>
      <c r="M7571" s="18" t="s">
        <v>28</v>
      </c>
      <c r="N7571" s="17">
        <v>43361</v>
      </c>
      <c r="O7571" s="15" t="s">
        <v>1639</v>
      </c>
      <c r="P7571" s="16" t="s">
        <v>22342</v>
      </c>
      <c r="Q7571" s="15" t="s">
        <v>37</v>
      </c>
      <c r="R7571" s="13" t="str">
        <f>HYPERLINK("https://my.pitchbook.com?c=215379-19T","View Company Online")</f>
        <v>View Company Online</v>
      </c>
    </row>
    <row r="7572" spans="1:18" hidden="1" x14ac:dyDescent="0.3">
      <c r="A7572" s="9" t="s">
        <v>22343</v>
      </c>
      <c r="B7572" s="9" t="s">
        <v>7867</v>
      </c>
      <c r="C7572" s="11" t="s">
        <v>28</v>
      </c>
      <c r="D7572" s="9" t="s">
        <v>7868</v>
      </c>
      <c r="E7572" s="11" t="s">
        <v>28</v>
      </c>
      <c r="F7572" s="10" t="s">
        <v>28</v>
      </c>
      <c r="G7572" s="10">
        <v>0.73</v>
      </c>
      <c r="H7572" s="10" t="s">
        <v>28</v>
      </c>
      <c r="I7572" s="11" t="s">
        <v>28</v>
      </c>
      <c r="J7572" s="11" t="s">
        <v>28</v>
      </c>
      <c r="K7572" s="11" t="s">
        <v>28</v>
      </c>
      <c r="L7572" s="11" t="s">
        <v>28</v>
      </c>
      <c r="M7572" s="11" t="s">
        <v>28</v>
      </c>
      <c r="N7572" s="8">
        <v>43360</v>
      </c>
      <c r="O7572" s="9" t="s">
        <v>99</v>
      </c>
      <c r="P7572" s="12" t="s">
        <v>22344</v>
      </c>
      <c r="Q7572" s="9" t="s">
        <v>75</v>
      </c>
      <c r="R7572" s="14" t="str">
        <f>HYPERLINK("https://my.pitchbook.com?c=112478-95T","View Company Online")</f>
        <v>View Company Online</v>
      </c>
    </row>
    <row r="7573" spans="1:18" hidden="1" x14ac:dyDescent="0.3">
      <c r="A7573" s="15" t="s">
        <v>22345</v>
      </c>
      <c r="B7573" s="15" t="s">
        <v>10208</v>
      </c>
      <c r="C7573" s="18" t="s">
        <v>28</v>
      </c>
      <c r="D7573" s="15" t="s">
        <v>10209</v>
      </c>
      <c r="E7573" s="18" t="s">
        <v>28</v>
      </c>
      <c r="F7573" s="19" t="s">
        <v>28</v>
      </c>
      <c r="G7573" s="19">
        <v>0.1</v>
      </c>
      <c r="H7573" s="19" t="s">
        <v>28</v>
      </c>
      <c r="I7573" s="18" t="s">
        <v>28</v>
      </c>
      <c r="J7573" s="18" t="s">
        <v>28</v>
      </c>
      <c r="K7573" s="18" t="s">
        <v>28</v>
      </c>
      <c r="L7573" s="18" t="s">
        <v>28</v>
      </c>
      <c r="M7573" s="18" t="s">
        <v>28</v>
      </c>
      <c r="N7573" s="17">
        <v>43360</v>
      </c>
      <c r="O7573" s="15" t="s">
        <v>379</v>
      </c>
      <c r="P7573" s="16" t="s">
        <v>7110</v>
      </c>
      <c r="Q7573" s="15" t="s">
        <v>566</v>
      </c>
      <c r="R7573" s="13" t="str">
        <f>HYPERLINK("https://my.pitchbook.com?c=111869-56T","View Company Online")</f>
        <v>View Company Online</v>
      </c>
    </row>
    <row r="7574" spans="1:18" hidden="1" x14ac:dyDescent="0.3">
      <c r="A7574" s="9" t="s">
        <v>22346</v>
      </c>
      <c r="B7574" s="9" t="s">
        <v>13624</v>
      </c>
      <c r="C7574" s="11" t="s">
        <v>28</v>
      </c>
      <c r="D7574" s="9" t="s">
        <v>13625</v>
      </c>
      <c r="E7574" s="11" t="s">
        <v>28</v>
      </c>
      <c r="F7574" s="10" t="s">
        <v>28</v>
      </c>
      <c r="G7574" s="10" t="s">
        <v>28</v>
      </c>
      <c r="H7574" s="10" t="s">
        <v>28</v>
      </c>
      <c r="I7574" s="11" t="s">
        <v>28</v>
      </c>
      <c r="J7574" s="11" t="s">
        <v>28</v>
      </c>
      <c r="K7574" s="11" t="s">
        <v>28</v>
      </c>
      <c r="L7574" s="11" t="s">
        <v>28</v>
      </c>
      <c r="M7574" s="11" t="s">
        <v>28</v>
      </c>
      <c r="N7574" s="8">
        <v>43356</v>
      </c>
      <c r="O7574" s="9" t="s">
        <v>58</v>
      </c>
      <c r="P7574" s="12" t="s">
        <v>22347</v>
      </c>
      <c r="Q7574" s="9" t="s">
        <v>75</v>
      </c>
      <c r="R7574" s="14" t="str">
        <f>HYPERLINK("https://my.pitchbook.com?c=122020-39T","View Company Online")</f>
        <v>View Company Online</v>
      </c>
    </row>
    <row r="7575" spans="1:18" hidden="1" x14ac:dyDescent="0.3">
      <c r="A7575" s="15" t="s">
        <v>22348</v>
      </c>
      <c r="B7575" s="15" t="s">
        <v>20924</v>
      </c>
      <c r="C7575" s="18" t="s">
        <v>28</v>
      </c>
      <c r="D7575" s="15" t="s">
        <v>20925</v>
      </c>
      <c r="E7575" s="18" t="s">
        <v>28</v>
      </c>
      <c r="F7575" s="19" t="s">
        <v>28</v>
      </c>
      <c r="G7575" s="19">
        <v>150</v>
      </c>
      <c r="H7575" s="19" t="s">
        <v>28</v>
      </c>
      <c r="I7575" s="18" t="s">
        <v>28</v>
      </c>
      <c r="J7575" s="18" t="s">
        <v>28</v>
      </c>
      <c r="K7575" s="18" t="s">
        <v>28</v>
      </c>
      <c r="L7575" s="18" t="s">
        <v>28</v>
      </c>
      <c r="M7575" s="18" t="s">
        <v>28</v>
      </c>
      <c r="N7575" s="17">
        <v>43356</v>
      </c>
      <c r="O7575" s="15" t="s">
        <v>73</v>
      </c>
      <c r="P7575" s="16" t="s">
        <v>22349</v>
      </c>
      <c r="Q7575" s="15" t="s">
        <v>855</v>
      </c>
      <c r="R7575" s="13" t="str">
        <f>HYPERLINK("https://my.pitchbook.com?c=111700-09T","View Company Online")</f>
        <v>View Company Online</v>
      </c>
    </row>
    <row r="7576" spans="1:18" hidden="1" x14ac:dyDescent="0.3">
      <c r="A7576" s="9" t="s">
        <v>22350</v>
      </c>
      <c r="B7576" s="9" t="s">
        <v>22351</v>
      </c>
      <c r="C7576" s="11" t="s">
        <v>28</v>
      </c>
      <c r="D7576" s="9" t="s">
        <v>22352</v>
      </c>
      <c r="E7576" s="11" t="s">
        <v>28</v>
      </c>
      <c r="F7576" s="10" t="s">
        <v>28</v>
      </c>
      <c r="G7576" s="10" t="s">
        <v>28</v>
      </c>
      <c r="H7576" s="10" t="s">
        <v>28</v>
      </c>
      <c r="I7576" s="11" t="s">
        <v>28</v>
      </c>
      <c r="J7576" s="11" t="s">
        <v>28</v>
      </c>
      <c r="K7576" s="11" t="s">
        <v>28</v>
      </c>
      <c r="L7576" s="11" t="s">
        <v>28</v>
      </c>
      <c r="M7576" s="11" t="s">
        <v>28</v>
      </c>
      <c r="N7576" s="8">
        <v>43355</v>
      </c>
      <c r="O7576" s="9" t="s">
        <v>79</v>
      </c>
      <c r="P7576" s="12" t="s">
        <v>22353</v>
      </c>
      <c r="Q7576" s="9" t="s">
        <v>75</v>
      </c>
      <c r="R7576" s="14" t="str">
        <f>HYPERLINK("https://my.pitchbook.com?c=114123-25T","View Company Online")</f>
        <v>View Company Online</v>
      </c>
    </row>
    <row r="7577" spans="1:18" hidden="1" x14ac:dyDescent="0.3">
      <c r="A7577" s="15" t="s">
        <v>22354</v>
      </c>
      <c r="B7577" s="15" t="s">
        <v>22355</v>
      </c>
      <c r="C7577" s="18" t="s">
        <v>28</v>
      </c>
      <c r="D7577" s="15" t="s">
        <v>22356</v>
      </c>
      <c r="E7577" s="18" t="s">
        <v>28</v>
      </c>
      <c r="F7577" s="19" t="s">
        <v>28</v>
      </c>
      <c r="G7577" s="19" t="s">
        <v>28</v>
      </c>
      <c r="H7577" s="19" t="s">
        <v>28</v>
      </c>
      <c r="I7577" s="18" t="s">
        <v>28</v>
      </c>
      <c r="J7577" s="18" t="s">
        <v>28</v>
      </c>
      <c r="K7577" s="18" t="s">
        <v>28</v>
      </c>
      <c r="L7577" s="18" t="s">
        <v>28</v>
      </c>
      <c r="M7577" s="18" t="s">
        <v>28</v>
      </c>
      <c r="N7577" s="17">
        <v>43354</v>
      </c>
      <c r="O7577" s="15" t="s">
        <v>41</v>
      </c>
      <c r="P7577" s="16" t="s">
        <v>19755</v>
      </c>
      <c r="Q7577" s="15" t="s">
        <v>183</v>
      </c>
      <c r="R7577" s="13" t="str">
        <f>HYPERLINK("https://my.pitchbook.com?c=111668-68T","View Company Online")</f>
        <v>View Company Online</v>
      </c>
    </row>
    <row r="7578" spans="1:18" hidden="1" x14ac:dyDescent="0.3">
      <c r="A7578" s="9" t="s">
        <v>22357</v>
      </c>
      <c r="B7578" s="9" t="s">
        <v>22358</v>
      </c>
      <c r="C7578" s="11" t="s">
        <v>28</v>
      </c>
      <c r="D7578" s="9" t="s">
        <v>22359</v>
      </c>
      <c r="E7578" s="11" t="s">
        <v>28</v>
      </c>
      <c r="F7578" s="10" t="s">
        <v>28</v>
      </c>
      <c r="G7578" s="10" t="s">
        <v>28</v>
      </c>
      <c r="H7578" s="10" t="s">
        <v>28</v>
      </c>
      <c r="I7578" s="11" t="s">
        <v>28</v>
      </c>
      <c r="J7578" s="11" t="s">
        <v>28</v>
      </c>
      <c r="K7578" s="11" t="s">
        <v>28</v>
      </c>
      <c r="L7578" s="11" t="s">
        <v>28</v>
      </c>
      <c r="M7578" s="11" t="s">
        <v>28</v>
      </c>
      <c r="N7578" s="8">
        <v>43351</v>
      </c>
      <c r="O7578" s="9" t="s">
        <v>52</v>
      </c>
      <c r="P7578" s="12" t="s">
        <v>798</v>
      </c>
      <c r="Q7578" s="9" t="s">
        <v>616</v>
      </c>
      <c r="R7578" s="14" t="str">
        <f>HYPERLINK("https://my.pitchbook.com?c=297862-21T","View Company Online")</f>
        <v>View Company Online</v>
      </c>
    </row>
    <row r="7579" spans="1:18" hidden="1" x14ac:dyDescent="0.3">
      <c r="A7579" s="15" t="s">
        <v>22360</v>
      </c>
      <c r="B7579" s="15" t="s">
        <v>22361</v>
      </c>
      <c r="C7579" s="18" t="s">
        <v>28</v>
      </c>
      <c r="D7579" s="15" t="s">
        <v>22362</v>
      </c>
      <c r="E7579" s="18" t="s">
        <v>28</v>
      </c>
      <c r="F7579" s="19" t="s">
        <v>28</v>
      </c>
      <c r="G7579" s="19" t="s">
        <v>28</v>
      </c>
      <c r="H7579" s="19" t="s">
        <v>28</v>
      </c>
      <c r="I7579" s="18" t="s">
        <v>28</v>
      </c>
      <c r="J7579" s="18" t="s">
        <v>28</v>
      </c>
      <c r="K7579" s="18" t="s">
        <v>28</v>
      </c>
      <c r="L7579" s="18" t="s">
        <v>28</v>
      </c>
      <c r="M7579" s="18" t="s">
        <v>28</v>
      </c>
      <c r="N7579" s="17">
        <v>43351</v>
      </c>
      <c r="O7579" s="15" t="s">
        <v>30</v>
      </c>
      <c r="P7579" s="16" t="s">
        <v>22363</v>
      </c>
      <c r="Q7579" s="15" t="s">
        <v>1007</v>
      </c>
      <c r="R7579" s="13" t="str">
        <f>HYPERLINK("https://my.pitchbook.com?c=114386-59T","View Company Online")</f>
        <v>View Company Online</v>
      </c>
    </row>
    <row r="7580" spans="1:18" hidden="1" x14ac:dyDescent="0.3">
      <c r="A7580" s="9" t="s">
        <v>22364</v>
      </c>
      <c r="B7580" s="9" t="s">
        <v>9223</v>
      </c>
      <c r="C7580" s="11" t="s">
        <v>28</v>
      </c>
      <c r="D7580" s="9" t="s">
        <v>11450</v>
      </c>
      <c r="E7580" s="11" t="s">
        <v>28</v>
      </c>
      <c r="F7580" s="10" t="s">
        <v>28</v>
      </c>
      <c r="G7580" s="10" t="s">
        <v>28</v>
      </c>
      <c r="H7580" s="10" t="s">
        <v>28</v>
      </c>
      <c r="I7580" s="11" t="s">
        <v>28</v>
      </c>
      <c r="J7580" s="11" t="s">
        <v>28</v>
      </c>
      <c r="K7580" s="11">
        <v>59</v>
      </c>
      <c r="L7580" s="11" t="s">
        <v>28</v>
      </c>
      <c r="M7580" s="11" t="s">
        <v>28</v>
      </c>
      <c r="N7580" s="8">
        <v>43350</v>
      </c>
      <c r="O7580" s="9" t="s">
        <v>30</v>
      </c>
      <c r="P7580" s="12" t="s">
        <v>28</v>
      </c>
      <c r="Q7580" s="9" t="s">
        <v>409</v>
      </c>
      <c r="R7580" s="14" t="str">
        <f>HYPERLINK("https://my.pitchbook.com?c=112062-88T","View Company Online")</f>
        <v>View Company Online</v>
      </c>
    </row>
    <row r="7581" spans="1:18" hidden="1" x14ac:dyDescent="0.3">
      <c r="A7581" s="15" t="s">
        <v>22365</v>
      </c>
      <c r="B7581" s="15" t="s">
        <v>18532</v>
      </c>
      <c r="C7581" s="18" t="s">
        <v>28</v>
      </c>
      <c r="D7581" s="15" t="s">
        <v>18533</v>
      </c>
      <c r="E7581" s="18" t="s">
        <v>28</v>
      </c>
      <c r="F7581" s="19" t="s">
        <v>28</v>
      </c>
      <c r="G7581" s="19">
        <v>6.59</v>
      </c>
      <c r="H7581" s="19" t="s">
        <v>28</v>
      </c>
      <c r="I7581" s="18" t="s">
        <v>28</v>
      </c>
      <c r="J7581" s="18" t="s">
        <v>28</v>
      </c>
      <c r="K7581" s="18" t="s">
        <v>28</v>
      </c>
      <c r="L7581" s="18" t="s">
        <v>28</v>
      </c>
      <c r="M7581" s="18" t="s">
        <v>28</v>
      </c>
      <c r="N7581" s="17">
        <v>43349</v>
      </c>
      <c r="O7581" s="15" t="s">
        <v>79</v>
      </c>
      <c r="P7581" s="16" t="s">
        <v>22366</v>
      </c>
      <c r="Q7581" s="15" t="s">
        <v>1336</v>
      </c>
      <c r="R7581" s="13" t="str">
        <f>HYPERLINK("https://my.pitchbook.com?c=113186-08T","View Company Online")</f>
        <v>View Company Online</v>
      </c>
    </row>
    <row r="7582" spans="1:18" hidden="1" x14ac:dyDescent="0.3">
      <c r="A7582" s="9" t="s">
        <v>22367</v>
      </c>
      <c r="B7582" s="9" t="s">
        <v>13286</v>
      </c>
      <c r="C7582" s="11" t="s">
        <v>28</v>
      </c>
      <c r="D7582" s="9" t="s">
        <v>13287</v>
      </c>
      <c r="E7582" s="11" t="s">
        <v>28</v>
      </c>
      <c r="F7582" s="10" t="s">
        <v>28</v>
      </c>
      <c r="G7582" s="10" t="s">
        <v>28</v>
      </c>
      <c r="H7582" s="10" t="s">
        <v>28</v>
      </c>
      <c r="I7582" s="11" t="s">
        <v>28</v>
      </c>
      <c r="J7582" s="11" t="s">
        <v>28</v>
      </c>
      <c r="K7582" s="11" t="s">
        <v>28</v>
      </c>
      <c r="L7582" s="11" t="s">
        <v>28</v>
      </c>
      <c r="M7582" s="11" t="s">
        <v>28</v>
      </c>
      <c r="N7582" s="8">
        <v>43349</v>
      </c>
      <c r="O7582" s="9" t="s">
        <v>52</v>
      </c>
      <c r="P7582" s="12" t="s">
        <v>3869</v>
      </c>
      <c r="Q7582" s="9" t="s">
        <v>522</v>
      </c>
      <c r="R7582" s="14" t="str">
        <f>HYPERLINK("https://my.pitchbook.com?c=115535-71T","View Company Online")</f>
        <v>View Company Online</v>
      </c>
    </row>
    <row r="7583" spans="1:18" hidden="1" x14ac:dyDescent="0.3">
      <c r="A7583" s="15" t="s">
        <v>22368</v>
      </c>
      <c r="B7583" s="15" t="s">
        <v>20198</v>
      </c>
      <c r="C7583" s="18" t="s">
        <v>28</v>
      </c>
      <c r="D7583" s="15" t="s">
        <v>20199</v>
      </c>
      <c r="E7583" s="18" t="s">
        <v>28</v>
      </c>
      <c r="F7583" s="19" t="s">
        <v>28</v>
      </c>
      <c r="G7583" s="19" t="s">
        <v>28</v>
      </c>
      <c r="H7583" s="19" t="s">
        <v>28</v>
      </c>
      <c r="I7583" s="18" t="s">
        <v>28</v>
      </c>
      <c r="J7583" s="18" t="s">
        <v>28</v>
      </c>
      <c r="K7583" s="18" t="s">
        <v>28</v>
      </c>
      <c r="L7583" s="18" t="s">
        <v>28</v>
      </c>
      <c r="M7583" s="18" t="s">
        <v>28</v>
      </c>
      <c r="N7583" s="17">
        <v>43349</v>
      </c>
      <c r="O7583" s="15" t="s">
        <v>52</v>
      </c>
      <c r="P7583" s="16" t="s">
        <v>3869</v>
      </c>
      <c r="Q7583" s="15" t="s">
        <v>37</v>
      </c>
      <c r="R7583" s="13" t="str">
        <f>HYPERLINK("https://my.pitchbook.com?c=115534-81T","View Company Online")</f>
        <v>View Company Online</v>
      </c>
    </row>
    <row r="7584" spans="1:18" hidden="1" x14ac:dyDescent="0.3">
      <c r="A7584" s="9" t="s">
        <v>22369</v>
      </c>
      <c r="B7584" s="9" t="s">
        <v>22370</v>
      </c>
      <c r="C7584" s="11" t="s">
        <v>28</v>
      </c>
      <c r="D7584" s="9" t="s">
        <v>22371</v>
      </c>
      <c r="E7584" s="11" t="s">
        <v>28</v>
      </c>
      <c r="F7584" s="10">
        <v>299.48</v>
      </c>
      <c r="G7584" s="10">
        <v>299.48</v>
      </c>
      <c r="H7584" s="10">
        <v>299.48</v>
      </c>
      <c r="I7584" s="11" t="s">
        <v>28</v>
      </c>
      <c r="J7584" s="11" t="s">
        <v>28</v>
      </c>
      <c r="K7584" s="11" t="s">
        <v>28</v>
      </c>
      <c r="L7584" s="11" t="s">
        <v>28</v>
      </c>
      <c r="M7584" s="11" t="s">
        <v>28</v>
      </c>
      <c r="N7584" s="8">
        <v>43349</v>
      </c>
      <c r="O7584" s="9" t="s">
        <v>30</v>
      </c>
      <c r="P7584" s="12" t="s">
        <v>9055</v>
      </c>
      <c r="Q7584" s="9" t="s">
        <v>855</v>
      </c>
      <c r="R7584" s="14" t="str">
        <f>HYPERLINK("https://my.pitchbook.com?c=160134-13T","View Company Online")</f>
        <v>View Company Online</v>
      </c>
    </row>
    <row r="7585" spans="1:18" hidden="1" x14ac:dyDescent="0.3">
      <c r="A7585" s="15" t="s">
        <v>22372</v>
      </c>
      <c r="B7585" s="15" t="s">
        <v>14560</v>
      </c>
      <c r="C7585" s="18" t="s">
        <v>28</v>
      </c>
      <c r="D7585" s="15" t="s">
        <v>14561</v>
      </c>
      <c r="E7585" s="18" t="s">
        <v>28</v>
      </c>
      <c r="F7585" s="19" t="s">
        <v>28</v>
      </c>
      <c r="G7585" s="19" t="s">
        <v>28</v>
      </c>
      <c r="H7585" s="19" t="s">
        <v>28</v>
      </c>
      <c r="I7585" s="18" t="s">
        <v>28</v>
      </c>
      <c r="J7585" s="18" t="s">
        <v>28</v>
      </c>
      <c r="K7585" s="18" t="s">
        <v>28</v>
      </c>
      <c r="L7585" s="18" t="s">
        <v>28</v>
      </c>
      <c r="M7585" s="18" t="s">
        <v>28</v>
      </c>
      <c r="N7585" s="17">
        <v>43349</v>
      </c>
      <c r="O7585" s="15" t="s">
        <v>52</v>
      </c>
      <c r="P7585" s="16" t="s">
        <v>1880</v>
      </c>
      <c r="Q7585" s="15" t="s">
        <v>37</v>
      </c>
      <c r="R7585" s="13" t="str">
        <f>HYPERLINK("https://my.pitchbook.com?c=111393-91T","View Company Online")</f>
        <v>View Company Online</v>
      </c>
    </row>
    <row r="7586" spans="1:18" hidden="1" x14ac:dyDescent="0.3">
      <c r="A7586" s="9" t="s">
        <v>22373</v>
      </c>
      <c r="B7586" s="9" t="s">
        <v>15575</v>
      </c>
      <c r="C7586" s="11" t="s">
        <v>28</v>
      </c>
      <c r="D7586" s="9" t="s">
        <v>15576</v>
      </c>
      <c r="E7586" s="11" t="s">
        <v>28</v>
      </c>
      <c r="F7586" s="10" t="s">
        <v>28</v>
      </c>
      <c r="G7586" s="10" t="s">
        <v>28</v>
      </c>
      <c r="H7586" s="10" t="s">
        <v>28</v>
      </c>
      <c r="I7586" s="11" t="s">
        <v>28</v>
      </c>
      <c r="J7586" s="11" t="s">
        <v>28</v>
      </c>
      <c r="K7586" s="11" t="s">
        <v>28</v>
      </c>
      <c r="L7586" s="11" t="s">
        <v>28</v>
      </c>
      <c r="M7586" s="11" t="s">
        <v>28</v>
      </c>
      <c r="N7586" s="8">
        <v>43349</v>
      </c>
      <c r="O7586" s="9" t="s">
        <v>52</v>
      </c>
      <c r="P7586" s="12" t="s">
        <v>3869</v>
      </c>
      <c r="Q7586" s="9" t="s">
        <v>37</v>
      </c>
      <c r="R7586" s="14" t="str">
        <f>HYPERLINK("https://my.pitchbook.com?c=116663-59T","View Company Online")</f>
        <v>View Company Online</v>
      </c>
    </row>
    <row r="7587" spans="1:18" hidden="1" x14ac:dyDescent="0.3">
      <c r="A7587" s="15" t="s">
        <v>22374</v>
      </c>
      <c r="B7587" s="15" t="s">
        <v>14430</v>
      </c>
      <c r="C7587" s="18" t="s">
        <v>28</v>
      </c>
      <c r="D7587" s="15" t="s">
        <v>14431</v>
      </c>
      <c r="E7587" s="18" t="s">
        <v>28</v>
      </c>
      <c r="F7587" s="19" t="s">
        <v>28</v>
      </c>
      <c r="G7587" s="19" t="s">
        <v>28</v>
      </c>
      <c r="H7587" s="19" t="s">
        <v>28</v>
      </c>
      <c r="I7587" s="18" t="s">
        <v>28</v>
      </c>
      <c r="J7587" s="18" t="s">
        <v>28</v>
      </c>
      <c r="K7587" s="18">
        <v>7.3</v>
      </c>
      <c r="L7587" s="18" t="s">
        <v>28</v>
      </c>
      <c r="M7587" s="18" t="s">
        <v>28</v>
      </c>
      <c r="N7587" s="17">
        <v>43349</v>
      </c>
      <c r="O7587" s="15" t="s">
        <v>52</v>
      </c>
      <c r="P7587" s="16" t="s">
        <v>3869</v>
      </c>
      <c r="Q7587" s="15" t="s">
        <v>75</v>
      </c>
      <c r="R7587" s="13" t="str">
        <f>HYPERLINK("https://my.pitchbook.com?c=118138-51T","View Company Online")</f>
        <v>View Company Online</v>
      </c>
    </row>
    <row r="7588" spans="1:18" hidden="1" x14ac:dyDescent="0.3">
      <c r="A7588" s="9" t="s">
        <v>22375</v>
      </c>
      <c r="B7588" s="9" t="s">
        <v>13573</v>
      </c>
      <c r="C7588" s="11" t="s">
        <v>28</v>
      </c>
      <c r="D7588" s="9" t="s">
        <v>13574</v>
      </c>
      <c r="E7588" s="11" t="s">
        <v>28</v>
      </c>
      <c r="F7588" s="10" t="s">
        <v>28</v>
      </c>
      <c r="G7588" s="10" t="s">
        <v>28</v>
      </c>
      <c r="H7588" s="10" t="s">
        <v>28</v>
      </c>
      <c r="I7588" s="11" t="s">
        <v>28</v>
      </c>
      <c r="J7588" s="11" t="s">
        <v>28</v>
      </c>
      <c r="K7588" s="11" t="s">
        <v>28</v>
      </c>
      <c r="L7588" s="11" t="s">
        <v>28</v>
      </c>
      <c r="M7588" s="11" t="s">
        <v>28</v>
      </c>
      <c r="N7588" s="8">
        <v>43349</v>
      </c>
      <c r="O7588" s="9" t="s">
        <v>52</v>
      </c>
      <c r="P7588" s="12" t="s">
        <v>3869</v>
      </c>
      <c r="Q7588" s="9" t="s">
        <v>37</v>
      </c>
      <c r="R7588" s="14" t="str">
        <f>HYPERLINK("https://my.pitchbook.com?c=115536-16T","View Company Online")</f>
        <v>View Company Online</v>
      </c>
    </row>
    <row r="7589" spans="1:18" hidden="1" x14ac:dyDescent="0.3">
      <c r="A7589" s="15" t="s">
        <v>22376</v>
      </c>
      <c r="B7589" s="15" t="s">
        <v>17521</v>
      </c>
      <c r="C7589" s="18" t="s">
        <v>28</v>
      </c>
      <c r="D7589" s="15" t="s">
        <v>22377</v>
      </c>
      <c r="E7589" s="18" t="s">
        <v>28</v>
      </c>
      <c r="F7589" s="19">
        <v>175.15</v>
      </c>
      <c r="G7589" s="19">
        <v>87.57</v>
      </c>
      <c r="H7589" s="19">
        <v>175.15</v>
      </c>
      <c r="I7589" s="18" t="s">
        <v>28</v>
      </c>
      <c r="J7589" s="18" t="s">
        <v>28</v>
      </c>
      <c r="K7589" s="18" t="s">
        <v>28</v>
      </c>
      <c r="L7589" s="18" t="s">
        <v>28</v>
      </c>
      <c r="M7589" s="18" t="s">
        <v>28</v>
      </c>
      <c r="N7589" s="17">
        <v>43348</v>
      </c>
      <c r="O7589" s="15" t="s">
        <v>30</v>
      </c>
      <c r="P7589" s="16" t="s">
        <v>22378</v>
      </c>
      <c r="Q7589" s="15" t="s">
        <v>316</v>
      </c>
      <c r="R7589" s="13" t="str">
        <f>HYPERLINK("https://my.pitchbook.com?c=119951-11T","View Company Online")</f>
        <v>View Company Online</v>
      </c>
    </row>
    <row r="7590" spans="1:18" hidden="1" x14ac:dyDescent="0.3">
      <c r="A7590" s="9" t="s">
        <v>22379</v>
      </c>
      <c r="B7590" s="9" t="s">
        <v>14334</v>
      </c>
      <c r="C7590" s="11" t="s">
        <v>28</v>
      </c>
      <c r="D7590" s="9" t="s">
        <v>14335</v>
      </c>
      <c r="E7590" s="11" t="s">
        <v>28</v>
      </c>
      <c r="F7590" s="10" t="s">
        <v>28</v>
      </c>
      <c r="G7590" s="10" t="s">
        <v>28</v>
      </c>
      <c r="H7590" s="10" t="s">
        <v>28</v>
      </c>
      <c r="I7590" s="11" t="s">
        <v>28</v>
      </c>
      <c r="J7590" s="11" t="s">
        <v>28</v>
      </c>
      <c r="K7590" s="11" t="s">
        <v>28</v>
      </c>
      <c r="L7590" s="11" t="s">
        <v>28</v>
      </c>
      <c r="M7590" s="11" t="s">
        <v>28</v>
      </c>
      <c r="N7590" s="8">
        <v>43348</v>
      </c>
      <c r="O7590" s="9" t="s">
        <v>41</v>
      </c>
      <c r="P7590" s="12" t="s">
        <v>20483</v>
      </c>
      <c r="Q7590" s="9" t="s">
        <v>75</v>
      </c>
      <c r="R7590" s="14" t="str">
        <f>HYPERLINK("https://my.pitchbook.com?c=180001-90T","View Company Online")</f>
        <v>View Company Online</v>
      </c>
    </row>
    <row r="7591" spans="1:18" hidden="1" x14ac:dyDescent="0.3">
      <c r="A7591" s="15" t="s">
        <v>22380</v>
      </c>
      <c r="B7591" s="15" t="s">
        <v>22381</v>
      </c>
      <c r="C7591" s="18" t="s">
        <v>28</v>
      </c>
      <c r="D7591" s="15" t="s">
        <v>22382</v>
      </c>
      <c r="E7591" s="18" t="s">
        <v>28</v>
      </c>
      <c r="F7591" s="19">
        <v>28.77</v>
      </c>
      <c r="G7591" s="19">
        <v>28.77</v>
      </c>
      <c r="H7591" s="19">
        <v>28.77</v>
      </c>
      <c r="I7591" s="18" t="s">
        <v>28</v>
      </c>
      <c r="J7591" s="18" t="s">
        <v>28</v>
      </c>
      <c r="K7591" s="18" t="s">
        <v>28</v>
      </c>
      <c r="L7591" s="18" t="s">
        <v>28</v>
      </c>
      <c r="M7591" s="18" t="s">
        <v>28</v>
      </c>
      <c r="N7591" s="17">
        <v>43348</v>
      </c>
      <c r="O7591" s="15" t="s">
        <v>41</v>
      </c>
      <c r="P7591" s="16" t="s">
        <v>11612</v>
      </c>
      <c r="Q7591" s="15" t="s">
        <v>160</v>
      </c>
      <c r="R7591" s="13" t="str">
        <f>HYPERLINK("https://my.pitchbook.com?c=112963-51T","View Company Online")</f>
        <v>View Company Online</v>
      </c>
    </row>
    <row r="7592" spans="1:18" hidden="1" x14ac:dyDescent="0.3">
      <c r="A7592" s="9" t="s">
        <v>22383</v>
      </c>
      <c r="B7592" s="9" t="s">
        <v>22384</v>
      </c>
      <c r="C7592" s="11" t="s">
        <v>28</v>
      </c>
      <c r="D7592" s="9" t="s">
        <v>22385</v>
      </c>
      <c r="E7592" s="11" t="s">
        <v>28</v>
      </c>
      <c r="F7592" s="10" t="s">
        <v>28</v>
      </c>
      <c r="G7592" s="10" t="s">
        <v>28</v>
      </c>
      <c r="H7592" s="10" t="s">
        <v>28</v>
      </c>
      <c r="I7592" s="11" t="s">
        <v>28</v>
      </c>
      <c r="J7592" s="11" t="s">
        <v>28</v>
      </c>
      <c r="K7592" s="11" t="s">
        <v>28</v>
      </c>
      <c r="L7592" s="11" t="s">
        <v>28</v>
      </c>
      <c r="M7592" s="11" t="s">
        <v>28</v>
      </c>
      <c r="N7592" s="8">
        <v>43347</v>
      </c>
      <c r="O7592" s="9" t="s">
        <v>41</v>
      </c>
      <c r="P7592" s="12" t="s">
        <v>22386</v>
      </c>
      <c r="Q7592" s="9" t="s">
        <v>226</v>
      </c>
      <c r="R7592" s="14" t="str">
        <f>HYPERLINK("https://my.pitchbook.com?c=111379-24T","View Company Online")</f>
        <v>View Company Online</v>
      </c>
    </row>
    <row r="7593" spans="1:18" hidden="1" x14ac:dyDescent="0.3">
      <c r="A7593" s="15" t="s">
        <v>22387</v>
      </c>
      <c r="B7593" s="15" t="s">
        <v>22388</v>
      </c>
      <c r="C7593" s="18" t="s">
        <v>28</v>
      </c>
      <c r="D7593" s="15" t="s">
        <v>22389</v>
      </c>
      <c r="E7593" s="18" t="s">
        <v>28</v>
      </c>
      <c r="F7593" s="19" t="s">
        <v>28</v>
      </c>
      <c r="G7593" s="19" t="s">
        <v>28</v>
      </c>
      <c r="H7593" s="19" t="s">
        <v>28</v>
      </c>
      <c r="I7593" s="18" t="s">
        <v>28</v>
      </c>
      <c r="J7593" s="18" t="s">
        <v>28</v>
      </c>
      <c r="K7593" s="18" t="s">
        <v>28</v>
      </c>
      <c r="L7593" s="18" t="s">
        <v>28</v>
      </c>
      <c r="M7593" s="18" t="s">
        <v>28</v>
      </c>
      <c r="N7593" s="17">
        <v>43347</v>
      </c>
      <c r="O7593" s="15" t="s">
        <v>30</v>
      </c>
      <c r="P7593" s="16" t="s">
        <v>11193</v>
      </c>
      <c r="Q7593" s="15" t="s">
        <v>37</v>
      </c>
      <c r="R7593" s="13" t="str">
        <f>HYPERLINK("https://my.pitchbook.com?c=114192-73T","View Company Online")</f>
        <v>View Company Online</v>
      </c>
    </row>
    <row r="7594" spans="1:18" hidden="1" x14ac:dyDescent="0.3">
      <c r="A7594" s="9" t="s">
        <v>22390</v>
      </c>
      <c r="B7594" s="9" t="s">
        <v>5770</v>
      </c>
      <c r="C7594" s="11" t="s">
        <v>28</v>
      </c>
      <c r="D7594" s="9" t="s">
        <v>5771</v>
      </c>
      <c r="E7594" s="11" t="s">
        <v>28</v>
      </c>
      <c r="F7594" s="10" t="s">
        <v>28</v>
      </c>
      <c r="G7594" s="10">
        <v>5.04</v>
      </c>
      <c r="H7594" s="10" t="s">
        <v>28</v>
      </c>
      <c r="I7594" s="11" t="s">
        <v>28</v>
      </c>
      <c r="J7594" s="11" t="s">
        <v>28</v>
      </c>
      <c r="K7594" s="11" t="s">
        <v>28</v>
      </c>
      <c r="L7594" s="11" t="s">
        <v>28</v>
      </c>
      <c r="M7594" s="11">
        <v>-0.53</v>
      </c>
      <c r="N7594" s="8">
        <v>43346</v>
      </c>
      <c r="O7594" s="9" t="s">
        <v>73</v>
      </c>
      <c r="P7594" s="12" t="s">
        <v>22391</v>
      </c>
      <c r="Q7594" s="9" t="s">
        <v>1336</v>
      </c>
      <c r="R7594" s="14" t="str">
        <f>HYPERLINK("https://my.pitchbook.com?c=112807-18T","View Company Online")</f>
        <v>View Company Online</v>
      </c>
    </row>
    <row r="7595" spans="1:18" hidden="1" x14ac:dyDescent="0.3">
      <c r="A7595" s="15" t="s">
        <v>22392</v>
      </c>
      <c r="B7595" s="15" t="s">
        <v>14311</v>
      </c>
      <c r="C7595" s="18" t="s">
        <v>28</v>
      </c>
      <c r="D7595" s="15" t="s">
        <v>14312</v>
      </c>
      <c r="E7595" s="18" t="s">
        <v>28</v>
      </c>
      <c r="F7595" s="19" t="s">
        <v>28</v>
      </c>
      <c r="G7595" s="19">
        <v>3.78</v>
      </c>
      <c r="H7595" s="19" t="s">
        <v>28</v>
      </c>
      <c r="I7595" s="18" t="s">
        <v>28</v>
      </c>
      <c r="J7595" s="18" t="s">
        <v>28</v>
      </c>
      <c r="K7595" s="18" t="s">
        <v>28</v>
      </c>
      <c r="L7595" s="18" t="s">
        <v>28</v>
      </c>
      <c r="M7595" s="18" t="s">
        <v>28</v>
      </c>
      <c r="N7595" s="17">
        <v>43346</v>
      </c>
      <c r="O7595" s="15" t="s">
        <v>79</v>
      </c>
      <c r="P7595" s="16" t="s">
        <v>22393</v>
      </c>
      <c r="Q7595" s="15" t="s">
        <v>37</v>
      </c>
      <c r="R7595" s="13" t="str">
        <f>HYPERLINK("https://my.pitchbook.com?c=111298-78T","View Company Online")</f>
        <v>View Company Online</v>
      </c>
    </row>
    <row r="7596" spans="1:18" hidden="1" x14ac:dyDescent="0.3">
      <c r="A7596" s="9" t="s">
        <v>22394</v>
      </c>
      <c r="B7596" s="9" t="s">
        <v>16444</v>
      </c>
      <c r="C7596" s="11" t="s">
        <v>28</v>
      </c>
      <c r="D7596" s="9" t="s">
        <v>16445</v>
      </c>
      <c r="E7596" s="11" t="s">
        <v>28</v>
      </c>
      <c r="F7596" s="10" t="s">
        <v>28</v>
      </c>
      <c r="G7596" s="10">
        <v>0.16</v>
      </c>
      <c r="H7596" s="10" t="s">
        <v>28</v>
      </c>
      <c r="I7596" s="11" t="s">
        <v>28</v>
      </c>
      <c r="J7596" s="11" t="s">
        <v>28</v>
      </c>
      <c r="K7596" s="11" t="s">
        <v>28</v>
      </c>
      <c r="L7596" s="11" t="s">
        <v>28</v>
      </c>
      <c r="M7596" s="11" t="s">
        <v>28</v>
      </c>
      <c r="N7596" s="8">
        <v>43346</v>
      </c>
      <c r="O7596" s="9" t="s">
        <v>99</v>
      </c>
      <c r="P7596" s="12" t="s">
        <v>22395</v>
      </c>
      <c r="Q7596" s="9" t="s">
        <v>95</v>
      </c>
      <c r="R7596" s="14" t="str">
        <f>HYPERLINK("https://my.pitchbook.com?c=113564-44T","View Company Online")</f>
        <v>View Company Online</v>
      </c>
    </row>
    <row r="7597" spans="1:18" hidden="1" x14ac:dyDescent="0.3">
      <c r="A7597" s="15" t="s">
        <v>22396</v>
      </c>
      <c r="B7597" s="15" t="s">
        <v>22397</v>
      </c>
      <c r="C7597" s="18" t="s">
        <v>28</v>
      </c>
      <c r="D7597" s="15" t="s">
        <v>22398</v>
      </c>
      <c r="E7597" s="18" t="s">
        <v>28</v>
      </c>
      <c r="F7597" s="19" t="s">
        <v>28</v>
      </c>
      <c r="G7597" s="19" t="s">
        <v>28</v>
      </c>
      <c r="H7597" s="19" t="s">
        <v>28</v>
      </c>
      <c r="I7597" s="18" t="s">
        <v>28</v>
      </c>
      <c r="J7597" s="18" t="s">
        <v>28</v>
      </c>
      <c r="K7597" s="18" t="s">
        <v>28</v>
      </c>
      <c r="L7597" s="18" t="s">
        <v>28</v>
      </c>
      <c r="M7597" s="18" t="s">
        <v>28</v>
      </c>
      <c r="N7597" s="17">
        <v>43346</v>
      </c>
      <c r="O7597" s="15" t="s">
        <v>173</v>
      </c>
      <c r="P7597" s="16" t="s">
        <v>28</v>
      </c>
      <c r="Q7597" s="15" t="s">
        <v>240</v>
      </c>
      <c r="R7597" s="13" t="str">
        <f>HYPERLINK("https://my.pitchbook.com?c=203232-07T","View Company Online")</f>
        <v>View Company Online</v>
      </c>
    </row>
    <row r="7598" spans="1:18" hidden="1" x14ac:dyDescent="0.3">
      <c r="A7598" s="9" t="s">
        <v>22399</v>
      </c>
      <c r="B7598" s="9" t="s">
        <v>22400</v>
      </c>
      <c r="C7598" s="11" t="s">
        <v>28</v>
      </c>
      <c r="D7598" s="9" t="s">
        <v>22401</v>
      </c>
      <c r="E7598" s="11" t="s">
        <v>28</v>
      </c>
      <c r="F7598" s="10" t="s">
        <v>28</v>
      </c>
      <c r="G7598" s="10" t="s">
        <v>28</v>
      </c>
      <c r="H7598" s="10" t="s">
        <v>28</v>
      </c>
      <c r="I7598" s="11" t="s">
        <v>28</v>
      </c>
      <c r="J7598" s="11" t="s">
        <v>28</v>
      </c>
      <c r="K7598" s="11" t="s">
        <v>28</v>
      </c>
      <c r="L7598" s="11" t="s">
        <v>28</v>
      </c>
      <c r="M7598" s="11" t="s">
        <v>28</v>
      </c>
      <c r="N7598" s="8">
        <v>43346</v>
      </c>
      <c r="O7598" s="9" t="s">
        <v>30</v>
      </c>
      <c r="P7598" s="12" t="s">
        <v>22402</v>
      </c>
      <c r="Q7598" s="9" t="s">
        <v>226</v>
      </c>
      <c r="R7598" s="14" t="str">
        <f>HYPERLINK("https://my.pitchbook.com?c=117577-63T","View Company Online")</f>
        <v>View Company Online</v>
      </c>
    </row>
    <row r="7599" spans="1:18" hidden="1" x14ac:dyDescent="0.3">
      <c r="A7599" s="15" t="s">
        <v>22403</v>
      </c>
      <c r="B7599" s="15" t="s">
        <v>22404</v>
      </c>
      <c r="C7599" s="18" t="s">
        <v>28</v>
      </c>
      <c r="D7599" s="15" t="s">
        <v>22405</v>
      </c>
      <c r="E7599" s="18" t="s">
        <v>28</v>
      </c>
      <c r="F7599" s="19" t="s">
        <v>28</v>
      </c>
      <c r="G7599" s="19" t="s">
        <v>28</v>
      </c>
      <c r="H7599" s="19" t="s">
        <v>28</v>
      </c>
      <c r="I7599" s="18" t="s">
        <v>28</v>
      </c>
      <c r="J7599" s="18" t="s">
        <v>28</v>
      </c>
      <c r="K7599" s="18" t="s">
        <v>28</v>
      </c>
      <c r="L7599" s="18" t="s">
        <v>28</v>
      </c>
      <c r="M7599" s="18" t="s">
        <v>28</v>
      </c>
      <c r="N7599" s="17">
        <v>43344</v>
      </c>
      <c r="O7599" s="15" t="s">
        <v>30</v>
      </c>
      <c r="P7599" s="16" t="s">
        <v>14401</v>
      </c>
      <c r="Q7599" s="15" t="s">
        <v>249</v>
      </c>
      <c r="R7599" s="13" t="str">
        <f>HYPERLINK("https://my.pitchbook.com?c=160597-81T","View Company Online")</f>
        <v>View Company Online</v>
      </c>
    </row>
    <row r="7600" spans="1:18" hidden="1" x14ac:dyDescent="0.3">
      <c r="A7600" s="9" t="s">
        <v>22406</v>
      </c>
      <c r="B7600" s="9" t="s">
        <v>22407</v>
      </c>
      <c r="C7600" s="11" t="s">
        <v>28</v>
      </c>
      <c r="D7600" s="9" t="s">
        <v>22408</v>
      </c>
      <c r="E7600" s="11">
        <v>0.61</v>
      </c>
      <c r="F7600" s="10" t="s">
        <v>28</v>
      </c>
      <c r="G7600" s="10" t="s">
        <v>28</v>
      </c>
      <c r="H7600" s="10" t="s">
        <v>28</v>
      </c>
      <c r="I7600" s="11">
        <v>3.63</v>
      </c>
      <c r="J7600" s="11" t="s">
        <v>28</v>
      </c>
      <c r="K7600" s="11">
        <v>30.14</v>
      </c>
      <c r="L7600" s="11" t="s">
        <v>28</v>
      </c>
      <c r="M7600" s="11">
        <v>-1.1499999999999999</v>
      </c>
      <c r="N7600" s="8">
        <v>43344</v>
      </c>
      <c r="O7600" s="9" t="s">
        <v>159</v>
      </c>
      <c r="P7600" s="12" t="s">
        <v>22409</v>
      </c>
      <c r="Q7600" s="9" t="s">
        <v>449</v>
      </c>
      <c r="R7600" s="14" t="str">
        <f>HYPERLINK("https://my.pitchbook.com?c=115734-52T","View Company Online")</f>
        <v>View Company Online</v>
      </c>
    </row>
    <row r="7601" spans="1:18" hidden="1" x14ac:dyDescent="0.3">
      <c r="A7601" s="15" t="s">
        <v>22410</v>
      </c>
      <c r="B7601" s="15" t="s">
        <v>6541</v>
      </c>
      <c r="C7601" s="18" t="s">
        <v>28</v>
      </c>
      <c r="D7601" s="15" t="s">
        <v>6542</v>
      </c>
      <c r="E7601" s="18" t="s">
        <v>28</v>
      </c>
      <c r="F7601" s="19" t="s">
        <v>28</v>
      </c>
      <c r="G7601" s="19">
        <v>7.0000000000000007E-2</v>
      </c>
      <c r="H7601" s="19" t="s">
        <v>28</v>
      </c>
      <c r="I7601" s="18" t="s">
        <v>28</v>
      </c>
      <c r="J7601" s="18" t="s">
        <v>28</v>
      </c>
      <c r="K7601" s="18" t="s">
        <v>28</v>
      </c>
      <c r="L7601" s="18" t="s">
        <v>28</v>
      </c>
      <c r="M7601" s="18" t="s">
        <v>28</v>
      </c>
      <c r="N7601" s="17">
        <v>43344</v>
      </c>
      <c r="O7601" s="15" t="s">
        <v>73</v>
      </c>
      <c r="P7601" s="16" t="s">
        <v>22411</v>
      </c>
      <c r="Q7601" s="15" t="s">
        <v>75</v>
      </c>
      <c r="R7601" s="13" t="str">
        <f>HYPERLINK("https://my.pitchbook.com?c=207973-63T","View Company Online")</f>
        <v>View Company Online</v>
      </c>
    </row>
    <row r="7602" spans="1:18" hidden="1" x14ac:dyDescent="0.3">
      <c r="A7602" s="9" t="s">
        <v>22412</v>
      </c>
      <c r="B7602" s="9" t="s">
        <v>12292</v>
      </c>
      <c r="C7602" s="11" t="s">
        <v>28</v>
      </c>
      <c r="D7602" s="9" t="s">
        <v>12293</v>
      </c>
      <c r="E7602" s="11" t="s">
        <v>28</v>
      </c>
      <c r="F7602" s="10" t="s">
        <v>28</v>
      </c>
      <c r="G7602" s="10">
        <v>0.25</v>
      </c>
      <c r="H7602" s="10" t="s">
        <v>28</v>
      </c>
      <c r="I7602" s="11" t="s">
        <v>28</v>
      </c>
      <c r="J7602" s="11" t="s">
        <v>28</v>
      </c>
      <c r="K7602" s="11" t="s">
        <v>28</v>
      </c>
      <c r="L7602" s="11" t="s">
        <v>28</v>
      </c>
      <c r="M7602" s="11" t="s">
        <v>28</v>
      </c>
      <c r="N7602" s="8">
        <v>43344</v>
      </c>
      <c r="O7602" s="9" t="s">
        <v>99</v>
      </c>
      <c r="P7602" s="12" t="s">
        <v>22413</v>
      </c>
      <c r="Q7602" s="9" t="s">
        <v>566</v>
      </c>
      <c r="R7602" s="14" t="str">
        <f>HYPERLINK("https://my.pitchbook.com?c=119988-64T","View Company Online")</f>
        <v>View Company Online</v>
      </c>
    </row>
    <row r="7603" spans="1:18" hidden="1" x14ac:dyDescent="0.3">
      <c r="A7603" s="15" t="s">
        <v>22414</v>
      </c>
      <c r="B7603" s="15" t="s">
        <v>22415</v>
      </c>
      <c r="C7603" s="18" t="s">
        <v>28</v>
      </c>
      <c r="D7603" s="15" t="s">
        <v>22416</v>
      </c>
      <c r="E7603" s="18" t="s">
        <v>28</v>
      </c>
      <c r="F7603" s="19" t="s">
        <v>28</v>
      </c>
      <c r="G7603" s="19" t="s">
        <v>28</v>
      </c>
      <c r="H7603" s="19" t="s">
        <v>28</v>
      </c>
      <c r="I7603" s="18" t="s">
        <v>28</v>
      </c>
      <c r="J7603" s="18" t="s">
        <v>28</v>
      </c>
      <c r="K7603" s="18" t="s">
        <v>28</v>
      </c>
      <c r="L7603" s="18" t="s">
        <v>28</v>
      </c>
      <c r="M7603" s="18" t="s">
        <v>28</v>
      </c>
      <c r="N7603" s="17">
        <v>43344</v>
      </c>
      <c r="O7603" s="15" t="s">
        <v>58</v>
      </c>
      <c r="P7603" s="16" t="s">
        <v>22417</v>
      </c>
      <c r="Q7603" s="15" t="s">
        <v>95</v>
      </c>
      <c r="R7603" s="13" t="str">
        <f>HYPERLINK("https://my.pitchbook.com?c=120806-83T","View Company Online")</f>
        <v>View Company Online</v>
      </c>
    </row>
    <row r="7604" spans="1:18" hidden="1" x14ac:dyDescent="0.3">
      <c r="A7604" s="9" t="s">
        <v>22418</v>
      </c>
      <c r="B7604" s="9" t="s">
        <v>22419</v>
      </c>
      <c r="C7604" s="11" t="s">
        <v>28</v>
      </c>
      <c r="D7604" s="9" t="s">
        <v>22420</v>
      </c>
      <c r="E7604" s="11" t="s">
        <v>28</v>
      </c>
      <c r="F7604" s="10" t="s">
        <v>28</v>
      </c>
      <c r="G7604" s="10" t="s">
        <v>28</v>
      </c>
      <c r="H7604" s="10" t="s">
        <v>28</v>
      </c>
      <c r="I7604" s="11" t="s">
        <v>28</v>
      </c>
      <c r="J7604" s="11" t="s">
        <v>28</v>
      </c>
      <c r="K7604" s="11" t="s">
        <v>28</v>
      </c>
      <c r="L7604" s="11" t="s">
        <v>28</v>
      </c>
      <c r="M7604" s="11" t="s">
        <v>28</v>
      </c>
      <c r="N7604" s="8">
        <v>43344</v>
      </c>
      <c r="O7604" s="9" t="s">
        <v>52</v>
      </c>
      <c r="P7604" s="12" t="s">
        <v>21790</v>
      </c>
      <c r="Q7604" s="9" t="s">
        <v>75</v>
      </c>
      <c r="R7604" s="14" t="str">
        <f>HYPERLINK("https://my.pitchbook.com?c=125751-79T","View Company Online")</f>
        <v>View Company Online</v>
      </c>
    </row>
    <row r="7605" spans="1:18" hidden="1" x14ac:dyDescent="0.3">
      <c r="A7605" s="15" t="s">
        <v>22421</v>
      </c>
      <c r="B7605" s="15" t="s">
        <v>8641</v>
      </c>
      <c r="C7605" s="18" t="s">
        <v>28</v>
      </c>
      <c r="D7605" s="15" t="s">
        <v>8642</v>
      </c>
      <c r="E7605" s="18" t="s">
        <v>28</v>
      </c>
      <c r="F7605" s="19" t="s">
        <v>28</v>
      </c>
      <c r="G7605" s="19" t="s">
        <v>28</v>
      </c>
      <c r="H7605" s="19" t="s">
        <v>28</v>
      </c>
      <c r="I7605" s="18" t="s">
        <v>28</v>
      </c>
      <c r="J7605" s="18" t="s">
        <v>28</v>
      </c>
      <c r="K7605" s="18" t="s">
        <v>28</v>
      </c>
      <c r="L7605" s="18" t="s">
        <v>28</v>
      </c>
      <c r="M7605" s="18" t="s">
        <v>28</v>
      </c>
      <c r="N7605" s="17">
        <v>43344</v>
      </c>
      <c r="O7605" s="15" t="s">
        <v>99</v>
      </c>
      <c r="P7605" s="16" t="s">
        <v>22422</v>
      </c>
      <c r="Q7605" s="15" t="s">
        <v>114</v>
      </c>
      <c r="R7605" s="13" t="str">
        <f>HYPERLINK("https://my.pitchbook.com?c=91587-97T","View Company Online")</f>
        <v>View Company Online</v>
      </c>
    </row>
    <row r="7606" spans="1:18" hidden="1" x14ac:dyDescent="0.3">
      <c r="A7606" s="9" t="s">
        <v>22423</v>
      </c>
      <c r="B7606" s="9" t="s">
        <v>4994</v>
      </c>
      <c r="C7606" s="11" t="s">
        <v>28</v>
      </c>
      <c r="D7606" s="9" t="s">
        <v>4995</v>
      </c>
      <c r="E7606" s="11" t="s">
        <v>28</v>
      </c>
      <c r="F7606" s="10" t="s">
        <v>28</v>
      </c>
      <c r="G7606" s="10" t="s">
        <v>28</v>
      </c>
      <c r="H7606" s="10" t="s">
        <v>28</v>
      </c>
      <c r="I7606" s="11" t="s">
        <v>28</v>
      </c>
      <c r="J7606" s="11" t="s">
        <v>28</v>
      </c>
      <c r="K7606" s="11" t="s">
        <v>28</v>
      </c>
      <c r="L7606" s="11" t="s">
        <v>28</v>
      </c>
      <c r="M7606" s="11" t="s">
        <v>28</v>
      </c>
      <c r="N7606" s="8">
        <v>43344</v>
      </c>
      <c r="O7606" s="9" t="s">
        <v>99</v>
      </c>
      <c r="P7606" s="12" t="s">
        <v>22424</v>
      </c>
      <c r="Q7606" s="9" t="s">
        <v>386</v>
      </c>
      <c r="R7606" s="14" t="str">
        <f>HYPERLINK("https://my.pitchbook.com?c=119991-70T","View Company Online")</f>
        <v>View Company Online</v>
      </c>
    </row>
    <row r="7607" spans="1:18" hidden="1" x14ac:dyDescent="0.3">
      <c r="A7607" s="15" t="s">
        <v>22425</v>
      </c>
      <c r="B7607" s="15" t="s">
        <v>22426</v>
      </c>
      <c r="C7607" s="18" t="s">
        <v>28</v>
      </c>
      <c r="D7607" s="15" t="s">
        <v>22427</v>
      </c>
      <c r="E7607" s="18" t="s">
        <v>28</v>
      </c>
      <c r="F7607" s="19">
        <v>286</v>
      </c>
      <c r="G7607" s="19">
        <v>223</v>
      </c>
      <c r="H7607" s="19">
        <v>286</v>
      </c>
      <c r="I7607" s="18" t="s">
        <v>28</v>
      </c>
      <c r="J7607" s="18" t="s">
        <v>28</v>
      </c>
      <c r="K7607" s="18" t="s">
        <v>28</v>
      </c>
      <c r="L7607" s="18" t="s">
        <v>28</v>
      </c>
      <c r="M7607" s="18" t="s">
        <v>28</v>
      </c>
      <c r="N7607" s="17">
        <v>43343</v>
      </c>
      <c r="O7607" s="15" t="s">
        <v>30</v>
      </c>
      <c r="P7607" s="16" t="s">
        <v>22428</v>
      </c>
      <c r="Q7607" s="15" t="s">
        <v>193</v>
      </c>
      <c r="R7607" s="13" t="str">
        <f>HYPERLINK("https://my.pitchbook.com?c=108187-30T","View Company Online")</f>
        <v>View Company Online</v>
      </c>
    </row>
    <row r="7608" spans="1:18" hidden="1" x14ac:dyDescent="0.3">
      <c r="A7608" s="9" t="s">
        <v>22429</v>
      </c>
      <c r="B7608" s="9" t="s">
        <v>22430</v>
      </c>
      <c r="C7608" s="11" t="s">
        <v>28</v>
      </c>
      <c r="D7608" s="9" t="s">
        <v>22431</v>
      </c>
      <c r="E7608" s="11" t="s">
        <v>28</v>
      </c>
      <c r="F7608" s="10" t="s">
        <v>28</v>
      </c>
      <c r="G7608" s="10" t="s">
        <v>28</v>
      </c>
      <c r="H7608" s="10" t="s">
        <v>28</v>
      </c>
      <c r="I7608" s="11" t="s">
        <v>28</v>
      </c>
      <c r="J7608" s="11" t="s">
        <v>28</v>
      </c>
      <c r="K7608" s="11" t="s">
        <v>28</v>
      </c>
      <c r="L7608" s="11" t="s">
        <v>28</v>
      </c>
      <c r="M7608" s="11" t="s">
        <v>28</v>
      </c>
      <c r="N7608" s="8">
        <v>43343</v>
      </c>
      <c r="O7608" s="9" t="s">
        <v>30</v>
      </c>
      <c r="P7608" s="12" t="s">
        <v>22432</v>
      </c>
      <c r="Q7608" s="9" t="s">
        <v>5633</v>
      </c>
      <c r="R7608" s="14" t="str">
        <f>HYPERLINK("https://my.pitchbook.com?c=105949-54T","View Company Online")</f>
        <v>View Company Online</v>
      </c>
    </row>
    <row r="7609" spans="1:18" hidden="1" x14ac:dyDescent="0.3">
      <c r="A7609" s="15" t="s">
        <v>22433</v>
      </c>
      <c r="B7609" s="15" t="s">
        <v>1818</v>
      </c>
      <c r="C7609" s="18" t="s">
        <v>28</v>
      </c>
      <c r="D7609" s="15" t="s">
        <v>1819</v>
      </c>
      <c r="E7609" s="18" t="s">
        <v>28</v>
      </c>
      <c r="F7609" s="19" t="s">
        <v>28</v>
      </c>
      <c r="G7609" s="19">
        <v>0.39</v>
      </c>
      <c r="H7609" s="19" t="s">
        <v>28</v>
      </c>
      <c r="I7609" s="18" t="s">
        <v>28</v>
      </c>
      <c r="J7609" s="18" t="s">
        <v>28</v>
      </c>
      <c r="K7609" s="18" t="s">
        <v>28</v>
      </c>
      <c r="L7609" s="18" t="s">
        <v>28</v>
      </c>
      <c r="M7609" s="18" t="s">
        <v>28</v>
      </c>
      <c r="N7609" s="17">
        <v>43343</v>
      </c>
      <c r="O7609" s="15" t="s">
        <v>99</v>
      </c>
      <c r="P7609" s="16" t="s">
        <v>22434</v>
      </c>
      <c r="Q7609" s="15" t="s">
        <v>75</v>
      </c>
      <c r="R7609" s="13" t="str">
        <f>HYPERLINK("https://my.pitchbook.com?c=113564-62T","View Company Online")</f>
        <v>View Company Online</v>
      </c>
    </row>
    <row r="7610" spans="1:18" hidden="1" x14ac:dyDescent="0.3">
      <c r="A7610" s="9" t="s">
        <v>22435</v>
      </c>
      <c r="B7610" s="9" t="s">
        <v>22436</v>
      </c>
      <c r="C7610" s="11" t="s">
        <v>28</v>
      </c>
      <c r="D7610" s="9" t="s">
        <v>22437</v>
      </c>
      <c r="E7610" s="11">
        <v>4.43</v>
      </c>
      <c r="F7610" s="10" t="s">
        <v>28</v>
      </c>
      <c r="G7610" s="10" t="s">
        <v>28</v>
      </c>
      <c r="H7610" s="10" t="s">
        <v>28</v>
      </c>
      <c r="I7610" s="11">
        <v>4.46</v>
      </c>
      <c r="J7610" s="11" t="s">
        <v>28</v>
      </c>
      <c r="K7610" s="11">
        <v>15.46</v>
      </c>
      <c r="L7610" s="11" t="s">
        <v>28</v>
      </c>
      <c r="M7610" s="11">
        <v>1.38</v>
      </c>
      <c r="N7610" s="8">
        <v>43343</v>
      </c>
      <c r="O7610" s="9" t="s">
        <v>173</v>
      </c>
      <c r="P7610" s="12" t="s">
        <v>28</v>
      </c>
      <c r="Q7610" s="9" t="s">
        <v>114</v>
      </c>
      <c r="R7610" s="14" t="str">
        <f>HYPERLINK("https://my.pitchbook.com?c=225803-44T","View Company Online")</f>
        <v>View Company Online</v>
      </c>
    </row>
    <row r="7611" spans="1:18" hidden="1" x14ac:dyDescent="0.3">
      <c r="A7611" s="15" t="s">
        <v>22438</v>
      </c>
      <c r="B7611" s="15" t="s">
        <v>21132</v>
      </c>
      <c r="C7611" s="18" t="s">
        <v>28</v>
      </c>
      <c r="D7611" s="15" t="s">
        <v>21133</v>
      </c>
      <c r="E7611" s="18" t="s">
        <v>28</v>
      </c>
      <c r="F7611" s="19" t="s">
        <v>28</v>
      </c>
      <c r="G7611" s="19">
        <v>0.35</v>
      </c>
      <c r="H7611" s="19">
        <v>3.52</v>
      </c>
      <c r="I7611" s="18" t="s">
        <v>28</v>
      </c>
      <c r="J7611" s="18" t="s">
        <v>28</v>
      </c>
      <c r="K7611" s="18" t="s">
        <v>28</v>
      </c>
      <c r="L7611" s="18" t="s">
        <v>28</v>
      </c>
      <c r="M7611" s="18" t="s">
        <v>28</v>
      </c>
      <c r="N7611" s="17">
        <v>43343</v>
      </c>
      <c r="O7611" s="15" t="s">
        <v>73</v>
      </c>
      <c r="P7611" s="16" t="s">
        <v>22439</v>
      </c>
      <c r="Q7611" s="15" t="s">
        <v>37</v>
      </c>
      <c r="R7611" s="13" t="str">
        <f>HYPERLINK("https://my.pitchbook.com?c=111465-73T","View Company Online")</f>
        <v>View Company Online</v>
      </c>
    </row>
    <row r="7612" spans="1:18" hidden="1" x14ac:dyDescent="0.3">
      <c r="A7612" s="9" t="s">
        <v>22440</v>
      </c>
      <c r="B7612" s="9" t="s">
        <v>22441</v>
      </c>
      <c r="C7612" s="11" t="s">
        <v>28</v>
      </c>
      <c r="D7612" s="9" t="s">
        <v>22442</v>
      </c>
      <c r="E7612" s="11" t="s">
        <v>28</v>
      </c>
      <c r="F7612" s="10" t="s">
        <v>28</v>
      </c>
      <c r="G7612" s="10" t="s">
        <v>28</v>
      </c>
      <c r="H7612" s="10" t="s">
        <v>28</v>
      </c>
      <c r="I7612" s="11" t="s">
        <v>28</v>
      </c>
      <c r="J7612" s="11" t="s">
        <v>28</v>
      </c>
      <c r="K7612" s="11" t="s">
        <v>28</v>
      </c>
      <c r="L7612" s="11" t="s">
        <v>28</v>
      </c>
      <c r="M7612" s="11" t="s">
        <v>28</v>
      </c>
      <c r="N7612" s="8">
        <v>43342</v>
      </c>
      <c r="O7612" s="9" t="s">
        <v>30</v>
      </c>
      <c r="P7612" s="12" t="s">
        <v>3516</v>
      </c>
      <c r="Q7612" s="9" t="s">
        <v>226</v>
      </c>
      <c r="R7612" s="14" t="str">
        <f>HYPERLINK("https://my.pitchbook.com?c=224902-18T","View Company Online")</f>
        <v>View Company Online</v>
      </c>
    </row>
    <row r="7613" spans="1:18" hidden="1" x14ac:dyDescent="0.3">
      <c r="A7613" s="15" t="s">
        <v>22443</v>
      </c>
      <c r="B7613" s="15" t="s">
        <v>9036</v>
      </c>
      <c r="C7613" s="18" t="s">
        <v>28</v>
      </c>
      <c r="D7613" s="15" t="s">
        <v>9037</v>
      </c>
      <c r="E7613" s="18" t="s">
        <v>28</v>
      </c>
      <c r="F7613" s="19" t="s">
        <v>28</v>
      </c>
      <c r="G7613" s="19">
        <v>0.51</v>
      </c>
      <c r="H7613" s="19" t="s">
        <v>28</v>
      </c>
      <c r="I7613" s="18" t="s">
        <v>28</v>
      </c>
      <c r="J7613" s="18" t="s">
        <v>28</v>
      </c>
      <c r="K7613" s="18" t="s">
        <v>28</v>
      </c>
      <c r="L7613" s="18" t="s">
        <v>28</v>
      </c>
      <c r="M7613" s="18" t="s">
        <v>28</v>
      </c>
      <c r="N7613" s="17">
        <v>43342</v>
      </c>
      <c r="O7613" s="15" t="s">
        <v>79</v>
      </c>
      <c r="P7613" s="16" t="s">
        <v>11495</v>
      </c>
      <c r="Q7613" s="15" t="s">
        <v>75</v>
      </c>
      <c r="R7613" s="13" t="str">
        <f>HYPERLINK("https://my.pitchbook.com?c=194635-27T","View Company Online")</f>
        <v>View Company Online</v>
      </c>
    </row>
    <row r="7614" spans="1:18" hidden="1" x14ac:dyDescent="0.3">
      <c r="A7614" s="9" t="s">
        <v>22444</v>
      </c>
      <c r="B7614" s="9" t="s">
        <v>16161</v>
      </c>
      <c r="C7614" s="11" t="s">
        <v>28</v>
      </c>
      <c r="D7614" s="9" t="s">
        <v>16162</v>
      </c>
      <c r="E7614" s="11" t="s">
        <v>28</v>
      </c>
      <c r="F7614" s="10" t="s">
        <v>28</v>
      </c>
      <c r="G7614" s="10">
        <v>0.57999999999999996</v>
      </c>
      <c r="H7614" s="10" t="s">
        <v>28</v>
      </c>
      <c r="I7614" s="11" t="s">
        <v>28</v>
      </c>
      <c r="J7614" s="11" t="s">
        <v>28</v>
      </c>
      <c r="K7614" s="11" t="s">
        <v>28</v>
      </c>
      <c r="L7614" s="11" t="s">
        <v>28</v>
      </c>
      <c r="M7614" s="11" t="s">
        <v>28</v>
      </c>
      <c r="N7614" s="8">
        <v>43341</v>
      </c>
      <c r="O7614" s="9" t="s">
        <v>99</v>
      </c>
      <c r="P7614" s="12" t="s">
        <v>28</v>
      </c>
      <c r="Q7614" s="9" t="s">
        <v>37</v>
      </c>
      <c r="R7614" s="14" t="str">
        <f>HYPERLINK("https://my.pitchbook.com?c=115927-75T","View Company Online")</f>
        <v>View Company Online</v>
      </c>
    </row>
    <row r="7615" spans="1:18" hidden="1" x14ac:dyDescent="0.3">
      <c r="A7615" s="15" t="s">
        <v>22445</v>
      </c>
      <c r="B7615" s="15" t="s">
        <v>2201</v>
      </c>
      <c r="C7615" s="18" t="s">
        <v>28</v>
      </c>
      <c r="D7615" s="15" t="s">
        <v>2202</v>
      </c>
      <c r="E7615" s="18" t="s">
        <v>28</v>
      </c>
      <c r="F7615" s="19" t="s">
        <v>28</v>
      </c>
      <c r="G7615" s="19">
        <v>0.1</v>
      </c>
      <c r="H7615" s="19" t="s">
        <v>28</v>
      </c>
      <c r="I7615" s="18" t="s">
        <v>28</v>
      </c>
      <c r="J7615" s="18" t="s">
        <v>28</v>
      </c>
      <c r="K7615" s="18" t="s">
        <v>28</v>
      </c>
      <c r="L7615" s="18" t="s">
        <v>28</v>
      </c>
      <c r="M7615" s="18" t="s">
        <v>28</v>
      </c>
      <c r="N7615" s="17">
        <v>43340</v>
      </c>
      <c r="O7615" s="15" t="s">
        <v>73</v>
      </c>
      <c r="P7615" s="16" t="s">
        <v>22446</v>
      </c>
      <c r="Q7615" s="15" t="s">
        <v>75</v>
      </c>
      <c r="R7615" s="13" t="str">
        <f>HYPERLINK("https://my.pitchbook.com?c=113167-99T","View Company Online")</f>
        <v>View Company Online</v>
      </c>
    </row>
    <row r="7616" spans="1:18" hidden="1" x14ac:dyDescent="0.3">
      <c r="A7616" s="9" t="s">
        <v>22447</v>
      </c>
      <c r="B7616" s="9" t="s">
        <v>4988</v>
      </c>
      <c r="C7616" s="11" t="s">
        <v>28</v>
      </c>
      <c r="D7616" s="9" t="s">
        <v>4989</v>
      </c>
      <c r="E7616" s="11">
        <v>352.88</v>
      </c>
      <c r="F7616" s="10" t="s">
        <v>28</v>
      </c>
      <c r="G7616" s="10" t="s">
        <v>28</v>
      </c>
      <c r="H7616" s="10" t="s">
        <v>28</v>
      </c>
      <c r="I7616" s="11">
        <v>515.29999999999995</v>
      </c>
      <c r="J7616" s="11" t="s">
        <v>28</v>
      </c>
      <c r="K7616" s="11">
        <v>7998.92</v>
      </c>
      <c r="L7616" s="11" t="s">
        <v>28</v>
      </c>
      <c r="M7616" s="11">
        <v>70.819999999999993</v>
      </c>
      <c r="N7616" s="8">
        <v>43339</v>
      </c>
      <c r="O7616" s="9" t="s">
        <v>30</v>
      </c>
      <c r="P7616" s="12" t="s">
        <v>28</v>
      </c>
      <c r="Q7616" s="9" t="s">
        <v>409</v>
      </c>
      <c r="R7616" s="14" t="str">
        <f>HYPERLINK("https://my.pitchbook.com?c=78109-84T","View Company Online")</f>
        <v>View Company Online</v>
      </c>
    </row>
    <row r="7617" spans="1:18" hidden="1" x14ac:dyDescent="0.3">
      <c r="A7617" s="15" t="s">
        <v>22448</v>
      </c>
      <c r="B7617" s="15" t="s">
        <v>18560</v>
      </c>
      <c r="C7617" s="18" t="s">
        <v>28</v>
      </c>
      <c r="D7617" s="15" t="s">
        <v>18561</v>
      </c>
      <c r="E7617" s="18" t="s">
        <v>28</v>
      </c>
      <c r="F7617" s="19" t="s">
        <v>28</v>
      </c>
      <c r="G7617" s="19" t="s">
        <v>28</v>
      </c>
      <c r="H7617" s="19" t="s">
        <v>28</v>
      </c>
      <c r="I7617" s="18" t="s">
        <v>28</v>
      </c>
      <c r="J7617" s="18" t="s">
        <v>28</v>
      </c>
      <c r="K7617" s="18" t="s">
        <v>28</v>
      </c>
      <c r="L7617" s="18" t="s">
        <v>28</v>
      </c>
      <c r="M7617" s="18" t="s">
        <v>28</v>
      </c>
      <c r="N7617" s="17">
        <v>43339</v>
      </c>
      <c r="O7617" s="15" t="s">
        <v>52</v>
      </c>
      <c r="P7617" s="16" t="s">
        <v>16928</v>
      </c>
      <c r="Q7617" s="15" t="s">
        <v>249</v>
      </c>
      <c r="R7617" s="13" t="str">
        <f>HYPERLINK("https://my.pitchbook.com?c=284586-76T","View Company Online")</f>
        <v>View Company Online</v>
      </c>
    </row>
    <row r="7618" spans="1:18" hidden="1" x14ac:dyDescent="0.3">
      <c r="A7618" s="9" t="s">
        <v>22449</v>
      </c>
      <c r="B7618" s="9" t="s">
        <v>16999</v>
      </c>
      <c r="C7618" s="11" t="s">
        <v>28</v>
      </c>
      <c r="D7618" s="9" t="s">
        <v>17000</v>
      </c>
      <c r="E7618" s="11" t="s">
        <v>28</v>
      </c>
      <c r="F7618" s="10" t="s">
        <v>28</v>
      </c>
      <c r="G7618" s="10" t="s">
        <v>28</v>
      </c>
      <c r="H7618" s="10" t="s">
        <v>28</v>
      </c>
      <c r="I7618" s="11" t="s">
        <v>28</v>
      </c>
      <c r="J7618" s="11" t="s">
        <v>28</v>
      </c>
      <c r="K7618" s="11" t="s">
        <v>28</v>
      </c>
      <c r="L7618" s="11" t="s">
        <v>28</v>
      </c>
      <c r="M7618" s="11" t="s">
        <v>28</v>
      </c>
      <c r="N7618" s="8">
        <v>43338</v>
      </c>
      <c r="O7618" s="9" t="s">
        <v>52</v>
      </c>
      <c r="P7618" s="12" t="s">
        <v>7022</v>
      </c>
      <c r="Q7618" s="9" t="s">
        <v>75</v>
      </c>
      <c r="R7618" s="14" t="str">
        <f>HYPERLINK("https://my.pitchbook.com?c=124759-36T","View Company Online")</f>
        <v>View Company Online</v>
      </c>
    </row>
    <row r="7619" spans="1:18" hidden="1" x14ac:dyDescent="0.3">
      <c r="A7619" s="15" t="s">
        <v>22450</v>
      </c>
      <c r="B7619" s="15" t="s">
        <v>7231</v>
      </c>
      <c r="C7619" s="18" t="s">
        <v>28</v>
      </c>
      <c r="D7619" s="15" t="s">
        <v>7232</v>
      </c>
      <c r="E7619" s="18" t="s">
        <v>28</v>
      </c>
      <c r="F7619" s="19" t="s">
        <v>28</v>
      </c>
      <c r="G7619" s="19" t="s">
        <v>28</v>
      </c>
      <c r="H7619" s="19" t="s">
        <v>28</v>
      </c>
      <c r="I7619" s="18" t="s">
        <v>28</v>
      </c>
      <c r="J7619" s="18" t="s">
        <v>28</v>
      </c>
      <c r="K7619" s="18" t="s">
        <v>28</v>
      </c>
      <c r="L7619" s="18" t="s">
        <v>28</v>
      </c>
      <c r="M7619" s="18" t="s">
        <v>28</v>
      </c>
      <c r="N7619" s="17">
        <v>43338</v>
      </c>
      <c r="O7619" s="15" t="s">
        <v>379</v>
      </c>
      <c r="P7619" s="16" t="s">
        <v>22451</v>
      </c>
      <c r="Q7619" s="15" t="s">
        <v>114</v>
      </c>
      <c r="R7619" s="13" t="str">
        <f>HYPERLINK("https://my.pitchbook.com?c=111382-93T","View Company Online")</f>
        <v>View Company Online</v>
      </c>
    </row>
    <row r="7620" spans="1:18" hidden="1" x14ac:dyDescent="0.3">
      <c r="A7620" s="9" t="s">
        <v>22452</v>
      </c>
      <c r="B7620" s="9" t="s">
        <v>6226</v>
      </c>
      <c r="C7620" s="11" t="s">
        <v>28</v>
      </c>
      <c r="D7620" s="9" t="s">
        <v>6227</v>
      </c>
      <c r="E7620" s="11" t="s">
        <v>28</v>
      </c>
      <c r="F7620" s="10" t="s">
        <v>28</v>
      </c>
      <c r="G7620" s="10">
        <v>0.25</v>
      </c>
      <c r="H7620" s="10" t="s">
        <v>28</v>
      </c>
      <c r="I7620" s="11" t="s">
        <v>28</v>
      </c>
      <c r="J7620" s="11" t="s">
        <v>28</v>
      </c>
      <c r="K7620" s="11" t="s">
        <v>28</v>
      </c>
      <c r="L7620" s="11" t="s">
        <v>28</v>
      </c>
      <c r="M7620" s="11" t="s">
        <v>28</v>
      </c>
      <c r="N7620" s="8">
        <v>43337</v>
      </c>
      <c r="O7620" s="9" t="s">
        <v>52</v>
      </c>
      <c r="P7620" s="12" t="s">
        <v>8261</v>
      </c>
      <c r="Q7620" s="9" t="s">
        <v>1853</v>
      </c>
      <c r="R7620" s="14" t="str">
        <f>HYPERLINK("https://my.pitchbook.com?c=194438-98T","View Company Online")</f>
        <v>View Company Online</v>
      </c>
    </row>
    <row r="7621" spans="1:18" hidden="1" x14ac:dyDescent="0.3">
      <c r="A7621" s="15" t="s">
        <v>22453</v>
      </c>
      <c r="B7621" s="15" t="s">
        <v>17531</v>
      </c>
      <c r="C7621" s="18" t="s">
        <v>28</v>
      </c>
      <c r="D7621" s="15" t="s">
        <v>17532</v>
      </c>
      <c r="E7621" s="18" t="s">
        <v>28</v>
      </c>
      <c r="F7621" s="19" t="s">
        <v>28</v>
      </c>
      <c r="G7621" s="19" t="s">
        <v>28</v>
      </c>
      <c r="H7621" s="19" t="s">
        <v>28</v>
      </c>
      <c r="I7621" s="18" t="s">
        <v>28</v>
      </c>
      <c r="J7621" s="18" t="s">
        <v>28</v>
      </c>
      <c r="K7621" s="18" t="s">
        <v>28</v>
      </c>
      <c r="L7621" s="18" t="s">
        <v>28</v>
      </c>
      <c r="M7621" s="18" t="s">
        <v>28</v>
      </c>
      <c r="N7621" s="17">
        <v>43336</v>
      </c>
      <c r="O7621" s="15" t="s">
        <v>52</v>
      </c>
      <c r="P7621" s="16" t="s">
        <v>1970</v>
      </c>
      <c r="Q7621" s="15" t="s">
        <v>1191</v>
      </c>
      <c r="R7621" s="13" t="str">
        <f>HYPERLINK("https://my.pitchbook.com?c=296205-94T","View Company Online")</f>
        <v>View Company Online</v>
      </c>
    </row>
    <row r="7622" spans="1:18" hidden="1" x14ac:dyDescent="0.3">
      <c r="A7622" s="9" t="s">
        <v>22454</v>
      </c>
      <c r="B7622" s="9" t="s">
        <v>22455</v>
      </c>
      <c r="C7622" s="11" t="s">
        <v>28</v>
      </c>
      <c r="D7622" s="9" t="s">
        <v>22456</v>
      </c>
      <c r="E7622" s="11" t="s">
        <v>28</v>
      </c>
      <c r="F7622" s="10" t="s">
        <v>28</v>
      </c>
      <c r="G7622" s="10" t="s">
        <v>28</v>
      </c>
      <c r="H7622" s="10" t="s">
        <v>28</v>
      </c>
      <c r="I7622" s="11" t="s">
        <v>28</v>
      </c>
      <c r="J7622" s="11" t="s">
        <v>28</v>
      </c>
      <c r="K7622" s="11" t="s">
        <v>28</v>
      </c>
      <c r="L7622" s="11" t="s">
        <v>28</v>
      </c>
      <c r="M7622" s="11" t="s">
        <v>28</v>
      </c>
      <c r="N7622" s="8">
        <v>43336</v>
      </c>
      <c r="O7622" s="9" t="s">
        <v>30</v>
      </c>
      <c r="P7622" s="12" t="s">
        <v>28</v>
      </c>
      <c r="Q7622" s="9" t="s">
        <v>64</v>
      </c>
      <c r="R7622" s="14" t="str">
        <f>HYPERLINK("https://my.pitchbook.com?c=110893-87T","View Company Online")</f>
        <v>View Company Online</v>
      </c>
    </row>
    <row r="7623" spans="1:18" hidden="1" x14ac:dyDescent="0.3">
      <c r="A7623" s="15" t="s">
        <v>22457</v>
      </c>
      <c r="B7623" s="15" t="s">
        <v>5533</v>
      </c>
      <c r="C7623" s="18" t="s">
        <v>28</v>
      </c>
      <c r="D7623" s="15" t="s">
        <v>5534</v>
      </c>
      <c r="E7623" s="18" t="s">
        <v>28</v>
      </c>
      <c r="F7623" s="19" t="s">
        <v>28</v>
      </c>
      <c r="G7623" s="19">
        <v>3</v>
      </c>
      <c r="H7623" s="19">
        <v>78</v>
      </c>
      <c r="I7623" s="18" t="s">
        <v>28</v>
      </c>
      <c r="J7623" s="18" t="s">
        <v>28</v>
      </c>
      <c r="K7623" s="18">
        <v>90</v>
      </c>
      <c r="L7623" s="18">
        <v>0.87</v>
      </c>
      <c r="M7623" s="18" t="s">
        <v>28</v>
      </c>
      <c r="N7623" s="17">
        <v>43334</v>
      </c>
      <c r="O7623" s="15" t="s">
        <v>73</v>
      </c>
      <c r="P7623" s="16" t="s">
        <v>22458</v>
      </c>
      <c r="Q7623" s="15" t="s">
        <v>409</v>
      </c>
      <c r="R7623" s="13" t="str">
        <f>HYPERLINK("https://my.pitchbook.com?c=102693-70T","View Company Online")</f>
        <v>View Company Online</v>
      </c>
    </row>
    <row r="7624" spans="1:18" hidden="1" x14ac:dyDescent="0.3">
      <c r="A7624" s="9" t="s">
        <v>22459</v>
      </c>
      <c r="B7624" s="9" t="s">
        <v>22460</v>
      </c>
      <c r="C7624" s="11" t="s">
        <v>28</v>
      </c>
      <c r="D7624" s="9" t="s">
        <v>22461</v>
      </c>
      <c r="E7624" s="11" t="s">
        <v>28</v>
      </c>
      <c r="F7624" s="10" t="s">
        <v>28</v>
      </c>
      <c r="G7624" s="10" t="s">
        <v>28</v>
      </c>
      <c r="H7624" s="10" t="s">
        <v>28</v>
      </c>
      <c r="I7624" s="11" t="s">
        <v>28</v>
      </c>
      <c r="J7624" s="11" t="s">
        <v>28</v>
      </c>
      <c r="K7624" s="11" t="s">
        <v>28</v>
      </c>
      <c r="L7624" s="11" t="s">
        <v>28</v>
      </c>
      <c r="M7624" s="11" t="s">
        <v>28</v>
      </c>
      <c r="N7624" s="8">
        <v>43328</v>
      </c>
      <c r="O7624" s="9" t="s">
        <v>52</v>
      </c>
      <c r="P7624" s="12" t="s">
        <v>8261</v>
      </c>
      <c r="Q7624" s="9" t="s">
        <v>386</v>
      </c>
      <c r="R7624" s="14" t="str">
        <f>HYPERLINK("https://my.pitchbook.com?c=271707-49T","View Company Online")</f>
        <v>View Company Online</v>
      </c>
    </row>
    <row r="7625" spans="1:18" hidden="1" x14ac:dyDescent="0.3">
      <c r="A7625" s="15" t="s">
        <v>22462</v>
      </c>
      <c r="B7625" s="15" t="s">
        <v>6122</v>
      </c>
      <c r="C7625" s="18" t="s">
        <v>28</v>
      </c>
      <c r="D7625" s="15" t="s">
        <v>22463</v>
      </c>
      <c r="E7625" s="18">
        <v>-192.71</v>
      </c>
      <c r="F7625" s="19" t="s">
        <v>28</v>
      </c>
      <c r="G7625" s="19" t="s">
        <v>28</v>
      </c>
      <c r="H7625" s="19" t="s">
        <v>28</v>
      </c>
      <c r="I7625" s="18">
        <v>-185.6</v>
      </c>
      <c r="J7625" s="18" t="s">
        <v>28</v>
      </c>
      <c r="K7625" s="18">
        <v>253.4</v>
      </c>
      <c r="L7625" s="18" t="s">
        <v>28</v>
      </c>
      <c r="M7625" s="18">
        <v>-210.62</v>
      </c>
      <c r="N7625" s="17">
        <v>43327</v>
      </c>
      <c r="O7625" s="15" t="s">
        <v>30</v>
      </c>
      <c r="P7625" s="16" t="s">
        <v>28</v>
      </c>
      <c r="Q7625" s="15" t="s">
        <v>299</v>
      </c>
      <c r="R7625" s="13" t="str">
        <f>HYPERLINK("https://my.pitchbook.com?c=110491-66T","View Company Online")</f>
        <v>View Company Online</v>
      </c>
    </row>
    <row r="7626" spans="1:18" hidden="1" x14ac:dyDescent="0.3">
      <c r="A7626" s="9" t="s">
        <v>22464</v>
      </c>
      <c r="B7626" s="9" t="s">
        <v>22465</v>
      </c>
      <c r="C7626" s="11" t="s">
        <v>28</v>
      </c>
      <c r="D7626" s="9" t="s">
        <v>22466</v>
      </c>
      <c r="E7626" s="11" t="s">
        <v>28</v>
      </c>
      <c r="F7626" s="10">
        <v>1.59</v>
      </c>
      <c r="G7626" s="10">
        <v>1.59</v>
      </c>
      <c r="H7626" s="10">
        <v>1.59</v>
      </c>
      <c r="I7626" s="11" t="s">
        <v>28</v>
      </c>
      <c r="J7626" s="11" t="s">
        <v>28</v>
      </c>
      <c r="K7626" s="11" t="s">
        <v>28</v>
      </c>
      <c r="L7626" s="11" t="s">
        <v>28</v>
      </c>
      <c r="M7626" s="11" t="s">
        <v>28</v>
      </c>
      <c r="N7626" s="8">
        <v>43327</v>
      </c>
      <c r="O7626" s="9" t="s">
        <v>30</v>
      </c>
      <c r="P7626" s="12" t="s">
        <v>21227</v>
      </c>
      <c r="Q7626" s="9" t="s">
        <v>43</v>
      </c>
      <c r="R7626" s="14" t="str">
        <f>HYPERLINK("https://my.pitchbook.com?c=256587-94T","View Company Online")</f>
        <v>View Company Online</v>
      </c>
    </row>
    <row r="7627" spans="1:18" hidden="1" x14ac:dyDescent="0.3">
      <c r="A7627" s="15" t="s">
        <v>22467</v>
      </c>
      <c r="B7627" s="15" t="s">
        <v>22468</v>
      </c>
      <c r="C7627" s="18" t="s">
        <v>28</v>
      </c>
      <c r="D7627" s="15" t="s">
        <v>22469</v>
      </c>
      <c r="E7627" s="18" t="s">
        <v>28</v>
      </c>
      <c r="F7627" s="19">
        <v>64.84</v>
      </c>
      <c r="G7627" s="19">
        <v>64.84</v>
      </c>
      <c r="H7627" s="19">
        <v>64.84</v>
      </c>
      <c r="I7627" s="18" t="s">
        <v>28</v>
      </c>
      <c r="J7627" s="18" t="s">
        <v>28</v>
      </c>
      <c r="K7627" s="18">
        <v>0.01</v>
      </c>
      <c r="L7627" s="18">
        <v>131659.98000000001</v>
      </c>
      <c r="M7627" s="18" t="s">
        <v>28</v>
      </c>
      <c r="N7627" s="17">
        <v>43326</v>
      </c>
      <c r="O7627" s="15" t="s">
        <v>30</v>
      </c>
      <c r="P7627" s="16" t="s">
        <v>22470</v>
      </c>
      <c r="Q7627" s="15" t="s">
        <v>855</v>
      </c>
      <c r="R7627" s="13" t="str">
        <f>HYPERLINK("https://my.pitchbook.com?c=110597-32T","View Company Online")</f>
        <v>View Company Online</v>
      </c>
    </row>
    <row r="7628" spans="1:18" hidden="1" x14ac:dyDescent="0.3">
      <c r="A7628" s="9" t="s">
        <v>22471</v>
      </c>
      <c r="B7628" s="9" t="s">
        <v>14124</v>
      </c>
      <c r="C7628" s="11" t="s">
        <v>28</v>
      </c>
      <c r="D7628" s="9" t="s">
        <v>14125</v>
      </c>
      <c r="E7628" s="11" t="s">
        <v>28</v>
      </c>
      <c r="F7628" s="10" t="s">
        <v>28</v>
      </c>
      <c r="G7628" s="10" t="s">
        <v>28</v>
      </c>
      <c r="H7628" s="10" t="s">
        <v>28</v>
      </c>
      <c r="I7628" s="11" t="s">
        <v>28</v>
      </c>
      <c r="J7628" s="11" t="s">
        <v>28</v>
      </c>
      <c r="K7628" s="11" t="s">
        <v>28</v>
      </c>
      <c r="L7628" s="11" t="s">
        <v>28</v>
      </c>
      <c r="M7628" s="11" t="s">
        <v>28</v>
      </c>
      <c r="N7628" s="8">
        <v>43326</v>
      </c>
      <c r="O7628" s="9" t="s">
        <v>58</v>
      </c>
      <c r="P7628" s="12" t="s">
        <v>22472</v>
      </c>
      <c r="Q7628" s="9" t="s">
        <v>69</v>
      </c>
      <c r="R7628" s="14" t="str">
        <f>HYPERLINK("https://my.pitchbook.com?c=110424-07T","View Company Online")</f>
        <v>View Company Online</v>
      </c>
    </row>
    <row r="7629" spans="1:18" hidden="1" x14ac:dyDescent="0.3">
      <c r="A7629" s="15" t="s">
        <v>22473</v>
      </c>
      <c r="B7629" s="15" t="s">
        <v>22474</v>
      </c>
      <c r="C7629" s="18" t="s">
        <v>28</v>
      </c>
      <c r="D7629" s="15" t="s">
        <v>22475</v>
      </c>
      <c r="E7629" s="18" t="s">
        <v>28</v>
      </c>
      <c r="F7629" s="19">
        <v>88.66</v>
      </c>
      <c r="G7629" s="19">
        <v>57.7</v>
      </c>
      <c r="H7629" s="19">
        <v>88.66</v>
      </c>
      <c r="I7629" s="18" t="s">
        <v>28</v>
      </c>
      <c r="J7629" s="18" t="s">
        <v>28</v>
      </c>
      <c r="K7629" s="18" t="s">
        <v>28</v>
      </c>
      <c r="L7629" s="18" t="s">
        <v>28</v>
      </c>
      <c r="M7629" s="18" t="s">
        <v>28</v>
      </c>
      <c r="N7629" s="17">
        <v>43326</v>
      </c>
      <c r="O7629" s="15" t="s">
        <v>30</v>
      </c>
      <c r="P7629" s="16" t="s">
        <v>22476</v>
      </c>
      <c r="Q7629" s="15" t="s">
        <v>1035</v>
      </c>
      <c r="R7629" s="13" t="str">
        <f>HYPERLINK("https://my.pitchbook.com?c=110426-05T","View Company Online")</f>
        <v>View Company Online</v>
      </c>
    </row>
    <row r="7630" spans="1:18" hidden="1" x14ac:dyDescent="0.3">
      <c r="A7630" s="9" t="s">
        <v>22477</v>
      </c>
      <c r="B7630" s="9" t="s">
        <v>22478</v>
      </c>
      <c r="C7630" s="11" t="s">
        <v>28</v>
      </c>
      <c r="D7630" s="9" t="s">
        <v>22479</v>
      </c>
      <c r="E7630" s="11" t="s">
        <v>28</v>
      </c>
      <c r="F7630" s="10" t="s">
        <v>28</v>
      </c>
      <c r="G7630" s="10">
        <v>2.65</v>
      </c>
      <c r="H7630" s="10" t="s">
        <v>28</v>
      </c>
      <c r="I7630" s="11" t="s">
        <v>28</v>
      </c>
      <c r="J7630" s="11" t="s">
        <v>28</v>
      </c>
      <c r="K7630" s="11">
        <v>0.55000000000000004</v>
      </c>
      <c r="L7630" s="11" t="s">
        <v>28</v>
      </c>
      <c r="M7630" s="11" t="s">
        <v>28</v>
      </c>
      <c r="N7630" s="8">
        <v>43325</v>
      </c>
      <c r="O7630" s="9" t="s">
        <v>73</v>
      </c>
      <c r="P7630" s="12" t="s">
        <v>22480</v>
      </c>
      <c r="Q7630" s="9" t="s">
        <v>75</v>
      </c>
      <c r="R7630" s="14" t="str">
        <f>HYPERLINK("https://my.pitchbook.com?c=128845-72T","View Company Online")</f>
        <v>View Company Online</v>
      </c>
    </row>
    <row r="7631" spans="1:18" hidden="1" x14ac:dyDescent="0.3">
      <c r="A7631" s="15" t="s">
        <v>22481</v>
      </c>
      <c r="B7631" s="15" t="s">
        <v>22482</v>
      </c>
      <c r="C7631" s="18" t="s">
        <v>28</v>
      </c>
      <c r="D7631" s="15" t="s">
        <v>22483</v>
      </c>
      <c r="E7631" s="18" t="s">
        <v>28</v>
      </c>
      <c r="F7631" s="19" t="s">
        <v>28</v>
      </c>
      <c r="G7631" s="19">
        <v>0.66</v>
      </c>
      <c r="H7631" s="19" t="s">
        <v>28</v>
      </c>
      <c r="I7631" s="18" t="s">
        <v>28</v>
      </c>
      <c r="J7631" s="18" t="s">
        <v>28</v>
      </c>
      <c r="K7631" s="18" t="s">
        <v>28</v>
      </c>
      <c r="L7631" s="18" t="s">
        <v>28</v>
      </c>
      <c r="M7631" s="18" t="s">
        <v>28</v>
      </c>
      <c r="N7631" s="17">
        <v>43325</v>
      </c>
      <c r="O7631" s="15" t="s">
        <v>73</v>
      </c>
      <c r="P7631" s="16" t="s">
        <v>22484</v>
      </c>
      <c r="Q7631" s="15" t="s">
        <v>75</v>
      </c>
      <c r="R7631" s="13" t="str">
        <f>HYPERLINK("https://my.pitchbook.com?c=128849-59T","View Company Online")</f>
        <v>View Company Online</v>
      </c>
    </row>
    <row r="7632" spans="1:18" hidden="1" x14ac:dyDescent="0.3">
      <c r="A7632" s="9" t="s">
        <v>22485</v>
      </c>
      <c r="B7632" s="9" t="s">
        <v>5880</v>
      </c>
      <c r="C7632" s="11" t="s">
        <v>28</v>
      </c>
      <c r="D7632" s="9" t="s">
        <v>5881</v>
      </c>
      <c r="E7632" s="11" t="s">
        <v>28</v>
      </c>
      <c r="F7632" s="10" t="s">
        <v>28</v>
      </c>
      <c r="G7632" s="10" t="s">
        <v>28</v>
      </c>
      <c r="H7632" s="10" t="s">
        <v>28</v>
      </c>
      <c r="I7632" s="11" t="s">
        <v>28</v>
      </c>
      <c r="J7632" s="11" t="s">
        <v>28</v>
      </c>
      <c r="K7632" s="11" t="s">
        <v>28</v>
      </c>
      <c r="L7632" s="11" t="s">
        <v>28</v>
      </c>
      <c r="M7632" s="11" t="s">
        <v>28</v>
      </c>
      <c r="N7632" s="8">
        <v>43325</v>
      </c>
      <c r="O7632" s="9" t="s">
        <v>73</v>
      </c>
      <c r="P7632" s="12" t="s">
        <v>13785</v>
      </c>
      <c r="Q7632" s="9" t="s">
        <v>583</v>
      </c>
      <c r="R7632" s="14" t="str">
        <f>HYPERLINK("https://my.pitchbook.com?c=122224-78T","View Company Online")</f>
        <v>View Company Online</v>
      </c>
    </row>
    <row r="7633" spans="1:18" hidden="1" x14ac:dyDescent="0.3">
      <c r="A7633" s="15" t="s">
        <v>22486</v>
      </c>
      <c r="B7633" s="15" t="s">
        <v>3006</v>
      </c>
      <c r="C7633" s="18" t="s">
        <v>28</v>
      </c>
      <c r="D7633" s="15" t="s">
        <v>3007</v>
      </c>
      <c r="E7633" s="18" t="s">
        <v>28</v>
      </c>
      <c r="F7633" s="19" t="s">
        <v>28</v>
      </c>
      <c r="G7633" s="19" t="s">
        <v>28</v>
      </c>
      <c r="H7633" s="19" t="s">
        <v>28</v>
      </c>
      <c r="I7633" s="18" t="s">
        <v>28</v>
      </c>
      <c r="J7633" s="18" t="s">
        <v>28</v>
      </c>
      <c r="K7633" s="18" t="s">
        <v>28</v>
      </c>
      <c r="L7633" s="18" t="s">
        <v>28</v>
      </c>
      <c r="M7633" s="18" t="s">
        <v>28</v>
      </c>
      <c r="N7633" s="17">
        <v>43322</v>
      </c>
      <c r="O7633" s="15" t="s">
        <v>79</v>
      </c>
      <c r="P7633" s="16" t="s">
        <v>20487</v>
      </c>
      <c r="Q7633" s="15" t="s">
        <v>245</v>
      </c>
      <c r="R7633" s="13" t="str">
        <f>HYPERLINK("https://my.pitchbook.com?c=138541-78T","View Company Online")</f>
        <v>View Company Online</v>
      </c>
    </row>
    <row r="7634" spans="1:18" hidden="1" x14ac:dyDescent="0.3">
      <c r="A7634" s="9" t="s">
        <v>22487</v>
      </c>
      <c r="B7634" s="9" t="s">
        <v>3903</v>
      </c>
      <c r="C7634" s="11" t="s">
        <v>28</v>
      </c>
      <c r="D7634" s="9" t="s">
        <v>3904</v>
      </c>
      <c r="E7634" s="11" t="s">
        <v>28</v>
      </c>
      <c r="F7634" s="10" t="s">
        <v>28</v>
      </c>
      <c r="G7634" s="10" t="s">
        <v>28</v>
      </c>
      <c r="H7634" s="10" t="s">
        <v>28</v>
      </c>
      <c r="I7634" s="11" t="s">
        <v>28</v>
      </c>
      <c r="J7634" s="11" t="s">
        <v>28</v>
      </c>
      <c r="K7634" s="11" t="s">
        <v>28</v>
      </c>
      <c r="L7634" s="11" t="s">
        <v>28</v>
      </c>
      <c r="M7634" s="11" t="s">
        <v>28</v>
      </c>
      <c r="N7634" s="8">
        <v>43322</v>
      </c>
      <c r="O7634" s="9" t="s">
        <v>79</v>
      </c>
      <c r="P7634" s="12" t="s">
        <v>11808</v>
      </c>
      <c r="Q7634" s="9" t="s">
        <v>75</v>
      </c>
      <c r="R7634" s="14" t="str">
        <f>HYPERLINK("https://my.pitchbook.com?c=133178-23T","View Company Online")</f>
        <v>View Company Online</v>
      </c>
    </row>
    <row r="7635" spans="1:18" hidden="1" x14ac:dyDescent="0.3">
      <c r="A7635" s="15" t="s">
        <v>22488</v>
      </c>
      <c r="B7635" s="15" t="s">
        <v>22489</v>
      </c>
      <c r="C7635" s="18" t="s">
        <v>28</v>
      </c>
      <c r="D7635" s="15" t="s">
        <v>22490</v>
      </c>
      <c r="E7635" s="18" t="s">
        <v>28</v>
      </c>
      <c r="F7635" s="19" t="s">
        <v>28</v>
      </c>
      <c r="G7635" s="19" t="s">
        <v>28</v>
      </c>
      <c r="H7635" s="19" t="s">
        <v>28</v>
      </c>
      <c r="I7635" s="18" t="s">
        <v>28</v>
      </c>
      <c r="J7635" s="18" t="s">
        <v>28</v>
      </c>
      <c r="K7635" s="18" t="s">
        <v>28</v>
      </c>
      <c r="L7635" s="18" t="s">
        <v>28</v>
      </c>
      <c r="M7635" s="18" t="s">
        <v>28</v>
      </c>
      <c r="N7635" s="17">
        <v>43321</v>
      </c>
      <c r="O7635" s="15" t="s">
        <v>30</v>
      </c>
      <c r="P7635" s="16" t="s">
        <v>22491</v>
      </c>
      <c r="Q7635" s="15" t="s">
        <v>85</v>
      </c>
      <c r="R7635" s="13" t="str">
        <f>HYPERLINK("https://my.pitchbook.com?c=110301-85T","View Company Online")</f>
        <v>View Company Online</v>
      </c>
    </row>
    <row r="7636" spans="1:18" hidden="1" x14ac:dyDescent="0.3">
      <c r="A7636" s="9" t="s">
        <v>22492</v>
      </c>
      <c r="B7636" s="9" t="s">
        <v>22493</v>
      </c>
      <c r="C7636" s="11" t="s">
        <v>28</v>
      </c>
      <c r="D7636" s="9" t="s">
        <v>22494</v>
      </c>
      <c r="E7636" s="11" t="s">
        <v>28</v>
      </c>
      <c r="F7636" s="10">
        <v>171.65</v>
      </c>
      <c r="G7636" s="10">
        <v>171.65</v>
      </c>
      <c r="H7636" s="10">
        <v>171.65</v>
      </c>
      <c r="I7636" s="11" t="s">
        <v>28</v>
      </c>
      <c r="J7636" s="11" t="s">
        <v>28</v>
      </c>
      <c r="K7636" s="11">
        <v>8.35</v>
      </c>
      <c r="L7636" s="11">
        <v>20.57</v>
      </c>
      <c r="M7636" s="11">
        <v>0.15</v>
      </c>
      <c r="N7636" s="8">
        <v>43320</v>
      </c>
      <c r="O7636" s="9" t="s">
        <v>41</v>
      </c>
      <c r="P7636" s="12" t="s">
        <v>22495</v>
      </c>
      <c r="Q7636" s="9" t="s">
        <v>692</v>
      </c>
      <c r="R7636" s="14" t="str">
        <f>HYPERLINK("https://my.pitchbook.com?c=109362-88T","View Company Online")</f>
        <v>View Company Online</v>
      </c>
    </row>
    <row r="7637" spans="1:18" hidden="1" x14ac:dyDescent="0.3">
      <c r="A7637" s="15" t="s">
        <v>22496</v>
      </c>
      <c r="B7637" s="15" t="s">
        <v>1833</v>
      </c>
      <c r="C7637" s="18" t="s">
        <v>28</v>
      </c>
      <c r="D7637" s="15" t="s">
        <v>22497</v>
      </c>
      <c r="E7637" s="18" t="s">
        <v>28</v>
      </c>
      <c r="F7637" s="19" t="s">
        <v>28</v>
      </c>
      <c r="G7637" s="19" t="s">
        <v>28</v>
      </c>
      <c r="H7637" s="19" t="s">
        <v>28</v>
      </c>
      <c r="I7637" s="18" t="s">
        <v>28</v>
      </c>
      <c r="J7637" s="18" t="s">
        <v>28</v>
      </c>
      <c r="K7637" s="18" t="s">
        <v>28</v>
      </c>
      <c r="L7637" s="18" t="s">
        <v>28</v>
      </c>
      <c r="M7637" s="18" t="s">
        <v>28</v>
      </c>
      <c r="N7637" s="17">
        <v>43320</v>
      </c>
      <c r="O7637" s="15" t="s">
        <v>173</v>
      </c>
      <c r="P7637" s="16" t="s">
        <v>28</v>
      </c>
      <c r="Q7637" s="15" t="s">
        <v>240</v>
      </c>
      <c r="R7637" s="13" t="str">
        <f>HYPERLINK("https://my.pitchbook.com?c=224807-86T","View Company Online")</f>
        <v>View Company Online</v>
      </c>
    </row>
    <row r="7638" spans="1:18" hidden="1" x14ac:dyDescent="0.3">
      <c r="A7638" s="9" t="s">
        <v>22498</v>
      </c>
      <c r="B7638" s="9" t="s">
        <v>11407</v>
      </c>
      <c r="C7638" s="11" t="s">
        <v>28</v>
      </c>
      <c r="D7638" s="9" t="s">
        <v>11408</v>
      </c>
      <c r="E7638" s="11" t="s">
        <v>28</v>
      </c>
      <c r="F7638" s="10" t="s">
        <v>28</v>
      </c>
      <c r="G7638" s="10" t="s">
        <v>28</v>
      </c>
      <c r="H7638" s="10" t="s">
        <v>28</v>
      </c>
      <c r="I7638" s="11" t="s">
        <v>28</v>
      </c>
      <c r="J7638" s="11" t="s">
        <v>28</v>
      </c>
      <c r="K7638" s="11" t="s">
        <v>28</v>
      </c>
      <c r="L7638" s="11" t="s">
        <v>28</v>
      </c>
      <c r="M7638" s="11" t="s">
        <v>28</v>
      </c>
      <c r="N7638" s="8">
        <v>43320</v>
      </c>
      <c r="O7638" s="9" t="s">
        <v>73</v>
      </c>
      <c r="P7638" s="12" t="s">
        <v>19147</v>
      </c>
      <c r="Q7638" s="9" t="s">
        <v>37</v>
      </c>
      <c r="R7638" s="14" t="str">
        <f>HYPERLINK("https://my.pitchbook.com?c=155452-42T","View Company Online")</f>
        <v>View Company Online</v>
      </c>
    </row>
    <row r="7639" spans="1:18" hidden="1" x14ac:dyDescent="0.3">
      <c r="A7639" s="15" t="s">
        <v>22499</v>
      </c>
      <c r="B7639" s="15" t="s">
        <v>6062</v>
      </c>
      <c r="C7639" s="18" t="s">
        <v>28</v>
      </c>
      <c r="D7639" s="15" t="s">
        <v>6063</v>
      </c>
      <c r="E7639" s="18" t="s">
        <v>28</v>
      </c>
      <c r="F7639" s="19" t="s">
        <v>28</v>
      </c>
      <c r="G7639" s="19" t="s">
        <v>28</v>
      </c>
      <c r="H7639" s="19" t="s">
        <v>28</v>
      </c>
      <c r="I7639" s="18" t="s">
        <v>28</v>
      </c>
      <c r="J7639" s="18" t="s">
        <v>28</v>
      </c>
      <c r="K7639" s="18" t="s">
        <v>28</v>
      </c>
      <c r="L7639" s="18" t="s">
        <v>28</v>
      </c>
      <c r="M7639" s="18" t="s">
        <v>28</v>
      </c>
      <c r="N7639" s="17">
        <v>43319</v>
      </c>
      <c r="O7639" s="15" t="s">
        <v>52</v>
      </c>
      <c r="P7639" s="16" t="s">
        <v>1792</v>
      </c>
      <c r="Q7639" s="15" t="s">
        <v>75</v>
      </c>
      <c r="R7639" s="13" t="str">
        <f>HYPERLINK("https://my.pitchbook.com?c=220980-61T","View Company Online")</f>
        <v>View Company Online</v>
      </c>
    </row>
    <row r="7640" spans="1:18" hidden="1" x14ac:dyDescent="0.3">
      <c r="A7640" s="9" t="s">
        <v>22500</v>
      </c>
      <c r="B7640" s="9" t="s">
        <v>22501</v>
      </c>
      <c r="C7640" s="11" t="s">
        <v>28</v>
      </c>
      <c r="D7640" s="9" t="s">
        <v>22502</v>
      </c>
      <c r="E7640" s="11" t="s">
        <v>28</v>
      </c>
      <c r="F7640" s="10" t="s">
        <v>28</v>
      </c>
      <c r="G7640" s="10" t="s">
        <v>28</v>
      </c>
      <c r="H7640" s="10" t="s">
        <v>28</v>
      </c>
      <c r="I7640" s="11" t="s">
        <v>28</v>
      </c>
      <c r="J7640" s="11" t="s">
        <v>28</v>
      </c>
      <c r="K7640" s="11" t="s">
        <v>28</v>
      </c>
      <c r="L7640" s="11" t="s">
        <v>28</v>
      </c>
      <c r="M7640" s="11" t="s">
        <v>28</v>
      </c>
      <c r="N7640" s="8">
        <v>43319</v>
      </c>
      <c r="O7640" s="9" t="s">
        <v>41</v>
      </c>
      <c r="P7640" s="12" t="s">
        <v>22503</v>
      </c>
      <c r="Q7640" s="9" t="s">
        <v>2097</v>
      </c>
      <c r="R7640" s="14" t="str">
        <f>HYPERLINK("https://my.pitchbook.com?c=110082-88T","View Company Online")</f>
        <v>View Company Online</v>
      </c>
    </row>
    <row r="7641" spans="1:18" hidden="1" x14ac:dyDescent="0.3">
      <c r="A7641" s="15" t="s">
        <v>22504</v>
      </c>
      <c r="B7641" s="15" t="s">
        <v>18809</v>
      </c>
      <c r="C7641" s="18" t="s">
        <v>28</v>
      </c>
      <c r="D7641" s="15" t="s">
        <v>18810</v>
      </c>
      <c r="E7641" s="18" t="s">
        <v>28</v>
      </c>
      <c r="F7641" s="19" t="s">
        <v>28</v>
      </c>
      <c r="G7641" s="19">
        <v>1.32</v>
      </c>
      <c r="H7641" s="19" t="s">
        <v>28</v>
      </c>
      <c r="I7641" s="18" t="s">
        <v>28</v>
      </c>
      <c r="J7641" s="18" t="s">
        <v>28</v>
      </c>
      <c r="K7641" s="18" t="s">
        <v>28</v>
      </c>
      <c r="L7641" s="18" t="s">
        <v>28</v>
      </c>
      <c r="M7641" s="18" t="s">
        <v>28</v>
      </c>
      <c r="N7641" s="17">
        <v>43318</v>
      </c>
      <c r="O7641" s="15" t="s">
        <v>79</v>
      </c>
      <c r="P7641" s="16" t="s">
        <v>11808</v>
      </c>
      <c r="Q7641" s="15" t="s">
        <v>75</v>
      </c>
      <c r="R7641" s="13" t="str">
        <f>HYPERLINK("https://my.pitchbook.com?c=133178-95T","View Company Online")</f>
        <v>View Company Online</v>
      </c>
    </row>
    <row r="7642" spans="1:18" hidden="1" x14ac:dyDescent="0.3">
      <c r="A7642" s="9" t="s">
        <v>22505</v>
      </c>
      <c r="B7642" s="9" t="s">
        <v>22506</v>
      </c>
      <c r="C7642" s="11" t="s">
        <v>28</v>
      </c>
      <c r="D7642" s="9" t="s">
        <v>22507</v>
      </c>
      <c r="E7642" s="11" t="s">
        <v>28</v>
      </c>
      <c r="F7642" s="10" t="s">
        <v>28</v>
      </c>
      <c r="G7642" s="10" t="s">
        <v>28</v>
      </c>
      <c r="H7642" s="10" t="s">
        <v>28</v>
      </c>
      <c r="I7642" s="11" t="s">
        <v>28</v>
      </c>
      <c r="J7642" s="11" t="s">
        <v>28</v>
      </c>
      <c r="K7642" s="11" t="s">
        <v>28</v>
      </c>
      <c r="L7642" s="11" t="s">
        <v>28</v>
      </c>
      <c r="M7642" s="11" t="s">
        <v>28</v>
      </c>
      <c r="N7642" s="8">
        <v>43317</v>
      </c>
      <c r="O7642" s="9" t="s">
        <v>30</v>
      </c>
      <c r="P7642" s="12" t="s">
        <v>22084</v>
      </c>
      <c r="Q7642" s="9" t="s">
        <v>566</v>
      </c>
      <c r="R7642" s="14" t="str">
        <f>HYPERLINK("https://my.pitchbook.com?c=224573-68T","View Company Online")</f>
        <v>View Company Online</v>
      </c>
    </row>
    <row r="7643" spans="1:18" hidden="1" x14ac:dyDescent="0.3">
      <c r="A7643" s="15" t="s">
        <v>22508</v>
      </c>
      <c r="B7643" s="15" t="s">
        <v>16028</v>
      </c>
      <c r="C7643" s="18" t="s">
        <v>28</v>
      </c>
      <c r="D7643" s="15" t="s">
        <v>16029</v>
      </c>
      <c r="E7643" s="18" t="s">
        <v>28</v>
      </c>
      <c r="F7643" s="19" t="s">
        <v>28</v>
      </c>
      <c r="G7643" s="19" t="s">
        <v>28</v>
      </c>
      <c r="H7643" s="19" t="s">
        <v>28</v>
      </c>
      <c r="I7643" s="18" t="s">
        <v>28</v>
      </c>
      <c r="J7643" s="18" t="s">
        <v>28</v>
      </c>
      <c r="K7643" s="18">
        <v>0.84</v>
      </c>
      <c r="L7643" s="18" t="s">
        <v>28</v>
      </c>
      <c r="M7643" s="18" t="s">
        <v>28</v>
      </c>
      <c r="N7643" s="17">
        <v>43315</v>
      </c>
      <c r="O7643" s="15" t="s">
        <v>73</v>
      </c>
      <c r="P7643" s="16" t="s">
        <v>22509</v>
      </c>
      <c r="Q7643" s="15" t="s">
        <v>75</v>
      </c>
      <c r="R7643" s="13" t="str">
        <f>HYPERLINK("https://my.pitchbook.com?c=137280-52T","View Company Online")</f>
        <v>View Company Online</v>
      </c>
    </row>
    <row r="7644" spans="1:18" hidden="1" x14ac:dyDescent="0.3">
      <c r="A7644" s="9" t="s">
        <v>22510</v>
      </c>
      <c r="B7644" s="9" t="s">
        <v>10361</v>
      </c>
      <c r="C7644" s="11" t="s">
        <v>28</v>
      </c>
      <c r="D7644" s="9" t="s">
        <v>10362</v>
      </c>
      <c r="E7644" s="11" t="s">
        <v>28</v>
      </c>
      <c r="F7644" s="10">
        <v>5625</v>
      </c>
      <c r="G7644" s="10">
        <v>4500</v>
      </c>
      <c r="H7644" s="10">
        <v>5625</v>
      </c>
      <c r="I7644" s="11" t="s">
        <v>28</v>
      </c>
      <c r="J7644" s="11" t="s">
        <v>28</v>
      </c>
      <c r="K7644" s="11">
        <v>7661.16</v>
      </c>
      <c r="L7644" s="11">
        <v>0.73</v>
      </c>
      <c r="M7644" s="11" t="s">
        <v>28</v>
      </c>
      <c r="N7644" s="8">
        <v>43313</v>
      </c>
      <c r="O7644" s="9" t="s">
        <v>41</v>
      </c>
      <c r="P7644" s="12" t="s">
        <v>22511</v>
      </c>
      <c r="Q7644" s="9" t="s">
        <v>109</v>
      </c>
      <c r="R7644" s="14" t="str">
        <f>HYPERLINK("https://my.pitchbook.com?c=100376-92T","View Company Online")</f>
        <v>View Company Online</v>
      </c>
    </row>
    <row r="7645" spans="1:18" hidden="1" x14ac:dyDescent="0.3">
      <c r="A7645" s="15" t="s">
        <v>22512</v>
      </c>
      <c r="B7645" s="15" t="s">
        <v>8778</v>
      </c>
      <c r="C7645" s="18" t="s">
        <v>28</v>
      </c>
      <c r="D7645" s="15" t="s">
        <v>8779</v>
      </c>
      <c r="E7645" s="18" t="s">
        <v>28</v>
      </c>
      <c r="F7645" s="19" t="s">
        <v>28</v>
      </c>
      <c r="G7645" s="19" t="s">
        <v>28</v>
      </c>
      <c r="H7645" s="19" t="s">
        <v>28</v>
      </c>
      <c r="I7645" s="18" t="s">
        <v>28</v>
      </c>
      <c r="J7645" s="18" t="s">
        <v>28</v>
      </c>
      <c r="K7645" s="18" t="s">
        <v>28</v>
      </c>
      <c r="L7645" s="18" t="s">
        <v>28</v>
      </c>
      <c r="M7645" s="18" t="s">
        <v>28</v>
      </c>
      <c r="N7645" s="17">
        <v>43313</v>
      </c>
      <c r="O7645" s="15" t="s">
        <v>99</v>
      </c>
      <c r="P7645" s="16" t="s">
        <v>22513</v>
      </c>
      <c r="Q7645" s="15" t="s">
        <v>75</v>
      </c>
      <c r="R7645" s="13" t="str">
        <f>HYPERLINK("https://my.pitchbook.com?c=175761-73T","View Company Online")</f>
        <v>View Company Online</v>
      </c>
    </row>
    <row r="7646" spans="1:18" hidden="1" x14ac:dyDescent="0.3">
      <c r="A7646" s="9" t="s">
        <v>22514</v>
      </c>
      <c r="B7646" s="9" t="s">
        <v>22515</v>
      </c>
      <c r="C7646" s="11" t="s">
        <v>28</v>
      </c>
      <c r="D7646" s="9" t="s">
        <v>22516</v>
      </c>
      <c r="E7646" s="11" t="s">
        <v>28</v>
      </c>
      <c r="F7646" s="10" t="s">
        <v>28</v>
      </c>
      <c r="G7646" s="10" t="s">
        <v>28</v>
      </c>
      <c r="H7646" s="10" t="s">
        <v>28</v>
      </c>
      <c r="I7646" s="11" t="s">
        <v>28</v>
      </c>
      <c r="J7646" s="11" t="s">
        <v>28</v>
      </c>
      <c r="K7646" s="11" t="s">
        <v>28</v>
      </c>
      <c r="L7646" s="11" t="s">
        <v>28</v>
      </c>
      <c r="M7646" s="11" t="s">
        <v>28</v>
      </c>
      <c r="N7646" s="8">
        <v>43313</v>
      </c>
      <c r="O7646" s="9" t="s">
        <v>30</v>
      </c>
      <c r="P7646" s="12" t="s">
        <v>22517</v>
      </c>
      <c r="Q7646" s="9" t="s">
        <v>95</v>
      </c>
      <c r="R7646" s="14" t="str">
        <f>HYPERLINK("https://my.pitchbook.com?c=115448-23T","View Company Online")</f>
        <v>View Company Online</v>
      </c>
    </row>
    <row r="7647" spans="1:18" hidden="1" x14ac:dyDescent="0.3">
      <c r="A7647" s="15" t="s">
        <v>22518</v>
      </c>
      <c r="B7647" s="15" t="s">
        <v>9628</v>
      </c>
      <c r="C7647" s="18" t="s">
        <v>28</v>
      </c>
      <c r="D7647" s="15" t="s">
        <v>22519</v>
      </c>
      <c r="E7647" s="18" t="s">
        <v>28</v>
      </c>
      <c r="F7647" s="19" t="s">
        <v>28</v>
      </c>
      <c r="G7647" s="19" t="s">
        <v>28</v>
      </c>
      <c r="H7647" s="19" t="s">
        <v>28</v>
      </c>
      <c r="I7647" s="18" t="s">
        <v>28</v>
      </c>
      <c r="J7647" s="18" t="s">
        <v>28</v>
      </c>
      <c r="K7647" s="18" t="s">
        <v>28</v>
      </c>
      <c r="L7647" s="18" t="s">
        <v>28</v>
      </c>
      <c r="M7647" s="18" t="s">
        <v>28</v>
      </c>
      <c r="N7647" s="17">
        <v>43313</v>
      </c>
      <c r="O7647" s="15" t="s">
        <v>52</v>
      </c>
      <c r="P7647" s="16" t="s">
        <v>3869</v>
      </c>
      <c r="Q7647" s="15" t="s">
        <v>114</v>
      </c>
      <c r="R7647" s="13" t="str">
        <f>HYPERLINK("https://my.pitchbook.com?c=115540-12T","View Company Online")</f>
        <v>View Company Online</v>
      </c>
    </row>
    <row r="7648" spans="1:18" hidden="1" x14ac:dyDescent="0.3">
      <c r="A7648" s="9" t="s">
        <v>22520</v>
      </c>
      <c r="B7648" s="9" t="s">
        <v>19540</v>
      </c>
      <c r="C7648" s="11" t="s">
        <v>28</v>
      </c>
      <c r="D7648" s="9" t="s">
        <v>19541</v>
      </c>
      <c r="E7648" s="11" t="s">
        <v>28</v>
      </c>
      <c r="F7648" s="10" t="s">
        <v>28</v>
      </c>
      <c r="G7648" s="10" t="s">
        <v>28</v>
      </c>
      <c r="H7648" s="10" t="s">
        <v>28</v>
      </c>
      <c r="I7648" s="11" t="s">
        <v>28</v>
      </c>
      <c r="J7648" s="11" t="s">
        <v>28</v>
      </c>
      <c r="K7648" s="11" t="s">
        <v>28</v>
      </c>
      <c r="L7648" s="11" t="s">
        <v>28</v>
      </c>
      <c r="M7648" s="11" t="s">
        <v>28</v>
      </c>
      <c r="N7648" s="8">
        <v>43313</v>
      </c>
      <c r="O7648" s="9" t="s">
        <v>93</v>
      </c>
      <c r="P7648" s="12" t="s">
        <v>9551</v>
      </c>
      <c r="Q7648" s="9" t="s">
        <v>13990</v>
      </c>
      <c r="R7648" s="14" t="str">
        <f>HYPERLINK("https://my.pitchbook.com?c=109888-93T","View Company Online")</f>
        <v>View Company Online</v>
      </c>
    </row>
    <row r="7649" spans="1:18" hidden="1" x14ac:dyDescent="0.3">
      <c r="A7649" s="15" t="s">
        <v>22521</v>
      </c>
      <c r="B7649" s="15" t="s">
        <v>22522</v>
      </c>
      <c r="C7649" s="18" t="s">
        <v>28</v>
      </c>
      <c r="D7649" s="15" t="s">
        <v>22523</v>
      </c>
      <c r="E7649" s="18" t="s">
        <v>28</v>
      </c>
      <c r="F7649" s="19" t="s">
        <v>28</v>
      </c>
      <c r="G7649" s="19" t="s">
        <v>28</v>
      </c>
      <c r="H7649" s="19" t="s">
        <v>28</v>
      </c>
      <c r="I7649" s="18" t="s">
        <v>28</v>
      </c>
      <c r="J7649" s="18" t="s">
        <v>28</v>
      </c>
      <c r="K7649" s="18" t="s">
        <v>28</v>
      </c>
      <c r="L7649" s="18" t="s">
        <v>28</v>
      </c>
      <c r="M7649" s="18" t="s">
        <v>28</v>
      </c>
      <c r="N7649" s="17">
        <v>43313</v>
      </c>
      <c r="O7649" s="15" t="s">
        <v>30</v>
      </c>
      <c r="P7649" s="16" t="s">
        <v>22084</v>
      </c>
      <c r="Q7649" s="15" t="s">
        <v>5347</v>
      </c>
      <c r="R7649" s="13" t="str">
        <f>HYPERLINK("https://my.pitchbook.com?c=183219-31T","View Company Online")</f>
        <v>View Company Online</v>
      </c>
    </row>
    <row r="7650" spans="1:18" hidden="1" x14ac:dyDescent="0.3">
      <c r="A7650" s="9" t="s">
        <v>22524</v>
      </c>
      <c r="B7650" s="9" t="s">
        <v>10777</v>
      </c>
      <c r="C7650" s="11" t="s">
        <v>28</v>
      </c>
      <c r="D7650" s="9" t="s">
        <v>10778</v>
      </c>
      <c r="E7650" s="11" t="s">
        <v>28</v>
      </c>
      <c r="F7650" s="10" t="s">
        <v>28</v>
      </c>
      <c r="G7650" s="10" t="s">
        <v>28</v>
      </c>
      <c r="H7650" s="10" t="s">
        <v>28</v>
      </c>
      <c r="I7650" s="11" t="s">
        <v>28</v>
      </c>
      <c r="J7650" s="11" t="s">
        <v>28</v>
      </c>
      <c r="K7650" s="11" t="s">
        <v>28</v>
      </c>
      <c r="L7650" s="11" t="s">
        <v>28</v>
      </c>
      <c r="M7650" s="11" t="s">
        <v>28</v>
      </c>
      <c r="N7650" s="8">
        <v>43313</v>
      </c>
      <c r="O7650" s="9" t="s">
        <v>52</v>
      </c>
      <c r="P7650" s="12" t="s">
        <v>2915</v>
      </c>
      <c r="Q7650" s="9" t="s">
        <v>37</v>
      </c>
      <c r="R7650" s="14" t="str">
        <f>HYPERLINK("https://my.pitchbook.com?c=194461-66T","View Company Online")</f>
        <v>View Company Online</v>
      </c>
    </row>
    <row r="7651" spans="1:18" hidden="1" x14ac:dyDescent="0.3">
      <c r="A7651" s="15" t="s">
        <v>22525</v>
      </c>
      <c r="B7651" s="15" t="s">
        <v>3343</v>
      </c>
      <c r="C7651" s="18" t="s">
        <v>28</v>
      </c>
      <c r="D7651" s="15" t="s">
        <v>3344</v>
      </c>
      <c r="E7651" s="18" t="s">
        <v>28</v>
      </c>
      <c r="F7651" s="19" t="s">
        <v>28</v>
      </c>
      <c r="G7651" s="19">
        <v>0.28999999999999998</v>
      </c>
      <c r="H7651" s="19">
        <v>2.79</v>
      </c>
      <c r="I7651" s="18" t="s">
        <v>28</v>
      </c>
      <c r="J7651" s="18" t="s">
        <v>28</v>
      </c>
      <c r="K7651" s="18" t="s">
        <v>28</v>
      </c>
      <c r="L7651" s="18" t="s">
        <v>28</v>
      </c>
      <c r="M7651" s="18" t="s">
        <v>28</v>
      </c>
      <c r="N7651" s="17">
        <v>43313</v>
      </c>
      <c r="O7651" s="15" t="s">
        <v>99</v>
      </c>
      <c r="P7651" s="16" t="s">
        <v>28</v>
      </c>
      <c r="Q7651" s="15" t="s">
        <v>37</v>
      </c>
      <c r="R7651" s="13" t="str">
        <f>HYPERLINK("https://my.pitchbook.com?c=195193-72T","View Company Online")</f>
        <v>View Company Online</v>
      </c>
    </row>
    <row r="7652" spans="1:18" hidden="1" x14ac:dyDescent="0.3">
      <c r="A7652" s="9" t="s">
        <v>22526</v>
      </c>
      <c r="B7652" s="9" t="s">
        <v>459</v>
      </c>
      <c r="C7652" s="11" t="s">
        <v>28</v>
      </c>
      <c r="D7652" s="9" t="s">
        <v>460</v>
      </c>
      <c r="E7652" s="11" t="s">
        <v>28</v>
      </c>
      <c r="F7652" s="10" t="s">
        <v>28</v>
      </c>
      <c r="G7652" s="10" t="s">
        <v>28</v>
      </c>
      <c r="H7652" s="10" t="s">
        <v>28</v>
      </c>
      <c r="I7652" s="11" t="s">
        <v>28</v>
      </c>
      <c r="J7652" s="11" t="s">
        <v>28</v>
      </c>
      <c r="K7652" s="11" t="s">
        <v>28</v>
      </c>
      <c r="L7652" s="11" t="s">
        <v>28</v>
      </c>
      <c r="M7652" s="11" t="s">
        <v>28</v>
      </c>
      <c r="N7652" s="8">
        <v>43313</v>
      </c>
      <c r="O7652" s="9" t="s">
        <v>52</v>
      </c>
      <c r="P7652" s="12" t="s">
        <v>3869</v>
      </c>
      <c r="Q7652" s="9" t="s">
        <v>37</v>
      </c>
      <c r="R7652" s="14" t="str">
        <f>HYPERLINK("https://my.pitchbook.com?c=115538-14T","View Company Online")</f>
        <v>View Company Online</v>
      </c>
    </row>
    <row r="7653" spans="1:18" hidden="1" x14ac:dyDescent="0.3">
      <c r="A7653" s="15" t="s">
        <v>22527</v>
      </c>
      <c r="B7653" s="15" t="s">
        <v>6045</v>
      </c>
      <c r="C7653" s="18" t="s">
        <v>28</v>
      </c>
      <c r="D7653" s="15" t="s">
        <v>22528</v>
      </c>
      <c r="E7653" s="18" t="s">
        <v>28</v>
      </c>
      <c r="F7653" s="19" t="s">
        <v>28</v>
      </c>
      <c r="G7653" s="19" t="s">
        <v>28</v>
      </c>
      <c r="H7653" s="19" t="s">
        <v>28</v>
      </c>
      <c r="I7653" s="18" t="s">
        <v>28</v>
      </c>
      <c r="J7653" s="18" t="s">
        <v>28</v>
      </c>
      <c r="K7653" s="18" t="s">
        <v>28</v>
      </c>
      <c r="L7653" s="18" t="s">
        <v>28</v>
      </c>
      <c r="M7653" s="18" t="s">
        <v>28</v>
      </c>
      <c r="N7653" s="17">
        <v>43312</v>
      </c>
      <c r="O7653" s="15" t="s">
        <v>173</v>
      </c>
      <c r="P7653" s="16" t="s">
        <v>28</v>
      </c>
      <c r="Q7653" s="15" t="s">
        <v>240</v>
      </c>
      <c r="R7653" s="13" t="str">
        <f>HYPERLINK("https://my.pitchbook.com?c=227528-20T","View Company Online")</f>
        <v>View Company Online</v>
      </c>
    </row>
    <row r="7654" spans="1:18" hidden="1" x14ac:dyDescent="0.3">
      <c r="A7654" s="9" t="s">
        <v>22529</v>
      </c>
      <c r="B7654" s="9" t="s">
        <v>20992</v>
      </c>
      <c r="C7654" s="11" t="s">
        <v>28</v>
      </c>
      <c r="D7654" s="9" t="s">
        <v>20993</v>
      </c>
      <c r="E7654" s="11" t="s">
        <v>28</v>
      </c>
      <c r="F7654" s="10" t="s">
        <v>28</v>
      </c>
      <c r="G7654" s="10">
        <v>0.65</v>
      </c>
      <c r="H7654" s="10" t="s">
        <v>28</v>
      </c>
      <c r="I7654" s="11" t="s">
        <v>28</v>
      </c>
      <c r="J7654" s="11" t="s">
        <v>28</v>
      </c>
      <c r="K7654" s="11" t="s">
        <v>28</v>
      </c>
      <c r="L7654" s="11" t="s">
        <v>28</v>
      </c>
      <c r="M7654" s="11" t="s">
        <v>28</v>
      </c>
      <c r="N7654" s="8">
        <v>43311</v>
      </c>
      <c r="O7654" s="9" t="s">
        <v>79</v>
      </c>
      <c r="P7654" s="12" t="s">
        <v>22530</v>
      </c>
      <c r="Q7654" s="9" t="s">
        <v>583</v>
      </c>
      <c r="R7654" s="14" t="str">
        <f>HYPERLINK("https://my.pitchbook.com?c=109839-61T","View Company Online")</f>
        <v>View Company Online</v>
      </c>
    </row>
    <row r="7655" spans="1:18" hidden="1" x14ac:dyDescent="0.3">
      <c r="A7655" s="15" t="s">
        <v>22531</v>
      </c>
      <c r="B7655" s="15" t="s">
        <v>22532</v>
      </c>
      <c r="C7655" s="18" t="s">
        <v>28</v>
      </c>
      <c r="D7655" s="15" t="s">
        <v>22533</v>
      </c>
      <c r="E7655" s="18" t="s">
        <v>28</v>
      </c>
      <c r="F7655" s="19" t="s">
        <v>28</v>
      </c>
      <c r="G7655" s="19">
        <v>0.52</v>
      </c>
      <c r="H7655" s="19" t="s">
        <v>28</v>
      </c>
      <c r="I7655" s="18" t="s">
        <v>28</v>
      </c>
      <c r="J7655" s="18" t="s">
        <v>28</v>
      </c>
      <c r="K7655" s="18" t="s">
        <v>28</v>
      </c>
      <c r="L7655" s="18" t="s">
        <v>28</v>
      </c>
      <c r="M7655" s="18" t="s">
        <v>28</v>
      </c>
      <c r="N7655" s="17">
        <v>43311</v>
      </c>
      <c r="O7655" s="15" t="s">
        <v>73</v>
      </c>
      <c r="P7655" s="16" t="s">
        <v>22534</v>
      </c>
      <c r="Q7655" s="15" t="s">
        <v>75</v>
      </c>
      <c r="R7655" s="13" t="str">
        <f>HYPERLINK("https://my.pitchbook.com?c=181491-94T","View Company Online")</f>
        <v>View Company Online</v>
      </c>
    </row>
    <row r="7656" spans="1:18" hidden="1" x14ac:dyDescent="0.3">
      <c r="A7656" s="9" t="s">
        <v>22535</v>
      </c>
      <c r="B7656" s="9" t="s">
        <v>22536</v>
      </c>
      <c r="C7656" s="11" t="s">
        <v>28</v>
      </c>
      <c r="D7656" s="9" t="s">
        <v>22537</v>
      </c>
      <c r="E7656" s="11" t="s">
        <v>28</v>
      </c>
      <c r="F7656" s="10" t="s">
        <v>28</v>
      </c>
      <c r="G7656" s="10" t="s">
        <v>28</v>
      </c>
      <c r="H7656" s="10" t="s">
        <v>28</v>
      </c>
      <c r="I7656" s="11" t="s">
        <v>28</v>
      </c>
      <c r="J7656" s="11" t="s">
        <v>28</v>
      </c>
      <c r="K7656" s="11" t="s">
        <v>28</v>
      </c>
      <c r="L7656" s="11" t="s">
        <v>28</v>
      </c>
      <c r="M7656" s="11" t="s">
        <v>28</v>
      </c>
      <c r="N7656" s="8">
        <v>43309</v>
      </c>
      <c r="O7656" s="9" t="s">
        <v>173</v>
      </c>
      <c r="P7656" s="12" t="s">
        <v>28</v>
      </c>
      <c r="Q7656" s="9" t="s">
        <v>240</v>
      </c>
      <c r="R7656" s="14" t="str">
        <f>HYPERLINK("https://my.pitchbook.com?c=226403-65T","View Company Online")</f>
        <v>View Company Online</v>
      </c>
    </row>
    <row r="7657" spans="1:18" hidden="1" x14ac:dyDescent="0.3">
      <c r="A7657" s="15" t="s">
        <v>22538</v>
      </c>
      <c r="B7657" s="15" t="s">
        <v>22539</v>
      </c>
      <c r="C7657" s="18" t="s">
        <v>28</v>
      </c>
      <c r="D7657" s="15" t="s">
        <v>22540</v>
      </c>
      <c r="E7657" s="18" t="s">
        <v>28</v>
      </c>
      <c r="F7657" s="19" t="s">
        <v>28</v>
      </c>
      <c r="G7657" s="19" t="s">
        <v>28</v>
      </c>
      <c r="H7657" s="19" t="s">
        <v>28</v>
      </c>
      <c r="I7657" s="18" t="s">
        <v>28</v>
      </c>
      <c r="J7657" s="18" t="s">
        <v>28</v>
      </c>
      <c r="K7657" s="18" t="s">
        <v>28</v>
      </c>
      <c r="L7657" s="18" t="s">
        <v>28</v>
      </c>
      <c r="M7657" s="18" t="s">
        <v>28</v>
      </c>
      <c r="N7657" s="17">
        <v>43308</v>
      </c>
      <c r="O7657" s="15" t="s">
        <v>173</v>
      </c>
      <c r="P7657" s="16" t="s">
        <v>28</v>
      </c>
      <c r="Q7657" s="15" t="s">
        <v>240</v>
      </c>
      <c r="R7657" s="13" t="str">
        <f>HYPERLINK("https://my.pitchbook.com?c=223304-95T","View Company Online")</f>
        <v>View Company Online</v>
      </c>
    </row>
    <row r="7658" spans="1:18" hidden="1" x14ac:dyDescent="0.3">
      <c r="A7658" s="9" t="s">
        <v>22541</v>
      </c>
      <c r="B7658" s="9" t="s">
        <v>22542</v>
      </c>
      <c r="C7658" s="11" t="s">
        <v>28</v>
      </c>
      <c r="D7658" s="9" t="s">
        <v>22543</v>
      </c>
      <c r="E7658" s="11" t="s">
        <v>28</v>
      </c>
      <c r="F7658" s="10">
        <v>0.01</v>
      </c>
      <c r="G7658" s="10">
        <v>0.01</v>
      </c>
      <c r="H7658" s="10">
        <v>0.01</v>
      </c>
      <c r="I7658" s="11" t="s">
        <v>28</v>
      </c>
      <c r="J7658" s="11" t="s">
        <v>28</v>
      </c>
      <c r="K7658" s="11" t="s">
        <v>28</v>
      </c>
      <c r="L7658" s="11" t="s">
        <v>28</v>
      </c>
      <c r="M7658" s="11" t="s">
        <v>28</v>
      </c>
      <c r="N7658" s="8">
        <v>43307</v>
      </c>
      <c r="O7658" s="9" t="s">
        <v>30</v>
      </c>
      <c r="P7658" s="12" t="s">
        <v>22544</v>
      </c>
      <c r="Q7658" s="9" t="s">
        <v>348</v>
      </c>
      <c r="R7658" s="14" t="str">
        <f>HYPERLINK("https://my.pitchbook.com?c=109650-07T","View Company Online")</f>
        <v>View Company Online</v>
      </c>
    </row>
    <row r="7659" spans="1:18" hidden="1" x14ac:dyDescent="0.3">
      <c r="A7659" s="15" t="s">
        <v>22545</v>
      </c>
      <c r="B7659" s="15" t="s">
        <v>13747</v>
      </c>
      <c r="C7659" s="18" t="s">
        <v>28</v>
      </c>
      <c r="D7659" s="15" t="s">
        <v>13748</v>
      </c>
      <c r="E7659" s="18">
        <v>-5.2</v>
      </c>
      <c r="F7659" s="19" t="s">
        <v>28</v>
      </c>
      <c r="G7659" s="19">
        <v>5.55</v>
      </c>
      <c r="H7659" s="19" t="s">
        <v>28</v>
      </c>
      <c r="I7659" s="18">
        <v>-4.49</v>
      </c>
      <c r="J7659" s="18" t="s">
        <v>28</v>
      </c>
      <c r="K7659" s="18">
        <v>10.67</v>
      </c>
      <c r="L7659" s="18" t="s">
        <v>28</v>
      </c>
      <c r="M7659" s="18">
        <v>-5.5</v>
      </c>
      <c r="N7659" s="17">
        <v>43307</v>
      </c>
      <c r="O7659" s="15" t="s">
        <v>79</v>
      </c>
      <c r="P7659" s="16" t="s">
        <v>22546</v>
      </c>
      <c r="Q7659" s="15" t="s">
        <v>740</v>
      </c>
      <c r="R7659" s="13" t="str">
        <f>HYPERLINK("https://my.pitchbook.com?c=109597-06T","View Company Online")</f>
        <v>View Company Online</v>
      </c>
    </row>
    <row r="7660" spans="1:18" hidden="1" x14ac:dyDescent="0.3">
      <c r="A7660" s="9" t="s">
        <v>22547</v>
      </c>
      <c r="B7660" s="9" t="s">
        <v>22548</v>
      </c>
      <c r="C7660" s="11" t="s">
        <v>28</v>
      </c>
      <c r="D7660" s="9" t="s">
        <v>22549</v>
      </c>
      <c r="E7660" s="11" t="s">
        <v>28</v>
      </c>
      <c r="F7660" s="10">
        <v>9.16</v>
      </c>
      <c r="G7660" s="10">
        <v>4.67</v>
      </c>
      <c r="H7660" s="10">
        <v>9.16</v>
      </c>
      <c r="I7660" s="11" t="s">
        <v>28</v>
      </c>
      <c r="J7660" s="11" t="s">
        <v>28</v>
      </c>
      <c r="K7660" s="11" t="s">
        <v>28</v>
      </c>
      <c r="L7660" s="11" t="s">
        <v>28</v>
      </c>
      <c r="M7660" s="11" t="s">
        <v>28</v>
      </c>
      <c r="N7660" s="8">
        <v>43307</v>
      </c>
      <c r="O7660" s="9" t="s">
        <v>30</v>
      </c>
      <c r="P7660" s="12" t="s">
        <v>22550</v>
      </c>
      <c r="Q7660" s="9" t="s">
        <v>114</v>
      </c>
      <c r="R7660" s="14" t="str">
        <f>HYPERLINK("https://my.pitchbook.com?c=117502-12T","View Company Online")</f>
        <v>View Company Online</v>
      </c>
    </row>
    <row r="7661" spans="1:18" hidden="1" x14ac:dyDescent="0.3">
      <c r="A7661" s="15" t="s">
        <v>22551</v>
      </c>
      <c r="B7661" s="15" t="s">
        <v>12669</v>
      </c>
      <c r="C7661" s="18" t="s">
        <v>28</v>
      </c>
      <c r="D7661" s="15" t="s">
        <v>12670</v>
      </c>
      <c r="E7661" s="18" t="s">
        <v>28</v>
      </c>
      <c r="F7661" s="19" t="s">
        <v>28</v>
      </c>
      <c r="G7661" s="19">
        <v>0.42</v>
      </c>
      <c r="H7661" s="19" t="s">
        <v>28</v>
      </c>
      <c r="I7661" s="18" t="s">
        <v>28</v>
      </c>
      <c r="J7661" s="18" t="s">
        <v>28</v>
      </c>
      <c r="K7661" s="18" t="s">
        <v>28</v>
      </c>
      <c r="L7661" s="18" t="s">
        <v>28</v>
      </c>
      <c r="M7661" s="18" t="s">
        <v>28</v>
      </c>
      <c r="N7661" s="17">
        <v>43306</v>
      </c>
      <c r="O7661" s="15" t="s">
        <v>1639</v>
      </c>
      <c r="P7661" s="16" t="s">
        <v>28</v>
      </c>
      <c r="Q7661" s="15" t="s">
        <v>75</v>
      </c>
      <c r="R7661" s="13" t="str">
        <f>HYPERLINK("https://my.pitchbook.com?c=122943-79T","View Company Online")</f>
        <v>View Company Online</v>
      </c>
    </row>
    <row r="7662" spans="1:18" hidden="1" x14ac:dyDescent="0.3">
      <c r="A7662" s="9" t="s">
        <v>22552</v>
      </c>
      <c r="B7662" s="9" t="s">
        <v>22553</v>
      </c>
      <c r="C7662" s="11" t="s">
        <v>28</v>
      </c>
      <c r="D7662" s="9" t="s">
        <v>22554</v>
      </c>
      <c r="E7662" s="11" t="s">
        <v>28</v>
      </c>
      <c r="F7662" s="10" t="s">
        <v>28</v>
      </c>
      <c r="G7662" s="10" t="s">
        <v>28</v>
      </c>
      <c r="H7662" s="10" t="s">
        <v>28</v>
      </c>
      <c r="I7662" s="11" t="s">
        <v>28</v>
      </c>
      <c r="J7662" s="11" t="s">
        <v>28</v>
      </c>
      <c r="K7662" s="11" t="s">
        <v>28</v>
      </c>
      <c r="L7662" s="11" t="s">
        <v>28</v>
      </c>
      <c r="M7662" s="11" t="s">
        <v>28</v>
      </c>
      <c r="N7662" s="8">
        <v>43305</v>
      </c>
      <c r="O7662" s="9" t="s">
        <v>41</v>
      </c>
      <c r="P7662" s="12" t="s">
        <v>22555</v>
      </c>
      <c r="Q7662" s="9" t="s">
        <v>245</v>
      </c>
      <c r="R7662" s="14" t="str">
        <f>HYPERLINK("https://my.pitchbook.com?c=109588-96T","View Company Online")</f>
        <v>View Company Online</v>
      </c>
    </row>
    <row r="7663" spans="1:18" hidden="1" x14ac:dyDescent="0.3">
      <c r="A7663" s="15" t="s">
        <v>22556</v>
      </c>
      <c r="B7663" s="15" t="s">
        <v>21780</v>
      </c>
      <c r="C7663" s="18" t="s">
        <v>28</v>
      </c>
      <c r="D7663" s="15" t="s">
        <v>21781</v>
      </c>
      <c r="E7663" s="18" t="s">
        <v>28</v>
      </c>
      <c r="F7663" s="19" t="s">
        <v>28</v>
      </c>
      <c r="G7663" s="19" t="s">
        <v>28</v>
      </c>
      <c r="H7663" s="19" t="s">
        <v>28</v>
      </c>
      <c r="I7663" s="18" t="s">
        <v>28</v>
      </c>
      <c r="J7663" s="18" t="s">
        <v>28</v>
      </c>
      <c r="K7663" s="18" t="s">
        <v>28</v>
      </c>
      <c r="L7663" s="18" t="s">
        <v>28</v>
      </c>
      <c r="M7663" s="18" t="s">
        <v>28</v>
      </c>
      <c r="N7663" s="17">
        <v>43305</v>
      </c>
      <c r="O7663" s="15" t="s">
        <v>52</v>
      </c>
      <c r="P7663" s="16" t="s">
        <v>22557</v>
      </c>
      <c r="Q7663" s="15" t="s">
        <v>75</v>
      </c>
      <c r="R7663" s="13" t="str">
        <f>HYPERLINK("https://my.pitchbook.com?c=158497-66T","View Company Online")</f>
        <v>View Company Online</v>
      </c>
    </row>
    <row r="7664" spans="1:18" hidden="1" x14ac:dyDescent="0.3">
      <c r="A7664" s="9" t="s">
        <v>22558</v>
      </c>
      <c r="B7664" s="9" t="s">
        <v>22559</v>
      </c>
      <c r="C7664" s="11" t="s">
        <v>28</v>
      </c>
      <c r="D7664" s="9" t="s">
        <v>22560</v>
      </c>
      <c r="E7664" s="11" t="s">
        <v>28</v>
      </c>
      <c r="F7664" s="10" t="s">
        <v>28</v>
      </c>
      <c r="G7664" s="10" t="s">
        <v>28</v>
      </c>
      <c r="H7664" s="10" t="s">
        <v>28</v>
      </c>
      <c r="I7664" s="11" t="s">
        <v>28</v>
      </c>
      <c r="J7664" s="11" t="s">
        <v>28</v>
      </c>
      <c r="K7664" s="11" t="s">
        <v>28</v>
      </c>
      <c r="L7664" s="11" t="s">
        <v>28</v>
      </c>
      <c r="M7664" s="11" t="s">
        <v>28</v>
      </c>
      <c r="N7664" s="8">
        <v>43304</v>
      </c>
      <c r="O7664" s="9" t="s">
        <v>41</v>
      </c>
      <c r="P7664" s="12" t="s">
        <v>22561</v>
      </c>
      <c r="Q7664" s="9" t="s">
        <v>616</v>
      </c>
      <c r="R7664" s="14" t="str">
        <f>HYPERLINK("https://my.pitchbook.com?c=112024-99T","View Company Online")</f>
        <v>View Company Online</v>
      </c>
    </row>
    <row r="7665" spans="1:18" hidden="1" x14ac:dyDescent="0.3">
      <c r="A7665" s="15" t="s">
        <v>22562</v>
      </c>
      <c r="B7665" s="15" t="s">
        <v>5865</v>
      </c>
      <c r="C7665" s="18" t="s">
        <v>28</v>
      </c>
      <c r="D7665" s="15" t="s">
        <v>5866</v>
      </c>
      <c r="E7665" s="18" t="s">
        <v>28</v>
      </c>
      <c r="F7665" s="19">
        <v>123.92</v>
      </c>
      <c r="G7665" s="19">
        <v>123.92</v>
      </c>
      <c r="H7665" s="19">
        <v>123.92</v>
      </c>
      <c r="I7665" s="18" t="s">
        <v>28</v>
      </c>
      <c r="J7665" s="18" t="s">
        <v>28</v>
      </c>
      <c r="K7665" s="18" t="s">
        <v>28</v>
      </c>
      <c r="L7665" s="18" t="s">
        <v>28</v>
      </c>
      <c r="M7665" s="18" t="s">
        <v>28</v>
      </c>
      <c r="N7665" s="17">
        <v>43303</v>
      </c>
      <c r="O7665" s="15" t="s">
        <v>41</v>
      </c>
      <c r="P7665" s="16" t="s">
        <v>8652</v>
      </c>
      <c r="Q7665" s="15" t="s">
        <v>470</v>
      </c>
      <c r="R7665" s="13" t="str">
        <f>HYPERLINK("https://my.pitchbook.com?c=110553-13T","View Company Online")</f>
        <v>View Company Online</v>
      </c>
    </row>
    <row r="7666" spans="1:18" hidden="1" x14ac:dyDescent="0.3">
      <c r="A7666" s="9" t="s">
        <v>22563</v>
      </c>
      <c r="B7666" s="9" t="s">
        <v>22564</v>
      </c>
      <c r="C7666" s="11" t="s">
        <v>28</v>
      </c>
      <c r="D7666" s="9" t="s">
        <v>22565</v>
      </c>
      <c r="E7666" s="11" t="s">
        <v>28</v>
      </c>
      <c r="F7666" s="10" t="s">
        <v>28</v>
      </c>
      <c r="G7666" s="10" t="s">
        <v>28</v>
      </c>
      <c r="H7666" s="10" t="s">
        <v>28</v>
      </c>
      <c r="I7666" s="11" t="s">
        <v>28</v>
      </c>
      <c r="J7666" s="11" t="s">
        <v>28</v>
      </c>
      <c r="K7666" s="11">
        <v>1200</v>
      </c>
      <c r="L7666" s="11" t="s">
        <v>28</v>
      </c>
      <c r="M7666" s="11" t="s">
        <v>28</v>
      </c>
      <c r="N7666" s="8">
        <v>43301</v>
      </c>
      <c r="O7666" s="9" t="s">
        <v>30</v>
      </c>
      <c r="P7666" s="12" t="s">
        <v>28</v>
      </c>
      <c r="Q7666" s="9" t="s">
        <v>900</v>
      </c>
      <c r="R7666" s="14" t="str">
        <f>HYPERLINK("https://my.pitchbook.com?c=110166-22T","View Company Online")</f>
        <v>View Company Online</v>
      </c>
    </row>
    <row r="7667" spans="1:18" hidden="1" x14ac:dyDescent="0.3">
      <c r="A7667" s="15" t="s">
        <v>22566</v>
      </c>
      <c r="B7667" s="15" t="s">
        <v>8699</v>
      </c>
      <c r="C7667" s="18" t="s">
        <v>28</v>
      </c>
      <c r="D7667" s="15" t="s">
        <v>8700</v>
      </c>
      <c r="E7667" s="18" t="s">
        <v>28</v>
      </c>
      <c r="F7667" s="19" t="s">
        <v>28</v>
      </c>
      <c r="G7667" s="19" t="s">
        <v>28</v>
      </c>
      <c r="H7667" s="19" t="s">
        <v>28</v>
      </c>
      <c r="I7667" s="18" t="s">
        <v>28</v>
      </c>
      <c r="J7667" s="18" t="s">
        <v>28</v>
      </c>
      <c r="K7667" s="18" t="s">
        <v>28</v>
      </c>
      <c r="L7667" s="18" t="s">
        <v>28</v>
      </c>
      <c r="M7667" s="18" t="s">
        <v>28</v>
      </c>
      <c r="N7667" s="17">
        <v>43301</v>
      </c>
      <c r="O7667" s="15" t="s">
        <v>93</v>
      </c>
      <c r="P7667" s="16" t="s">
        <v>3869</v>
      </c>
      <c r="Q7667" s="15" t="s">
        <v>75</v>
      </c>
      <c r="R7667" s="13" t="str">
        <f>HYPERLINK("https://my.pitchbook.com?c=115541-20T","View Company Online")</f>
        <v>View Company Online</v>
      </c>
    </row>
    <row r="7668" spans="1:18" hidden="1" x14ac:dyDescent="0.3">
      <c r="A7668" s="9" t="s">
        <v>22567</v>
      </c>
      <c r="B7668" s="9" t="s">
        <v>15575</v>
      </c>
      <c r="C7668" s="11" t="s">
        <v>28</v>
      </c>
      <c r="D7668" s="9" t="s">
        <v>15576</v>
      </c>
      <c r="E7668" s="11" t="s">
        <v>28</v>
      </c>
      <c r="F7668" s="10" t="s">
        <v>28</v>
      </c>
      <c r="G7668" s="10">
        <v>0.52</v>
      </c>
      <c r="H7668" s="10" t="s">
        <v>28</v>
      </c>
      <c r="I7668" s="11" t="s">
        <v>28</v>
      </c>
      <c r="J7668" s="11" t="s">
        <v>28</v>
      </c>
      <c r="K7668" s="11" t="s">
        <v>28</v>
      </c>
      <c r="L7668" s="11" t="s">
        <v>28</v>
      </c>
      <c r="M7668" s="11" t="s">
        <v>28</v>
      </c>
      <c r="N7668" s="8">
        <v>43301</v>
      </c>
      <c r="O7668" s="9" t="s">
        <v>99</v>
      </c>
      <c r="P7668" s="12" t="s">
        <v>22568</v>
      </c>
      <c r="Q7668" s="9" t="s">
        <v>37</v>
      </c>
      <c r="R7668" s="14" t="str">
        <f>HYPERLINK("https://my.pitchbook.com?c=109759-24T","View Company Online")</f>
        <v>View Company Online</v>
      </c>
    </row>
    <row r="7669" spans="1:18" hidden="1" x14ac:dyDescent="0.3">
      <c r="A7669" s="15" t="s">
        <v>22569</v>
      </c>
      <c r="B7669" s="15" t="s">
        <v>888</v>
      </c>
      <c r="C7669" s="18" t="s">
        <v>28</v>
      </c>
      <c r="D7669" s="15" t="s">
        <v>12240</v>
      </c>
      <c r="E7669" s="18" t="s">
        <v>28</v>
      </c>
      <c r="F7669" s="19" t="s">
        <v>28</v>
      </c>
      <c r="G7669" s="19">
        <v>0.06</v>
      </c>
      <c r="H7669" s="19" t="s">
        <v>28</v>
      </c>
      <c r="I7669" s="18" t="s">
        <v>28</v>
      </c>
      <c r="J7669" s="18" t="s">
        <v>28</v>
      </c>
      <c r="K7669" s="18" t="s">
        <v>28</v>
      </c>
      <c r="L7669" s="18" t="s">
        <v>28</v>
      </c>
      <c r="M7669" s="18" t="s">
        <v>28</v>
      </c>
      <c r="N7669" s="17">
        <v>43300</v>
      </c>
      <c r="O7669" s="15" t="s">
        <v>52</v>
      </c>
      <c r="P7669" s="16" t="s">
        <v>22570</v>
      </c>
      <c r="Q7669" s="15" t="s">
        <v>213</v>
      </c>
      <c r="R7669" s="13" t="str">
        <f>HYPERLINK("https://my.pitchbook.com?c=137354-05T","View Company Online")</f>
        <v>View Company Online</v>
      </c>
    </row>
    <row r="7670" spans="1:18" hidden="1" x14ac:dyDescent="0.3">
      <c r="A7670" s="9" t="s">
        <v>22571</v>
      </c>
      <c r="B7670" s="9" t="s">
        <v>22572</v>
      </c>
      <c r="C7670" s="11" t="s">
        <v>28</v>
      </c>
      <c r="D7670" s="9" t="s">
        <v>22573</v>
      </c>
      <c r="E7670" s="11" t="s">
        <v>28</v>
      </c>
      <c r="F7670" s="10" t="s">
        <v>28</v>
      </c>
      <c r="G7670" s="10" t="s">
        <v>28</v>
      </c>
      <c r="H7670" s="10" t="s">
        <v>28</v>
      </c>
      <c r="I7670" s="11" t="s">
        <v>28</v>
      </c>
      <c r="J7670" s="11" t="s">
        <v>28</v>
      </c>
      <c r="K7670" s="11" t="s">
        <v>28</v>
      </c>
      <c r="L7670" s="11" t="s">
        <v>28</v>
      </c>
      <c r="M7670" s="11" t="s">
        <v>28</v>
      </c>
      <c r="N7670" s="8">
        <v>43300</v>
      </c>
      <c r="O7670" s="9" t="s">
        <v>30</v>
      </c>
      <c r="P7670" s="12" t="s">
        <v>22574</v>
      </c>
      <c r="Q7670" s="9" t="s">
        <v>54</v>
      </c>
      <c r="R7670" s="14" t="str">
        <f>HYPERLINK("https://my.pitchbook.com?c=155803-42T","View Company Online")</f>
        <v>View Company Online</v>
      </c>
    </row>
    <row r="7671" spans="1:18" hidden="1" x14ac:dyDescent="0.3">
      <c r="A7671" s="15" t="s">
        <v>22575</v>
      </c>
      <c r="B7671" s="15" t="s">
        <v>15179</v>
      </c>
      <c r="C7671" s="18" t="s">
        <v>28</v>
      </c>
      <c r="D7671" s="15" t="s">
        <v>15180</v>
      </c>
      <c r="E7671" s="18" t="s">
        <v>28</v>
      </c>
      <c r="F7671" s="19" t="s">
        <v>28</v>
      </c>
      <c r="G7671" s="19">
        <v>0.91</v>
      </c>
      <c r="H7671" s="19" t="s">
        <v>28</v>
      </c>
      <c r="I7671" s="18" t="s">
        <v>28</v>
      </c>
      <c r="J7671" s="18" t="s">
        <v>28</v>
      </c>
      <c r="K7671" s="18" t="s">
        <v>28</v>
      </c>
      <c r="L7671" s="18" t="s">
        <v>28</v>
      </c>
      <c r="M7671" s="18" t="s">
        <v>28</v>
      </c>
      <c r="N7671" s="17">
        <v>43300</v>
      </c>
      <c r="O7671" s="15" t="s">
        <v>79</v>
      </c>
      <c r="P7671" s="16" t="s">
        <v>22576</v>
      </c>
      <c r="Q7671" s="15" t="s">
        <v>37</v>
      </c>
      <c r="R7671" s="13" t="str">
        <f>HYPERLINK("https://my.pitchbook.com?c=112202-92T","View Company Online")</f>
        <v>View Company Online</v>
      </c>
    </row>
    <row r="7672" spans="1:18" hidden="1" x14ac:dyDescent="0.3">
      <c r="A7672" s="9" t="s">
        <v>22577</v>
      </c>
      <c r="B7672" s="9" t="s">
        <v>985</v>
      </c>
      <c r="C7672" s="11" t="s">
        <v>28</v>
      </c>
      <c r="D7672" s="9" t="s">
        <v>986</v>
      </c>
      <c r="E7672" s="11" t="s">
        <v>28</v>
      </c>
      <c r="F7672" s="10" t="s">
        <v>28</v>
      </c>
      <c r="G7672" s="10" t="s">
        <v>28</v>
      </c>
      <c r="H7672" s="10" t="s">
        <v>28</v>
      </c>
      <c r="I7672" s="11" t="s">
        <v>28</v>
      </c>
      <c r="J7672" s="11" t="s">
        <v>28</v>
      </c>
      <c r="K7672" s="11" t="s">
        <v>28</v>
      </c>
      <c r="L7672" s="11" t="s">
        <v>28</v>
      </c>
      <c r="M7672" s="11" t="s">
        <v>28</v>
      </c>
      <c r="N7672" s="8">
        <v>43299</v>
      </c>
      <c r="O7672" s="9" t="s">
        <v>79</v>
      </c>
      <c r="P7672" s="12" t="s">
        <v>22578</v>
      </c>
      <c r="Q7672" s="9" t="s">
        <v>37</v>
      </c>
      <c r="R7672" s="14" t="str">
        <f>HYPERLINK("https://my.pitchbook.com?c=113332-15T","View Company Online")</f>
        <v>View Company Online</v>
      </c>
    </row>
    <row r="7673" spans="1:18" hidden="1" x14ac:dyDescent="0.3">
      <c r="A7673" s="15" t="s">
        <v>22579</v>
      </c>
      <c r="B7673" s="15" t="s">
        <v>22580</v>
      </c>
      <c r="C7673" s="18" t="s">
        <v>28</v>
      </c>
      <c r="D7673" s="15" t="s">
        <v>22581</v>
      </c>
      <c r="E7673" s="18" t="s">
        <v>28</v>
      </c>
      <c r="F7673" s="19" t="s">
        <v>28</v>
      </c>
      <c r="G7673" s="19" t="s">
        <v>28</v>
      </c>
      <c r="H7673" s="19" t="s">
        <v>28</v>
      </c>
      <c r="I7673" s="18" t="s">
        <v>28</v>
      </c>
      <c r="J7673" s="18" t="s">
        <v>28</v>
      </c>
      <c r="K7673" s="18">
        <v>0.56999999999999995</v>
      </c>
      <c r="L7673" s="18" t="s">
        <v>28</v>
      </c>
      <c r="M7673" s="18">
        <v>-0.3</v>
      </c>
      <c r="N7673" s="17">
        <v>43299</v>
      </c>
      <c r="O7673" s="15" t="s">
        <v>173</v>
      </c>
      <c r="P7673" s="16" t="s">
        <v>28</v>
      </c>
      <c r="Q7673" s="15" t="s">
        <v>240</v>
      </c>
      <c r="R7673" s="13" t="str">
        <f>HYPERLINK("https://my.pitchbook.com?c=227694-88T","View Company Online")</f>
        <v>View Company Online</v>
      </c>
    </row>
    <row r="7674" spans="1:18" hidden="1" x14ac:dyDescent="0.3">
      <c r="A7674" s="9" t="s">
        <v>22582</v>
      </c>
      <c r="B7674" s="9" t="s">
        <v>22583</v>
      </c>
      <c r="C7674" s="11" t="s">
        <v>28</v>
      </c>
      <c r="D7674" s="9" t="s">
        <v>22584</v>
      </c>
      <c r="E7674" s="11" t="s">
        <v>28</v>
      </c>
      <c r="F7674" s="10" t="s">
        <v>28</v>
      </c>
      <c r="G7674" s="10">
        <v>1.3</v>
      </c>
      <c r="H7674" s="10" t="s">
        <v>28</v>
      </c>
      <c r="I7674" s="11" t="s">
        <v>28</v>
      </c>
      <c r="J7674" s="11" t="s">
        <v>28</v>
      </c>
      <c r="K7674" s="11" t="s">
        <v>28</v>
      </c>
      <c r="L7674" s="11" t="s">
        <v>28</v>
      </c>
      <c r="M7674" s="11" t="s">
        <v>28</v>
      </c>
      <c r="N7674" s="8">
        <v>43298</v>
      </c>
      <c r="O7674" s="9" t="s">
        <v>79</v>
      </c>
      <c r="P7674" s="12" t="s">
        <v>22585</v>
      </c>
      <c r="Q7674" s="9" t="s">
        <v>95</v>
      </c>
      <c r="R7674" s="14" t="str">
        <f>HYPERLINK("https://my.pitchbook.com?c=109395-46T","View Company Online")</f>
        <v>View Company Online</v>
      </c>
    </row>
    <row r="7675" spans="1:18" hidden="1" x14ac:dyDescent="0.3">
      <c r="A7675" s="15" t="s">
        <v>22586</v>
      </c>
      <c r="B7675" s="15" t="s">
        <v>3343</v>
      </c>
      <c r="C7675" s="18" t="s">
        <v>28</v>
      </c>
      <c r="D7675" s="15" t="s">
        <v>3344</v>
      </c>
      <c r="E7675" s="18" t="s">
        <v>28</v>
      </c>
      <c r="F7675" s="19" t="s">
        <v>28</v>
      </c>
      <c r="G7675" s="19" t="s">
        <v>28</v>
      </c>
      <c r="H7675" s="19" t="s">
        <v>28</v>
      </c>
      <c r="I7675" s="18" t="s">
        <v>28</v>
      </c>
      <c r="J7675" s="18" t="s">
        <v>28</v>
      </c>
      <c r="K7675" s="18" t="s">
        <v>28</v>
      </c>
      <c r="L7675" s="18" t="s">
        <v>28</v>
      </c>
      <c r="M7675" s="18" t="s">
        <v>28</v>
      </c>
      <c r="N7675" s="17">
        <v>43298</v>
      </c>
      <c r="O7675" s="15" t="s">
        <v>52</v>
      </c>
      <c r="P7675" s="16" t="s">
        <v>22587</v>
      </c>
      <c r="Q7675" s="15" t="s">
        <v>37</v>
      </c>
      <c r="R7675" s="13" t="str">
        <f>HYPERLINK("https://my.pitchbook.com?c=110813-68T","View Company Online")</f>
        <v>View Company Online</v>
      </c>
    </row>
    <row r="7676" spans="1:18" hidden="1" x14ac:dyDescent="0.3">
      <c r="A7676" s="9" t="s">
        <v>22588</v>
      </c>
      <c r="B7676" s="9" t="s">
        <v>3343</v>
      </c>
      <c r="C7676" s="11" t="s">
        <v>28</v>
      </c>
      <c r="D7676" s="9" t="s">
        <v>3344</v>
      </c>
      <c r="E7676" s="11" t="s">
        <v>28</v>
      </c>
      <c r="F7676" s="10" t="s">
        <v>28</v>
      </c>
      <c r="G7676" s="10">
        <v>0.02</v>
      </c>
      <c r="H7676" s="10" t="s">
        <v>28</v>
      </c>
      <c r="I7676" s="11" t="s">
        <v>28</v>
      </c>
      <c r="J7676" s="11" t="s">
        <v>28</v>
      </c>
      <c r="K7676" s="11" t="s">
        <v>28</v>
      </c>
      <c r="L7676" s="11" t="s">
        <v>28</v>
      </c>
      <c r="M7676" s="11" t="s">
        <v>28</v>
      </c>
      <c r="N7676" s="8">
        <v>43297</v>
      </c>
      <c r="O7676" s="9" t="s">
        <v>52</v>
      </c>
      <c r="P7676" s="12" t="s">
        <v>22589</v>
      </c>
      <c r="Q7676" s="9" t="s">
        <v>37</v>
      </c>
      <c r="R7676" s="14" t="str">
        <f>HYPERLINK("https://my.pitchbook.com?c=110813-14T","View Company Online")</f>
        <v>View Company Online</v>
      </c>
    </row>
    <row r="7677" spans="1:18" hidden="1" x14ac:dyDescent="0.3">
      <c r="A7677" s="15" t="s">
        <v>22590</v>
      </c>
      <c r="B7677" s="15" t="s">
        <v>1775</v>
      </c>
      <c r="C7677" s="18" t="s">
        <v>28</v>
      </c>
      <c r="D7677" s="15" t="s">
        <v>1776</v>
      </c>
      <c r="E7677" s="18" t="s">
        <v>28</v>
      </c>
      <c r="F7677" s="19" t="s">
        <v>28</v>
      </c>
      <c r="G7677" s="19">
        <v>0.15</v>
      </c>
      <c r="H7677" s="19" t="s">
        <v>28</v>
      </c>
      <c r="I7677" s="18" t="s">
        <v>28</v>
      </c>
      <c r="J7677" s="18" t="s">
        <v>28</v>
      </c>
      <c r="K7677" s="18" t="s">
        <v>28</v>
      </c>
      <c r="L7677" s="18" t="s">
        <v>28</v>
      </c>
      <c r="M7677" s="18" t="s">
        <v>28</v>
      </c>
      <c r="N7677" s="17">
        <v>43296</v>
      </c>
      <c r="O7677" s="15" t="s">
        <v>47</v>
      </c>
      <c r="P7677" s="16" t="s">
        <v>28</v>
      </c>
      <c r="Q7677" s="15" t="s">
        <v>37</v>
      </c>
      <c r="R7677" s="13" t="str">
        <f>HYPERLINK("https://my.pitchbook.com?c=193237-12T","View Company Online")</f>
        <v>View Company Online</v>
      </c>
    </row>
    <row r="7678" spans="1:18" hidden="1" x14ac:dyDescent="0.3">
      <c r="A7678" s="9" t="s">
        <v>22591</v>
      </c>
      <c r="B7678" s="9" t="s">
        <v>22592</v>
      </c>
      <c r="C7678" s="11" t="s">
        <v>28</v>
      </c>
      <c r="D7678" s="9" t="s">
        <v>22593</v>
      </c>
      <c r="E7678" s="11" t="s">
        <v>28</v>
      </c>
      <c r="F7678" s="10" t="s">
        <v>28</v>
      </c>
      <c r="G7678" s="10">
        <v>0.26</v>
      </c>
      <c r="H7678" s="10" t="s">
        <v>28</v>
      </c>
      <c r="I7678" s="11" t="s">
        <v>28</v>
      </c>
      <c r="J7678" s="11" t="s">
        <v>28</v>
      </c>
      <c r="K7678" s="11" t="s">
        <v>28</v>
      </c>
      <c r="L7678" s="11" t="s">
        <v>28</v>
      </c>
      <c r="M7678" s="11" t="s">
        <v>28</v>
      </c>
      <c r="N7678" s="8">
        <v>43295</v>
      </c>
      <c r="O7678" s="9" t="s">
        <v>379</v>
      </c>
      <c r="P7678" s="12" t="s">
        <v>28</v>
      </c>
      <c r="Q7678" s="9" t="s">
        <v>37</v>
      </c>
      <c r="R7678" s="14" t="str">
        <f>HYPERLINK("https://my.pitchbook.com?c=109477-99T","View Company Online")</f>
        <v>View Company Online</v>
      </c>
    </row>
    <row r="7679" spans="1:18" hidden="1" x14ac:dyDescent="0.3">
      <c r="A7679" s="15" t="s">
        <v>22594</v>
      </c>
      <c r="B7679" s="15" t="s">
        <v>5312</v>
      </c>
      <c r="C7679" s="18" t="s">
        <v>28</v>
      </c>
      <c r="D7679" s="15" t="s">
        <v>5313</v>
      </c>
      <c r="E7679" s="18" t="s">
        <v>28</v>
      </c>
      <c r="F7679" s="19" t="s">
        <v>28</v>
      </c>
      <c r="G7679" s="19">
        <v>14.1</v>
      </c>
      <c r="H7679" s="19" t="s">
        <v>28</v>
      </c>
      <c r="I7679" s="18" t="s">
        <v>28</v>
      </c>
      <c r="J7679" s="18" t="s">
        <v>28</v>
      </c>
      <c r="K7679" s="18" t="s">
        <v>28</v>
      </c>
      <c r="L7679" s="18" t="s">
        <v>28</v>
      </c>
      <c r="M7679" s="18" t="s">
        <v>28</v>
      </c>
      <c r="N7679" s="17">
        <v>43293</v>
      </c>
      <c r="O7679" s="15" t="s">
        <v>73</v>
      </c>
      <c r="P7679" s="16" t="s">
        <v>22595</v>
      </c>
      <c r="Q7679" s="15" t="s">
        <v>119</v>
      </c>
      <c r="R7679" s="13" t="str">
        <f>HYPERLINK("https://my.pitchbook.com?c=114863-32T","View Company Online")</f>
        <v>View Company Online</v>
      </c>
    </row>
    <row r="7680" spans="1:18" hidden="1" x14ac:dyDescent="0.3">
      <c r="A7680" s="9" t="s">
        <v>22596</v>
      </c>
      <c r="B7680" s="9" t="s">
        <v>22597</v>
      </c>
      <c r="C7680" s="11" t="s">
        <v>28</v>
      </c>
      <c r="D7680" s="9" t="s">
        <v>22598</v>
      </c>
      <c r="E7680" s="11" t="s">
        <v>28</v>
      </c>
      <c r="F7680" s="10" t="s">
        <v>28</v>
      </c>
      <c r="G7680" s="10" t="s">
        <v>28</v>
      </c>
      <c r="H7680" s="10" t="s">
        <v>28</v>
      </c>
      <c r="I7680" s="11" t="s">
        <v>28</v>
      </c>
      <c r="J7680" s="11" t="s">
        <v>28</v>
      </c>
      <c r="K7680" s="11" t="s">
        <v>28</v>
      </c>
      <c r="L7680" s="11" t="s">
        <v>28</v>
      </c>
      <c r="M7680" s="11" t="s">
        <v>28</v>
      </c>
      <c r="N7680" s="8">
        <v>43291</v>
      </c>
      <c r="O7680" s="9" t="s">
        <v>30</v>
      </c>
      <c r="P7680" s="12" t="s">
        <v>14997</v>
      </c>
      <c r="Q7680" s="9" t="s">
        <v>188</v>
      </c>
      <c r="R7680" s="14" t="str">
        <f>HYPERLINK("https://my.pitchbook.com?c=128834-20T","View Company Online")</f>
        <v>View Company Online</v>
      </c>
    </row>
    <row r="7681" spans="1:18" hidden="1" x14ac:dyDescent="0.3">
      <c r="A7681" s="15" t="s">
        <v>22599</v>
      </c>
      <c r="B7681" s="15" t="s">
        <v>22600</v>
      </c>
      <c r="C7681" s="18" t="s">
        <v>28</v>
      </c>
      <c r="D7681" s="15" t="s">
        <v>22601</v>
      </c>
      <c r="E7681" s="18" t="s">
        <v>28</v>
      </c>
      <c r="F7681" s="19" t="s">
        <v>28</v>
      </c>
      <c r="G7681" s="19" t="s">
        <v>28</v>
      </c>
      <c r="H7681" s="19" t="s">
        <v>28</v>
      </c>
      <c r="I7681" s="18" t="s">
        <v>28</v>
      </c>
      <c r="J7681" s="18" t="s">
        <v>28</v>
      </c>
      <c r="K7681" s="18" t="s">
        <v>28</v>
      </c>
      <c r="L7681" s="18" t="s">
        <v>28</v>
      </c>
      <c r="M7681" s="18" t="s">
        <v>28</v>
      </c>
      <c r="N7681" s="17">
        <v>43291</v>
      </c>
      <c r="O7681" s="15" t="s">
        <v>99</v>
      </c>
      <c r="P7681" s="16" t="s">
        <v>18538</v>
      </c>
      <c r="Q7681" s="15" t="s">
        <v>75</v>
      </c>
      <c r="R7681" s="13" t="str">
        <f>HYPERLINK("https://my.pitchbook.com?c=120002-68T","View Company Online")</f>
        <v>View Company Online</v>
      </c>
    </row>
    <row r="7682" spans="1:18" hidden="1" x14ac:dyDescent="0.3">
      <c r="A7682" s="9" t="s">
        <v>22602</v>
      </c>
      <c r="B7682" s="9" t="s">
        <v>22603</v>
      </c>
      <c r="C7682" s="11" t="s">
        <v>28</v>
      </c>
      <c r="D7682" s="9" t="s">
        <v>22604</v>
      </c>
      <c r="E7682" s="11" t="s">
        <v>28</v>
      </c>
      <c r="F7682" s="10" t="s">
        <v>28</v>
      </c>
      <c r="G7682" s="10">
        <v>2</v>
      </c>
      <c r="H7682" s="10" t="s">
        <v>28</v>
      </c>
      <c r="I7682" s="11" t="s">
        <v>28</v>
      </c>
      <c r="J7682" s="11" t="s">
        <v>28</v>
      </c>
      <c r="K7682" s="11" t="s">
        <v>28</v>
      </c>
      <c r="L7682" s="11" t="s">
        <v>28</v>
      </c>
      <c r="M7682" s="11" t="s">
        <v>28</v>
      </c>
      <c r="N7682" s="8">
        <v>43290</v>
      </c>
      <c r="O7682" s="9" t="s">
        <v>73</v>
      </c>
      <c r="P7682" s="12" t="s">
        <v>22605</v>
      </c>
      <c r="Q7682" s="9" t="s">
        <v>386</v>
      </c>
      <c r="R7682" s="14" t="str">
        <f>HYPERLINK("https://my.pitchbook.com?c=72760-51T","View Company Online")</f>
        <v>View Company Online</v>
      </c>
    </row>
    <row r="7683" spans="1:18" hidden="1" x14ac:dyDescent="0.3">
      <c r="A7683" s="15" t="s">
        <v>22606</v>
      </c>
      <c r="B7683" s="15" t="s">
        <v>22607</v>
      </c>
      <c r="C7683" s="18" t="s">
        <v>28</v>
      </c>
      <c r="D7683" s="15" t="s">
        <v>22608</v>
      </c>
      <c r="E7683" s="18" t="s">
        <v>28</v>
      </c>
      <c r="F7683" s="19" t="s">
        <v>28</v>
      </c>
      <c r="G7683" s="19" t="s">
        <v>28</v>
      </c>
      <c r="H7683" s="19" t="s">
        <v>28</v>
      </c>
      <c r="I7683" s="18" t="s">
        <v>28</v>
      </c>
      <c r="J7683" s="18" t="s">
        <v>28</v>
      </c>
      <c r="K7683" s="18" t="s">
        <v>28</v>
      </c>
      <c r="L7683" s="18" t="s">
        <v>28</v>
      </c>
      <c r="M7683" s="18" t="s">
        <v>28</v>
      </c>
      <c r="N7683" s="17">
        <v>43290</v>
      </c>
      <c r="O7683" s="15" t="s">
        <v>41</v>
      </c>
      <c r="P7683" s="16" t="s">
        <v>22609</v>
      </c>
      <c r="Q7683" s="15" t="s">
        <v>1793</v>
      </c>
      <c r="R7683" s="13" t="str">
        <f>HYPERLINK("https://my.pitchbook.com?c=108703-54T","View Company Online")</f>
        <v>View Company Online</v>
      </c>
    </row>
    <row r="7684" spans="1:18" hidden="1" x14ac:dyDescent="0.3">
      <c r="A7684" s="9" t="s">
        <v>22610</v>
      </c>
      <c r="B7684" s="9" t="s">
        <v>6277</v>
      </c>
      <c r="C7684" s="11" t="s">
        <v>28</v>
      </c>
      <c r="D7684" s="9" t="s">
        <v>6278</v>
      </c>
      <c r="E7684" s="11" t="s">
        <v>28</v>
      </c>
      <c r="F7684" s="10" t="s">
        <v>28</v>
      </c>
      <c r="G7684" s="10" t="s">
        <v>28</v>
      </c>
      <c r="H7684" s="10" t="s">
        <v>28</v>
      </c>
      <c r="I7684" s="11" t="s">
        <v>28</v>
      </c>
      <c r="J7684" s="11" t="s">
        <v>28</v>
      </c>
      <c r="K7684" s="11" t="s">
        <v>28</v>
      </c>
      <c r="L7684" s="11" t="s">
        <v>28</v>
      </c>
      <c r="M7684" s="11" t="s">
        <v>28</v>
      </c>
      <c r="N7684" s="8">
        <v>43288</v>
      </c>
      <c r="O7684" s="9" t="s">
        <v>52</v>
      </c>
      <c r="P7684" s="12" t="s">
        <v>22611</v>
      </c>
      <c r="Q7684" s="9" t="s">
        <v>75</v>
      </c>
      <c r="R7684" s="14" t="str">
        <f>HYPERLINK("https://my.pitchbook.com?c=128785-69T","View Company Online")</f>
        <v>View Company Online</v>
      </c>
    </row>
    <row r="7685" spans="1:18" hidden="1" x14ac:dyDescent="0.3">
      <c r="A7685" s="15" t="s">
        <v>22612</v>
      </c>
      <c r="B7685" s="15" t="s">
        <v>22613</v>
      </c>
      <c r="C7685" s="18" t="s">
        <v>28</v>
      </c>
      <c r="D7685" s="15" t="s">
        <v>22614</v>
      </c>
      <c r="E7685" s="18" t="s">
        <v>28</v>
      </c>
      <c r="F7685" s="19" t="s">
        <v>28</v>
      </c>
      <c r="G7685" s="19">
        <v>0.03</v>
      </c>
      <c r="H7685" s="19" t="s">
        <v>28</v>
      </c>
      <c r="I7685" s="18" t="s">
        <v>28</v>
      </c>
      <c r="J7685" s="18" t="s">
        <v>28</v>
      </c>
      <c r="K7685" s="18" t="s">
        <v>28</v>
      </c>
      <c r="L7685" s="18" t="s">
        <v>28</v>
      </c>
      <c r="M7685" s="18" t="s">
        <v>28</v>
      </c>
      <c r="N7685" s="17">
        <v>43286</v>
      </c>
      <c r="O7685" s="15" t="s">
        <v>52</v>
      </c>
      <c r="P7685" s="16" t="s">
        <v>16809</v>
      </c>
      <c r="Q7685" s="15" t="s">
        <v>75</v>
      </c>
      <c r="R7685" s="13" t="str">
        <f>HYPERLINK("https://my.pitchbook.com?c=125339-86T","View Company Online")</f>
        <v>View Company Online</v>
      </c>
    </row>
    <row r="7686" spans="1:18" hidden="1" x14ac:dyDescent="0.3">
      <c r="A7686" s="9" t="s">
        <v>22615</v>
      </c>
      <c r="B7686" s="9" t="s">
        <v>9850</v>
      </c>
      <c r="C7686" s="11" t="s">
        <v>28</v>
      </c>
      <c r="D7686" s="9" t="s">
        <v>9851</v>
      </c>
      <c r="E7686" s="11" t="s">
        <v>28</v>
      </c>
      <c r="F7686" s="10" t="s">
        <v>28</v>
      </c>
      <c r="G7686" s="10">
        <v>0.01</v>
      </c>
      <c r="H7686" s="10" t="s">
        <v>28</v>
      </c>
      <c r="I7686" s="11" t="s">
        <v>28</v>
      </c>
      <c r="J7686" s="11" t="s">
        <v>28</v>
      </c>
      <c r="K7686" s="11" t="s">
        <v>28</v>
      </c>
      <c r="L7686" s="11" t="s">
        <v>28</v>
      </c>
      <c r="M7686" s="11" t="s">
        <v>28</v>
      </c>
      <c r="N7686" s="8">
        <v>43284</v>
      </c>
      <c r="O7686" s="9" t="s">
        <v>52</v>
      </c>
      <c r="P7686" s="12" t="s">
        <v>22570</v>
      </c>
      <c r="Q7686" s="9" t="s">
        <v>75</v>
      </c>
      <c r="R7686" s="14" t="str">
        <f>HYPERLINK("https://my.pitchbook.com?c=137319-40T","View Company Online")</f>
        <v>View Company Online</v>
      </c>
    </row>
    <row r="7687" spans="1:18" hidden="1" x14ac:dyDescent="0.3">
      <c r="A7687" s="15" t="s">
        <v>22616</v>
      </c>
      <c r="B7687" s="15" t="s">
        <v>22617</v>
      </c>
      <c r="C7687" s="18" t="s">
        <v>28</v>
      </c>
      <c r="D7687" s="15" t="s">
        <v>22618</v>
      </c>
      <c r="E7687" s="18" t="s">
        <v>28</v>
      </c>
      <c r="F7687" s="19" t="s">
        <v>28</v>
      </c>
      <c r="G7687" s="19" t="s">
        <v>28</v>
      </c>
      <c r="H7687" s="19" t="s">
        <v>28</v>
      </c>
      <c r="I7687" s="18" t="s">
        <v>28</v>
      </c>
      <c r="J7687" s="18" t="s">
        <v>28</v>
      </c>
      <c r="K7687" s="18" t="s">
        <v>28</v>
      </c>
      <c r="L7687" s="18" t="s">
        <v>28</v>
      </c>
      <c r="M7687" s="18" t="s">
        <v>28</v>
      </c>
      <c r="N7687" s="17">
        <v>43284</v>
      </c>
      <c r="O7687" s="15" t="s">
        <v>30</v>
      </c>
      <c r="P7687" s="16" t="s">
        <v>22619</v>
      </c>
      <c r="Q7687" s="15" t="s">
        <v>75</v>
      </c>
      <c r="R7687" s="13" t="str">
        <f>HYPERLINK("https://my.pitchbook.com?c=175882-06T","View Company Online")</f>
        <v>View Company Online</v>
      </c>
    </row>
    <row r="7688" spans="1:18" hidden="1" x14ac:dyDescent="0.3">
      <c r="A7688" s="9" t="s">
        <v>22620</v>
      </c>
      <c r="B7688" s="9" t="s">
        <v>15301</v>
      </c>
      <c r="C7688" s="11" t="s">
        <v>28</v>
      </c>
      <c r="D7688" s="9" t="s">
        <v>15302</v>
      </c>
      <c r="E7688" s="11" t="s">
        <v>28</v>
      </c>
      <c r="F7688" s="10" t="s">
        <v>28</v>
      </c>
      <c r="G7688" s="10">
        <v>0.06</v>
      </c>
      <c r="H7688" s="10" t="s">
        <v>28</v>
      </c>
      <c r="I7688" s="11" t="s">
        <v>28</v>
      </c>
      <c r="J7688" s="11" t="s">
        <v>28</v>
      </c>
      <c r="K7688" s="11" t="s">
        <v>28</v>
      </c>
      <c r="L7688" s="11" t="s">
        <v>28</v>
      </c>
      <c r="M7688" s="11" t="s">
        <v>28</v>
      </c>
      <c r="N7688" s="8">
        <v>43284</v>
      </c>
      <c r="O7688" s="9" t="s">
        <v>52</v>
      </c>
      <c r="P7688" s="12" t="s">
        <v>22570</v>
      </c>
      <c r="Q7688" s="9" t="s">
        <v>75</v>
      </c>
      <c r="R7688" s="14" t="str">
        <f>HYPERLINK("https://my.pitchbook.com?c=123226-57T","View Company Online")</f>
        <v>View Company Online</v>
      </c>
    </row>
    <row r="7689" spans="1:18" hidden="1" x14ac:dyDescent="0.3">
      <c r="A7689" s="15" t="s">
        <v>22621</v>
      </c>
      <c r="B7689" s="15" t="s">
        <v>18325</v>
      </c>
      <c r="C7689" s="18" t="s">
        <v>28</v>
      </c>
      <c r="D7689" s="15" t="s">
        <v>18326</v>
      </c>
      <c r="E7689" s="18" t="s">
        <v>28</v>
      </c>
      <c r="F7689" s="19" t="s">
        <v>28</v>
      </c>
      <c r="G7689" s="19">
        <v>1.19</v>
      </c>
      <c r="H7689" s="19" t="s">
        <v>28</v>
      </c>
      <c r="I7689" s="18" t="s">
        <v>28</v>
      </c>
      <c r="J7689" s="18" t="s">
        <v>28</v>
      </c>
      <c r="K7689" s="18">
        <v>1.72</v>
      </c>
      <c r="L7689" s="18" t="s">
        <v>28</v>
      </c>
      <c r="M7689" s="18" t="s">
        <v>28</v>
      </c>
      <c r="N7689" s="17">
        <v>43284</v>
      </c>
      <c r="O7689" s="15" t="s">
        <v>73</v>
      </c>
      <c r="P7689" s="16" t="s">
        <v>22622</v>
      </c>
      <c r="Q7689" s="15" t="s">
        <v>75</v>
      </c>
      <c r="R7689" s="13" t="str">
        <f>HYPERLINK("https://my.pitchbook.com?c=108785-26T","View Company Online")</f>
        <v>View Company Online</v>
      </c>
    </row>
    <row r="7690" spans="1:18" hidden="1" x14ac:dyDescent="0.3">
      <c r="A7690" s="9" t="s">
        <v>22623</v>
      </c>
      <c r="B7690" s="9" t="s">
        <v>22022</v>
      </c>
      <c r="C7690" s="11" t="s">
        <v>28</v>
      </c>
      <c r="D7690" s="9" t="s">
        <v>22023</v>
      </c>
      <c r="E7690" s="11" t="s">
        <v>28</v>
      </c>
      <c r="F7690" s="10" t="s">
        <v>28</v>
      </c>
      <c r="G7690" s="10" t="s">
        <v>28</v>
      </c>
      <c r="H7690" s="10" t="s">
        <v>28</v>
      </c>
      <c r="I7690" s="11" t="s">
        <v>28</v>
      </c>
      <c r="J7690" s="11" t="s">
        <v>28</v>
      </c>
      <c r="K7690" s="11">
        <v>82.08</v>
      </c>
      <c r="L7690" s="11" t="s">
        <v>28</v>
      </c>
      <c r="M7690" s="11" t="s">
        <v>28</v>
      </c>
      <c r="N7690" s="8">
        <v>43282</v>
      </c>
      <c r="O7690" s="9" t="s">
        <v>93</v>
      </c>
      <c r="P7690" s="12" t="s">
        <v>22024</v>
      </c>
      <c r="Q7690" s="9" t="s">
        <v>136</v>
      </c>
      <c r="R7690" s="14" t="str">
        <f>HYPERLINK("https://my.pitchbook.com?c=119827-90T","View Company Online")</f>
        <v>View Company Online</v>
      </c>
    </row>
    <row r="7691" spans="1:18" hidden="1" x14ac:dyDescent="0.3">
      <c r="A7691" s="15" t="s">
        <v>22624</v>
      </c>
      <c r="B7691" s="15" t="s">
        <v>20186</v>
      </c>
      <c r="C7691" s="18" t="s">
        <v>28</v>
      </c>
      <c r="D7691" s="15" t="s">
        <v>20187</v>
      </c>
      <c r="E7691" s="18" t="s">
        <v>28</v>
      </c>
      <c r="F7691" s="19" t="s">
        <v>28</v>
      </c>
      <c r="G7691" s="19" t="s">
        <v>28</v>
      </c>
      <c r="H7691" s="19" t="s">
        <v>28</v>
      </c>
      <c r="I7691" s="18" t="s">
        <v>28</v>
      </c>
      <c r="J7691" s="18" t="s">
        <v>28</v>
      </c>
      <c r="K7691" s="18" t="s">
        <v>28</v>
      </c>
      <c r="L7691" s="18" t="s">
        <v>28</v>
      </c>
      <c r="M7691" s="18" t="s">
        <v>28</v>
      </c>
      <c r="N7691" s="17">
        <v>43282</v>
      </c>
      <c r="O7691" s="15" t="s">
        <v>99</v>
      </c>
      <c r="P7691" s="16" t="s">
        <v>611</v>
      </c>
      <c r="Q7691" s="15" t="s">
        <v>75</v>
      </c>
      <c r="R7691" s="13" t="str">
        <f>HYPERLINK("https://my.pitchbook.com?c=243525-34T","View Company Online")</f>
        <v>View Company Online</v>
      </c>
    </row>
    <row r="7692" spans="1:18" hidden="1" x14ac:dyDescent="0.3">
      <c r="A7692" s="9" t="s">
        <v>22625</v>
      </c>
      <c r="B7692" s="9" t="s">
        <v>888</v>
      </c>
      <c r="C7692" s="11" t="s">
        <v>28</v>
      </c>
      <c r="D7692" s="9" t="s">
        <v>12240</v>
      </c>
      <c r="E7692" s="11" t="s">
        <v>28</v>
      </c>
      <c r="F7692" s="10" t="s">
        <v>28</v>
      </c>
      <c r="G7692" s="10">
        <v>1.5</v>
      </c>
      <c r="H7692" s="10" t="s">
        <v>28</v>
      </c>
      <c r="I7692" s="11" t="s">
        <v>28</v>
      </c>
      <c r="J7692" s="11" t="s">
        <v>28</v>
      </c>
      <c r="K7692" s="11" t="s">
        <v>28</v>
      </c>
      <c r="L7692" s="11" t="s">
        <v>28</v>
      </c>
      <c r="M7692" s="11" t="s">
        <v>28</v>
      </c>
      <c r="N7692" s="8">
        <v>43282</v>
      </c>
      <c r="O7692" s="9" t="s">
        <v>99</v>
      </c>
      <c r="P7692" s="12" t="s">
        <v>22626</v>
      </c>
      <c r="Q7692" s="9" t="s">
        <v>213</v>
      </c>
      <c r="R7692" s="14" t="str">
        <f>HYPERLINK("https://my.pitchbook.com?c=119984-14T","View Company Online")</f>
        <v>View Company Online</v>
      </c>
    </row>
    <row r="7693" spans="1:18" hidden="1" x14ac:dyDescent="0.3">
      <c r="A7693" s="15" t="s">
        <v>22627</v>
      </c>
      <c r="B7693" s="15" t="s">
        <v>22628</v>
      </c>
      <c r="C7693" s="18" t="s">
        <v>28</v>
      </c>
      <c r="D7693" s="15" t="s">
        <v>22629</v>
      </c>
      <c r="E7693" s="18" t="s">
        <v>28</v>
      </c>
      <c r="F7693" s="19" t="s">
        <v>28</v>
      </c>
      <c r="G7693" s="19" t="s">
        <v>28</v>
      </c>
      <c r="H7693" s="19" t="s">
        <v>28</v>
      </c>
      <c r="I7693" s="18" t="s">
        <v>28</v>
      </c>
      <c r="J7693" s="18" t="s">
        <v>28</v>
      </c>
      <c r="K7693" s="18" t="s">
        <v>28</v>
      </c>
      <c r="L7693" s="18" t="s">
        <v>28</v>
      </c>
      <c r="M7693" s="18" t="s">
        <v>28</v>
      </c>
      <c r="N7693" s="17">
        <v>43282</v>
      </c>
      <c r="O7693" s="15" t="s">
        <v>99</v>
      </c>
      <c r="P7693" s="16" t="s">
        <v>18538</v>
      </c>
      <c r="Q7693" s="15" t="s">
        <v>386</v>
      </c>
      <c r="R7693" s="13" t="str">
        <f>HYPERLINK("https://my.pitchbook.com?c=119985-22T","View Company Online")</f>
        <v>View Company Online</v>
      </c>
    </row>
    <row r="7694" spans="1:18" hidden="1" x14ac:dyDescent="0.3">
      <c r="A7694" s="9" t="s">
        <v>22630</v>
      </c>
      <c r="B7694" s="9" t="s">
        <v>20198</v>
      </c>
      <c r="C7694" s="11" t="s">
        <v>28</v>
      </c>
      <c r="D7694" s="9" t="s">
        <v>20199</v>
      </c>
      <c r="E7694" s="11" t="s">
        <v>28</v>
      </c>
      <c r="F7694" s="10" t="s">
        <v>28</v>
      </c>
      <c r="G7694" s="10">
        <v>1.24</v>
      </c>
      <c r="H7694" s="10" t="s">
        <v>28</v>
      </c>
      <c r="I7694" s="11" t="s">
        <v>28</v>
      </c>
      <c r="J7694" s="11" t="s">
        <v>28</v>
      </c>
      <c r="K7694" s="11" t="s">
        <v>28</v>
      </c>
      <c r="L7694" s="11" t="s">
        <v>28</v>
      </c>
      <c r="M7694" s="11" t="s">
        <v>28</v>
      </c>
      <c r="N7694" s="8">
        <v>43282</v>
      </c>
      <c r="O7694" s="9" t="s">
        <v>79</v>
      </c>
      <c r="P7694" s="12" t="s">
        <v>22631</v>
      </c>
      <c r="Q7694" s="9" t="s">
        <v>37</v>
      </c>
      <c r="R7694" s="14" t="str">
        <f>HYPERLINK("https://my.pitchbook.com?c=126519-85T","View Company Online")</f>
        <v>View Company Online</v>
      </c>
    </row>
    <row r="7695" spans="1:18" hidden="1" x14ac:dyDescent="0.3">
      <c r="A7695" s="15" t="s">
        <v>22632</v>
      </c>
      <c r="B7695" s="15" t="s">
        <v>22633</v>
      </c>
      <c r="C7695" s="18" t="s">
        <v>28</v>
      </c>
      <c r="D7695" s="15" t="s">
        <v>22634</v>
      </c>
      <c r="E7695" s="18" t="s">
        <v>28</v>
      </c>
      <c r="F7695" s="19" t="s">
        <v>28</v>
      </c>
      <c r="G7695" s="19" t="s">
        <v>28</v>
      </c>
      <c r="H7695" s="19" t="s">
        <v>28</v>
      </c>
      <c r="I7695" s="18" t="s">
        <v>28</v>
      </c>
      <c r="J7695" s="18" t="s">
        <v>28</v>
      </c>
      <c r="K7695" s="18" t="s">
        <v>28</v>
      </c>
      <c r="L7695" s="18" t="s">
        <v>28</v>
      </c>
      <c r="M7695" s="18" t="s">
        <v>28</v>
      </c>
      <c r="N7695" s="17">
        <v>43282</v>
      </c>
      <c r="O7695" s="15" t="s">
        <v>99</v>
      </c>
      <c r="P7695" s="16" t="s">
        <v>22635</v>
      </c>
      <c r="Q7695" s="15" t="s">
        <v>114</v>
      </c>
      <c r="R7695" s="13" t="str">
        <f>HYPERLINK("https://my.pitchbook.com?c=119992-51T","View Company Online")</f>
        <v>View Company Online</v>
      </c>
    </row>
    <row r="7696" spans="1:18" hidden="1" x14ac:dyDescent="0.3">
      <c r="A7696" s="9" t="s">
        <v>22636</v>
      </c>
      <c r="B7696" s="9" t="s">
        <v>11135</v>
      </c>
      <c r="C7696" s="11" t="s">
        <v>28</v>
      </c>
      <c r="D7696" s="9" t="s">
        <v>11136</v>
      </c>
      <c r="E7696" s="11" t="s">
        <v>28</v>
      </c>
      <c r="F7696" s="10" t="s">
        <v>28</v>
      </c>
      <c r="G7696" s="10">
        <v>0.4</v>
      </c>
      <c r="H7696" s="10" t="s">
        <v>28</v>
      </c>
      <c r="I7696" s="11" t="s">
        <v>28</v>
      </c>
      <c r="J7696" s="11" t="s">
        <v>28</v>
      </c>
      <c r="K7696" s="11" t="s">
        <v>28</v>
      </c>
      <c r="L7696" s="11" t="s">
        <v>28</v>
      </c>
      <c r="M7696" s="11" t="s">
        <v>28</v>
      </c>
      <c r="N7696" s="8">
        <v>43282</v>
      </c>
      <c r="O7696" s="9" t="s">
        <v>73</v>
      </c>
      <c r="P7696" s="12" t="s">
        <v>22637</v>
      </c>
      <c r="Q7696" s="9" t="s">
        <v>37</v>
      </c>
      <c r="R7696" s="14" t="str">
        <f>HYPERLINK("https://my.pitchbook.com?c=120018-34T","View Company Online")</f>
        <v>View Company Online</v>
      </c>
    </row>
    <row r="7697" spans="1:18" hidden="1" x14ac:dyDescent="0.3">
      <c r="A7697" s="15" t="s">
        <v>22638</v>
      </c>
      <c r="B7697" s="15" t="s">
        <v>4931</v>
      </c>
      <c r="C7697" s="18" t="s">
        <v>28</v>
      </c>
      <c r="D7697" s="15" t="s">
        <v>4932</v>
      </c>
      <c r="E7697" s="18" t="s">
        <v>28</v>
      </c>
      <c r="F7697" s="19" t="s">
        <v>28</v>
      </c>
      <c r="G7697" s="19" t="s">
        <v>28</v>
      </c>
      <c r="H7697" s="19" t="s">
        <v>28</v>
      </c>
      <c r="I7697" s="18" t="s">
        <v>28</v>
      </c>
      <c r="J7697" s="18" t="s">
        <v>28</v>
      </c>
      <c r="K7697" s="18" t="s">
        <v>28</v>
      </c>
      <c r="L7697" s="18" t="s">
        <v>28</v>
      </c>
      <c r="M7697" s="18" t="s">
        <v>28</v>
      </c>
      <c r="N7697" s="17">
        <v>43282</v>
      </c>
      <c r="O7697" s="15" t="s">
        <v>73</v>
      </c>
      <c r="P7697" s="16" t="s">
        <v>22639</v>
      </c>
      <c r="Q7697" s="15" t="s">
        <v>75</v>
      </c>
      <c r="R7697" s="13" t="str">
        <f>HYPERLINK("https://my.pitchbook.com?c=158000-05T","View Company Online")</f>
        <v>View Company Online</v>
      </c>
    </row>
    <row r="7698" spans="1:18" hidden="1" x14ac:dyDescent="0.3">
      <c r="A7698" s="9" t="s">
        <v>22640</v>
      </c>
      <c r="B7698" s="9" t="s">
        <v>9694</v>
      </c>
      <c r="C7698" s="11" t="s">
        <v>28</v>
      </c>
      <c r="D7698" s="9" t="s">
        <v>9695</v>
      </c>
      <c r="E7698" s="11" t="s">
        <v>28</v>
      </c>
      <c r="F7698" s="10" t="s">
        <v>28</v>
      </c>
      <c r="G7698" s="10" t="s">
        <v>28</v>
      </c>
      <c r="H7698" s="10" t="s">
        <v>28</v>
      </c>
      <c r="I7698" s="11" t="s">
        <v>28</v>
      </c>
      <c r="J7698" s="11" t="s">
        <v>28</v>
      </c>
      <c r="K7698" s="11" t="s">
        <v>28</v>
      </c>
      <c r="L7698" s="11" t="s">
        <v>28</v>
      </c>
      <c r="M7698" s="11" t="s">
        <v>28</v>
      </c>
      <c r="N7698" s="8">
        <v>43282</v>
      </c>
      <c r="O7698" s="9" t="s">
        <v>73</v>
      </c>
      <c r="P7698" s="12" t="s">
        <v>611</v>
      </c>
      <c r="Q7698" s="9" t="s">
        <v>75</v>
      </c>
      <c r="R7698" s="14" t="str">
        <f>HYPERLINK("https://my.pitchbook.com?c=243532-99T","View Company Online")</f>
        <v>View Company Online</v>
      </c>
    </row>
    <row r="7699" spans="1:18" hidden="1" x14ac:dyDescent="0.3">
      <c r="A7699" s="15" t="s">
        <v>22641</v>
      </c>
      <c r="B7699" s="15" t="s">
        <v>22642</v>
      </c>
      <c r="C7699" s="18" t="s">
        <v>28</v>
      </c>
      <c r="D7699" s="15" t="s">
        <v>22643</v>
      </c>
      <c r="E7699" s="18" t="s">
        <v>28</v>
      </c>
      <c r="F7699" s="19">
        <v>9.25</v>
      </c>
      <c r="G7699" s="19">
        <v>9.25</v>
      </c>
      <c r="H7699" s="19">
        <v>9.25</v>
      </c>
      <c r="I7699" s="18" t="s">
        <v>28</v>
      </c>
      <c r="J7699" s="18" t="s">
        <v>28</v>
      </c>
      <c r="K7699" s="18" t="s">
        <v>28</v>
      </c>
      <c r="L7699" s="18" t="s">
        <v>28</v>
      </c>
      <c r="M7699" s="18" t="s">
        <v>28</v>
      </c>
      <c r="N7699" s="17">
        <v>43282</v>
      </c>
      <c r="O7699" s="15" t="s">
        <v>30</v>
      </c>
      <c r="P7699" s="16" t="s">
        <v>5483</v>
      </c>
      <c r="Q7699" s="15" t="s">
        <v>119</v>
      </c>
      <c r="R7699" s="13" t="str">
        <f>HYPERLINK("https://my.pitchbook.com?c=242024-59T","View Company Online")</f>
        <v>View Company Online</v>
      </c>
    </row>
    <row r="7700" spans="1:18" hidden="1" x14ac:dyDescent="0.3">
      <c r="A7700" s="9" t="s">
        <v>22644</v>
      </c>
      <c r="B7700" s="9" t="s">
        <v>22645</v>
      </c>
      <c r="C7700" s="11" t="s">
        <v>28</v>
      </c>
      <c r="D7700" s="9" t="s">
        <v>22646</v>
      </c>
      <c r="E7700" s="11" t="s">
        <v>28</v>
      </c>
      <c r="F7700" s="10" t="s">
        <v>28</v>
      </c>
      <c r="G7700" s="10" t="s">
        <v>28</v>
      </c>
      <c r="H7700" s="10" t="s">
        <v>28</v>
      </c>
      <c r="I7700" s="11" t="s">
        <v>28</v>
      </c>
      <c r="J7700" s="11" t="s">
        <v>28</v>
      </c>
      <c r="K7700" s="11" t="s">
        <v>28</v>
      </c>
      <c r="L7700" s="11" t="s">
        <v>28</v>
      </c>
      <c r="M7700" s="11" t="s">
        <v>28</v>
      </c>
      <c r="N7700" s="8">
        <v>43282</v>
      </c>
      <c r="O7700" s="9" t="s">
        <v>41</v>
      </c>
      <c r="P7700" s="12" t="s">
        <v>22647</v>
      </c>
      <c r="Q7700" s="9" t="s">
        <v>22648</v>
      </c>
      <c r="R7700" s="14" t="str">
        <f>HYPERLINK("https://my.pitchbook.com?c=215136-46T","View Company Online")</f>
        <v>View Company Online</v>
      </c>
    </row>
    <row r="7701" spans="1:18" hidden="1" x14ac:dyDescent="0.3">
      <c r="A7701" s="15" t="s">
        <v>22649</v>
      </c>
      <c r="B7701" s="15" t="s">
        <v>21074</v>
      </c>
      <c r="C7701" s="18" t="s">
        <v>28</v>
      </c>
      <c r="D7701" s="15" t="s">
        <v>21075</v>
      </c>
      <c r="E7701" s="18" t="s">
        <v>28</v>
      </c>
      <c r="F7701" s="19" t="s">
        <v>28</v>
      </c>
      <c r="G7701" s="19">
        <v>7.0000000000000007E-2</v>
      </c>
      <c r="H7701" s="19" t="s">
        <v>28</v>
      </c>
      <c r="I7701" s="18" t="s">
        <v>28</v>
      </c>
      <c r="J7701" s="18" t="s">
        <v>28</v>
      </c>
      <c r="K7701" s="18" t="s">
        <v>28</v>
      </c>
      <c r="L7701" s="18" t="s">
        <v>28</v>
      </c>
      <c r="M7701" s="18" t="s">
        <v>28</v>
      </c>
      <c r="N7701" s="17">
        <v>43282</v>
      </c>
      <c r="O7701" s="15" t="s">
        <v>99</v>
      </c>
      <c r="P7701" s="16" t="s">
        <v>22650</v>
      </c>
      <c r="Q7701" s="15" t="s">
        <v>119</v>
      </c>
      <c r="R7701" s="13" t="str">
        <f>HYPERLINK("https://my.pitchbook.com?c=126025-12T","View Company Online")</f>
        <v>View Company Online</v>
      </c>
    </row>
    <row r="7702" spans="1:18" hidden="1" x14ac:dyDescent="0.3">
      <c r="A7702" s="9" t="s">
        <v>22651</v>
      </c>
      <c r="B7702" s="9" t="s">
        <v>22652</v>
      </c>
      <c r="C7702" s="11" t="s">
        <v>28</v>
      </c>
      <c r="D7702" s="9" t="s">
        <v>22653</v>
      </c>
      <c r="E7702" s="11" t="s">
        <v>28</v>
      </c>
      <c r="F7702" s="10" t="s">
        <v>28</v>
      </c>
      <c r="G7702" s="10" t="s">
        <v>28</v>
      </c>
      <c r="H7702" s="10" t="s">
        <v>28</v>
      </c>
      <c r="I7702" s="11" t="s">
        <v>28</v>
      </c>
      <c r="J7702" s="11" t="s">
        <v>28</v>
      </c>
      <c r="K7702" s="11" t="s">
        <v>28</v>
      </c>
      <c r="L7702" s="11" t="s">
        <v>28</v>
      </c>
      <c r="M7702" s="11" t="s">
        <v>28</v>
      </c>
      <c r="N7702" s="8">
        <v>43282</v>
      </c>
      <c r="O7702" s="9" t="s">
        <v>52</v>
      </c>
      <c r="P7702" s="12" t="s">
        <v>6178</v>
      </c>
      <c r="Q7702" s="9" t="s">
        <v>419</v>
      </c>
      <c r="R7702" s="14" t="str">
        <f>HYPERLINK("https://my.pitchbook.com?c=284587-03T","View Company Online")</f>
        <v>View Company Online</v>
      </c>
    </row>
    <row r="7703" spans="1:18" hidden="1" x14ac:dyDescent="0.3">
      <c r="A7703" s="15" t="s">
        <v>22654</v>
      </c>
      <c r="B7703" s="15" t="s">
        <v>22655</v>
      </c>
      <c r="C7703" s="18" t="s">
        <v>28</v>
      </c>
      <c r="D7703" s="15" t="s">
        <v>22656</v>
      </c>
      <c r="E7703" s="18" t="s">
        <v>28</v>
      </c>
      <c r="F7703" s="19" t="s">
        <v>28</v>
      </c>
      <c r="G7703" s="19">
        <v>0.65</v>
      </c>
      <c r="H7703" s="19" t="s">
        <v>28</v>
      </c>
      <c r="I7703" s="18" t="s">
        <v>28</v>
      </c>
      <c r="J7703" s="18" t="s">
        <v>28</v>
      </c>
      <c r="K7703" s="18" t="s">
        <v>28</v>
      </c>
      <c r="L7703" s="18" t="s">
        <v>28</v>
      </c>
      <c r="M7703" s="18" t="s">
        <v>28</v>
      </c>
      <c r="N7703" s="17">
        <v>43282</v>
      </c>
      <c r="O7703" s="15" t="s">
        <v>379</v>
      </c>
      <c r="P7703" s="16" t="s">
        <v>28</v>
      </c>
      <c r="Q7703" s="15" t="s">
        <v>75</v>
      </c>
      <c r="R7703" s="13" t="str">
        <f>HYPERLINK("https://my.pitchbook.com?c=172745-74T","View Company Online")</f>
        <v>View Company Online</v>
      </c>
    </row>
    <row r="7704" spans="1:18" hidden="1" x14ac:dyDescent="0.3">
      <c r="A7704" s="9" t="s">
        <v>22657</v>
      </c>
      <c r="B7704" s="9" t="s">
        <v>22658</v>
      </c>
      <c r="C7704" s="11" t="s">
        <v>28</v>
      </c>
      <c r="D7704" s="9" t="s">
        <v>22659</v>
      </c>
      <c r="E7704" s="11" t="s">
        <v>28</v>
      </c>
      <c r="F7704" s="10" t="s">
        <v>28</v>
      </c>
      <c r="G7704" s="10" t="s">
        <v>28</v>
      </c>
      <c r="H7704" s="10" t="s">
        <v>28</v>
      </c>
      <c r="I7704" s="11" t="s">
        <v>28</v>
      </c>
      <c r="J7704" s="11" t="s">
        <v>28</v>
      </c>
      <c r="K7704" s="11" t="s">
        <v>28</v>
      </c>
      <c r="L7704" s="11" t="s">
        <v>28</v>
      </c>
      <c r="M7704" s="11" t="s">
        <v>28</v>
      </c>
      <c r="N7704" s="8">
        <v>43282</v>
      </c>
      <c r="O7704" s="9" t="s">
        <v>173</v>
      </c>
      <c r="P7704" s="12" t="s">
        <v>28</v>
      </c>
      <c r="Q7704" s="9" t="s">
        <v>174</v>
      </c>
      <c r="R7704" s="14" t="str">
        <f>HYPERLINK("https://my.pitchbook.com?c=218142-46T","View Company Online")</f>
        <v>View Company Online</v>
      </c>
    </row>
    <row r="7705" spans="1:18" hidden="1" x14ac:dyDescent="0.3">
      <c r="A7705" s="15" t="s">
        <v>22660</v>
      </c>
      <c r="B7705" s="15" t="s">
        <v>5230</v>
      </c>
      <c r="C7705" s="18" t="s">
        <v>28</v>
      </c>
      <c r="D7705" s="15" t="s">
        <v>5231</v>
      </c>
      <c r="E7705" s="18" t="s">
        <v>28</v>
      </c>
      <c r="F7705" s="19" t="s">
        <v>28</v>
      </c>
      <c r="G7705" s="19">
        <v>0.79</v>
      </c>
      <c r="H7705" s="19" t="s">
        <v>28</v>
      </c>
      <c r="I7705" s="18" t="s">
        <v>28</v>
      </c>
      <c r="J7705" s="18" t="s">
        <v>28</v>
      </c>
      <c r="K7705" s="18" t="s">
        <v>28</v>
      </c>
      <c r="L7705" s="18" t="s">
        <v>28</v>
      </c>
      <c r="M7705" s="18" t="s">
        <v>28</v>
      </c>
      <c r="N7705" s="17">
        <v>43280</v>
      </c>
      <c r="O7705" s="15" t="s">
        <v>79</v>
      </c>
      <c r="P7705" s="16" t="s">
        <v>22661</v>
      </c>
      <c r="Q7705" s="15" t="s">
        <v>75</v>
      </c>
      <c r="R7705" s="13" t="str">
        <f>HYPERLINK("https://my.pitchbook.com?c=176343-76T","View Company Online")</f>
        <v>View Company Online</v>
      </c>
    </row>
    <row r="7706" spans="1:18" hidden="1" x14ac:dyDescent="0.3">
      <c r="A7706" s="9" t="s">
        <v>22662</v>
      </c>
      <c r="B7706" s="9" t="s">
        <v>1553</v>
      </c>
      <c r="C7706" s="11" t="s">
        <v>28</v>
      </c>
      <c r="D7706" s="9" t="s">
        <v>1554</v>
      </c>
      <c r="E7706" s="11" t="s">
        <v>28</v>
      </c>
      <c r="F7706" s="10" t="s">
        <v>28</v>
      </c>
      <c r="G7706" s="10">
        <v>0.01</v>
      </c>
      <c r="H7706" s="10" t="s">
        <v>28</v>
      </c>
      <c r="I7706" s="11" t="s">
        <v>28</v>
      </c>
      <c r="J7706" s="11" t="s">
        <v>28</v>
      </c>
      <c r="K7706" s="11" t="s">
        <v>28</v>
      </c>
      <c r="L7706" s="11" t="s">
        <v>28</v>
      </c>
      <c r="M7706" s="11" t="s">
        <v>28</v>
      </c>
      <c r="N7706" s="8">
        <v>43280</v>
      </c>
      <c r="O7706" s="9" t="s">
        <v>47</v>
      </c>
      <c r="P7706" s="12" t="s">
        <v>22663</v>
      </c>
      <c r="Q7706" s="9" t="s">
        <v>43</v>
      </c>
      <c r="R7706" s="14" t="str">
        <f>HYPERLINK("https://my.pitchbook.com?c=115628-95T","View Company Online")</f>
        <v>View Company Online</v>
      </c>
    </row>
    <row r="7707" spans="1:18" hidden="1" x14ac:dyDescent="0.3">
      <c r="A7707" s="15" t="s">
        <v>22664</v>
      </c>
      <c r="B7707" s="15" t="s">
        <v>6953</v>
      </c>
      <c r="C7707" s="18" t="s">
        <v>28</v>
      </c>
      <c r="D7707" s="15" t="s">
        <v>6954</v>
      </c>
      <c r="E7707" s="18" t="s">
        <v>28</v>
      </c>
      <c r="F7707" s="19" t="s">
        <v>28</v>
      </c>
      <c r="G7707" s="19">
        <v>0.75</v>
      </c>
      <c r="H7707" s="19" t="s">
        <v>28</v>
      </c>
      <c r="I7707" s="18" t="s">
        <v>28</v>
      </c>
      <c r="J7707" s="18" t="s">
        <v>28</v>
      </c>
      <c r="K7707" s="18">
        <v>0.1</v>
      </c>
      <c r="L7707" s="18" t="s">
        <v>28</v>
      </c>
      <c r="M7707" s="18" t="s">
        <v>28</v>
      </c>
      <c r="N7707" s="17">
        <v>43280</v>
      </c>
      <c r="O7707" s="15" t="s">
        <v>99</v>
      </c>
      <c r="P7707" s="16" t="s">
        <v>22665</v>
      </c>
      <c r="Q7707" s="15" t="s">
        <v>774</v>
      </c>
      <c r="R7707" s="13" t="str">
        <f>HYPERLINK("https://my.pitchbook.com?c=110075-32T","View Company Online")</f>
        <v>View Company Online</v>
      </c>
    </row>
    <row r="7708" spans="1:18" hidden="1" x14ac:dyDescent="0.3">
      <c r="A7708" s="9" t="s">
        <v>22666</v>
      </c>
      <c r="B7708" s="9" t="s">
        <v>22667</v>
      </c>
      <c r="C7708" s="11" t="s">
        <v>28</v>
      </c>
      <c r="D7708" s="9" t="s">
        <v>22668</v>
      </c>
      <c r="E7708" s="11" t="s">
        <v>28</v>
      </c>
      <c r="F7708" s="10" t="s">
        <v>28</v>
      </c>
      <c r="G7708" s="10" t="s">
        <v>28</v>
      </c>
      <c r="H7708" s="10" t="s">
        <v>28</v>
      </c>
      <c r="I7708" s="11" t="s">
        <v>28</v>
      </c>
      <c r="J7708" s="11" t="s">
        <v>28</v>
      </c>
      <c r="K7708" s="11" t="s">
        <v>28</v>
      </c>
      <c r="L7708" s="11" t="s">
        <v>28</v>
      </c>
      <c r="M7708" s="11" t="s">
        <v>28</v>
      </c>
      <c r="N7708" s="8">
        <v>43279</v>
      </c>
      <c r="O7708" s="9" t="s">
        <v>52</v>
      </c>
      <c r="P7708" s="12" t="s">
        <v>22669</v>
      </c>
      <c r="Q7708" s="9" t="s">
        <v>419</v>
      </c>
      <c r="R7708" s="14" t="str">
        <f>HYPERLINK("https://my.pitchbook.com?c=125610-40T","View Company Online")</f>
        <v>View Company Online</v>
      </c>
    </row>
    <row r="7709" spans="1:18" hidden="1" x14ac:dyDescent="0.3">
      <c r="A7709" s="15" t="s">
        <v>22670</v>
      </c>
      <c r="B7709" s="15" t="s">
        <v>22671</v>
      </c>
      <c r="C7709" s="18" t="s">
        <v>28</v>
      </c>
      <c r="D7709" s="15" t="s">
        <v>22672</v>
      </c>
      <c r="E7709" s="18" t="s">
        <v>28</v>
      </c>
      <c r="F7709" s="19" t="s">
        <v>28</v>
      </c>
      <c r="G7709" s="19" t="s">
        <v>28</v>
      </c>
      <c r="H7709" s="19" t="s">
        <v>28</v>
      </c>
      <c r="I7709" s="18" t="s">
        <v>28</v>
      </c>
      <c r="J7709" s="18" t="s">
        <v>28</v>
      </c>
      <c r="K7709" s="18" t="s">
        <v>28</v>
      </c>
      <c r="L7709" s="18" t="s">
        <v>28</v>
      </c>
      <c r="M7709" s="18" t="s">
        <v>28</v>
      </c>
      <c r="N7709" s="17">
        <v>43279</v>
      </c>
      <c r="O7709" s="15" t="s">
        <v>30</v>
      </c>
      <c r="P7709" s="16" t="s">
        <v>22673</v>
      </c>
      <c r="Q7709" s="15" t="s">
        <v>85</v>
      </c>
      <c r="R7709" s="13" t="str">
        <f>HYPERLINK("https://my.pitchbook.com?c=113568-31T","View Company Online")</f>
        <v>View Company Online</v>
      </c>
    </row>
    <row r="7710" spans="1:18" hidden="1" x14ac:dyDescent="0.3">
      <c r="A7710" s="9" t="s">
        <v>22674</v>
      </c>
      <c r="B7710" s="9" t="s">
        <v>7420</v>
      </c>
      <c r="C7710" s="11" t="s">
        <v>28</v>
      </c>
      <c r="D7710" s="9" t="s">
        <v>7421</v>
      </c>
      <c r="E7710" s="11" t="s">
        <v>28</v>
      </c>
      <c r="F7710" s="10" t="s">
        <v>28</v>
      </c>
      <c r="G7710" s="10" t="s">
        <v>28</v>
      </c>
      <c r="H7710" s="10" t="s">
        <v>28</v>
      </c>
      <c r="I7710" s="11" t="s">
        <v>28</v>
      </c>
      <c r="J7710" s="11" t="s">
        <v>28</v>
      </c>
      <c r="K7710" s="11" t="s">
        <v>28</v>
      </c>
      <c r="L7710" s="11" t="s">
        <v>28</v>
      </c>
      <c r="M7710" s="11" t="s">
        <v>28</v>
      </c>
      <c r="N7710" s="8">
        <v>43279</v>
      </c>
      <c r="O7710" s="9" t="s">
        <v>99</v>
      </c>
      <c r="P7710" s="12" t="s">
        <v>18538</v>
      </c>
      <c r="Q7710" s="9" t="s">
        <v>75</v>
      </c>
      <c r="R7710" s="14" t="str">
        <f>HYPERLINK("https://my.pitchbook.com?c=119996-83T","View Company Online")</f>
        <v>View Company Online</v>
      </c>
    </row>
    <row r="7711" spans="1:18" hidden="1" x14ac:dyDescent="0.3">
      <c r="A7711" s="15" t="s">
        <v>22675</v>
      </c>
      <c r="B7711" s="15" t="s">
        <v>22676</v>
      </c>
      <c r="C7711" s="18" t="s">
        <v>28</v>
      </c>
      <c r="D7711" s="15" t="s">
        <v>22677</v>
      </c>
      <c r="E7711" s="18" t="s">
        <v>28</v>
      </c>
      <c r="F7711" s="19" t="s">
        <v>28</v>
      </c>
      <c r="G7711" s="19" t="s">
        <v>28</v>
      </c>
      <c r="H7711" s="19" t="s">
        <v>28</v>
      </c>
      <c r="I7711" s="18" t="s">
        <v>28</v>
      </c>
      <c r="J7711" s="18" t="s">
        <v>28</v>
      </c>
      <c r="K7711" s="18" t="s">
        <v>28</v>
      </c>
      <c r="L7711" s="18" t="s">
        <v>28</v>
      </c>
      <c r="M7711" s="18" t="s">
        <v>28</v>
      </c>
      <c r="N7711" s="17">
        <v>43279</v>
      </c>
      <c r="O7711" s="15" t="s">
        <v>99</v>
      </c>
      <c r="P7711" s="16" t="s">
        <v>18538</v>
      </c>
      <c r="Q7711" s="15" t="s">
        <v>75</v>
      </c>
      <c r="R7711" s="13" t="str">
        <f>HYPERLINK("https://my.pitchbook.com?c=119999-44T","View Company Online")</f>
        <v>View Company Online</v>
      </c>
    </row>
    <row r="7712" spans="1:18" hidden="1" x14ac:dyDescent="0.3">
      <c r="A7712" s="9" t="s">
        <v>22678</v>
      </c>
      <c r="B7712" s="9" t="s">
        <v>6579</v>
      </c>
      <c r="C7712" s="11" t="s">
        <v>28</v>
      </c>
      <c r="D7712" s="9" t="s">
        <v>6580</v>
      </c>
      <c r="E7712" s="11" t="s">
        <v>28</v>
      </c>
      <c r="F7712" s="10" t="s">
        <v>28</v>
      </c>
      <c r="G7712" s="10" t="s">
        <v>28</v>
      </c>
      <c r="H7712" s="10" t="s">
        <v>28</v>
      </c>
      <c r="I7712" s="11" t="s">
        <v>28</v>
      </c>
      <c r="J7712" s="11" t="s">
        <v>28</v>
      </c>
      <c r="K7712" s="11" t="s">
        <v>28</v>
      </c>
      <c r="L7712" s="11" t="s">
        <v>28</v>
      </c>
      <c r="M7712" s="11" t="s">
        <v>28</v>
      </c>
      <c r="N7712" s="8">
        <v>43279</v>
      </c>
      <c r="O7712" s="9" t="s">
        <v>99</v>
      </c>
      <c r="P7712" s="12" t="s">
        <v>22679</v>
      </c>
      <c r="Q7712" s="9" t="s">
        <v>75</v>
      </c>
      <c r="R7712" s="14" t="str">
        <f>HYPERLINK("https://my.pitchbook.com?c=120004-57T","View Company Online")</f>
        <v>View Company Online</v>
      </c>
    </row>
    <row r="7713" spans="1:18" hidden="1" x14ac:dyDescent="0.3">
      <c r="A7713" s="15" t="s">
        <v>22680</v>
      </c>
      <c r="B7713" s="15" t="s">
        <v>14499</v>
      </c>
      <c r="C7713" s="18" t="s">
        <v>28</v>
      </c>
      <c r="D7713" s="15" t="s">
        <v>14500</v>
      </c>
      <c r="E7713" s="18" t="s">
        <v>28</v>
      </c>
      <c r="F7713" s="19" t="s">
        <v>28</v>
      </c>
      <c r="G7713" s="19" t="s">
        <v>28</v>
      </c>
      <c r="H7713" s="19" t="s">
        <v>28</v>
      </c>
      <c r="I7713" s="18" t="s">
        <v>28</v>
      </c>
      <c r="J7713" s="18" t="s">
        <v>28</v>
      </c>
      <c r="K7713" s="18" t="s">
        <v>28</v>
      </c>
      <c r="L7713" s="18" t="s">
        <v>28</v>
      </c>
      <c r="M7713" s="18" t="s">
        <v>28</v>
      </c>
      <c r="N7713" s="17">
        <v>43279</v>
      </c>
      <c r="O7713" s="15" t="s">
        <v>99</v>
      </c>
      <c r="P7713" s="16" t="s">
        <v>18538</v>
      </c>
      <c r="Q7713" s="15" t="s">
        <v>75</v>
      </c>
      <c r="R7713" s="13" t="str">
        <f>HYPERLINK("https://my.pitchbook.com?c=120007-27T","View Company Online")</f>
        <v>View Company Online</v>
      </c>
    </row>
    <row r="7714" spans="1:18" hidden="1" x14ac:dyDescent="0.3">
      <c r="A7714" s="9" t="s">
        <v>22681</v>
      </c>
      <c r="B7714" s="9" t="s">
        <v>20977</v>
      </c>
      <c r="C7714" s="11" t="s">
        <v>28</v>
      </c>
      <c r="D7714" s="9" t="s">
        <v>20978</v>
      </c>
      <c r="E7714" s="11" t="s">
        <v>28</v>
      </c>
      <c r="F7714" s="10" t="s">
        <v>28</v>
      </c>
      <c r="G7714" s="10" t="s">
        <v>28</v>
      </c>
      <c r="H7714" s="10" t="s">
        <v>28</v>
      </c>
      <c r="I7714" s="11" t="s">
        <v>28</v>
      </c>
      <c r="J7714" s="11" t="s">
        <v>28</v>
      </c>
      <c r="K7714" s="11" t="s">
        <v>28</v>
      </c>
      <c r="L7714" s="11" t="s">
        <v>28</v>
      </c>
      <c r="M7714" s="11" t="s">
        <v>28</v>
      </c>
      <c r="N7714" s="8">
        <v>43278</v>
      </c>
      <c r="O7714" s="9" t="s">
        <v>30</v>
      </c>
      <c r="P7714" s="12" t="s">
        <v>28</v>
      </c>
      <c r="Q7714" s="9" t="s">
        <v>386</v>
      </c>
      <c r="R7714" s="14" t="str">
        <f>HYPERLINK("https://my.pitchbook.com?c=108164-26T","View Company Online")</f>
        <v>View Company Online</v>
      </c>
    </row>
    <row r="7715" spans="1:18" hidden="1" x14ac:dyDescent="0.3">
      <c r="A7715" s="15" t="s">
        <v>22682</v>
      </c>
      <c r="B7715" s="15" t="s">
        <v>8228</v>
      </c>
      <c r="C7715" s="18" t="s">
        <v>28</v>
      </c>
      <c r="D7715" s="15" t="s">
        <v>8229</v>
      </c>
      <c r="E7715" s="18" t="s">
        <v>28</v>
      </c>
      <c r="F7715" s="19" t="s">
        <v>28</v>
      </c>
      <c r="G7715" s="19">
        <v>0.35</v>
      </c>
      <c r="H7715" s="19" t="s">
        <v>28</v>
      </c>
      <c r="I7715" s="18" t="s">
        <v>28</v>
      </c>
      <c r="J7715" s="18" t="s">
        <v>28</v>
      </c>
      <c r="K7715" s="18" t="s">
        <v>28</v>
      </c>
      <c r="L7715" s="18" t="s">
        <v>28</v>
      </c>
      <c r="M7715" s="18" t="s">
        <v>28</v>
      </c>
      <c r="N7715" s="17">
        <v>43278</v>
      </c>
      <c r="O7715" s="15" t="s">
        <v>99</v>
      </c>
      <c r="P7715" s="16" t="s">
        <v>22395</v>
      </c>
      <c r="Q7715" s="15" t="s">
        <v>75</v>
      </c>
      <c r="R7715" s="13" t="str">
        <f>HYPERLINK("https://my.pitchbook.com?c=109668-34T","View Company Online")</f>
        <v>View Company Online</v>
      </c>
    </row>
    <row r="7716" spans="1:18" hidden="1" x14ac:dyDescent="0.3">
      <c r="A7716" s="9" t="s">
        <v>22683</v>
      </c>
      <c r="B7716" s="9" t="s">
        <v>19509</v>
      </c>
      <c r="C7716" s="11" t="s">
        <v>28</v>
      </c>
      <c r="D7716" s="9" t="s">
        <v>19510</v>
      </c>
      <c r="E7716" s="11" t="s">
        <v>28</v>
      </c>
      <c r="F7716" s="10" t="s">
        <v>28</v>
      </c>
      <c r="G7716" s="10" t="s">
        <v>28</v>
      </c>
      <c r="H7716" s="10" t="s">
        <v>28</v>
      </c>
      <c r="I7716" s="11" t="s">
        <v>28</v>
      </c>
      <c r="J7716" s="11" t="s">
        <v>28</v>
      </c>
      <c r="K7716" s="11" t="s">
        <v>28</v>
      </c>
      <c r="L7716" s="11" t="s">
        <v>28</v>
      </c>
      <c r="M7716" s="11" t="s">
        <v>28</v>
      </c>
      <c r="N7716" s="8">
        <v>43277</v>
      </c>
      <c r="O7716" s="9" t="s">
        <v>52</v>
      </c>
      <c r="P7716" s="12" t="s">
        <v>21790</v>
      </c>
      <c r="Q7716" s="9" t="s">
        <v>75</v>
      </c>
      <c r="R7716" s="14" t="str">
        <f>HYPERLINK("https://my.pitchbook.com?c=127509-76T","View Company Online")</f>
        <v>View Company Online</v>
      </c>
    </row>
    <row r="7717" spans="1:18" hidden="1" x14ac:dyDescent="0.3">
      <c r="A7717" s="15" t="s">
        <v>22684</v>
      </c>
      <c r="B7717" s="15" t="s">
        <v>11073</v>
      </c>
      <c r="C7717" s="18" t="s">
        <v>28</v>
      </c>
      <c r="D7717" s="15" t="s">
        <v>11074</v>
      </c>
      <c r="E7717" s="18" t="s">
        <v>28</v>
      </c>
      <c r="F7717" s="19" t="s">
        <v>28</v>
      </c>
      <c r="G7717" s="19" t="s">
        <v>28</v>
      </c>
      <c r="H7717" s="19" t="s">
        <v>28</v>
      </c>
      <c r="I7717" s="18" t="s">
        <v>28</v>
      </c>
      <c r="J7717" s="18" t="s">
        <v>28</v>
      </c>
      <c r="K7717" s="18" t="s">
        <v>28</v>
      </c>
      <c r="L7717" s="18" t="s">
        <v>28</v>
      </c>
      <c r="M7717" s="18" t="s">
        <v>28</v>
      </c>
      <c r="N7717" s="17">
        <v>43277</v>
      </c>
      <c r="O7717" s="15" t="s">
        <v>52</v>
      </c>
      <c r="P7717" s="16" t="s">
        <v>21790</v>
      </c>
      <c r="Q7717" s="15" t="s">
        <v>522</v>
      </c>
      <c r="R7717" s="13" t="str">
        <f>HYPERLINK("https://my.pitchbook.com?c=111186-82T","View Company Online")</f>
        <v>View Company Online</v>
      </c>
    </row>
    <row r="7718" spans="1:18" hidden="1" x14ac:dyDescent="0.3">
      <c r="A7718" s="9" t="s">
        <v>22685</v>
      </c>
      <c r="B7718" s="9" t="s">
        <v>22686</v>
      </c>
      <c r="C7718" s="11" t="s">
        <v>28</v>
      </c>
      <c r="D7718" s="9" t="s">
        <v>22687</v>
      </c>
      <c r="E7718" s="11" t="s">
        <v>28</v>
      </c>
      <c r="F7718" s="10" t="s">
        <v>28</v>
      </c>
      <c r="G7718" s="10">
        <v>638.16999999999996</v>
      </c>
      <c r="H7718" s="10">
        <v>638.16999999999996</v>
      </c>
      <c r="I7718" s="11" t="s">
        <v>28</v>
      </c>
      <c r="J7718" s="11" t="s">
        <v>28</v>
      </c>
      <c r="K7718" s="11" t="s">
        <v>28</v>
      </c>
      <c r="L7718" s="11" t="s">
        <v>28</v>
      </c>
      <c r="M7718" s="11" t="s">
        <v>28</v>
      </c>
      <c r="N7718" s="8">
        <v>43277</v>
      </c>
      <c r="O7718" s="9" t="s">
        <v>30</v>
      </c>
      <c r="P7718" s="12" t="s">
        <v>22688</v>
      </c>
      <c r="Q7718" s="9" t="s">
        <v>6356</v>
      </c>
      <c r="R7718" s="14" t="str">
        <f>HYPERLINK("https://my.pitchbook.com?c=108051-13T","View Company Online")</f>
        <v>View Company Online</v>
      </c>
    </row>
    <row r="7719" spans="1:18" hidden="1" x14ac:dyDescent="0.3">
      <c r="A7719" s="15" t="s">
        <v>22689</v>
      </c>
      <c r="B7719" s="15" t="s">
        <v>22690</v>
      </c>
      <c r="C7719" s="18" t="s">
        <v>28</v>
      </c>
      <c r="D7719" s="15" t="s">
        <v>22691</v>
      </c>
      <c r="E7719" s="18" t="s">
        <v>28</v>
      </c>
      <c r="F7719" s="19" t="s">
        <v>28</v>
      </c>
      <c r="G7719" s="19">
        <v>0.16</v>
      </c>
      <c r="H7719" s="19" t="s">
        <v>28</v>
      </c>
      <c r="I7719" s="18" t="s">
        <v>28</v>
      </c>
      <c r="J7719" s="18" t="s">
        <v>28</v>
      </c>
      <c r="K7719" s="18" t="s">
        <v>28</v>
      </c>
      <c r="L7719" s="18" t="s">
        <v>28</v>
      </c>
      <c r="M7719" s="18" t="s">
        <v>28</v>
      </c>
      <c r="N7719" s="17">
        <v>43277</v>
      </c>
      <c r="O7719" s="15" t="s">
        <v>379</v>
      </c>
      <c r="P7719" s="16" t="s">
        <v>28</v>
      </c>
      <c r="Q7719" s="15" t="s">
        <v>1643</v>
      </c>
      <c r="R7719" s="13" t="str">
        <f>HYPERLINK("https://my.pitchbook.com?c=113756-41T","View Company Online")</f>
        <v>View Company Online</v>
      </c>
    </row>
    <row r="7720" spans="1:18" hidden="1" x14ac:dyDescent="0.3">
      <c r="A7720" s="9" t="s">
        <v>22692</v>
      </c>
      <c r="B7720" s="9" t="s">
        <v>22693</v>
      </c>
      <c r="C7720" s="11" t="s">
        <v>28</v>
      </c>
      <c r="D7720" s="9" t="s">
        <v>22694</v>
      </c>
      <c r="E7720" s="11" t="s">
        <v>28</v>
      </c>
      <c r="F7720" s="10" t="s">
        <v>28</v>
      </c>
      <c r="G7720" s="10" t="s">
        <v>28</v>
      </c>
      <c r="H7720" s="10" t="s">
        <v>28</v>
      </c>
      <c r="I7720" s="11" t="s">
        <v>28</v>
      </c>
      <c r="J7720" s="11" t="s">
        <v>28</v>
      </c>
      <c r="K7720" s="11" t="s">
        <v>28</v>
      </c>
      <c r="L7720" s="11" t="s">
        <v>28</v>
      </c>
      <c r="M7720" s="11" t="s">
        <v>28</v>
      </c>
      <c r="N7720" s="8">
        <v>43276</v>
      </c>
      <c r="O7720" s="9" t="s">
        <v>30</v>
      </c>
      <c r="P7720" s="12" t="s">
        <v>22695</v>
      </c>
      <c r="Q7720" s="9" t="s">
        <v>54</v>
      </c>
      <c r="R7720" s="14" t="str">
        <f>HYPERLINK("https://my.pitchbook.com?c=107977-69T","View Company Online")</f>
        <v>View Company Online</v>
      </c>
    </row>
    <row r="7721" spans="1:18" hidden="1" x14ac:dyDescent="0.3">
      <c r="A7721" s="15" t="s">
        <v>22696</v>
      </c>
      <c r="B7721" s="15" t="s">
        <v>22697</v>
      </c>
      <c r="C7721" s="18" t="s">
        <v>28</v>
      </c>
      <c r="D7721" s="15" t="s">
        <v>22698</v>
      </c>
      <c r="E7721" s="18" t="s">
        <v>28</v>
      </c>
      <c r="F7721" s="19">
        <v>17.84</v>
      </c>
      <c r="G7721" s="19">
        <v>17.84</v>
      </c>
      <c r="H7721" s="19">
        <v>17.84</v>
      </c>
      <c r="I7721" s="18" t="s">
        <v>28</v>
      </c>
      <c r="J7721" s="18" t="s">
        <v>28</v>
      </c>
      <c r="K7721" s="18" t="s">
        <v>28</v>
      </c>
      <c r="L7721" s="18" t="s">
        <v>28</v>
      </c>
      <c r="M7721" s="18" t="s">
        <v>28</v>
      </c>
      <c r="N7721" s="17">
        <v>43276</v>
      </c>
      <c r="O7721" s="15" t="s">
        <v>30</v>
      </c>
      <c r="P7721" s="16" t="s">
        <v>10279</v>
      </c>
      <c r="Q7721" s="15" t="s">
        <v>75</v>
      </c>
      <c r="R7721" s="13" t="str">
        <f>HYPERLINK("https://my.pitchbook.com?c=109079-47T","View Company Online")</f>
        <v>View Company Online</v>
      </c>
    </row>
    <row r="7722" spans="1:18" hidden="1" x14ac:dyDescent="0.3">
      <c r="A7722" s="9" t="s">
        <v>22699</v>
      </c>
      <c r="B7722" s="9" t="s">
        <v>22700</v>
      </c>
      <c r="C7722" s="11" t="s">
        <v>28</v>
      </c>
      <c r="D7722" s="9" t="s">
        <v>22701</v>
      </c>
      <c r="E7722" s="11" t="s">
        <v>28</v>
      </c>
      <c r="F7722" s="10">
        <v>1011.96</v>
      </c>
      <c r="G7722" s="10">
        <v>505.98</v>
      </c>
      <c r="H7722" s="10">
        <v>1011.96</v>
      </c>
      <c r="I7722" s="11" t="s">
        <v>28</v>
      </c>
      <c r="J7722" s="11" t="s">
        <v>28</v>
      </c>
      <c r="K7722" s="11" t="s">
        <v>28</v>
      </c>
      <c r="L7722" s="11" t="s">
        <v>28</v>
      </c>
      <c r="M7722" s="11" t="s">
        <v>28</v>
      </c>
      <c r="N7722" s="8">
        <v>43276</v>
      </c>
      <c r="O7722" s="9" t="s">
        <v>30</v>
      </c>
      <c r="P7722" s="12" t="s">
        <v>15076</v>
      </c>
      <c r="Q7722" s="9" t="s">
        <v>136</v>
      </c>
      <c r="R7722" s="14" t="str">
        <f>HYPERLINK("https://my.pitchbook.com?c=98565-40T","View Company Online")</f>
        <v>View Company Online</v>
      </c>
    </row>
    <row r="7723" spans="1:18" hidden="1" x14ac:dyDescent="0.3">
      <c r="A7723" s="15" t="s">
        <v>22702</v>
      </c>
      <c r="B7723" s="15" t="s">
        <v>22703</v>
      </c>
      <c r="C7723" s="18" t="s">
        <v>28</v>
      </c>
      <c r="D7723" s="15" t="s">
        <v>22704</v>
      </c>
      <c r="E7723" s="18" t="s">
        <v>28</v>
      </c>
      <c r="F7723" s="19" t="s">
        <v>28</v>
      </c>
      <c r="G7723" s="19" t="s">
        <v>28</v>
      </c>
      <c r="H7723" s="19" t="s">
        <v>28</v>
      </c>
      <c r="I7723" s="18" t="s">
        <v>28</v>
      </c>
      <c r="J7723" s="18" t="s">
        <v>28</v>
      </c>
      <c r="K7723" s="18" t="s">
        <v>28</v>
      </c>
      <c r="L7723" s="18" t="s">
        <v>28</v>
      </c>
      <c r="M7723" s="18" t="s">
        <v>28</v>
      </c>
      <c r="N7723" s="17">
        <v>43276</v>
      </c>
      <c r="O7723" s="15" t="s">
        <v>30</v>
      </c>
      <c r="P7723" s="16" t="s">
        <v>22695</v>
      </c>
      <c r="Q7723" s="15" t="s">
        <v>1144</v>
      </c>
      <c r="R7723" s="13" t="str">
        <f>HYPERLINK("https://my.pitchbook.com?c=107978-32T","View Company Online")</f>
        <v>View Company Online</v>
      </c>
    </row>
    <row r="7724" spans="1:18" hidden="1" x14ac:dyDescent="0.3">
      <c r="A7724" s="9" t="s">
        <v>22705</v>
      </c>
      <c r="B7724" s="9" t="s">
        <v>18869</v>
      </c>
      <c r="C7724" s="11" t="s">
        <v>28</v>
      </c>
      <c r="D7724" s="9" t="s">
        <v>18870</v>
      </c>
      <c r="E7724" s="11" t="s">
        <v>28</v>
      </c>
      <c r="F7724" s="10" t="s">
        <v>28</v>
      </c>
      <c r="G7724" s="10">
        <v>0.8</v>
      </c>
      <c r="H7724" s="10" t="s">
        <v>28</v>
      </c>
      <c r="I7724" s="11" t="s">
        <v>28</v>
      </c>
      <c r="J7724" s="11" t="s">
        <v>28</v>
      </c>
      <c r="K7724" s="11" t="s">
        <v>28</v>
      </c>
      <c r="L7724" s="11" t="s">
        <v>28</v>
      </c>
      <c r="M7724" s="11" t="s">
        <v>28</v>
      </c>
      <c r="N7724" s="8">
        <v>43276</v>
      </c>
      <c r="O7724" s="9" t="s">
        <v>379</v>
      </c>
      <c r="P7724" s="12" t="s">
        <v>28</v>
      </c>
      <c r="Q7724" s="9" t="s">
        <v>75</v>
      </c>
      <c r="R7724" s="14" t="str">
        <f>HYPERLINK("https://my.pitchbook.com?c=108110-08T","View Company Online")</f>
        <v>View Company Online</v>
      </c>
    </row>
    <row r="7725" spans="1:18" hidden="1" x14ac:dyDescent="0.3">
      <c r="A7725" s="15" t="s">
        <v>22706</v>
      </c>
      <c r="B7725" s="15" t="s">
        <v>22707</v>
      </c>
      <c r="C7725" s="18" t="s">
        <v>28</v>
      </c>
      <c r="D7725" s="15" t="s">
        <v>22708</v>
      </c>
      <c r="E7725" s="18" t="s">
        <v>28</v>
      </c>
      <c r="F7725" s="19" t="s">
        <v>28</v>
      </c>
      <c r="G7725" s="19">
        <v>0.1</v>
      </c>
      <c r="H7725" s="19" t="s">
        <v>28</v>
      </c>
      <c r="I7725" s="18" t="s">
        <v>28</v>
      </c>
      <c r="J7725" s="18" t="s">
        <v>28</v>
      </c>
      <c r="K7725" s="18">
        <v>0.13</v>
      </c>
      <c r="L7725" s="18" t="s">
        <v>28</v>
      </c>
      <c r="M7725" s="18" t="s">
        <v>28</v>
      </c>
      <c r="N7725" s="17">
        <v>43274</v>
      </c>
      <c r="O7725" s="15" t="s">
        <v>1639</v>
      </c>
      <c r="P7725" s="16" t="s">
        <v>28</v>
      </c>
      <c r="Q7725" s="15" t="s">
        <v>1179</v>
      </c>
      <c r="R7725" s="13" t="str">
        <f>HYPERLINK("https://my.pitchbook.com?c=122939-47T","View Company Online")</f>
        <v>View Company Online</v>
      </c>
    </row>
    <row r="7726" spans="1:18" hidden="1" x14ac:dyDescent="0.3">
      <c r="A7726" s="9" t="s">
        <v>22709</v>
      </c>
      <c r="B7726" s="9" t="s">
        <v>16883</v>
      </c>
      <c r="C7726" s="11" t="s">
        <v>28</v>
      </c>
      <c r="D7726" s="9" t="s">
        <v>16884</v>
      </c>
      <c r="E7726" s="11" t="s">
        <v>28</v>
      </c>
      <c r="F7726" s="10" t="s">
        <v>28</v>
      </c>
      <c r="G7726" s="10">
        <v>0.01</v>
      </c>
      <c r="H7726" s="10" t="s">
        <v>28</v>
      </c>
      <c r="I7726" s="11" t="s">
        <v>28</v>
      </c>
      <c r="J7726" s="11" t="s">
        <v>28</v>
      </c>
      <c r="K7726" s="11" t="s">
        <v>28</v>
      </c>
      <c r="L7726" s="11" t="s">
        <v>28</v>
      </c>
      <c r="M7726" s="11" t="s">
        <v>28</v>
      </c>
      <c r="N7726" s="8">
        <v>43274</v>
      </c>
      <c r="O7726" s="9" t="s">
        <v>52</v>
      </c>
      <c r="P7726" s="12" t="s">
        <v>22570</v>
      </c>
      <c r="Q7726" s="9" t="s">
        <v>75</v>
      </c>
      <c r="R7726" s="14" t="str">
        <f>HYPERLINK("https://my.pitchbook.com?c=123103-99T","View Company Online")</f>
        <v>View Company Online</v>
      </c>
    </row>
    <row r="7727" spans="1:18" hidden="1" x14ac:dyDescent="0.3">
      <c r="A7727" s="15" t="s">
        <v>22710</v>
      </c>
      <c r="B7727" s="15" t="s">
        <v>22711</v>
      </c>
      <c r="C7727" s="18" t="s">
        <v>28</v>
      </c>
      <c r="D7727" s="15" t="s">
        <v>22712</v>
      </c>
      <c r="E7727" s="18" t="s">
        <v>28</v>
      </c>
      <c r="F7727" s="19" t="s">
        <v>28</v>
      </c>
      <c r="G7727" s="19">
        <v>1.2</v>
      </c>
      <c r="H7727" s="19" t="s">
        <v>28</v>
      </c>
      <c r="I7727" s="18" t="s">
        <v>28</v>
      </c>
      <c r="J7727" s="18" t="s">
        <v>28</v>
      </c>
      <c r="K7727" s="18" t="s">
        <v>28</v>
      </c>
      <c r="L7727" s="18" t="s">
        <v>28</v>
      </c>
      <c r="M7727" s="18" t="s">
        <v>28</v>
      </c>
      <c r="N7727" s="17">
        <v>43273</v>
      </c>
      <c r="O7727" s="15" t="s">
        <v>73</v>
      </c>
      <c r="P7727" s="16" t="s">
        <v>22713</v>
      </c>
      <c r="Q7727" s="15" t="s">
        <v>404</v>
      </c>
      <c r="R7727" s="13" t="str">
        <f>HYPERLINK("https://my.pitchbook.com?c=108069-49T","View Company Online")</f>
        <v>View Company Online</v>
      </c>
    </row>
    <row r="7728" spans="1:18" hidden="1" x14ac:dyDescent="0.3">
      <c r="A7728" s="9" t="s">
        <v>22714</v>
      </c>
      <c r="B7728" s="9" t="s">
        <v>15824</v>
      </c>
      <c r="C7728" s="11" t="s">
        <v>28</v>
      </c>
      <c r="D7728" s="9" t="s">
        <v>15825</v>
      </c>
      <c r="E7728" s="11" t="s">
        <v>28</v>
      </c>
      <c r="F7728" s="10" t="s">
        <v>28</v>
      </c>
      <c r="G7728" s="10" t="s">
        <v>28</v>
      </c>
      <c r="H7728" s="10" t="s">
        <v>28</v>
      </c>
      <c r="I7728" s="11" t="s">
        <v>28</v>
      </c>
      <c r="J7728" s="11" t="s">
        <v>28</v>
      </c>
      <c r="K7728" s="11" t="s">
        <v>28</v>
      </c>
      <c r="L7728" s="11" t="s">
        <v>28</v>
      </c>
      <c r="M7728" s="11" t="s">
        <v>28</v>
      </c>
      <c r="N7728" s="8">
        <v>43272</v>
      </c>
      <c r="O7728" s="9" t="s">
        <v>52</v>
      </c>
      <c r="P7728" s="12" t="s">
        <v>28</v>
      </c>
      <c r="Q7728" s="9" t="s">
        <v>75</v>
      </c>
      <c r="R7728" s="14" t="str">
        <f>HYPERLINK("https://my.pitchbook.com?c=265442-23T","View Company Online")</f>
        <v>View Company Online</v>
      </c>
    </row>
    <row r="7729" spans="1:18" hidden="1" x14ac:dyDescent="0.3">
      <c r="A7729" s="15" t="s">
        <v>22715</v>
      </c>
      <c r="B7729" s="15" t="s">
        <v>12074</v>
      </c>
      <c r="C7729" s="18" t="s">
        <v>28</v>
      </c>
      <c r="D7729" s="15" t="s">
        <v>12075</v>
      </c>
      <c r="E7729" s="18" t="s">
        <v>28</v>
      </c>
      <c r="F7729" s="19" t="s">
        <v>28</v>
      </c>
      <c r="G7729" s="19">
        <v>0.43</v>
      </c>
      <c r="H7729" s="19" t="s">
        <v>28</v>
      </c>
      <c r="I7729" s="18" t="s">
        <v>28</v>
      </c>
      <c r="J7729" s="18" t="s">
        <v>28</v>
      </c>
      <c r="K7729" s="18" t="s">
        <v>28</v>
      </c>
      <c r="L7729" s="18" t="s">
        <v>28</v>
      </c>
      <c r="M7729" s="18" t="s">
        <v>28</v>
      </c>
      <c r="N7729" s="17">
        <v>43272</v>
      </c>
      <c r="O7729" s="15" t="s">
        <v>73</v>
      </c>
      <c r="P7729" s="16" t="s">
        <v>8935</v>
      </c>
      <c r="Q7729" s="15" t="s">
        <v>583</v>
      </c>
      <c r="R7729" s="13" t="str">
        <f>HYPERLINK("https://my.pitchbook.com?c=110611-27T","View Company Online")</f>
        <v>View Company Online</v>
      </c>
    </row>
    <row r="7730" spans="1:18" hidden="1" x14ac:dyDescent="0.3">
      <c r="A7730" s="9" t="s">
        <v>22716</v>
      </c>
      <c r="B7730" s="9" t="s">
        <v>15048</v>
      </c>
      <c r="C7730" s="11" t="s">
        <v>28</v>
      </c>
      <c r="D7730" s="9" t="s">
        <v>15049</v>
      </c>
      <c r="E7730" s="11" t="s">
        <v>28</v>
      </c>
      <c r="F7730" s="10" t="s">
        <v>28</v>
      </c>
      <c r="G7730" s="10">
        <v>0.35</v>
      </c>
      <c r="H7730" s="10" t="s">
        <v>28</v>
      </c>
      <c r="I7730" s="11" t="s">
        <v>28</v>
      </c>
      <c r="J7730" s="11" t="s">
        <v>28</v>
      </c>
      <c r="K7730" s="11" t="s">
        <v>28</v>
      </c>
      <c r="L7730" s="11" t="s">
        <v>28</v>
      </c>
      <c r="M7730" s="11" t="s">
        <v>28</v>
      </c>
      <c r="N7730" s="8">
        <v>43272</v>
      </c>
      <c r="O7730" s="9" t="s">
        <v>99</v>
      </c>
      <c r="P7730" s="12" t="s">
        <v>22717</v>
      </c>
      <c r="Q7730" s="9" t="s">
        <v>75</v>
      </c>
      <c r="R7730" s="14" t="str">
        <f>HYPERLINK("https://my.pitchbook.com?c=110073-25T","View Company Online")</f>
        <v>View Company Online</v>
      </c>
    </row>
    <row r="7731" spans="1:18" x14ac:dyDescent="0.3">
      <c r="A7731" s="15" t="s">
        <v>22718</v>
      </c>
      <c r="B7731" s="15" t="s">
        <v>6659</v>
      </c>
      <c r="C7731" s="18">
        <v>1.27</v>
      </c>
      <c r="D7731" s="15" t="s">
        <v>6660</v>
      </c>
      <c r="E7731" s="18">
        <v>22.31</v>
      </c>
      <c r="F7731" s="19">
        <v>34.950000000000003</v>
      </c>
      <c r="G7731" s="19">
        <v>42.88</v>
      </c>
      <c r="H7731" s="19">
        <v>42.88</v>
      </c>
      <c r="I7731" s="18">
        <v>27.45</v>
      </c>
      <c r="J7731" s="18">
        <v>1.56</v>
      </c>
      <c r="K7731" s="18">
        <v>313.5</v>
      </c>
      <c r="L7731" s="18">
        <v>0.14000000000000001</v>
      </c>
      <c r="M7731" s="18">
        <v>19.5</v>
      </c>
      <c r="N7731" s="17">
        <v>43270</v>
      </c>
      <c r="O7731" s="15" t="s">
        <v>41</v>
      </c>
      <c r="P7731" s="16" t="s">
        <v>20359</v>
      </c>
      <c r="Q7731" s="15" t="s">
        <v>213</v>
      </c>
      <c r="R7731" s="13" t="str">
        <f>HYPERLINK("https://my.pitchbook.com?c=105180-40T","View Company Online")</f>
        <v>View Company Online</v>
      </c>
    </row>
    <row r="7732" spans="1:18" hidden="1" x14ac:dyDescent="0.3">
      <c r="A7732" s="9" t="s">
        <v>22719</v>
      </c>
      <c r="B7732" s="9" t="s">
        <v>16315</v>
      </c>
      <c r="C7732" s="11" t="s">
        <v>28</v>
      </c>
      <c r="D7732" s="9" t="s">
        <v>16316</v>
      </c>
      <c r="E7732" s="11" t="s">
        <v>28</v>
      </c>
      <c r="F7732" s="10">
        <v>9.92</v>
      </c>
      <c r="G7732" s="10">
        <v>9.92</v>
      </c>
      <c r="H7732" s="10">
        <v>9.92</v>
      </c>
      <c r="I7732" s="11" t="s">
        <v>28</v>
      </c>
      <c r="J7732" s="11" t="s">
        <v>28</v>
      </c>
      <c r="K7732" s="11" t="s">
        <v>28</v>
      </c>
      <c r="L7732" s="11" t="s">
        <v>28</v>
      </c>
      <c r="M7732" s="11" t="s">
        <v>28</v>
      </c>
      <c r="N7732" s="8">
        <v>43270</v>
      </c>
      <c r="O7732" s="9" t="s">
        <v>30</v>
      </c>
      <c r="P7732" s="12" t="s">
        <v>12054</v>
      </c>
      <c r="Q7732" s="9" t="s">
        <v>43</v>
      </c>
      <c r="R7732" s="14" t="str">
        <f>HYPERLINK("https://my.pitchbook.com?c=125744-05T","View Company Online")</f>
        <v>View Company Online</v>
      </c>
    </row>
    <row r="7733" spans="1:18" hidden="1" x14ac:dyDescent="0.3">
      <c r="A7733" s="15" t="s">
        <v>22720</v>
      </c>
      <c r="B7733" s="15" t="s">
        <v>22721</v>
      </c>
      <c r="C7733" s="18" t="s">
        <v>28</v>
      </c>
      <c r="D7733" s="15" t="s">
        <v>22722</v>
      </c>
      <c r="E7733" s="18" t="s">
        <v>28</v>
      </c>
      <c r="F7733" s="19">
        <v>0.64</v>
      </c>
      <c r="G7733" s="19">
        <v>0.64</v>
      </c>
      <c r="H7733" s="19">
        <v>0.64</v>
      </c>
      <c r="I7733" s="18" t="s">
        <v>28</v>
      </c>
      <c r="J7733" s="18" t="s">
        <v>28</v>
      </c>
      <c r="K7733" s="18" t="s">
        <v>28</v>
      </c>
      <c r="L7733" s="18" t="s">
        <v>28</v>
      </c>
      <c r="M7733" s="18" t="s">
        <v>28</v>
      </c>
      <c r="N7733" s="17">
        <v>43270</v>
      </c>
      <c r="O7733" s="15" t="s">
        <v>30</v>
      </c>
      <c r="P7733" s="16" t="s">
        <v>9797</v>
      </c>
      <c r="Q7733" s="15" t="s">
        <v>75</v>
      </c>
      <c r="R7733" s="13" t="str">
        <f>HYPERLINK("https://my.pitchbook.com?c=113743-72T","View Company Online")</f>
        <v>View Company Online</v>
      </c>
    </row>
    <row r="7734" spans="1:18" hidden="1" x14ac:dyDescent="0.3">
      <c r="A7734" s="9" t="s">
        <v>22723</v>
      </c>
      <c r="B7734" s="9" t="s">
        <v>19509</v>
      </c>
      <c r="C7734" s="11" t="s">
        <v>28</v>
      </c>
      <c r="D7734" s="9" t="s">
        <v>19510</v>
      </c>
      <c r="E7734" s="11" t="s">
        <v>28</v>
      </c>
      <c r="F7734" s="10" t="s">
        <v>28</v>
      </c>
      <c r="G7734" s="10">
        <v>0.08</v>
      </c>
      <c r="H7734" s="10" t="s">
        <v>28</v>
      </c>
      <c r="I7734" s="11" t="s">
        <v>28</v>
      </c>
      <c r="J7734" s="11" t="s">
        <v>28</v>
      </c>
      <c r="K7734" s="11" t="s">
        <v>28</v>
      </c>
      <c r="L7734" s="11" t="s">
        <v>28</v>
      </c>
      <c r="M7734" s="11" t="s">
        <v>28</v>
      </c>
      <c r="N7734" s="8">
        <v>43269</v>
      </c>
      <c r="O7734" s="9" t="s">
        <v>1639</v>
      </c>
      <c r="P7734" s="12" t="s">
        <v>28</v>
      </c>
      <c r="Q7734" s="9" t="s">
        <v>75</v>
      </c>
      <c r="R7734" s="14" t="str">
        <f>HYPERLINK("https://my.pitchbook.com?c=127511-83T","View Company Online")</f>
        <v>View Company Online</v>
      </c>
    </row>
    <row r="7735" spans="1:18" hidden="1" x14ac:dyDescent="0.3">
      <c r="A7735" s="15" t="s">
        <v>22724</v>
      </c>
      <c r="B7735" s="15" t="s">
        <v>3486</v>
      </c>
      <c r="C7735" s="18" t="s">
        <v>28</v>
      </c>
      <c r="D7735" s="15" t="s">
        <v>3487</v>
      </c>
      <c r="E7735" s="18" t="s">
        <v>28</v>
      </c>
      <c r="F7735" s="19">
        <v>700</v>
      </c>
      <c r="G7735" s="19">
        <v>700</v>
      </c>
      <c r="H7735" s="19">
        <v>700</v>
      </c>
      <c r="I7735" s="18" t="s">
        <v>28</v>
      </c>
      <c r="J7735" s="18" t="s">
        <v>28</v>
      </c>
      <c r="K7735" s="18">
        <v>10.69</v>
      </c>
      <c r="L7735" s="18">
        <v>65.5</v>
      </c>
      <c r="M7735" s="18" t="s">
        <v>28</v>
      </c>
      <c r="N7735" s="17">
        <v>43269</v>
      </c>
      <c r="O7735" s="15" t="s">
        <v>30</v>
      </c>
      <c r="P7735" s="16" t="s">
        <v>22725</v>
      </c>
      <c r="Q7735" s="15" t="s">
        <v>263</v>
      </c>
      <c r="R7735" s="13" t="str">
        <f>HYPERLINK("https://my.pitchbook.com?c=110811-97T","View Company Online")</f>
        <v>View Company Online</v>
      </c>
    </row>
    <row r="7736" spans="1:18" hidden="1" x14ac:dyDescent="0.3">
      <c r="A7736" s="9" t="s">
        <v>22726</v>
      </c>
      <c r="B7736" s="9" t="s">
        <v>22727</v>
      </c>
      <c r="C7736" s="11" t="s">
        <v>28</v>
      </c>
      <c r="D7736" s="9" t="s">
        <v>22728</v>
      </c>
      <c r="E7736" s="11" t="s">
        <v>28</v>
      </c>
      <c r="F7736" s="10" t="s">
        <v>28</v>
      </c>
      <c r="G7736" s="10" t="s">
        <v>28</v>
      </c>
      <c r="H7736" s="10" t="s">
        <v>28</v>
      </c>
      <c r="I7736" s="11" t="s">
        <v>28</v>
      </c>
      <c r="J7736" s="11" t="s">
        <v>28</v>
      </c>
      <c r="K7736" s="11" t="s">
        <v>28</v>
      </c>
      <c r="L7736" s="11" t="s">
        <v>28</v>
      </c>
      <c r="M7736" s="11" t="s">
        <v>28</v>
      </c>
      <c r="N7736" s="8">
        <v>43268</v>
      </c>
      <c r="O7736" s="9" t="s">
        <v>30</v>
      </c>
      <c r="P7736" s="12" t="s">
        <v>22729</v>
      </c>
      <c r="Q7736" s="9" t="s">
        <v>1536</v>
      </c>
      <c r="R7736" s="14" t="str">
        <f>HYPERLINK("https://my.pitchbook.com?c=244071-19T","View Company Online")</f>
        <v>View Company Online</v>
      </c>
    </row>
    <row r="7737" spans="1:18" hidden="1" x14ac:dyDescent="0.3">
      <c r="A7737" s="15" t="s">
        <v>22730</v>
      </c>
      <c r="B7737" s="15" t="s">
        <v>1387</v>
      </c>
      <c r="C7737" s="18" t="s">
        <v>28</v>
      </c>
      <c r="D7737" s="15" t="s">
        <v>1388</v>
      </c>
      <c r="E7737" s="18">
        <v>11.5</v>
      </c>
      <c r="F7737" s="19" t="s">
        <v>28</v>
      </c>
      <c r="G7737" s="19" t="s">
        <v>28</v>
      </c>
      <c r="H7737" s="19" t="s">
        <v>28</v>
      </c>
      <c r="I7737" s="18">
        <v>35.299999999999997</v>
      </c>
      <c r="J7737" s="18" t="s">
        <v>28</v>
      </c>
      <c r="K7737" s="18">
        <v>467.81</v>
      </c>
      <c r="L7737" s="18" t="s">
        <v>28</v>
      </c>
      <c r="M7737" s="18">
        <v>4.45</v>
      </c>
      <c r="N7737" s="17">
        <v>43268</v>
      </c>
      <c r="O7737" s="15" t="s">
        <v>159</v>
      </c>
      <c r="P7737" s="16" t="s">
        <v>28</v>
      </c>
      <c r="Q7737" s="15" t="s">
        <v>169</v>
      </c>
      <c r="R7737" s="13" t="str">
        <f>HYPERLINK("https://my.pitchbook.com?c=107532-10T","View Company Online")</f>
        <v>View Company Online</v>
      </c>
    </row>
    <row r="7738" spans="1:18" hidden="1" x14ac:dyDescent="0.3">
      <c r="A7738" s="9" t="s">
        <v>22731</v>
      </c>
      <c r="B7738" s="9" t="s">
        <v>22732</v>
      </c>
      <c r="C7738" s="11" t="s">
        <v>28</v>
      </c>
      <c r="D7738" s="9" t="s">
        <v>22733</v>
      </c>
      <c r="E7738" s="11" t="s">
        <v>28</v>
      </c>
      <c r="F7738" s="10" t="s">
        <v>28</v>
      </c>
      <c r="G7738" s="10" t="s">
        <v>28</v>
      </c>
      <c r="H7738" s="10" t="s">
        <v>28</v>
      </c>
      <c r="I7738" s="11" t="s">
        <v>28</v>
      </c>
      <c r="J7738" s="11" t="s">
        <v>28</v>
      </c>
      <c r="K7738" s="11" t="s">
        <v>28</v>
      </c>
      <c r="L7738" s="11" t="s">
        <v>28</v>
      </c>
      <c r="M7738" s="11" t="s">
        <v>28</v>
      </c>
      <c r="N7738" s="8">
        <v>43267</v>
      </c>
      <c r="O7738" s="9" t="s">
        <v>30</v>
      </c>
      <c r="P7738" s="12" t="s">
        <v>22734</v>
      </c>
      <c r="Q7738" s="9" t="s">
        <v>114</v>
      </c>
      <c r="R7738" s="14" t="str">
        <f>HYPERLINK("https://my.pitchbook.com?c=109526-23T","View Company Online")</f>
        <v>View Company Online</v>
      </c>
    </row>
    <row r="7739" spans="1:18" hidden="1" x14ac:dyDescent="0.3">
      <c r="A7739" s="15" t="s">
        <v>22735</v>
      </c>
      <c r="B7739" s="15" t="s">
        <v>22736</v>
      </c>
      <c r="C7739" s="18" t="s">
        <v>28</v>
      </c>
      <c r="D7739" s="15" t="s">
        <v>22737</v>
      </c>
      <c r="E7739" s="18" t="s">
        <v>28</v>
      </c>
      <c r="F7739" s="19" t="s">
        <v>28</v>
      </c>
      <c r="G7739" s="19" t="s">
        <v>28</v>
      </c>
      <c r="H7739" s="19" t="s">
        <v>28</v>
      </c>
      <c r="I7739" s="18" t="s">
        <v>28</v>
      </c>
      <c r="J7739" s="18" t="s">
        <v>28</v>
      </c>
      <c r="K7739" s="18">
        <v>9.39</v>
      </c>
      <c r="L7739" s="18" t="s">
        <v>28</v>
      </c>
      <c r="M7739" s="18" t="s">
        <v>28</v>
      </c>
      <c r="N7739" s="17">
        <v>43266</v>
      </c>
      <c r="O7739" s="15" t="s">
        <v>30</v>
      </c>
      <c r="P7739" s="16" t="s">
        <v>22738</v>
      </c>
      <c r="Q7739" s="15" t="s">
        <v>10313</v>
      </c>
      <c r="R7739" s="13" t="str">
        <f>HYPERLINK("https://my.pitchbook.com?c=107498-71T","View Company Online")</f>
        <v>View Company Online</v>
      </c>
    </row>
    <row r="7740" spans="1:18" hidden="1" x14ac:dyDescent="0.3">
      <c r="A7740" s="9" t="s">
        <v>22739</v>
      </c>
      <c r="B7740" s="9" t="s">
        <v>22740</v>
      </c>
      <c r="C7740" s="11" t="s">
        <v>28</v>
      </c>
      <c r="D7740" s="9" t="s">
        <v>22741</v>
      </c>
      <c r="E7740" s="11" t="s">
        <v>28</v>
      </c>
      <c r="F7740" s="10">
        <v>214.48</v>
      </c>
      <c r="G7740" s="10">
        <v>214.48</v>
      </c>
      <c r="H7740" s="10">
        <v>214.48</v>
      </c>
      <c r="I7740" s="11" t="s">
        <v>28</v>
      </c>
      <c r="J7740" s="11" t="s">
        <v>28</v>
      </c>
      <c r="K7740" s="11" t="s">
        <v>28</v>
      </c>
      <c r="L7740" s="11" t="s">
        <v>28</v>
      </c>
      <c r="M7740" s="11" t="s">
        <v>28</v>
      </c>
      <c r="N7740" s="8">
        <v>43266</v>
      </c>
      <c r="O7740" s="9" t="s">
        <v>41</v>
      </c>
      <c r="P7740" s="12" t="s">
        <v>22742</v>
      </c>
      <c r="Q7740" s="9" t="s">
        <v>160</v>
      </c>
      <c r="R7740" s="14" t="str">
        <f>HYPERLINK("https://my.pitchbook.com?c=110211-22T","View Company Online")</f>
        <v>View Company Online</v>
      </c>
    </row>
    <row r="7741" spans="1:18" x14ac:dyDescent="0.3">
      <c r="A7741" s="15" t="s">
        <v>22743</v>
      </c>
      <c r="B7741" s="15" t="s">
        <v>22744</v>
      </c>
      <c r="C7741" s="18" t="s">
        <v>28</v>
      </c>
      <c r="D7741" s="15" t="s">
        <v>22745</v>
      </c>
      <c r="E7741" s="18">
        <v>-205.91</v>
      </c>
      <c r="F7741" s="19">
        <v>234.85</v>
      </c>
      <c r="G7741" s="19">
        <v>413.61</v>
      </c>
      <c r="H7741" s="19">
        <v>443.31</v>
      </c>
      <c r="I7741" s="18">
        <v>-40.11</v>
      </c>
      <c r="J7741" s="18">
        <v>-11.05</v>
      </c>
      <c r="K7741" s="18">
        <v>4176.25</v>
      </c>
      <c r="L7741" s="18">
        <v>0.11</v>
      </c>
      <c r="M7741" s="18">
        <v>-277.87</v>
      </c>
      <c r="N7741" s="17">
        <v>43265</v>
      </c>
      <c r="O7741" s="15" t="s">
        <v>30</v>
      </c>
      <c r="P7741" s="16" t="s">
        <v>22746</v>
      </c>
      <c r="Q7741" s="15" t="s">
        <v>348</v>
      </c>
      <c r="R7741" s="13" t="str">
        <f>HYPERLINK("https://my.pitchbook.com?c=104045-77T","View Company Online")</f>
        <v>View Company Online</v>
      </c>
    </row>
    <row r="7742" spans="1:18" hidden="1" x14ac:dyDescent="0.3">
      <c r="A7742" s="9" t="s">
        <v>22747</v>
      </c>
      <c r="B7742" s="9" t="s">
        <v>22748</v>
      </c>
      <c r="C7742" s="11" t="s">
        <v>28</v>
      </c>
      <c r="D7742" s="9" t="s">
        <v>3024</v>
      </c>
      <c r="E7742" s="11" t="s">
        <v>28</v>
      </c>
      <c r="F7742" s="10" t="s">
        <v>28</v>
      </c>
      <c r="G7742" s="10" t="s">
        <v>28</v>
      </c>
      <c r="H7742" s="10" t="s">
        <v>28</v>
      </c>
      <c r="I7742" s="11" t="s">
        <v>28</v>
      </c>
      <c r="J7742" s="11" t="s">
        <v>28</v>
      </c>
      <c r="K7742" s="11" t="s">
        <v>28</v>
      </c>
      <c r="L7742" s="11" t="s">
        <v>28</v>
      </c>
      <c r="M7742" s="11" t="s">
        <v>28</v>
      </c>
      <c r="N7742" s="8">
        <v>43265</v>
      </c>
      <c r="O7742" s="9" t="s">
        <v>173</v>
      </c>
      <c r="P7742" s="12" t="s">
        <v>28</v>
      </c>
      <c r="Q7742" s="9" t="s">
        <v>174</v>
      </c>
      <c r="R7742" s="14" t="str">
        <f>HYPERLINK("https://my.pitchbook.com?c=255497-77T","View Company Online")</f>
        <v>View Company Online</v>
      </c>
    </row>
    <row r="7743" spans="1:18" hidden="1" x14ac:dyDescent="0.3">
      <c r="A7743" s="15" t="s">
        <v>22749</v>
      </c>
      <c r="B7743" s="15" t="s">
        <v>22750</v>
      </c>
      <c r="C7743" s="18" t="s">
        <v>28</v>
      </c>
      <c r="D7743" s="15" t="s">
        <v>22751</v>
      </c>
      <c r="E7743" s="18" t="s">
        <v>28</v>
      </c>
      <c r="F7743" s="19" t="s">
        <v>28</v>
      </c>
      <c r="G7743" s="19" t="s">
        <v>28</v>
      </c>
      <c r="H7743" s="19" t="s">
        <v>28</v>
      </c>
      <c r="I7743" s="18" t="s">
        <v>28</v>
      </c>
      <c r="J7743" s="18" t="s">
        <v>28</v>
      </c>
      <c r="K7743" s="18" t="s">
        <v>28</v>
      </c>
      <c r="L7743" s="18" t="s">
        <v>28</v>
      </c>
      <c r="M7743" s="18" t="s">
        <v>28</v>
      </c>
      <c r="N7743" s="17">
        <v>43265</v>
      </c>
      <c r="O7743" s="15" t="s">
        <v>30</v>
      </c>
      <c r="P7743" s="16" t="s">
        <v>22752</v>
      </c>
      <c r="Q7743" s="15" t="s">
        <v>37</v>
      </c>
      <c r="R7743" s="13" t="str">
        <f>HYPERLINK("https://my.pitchbook.com?c=193528-45T","View Company Online")</f>
        <v>View Company Online</v>
      </c>
    </row>
    <row r="7744" spans="1:18" hidden="1" x14ac:dyDescent="0.3">
      <c r="A7744" s="9" t="s">
        <v>22753</v>
      </c>
      <c r="B7744" s="9" t="s">
        <v>11897</v>
      </c>
      <c r="C7744" s="11" t="s">
        <v>28</v>
      </c>
      <c r="D7744" s="9" t="s">
        <v>11898</v>
      </c>
      <c r="E7744" s="11" t="s">
        <v>28</v>
      </c>
      <c r="F7744" s="10" t="s">
        <v>28</v>
      </c>
      <c r="G7744" s="10">
        <v>7.0000000000000007E-2</v>
      </c>
      <c r="H7744" s="10" t="s">
        <v>28</v>
      </c>
      <c r="I7744" s="11" t="s">
        <v>28</v>
      </c>
      <c r="J7744" s="11" t="s">
        <v>28</v>
      </c>
      <c r="K7744" s="11" t="s">
        <v>28</v>
      </c>
      <c r="L7744" s="11" t="s">
        <v>28</v>
      </c>
      <c r="M7744" s="11" t="s">
        <v>28</v>
      </c>
      <c r="N7744" s="8">
        <v>43264</v>
      </c>
      <c r="O7744" s="9" t="s">
        <v>99</v>
      </c>
      <c r="P7744" s="12" t="s">
        <v>221</v>
      </c>
      <c r="Q7744" s="9" t="s">
        <v>188</v>
      </c>
      <c r="R7744" s="14" t="str">
        <f>HYPERLINK("https://my.pitchbook.com?c=210985-66T","View Company Online")</f>
        <v>View Company Online</v>
      </c>
    </row>
    <row r="7745" spans="1:18" hidden="1" x14ac:dyDescent="0.3">
      <c r="A7745" s="15" t="s">
        <v>22754</v>
      </c>
      <c r="B7745" s="15" t="s">
        <v>22755</v>
      </c>
      <c r="C7745" s="18" t="s">
        <v>28</v>
      </c>
      <c r="D7745" s="15" t="s">
        <v>22756</v>
      </c>
      <c r="E7745" s="18" t="s">
        <v>28</v>
      </c>
      <c r="F7745" s="19" t="s">
        <v>28</v>
      </c>
      <c r="G7745" s="19">
        <v>0.01</v>
      </c>
      <c r="H7745" s="19" t="s">
        <v>28</v>
      </c>
      <c r="I7745" s="18" t="s">
        <v>28</v>
      </c>
      <c r="J7745" s="18" t="s">
        <v>28</v>
      </c>
      <c r="K7745" s="18" t="s">
        <v>28</v>
      </c>
      <c r="L7745" s="18" t="s">
        <v>28</v>
      </c>
      <c r="M7745" s="18" t="s">
        <v>28</v>
      </c>
      <c r="N7745" s="17">
        <v>43264</v>
      </c>
      <c r="O7745" s="15" t="s">
        <v>52</v>
      </c>
      <c r="P7745" s="16" t="s">
        <v>22757</v>
      </c>
      <c r="Q7745" s="15" t="s">
        <v>85</v>
      </c>
      <c r="R7745" s="13" t="str">
        <f>HYPERLINK("https://my.pitchbook.com?c=123110-20T","View Company Online")</f>
        <v>View Company Online</v>
      </c>
    </row>
    <row r="7746" spans="1:18" hidden="1" x14ac:dyDescent="0.3">
      <c r="A7746" s="9" t="s">
        <v>22758</v>
      </c>
      <c r="B7746" s="9" t="s">
        <v>14719</v>
      </c>
      <c r="C7746" s="11" t="s">
        <v>28</v>
      </c>
      <c r="D7746" s="9" t="s">
        <v>14720</v>
      </c>
      <c r="E7746" s="11" t="s">
        <v>28</v>
      </c>
      <c r="F7746" s="10">
        <v>61</v>
      </c>
      <c r="G7746" s="10">
        <v>61</v>
      </c>
      <c r="H7746" s="10">
        <v>61</v>
      </c>
      <c r="I7746" s="11" t="s">
        <v>28</v>
      </c>
      <c r="J7746" s="11" t="s">
        <v>28</v>
      </c>
      <c r="K7746" s="11">
        <v>102.94</v>
      </c>
      <c r="L7746" s="11">
        <v>0.59</v>
      </c>
      <c r="M7746" s="11" t="s">
        <v>28</v>
      </c>
      <c r="N7746" s="8">
        <v>43263</v>
      </c>
      <c r="O7746" s="9" t="s">
        <v>41</v>
      </c>
      <c r="P7746" s="12" t="s">
        <v>22759</v>
      </c>
      <c r="Q7746" s="9" t="s">
        <v>169</v>
      </c>
      <c r="R7746" s="14" t="str">
        <f>HYPERLINK("https://my.pitchbook.com?c=126298-90T","View Company Online")</f>
        <v>View Company Online</v>
      </c>
    </row>
    <row r="7747" spans="1:18" hidden="1" x14ac:dyDescent="0.3">
      <c r="A7747" s="15" t="s">
        <v>22760</v>
      </c>
      <c r="B7747" s="15" t="s">
        <v>22761</v>
      </c>
      <c r="C7747" s="18" t="s">
        <v>28</v>
      </c>
      <c r="D7747" s="15" t="s">
        <v>22762</v>
      </c>
      <c r="E7747" s="18" t="s">
        <v>28</v>
      </c>
      <c r="F7747" s="19" t="s">
        <v>28</v>
      </c>
      <c r="G7747" s="19" t="s">
        <v>28</v>
      </c>
      <c r="H7747" s="19" t="s">
        <v>28</v>
      </c>
      <c r="I7747" s="18" t="s">
        <v>28</v>
      </c>
      <c r="J7747" s="18" t="s">
        <v>28</v>
      </c>
      <c r="K7747" s="18" t="s">
        <v>28</v>
      </c>
      <c r="L7747" s="18" t="s">
        <v>28</v>
      </c>
      <c r="M7747" s="18" t="s">
        <v>28</v>
      </c>
      <c r="N7747" s="17">
        <v>43263</v>
      </c>
      <c r="O7747" s="15" t="s">
        <v>41</v>
      </c>
      <c r="P7747" s="16" t="s">
        <v>22763</v>
      </c>
      <c r="Q7747" s="15" t="s">
        <v>183</v>
      </c>
      <c r="R7747" s="13" t="str">
        <f>HYPERLINK("https://my.pitchbook.com?c=107412-49T","View Company Online")</f>
        <v>View Company Online</v>
      </c>
    </row>
    <row r="7748" spans="1:18" hidden="1" x14ac:dyDescent="0.3">
      <c r="A7748" s="9" t="s">
        <v>22764</v>
      </c>
      <c r="B7748" s="9" t="s">
        <v>22765</v>
      </c>
      <c r="C7748" s="11" t="s">
        <v>28</v>
      </c>
      <c r="D7748" s="9" t="s">
        <v>22766</v>
      </c>
      <c r="E7748" s="11" t="s">
        <v>28</v>
      </c>
      <c r="F7748" s="10" t="s">
        <v>28</v>
      </c>
      <c r="G7748" s="10" t="s">
        <v>28</v>
      </c>
      <c r="H7748" s="10" t="s">
        <v>28</v>
      </c>
      <c r="I7748" s="11" t="s">
        <v>28</v>
      </c>
      <c r="J7748" s="11" t="s">
        <v>28</v>
      </c>
      <c r="K7748" s="11" t="s">
        <v>28</v>
      </c>
      <c r="L7748" s="11" t="s">
        <v>28</v>
      </c>
      <c r="M7748" s="11" t="s">
        <v>28</v>
      </c>
      <c r="N7748" s="8">
        <v>43263</v>
      </c>
      <c r="O7748" s="9" t="s">
        <v>41</v>
      </c>
      <c r="P7748" s="12" t="s">
        <v>4872</v>
      </c>
      <c r="Q7748" s="9" t="s">
        <v>114</v>
      </c>
      <c r="R7748" s="14" t="str">
        <f>HYPERLINK("https://my.pitchbook.com?c=224283-25T","View Company Online")</f>
        <v>View Company Online</v>
      </c>
    </row>
    <row r="7749" spans="1:18" hidden="1" x14ac:dyDescent="0.3">
      <c r="A7749" s="15" t="s">
        <v>22767</v>
      </c>
      <c r="B7749" s="15" t="s">
        <v>17187</v>
      </c>
      <c r="C7749" s="18" t="s">
        <v>28</v>
      </c>
      <c r="D7749" s="15" t="s">
        <v>17188</v>
      </c>
      <c r="E7749" s="18" t="s">
        <v>28</v>
      </c>
      <c r="F7749" s="19" t="s">
        <v>28</v>
      </c>
      <c r="G7749" s="19" t="s">
        <v>28</v>
      </c>
      <c r="H7749" s="19" t="s">
        <v>28</v>
      </c>
      <c r="I7749" s="18" t="s">
        <v>28</v>
      </c>
      <c r="J7749" s="18" t="s">
        <v>28</v>
      </c>
      <c r="K7749" s="18" t="s">
        <v>28</v>
      </c>
      <c r="L7749" s="18" t="s">
        <v>28</v>
      </c>
      <c r="M7749" s="18" t="s">
        <v>28</v>
      </c>
      <c r="N7749" s="17">
        <v>43263</v>
      </c>
      <c r="O7749" s="15" t="s">
        <v>52</v>
      </c>
      <c r="P7749" s="16" t="s">
        <v>17245</v>
      </c>
      <c r="Q7749" s="15" t="s">
        <v>75</v>
      </c>
      <c r="R7749" s="13" t="str">
        <f>HYPERLINK("https://my.pitchbook.com?c=113740-12T","View Company Online")</f>
        <v>View Company Online</v>
      </c>
    </row>
    <row r="7750" spans="1:18" hidden="1" x14ac:dyDescent="0.3">
      <c r="A7750" s="9" t="s">
        <v>22768</v>
      </c>
      <c r="B7750" s="9" t="s">
        <v>22769</v>
      </c>
      <c r="C7750" s="11" t="s">
        <v>28</v>
      </c>
      <c r="D7750" s="9" t="s">
        <v>22770</v>
      </c>
      <c r="E7750" s="11" t="s">
        <v>28</v>
      </c>
      <c r="F7750" s="10" t="s">
        <v>28</v>
      </c>
      <c r="G7750" s="10">
        <v>0.01</v>
      </c>
      <c r="H7750" s="10">
        <v>0.27</v>
      </c>
      <c r="I7750" s="11" t="s">
        <v>28</v>
      </c>
      <c r="J7750" s="11" t="s">
        <v>28</v>
      </c>
      <c r="K7750" s="11" t="s">
        <v>28</v>
      </c>
      <c r="L7750" s="11" t="s">
        <v>28</v>
      </c>
      <c r="M7750" s="11" t="s">
        <v>28</v>
      </c>
      <c r="N7750" s="8">
        <v>43262</v>
      </c>
      <c r="O7750" s="9" t="s">
        <v>52</v>
      </c>
      <c r="P7750" s="12" t="s">
        <v>22570</v>
      </c>
      <c r="Q7750" s="9" t="s">
        <v>85</v>
      </c>
      <c r="R7750" s="14" t="str">
        <f>HYPERLINK("https://my.pitchbook.com?c=122638-33T","View Company Online")</f>
        <v>View Company Online</v>
      </c>
    </row>
    <row r="7751" spans="1:18" hidden="1" x14ac:dyDescent="0.3">
      <c r="A7751" s="15" t="s">
        <v>22771</v>
      </c>
      <c r="B7751" s="15" t="s">
        <v>22772</v>
      </c>
      <c r="C7751" s="18" t="s">
        <v>28</v>
      </c>
      <c r="D7751" s="15" t="s">
        <v>22773</v>
      </c>
      <c r="E7751" s="18" t="s">
        <v>28</v>
      </c>
      <c r="F7751" s="19" t="s">
        <v>28</v>
      </c>
      <c r="G7751" s="19">
        <v>0.01</v>
      </c>
      <c r="H7751" s="19" t="s">
        <v>28</v>
      </c>
      <c r="I7751" s="18" t="s">
        <v>28</v>
      </c>
      <c r="J7751" s="18" t="s">
        <v>28</v>
      </c>
      <c r="K7751" s="18" t="s">
        <v>28</v>
      </c>
      <c r="L7751" s="18" t="s">
        <v>28</v>
      </c>
      <c r="M7751" s="18" t="s">
        <v>28</v>
      </c>
      <c r="N7751" s="17">
        <v>43262</v>
      </c>
      <c r="O7751" s="15" t="s">
        <v>99</v>
      </c>
      <c r="P7751" s="16" t="s">
        <v>18538</v>
      </c>
      <c r="Q7751" s="15" t="s">
        <v>37</v>
      </c>
      <c r="R7751" s="13" t="str">
        <f>HYPERLINK("https://my.pitchbook.com?c=119981-62T","View Company Online")</f>
        <v>View Company Online</v>
      </c>
    </row>
    <row r="7752" spans="1:18" hidden="1" x14ac:dyDescent="0.3">
      <c r="A7752" s="9" t="s">
        <v>22774</v>
      </c>
      <c r="B7752" s="9" t="s">
        <v>3933</v>
      </c>
      <c r="C7752" s="11" t="s">
        <v>28</v>
      </c>
      <c r="D7752" s="9" t="s">
        <v>3934</v>
      </c>
      <c r="E7752" s="11" t="s">
        <v>28</v>
      </c>
      <c r="F7752" s="10" t="s">
        <v>28</v>
      </c>
      <c r="G7752" s="10" t="s">
        <v>28</v>
      </c>
      <c r="H7752" s="10" t="s">
        <v>28</v>
      </c>
      <c r="I7752" s="11" t="s">
        <v>28</v>
      </c>
      <c r="J7752" s="11" t="s">
        <v>28</v>
      </c>
      <c r="K7752" s="11" t="s">
        <v>28</v>
      </c>
      <c r="L7752" s="11" t="s">
        <v>28</v>
      </c>
      <c r="M7752" s="11" t="s">
        <v>28</v>
      </c>
      <c r="N7752" s="8">
        <v>43262</v>
      </c>
      <c r="O7752" s="9" t="s">
        <v>52</v>
      </c>
      <c r="P7752" s="12" t="s">
        <v>22775</v>
      </c>
      <c r="Q7752" s="9" t="s">
        <v>381</v>
      </c>
      <c r="R7752" s="14" t="str">
        <f>HYPERLINK("https://my.pitchbook.com?c=110562-67T","View Company Online")</f>
        <v>View Company Online</v>
      </c>
    </row>
    <row r="7753" spans="1:18" hidden="1" x14ac:dyDescent="0.3">
      <c r="A7753" s="15" t="s">
        <v>22776</v>
      </c>
      <c r="B7753" s="15" t="s">
        <v>7035</v>
      </c>
      <c r="C7753" s="18" t="s">
        <v>28</v>
      </c>
      <c r="D7753" s="15" t="s">
        <v>7036</v>
      </c>
      <c r="E7753" s="18" t="s">
        <v>28</v>
      </c>
      <c r="F7753" s="19" t="s">
        <v>28</v>
      </c>
      <c r="G7753" s="19" t="s">
        <v>28</v>
      </c>
      <c r="H7753" s="19" t="s">
        <v>28</v>
      </c>
      <c r="I7753" s="18" t="s">
        <v>28</v>
      </c>
      <c r="J7753" s="18" t="s">
        <v>28</v>
      </c>
      <c r="K7753" s="18" t="s">
        <v>28</v>
      </c>
      <c r="L7753" s="18" t="s">
        <v>28</v>
      </c>
      <c r="M7753" s="18" t="s">
        <v>28</v>
      </c>
      <c r="N7753" s="17">
        <v>43260</v>
      </c>
      <c r="O7753" s="15" t="s">
        <v>52</v>
      </c>
      <c r="P7753" s="16" t="s">
        <v>3869</v>
      </c>
      <c r="Q7753" s="15" t="s">
        <v>37</v>
      </c>
      <c r="R7753" s="13" t="str">
        <f>HYPERLINK("https://my.pitchbook.com?c=115570-72T","View Company Online")</f>
        <v>View Company Online</v>
      </c>
    </row>
    <row r="7754" spans="1:18" hidden="1" x14ac:dyDescent="0.3">
      <c r="A7754" s="9" t="s">
        <v>22777</v>
      </c>
      <c r="B7754" s="9" t="s">
        <v>9018</v>
      </c>
      <c r="C7754" s="11" t="s">
        <v>28</v>
      </c>
      <c r="D7754" s="9" t="s">
        <v>9019</v>
      </c>
      <c r="E7754" s="11" t="s">
        <v>28</v>
      </c>
      <c r="F7754" s="10" t="s">
        <v>28</v>
      </c>
      <c r="G7754" s="10" t="s">
        <v>28</v>
      </c>
      <c r="H7754" s="10" t="s">
        <v>28</v>
      </c>
      <c r="I7754" s="11" t="s">
        <v>28</v>
      </c>
      <c r="J7754" s="11" t="s">
        <v>28</v>
      </c>
      <c r="K7754" s="11" t="s">
        <v>28</v>
      </c>
      <c r="L7754" s="11" t="s">
        <v>28</v>
      </c>
      <c r="M7754" s="11" t="s">
        <v>28</v>
      </c>
      <c r="N7754" s="8">
        <v>43259</v>
      </c>
      <c r="O7754" s="9" t="s">
        <v>30</v>
      </c>
      <c r="P7754" s="12" t="s">
        <v>22778</v>
      </c>
      <c r="Q7754" s="9" t="s">
        <v>54</v>
      </c>
      <c r="R7754" s="14" t="str">
        <f>HYPERLINK("https://my.pitchbook.com?c=209209-60T","View Company Online")</f>
        <v>View Company Online</v>
      </c>
    </row>
    <row r="7755" spans="1:18" hidden="1" x14ac:dyDescent="0.3">
      <c r="A7755" s="15" t="s">
        <v>22779</v>
      </c>
      <c r="B7755" s="15" t="s">
        <v>5094</v>
      </c>
      <c r="C7755" s="18" t="s">
        <v>28</v>
      </c>
      <c r="D7755" s="15" t="s">
        <v>5095</v>
      </c>
      <c r="E7755" s="18" t="s">
        <v>28</v>
      </c>
      <c r="F7755" s="19" t="s">
        <v>28</v>
      </c>
      <c r="G7755" s="19">
        <v>0.81</v>
      </c>
      <c r="H7755" s="19" t="s">
        <v>28</v>
      </c>
      <c r="I7755" s="18" t="s">
        <v>28</v>
      </c>
      <c r="J7755" s="18" t="s">
        <v>28</v>
      </c>
      <c r="K7755" s="18" t="s">
        <v>28</v>
      </c>
      <c r="L7755" s="18" t="s">
        <v>28</v>
      </c>
      <c r="M7755" s="18" t="s">
        <v>28</v>
      </c>
      <c r="N7755" s="17">
        <v>43259</v>
      </c>
      <c r="O7755" s="15" t="s">
        <v>73</v>
      </c>
      <c r="P7755" s="16" t="s">
        <v>22780</v>
      </c>
      <c r="Q7755" s="15" t="s">
        <v>75</v>
      </c>
      <c r="R7755" s="13" t="str">
        <f>HYPERLINK("https://my.pitchbook.com?c=125485-21T","View Company Online")</f>
        <v>View Company Online</v>
      </c>
    </row>
    <row r="7756" spans="1:18" hidden="1" x14ac:dyDescent="0.3">
      <c r="A7756" s="9" t="s">
        <v>22781</v>
      </c>
      <c r="B7756" s="9" t="s">
        <v>22782</v>
      </c>
      <c r="C7756" s="11" t="s">
        <v>28</v>
      </c>
      <c r="D7756" s="9" t="s">
        <v>22783</v>
      </c>
      <c r="E7756" s="11" t="s">
        <v>28</v>
      </c>
      <c r="F7756" s="10" t="s">
        <v>28</v>
      </c>
      <c r="G7756" s="10">
        <v>0.5</v>
      </c>
      <c r="H7756" s="10" t="s">
        <v>28</v>
      </c>
      <c r="I7756" s="11" t="s">
        <v>28</v>
      </c>
      <c r="J7756" s="11" t="s">
        <v>28</v>
      </c>
      <c r="K7756" s="11" t="s">
        <v>28</v>
      </c>
      <c r="L7756" s="11" t="s">
        <v>28</v>
      </c>
      <c r="M7756" s="11" t="s">
        <v>28</v>
      </c>
      <c r="N7756" s="8">
        <v>43259</v>
      </c>
      <c r="O7756" s="9" t="s">
        <v>99</v>
      </c>
      <c r="P7756" s="12" t="s">
        <v>28</v>
      </c>
      <c r="Q7756" s="9" t="s">
        <v>386</v>
      </c>
      <c r="R7756" s="14" t="str">
        <f>HYPERLINK("https://my.pitchbook.com?c=107898-31T","View Company Online")</f>
        <v>View Company Online</v>
      </c>
    </row>
    <row r="7757" spans="1:18" hidden="1" x14ac:dyDescent="0.3">
      <c r="A7757" s="15" t="s">
        <v>22784</v>
      </c>
      <c r="B7757" s="15" t="s">
        <v>21911</v>
      </c>
      <c r="C7757" s="18" t="s">
        <v>28</v>
      </c>
      <c r="D7757" s="15" t="s">
        <v>21912</v>
      </c>
      <c r="E7757" s="18" t="s">
        <v>28</v>
      </c>
      <c r="F7757" s="19" t="s">
        <v>28</v>
      </c>
      <c r="G7757" s="19" t="s">
        <v>28</v>
      </c>
      <c r="H7757" s="19" t="s">
        <v>28</v>
      </c>
      <c r="I7757" s="18" t="s">
        <v>28</v>
      </c>
      <c r="J7757" s="18" t="s">
        <v>28</v>
      </c>
      <c r="K7757" s="18" t="s">
        <v>28</v>
      </c>
      <c r="L7757" s="18" t="s">
        <v>28</v>
      </c>
      <c r="M7757" s="18" t="s">
        <v>28</v>
      </c>
      <c r="N7757" s="17">
        <v>43258</v>
      </c>
      <c r="O7757" s="15" t="s">
        <v>52</v>
      </c>
      <c r="P7757" s="16" t="s">
        <v>22785</v>
      </c>
      <c r="Q7757" s="15" t="s">
        <v>75</v>
      </c>
      <c r="R7757" s="13" t="str">
        <f>HYPERLINK("https://my.pitchbook.com?c=134671-96T","View Company Online")</f>
        <v>View Company Online</v>
      </c>
    </row>
    <row r="7758" spans="1:18" hidden="1" x14ac:dyDescent="0.3">
      <c r="A7758" s="9" t="s">
        <v>22786</v>
      </c>
      <c r="B7758" s="9" t="s">
        <v>22787</v>
      </c>
      <c r="C7758" s="11" t="s">
        <v>28</v>
      </c>
      <c r="D7758" s="9" t="s">
        <v>22788</v>
      </c>
      <c r="E7758" s="11" t="s">
        <v>28</v>
      </c>
      <c r="F7758" s="10" t="s">
        <v>28</v>
      </c>
      <c r="G7758" s="10" t="s">
        <v>28</v>
      </c>
      <c r="H7758" s="10" t="s">
        <v>28</v>
      </c>
      <c r="I7758" s="11" t="s">
        <v>28</v>
      </c>
      <c r="J7758" s="11" t="s">
        <v>28</v>
      </c>
      <c r="K7758" s="11" t="s">
        <v>28</v>
      </c>
      <c r="L7758" s="11" t="s">
        <v>28</v>
      </c>
      <c r="M7758" s="11" t="s">
        <v>28</v>
      </c>
      <c r="N7758" s="8">
        <v>43257</v>
      </c>
      <c r="O7758" s="9" t="s">
        <v>99</v>
      </c>
      <c r="P7758" s="12" t="s">
        <v>18538</v>
      </c>
      <c r="Q7758" s="9" t="s">
        <v>522</v>
      </c>
      <c r="R7758" s="14" t="str">
        <f>HYPERLINK("https://my.pitchbook.com?c=119995-12T","View Company Online")</f>
        <v>View Company Online</v>
      </c>
    </row>
    <row r="7759" spans="1:18" hidden="1" x14ac:dyDescent="0.3">
      <c r="A7759" s="15" t="s">
        <v>22789</v>
      </c>
      <c r="B7759" s="15" t="s">
        <v>19621</v>
      </c>
      <c r="C7759" s="18" t="s">
        <v>28</v>
      </c>
      <c r="D7759" s="15" t="s">
        <v>19622</v>
      </c>
      <c r="E7759" s="18" t="s">
        <v>28</v>
      </c>
      <c r="F7759" s="19" t="s">
        <v>28</v>
      </c>
      <c r="G7759" s="19" t="s">
        <v>28</v>
      </c>
      <c r="H7759" s="19" t="s">
        <v>28</v>
      </c>
      <c r="I7759" s="18" t="s">
        <v>28</v>
      </c>
      <c r="J7759" s="18" t="s">
        <v>28</v>
      </c>
      <c r="K7759" s="18" t="s">
        <v>28</v>
      </c>
      <c r="L7759" s="18" t="s">
        <v>28</v>
      </c>
      <c r="M7759" s="18" t="s">
        <v>28</v>
      </c>
      <c r="N7759" s="17">
        <v>43257</v>
      </c>
      <c r="O7759" s="15" t="s">
        <v>30</v>
      </c>
      <c r="P7759" s="16" t="s">
        <v>28</v>
      </c>
      <c r="Q7759" s="15" t="s">
        <v>10676</v>
      </c>
      <c r="R7759" s="13" t="str">
        <f>HYPERLINK("https://my.pitchbook.com?c=108662-05T","View Company Online")</f>
        <v>View Company Online</v>
      </c>
    </row>
    <row r="7760" spans="1:18" hidden="1" x14ac:dyDescent="0.3">
      <c r="A7760" s="9" t="s">
        <v>22790</v>
      </c>
      <c r="B7760" s="9" t="s">
        <v>13832</v>
      </c>
      <c r="C7760" s="11" t="s">
        <v>28</v>
      </c>
      <c r="D7760" s="9" t="s">
        <v>13833</v>
      </c>
      <c r="E7760" s="11" t="s">
        <v>28</v>
      </c>
      <c r="F7760" s="10" t="s">
        <v>28</v>
      </c>
      <c r="G7760" s="10">
        <v>4</v>
      </c>
      <c r="H7760" s="10" t="s">
        <v>28</v>
      </c>
      <c r="I7760" s="11" t="s">
        <v>28</v>
      </c>
      <c r="J7760" s="11" t="s">
        <v>28</v>
      </c>
      <c r="K7760" s="11" t="s">
        <v>28</v>
      </c>
      <c r="L7760" s="11" t="s">
        <v>28</v>
      </c>
      <c r="M7760" s="11" t="s">
        <v>28</v>
      </c>
      <c r="N7760" s="8">
        <v>43257</v>
      </c>
      <c r="O7760" s="9" t="s">
        <v>73</v>
      </c>
      <c r="P7760" s="12" t="s">
        <v>22791</v>
      </c>
      <c r="Q7760" s="9" t="s">
        <v>37</v>
      </c>
      <c r="R7760" s="14" t="str">
        <f>HYPERLINK("https://my.pitchbook.com?c=107066-08T","View Company Online")</f>
        <v>View Company Online</v>
      </c>
    </row>
    <row r="7761" spans="1:18" hidden="1" x14ac:dyDescent="0.3">
      <c r="A7761" s="15" t="s">
        <v>22792</v>
      </c>
      <c r="B7761" s="15" t="s">
        <v>22793</v>
      </c>
      <c r="C7761" s="18" t="s">
        <v>28</v>
      </c>
      <c r="D7761" s="15" t="s">
        <v>22794</v>
      </c>
      <c r="E7761" s="18" t="s">
        <v>28</v>
      </c>
      <c r="F7761" s="19" t="s">
        <v>28</v>
      </c>
      <c r="G7761" s="19" t="s">
        <v>28</v>
      </c>
      <c r="H7761" s="19" t="s">
        <v>28</v>
      </c>
      <c r="I7761" s="18" t="s">
        <v>28</v>
      </c>
      <c r="J7761" s="18" t="s">
        <v>28</v>
      </c>
      <c r="K7761" s="18" t="s">
        <v>28</v>
      </c>
      <c r="L7761" s="18" t="s">
        <v>28</v>
      </c>
      <c r="M7761" s="18" t="s">
        <v>28</v>
      </c>
      <c r="N7761" s="17">
        <v>43256</v>
      </c>
      <c r="O7761" s="15" t="s">
        <v>52</v>
      </c>
      <c r="P7761" s="16" t="s">
        <v>20017</v>
      </c>
      <c r="Q7761" s="15" t="s">
        <v>245</v>
      </c>
      <c r="R7761" s="13" t="str">
        <f>HYPERLINK("https://my.pitchbook.com?c=284419-63T","View Company Online")</f>
        <v>View Company Online</v>
      </c>
    </row>
    <row r="7762" spans="1:18" hidden="1" x14ac:dyDescent="0.3">
      <c r="A7762" s="9" t="s">
        <v>22795</v>
      </c>
      <c r="B7762" s="9" t="s">
        <v>22796</v>
      </c>
      <c r="C7762" s="11" t="s">
        <v>28</v>
      </c>
      <c r="D7762" s="9" t="s">
        <v>22797</v>
      </c>
      <c r="E7762" s="11" t="s">
        <v>28</v>
      </c>
      <c r="F7762" s="10" t="s">
        <v>28</v>
      </c>
      <c r="G7762" s="10" t="s">
        <v>28</v>
      </c>
      <c r="H7762" s="10" t="s">
        <v>28</v>
      </c>
      <c r="I7762" s="11" t="s">
        <v>28</v>
      </c>
      <c r="J7762" s="11" t="s">
        <v>28</v>
      </c>
      <c r="K7762" s="11" t="s">
        <v>28</v>
      </c>
      <c r="L7762" s="11" t="s">
        <v>28</v>
      </c>
      <c r="M7762" s="11" t="s">
        <v>28</v>
      </c>
      <c r="N7762" s="8">
        <v>43256</v>
      </c>
      <c r="O7762" s="9" t="s">
        <v>173</v>
      </c>
      <c r="P7762" s="12" t="s">
        <v>28</v>
      </c>
      <c r="Q7762" s="9" t="s">
        <v>174</v>
      </c>
      <c r="R7762" s="14" t="str">
        <f>HYPERLINK("https://my.pitchbook.com?c=228684-70T","View Company Online")</f>
        <v>View Company Online</v>
      </c>
    </row>
    <row r="7763" spans="1:18" hidden="1" x14ac:dyDescent="0.3">
      <c r="A7763" s="15" t="s">
        <v>22798</v>
      </c>
      <c r="B7763" s="15" t="s">
        <v>2099</v>
      </c>
      <c r="C7763" s="18" t="s">
        <v>28</v>
      </c>
      <c r="D7763" s="15" t="s">
        <v>2100</v>
      </c>
      <c r="E7763" s="18" t="s">
        <v>28</v>
      </c>
      <c r="F7763" s="19" t="s">
        <v>28</v>
      </c>
      <c r="G7763" s="19" t="s">
        <v>28</v>
      </c>
      <c r="H7763" s="19" t="s">
        <v>28</v>
      </c>
      <c r="I7763" s="18" t="s">
        <v>28</v>
      </c>
      <c r="J7763" s="18" t="s">
        <v>28</v>
      </c>
      <c r="K7763" s="18" t="s">
        <v>28</v>
      </c>
      <c r="L7763" s="18" t="s">
        <v>28</v>
      </c>
      <c r="M7763" s="18" t="s">
        <v>28</v>
      </c>
      <c r="N7763" s="17">
        <v>43255</v>
      </c>
      <c r="O7763" s="15" t="s">
        <v>52</v>
      </c>
      <c r="P7763" s="16" t="s">
        <v>22799</v>
      </c>
      <c r="Q7763" s="15" t="s">
        <v>37</v>
      </c>
      <c r="R7763" s="13" t="str">
        <f>HYPERLINK("https://my.pitchbook.com?c=139299-67T","View Company Online")</f>
        <v>View Company Online</v>
      </c>
    </row>
    <row r="7764" spans="1:18" hidden="1" x14ac:dyDescent="0.3">
      <c r="A7764" s="9" t="s">
        <v>22800</v>
      </c>
      <c r="B7764" s="9" t="s">
        <v>22801</v>
      </c>
      <c r="C7764" s="11" t="s">
        <v>28</v>
      </c>
      <c r="D7764" s="9" t="s">
        <v>22802</v>
      </c>
      <c r="E7764" s="11" t="s">
        <v>28</v>
      </c>
      <c r="F7764" s="10" t="s">
        <v>28</v>
      </c>
      <c r="G7764" s="10" t="s">
        <v>28</v>
      </c>
      <c r="H7764" s="10" t="s">
        <v>28</v>
      </c>
      <c r="I7764" s="11" t="s">
        <v>28</v>
      </c>
      <c r="J7764" s="11" t="s">
        <v>28</v>
      </c>
      <c r="K7764" s="11" t="s">
        <v>28</v>
      </c>
      <c r="L7764" s="11" t="s">
        <v>28</v>
      </c>
      <c r="M7764" s="11" t="s">
        <v>28</v>
      </c>
      <c r="N7764" s="8">
        <v>43255</v>
      </c>
      <c r="O7764" s="9" t="s">
        <v>58</v>
      </c>
      <c r="P7764" s="12" t="s">
        <v>22803</v>
      </c>
      <c r="Q7764" s="9" t="s">
        <v>188</v>
      </c>
      <c r="R7764" s="14" t="str">
        <f>HYPERLINK("https://my.pitchbook.com?c=132806-53T","View Company Online")</f>
        <v>View Company Online</v>
      </c>
    </row>
    <row r="7765" spans="1:18" hidden="1" x14ac:dyDescent="0.3">
      <c r="A7765" s="15" t="s">
        <v>22804</v>
      </c>
      <c r="B7765" s="15" t="s">
        <v>14511</v>
      </c>
      <c r="C7765" s="18" t="s">
        <v>28</v>
      </c>
      <c r="D7765" s="15" t="s">
        <v>14512</v>
      </c>
      <c r="E7765" s="18" t="s">
        <v>28</v>
      </c>
      <c r="F7765" s="19">
        <v>131.59</v>
      </c>
      <c r="G7765" s="19">
        <v>131.59</v>
      </c>
      <c r="H7765" s="19">
        <v>131.59</v>
      </c>
      <c r="I7765" s="18" t="s">
        <v>28</v>
      </c>
      <c r="J7765" s="18" t="s">
        <v>28</v>
      </c>
      <c r="K7765" s="18" t="s">
        <v>28</v>
      </c>
      <c r="L7765" s="18" t="s">
        <v>28</v>
      </c>
      <c r="M7765" s="18" t="s">
        <v>28</v>
      </c>
      <c r="N7765" s="17">
        <v>43255</v>
      </c>
      <c r="O7765" s="15" t="s">
        <v>41</v>
      </c>
      <c r="P7765" s="16" t="s">
        <v>22805</v>
      </c>
      <c r="Q7765" s="15" t="s">
        <v>1144</v>
      </c>
      <c r="R7765" s="13" t="str">
        <f>HYPERLINK("https://my.pitchbook.com?c=73504-99T","View Company Online")</f>
        <v>View Company Online</v>
      </c>
    </row>
    <row r="7766" spans="1:18" hidden="1" x14ac:dyDescent="0.3">
      <c r="A7766" s="9" t="s">
        <v>22806</v>
      </c>
      <c r="B7766" s="9" t="s">
        <v>22807</v>
      </c>
      <c r="C7766" s="11" t="s">
        <v>28</v>
      </c>
      <c r="D7766" s="9" t="s">
        <v>22808</v>
      </c>
      <c r="E7766" s="11" t="s">
        <v>28</v>
      </c>
      <c r="F7766" s="10" t="s">
        <v>28</v>
      </c>
      <c r="G7766" s="10" t="s">
        <v>28</v>
      </c>
      <c r="H7766" s="10" t="s">
        <v>28</v>
      </c>
      <c r="I7766" s="11" t="s">
        <v>28</v>
      </c>
      <c r="J7766" s="11" t="s">
        <v>28</v>
      </c>
      <c r="K7766" s="11" t="s">
        <v>28</v>
      </c>
      <c r="L7766" s="11" t="s">
        <v>28</v>
      </c>
      <c r="M7766" s="11" t="s">
        <v>28</v>
      </c>
      <c r="N7766" s="8">
        <v>43255</v>
      </c>
      <c r="O7766" s="9" t="s">
        <v>30</v>
      </c>
      <c r="P7766" s="12" t="s">
        <v>11390</v>
      </c>
      <c r="Q7766" s="9" t="s">
        <v>105</v>
      </c>
      <c r="R7766" s="14" t="str">
        <f>HYPERLINK("https://my.pitchbook.com?c=114385-69T","View Company Online")</f>
        <v>View Company Online</v>
      </c>
    </row>
    <row r="7767" spans="1:18" hidden="1" x14ac:dyDescent="0.3">
      <c r="A7767" s="15" t="s">
        <v>22809</v>
      </c>
      <c r="B7767" s="15" t="s">
        <v>22810</v>
      </c>
      <c r="C7767" s="18" t="s">
        <v>28</v>
      </c>
      <c r="D7767" s="15" t="s">
        <v>22811</v>
      </c>
      <c r="E7767" s="18" t="s">
        <v>28</v>
      </c>
      <c r="F7767" s="19" t="s">
        <v>28</v>
      </c>
      <c r="G7767" s="19" t="s">
        <v>28</v>
      </c>
      <c r="H7767" s="19" t="s">
        <v>28</v>
      </c>
      <c r="I7767" s="18" t="s">
        <v>28</v>
      </c>
      <c r="J7767" s="18" t="s">
        <v>28</v>
      </c>
      <c r="K7767" s="18" t="s">
        <v>28</v>
      </c>
      <c r="L7767" s="18" t="s">
        <v>28</v>
      </c>
      <c r="M7767" s="18" t="s">
        <v>28</v>
      </c>
      <c r="N7767" s="17">
        <v>43255</v>
      </c>
      <c r="O7767" s="15" t="s">
        <v>30</v>
      </c>
      <c r="P7767" s="16" t="s">
        <v>22812</v>
      </c>
      <c r="Q7767" s="15" t="s">
        <v>240</v>
      </c>
      <c r="R7767" s="13" t="str">
        <f>HYPERLINK("https://my.pitchbook.com?c=100789-03T","View Company Online")</f>
        <v>View Company Online</v>
      </c>
    </row>
    <row r="7768" spans="1:18" hidden="1" x14ac:dyDescent="0.3">
      <c r="A7768" s="9" t="s">
        <v>22813</v>
      </c>
      <c r="B7768" s="9" t="s">
        <v>1351</v>
      </c>
      <c r="C7768" s="11" t="s">
        <v>28</v>
      </c>
      <c r="D7768" s="9" t="s">
        <v>1352</v>
      </c>
      <c r="E7768" s="11" t="s">
        <v>28</v>
      </c>
      <c r="F7768" s="10" t="s">
        <v>28</v>
      </c>
      <c r="G7768" s="10" t="s">
        <v>28</v>
      </c>
      <c r="H7768" s="10" t="s">
        <v>28</v>
      </c>
      <c r="I7768" s="11" t="s">
        <v>28</v>
      </c>
      <c r="J7768" s="11" t="s">
        <v>28</v>
      </c>
      <c r="K7768" s="11" t="s">
        <v>28</v>
      </c>
      <c r="L7768" s="11" t="s">
        <v>28</v>
      </c>
      <c r="M7768" s="11" t="s">
        <v>28</v>
      </c>
      <c r="N7768" s="8">
        <v>43255</v>
      </c>
      <c r="O7768" s="9" t="s">
        <v>52</v>
      </c>
      <c r="P7768" s="12" t="s">
        <v>22814</v>
      </c>
      <c r="Q7768" s="9" t="s">
        <v>37</v>
      </c>
      <c r="R7768" s="14" t="str">
        <f>HYPERLINK("https://my.pitchbook.com?c=265339-09T","View Company Online")</f>
        <v>View Company Online</v>
      </c>
    </row>
    <row r="7769" spans="1:18" hidden="1" x14ac:dyDescent="0.3">
      <c r="A7769" s="15" t="s">
        <v>22815</v>
      </c>
      <c r="B7769" s="15" t="s">
        <v>22816</v>
      </c>
      <c r="C7769" s="18" t="s">
        <v>28</v>
      </c>
      <c r="D7769" s="15" t="s">
        <v>22817</v>
      </c>
      <c r="E7769" s="18" t="s">
        <v>28</v>
      </c>
      <c r="F7769" s="19" t="s">
        <v>28</v>
      </c>
      <c r="G7769" s="19" t="s">
        <v>28</v>
      </c>
      <c r="H7769" s="19" t="s">
        <v>28</v>
      </c>
      <c r="I7769" s="18" t="s">
        <v>28</v>
      </c>
      <c r="J7769" s="18" t="s">
        <v>28</v>
      </c>
      <c r="K7769" s="18" t="s">
        <v>28</v>
      </c>
      <c r="L7769" s="18" t="s">
        <v>28</v>
      </c>
      <c r="M7769" s="18" t="s">
        <v>28</v>
      </c>
      <c r="N7769" s="17">
        <v>43252</v>
      </c>
      <c r="O7769" s="15" t="s">
        <v>30</v>
      </c>
      <c r="P7769" s="16" t="s">
        <v>16643</v>
      </c>
      <c r="Q7769" s="15" t="s">
        <v>37</v>
      </c>
      <c r="R7769" s="13" t="str">
        <f>HYPERLINK("https://my.pitchbook.com?c=178412-23T","View Company Online")</f>
        <v>View Company Online</v>
      </c>
    </row>
    <row r="7770" spans="1:18" hidden="1" x14ac:dyDescent="0.3">
      <c r="A7770" s="9" t="s">
        <v>22818</v>
      </c>
      <c r="B7770" s="9" t="s">
        <v>21508</v>
      </c>
      <c r="C7770" s="11" t="s">
        <v>28</v>
      </c>
      <c r="D7770" s="9" t="s">
        <v>21509</v>
      </c>
      <c r="E7770" s="11" t="s">
        <v>28</v>
      </c>
      <c r="F7770" s="10" t="s">
        <v>28</v>
      </c>
      <c r="G7770" s="10" t="s">
        <v>28</v>
      </c>
      <c r="H7770" s="10" t="s">
        <v>28</v>
      </c>
      <c r="I7770" s="11" t="s">
        <v>28</v>
      </c>
      <c r="J7770" s="11" t="s">
        <v>28</v>
      </c>
      <c r="K7770" s="11" t="s">
        <v>28</v>
      </c>
      <c r="L7770" s="11" t="s">
        <v>28</v>
      </c>
      <c r="M7770" s="11" t="s">
        <v>28</v>
      </c>
      <c r="N7770" s="8">
        <v>43252</v>
      </c>
      <c r="O7770" s="9" t="s">
        <v>99</v>
      </c>
      <c r="P7770" s="12" t="s">
        <v>18538</v>
      </c>
      <c r="Q7770" s="9" t="s">
        <v>75</v>
      </c>
      <c r="R7770" s="14" t="str">
        <f>HYPERLINK("https://my.pitchbook.com?c=119982-43T","View Company Online")</f>
        <v>View Company Online</v>
      </c>
    </row>
    <row r="7771" spans="1:18" hidden="1" x14ac:dyDescent="0.3">
      <c r="A7771" s="15" t="s">
        <v>22819</v>
      </c>
      <c r="B7771" s="15" t="s">
        <v>9850</v>
      </c>
      <c r="C7771" s="18" t="s">
        <v>28</v>
      </c>
      <c r="D7771" s="15" t="s">
        <v>9851</v>
      </c>
      <c r="E7771" s="18" t="s">
        <v>28</v>
      </c>
      <c r="F7771" s="19" t="s">
        <v>28</v>
      </c>
      <c r="G7771" s="19" t="s">
        <v>28</v>
      </c>
      <c r="H7771" s="19" t="s">
        <v>28</v>
      </c>
      <c r="I7771" s="18" t="s">
        <v>28</v>
      </c>
      <c r="J7771" s="18" t="s">
        <v>28</v>
      </c>
      <c r="K7771" s="18" t="s">
        <v>28</v>
      </c>
      <c r="L7771" s="18" t="s">
        <v>28</v>
      </c>
      <c r="M7771" s="18" t="s">
        <v>28</v>
      </c>
      <c r="N7771" s="17">
        <v>43252</v>
      </c>
      <c r="O7771" s="15" t="s">
        <v>99</v>
      </c>
      <c r="P7771" s="16" t="s">
        <v>18538</v>
      </c>
      <c r="Q7771" s="15" t="s">
        <v>75</v>
      </c>
      <c r="R7771" s="13" t="str">
        <f>HYPERLINK("https://my.pitchbook.com?c=119982-88T","View Company Online")</f>
        <v>View Company Online</v>
      </c>
    </row>
    <row r="7772" spans="1:18" hidden="1" x14ac:dyDescent="0.3">
      <c r="A7772" s="9" t="s">
        <v>22820</v>
      </c>
      <c r="B7772" s="9" t="s">
        <v>13630</v>
      </c>
      <c r="C7772" s="11" t="s">
        <v>28</v>
      </c>
      <c r="D7772" s="9" t="s">
        <v>13631</v>
      </c>
      <c r="E7772" s="11" t="s">
        <v>28</v>
      </c>
      <c r="F7772" s="10" t="s">
        <v>28</v>
      </c>
      <c r="G7772" s="10" t="s">
        <v>28</v>
      </c>
      <c r="H7772" s="10" t="s">
        <v>28</v>
      </c>
      <c r="I7772" s="11" t="s">
        <v>28</v>
      </c>
      <c r="J7772" s="11" t="s">
        <v>28</v>
      </c>
      <c r="K7772" s="11" t="s">
        <v>28</v>
      </c>
      <c r="L7772" s="11" t="s">
        <v>28</v>
      </c>
      <c r="M7772" s="11" t="s">
        <v>28</v>
      </c>
      <c r="N7772" s="8">
        <v>43252</v>
      </c>
      <c r="O7772" s="9" t="s">
        <v>52</v>
      </c>
      <c r="P7772" s="12" t="s">
        <v>22821</v>
      </c>
      <c r="Q7772" s="9" t="s">
        <v>1793</v>
      </c>
      <c r="R7772" s="14" t="str">
        <f>HYPERLINK("https://my.pitchbook.com?c=284440-78T","View Company Online")</f>
        <v>View Company Online</v>
      </c>
    </row>
    <row r="7773" spans="1:18" hidden="1" x14ac:dyDescent="0.3">
      <c r="A7773" s="15" t="s">
        <v>22822</v>
      </c>
      <c r="B7773" s="15" t="s">
        <v>20848</v>
      </c>
      <c r="C7773" s="18" t="s">
        <v>28</v>
      </c>
      <c r="D7773" s="15" t="s">
        <v>20849</v>
      </c>
      <c r="E7773" s="18" t="s">
        <v>28</v>
      </c>
      <c r="F7773" s="19" t="s">
        <v>28</v>
      </c>
      <c r="G7773" s="19" t="s">
        <v>28</v>
      </c>
      <c r="H7773" s="19" t="s">
        <v>28</v>
      </c>
      <c r="I7773" s="18" t="s">
        <v>28</v>
      </c>
      <c r="J7773" s="18" t="s">
        <v>28</v>
      </c>
      <c r="K7773" s="18" t="s">
        <v>28</v>
      </c>
      <c r="L7773" s="18" t="s">
        <v>28</v>
      </c>
      <c r="M7773" s="18" t="s">
        <v>28</v>
      </c>
      <c r="N7773" s="17">
        <v>43252</v>
      </c>
      <c r="O7773" s="15" t="s">
        <v>79</v>
      </c>
      <c r="P7773" s="16" t="s">
        <v>611</v>
      </c>
      <c r="Q7773" s="15" t="s">
        <v>75</v>
      </c>
      <c r="R7773" s="13" t="str">
        <f>HYPERLINK("https://my.pitchbook.com?c=196172-11T","View Company Online")</f>
        <v>View Company Online</v>
      </c>
    </row>
    <row r="7774" spans="1:18" hidden="1" x14ac:dyDescent="0.3">
      <c r="A7774" s="9" t="s">
        <v>22823</v>
      </c>
      <c r="B7774" s="9" t="s">
        <v>3380</v>
      </c>
      <c r="C7774" s="11" t="s">
        <v>28</v>
      </c>
      <c r="D7774" s="9" t="s">
        <v>3381</v>
      </c>
      <c r="E7774" s="11" t="s">
        <v>28</v>
      </c>
      <c r="F7774" s="10" t="s">
        <v>28</v>
      </c>
      <c r="G7774" s="10" t="s">
        <v>28</v>
      </c>
      <c r="H7774" s="10" t="s">
        <v>28</v>
      </c>
      <c r="I7774" s="11" t="s">
        <v>28</v>
      </c>
      <c r="J7774" s="11" t="s">
        <v>28</v>
      </c>
      <c r="K7774" s="11" t="s">
        <v>28</v>
      </c>
      <c r="L7774" s="11" t="s">
        <v>28</v>
      </c>
      <c r="M7774" s="11" t="s">
        <v>28</v>
      </c>
      <c r="N7774" s="8">
        <v>43252</v>
      </c>
      <c r="O7774" s="9" t="s">
        <v>52</v>
      </c>
      <c r="P7774" s="12" t="s">
        <v>15600</v>
      </c>
      <c r="Q7774" s="9" t="s">
        <v>75</v>
      </c>
      <c r="R7774" s="14" t="str">
        <f>HYPERLINK("https://my.pitchbook.com?c=195216-85T","View Company Online")</f>
        <v>View Company Online</v>
      </c>
    </row>
    <row r="7775" spans="1:18" hidden="1" x14ac:dyDescent="0.3">
      <c r="A7775" s="15" t="s">
        <v>22824</v>
      </c>
      <c r="B7775" s="15" t="s">
        <v>22628</v>
      </c>
      <c r="C7775" s="18" t="s">
        <v>28</v>
      </c>
      <c r="D7775" s="15" t="s">
        <v>22629</v>
      </c>
      <c r="E7775" s="18" t="s">
        <v>28</v>
      </c>
      <c r="F7775" s="19" t="s">
        <v>28</v>
      </c>
      <c r="G7775" s="19" t="s">
        <v>28</v>
      </c>
      <c r="H7775" s="19" t="s">
        <v>28</v>
      </c>
      <c r="I7775" s="18" t="s">
        <v>28</v>
      </c>
      <c r="J7775" s="18" t="s">
        <v>28</v>
      </c>
      <c r="K7775" s="18" t="s">
        <v>28</v>
      </c>
      <c r="L7775" s="18" t="s">
        <v>28</v>
      </c>
      <c r="M7775" s="18" t="s">
        <v>28</v>
      </c>
      <c r="N7775" s="17">
        <v>43252</v>
      </c>
      <c r="O7775" s="15" t="s">
        <v>52</v>
      </c>
      <c r="P7775" s="16" t="s">
        <v>15600</v>
      </c>
      <c r="Q7775" s="15" t="s">
        <v>386</v>
      </c>
      <c r="R7775" s="13" t="str">
        <f>HYPERLINK("https://my.pitchbook.com?c=119995-66T","View Company Online")</f>
        <v>View Company Online</v>
      </c>
    </row>
    <row r="7776" spans="1:18" hidden="1" x14ac:dyDescent="0.3">
      <c r="A7776" s="9" t="s">
        <v>22825</v>
      </c>
      <c r="B7776" s="9" t="s">
        <v>3119</v>
      </c>
      <c r="C7776" s="11" t="s">
        <v>28</v>
      </c>
      <c r="D7776" s="9" t="s">
        <v>3120</v>
      </c>
      <c r="E7776" s="11" t="s">
        <v>28</v>
      </c>
      <c r="F7776" s="10" t="s">
        <v>28</v>
      </c>
      <c r="G7776" s="10">
        <v>0.22</v>
      </c>
      <c r="H7776" s="10" t="s">
        <v>28</v>
      </c>
      <c r="I7776" s="11" t="s">
        <v>28</v>
      </c>
      <c r="J7776" s="11" t="s">
        <v>28</v>
      </c>
      <c r="K7776" s="11" t="s">
        <v>28</v>
      </c>
      <c r="L7776" s="11" t="s">
        <v>28</v>
      </c>
      <c r="M7776" s="11" t="s">
        <v>28</v>
      </c>
      <c r="N7776" s="8">
        <v>43252</v>
      </c>
      <c r="O7776" s="9" t="s">
        <v>379</v>
      </c>
      <c r="P7776" s="12" t="s">
        <v>22826</v>
      </c>
      <c r="Q7776" s="9" t="s">
        <v>37</v>
      </c>
      <c r="R7776" s="14" t="str">
        <f>HYPERLINK("https://my.pitchbook.com?c=213463-00T","View Company Online")</f>
        <v>View Company Online</v>
      </c>
    </row>
    <row r="7777" spans="1:18" hidden="1" x14ac:dyDescent="0.3">
      <c r="A7777" s="15" t="s">
        <v>22827</v>
      </c>
      <c r="B7777" s="15" t="s">
        <v>18053</v>
      </c>
      <c r="C7777" s="18" t="s">
        <v>28</v>
      </c>
      <c r="D7777" s="15" t="s">
        <v>18054</v>
      </c>
      <c r="E7777" s="18" t="s">
        <v>28</v>
      </c>
      <c r="F7777" s="19" t="s">
        <v>28</v>
      </c>
      <c r="G7777" s="19">
        <v>0.19</v>
      </c>
      <c r="H7777" s="19" t="s">
        <v>28</v>
      </c>
      <c r="I7777" s="18" t="s">
        <v>28</v>
      </c>
      <c r="J7777" s="18" t="s">
        <v>28</v>
      </c>
      <c r="K7777" s="18" t="s">
        <v>28</v>
      </c>
      <c r="L7777" s="18" t="s">
        <v>28</v>
      </c>
      <c r="M7777" s="18" t="s">
        <v>28</v>
      </c>
      <c r="N7777" s="17">
        <v>43252</v>
      </c>
      <c r="O7777" s="15" t="s">
        <v>99</v>
      </c>
      <c r="P7777" s="16" t="s">
        <v>611</v>
      </c>
      <c r="Q7777" s="15" t="s">
        <v>75</v>
      </c>
      <c r="R7777" s="13" t="str">
        <f>HYPERLINK("https://my.pitchbook.com?c=115639-03T","View Company Online")</f>
        <v>View Company Online</v>
      </c>
    </row>
    <row r="7778" spans="1:18" hidden="1" x14ac:dyDescent="0.3">
      <c r="A7778" s="9" t="s">
        <v>22828</v>
      </c>
      <c r="B7778" s="9" t="s">
        <v>2063</v>
      </c>
      <c r="C7778" s="11" t="s">
        <v>28</v>
      </c>
      <c r="D7778" s="9" t="s">
        <v>2064</v>
      </c>
      <c r="E7778" s="11" t="s">
        <v>28</v>
      </c>
      <c r="F7778" s="10" t="s">
        <v>28</v>
      </c>
      <c r="G7778" s="10" t="s">
        <v>28</v>
      </c>
      <c r="H7778" s="10" t="s">
        <v>28</v>
      </c>
      <c r="I7778" s="11" t="s">
        <v>28</v>
      </c>
      <c r="J7778" s="11" t="s">
        <v>28</v>
      </c>
      <c r="K7778" s="11" t="s">
        <v>28</v>
      </c>
      <c r="L7778" s="11" t="s">
        <v>28</v>
      </c>
      <c r="M7778" s="11" t="s">
        <v>28</v>
      </c>
      <c r="N7778" s="8">
        <v>43252</v>
      </c>
      <c r="O7778" s="9" t="s">
        <v>79</v>
      </c>
      <c r="P7778" s="12" t="s">
        <v>3825</v>
      </c>
      <c r="Q7778" s="9" t="s">
        <v>245</v>
      </c>
      <c r="R7778" s="14" t="str">
        <f>HYPERLINK("https://my.pitchbook.com?c=199810-63T","View Company Online")</f>
        <v>View Company Online</v>
      </c>
    </row>
    <row r="7779" spans="1:18" hidden="1" x14ac:dyDescent="0.3">
      <c r="A7779" s="15" t="s">
        <v>22829</v>
      </c>
      <c r="B7779" s="15" t="s">
        <v>14034</v>
      </c>
      <c r="C7779" s="18" t="s">
        <v>28</v>
      </c>
      <c r="D7779" s="15" t="s">
        <v>14035</v>
      </c>
      <c r="E7779" s="18" t="s">
        <v>28</v>
      </c>
      <c r="F7779" s="19" t="s">
        <v>28</v>
      </c>
      <c r="G7779" s="19">
        <v>0.1</v>
      </c>
      <c r="H7779" s="19">
        <v>1.5</v>
      </c>
      <c r="I7779" s="18" t="s">
        <v>28</v>
      </c>
      <c r="J7779" s="18" t="s">
        <v>28</v>
      </c>
      <c r="K7779" s="18" t="s">
        <v>28</v>
      </c>
      <c r="L7779" s="18" t="s">
        <v>28</v>
      </c>
      <c r="M7779" s="18" t="s">
        <v>28</v>
      </c>
      <c r="N7779" s="17">
        <v>43252</v>
      </c>
      <c r="O7779" s="15" t="s">
        <v>99</v>
      </c>
      <c r="P7779" s="16" t="s">
        <v>18538</v>
      </c>
      <c r="Q7779" s="15" t="s">
        <v>75</v>
      </c>
      <c r="R7779" s="13" t="str">
        <f>HYPERLINK("https://my.pitchbook.com?c=119989-72T","View Company Online")</f>
        <v>View Company Online</v>
      </c>
    </row>
    <row r="7780" spans="1:18" hidden="1" x14ac:dyDescent="0.3">
      <c r="A7780" s="9" t="s">
        <v>22830</v>
      </c>
      <c r="B7780" s="9" t="s">
        <v>14034</v>
      </c>
      <c r="C7780" s="11" t="s">
        <v>28</v>
      </c>
      <c r="D7780" s="9" t="s">
        <v>14035</v>
      </c>
      <c r="E7780" s="11" t="s">
        <v>28</v>
      </c>
      <c r="F7780" s="10" t="s">
        <v>28</v>
      </c>
      <c r="G7780" s="10">
        <v>0.13</v>
      </c>
      <c r="H7780" s="10">
        <v>1.58</v>
      </c>
      <c r="I7780" s="11" t="s">
        <v>28</v>
      </c>
      <c r="J7780" s="11" t="s">
        <v>28</v>
      </c>
      <c r="K7780" s="11" t="s">
        <v>28</v>
      </c>
      <c r="L7780" s="11" t="s">
        <v>28</v>
      </c>
      <c r="M7780" s="11" t="s">
        <v>28</v>
      </c>
      <c r="N7780" s="8">
        <v>43252</v>
      </c>
      <c r="O7780" s="9" t="s">
        <v>52</v>
      </c>
      <c r="P7780" s="12" t="s">
        <v>22570</v>
      </c>
      <c r="Q7780" s="9" t="s">
        <v>75</v>
      </c>
      <c r="R7780" s="14" t="str">
        <f>HYPERLINK("https://my.pitchbook.com?c=123041-71T","View Company Online")</f>
        <v>View Company Online</v>
      </c>
    </row>
    <row r="7781" spans="1:18" hidden="1" x14ac:dyDescent="0.3">
      <c r="A7781" s="15" t="s">
        <v>22831</v>
      </c>
      <c r="B7781" s="15" t="s">
        <v>2351</v>
      </c>
      <c r="C7781" s="18" t="s">
        <v>28</v>
      </c>
      <c r="D7781" s="15" t="s">
        <v>2352</v>
      </c>
      <c r="E7781" s="18" t="s">
        <v>28</v>
      </c>
      <c r="F7781" s="19" t="s">
        <v>28</v>
      </c>
      <c r="G7781" s="19">
        <v>2</v>
      </c>
      <c r="H7781" s="19" t="s">
        <v>28</v>
      </c>
      <c r="I7781" s="18" t="s">
        <v>28</v>
      </c>
      <c r="J7781" s="18" t="s">
        <v>28</v>
      </c>
      <c r="K7781" s="18" t="s">
        <v>28</v>
      </c>
      <c r="L7781" s="18" t="s">
        <v>28</v>
      </c>
      <c r="M7781" s="18" t="s">
        <v>28</v>
      </c>
      <c r="N7781" s="17">
        <v>43252</v>
      </c>
      <c r="O7781" s="15" t="s">
        <v>99</v>
      </c>
      <c r="P7781" s="16" t="s">
        <v>21167</v>
      </c>
      <c r="Q7781" s="15" t="s">
        <v>740</v>
      </c>
      <c r="R7781" s="13" t="str">
        <f>HYPERLINK("https://my.pitchbook.com?c=117048-79T","View Company Online")</f>
        <v>View Company Online</v>
      </c>
    </row>
    <row r="7782" spans="1:18" hidden="1" x14ac:dyDescent="0.3">
      <c r="A7782" s="9" t="s">
        <v>22832</v>
      </c>
      <c r="B7782" s="9" t="s">
        <v>19496</v>
      </c>
      <c r="C7782" s="11" t="s">
        <v>28</v>
      </c>
      <c r="D7782" s="9" t="s">
        <v>19497</v>
      </c>
      <c r="E7782" s="11" t="s">
        <v>28</v>
      </c>
      <c r="F7782" s="10" t="s">
        <v>28</v>
      </c>
      <c r="G7782" s="10" t="s">
        <v>28</v>
      </c>
      <c r="H7782" s="10" t="s">
        <v>28</v>
      </c>
      <c r="I7782" s="11" t="s">
        <v>28</v>
      </c>
      <c r="J7782" s="11" t="s">
        <v>28</v>
      </c>
      <c r="K7782" s="11" t="s">
        <v>28</v>
      </c>
      <c r="L7782" s="11" t="s">
        <v>28</v>
      </c>
      <c r="M7782" s="11" t="s">
        <v>28</v>
      </c>
      <c r="N7782" s="8">
        <v>43252</v>
      </c>
      <c r="O7782" s="9" t="s">
        <v>79</v>
      </c>
      <c r="P7782" s="12" t="s">
        <v>28</v>
      </c>
      <c r="Q7782" s="9" t="s">
        <v>409</v>
      </c>
      <c r="R7782" s="14" t="str">
        <f>HYPERLINK("https://my.pitchbook.com?c=110492-38T","View Company Online")</f>
        <v>View Company Online</v>
      </c>
    </row>
    <row r="7783" spans="1:18" hidden="1" x14ac:dyDescent="0.3">
      <c r="A7783" s="15" t="s">
        <v>22833</v>
      </c>
      <c r="B7783" s="15" t="s">
        <v>21997</v>
      </c>
      <c r="C7783" s="18" t="s">
        <v>28</v>
      </c>
      <c r="D7783" s="15" t="s">
        <v>21998</v>
      </c>
      <c r="E7783" s="18" t="s">
        <v>28</v>
      </c>
      <c r="F7783" s="19" t="s">
        <v>28</v>
      </c>
      <c r="G7783" s="19">
        <v>0.02</v>
      </c>
      <c r="H7783" s="19" t="s">
        <v>28</v>
      </c>
      <c r="I7783" s="18" t="s">
        <v>28</v>
      </c>
      <c r="J7783" s="18" t="s">
        <v>28</v>
      </c>
      <c r="K7783" s="18" t="s">
        <v>28</v>
      </c>
      <c r="L7783" s="18" t="s">
        <v>28</v>
      </c>
      <c r="M7783" s="18" t="s">
        <v>28</v>
      </c>
      <c r="N7783" s="17">
        <v>43252</v>
      </c>
      <c r="O7783" s="15" t="s">
        <v>52</v>
      </c>
      <c r="P7783" s="16" t="s">
        <v>15600</v>
      </c>
      <c r="Q7783" s="15" t="s">
        <v>404</v>
      </c>
      <c r="R7783" s="13" t="str">
        <f>HYPERLINK("https://my.pitchbook.com?c=127525-33T","View Company Online")</f>
        <v>View Company Online</v>
      </c>
    </row>
    <row r="7784" spans="1:18" hidden="1" x14ac:dyDescent="0.3">
      <c r="A7784" s="9" t="s">
        <v>22834</v>
      </c>
      <c r="B7784" s="9" t="s">
        <v>22835</v>
      </c>
      <c r="C7784" s="11" t="s">
        <v>28</v>
      </c>
      <c r="D7784" s="9" t="s">
        <v>22836</v>
      </c>
      <c r="E7784" s="11" t="s">
        <v>28</v>
      </c>
      <c r="F7784" s="10" t="s">
        <v>28</v>
      </c>
      <c r="G7784" s="10" t="s">
        <v>28</v>
      </c>
      <c r="H7784" s="10" t="s">
        <v>28</v>
      </c>
      <c r="I7784" s="11" t="s">
        <v>28</v>
      </c>
      <c r="J7784" s="11" t="s">
        <v>28</v>
      </c>
      <c r="K7784" s="11" t="s">
        <v>28</v>
      </c>
      <c r="L7784" s="11" t="s">
        <v>28</v>
      </c>
      <c r="M7784" s="11" t="s">
        <v>28</v>
      </c>
      <c r="N7784" s="8">
        <v>43252</v>
      </c>
      <c r="O7784" s="9" t="s">
        <v>99</v>
      </c>
      <c r="P7784" s="12" t="s">
        <v>611</v>
      </c>
      <c r="Q7784" s="9" t="s">
        <v>404</v>
      </c>
      <c r="R7784" s="14" t="str">
        <f>HYPERLINK("https://my.pitchbook.com?c=120006-73T","View Company Online")</f>
        <v>View Company Online</v>
      </c>
    </row>
    <row r="7785" spans="1:18" hidden="1" x14ac:dyDescent="0.3">
      <c r="A7785" s="15" t="s">
        <v>22837</v>
      </c>
      <c r="B7785" s="15" t="s">
        <v>22838</v>
      </c>
      <c r="C7785" s="18" t="s">
        <v>28</v>
      </c>
      <c r="D7785" s="15" t="s">
        <v>22839</v>
      </c>
      <c r="E7785" s="18" t="s">
        <v>28</v>
      </c>
      <c r="F7785" s="19" t="s">
        <v>28</v>
      </c>
      <c r="G7785" s="19" t="s">
        <v>28</v>
      </c>
      <c r="H7785" s="19" t="s">
        <v>28</v>
      </c>
      <c r="I7785" s="18" t="s">
        <v>28</v>
      </c>
      <c r="J7785" s="18" t="s">
        <v>28</v>
      </c>
      <c r="K7785" s="18" t="s">
        <v>28</v>
      </c>
      <c r="L7785" s="18" t="s">
        <v>28</v>
      </c>
      <c r="M7785" s="18" t="s">
        <v>28</v>
      </c>
      <c r="N7785" s="17">
        <v>43252</v>
      </c>
      <c r="O7785" s="15" t="s">
        <v>99</v>
      </c>
      <c r="P7785" s="16" t="s">
        <v>18538</v>
      </c>
      <c r="Q7785" s="15" t="s">
        <v>75</v>
      </c>
      <c r="R7785" s="13" t="str">
        <f>HYPERLINK("https://my.pitchbook.com?c=120010-15T","View Company Online")</f>
        <v>View Company Online</v>
      </c>
    </row>
    <row r="7786" spans="1:18" hidden="1" x14ac:dyDescent="0.3">
      <c r="A7786" s="9" t="s">
        <v>22840</v>
      </c>
      <c r="B7786" s="9" t="s">
        <v>22841</v>
      </c>
      <c r="C7786" s="11" t="s">
        <v>28</v>
      </c>
      <c r="D7786" s="9" t="s">
        <v>22842</v>
      </c>
      <c r="E7786" s="11" t="s">
        <v>28</v>
      </c>
      <c r="F7786" s="10" t="s">
        <v>28</v>
      </c>
      <c r="G7786" s="10" t="s">
        <v>28</v>
      </c>
      <c r="H7786" s="10" t="s">
        <v>28</v>
      </c>
      <c r="I7786" s="11" t="s">
        <v>28</v>
      </c>
      <c r="J7786" s="11" t="s">
        <v>28</v>
      </c>
      <c r="K7786" s="11" t="s">
        <v>28</v>
      </c>
      <c r="L7786" s="11" t="s">
        <v>28</v>
      </c>
      <c r="M7786" s="11" t="s">
        <v>28</v>
      </c>
      <c r="N7786" s="8">
        <v>43251</v>
      </c>
      <c r="O7786" s="9" t="s">
        <v>173</v>
      </c>
      <c r="P7786" s="12" t="s">
        <v>28</v>
      </c>
      <c r="Q7786" s="9" t="s">
        <v>240</v>
      </c>
      <c r="R7786" s="14" t="str">
        <f>HYPERLINK("https://my.pitchbook.com?c=222863-05T","View Company Online")</f>
        <v>View Company Online</v>
      </c>
    </row>
    <row r="7787" spans="1:18" hidden="1" x14ac:dyDescent="0.3">
      <c r="A7787" s="15" t="s">
        <v>22843</v>
      </c>
      <c r="B7787" s="15" t="s">
        <v>10718</v>
      </c>
      <c r="C7787" s="18" t="s">
        <v>28</v>
      </c>
      <c r="D7787" s="15" t="s">
        <v>10719</v>
      </c>
      <c r="E7787" s="18" t="s">
        <v>28</v>
      </c>
      <c r="F7787" s="19" t="s">
        <v>28</v>
      </c>
      <c r="G7787" s="19">
        <v>0.69</v>
      </c>
      <c r="H7787" s="19" t="s">
        <v>28</v>
      </c>
      <c r="I7787" s="18" t="s">
        <v>28</v>
      </c>
      <c r="J7787" s="18" t="s">
        <v>28</v>
      </c>
      <c r="K7787" s="18" t="s">
        <v>28</v>
      </c>
      <c r="L7787" s="18" t="s">
        <v>28</v>
      </c>
      <c r="M7787" s="18" t="s">
        <v>28</v>
      </c>
      <c r="N7787" s="17">
        <v>43251</v>
      </c>
      <c r="O7787" s="15" t="s">
        <v>99</v>
      </c>
      <c r="P7787" s="16" t="s">
        <v>22844</v>
      </c>
      <c r="Q7787" s="15" t="s">
        <v>75</v>
      </c>
      <c r="R7787" s="13" t="str">
        <f>HYPERLINK("https://my.pitchbook.com?c=121221-28T","View Company Online")</f>
        <v>View Company Online</v>
      </c>
    </row>
    <row r="7788" spans="1:18" hidden="1" x14ac:dyDescent="0.3">
      <c r="A7788" s="9" t="s">
        <v>22845</v>
      </c>
      <c r="B7788" s="9" t="s">
        <v>15800</v>
      </c>
      <c r="C7788" s="11" t="s">
        <v>28</v>
      </c>
      <c r="D7788" s="9" t="s">
        <v>15801</v>
      </c>
      <c r="E7788" s="11" t="s">
        <v>28</v>
      </c>
      <c r="F7788" s="10" t="s">
        <v>28</v>
      </c>
      <c r="G7788" s="10">
        <v>0.02</v>
      </c>
      <c r="H7788" s="10">
        <v>0.25</v>
      </c>
      <c r="I7788" s="11" t="s">
        <v>28</v>
      </c>
      <c r="J7788" s="11" t="s">
        <v>28</v>
      </c>
      <c r="K7788" s="11" t="s">
        <v>28</v>
      </c>
      <c r="L7788" s="11" t="s">
        <v>28</v>
      </c>
      <c r="M7788" s="11" t="s">
        <v>28</v>
      </c>
      <c r="N7788" s="8">
        <v>43251</v>
      </c>
      <c r="O7788" s="9" t="s">
        <v>99</v>
      </c>
      <c r="P7788" s="12" t="s">
        <v>611</v>
      </c>
      <c r="Q7788" s="9" t="s">
        <v>75</v>
      </c>
      <c r="R7788" s="14" t="str">
        <f>HYPERLINK("https://my.pitchbook.com?c=107890-39T","View Company Online")</f>
        <v>View Company Online</v>
      </c>
    </row>
    <row r="7789" spans="1:18" hidden="1" x14ac:dyDescent="0.3">
      <c r="A7789" s="15" t="s">
        <v>22846</v>
      </c>
      <c r="B7789" s="15" t="s">
        <v>8513</v>
      </c>
      <c r="C7789" s="18" t="s">
        <v>28</v>
      </c>
      <c r="D7789" s="15" t="s">
        <v>8514</v>
      </c>
      <c r="E7789" s="18" t="s">
        <v>28</v>
      </c>
      <c r="F7789" s="19" t="s">
        <v>28</v>
      </c>
      <c r="G7789" s="19" t="s">
        <v>28</v>
      </c>
      <c r="H7789" s="19" t="s">
        <v>28</v>
      </c>
      <c r="I7789" s="18" t="s">
        <v>28</v>
      </c>
      <c r="J7789" s="18" t="s">
        <v>28</v>
      </c>
      <c r="K7789" s="18" t="s">
        <v>28</v>
      </c>
      <c r="L7789" s="18" t="s">
        <v>28</v>
      </c>
      <c r="M7789" s="18" t="s">
        <v>28</v>
      </c>
      <c r="N7789" s="17">
        <v>43248</v>
      </c>
      <c r="O7789" s="15" t="s">
        <v>99</v>
      </c>
      <c r="P7789" s="16" t="s">
        <v>18538</v>
      </c>
      <c r="Q7789" s="15" t="s">
        <v>75</v>
      </c>
      <c r="R7789" s="13" t="str">
        <f>HYPERLINK("https://my.pitchbook.com?c=120001-24T","View Company Online")</f>
        <v>View Company Online</v>
      </c>
    </row>
    <row r="7790" spans="1:18" hidden="1" x14ac:dyDescent="0.3">
      <c r="A7790" s="9" t="s">
        <v>22847</v>
      </c>
      <c r="B7790" s="9" t="s">
        <v>4256</v>
      </c>
      <c r="C7790" s="11" t="s">
        <v>28</v>
      </c>
      <c r="D7790" s="9" t="s">
        <v>4257</v>
      </c>
      <c r="E7790" s="11" t="s">
        <v>28</v>
      </c>
      <c r="F7790" s="10" t="s">
        <v>28</v>
      </c>
      <c r="G7790" s="10">
        <v>0.2</v>
      </c>
      <c r="H7790" s="10" t="s">
        <v>28</v>
      </c>
      <c r="I7790" s="11" t="s">
        <v>28</v>
      </c>
      <c r="J7790" s="11" t="s">
        <v>28</v>
      </c>
      <c r="K7790" s="11" t="s">
        <v>28</v>
      </c>
      <c r="L7790" s="11" t="s">
        <v>28</v>
      </c>
      <c r="M7790" s="11" t="s">
        <v>28</v>
      </c>
      <c r="N7790" s="8">
        <v>43245</v>
      </c>
      <c r="O7790" s="9" t="s">
        <v>47</v>
      </c>
      <c r="P7790" s="12" t="s">
        <v>15923</v>
      </c>
      <c r="Q7790" s="9" t="s">
        <v>75</v>
      </c>
      <c r="R7790" s="14" t="str">
        <f>HYPERLINK("https://my.pitchbook.com?c=138713-05T","View Company Online")</f>
        <v>View Company Online</v>
      </c>
    </row>
    <row r="7791" spans="1:18" hidden="1" x14ac:dyDescent="0.3">
      <c r="A7791" s="15" t="s">
        <v>22848</v>
      </c>
      <c r="B7791" s="15" t="s">
        <v>1048</v>
      </c>
      <c r="C7791" s="18" t="s">
        <v>28</v>
      </c>
      <c r="D7791" s="15" t="s">
        <v>1049</v>
      </c>
      <c r="E7791" s="18" t="s">
        <v>28</v>
      </c>
      <c r="F7791" s="19" t="s">
        <v>28</v>
      </c>
      <c r="G7791" s="19" t="s">
        <v>28</v>
      </c>
      <c r="H7791" s="19" t="s">
        <v>28</v>
      </c>
      <c r="I7791" s="18" t="s">
        <v>28</v>
      </c>
      <c r="J7791" s="18" t="s">
        <v>28</v>
      </c>
      <c r="K7791" s="18" t="s">
        <v>28</v>
      </c>
      <c r="L7791" s="18" t="s">
        <v>28</v>
      </c>
      <c r="M7791" s="18" t="s">
        <v>28</v>
      </c>
      <c r="N7791" s="17">
        <v>43245</v>
      </c>
      <c r="O7791" s="15" t="s">
        <v>41</v>
      </c>
      <c r="P7791" s="16" t="s">
        <v>17788</v>
      </c>
      <c r="Q7791" s="15" t="s">
        <v>1051</v>
      </c>
      <c r="R7791" s="13" t="str">
        <f>HYPERLINK("https://my.pitchbook.com?c=274353-49T","View Company Online")</f>
        <v>View Company Online</v>
      </c>
    </row>
    <row r="7792" spans="1:18" hidden="1" x14ac:dyDescent="0.3">
      <c r="A7792" s="9" t="s">
        <v>22849</v>
      </c>
      <c r="B7792" s="9" t="s">
        <v>14553</v>
      </c>
      <c r="C7792" s="11" t="s">
        <v>28</v>
      </c>
      <c r="D7792" s="9" t="s">
        <v>14554</v>
      </c>
      <c r="E7792" s="11" t="s">
        <v>28</v>
      </c>
      <c r="F7792" s="10" t="s">
        <v>28</v>
      </c>
      <c r="G7792" s="10">
        <v>4.5999999999999996</v>
      </c>
      <c r="H7792" s="10" t="s">
        <v>28</v>
      </c>
      <c r="I7792" s="11" t="s">
        <v>28</v>
      </c>
      <c r="J7792" s="11" t="s">
        <v>28</v>
      </c>
      <c r="K7792" s="11" t="s">
        <v>28</v>
      </c>
      <c r="L7792" s="11" t="s">
        <v>28</v>
      </c>
      <c r="M7792" s="11" t="s">
        <v>28</v>
      </c>
      <c r="N7792" s="8">
        <v>43245</v>
      </c>
      <c r="O7792" s="9" t="s">
        <v>73</v>
      </c>
      <c r="P7792" s="12" t="s">
        <v>19764</v>
      </c>
      <c r="Q7792" s="9" t="s">
        <v>85</v>
      </c>
      <c r="R7792" s="14" t="str">
        <f>HYPERLINK("https://my.pitchbook.com?c=108070-03T","View Company Online")</f>
        <v>View Company Online</v>
      </c>
    </row>
    <row r="7793" spans="1:18" hidden="1" x14ac:dyDescent="0.3">
      <c r="A7793" s="15" t="s">
        <v>22850</v>
      </c>
      <c r="B7793" s="15" t="s">
        <v>21201</v>
      </c>
      <c r="C7793" s="18" t="s">
        <v>28</v>
      </c>
      <c r="D7793" s="15" t="s">
        <v>21202</v>
      </c>
      <c r="E7793" s="18" t="s">
        <v>28</v>
      </c>
      <c r="F7793" s="19" t="s">
        <v>28</v>
      </c>
      <c r="G7793" s="19" t="s">
        <v>28</v>
      </c>
      <c r="H7793" s="19" t="s">
        <v>28</v>
      </c>
      <c r="I7793" s="18" t="s">
        <v>28</v>
      </c>
      <c r="J7793" s="18" t="s">
        <v>28</v>
      </c>
      <c r="K7793" s="18" t="s">
        <v>28</v>
      </c>
      <c r="L7793" s="18" t="s">
        <v>28</v>
      </c>
      <c r="M7793" s="18" t="s">
        <v>28</v>
      </c>
      <c r="N7793" s="17">
        <v>43243</v>
      </c>
      <c r="O7793" s="15" t="s">
        <v>52</v>
      </c>
      <c r="P7793" s="16" t="s">
        <v>22851</v>
      </c>
      <c r="Q7793" s="15" t="s">
        <v>75</v>
      </c>
      <c r="R7793" s="13" t="str">
        <f>HYPERLINK("https://my.pitchbook.com?c=158971-24T","View Company Online")</f>
        <v>View Company Online</v>
      </c>
    </row>
    <row r="7794" spans="1:18" hidden="1" x14ac:dyDescent="0.3">
      <c r="A7794" s="9" t="s">
        <v>22852</v>
      </c>
      <c r="B7794" s="9" t="s">
        <v>3903</v>
      </c>
      <c r="C7794" s="11" t="s">
        <v>28</v>
      </c>
      <c r="D7794" s="9" t="s">
        <v>3904</v>
      </c>
      <c r="E7794" s="11" t="s">
        <v>28</v>
      </c>
      <c r="F7794" s="10" t="s">
        <v>28</v>
      </c>
      <c r="G7794" s="10" t="s">
        <v>28</v>
      </c>
      <c r="H7794" s="10" t="s">
        <v>28</v>
      </c>
      <c r="I7794" s="11" t="s">
        <v>28</v>
      </c>
      <c r="J7794" s="11" t="s">
        <v>28</v>
      </c>
      <c r="K7794" s="11" t="s">
        <v>28</v>
      </c>
      <c r="L7794" s="11" t="s">
        <v>28</v>
      </c>
      <c r="M7794" s="11" t="s">
        <v>28</v>
      </c>
      <c r="N7794" s="8">
        <v>43242</v>
      </c>
      <c r="O7794" s="9" t="s">
        <v>52</v>
      </c>
      <c r="P7794" s="12" t="s">
        <v>2830</v>
      </c>
      <c r="Q7794" s="9" t="s">
        <v>75</v>
      </c>
      <c r="R7794" s="14" t="str">
        <f>HYPERLINK("https://my.pitchbook.com?c=264271-87T","View Company Online")</f>
        <v>View Company Online</v>
      </c>
    </row>
    <row r="7795" spans="1:18" hidden="1" x14ac:dyDescent="0.3">
      <c r="A7795" s="15" t="s">
        <v>22853</v>
      </c>
      <c r="B7795" s="15" t="s">
        <v>22854</v>
      </c>
      <c r="C7795" s="18" t="s">
        <v>28</v>
      </c>
      <c r="D7795" s="15" t="s">
        <v>22855</v>
      </c>
      <c r="E7795" s="18" t="s">
        <v>28</v>
      </c>
      <c r="F7795" s="19" t="s">
        <v>28</v>
      </c>
      <c r="G7795" s="19" t="s">
        <v>28</v>
      </c>
      <c r="H7795" s="19" t="s">
        <v>28</v>
      </c>
      <c r="I7795" s="18" t="s">
        <v>28</v>
      </c>
      <c r="J7795" s="18" t="s">
        <v>28</v>
      </c>
      <c r="K7795" s="18" t="s">
        <v>28</v>
      </c>
      <c r="L7795" s="18" t="s">
        <v>28</v>
      </c>
      <c r="M7795" s="18" t="s">
        <v>28</v>
      </c>
      <c r="N7795" s="17">
        <v>43242</v>
      </c>
      <c r="O7795" s="15" t="s">
        <v>41</v>
      </c>
      <c r="P7795" s="16" t="s">
        <v>22856</v>
      </c>
      <c r="Q7795" s="15" t="s">
        <v>362</v>
      </c>
      <c r="R7795" s="13" t="str">
        <f>HYPERLINK("https://my.pitchbook.com?c=116348-23T","View Company Online")</f>
        <v>View Company Online</v>
      </c>
    </row>
    <row r="7796" spans="1:18" hidden="1" x14ac:dyDescent="0.3">
      <c r="A7796" s="9" t="s">
        <v>22857</v>
      </c>
      <c r="B7796" s="9" t="s">
        <v>17758</v>
      </c>
      <c r="C7796" s="11" t="s">
        <v>28</v>
      </c>
      <c r="D7796" s="9" t="s">
        <v>17759</v>
      </c>
      <c r="E7796" s="11" t="s">
        <v>28</v>
      </c>
      <c r="F7796" s="10" t="s">
        <v>28</v>
      </c>
      <c r="G7796" s="10">
        <v>1.1000000000000001</v>
      </c>
      <c r="H7796" s="10" t="s">
        <v>28</v>
      </c>
      <c r="I7796" s="11" t="s">
        <v>28</v>
      </c>
      <c r="J7796" s="11" t="s">
        <v>28</v>
      </c>
      <c r="K7796" s="11" t="s">
        <v>28</v>
      </c>
      <c r="L7796" s="11" t="s">
        <v>28</v>
      </c>
      <c r="M7796" s="11" t="s">
        <v>28</v>
      </c>
      <c r="N7796" s="8">
        <v>43241</v>
      </c>
      <c r="O7796" s="9" t="s">
        <v>1639</v>
      </c>
      <c r="P7796" s="12" t="s">
        <v>28</v>
      </c>
      <c r="Q7796" s="9" t="s">
        <v>566</v>
      </c>
      <c r="R7796" s="14" t="str">
        <f>HYPERLINK("https://my.pitchbook.com?c=123107-23T","View Company Online")</f>
        <v>View Company Online</v>
      </c>
    </row>
    <row r="7797" spans="1:18" hidden="1" x14ac:dyDescent="0.3">
      <c r="A7797" s="15" t="s">
        <v>22858</v>
      </c>
      <c r="B7797" s="15" t="s">
        <v>22859</v>
      </c>
      <c r="C7797" s="18" t="s">
        <v>28</v>
      </c>
      <c r="D7797" s="15" t="s">
        <v>22860</v>
      </c>
      <c r="E7797" s="18" t="s">
        <v>28</v>
      </c>
      <c r="F7797" s="19" t="s">
        <v>28</v>
      </c>
      <c r="G7797" s="19" t="s">
        <v>28</v>
      </c>
      <c r="H7797" s="19" t="s">
        <v>28</v>
      </c>
      <c r="I7797" s="18" t="s">
        <v>28</v>
      </c>
      <c r="J7797" s="18" t="s">
        <v>28</v>
      </c>
      <c r="K7797" s="18" t="s">
        <v>28</v>
      </c>
      <c r="L7797" s="18" t="s">
        <v>28</v>
      </c>
      <c r="M7797" s="18" t="s">
        <v>28</v>
      </c>
      <c r="N7797" s="17">
        <v>43241</v>
      </c>
      <c r="O7797" s="15" t="s">
        <v>1639</v>
      </c>
      <c r="P7797" s="16" t="s">
        <v>28</v>
      </c>
      <c r="Q7797" s="15" t="s">
        <v>386</v>
      </c>
      <c r="R7797" s="13" t="str">
        <f>HYPERLINK("https://my.pitchbook.com?c=122948-56T","View Company Online")</f>
        <v>View Company Online</v>
      </c>
    </row>
    <row r="7798" spans="1:18" hidden="1" x14ac:dyDescent="0.3">
      <c r="A7798" s="9" t="s">
        <v>22861</v>
      </c>
      <c r="B7798" s="9" t="s">
        <v>22862</v>
      </c>
      <c r="C7798" s="11" t="s">
        <v>28</v>
      </c>
      <c r="D7798" s="9" t="s">
        <v>22863</v>
      </c>
      <c r="E7798" s="11" t="s">
        <v>28</v>
      </c>
      <c r="F7798" s="10" t="s">
        <v>28</v>
      </c>
      <c r="G7798" s="10" t="s">
        <v>28</v>
      </c>
      <c r="H7798" s="10" t="s">
        <v>28</v>
      </c>
      <c r="I7798" s="11" t="s">
        <v>28</v>
      </c>
      <c r="J7798" s="11" t="s">
        <v>28</v>
      </c>
      <c r="K7798" s="11" t="s">
        <v>28</v>
      </c>
      <c r="L7798" s="11" t="s">
        <v>28</v>
      </c>
      <c r="M7798" s="11" t="s">
        <v>28</v>
      </c>
      <c r="N7798" s="8">
        <v>43238</v>
      </c>
      <c r="O7798" s="9" t="s">
        <v>41</v>
      </c>
      <c r="P7798" s="12" t="s">
        <v>22864</v>
      </c>
      <c r="Q7798" s="9" t="s">
        <v>5347</v>
      </c>
      <c r="R7798" s="14" t="str">
        <f>HYPERLINK("https://my.pitchbook.com?c=106565-59T","View Company Online")</f>
        <v>View Company Online</v>
      </c>
    </row>
    <row r="7799" spans="1:18" hidden="1" x14ac:dyDescent="0.3">
      <c r="A7799" s="15" t="s">
        <v>22865</v>
      </c>
      <c r="B7799" s="15" t="s">
        <v>22460</v>
      </c>
      <c r="C7799" s="18" t="s">
        <v>28</v>
      </c>
      <c r="D7799" s="15" t="s">
        <v>22461</v>
      </c>
      <c r="E7799" s="18" t="s">
        <v>28</v>
      </c>
      <c r="F7799" s="19" t="s">
        <v>28</v>
      </c>
      <c r="G7799" s="19" t="s">
        <v>28</v>
      </c>
      <c r="H7799" s="19" t="s">
        <v>28</v>
      </c>
      <c r="I7799" s="18" t="s">
        <v>28</v>
      </c>
      <c r="J7799" s="18" t="s">
        <v>28</v>
      </c>
      <c r="K7799" s="18" t="s">
        <v>28</v>
      </c>
      <c r="L7799" s="18" t="s">
        <v>28</v>
      </c>
      <c r="M7799" s="18" t="s">
        <v>28</v>
      </c>
      <c r="N7799" s="17">
        <v>43238</v>
      </c>
      <c r="O7799" s="15" t="s">
        <v>52</v>
      </c>
      <c r="P7799" s="16" t="s">
        <v>11539</v>
      </c>
      <c r="Q7799" s="15" t="s">
        <v>386</v>
      </c>
      <c r="R7799" s="13" t="str">
        <f>HYPERLINK("https://my.pitchbook.com?c=166845-79T","View Company Online")</f>
        <v>View Company Online</v>
      </c>
    </row>
    <row r="7800" spans="1:18" hidden="1" x14ac:dyDescent="0.3">
      <c r="A7800" s="9" t="s">
        <v>22866</v>
      </c>
      <c r="B7800" s="9" t="s">
        <v>22867</v>
      </c>
      <c r="C7800" s="11" t="s">
        <v>28</v>
      </c>
      <c r="D7800" s="9" t="s">
        <v>22868</v>
      </c>
      <c r="E7800" s="11" t="s">
        <v>28</v>
      </c>
      <c r="F7800" s="10">
        <v>455.23</v>
      </c>
      <c r="G7800" s="10">
        <v>455.23</v>
      </c>
      <c r="H7800" s="10">
        <v>455.23</v>
      </c>
      <c r="I7800" s="11" t="s">
        <v>28</v>
      </c>
      <c r="J7800" s="11" t="s">
        <v>28</v>
      </c>
      <c r="K7800" s="11" t="s">
        <v>28</v>
      </c>
      <c r="L7800" s="11" t="s">
        <v>28</v>
      </c>
      <c r="M7800" s="11" t="s">
        <v>28</v>
      </c>
      <c r="N7800" s="8">
        <v>43236</v>
      </c>
      <c r="O7800" s="9" t="s">
        <v>30</v>
      </c>
      <c r="P7800" s="12" t="s">
        <v>13759</v>
      </c>
      <c r="Q7800" s="9" t="s">
        <v>136</v>
      </c>
      <c r="R7800" s="14" t="str">
        <f>HYPERLINK("https://my.pitchbook.com?c=100836-10T","View Company Online")</f>
        <v>View Company Online</v>
      </c>
    </row>
    <row r="7801" spans="1:18" hidden="1" x14ac:dyDescent="0.3">
      <c r="A7801" s="15" t="s">
        <v>22869</v>
      </c>
      <c r="B7801" s="15" t="s">
        <v>2201</v>
      </c>
      <c r="C7801" s="18" t="s">
        <v>28</v>
      </c>
      <c r="D7801" s="15" t="s">
        <v>2202</v>
      </c>
      <c r="E7801" s="18" t="s">
        <v>28</v>
      </c>
      <c r="F7801" s="19" t="s">
        <v>28</v>
      </c>
      <c r="G7801" s="19" t="s">
        <v>28</v>
      </c>
      <c r="H7801" s="19" t="s">
        <v>28</v>
      </c>
      <c r="I7801" s="18" t="s">
        <v>28</v>
      </c>
      <c r="J7801" s="18" t="s">
        <v>28</v>
      </c>
      <c r="K7801" s="18">
        <v>1.56</v>
      </c>
      <c r="L7801" s="18" t="s">
        <v>28</v>
      </c>
      <c r="M7801" s="18" t="s">
        <v>28</v>
      </c>
      <c r="N7801" s="17">
        <v>43235</v>
      </c>
      <c r="O7801" s="15" t="s">
        <v>52</v>
      </c>
      <c r="P7801" s="16" t="s">
        <v>3869</v>
      </c>
      <c r="Q7801" s="15" t="s">
        <v>75</v>
      </c>
      <c r="R7801" s="13" t="str">
        <f>HYPERLINK("https://my.pitchbook.com?c=115535-80T","View Company Online")</f>
        <v>View Company Online</v>
      </c>
    </row>
    <row r="7802" spans="1:18" hidden="1" x14ac:dyDescent="0.3">
      <c r="A7802" s="9" t="s">
        <v>22870</v>
      </c>
      <c r="B7802" s="9" t="s">
        <v>8237</v>
      </c>
      <c r="C7802" s="11" t="s">
        <v>28</v>
      </c>
      <c r="D7802" s="9" t="s">
        <v>8238</v>
      </c>
      <c r="E7802" s="11" t="s">
        <v>28</v>
      </c>
      <c r="F7802" s="10" t="s">
        <v>28</v>
      </c>
      <c r="G7802" s="10" t="s">
        <v>28</v>
      </c>
      <c r="H7802" s="10" t="s">
        <v>28</v>
      </c>
      <c r="I7802" s="11" t="s">
        <v>28</v>
      </c>
      <c r="J7802" s="11" t="s">
        <v>28</v>
      </c>
      <c r="K7802" s="11" t="s">
        <v>28</v>
      </c>
      <c r="L7802" s="11" t="s">
        <v>28</v>
      </c>
      <c r="M7802" s="11" t="s">
        <v>28</v>
      </c>
      <c r="N7802" s="8">
        <v>43235</v>
      </c>
      <c r="O7802" s="9" t="s">
        <v>52</v>
      </c>
      <c r="P7802" s="12" t="s">
        <v>3869</v>
      </c>
      <c r="Q7802" s="9" t="s">
        <v>75</v>
      </c>
      <c r="R7802" s="14" t="str">
        <f>HYPERLINK("https://my.pitchbook.com?c=118575-01T","View Company Online")</f>
        <v>View Company Online</v>
      </c>
    </row>
    <row r="7803" spans="1:18" hidden="1" x14ac:dyDescent="0.3">
      <c r="A7803" s="15" t="s">
        <v>22871</v>
      </c>
      <c r="B7803" s="15" t="s">
        <v>22872</v>
      </c>
      <c r="C7803" s="18" t="s">
        <v>28</v>
      </c>
      <c r="D7803" s="15" t="s">
        <v>22873</v>
      </c>
      <c r="E7803" s="18" t="s">
        <v>28</v>
      </c>
      <c r="F7803" s="19" t="s">
        <v>28</v>
      </c>
      <c r="G7803" s="19" t="s">
        <v>28</v>
      </c>
      <c r="H7803" s="19" t="s">
        <v>28</v>
      </c>
      <c r="I7803" s="18" t="s">
        <v>28</v>
      </c>
      <c r="J7803" s="18" t="s">
        <v>28</v>
      </c>
      <c r="K7803" s="18" t="s">
        <v>28</v>
      </c>
      <c r="L7803" s="18" t="s">
        <v>28</v>
      </c>
      <c r="M7803" s="18" t="s">
        <v>28</v>
      </c>
      <c r="N7803" s="17">
        <v>43235</v>
      </c>
      <c r="O7803" s="15" t="s">
        <v>58</v>
      </c>
      <c r="P7803" s="16" t="s">
        <v>7572</v>
      </c>
      <c r="Q7803" s="15" t="s">
        <v>95</v>
      </c>
      <c r="R7803" s="13" t="str">
        <f>HYPERLINK("https://my.pitchbook.com?c=120807-55T","View Company Online")</f>
        <v>View Company Online</v>
      </c>
    </row>
    <row r="7804" spans="1:18" hidden="1" x14ac:dyDescent="0.3">
      <c r="A7804" s="9" t="s">
        <v>22874</v>
      </c>
      <c r="B7804" s="9" t="s">
        <v>22875</v>
      </c>
      <c r="C7804" s="11" t="s">
        <v>28</v>
      </c>
      <c r="D7804" s="9" t="s">
        <v>22876</v>
      </c>
      <c r="E7804" s="11" t="s">
        <v>28</v>
      </c>
      <c r="F7804" s="10" t="s">
        <v>28</v>
      </c>
      <c r="G7804" s="10" t="s">
        <v>28</v>
      </c>
      <c r="H7804" s="10" t="s">
        <v>28</v>
      </c>
      <c r="I7804" s="11" t="s">
        <v>28</v>
      </c>
      <c r="J7804" s="11" t="s">
        <v>28</v>
      </c>
      <c r="K7804" s="11" t="s">
        <v>28</v>
      </c>
      <c r="L7804" s="11" t="s">
        <v>28</v>
      </c>
      <c r="M7804" s="11" t="s">
        <v>28</v>
      </c>
      <c r="N7804" s="8">
        <v>43235</v>
      </c>
      <c r="O7804" s="9" t="s">
        <v>30</v>
      </c>
      <c r="P7804" s="12" t="s">
        <v>12287</v>
      </c>
      <c r="Q7804" s="9" t="s">
        <v>136</v>
      </c>
      <c r="R7804" s="14" t="str">
        <f>HYPERLINK("https://my.pitchbook.com?c=113865-94T","View Company Online")</f>
        <v>View Company Online</v>
      </c>
    </row>
    <row r="7805" spans="1:18" hidden="1" x14ac:dyDescent="0.3">
      <c r="A7805" s="15" t="s">
        <v>22877</v>
      </c>
      <c r="B7805" s="15" t="s">
        <v>22878</v>
      </c>
      <c r="C7805" s="18" t="s">
        <v>28</v>
      </c>
      <c r="D7805" s="15" t="s">
        <v>22879</v>
      </c>
      <c r="E7805" s="18" t="s">
        <v>28</v>
      </c>
      <c r="F7805" s="19">
        <v>55.66</v>
      </c>
      <c r="G7805" s="19">
        <v>55.66</v>
      </c>
      <c r="H7805" s="19">
        <v>55.66</v>
      </c>
      <c r="I7805" s="18" t="s">
        <v>28</v>
      </c>
      <c r="J7805" s="18" t="s">
        <v>28</v>
      </c>
      <c r="K7805" s="18">
        <v>17.27</v>
      </c>
      <c r="L7805" s="18">
        <v>3.22</v>
      </c>
      <c r="M7805" s="18" t="s">
        <v>28</v>
      </c>
      <c r="N7805" s="17">
        <v>43234</v>
      </c>
      <c r="O7805" s="15" t="s">
        <v>30</v>
      </c>
      <c r="P7805" s="16" t="s">
        <v>22880</v>
      </c>
      <c r="Q7805" s="15" t="s">
        <v>136</v>
      </c>
      <c r="R7805" s="13" t="str">
        <f>HYPERLINK("https://my.pitchbook.com?c=94741-75T","View Company Online")</f>
        <v>View Company Online</v>
      </c>
    </row>
    <row r="7806" spans="1:18" hidden="1" x14ac:dyDescent="0.3">
      <c r="A7806" s="9" t="s">
        <v>22881</v>
      </c>
      <c r="B7806" s="9" t="s">
        <v>8460</v>
      </c>
      <c r="C7806" s="11" t="s">
        <v>28</v>
      </c>
      <c r="D7806" s="9" t="s">
        <v>8461</v>
      </c>
      <c r="E7806" s="11" t="s">
        <v>28</v>
      </c>
      <c r="F7806" s="10" t="s">
        <v>28</v>
      </c>
      <c r="G7806" s="10" t="s">
        <v>28</v>
      </c>
      <c r="H7806" s="10" t="s">
        <v>28</v>
      </c>
      <c r="I7806" s="11" t="s">
        <v>28</v>
      </c>
      <c r="J7806" s="11" t="s">
        <v>28</v>
      </c>
      <c r="K7806" s="11" t="s">
        <v>28</v>
      </c>
      <c r="L7806" s="11" t="s">
        <v>28</v>
      </c>
      <c r="M7806" s="11" t="s">
        <v>28</v>
      </c>
      <c r="N7806" s="8">
        <v>43234</v>
      </c>
      <c r="O7806" s="9" t="s">
        <v>52</v>
      </c>
      <c r="P7806" s="12" t="s">
        <v>1880</v>
      </c>
      <c r="Q7806" s="9" t="s">
        <v>75</v>
      </c>
      <c r="R7806" s="14" t="str">
        <f>HYPERLINK("https://my.pitchbook.com?c=132191-38T","View Company Online")</f>
        <v>View Company Online</v>
      </c>
    </row>
    <row r="7807" spans="1:18" hidden="1" x14ac:dyDescent="0.3">
      <c r="A7807" s="15" t="s">
        <v>22882</v>
      </c>
      <c r="B7807" s="15" t="s">
        <v>8883</v>
      </c>
      <c r="C7807" s="18" t="s">
        <v>28</v>
      </c>
      <c r="D7807" s="15" t="s">
        <v>8884</v>
      </c>
      <c r="E7807" s="18" t="s">
        <v>28</v>
      </c>
      <c r="F7807" s="19" t="s">
        <v>28</v>
      </c>
      <c r="G7807" s="19" t="s">
        <v>28</v>
      </c>
      <c r="H7807" s="19" t="s">
        <v>28</v>
      </c>
      <c r="I7807" s="18" t="s">
        <v>28</v>
      </c>
      <c r="J7807" s="18" t="s">
        <v>28</v>
      </c>
      <c r="K7807" s="18" t="s">
        <v>28</v>
      </c>
      <c r="L7807" s="18" t="s">
        <v>28</v>
      </c>
      <c r="M7807" s="18" t="s">
        <v>28</v>
      </c>
      <c r="N7807" s="17">
        <v>43234</v>
      </c>
      <c r="O7807" s="15" t="s">
        <v>52</v>
      </c>
      <c r="P7807" s="16" t="s">
        <v>1880</v>
      </c>
      <c r="Q7807" s="15" t="s">
        <v>136</v>
      </c>
      <c r="R7807" s="13" t="str">
        <f>HYPERLINK("https://my.pitchbook.com?c=124183-90T","View Company Online")</f>
        <v>View Company Online</v>
      </c>
    </row>
    <row r="7808" spans="1:18" hidden="1" x14ac:dyDescent="0.3">
      <c r="A7808" s="9" t="s">
        <v>22883</v>
      </c>
      <c r="B7808" s="9" t="s">
        <v>13680</v>
      </c>
      <c r="C7808" s="11" t="s">
        <v>28</v>
      </c>
      <c r="D7808" s="9" t="s">
        <v>13681</v>
      </c>
      <c r="E7808" s="11" t="s">
        <v>28</v>
      </c>
      <c r="F7808" s="10" t="s">
        <v>28</v>
      </c>
      <c r="G7808" s="10" t="s">
        <v>28</v>
      </c>
      <c r="H7808" s="10" t="s">
        <v>28</v>
      </c>
      <c r="I7808" s="11" t="s">
        <v>28</v>
      </c>
      <c r="J7808" s="11" t="s">
        <v>28</v>
      </c>
      <c r="K7808" s="11" t="s">
        <v>28</v>
      </c>
      <c r="L7808" s="11" t="s">
        <v>28</v>
      </c>
      <c r="M7808" s="11" t="s">
        <v>28</v>
      </c>
      <c r="N7808" s="8">
        <v>43234</v>
      </c>
      <c r="O7808" s="9" t="s">
        <v>52</v>
      </c>
      <c r="P7808" s="12" t="s">
        <v>1880</v>
      </c>
      <c r="Q7808" s="9" t="s">
        <v>5347</v>
      </c>
      <c r="R7808" s="14" t="str">
        <f>HYPERLINK("https://my.pitchbook.com?c=195469-48T","View Company Online")</f>
        <v>View Company Online</v>
      </c>
    </row>
    <row r="7809" spans="1:18" hidden="1" x14ac:dyDescent="0.3">
      <c r="A7809" s="15" t="s">
        <v>22884</v>
      </c>
      <c r="B7809" s="15" t="s">
        <v>14374</v>
      </c>
      <c r="C7809" s="18" t="s">
        <v>28</v>
      </c>
      <c r="D7809" s="15" t="s">
        <v>14693</v>
      </c>
      <c r="E7809" s="18">
        <v>25.12</v>
      </c>
      <c r="F7809" s="19" t="s">
        <v>28</v>
      </c>
      <c r="G7809" s="19">
        <v>28.58</v>
      </c>
      <c r="H7809" s="19" t="s">
        <v>28</v>
      </c>
      <c r="I7809" s="18">
        <v>64.069999999999993</v>
      </c>
      <c r="J7809" s="18" t="s">
        <v>28</v>
      </c>
      <c r="K7809" s="18">
        <v>245.42</v>
      </c>
      <c r="L7809" s="18" t="s">
        <v>28</v>
      </c>
      <c r="M7809" s="18">
        <v>-5.0599999999999996</v>
      </c>
      <c r="N7809" s="17">
        <v>43234</v>
      </c>
      <c r="O7809" s="15" t="s">
        <v>93</v>
      </c>
      <c r="P7809" s="16" t="s">
        <v>22885</v>
      </c>
      <c r="Q7809" s="15" t="s">
        <v>1068</v>
      </c>
      <c r="R7809" s="13" t="str">
        <f>HYPERLINK("https://my.pitchbook.com?c=156770-56T","View Company Online")</f>
        <v>View Company Online</v>
      </c>
    </row>
    <row r="7810" spans="1:18" hidden="1" x14ac:dyDescent="0.3">
      <c r="A7810" s="9" t="s">
        <v>22886</v>
      </c>
      <c r="B7810" s="9" t="s">
        <v>16627</v>
      </c>
      <c r="C7810" s="11" t="s">
        <v>28</v>
      </c>
      <c r="D7810" s="9" t="s">
        <v>16628</v>
      </c>
      <c r="E7810" s="11" t="s">
        <v>28</v>
      </c>
      <c r="F7810" s="10" t="s">
        <v>28</v>
      </c>
      <c r="G7810" s="10" t="s">
        <v>28</v>
      </c>
      <c r="H7810" s="10" t="s">
        <v>28</v>
      </c>
      <c r="I7810" s="11" t="s">
        <v>28</v>
      </c>
      <c r="J7810" s="11" t="s">
        <v>28</v>
      </c>
      <c r="K7810" s="11" t="s">
        <v>28</v>
      </c>
      <c r="L7810" s="11" t="s">
        <v>28</v>
      </c>
      <c r="M7810" s="11" t="s">
        <v>28</v>
      </c>
      <c r="N7810" s="8">
        <v>43234</v>
      </c>
      <c r="O7810" s="9" t="s">
        <v>52</v>
      </c>
      <c r="P7810" s="12" t="s">
        <v>1880</v>
      </c>
      <c r="Q7810" s="9" t="s">
        <v>37</v>
      </c>
      <c r="R7810" s="14" t="str">
        <f>HYPERLINK("https://my.pitchbook.com?c=138957-04T","View Company Online")</f>
        <v>View Company Online</v>
      </c>
    </row>
    <row r="7811" spans="1:18" hidden="1" x14ac:dyDescent="0.3">
      <c r="A7811" s="15" t="s">
        <v>22887</v>
      </c>
      <c r="B7811" s="15" t="s">
        <v>22888</v>
      </c>
      <c r="C7811" s="18" t="s">
        <v>28</v>
      </c>
      <c r="D7811" s="15" t="s">
        <v>22889</v>
      </c>
      <c r="E7811" s="18" t="s">
        <v>28</v>
      </c>
      <c r="F7811" s="19" t="s">
        <v>28</v>
      </c>
      <c r="G7811" s="19" t="s">
        <v>28</v>
      </c>
      <c r="H7811" s="19" t="s">
        <v>28</v>
      </c>
      <c r="I7811" s="18" t="s">
        <v>28</v>
      </c>
      <c r="J7811" s="18" t="s">
        <v>28</v>
      </c>
      <c r="K7811" s="18" t="s">
        <v>28</v>
      </c>
      <c r="L7811" s="18" t="s">
        <v>28</v>
      </c>
      <c r="M7811" s="18" t="s">
        <v>28</v>
      </c>
      <c r="N7811" s="17">
        <v>43231</v>
      </c>
      <c r="O7811" s="15" t="s">
        <v>73</v>
      </c>
      <c r="P7811" s="16" t="s">
        <v>22890</v>
      </c>
      <c r="Q7811" s="15" t="s">
        <v>75</v>
      </c>
      <c r="R7811" s="13" t="str">
        <f>HYPERLINK("https://my.pitchbook.com?c=110403-82T","View Company Online")</f>
        <v>View Company Online</v>
      </c>
    </row>
    <row r="7812" spans="1:18" hidden="1" x14ac:dyDescent="0.3">
      <c r="A7812" s="9" t="s">
        <v>22891</v>
      </c>
      <c r="B7812" s="9" t="s">
        <v>21821</v>
      </c>
      <c r="C7812" s="11" t="s">
        <v>28</v>
      </c>
      <c r="D7812" s="9" t="s">
        <v>21822</v>
      </c>
      <c r="E7812" s="11" t="s">
        <v>28</v>
      </c>
      <c r="F7812" s="10" t="s">
        <v>28</v>
      </c>
      <c r="G7812" s="10" t="s">
        <v>28</v>
      </c>
      <c r="H7812" s="10" t="s">
        <v>28</v>
      </c>
      <c r="I7812" s="11" t="s">
        <v>28</v>
      </c>
      <c r="J7812" s="11" t="s">
        <v>28</v>
      </c>
      <c r="K7812" s="11" t="s">
        <v>28</v>
      </c>
      <c r="L7812" s="11" t="s">
        <v>28</v>
      </c>
      <c r="M7812" s="11" t="s">
        <v>28</v>
      </c>
      <c r="N7812" s="8">
        <v>43231</v>
      </c>
      <c r="O7812" s="9" t="s">
        <v>52</v>
      </c>
      <c r="P7812" s="12" t="s">
        <v>11539</v>
      </c>
      <c r="Q7812" s="9" t="s">
        <v>75</v>
      </c>
      <c r="R7812" s="14" t="str">
        <f>HYPERLINK("https://my.pitchbook.com?c=292638-61T","View Company Online")</f>
        <v>View Company Online</v>
      </c>
    </row>
    <row r="7813" spans="1:18" hidden="1" x14ac:dyDescent="0.3">
      <c r="A7813" s="15" t="s">
        <v>22892</v>
      </c>
      <c r="B7813" s="15" t="s">
        <v>22893</v>
      </c>
      <c r="C7813" s="18" t="s">
        <v>28</v>
      </c>
      <c r="D7813" s="15" t="s">
        <v>22894</v>
      </c>
      <c r="E7813" s="18" t="s">
        <v>28</v>
      </c>
      <c r="F7813" s="19">
        <v>187.23</v>
      </c>
      <c r="G7813" s="19">
        <v>187.23</v>
      </c>
      <c r="H7813" s="19">
        <v>187.23</v>
      </c>
      <c r="I7813" s="18" t="s">
        <v>28</v>
      </c>
      <c r="J7813" s="18" t="s">
        <v>28</v>
      </c>
      <c r="K7813" s="18" t="s">
        <v>28</v>
      </c>
      <c r="L7813" s="18" t="s">
        <v>28</v>
      </c>
      <c r="M7813" s="18" t="s">
        <v>28</v>
      </c>
      <c r="N7813" s="17">
        <v>43230</v>
      </c>
      <c r="O7813" s="15" t="s">
        <v>41</v>
      </c>
      <c r="P7813" s="16" t="s">
        <v>28</v>
      </c>
      <c r="Q7813" s="15" t="s">
        <v>183</v>
      </c>
      <c r="R7813" s="13" t="str">
        <f>HYPERLINK("https://my.pitchbook.com?c=109050-85T","View Company Online")</f>
        <v>View Company Online</v>
      </c>
    </row>
    <row r="7814" spans="1:18" hidden="1" x14ac:dyDescent="0.3">
      <c r="A7814" s="9" t="s">
        <v>22895</v>
      </c>
      <c r="B7814" s="9" t="s">
        <v>15505</v>
      </c>
      <c r="C7814" s="11" t="s">
        <v>28</v>
      </c>
      <c r="D7814" s="9" t="s">
        <v>15506</v>
      </c>
      <c r="E7814" s="11" t="s">
        <v>28</v>
      </c>
      <c r="F7814" s="10" t="s">
        <v>28</v>
      </c>
      <c r="G7814" s="10">
        <v>1.5</v>
      </c>
      <c r="H7814" s="10" t="s">
        <v>28</v>
      </c>
      <c r="I7814" s="11" t="s">
        <v>28</v>
      </c>
      <c r="J7814" s="11" t="s">
        <v>28</v>
      </c>
      <c r="K7814" s="11" t="s">
        <v>28</v>
      </c>
      <c r="L7814" s="11" t="s">
        <v>28</v>
      </c>
      <c r="M7814" s="11" t="s">
        <v>28</v>
      </c>
      <c r="N7814" s="8">
        <v>43229</v>
      </c>
      <c r="O7814" s="9" t="s">
        <v>99</v>
      </c>
      <c r="P7814" s="12" t="s">
        <v>140</v>
      </c>
      <c r="Q7814" s="9" t="s">
        <v>240</v>
      </c>
      <c r="R7814" s="14" t="str">
        <f>HYPERLINK("https://my.pitchbook.com?c=110072-44T","View Company Online")</f>
        <v>View Company Online</v>
      </c>
    </row>
    <row r="7815" spans="1:18" hidden="1" x14ac:dyDescent="0.3">
      <c r="A7815" s="15" t="s">
        <v>22896</v>
      </c>
      <c r="B7815" s="15" t="s">
        <v>19739</v>
      </c>
      <c r="C7815" s="18" t="s">
        <v>28</v>
      </c>
      <c r="D7815" s="15" t="s">
        <v>19740</v>
      </c>
      <c r="E7815" s="18" t="s">
        <v>28</v>
      </c>
      <c r="F7815" s="19" t="s">
        <v>28</v>
      </c>
      <c r="G7815" s="19">
        <v>1.73</v>
      </c>
      <c r="H7815" s="19" t="s">
        <v>28</v>
      </c>
      <c r="I7815" s="18" t="s">
        <v>28</v>
      </c>
      <c r="J7815" s="18" t="s">
        <v>28</v>
      </c>
      <c r="K7815" s="18" t="s">
        <v>28</v>
      </c>
      <c r="L7815" s="18" t="s">
        <v>28</v>
      </c>
      <c r="M7815" s="18" t="s">
        <v>28</v>
      </c>
      <c r="N7815" s="17">
        <v>43228</v>
      </c>
      <c r="O7815" s="15" t="s">
        <v>79</v>
      </c>
      <c r="P7815" s="16" t="s">
        <v>11495</v>
      </c>
      <c r="Q7815" s="15" t="s">
        <v>414</v>
      </c>
      <c r="R7815" s="13" t="str">
        <f>HYPERLINK("https://my.pitchbook.com?c=105579-46T","View Company Online")</f>
        <v>View Company Online</v>
      </c>
    </row>
    <row r="7816" spans="1:18" hidden="1" x14ac:dyDescent="0.3">
      <c r="A7816" s="9" t="s">
        <v>22897</v>
      </c>
      <c r="B7816" s="9" t="s">
        <v>22898</v>
      </c>
      <c r="C7816" s="11" t="s">
        <v>28</v>
      </c>
      <c r="D7816" s="9" t="s">
        <v>22899</v>
      </c>
      <c r="E7816" s="11" t="s">
        <v>28</v>
      </c>
      <c r="F7816" s="10" t="s">
        <v>28</v>
      </c>
      <c r="G7816" s="10" t="s">
        <v>28</v>
      </c>
      <c r="H7816" s="10" t="s">
        <v>28</v>
      </c>
      <c r="I7816" s="11" t="s">
        <v>28</v>
      </c>
      <c r="J7816" s="11" t="s">
        <v>28</v>
      </c>
      <c r="K7816" s="11" t="s">
        <v>28</v>
      </c>
      <c r="L7816" s="11" t="s">
        <v>28</v>
      </c>
      <c r="M7816" s="11" t="s">
        <v>28</v>
      </c>
      <c r="N7816" s="8">
        <v>43228</v>
      </c>
      <c r="O7816" s="9" t="s">
        <v>30</v>
      </c>
      <c r="P7816" s="12" t="s">
        <v>3609</v>
      </c>
      <c r="Q7816" s="9" t="s">
        <v>75</v>
      </c>
      <c r="R7816" s="14" t="str">
        <f>HYPERLINK("https://my.pitchbook.com?c=257370-76T","View Company Online")</f>
        <v>View Company Online</v>
      </c>
    </row>
    <row r="7817" spans="1:18" hidden="1" x14ac:dyDescent="0.3">
      <c r="A7817" s="15" t="s">
        <v>22900</v>
      </c>
      <c r="B7817" s="15" t="s">
        <v>11764</v>
      </c>
      <c r="C7817" s="18" t="s">
        <v>28</v>
      </c>
      <c r="D7817" s="15" t="s">
        <v>11765</v>
      </c>
      <c r="E7817" s="18" t="s">
        <v>28</v>
      </c>
      <c r="F7817" s="19" t="s">
        <v>28</v>
      </c>
      <c r="G7817" s="19">
        <v>0.57999999999999996</v>
      </c>
      <c r="H7817" s="19" t="s">
        <v>28</v>
      </c>
      <c r="I7817" s="18" t="s">
        <v>28</v>
      </c>
      <c r="J7817" s="18" t="s">
        <v>28</v>
      </c>
      <c r="K7817" s="18" t="s">
        <v>28</v>
      </c>
      <c r="L7817" s="18" t="s">
        <v>28</v>
      </c>
      <c r="M7817" s="18" t="s">
        <v>28</v>
      </c>
      <c r="N7817" s="17">
        <v>43227</v>
      </c>
      <c r="O7817" s="15" t="s">
        <v>79</v>
      </c>
      <c r="P7817" s="16" t="s">
        <v>22901</v>
      </c>
      <c r="Q7817" s="15" t="s">
        <v>5628</v>
      </c>
      <c r="R7817" s="13" t="str">
        <f>HYPERLINK("https://my.pitchbook.com?c=111653-74T","View Company Online")</f>
        <v>View Company Online</v>
      </c>
    </row>
    <row r="7818" spans="1:18" hidden="1" x14ac:dyDescent="0.3">
      <c r="A7818" s="9" t="s">
        <v>22902</v>
      </c>
      <c r="B7818" s="9" t="s">
        <v>22903</v>
      </c>
      <c r="C7818" s="11" t="s">
        <v>28</v>
      </c>
      <c r="D7818" s="9" t="s">
        <v>22904</v>
      </c>
      <c r="E7818" s="11" t="s">
        <v>28</v>
      </c>
      <c r="F7818" s="10" t="s">
        <v>28</v>
      </c>
      <c r="G7818" s="10">
        <v>2.89</v>
      </c>
      <c r="H7818" s="10" t="s">
        <v>28</v>
      </c>
      <c r="I7818" s="11" t="s">
        <v>28</v>
      </c>
      <c r="J7818" s="11" t="s">
        <v>28</v>
      </c>
      <c r="K7818" s="11" t="s">
        <v>28</v>
      </c>
      <c r="L7818" s="11" t="s">
        <v>28</v>
      </c>
      <c r="M7818" s="11" t="s">
        <v>28</v>
      </c>
      <c r="N7818" s="8">
        <v>43227</v>
      </c>
      <c r="O7818" s="9" t="s">
        <v>79</v>
      </c>
      <c r="P7818" s="12" t="s">
        <v>11495</v>
      </c>
      <c r="Q7818" s="9" t="s">
        <v>75</v>
      </c>
      <c r="R7818" s="14" t="str">
        <f>HYPERLINK("https://my.pitchbook.com?c=109098-91T","View Company Online")</f>
        <v>View Company Online</v>
      </c>
    </row>
    <row r="7819" spans="1:18" hidden="1" x14ac:dyDescent="0.3">
      <c r="A7819" s="15" t="s">
        <v>22905</v>
      </c>
      <c r="B7819" s="15" t="s">
        <v>22906</v>
      </c>
      <c r="C7819" s="18" t="s">
        <v>28</v>
      </c>
      <c r="D7819" s="15" t="s">
        <v>22907</v>
      </c>
      <c r="E7819" s="18" t="s">
        <v>28</v>
      </c>
      <c r="F7819" s="19">
        <v>0.08</v>
      </c>
      <c r="G7819" s="19">
        <v>0.08</v>
      </c>
      <c r="H7819" s="19">
        <v>0.08</v>
      </c>
      <c r="I7819" s="18" t="s">
        <v>28</v>
      </c>
      <c r="J7819" s="18" t="s">
        <v>28</v>
      </c>
      <c r="K7819" s="18">
        <v>3.09</v>
      </c>
      <c r="L7819" s="18">
        <v>0.03</v>
      </c>
      <c r="M7819" s="18" t="s">
        <v>28</v>
      </c>
      <c r="N7819" s="17">
        <v>43224</v>
      </c>
      <c r="O7819" s="15" t="s">
        <v>30</v>
      </c>
      <c r="P7819" s="16" t="s">
        <v>28</v>
      </c>
      <c r="Q7819" s="15" t="s">
        <v>353</v>
      </c>
      <c r="R7819" s="13" t="str">
        <f>HYPERLINK("https://my.pitchbook.com?c=105403-51T","View Company Online")</f>
        <v>View Company Online</v>
      </c>
    </row>
    <row r="7820" spans="1:18" hidden="1" x14ac:dyDescent="0.3">
      <c r="A7820" s="9" t="s">
        <v>22908</v>
      </c>
      <c r="B7820" s="9" t="s">
        <v>16536</v>
      </c>
      <c r="C7820" s="11" t="s">
        <v>28</v>
      </c>
      <c r="D7820" s="9" t="s">
        <v>16537</v>
      </c>
      <c r="E7820" s="11" t="s">
        <v>28</v>
      </c>
      <c r="F7820" s="10" t="s">
        <v>28</v>
      </c>
      <c r="G7820" s="10" t="s">
        <v>28</v>
      </c>
      <c r="H7820" s="10" t="s">
        <v>28</v>
      </c>
      <c r="I7820" s="11" t="s">
        <v>28</v>
      </c>
      <c r="J7820" s="11" t="s">
        <v>28</v>
      </c>
      <c r="K7820" s="11" t="s">
        <v>28</v>
      </c>
      <c r="L7820" s="11" t="s">
        <v>28</v>
      </c>
      <c r="M7820" s="11" t="s">
        <v>28</v>
      </c>
      <c r="N7820" s="8">
        <v>43224</v>
      </c>
      <c r="O7820" s="9" t="s">
        <v>30</v>
      </c>
      <c r="P7820" s="12" t="s">
        <v>22909</v>
      </c>
      <c r="Q7820" s="9" t="s">
        <v>1179</v>
      </c>
      <c r="R7820" s="14" t="str">
        <f>HYPERLINK("https://my.pitchbook.com?c=214783-21T","View Company Online")</f>
        <v>View Company Online</v>
      </c>
    </row>
    <row r="7821" spans="1:18" hidden="1" x14ac:dyDescent="0.3">
      <c r="A7821" s="15" t="s">
        <v>22910</v>
      </c>
      <c r="B7821" s="15" t="s">
        <v>22911</v>
      </c>
      <c r="C7821" s="18" t="s">
        <v>28</v>
      </c>
      <c r="D7821" s="15" t="s">
        <v>22912</v>
      </c>
      <c r="E7821" s="18" t="s">
        <v>28</v>
      </c>
      <c r="F7821" s="19" t="s">
        <v>28</v>
      </c>
      <c r="G7821" s="19" t="s">
        <v>28</v>
      </c>
      <c r="H7821" s="19" t="s">
        <v>28</v>
      </c>
      <c r="I7821" s="18" t="s">
        <v>28</v>
      </c>
      <c r="J7821" s="18" t="s">
        <v>28</v>
      </c>
      <c r="K7821" s="18" t="s">
        <v>28</v>
      </c>
      <c r="L7821" s="18" t="s">
        <v>28</v>
      </c>
      <c r="M7821" s="18" t="s">
        <v>28</v>
      </c>
      <c r="N7821" s="17">
        <v>43224</v>
      </c>
      <c r="O7821" s="15" t="s">
        <v>30</v>
      </c>
      <c r="P7821" s="16" t="s">
        <v>22913</v>
      </c>
      <c r="Q7821" s="15" t="s">
        <v>245</v>
      </c>
      <c r="R7821" s="13" t="str">
        <f>HYPERLINK("https://my.pitchbook.com?c=119613-52T","View Company Online")</f>
        <v>View Company Online</v>
      </c>
    </row>
    <row r="7822" spans="1:18" hidden="1" x14ac:dyDescent="0.3">
      <c r="A7822" s="9" t="s">
        <v>22914</v>
      </c>
      <c r="B7822" s="9" t="s">
        <v>22915</v>
      </c>
      <c r="C7822" s="11" t="s">
        <v>28</v>
      </c>
      <c r="D7822" s="9" t="s">
        <v>22916</v>
      </c>
      <c r="E7822" s="11" t="s">
        <v>28</v>
      </c>
      <c r="F7822" s="10">
        <v>77.8</v>
      </c>
      <c r="G7822" s="10">
        <v>38.9</v>
      </c>
      <c r="H7822" s="10">
        <v>77.8</v>
      </c>
      <c r="I7822" s="11" t="s">
        <v>28</v>
      </c>
      <c r="J7822" s="11" t="s">
        <v>28</v>
      </c>
      <c r="K7822" s="11" t="s">
        <v>28</v>
      </c>
      <c r="L7822" s="11" t="s">
        <v>28</v>
      </c>
      <c r="M7822" s="11" t="s">
        <v>28</v>
      </c>
      <c r="N7822" s="8">
        <v>43224</v>
      </c>
      <c r="O7822" s="9" t="s">
        <v>30</v>
      </c>
      <c r="P7822" s="12" t="s">
        <v>22917</v>
      </c>
      <c r="Q7822" s="9" t="s">
        <v>449</v>
      </c>
      <c r="R7822" s="14" t="str">
        <f>HYPERLINK("https://my.pitchbook.com?c=186077-53T","View Company Online")</f>
        <v>View Company Online</v>
      </c>
    </row>
    <row r="7823" spans="1:18" hidden="1" x14ac:dyDescent="0.3">
      <c r="A7823" s="15" t="s">
        <v>22918</v>
      </c>
      <c r="B7823" s="15" t="s">
        <v>18105</v>
      </c>
      <c r="C7823" s="18" t="s">
        <v>28</v>
      </c>
      <c r="D7823" s="15" t="s">
        <v>18106</v>
      </c>
      <c r="E7823" s="18" t="s">
        <v>28</v>
      </c>
      <c r="F7823" s="19" t="s">
        <v>28</v>
      </c>
      <c r="G7823" s="19">
        <v>6.13</v>
      </c>
      <c r="H7823" s="19" t="s">
        <v>28</v>
      </c>
      <c r="I7823" s="18" t="s">
        <v>28</v>
      </c>
      <c r="J7823" s="18" t="s">
        <v>28</v>
      </c>
      <c r="K7823" s="18" t="s">
        <v>28</v>
      </c>
      <c r="L7823" s="18" t="s">
        <v>28</v>
      </c>
      <c r="M7823" s="18" t="s">
        <v>28</v>
      </c>
      <c r="N7823" s="17">
        <v>43222</v>
      </c>
      <c r="O7823" s="15" t="s">
        <v>73</v>
      </c>
      <c r="P7823" s="16" t="s">
        <v>28</v>
      </c>
      <c r="Q7823" s="15" t="s">
        <v>136</v>
      </c>
      <c r="R7823" s="13" t="str">
        <f>HYPERLINK("https://my.pitchbook.com?c=92121-67T","View Company Online")</f>
        <v>View Company Online</v>
      </c>
    </row>
    <row r="7824" spans="1:18" hidden="1" x14ac:dyDescent="0.3">
      <c r="A7824" s="9" t="s">
        <v>22919</v>
      </c>
      <c r="B7824" s="9" t="s">
        <v>13680</v>
      </c>
      <c r="C7824" s="11" t="s">
        <v>28</v>
      </c>
      <c r="D7824" s="9" t="s">
        <v>13681</v>
      </c>
      <c r="E7824" s="11" t="s">
        <v>28</v>
      </c>
      <c r="F7824" s="10" t="s">
        <v>28</v>
      </c>
      <c r="G7824" s="10">
        <v>7.1</v>
      </c>
      <c r="H7824" s="10" t="s">
        <v>28</v>
      </c>
      <c r="I7824" s="11" t="s">
        <v>28</v>
      </c>
      <c r="J7824" s="11" t="s">
        <v>28</v>
      </c>
      <c r="K7824" s="11" t="s">
        <v>28</v>
      </c>
      <c r="L7824" s="11" t="s">
        <v>28</v>
      </c>
      <c r="M7824" s="11" t="s">
        <v>28</v>
      </c>
      <c r="N7824" s="8">
        <v>43222</v>
      </c>
      <c r="O7824" s="9" t="s">
        <v>79</v>
      </c>
      <c r="P7824" s="12" t="s">
        <v>22920</v>
      </c>
      <c r="Q7824" s="9" t="s">
        <v>5347</v>
      </c>
      <c r="R7824" s="14" t="str">
        <f>HYPERLINK("https://my.pitchbook.com?c=93576-16T","View Company Online")</f>
        <v>View Company Online</v>
      </c>
    </row>
    <row r="7825" spans="1:18" hidden="1" x14ac:dyDescent="0.3">
      <c r="A7825" s="15" t="s">
        <v>22921</v>
      </c>
      <c r="B7825" s="15" t="s">
        <v>8484</v>
      </c>
      <c r="C7825" s="18" t="s">
        <v>28</v>
      </c>
      <c r="D7825" s="15" t="s">
        <v>11710</v>
      </c>
      <c r="E7825" s="18" t="s">
        <v>28</v>
      </c>
      <c r="F7825" s="19" t="s">
        <v>28</v>
      </c>
      <c r="G7825" s="19">
        <v>22</v>
      </c>
      <c r="H7825" s="19" t="s">
        <v>28</v>
      </c>
      <c r="I7825" s="18" t="s">
        <v>28</v>
      </c>
      <c r="J7825" s="18" t="s">
        <v>28</v>
      </c>
      <c r="K7825" s="18" t="s">
        <v>28</v>
      </c>
      <c r="L7825" s="18" t="s">
        <v>28</v>
      </c>
      <c r="M7825" s="18" t="s">
        <v>28</v>
      </c>
      <c r="N7825" s="17">
        <v>43222</v>
      </c>
      <c r="O7825" s="15" t="s">
        <v>73</v>
      </c>
      <c r="P7825" s="16" t="s">
        <v>22922</v>
      </c>
      <c r="Q7825" s="15" t="s">
        <v>114</v>
      </c>
      <c r="R7825" s="13" t="str">
        <f>HYPERLINK("https://my.pitchbook.com?c=105315-67T","View Company Online")</f>
        <v>View Company Online</v>
      </c>
    </row>
    <row r="7826" spans="1:18" hidden="1" x14ac:dyDescent="0.3">
      <c r="A7826" s="9" t="s">
        <v>22923</v>
      </c>
      <c r="B7826" s="9" t="s">
        <v>15325</v>
      </c>
      <c r="C7826" s="11" t="s">
        <v>28</v>
      </c>
      <c r="D7826" s="9" t="s">
        <v>15326</v>
      </c>
      <c r="E7826" s="11" t="s">
        <v>28</v>
      </c>
      <c r="F7826" s="10" t="s">
        <v>28</v>
      </c>
      <c r="G7826" s="10">
        <v>0.05</v>
      </c>
      <c r="H7826" s="10" t="s">
        <v>28</v>
      </c>
      <c r="I7826" s="11" t="s">
        <v>28</v>
      </c>
      <c r="J7826" s="11" t="s">
        <v>28</v>
      </c>
      <c r="K7826" s="11" t="s">
        <v>28</v>
      </c>
      <c r="L7826" s="11" t="s">
        <v>28</v>
      </c>
      <c r="M7826" s="11" t="s">
        <v>28</v>
      </c>
      <c r="N7826" s="8">
        <v>43221</v>
      </c>
      <c r="O7826" s="9" t="s">
        <v>52</v>
      </c>
      <c r="P7826" s="12" t="s">
        <v>2915</v>
      </c>
      <c r="Q7826" s="9" t="s">
        <v>75</v>
      </c>
      <c r="R7826" s="14" t="str">
        <f>HYPERLINK("https://my.pitchbook.com?c=168032-80T","View Company Online")</f>
        <v>View Company Online</v>
      </c>
    </row>
    <row r="7827" spans="1:18" hidden="1" x14ac:dyDescent="0.3">
      <c r="A7827" s="15" t="s">
        <v>22924</v>
      </c>
      <c r="B7827" s="15" t="s">
        <v>13424</v>
      </c>
      <c r="C7827" s="18" t="s">
        <v>28</v>
      </c>
      <c r="D7827" s="15" t="s">
        <v>13425</v>
      </c>
      <c r="E7827" s="18" t="s">
        <v>28</v>
      </c>
      <c r="F7827" s="19" t="s">
        <v>28</v>
      </c>
      <c r="G7827" s="19">
        <v>3.5</v>
      </c>
      <c r="H7827" s="19" t="s">
        <v>28</v>
      </c>
      <c r="I7827" s="18" t="s">
        <v>28</v>
      </c>
      <c r="J7827" s="18" t="s">
        <v>28</v>
      </c>
      <c r="K7827" s="18">
        <v>15.64</v>
      </c>
      <c r="L7827" s="18" t="s">
        <v>28</v>
      </c>
      <c r="M7827" s="18" t="s">
        <v>28</v>
      </c>
      <c r="N7827" s="17">
        <v>43221</v>
      </c>
      <c r="O7827" s="15" t="s">
        <v>73</v>
      </c>
      <c r="P7827" s="16" t="s">
        <v>22925</v>
      </c>
      <c r="Q7827" s="15" t="s">
        <v>37</v>
      </c>
      <c r="R7827" s="13" t="str">
        <f>HYPERLINK("https://my.pitchbook.com?c=97569-82T","View Company Online")</f>
        <v>View Company Online</v>
      </c>
    </row>
    <row r="7828" spans="1:18" hidden="1" x14ac:dyDescent="0.3">
      <c r="A7828" s="9" t="s">
        <v>22926</v>
      </c>
      <c r="B7828" s="9" t="s">
        <v>20931</v>
      </c>
      <c r="C7828" s="11" t="s">
        <v>28</v>
      </c>
      <c r="D7828" s="9" t="s">
        <v>20932</v>
      </c>
      <c r="E7828" s="11" t="s">
        <v>28</v>
      </c>
      <c r="F7828" s="10" t="s">
        <v>28</v>
      </c>
      <c r="G7828" s="10">
        <v>0.03</v>
      </c>
      <c r="H7828" s="10" t="s">
        <v>28</v>
      </c>
      <c r="I7828" s="11" t="s">
        <v>28</v>
      </c>
      <c r="J7828" s="11" t="s">
        <v>28</v>
      </c>
      <c r="K7828" s="11" t="s">
        <v>28</v>
      </c>
      <c r="L7828" s="11" t="s">
        <v>28</v>
      </c>
      <c r="M7828" s="11" t="s">
        <v>28</v>
      </c>
      <c r="N7828" s="8">
        <v>43221</v>
      </c>
      <c r="O7828" s="9" t="s">
        <v>1639</v>
      </c>
      <c r="P7828" s="12" t="s">
        <v>28</v>
      </c>
      <c r="Q7828" s="9" t="s">
        <v>607</v>
      </c>
      <c r="R7828" s="14" t="str">
        <f>HYPERLINK("https://my.pitchbook.com?c=126023-86T","View Company Online")</f>
        <v>View Company Online</v>
      </c>
    </row>
    <row r="7829" spans="1:18" hidden="1" x14ac:dyDescent="0.3">
      <c r="A7829" s="15" t="s">
        <v>22927</v>
      </c>
      <c r="B7829" s="15" t="s">
        <v>15085</v>
      </c>
      <c r="C7829" s="18" t="s">
        <v>28</v>
      </c>
      <c r="D7829" s="15" t="s">
        <v>15086</v>
      </c>
      <c r="E7829" s="18" t="s">
        <v>28</v>
      </c>
      <c r="F7829" s="19" t="s">
        <v>28</v>
      </c>
      <c r="G7829" s="19" t="s">
        <v>28</v>
      </c>
      <c r="H7829" s="19" t="s">
        <v>28</v>
      </c>
      <c r="I7829" s="18" t="s">
        <v>28</v>
      </c>
      <c r="J7829" s="18" t="s">
        <v>28</v>
      </c>
      <c r="K7829" s="18" t="s">
        <v>28</v>
      </c>
      <c r="L7829" s="18" t="s">
        <v>28</v>
      </c>
      <c r="M7829" s="18" t="s">
        <v>28</v>
      </c>
      <c r="N7829" s="17">
        <v>43221</v>
      </c>
      <c r="O7829" s="15" t="s">
        <v>93</v>
      </c>
      <c r="P7829" s="16" t="s">
        <v>22928</v>
      </c>
      <c r="Q7829" s="15" t="s">
        <v>1068</v>
      </c>
      <c r="R7829" s="13" t="str">
        <f>HYPERLINK("https://my.pitchbook.com?c=119834-65T","View Company Online")</f>
        <v>View Company Online</v>
      </c>
    </row>
    <row r="7830" spans="1:18" hidden="1" x14ac:dyDescent="0.3">
      <c r="A7830" s="9" t="s">
        <v>22929</v>
      </c>
      <c r="B7830" s="9" t="s">
        <v>1706</v>
      </c>
      <c r="C7830" s="11" t="s">
        <v>28</v>
      </c>
      <c r="D7830" s="9" t="s">
        <v>1707</v>
      </c>
      <c r="E7830" s="11" t="s">
        <v>28</v>
      </c>
      <c r="F7830" s="10" t="s">
        <v>28</v>
      </c>
      <c r="G7830" s="10">
        <v>0.15</v>
      </c>
      <c r="H7830" s="10" t="s">
        <v>28</v>
      </c>
      <c r="I7830" s="11" t="s">
        <v>28</v>
      </c>
      <c r="J7830" s="11" t="s">
        <v>28</v>
      </c>
      <c r="K7830" s="11" t="s">
        <v>28</v>
      </c>
      <c r="L7830" s="11" t="s">
        <v>28</v>
      </c>
      <c r="M7830" s="11" t="s">
        <v>28</v>
      </c>
      <c r="N7830" s="8">
        <v>43221</v>
      </c>
      <c r="O7830" s="9" t="s">
        <v>79</v>
      </c>
      <c r="P7830" s="12" t="s">
        <v>22930</v>
      </c>
      <c r="Q7830" s="9" t="s">
        <v>616</v>
      </c>
      <c r="R7830" s="14" t="str">
        <f>HYPERLINK("https://my.pitchbook.com?c=102840-13T","View Company Online")</f>
        <v>View Company Online</v>
      </c>
    </row>
    <row r="7831" spans="1:18" hidden="1" x14ac:dyDescent="0.3">
      <c r="A7831" s="15" t="s">
        <v>22931</v>
      </c>
      <c r="B7831" s="15" t="s">
        <v>19296</v>
      </c>
      <c r="C7831" s="18" t="s">
        <v>28</v>
      </c>
      <c r="D7831" s="15" t="s">
        <v>19297</v>
      </c>
      <c r="E7831" s="18" t="s">
        <v>28</v>
      </c>
      <c r="F7831" s="19" t="s">
        <v>28</v>
      </c>
      <c r="G7831" s="19">
        <v>0.01</v>
      </c>
      <c r="H7831" s="19" t="s">
        <v>28</v>
      </c>
      <c r="I7831" s="18" t="s">
        <v>28</v>
      </c>
      <c r="J7831" s="18" t="s">
        <v>28</v>
      </c>
      <c r="K7831" s="18" t="s">
        <v>28</v>
      </c>
      <c r="L7831" s="18" t="s">
        <v>28</v>
      </c>
      <c r="M7831" s="18" t="s">
        <v>28</v>
      </c>
      <c r="N7831" s="17">
        <v>43221</v>
      </c>
      <c r="O7831" s="15" t="s">
        <v>1639</v>
      </c>
      <c r="P7831" s="16" t="s">
        <v>28</v>
      </c>
      <c r="Q7831" s="15" t="s">
        <v>95</v>
      </c>
      <c r="R7831" s="13" t="str">
        <f>HYPERLINK("https://my.pitchbook.com?c=125980-93T","View Company Online")</f>
        <v>View Company Online</v>
      </c>
    </row>
    <row r="7832" spans="1:18" hidden="1" x14ac:dyDescent="0.3">
      <c r="A7832" s="9" t="s">
        <v>22932</v>
      </c>
      <c r="B7832" s="9" t="s">
        <v>22933</v>
      </c>
      <c r="C7832" s="11" t="s">
        <v>28</v>
      </c>
      <c r="D7832" s="9" t="s">
        <v>22934</v>
      </c>
      <c r="E7832" s="11" t="s">
        <v>28</v>
      </c>
      <c r="F7832" s="10" t="s">
        <v>28</v>
      </c>
      <c r="G7832" s="10">
        <v>0.03</v>
      </c>
      <c r="H7832" s="10" t="s">
        <v>28</v>
      </c>
      <c r="I7832" s="11" t="s">
        <v>28</v>
      </c>
      <c r="J7832" s="11" t="s">
        <v>28</v>
      </c>
      <c r="K7832" s="11" t="s">
        <v>28</v>
      </c>
      <c r="L7832" s="11" t="s">
        <v>28</v>
      </c>
      <c r="M7832" s="11" t="s">
        <v>28</v>
      </c>
      <c r="N7832" s="8">
        <v>43221</v>
      </c>
      <c r="O7832" s="9" t="s">
        <v>52</v>
      </c>
      <c r="P7832" s="12" t="s">
        <v>16809</v>
      </c>
      <c r="Q7832" s="9" t="s">
        <v>75</v>
      </c>
      <c r="R7832" s="14" t="str">
        <f>HYPERLINK("https://my.pitchbook.com?c=125339-68T","View Company Online")</f>
        <v>View Company Online</v>
      </c>
    </row>
    <row r="7833" spans="1:18" hidden="1" x14ac:dyDescent="0.3">
      <c r="A7833" s="15" t="s">
        <v>22935</v>
      </c>
      <c r="B7833" s="15" t="s">
        <v>22936</v>
      </c>
      <c r="C7833" s="18" t="s">
        <v>28</v>
      </c>
      <c r="D7833" s="15" t="s">
        <v>22937</v>
      </c>
      <c r="E7833" s="18" t="s">
        <v>28</v>
      </c>
      <c r="F7833" s="19" t="s">
        <v>28</v>
      </c>
      <c r="G7833" s="19">
        <v>0.03</v>
      </c>
      <c r="H7833" s="19" t="s">
        <v>28</v>
      </c>
      <c r="I7833" s="18" t="s">
        <v>28</v>
      </c>
      <c r="J7833" s="18" t="s">
        <v>28</v>
      </c>
      <c r="K7833" s="18" t="s">
        <v>28</v>
      </c>
      <c r="L7833" s="18" t="s">
        <v>28</v>
      </c>
      <c r="M7833" s="18" t="s">
        <v>28</v>
      </c>
      <c r="N7833" s="17">
        <v>43220</v>
      </c>
      <c r="O7833" s="15" t="s">
        <v>52</v>
      </c>
      <c r="P7833" s="16" t="s">
        <v>16809</v>
      </c>
      <c r="Q7833" s="15" t="s">
        <v>37</v>
      </c>
      <c r="R7833" s="13" t="str">
        <f>HYPERLINK("https://my.pitchbook.com?c=125279-29T","View Company Online")</f>
        <v>View Company Online</v>
      </c>
    </row>
    <row r="7834" spans="1:18" hidden="1" x14ac:dyDescent="0.3">
      <c r="A7834" s="9" t="s">
        <v>22938</v>
      </c>
      <c r="B7834" s="9" t="s">
        <v>22939</v>
      </c>
      <c r="C7834" s="11" t="s">
        <v>28</v>
      </c>
      <c r="D7834" s="9" t="s">
        <v>22940</v>
      </c>
      <c r="E7834" s="11" t="s">
        <v>28</v>
      </c>
      <c r="F7834" s="10" t="s">
        <v>28</v>
      </c>
      <c r="G7834" s="10" t="s">
        <v>28</v>
      </c>
      <c r="H7834" s="10" t="s">
        <v>28</v>
      </c>
      <c r="I7834" s="11" t="s">
        <v>28</v>
      </c>
      <c r="J7834" s="11" t="s">
        <v>28</v>
      </c>
      <c r="K7834" s="11">
        <v>0</v>
      </c>
      <c r="L7834" s="11" t="s">
        <v>28</v>
      </c>
      <c r="M7834" s="11">
        <v>-0.03</v>
      </c>
      <c r="N7834" s="8">
        <v>43220</v>
      </c>
      <c r="O7834" s="9" t="s">
        <v>173</v>
      </c>
      <c r="P7834" s="12" t="s">
        <v>28</v>
      </c>
      <c r="Q7834" s="9" t="s">
        <v>174</v>
      </c>
      <c r="R7834" s="14" t="str">
        <f>HYPERLINK("https://my.pitchbook.com?c=224108-11T","View Company Online")</f>
        <v>View Company Online</v>
      </c>
    </row>
    <row r="7835" spans="1:18" hidden="1" x14ac:dyDescent="0.3">
      <c r="A7835" s="15" t="s">
        <v>22941</v>
      </c>
      <c r="B7835" s="15" t="s">
        <v>22942</v>
      </c>
      <c r="C7835" s="18" t="s">
        <v>28</v>
      </c>
      <c r="D7835" s="15" t="s">
        <v>22943</v>
      </c>
      <c r="E7835" s="18" t="s">
        <v>28</v>
      </c>
      <c r="F7835" s="19" t="s">
        <v>28</v>
      </c>
      <c r="G7835" s="19" t="s">
        <v>28</v>
      </c>
      <c r="H7835" s="19" t="s">
        <v>28</v>
      </c>
      <c r="I7835" s="18" t="s">
        <v>28</v>
      </c>
      <c r="J7835" s="18" t="s">
        <v>28</v>
      </c>
      <c r="K7835" s="18" t="s">
        <v>28</v>
      </c>
      <c r="L7835" s="18" t="s">
        <v>28</v>
      </c>
      <c r="M7835" s="18" t="s">
        <v>28</v>
      </c>
      <c r="N7835" s="17">
        <v>43220</v>
      </c>
      <c r="O7835" s="15" t="s">
        <v>30</v>
      </c>
      <c r="P7835" s="16" t="s">
        <v>3647</v>
      </c>
      <c r="Q7835" s="15" t="s">
        <v>136</v>
      </c>
      <c r="R7835" s="13" t="str">
        <f>HYPERLINK("https://my.pitchbook.com?c=256727-35T","View Company Online")</f>
        <v>View Company Online</v>
      </c>
    </row>
    <row r="7836" spans="1:18" hidden="1" x14ac:dyDescent="0.3">
      <c r="A7836" s="9" t="s">
        <v>22944</v>
      </c>
      <c r="B7836" s="9" t="s">
        <v>22945</v>
      </c>
      <c r="C7836" s="11" t="s">
        <v>28</v>
      </c>
      <c r="D7836" s="9" t="s">
        <v>22946</v>
      </c>
      <c r="E7836" s="11" t="s">
        <v>28</v>
      </c>
      <c r="F7836" s="10" t="s">
        <v>28</v>
      </c>
      <c r="G7836" s="10">
        <v>0.03</v>
      </c>
      <c r="H7836" s="10" t="s">
        <v>28</v>
      </c>
      <c r="I7836" s="11" t="s">
        <v>28</v>
      </c>
      <c r="J7836" s="11" t="s">
        <v>28</v>
      </c>
      <c r="K7836" s="11" t="s">
        <v>28</v>
      </c>
      <c r="L7836" s="11" t="s">
        <v>28</v>
      </c>
      <c r="M7836" s="11" t="s">
        <v>28</v>
      </c>
      <c r="N7836" s="8">
        <v>43220</v>
      </c>
      <c r="O7836" s="9" t="s">
        <v>52</v>
      </c>
      <c r="P7836" s="12" t="s">
        <v>16809</v>
      </c>
      <c r="Q7836" s="9" t="s">
        <v>75</v>
      </c>
      <c r="R7836" s="14" t="str">
        <f>HYPERLINK("https://my.pitchbook.com?c=125272-00T","View Company Online")</f>
        <v>View Company Online</v>
      </c>
    </row>
    <row r="7837" spans="1:18" hidden="1" x14ac:dyDescent="0.3">
      <c r="A7837" s="15" t="s">
        <v>22947</v>
      </c>
      <c r="B7837" s="15" t="s">
        <v>22948</v>
      </c>
      <c r="C7837" s="18" t="s">
        <v>28</v>
      </c>
      <c r="D7837" s="15" t="s">
        <v>22949</v>
      </c>
      <c r="E7837" s="18" t="s">
        <v>28</v>
      </c>
      <c r="F7837" s="19" t="s">
        <v>28</v>
      </c>
      <c r="G7837" s="19">
        <v>0.12</v>
      </c>
      <c r="H7837" s="19" t="s">
        <v>28</v>
      </c>
      <c r="I7837" s="18" t="s">
        <v>28</v>
      </c>
      <c r="J7837" s="18" t="s">
        <v>28</v>
      </c>
      <c r="K7837" s="18" t="s">
        <v>28</v>
      </c>
      <c r="L7837" s="18" t="s">
        <v>28</v>
      </c>
      <c r="M7837" s="18" t="s">
        <v>28</v>
      </c>
      <c r="N7837" s="17">
        <v>43220</v>
      </c>
      <c r="O7837" s="15" t="s">
        <v>52</v>
      </c>
      <c r="P7837" s="16" t="s">
        <v>14893</v>
      </c>
      <c r="Q7837" s="15" t="s">
        <v>43</v>
      </c>
      <c r="R7837" s="13" t="str">
        <f>HYPERLINK("https://my.pitchbook.com?c=126508-96T","View Company Online")</f>
        <v>View Company Online</v>
      </c>
    </row>
    <row r="7838" spans="1:18" hidden="1" x14ac:dyDescent="0.3">
      <c r="A7838" s="9" t="s">
        <v>22950</v>
      </c>
      <c r="B7838" s="9" t="s">
        <v>3710</v>
      </c>
      <c r="C7838" s="11" t="s">
        <v>28</v>
      </c>
      <c r="D7838" s="9" t="s">
        <v>3711</v>
      </c>
      <c r="E7838" s="11" t="s">
        <v>28</v>
      </c>
      <c r="F7838" s="10" t="s">
        <v>28</v>
      </c>
      <c r="G7838" s="10" t="s">
        <v>28</v>
      </c>
      <c r="H7838" s="10" t="s">
        <v>28</v>
      </c>
      <c r="I7838" s="11" t="s">
        <v>28</v>
      </c>
      <c r="J7838" s="11" t="s">
        <v>28</v>
      </c>
      <c r="K7838" s="11" t="s">
        <v>28</v>
      </c>
      <c r="L7838" s="11" t="s">
        <v>28</v>
      </c>
      <c r="M7838" s="11" t="s">
        <v>28</v>
      </c>
      <c r="N7838" s="8">
        <v>43220</v>
      </c>
      <c r="O7838" s="9" t="s">
        <v>974</v>
      </c>
      <c r="P7838" s="12" t="s">
        <v>22951</v>
      </c>
      <c r="Q7838" s="9" t="s">
        <v>470</v>
      </c>
      <c r="R7838" s="14" t="str">
        <f>HYPERLINK("https://my.pitchbook.com?c=99134-29T","View Company Online")</f>
        <v>View Company Online</v>
      </c>
    </row>
    <row r="7839" spans="1:18" hidden="1" x14ac:dyDescent="0.3">
      <c r="A7839" s="15" t="s">
        <v>22952</v>
      </c>
      <c r="B7839" s="15" t="s">
        <v>3710</v>
      </c>
      <c r="C7839" s="18" t="s">
        <v>28</v>
      </c>
      <c r="D7839" s="15" t="s">
        <v>3711</v>
      </c>
      <c r="E7839" s="18" t="s">
        <v>28</v>
      </c>
      <c r="F7839" s="19" t="s">
        <v>28</v>
      </c>
      <c r="G7839" s="19">
        <v>15.69</v>
      </c>
      <c r="H7839" s="19" t="s">
        <v>28</v>
      </c>
      <c r="I7839" s="18" t="s">
        <v>28</v>
      </c>
      <c r="J7839" s="18" t="s">
        <v>28</v>
      </c>
      <c r="K7839" s="18" t="s">
        <v>28</v>
      </c>
      <c r="L7839" s="18" t="s">
        <v>28</v>
      </c>
      <c r="M7839" s="18" t="s">
        <v>28</v>
      </c>
      <c r="N7839" s="17">
        <v>43220</v>
      </c>
      <c r="O7839" s="15" t="s">
        <v>159</v>
      </c>
      <c r="P7839" s="16" t="s">
        <v>28</v>
      </c>
      <c r="Q7839" s="15" t="s">
        <v>470</v>
      </c>
      <c r="R7839" s="13" t="str">
        <f>HYPERLINK("https://my.pitchbook.com?c=99134-65T","View Company Online")</f>
        <v>View Company Online</v>
      </c>
    </row>
    <row r="7840" spans="1:18" hidden="1" x14ac:dyDescent="0.3">
      <c r="A7840" s="9" t="s">
        <v>22953</v>
      </c>
      <c r="B7840" s="9" t="s">
        <v>22954</v>
      </c>
      <c r="C7840" s="11" t="s">
        <v>28</v>
      </c>
      <c r="D7840" s="9" t="s">
        <v>22955</v>
      </c>
      <c r="E7840" s="11" t="s">
        <v>28</v>
      </c>
      <c r="F7840" s="10" t="s">
        <v>28</v>
      </c>
      <c r="G7840" s="10" t="s">
        <v>28</v>
      </c>
      <c r="H7840" s="10" t="s">
        <v>28</v>
      </c>
      <c r="I7840" s="11" t="s">
        <v>28</v>
      </c>
      <c r="J7840" s="11" t="s">
        <v>28</v>
      </c>
      <c r="K7840" s="11" t="s">
        <v>28</v>
      </c>
      <c r="L7840" s="11" t="s">
        <v>28</v>
      </c>
      <c r="M7840" s="11" t="s">
        <v>28</v>
      </c>
      <c r="N7840" s="8">
        <v>43220</v>
      </c>
      <c r="O7840" s="9" t="s">
        <v>30</v>
      </c>
      <c r="P7840" s="12" t="s">
        <v>7606</v>
      </c>
      <c r="Q7840" s="9" t="s">
        <v>404</v>
      </c>
      <c r="R7840" s="14" t="str">
        <f>HYPERLINK("https://my.pitchbook.com?c=103479-85T","View Company Online")</f>
        <v>View Company Online</v>
      </c>
    </row>
    <row r="7841" spans="1:18" hidden="1" x14ac:dyDescent="0.3">
      <c r="A7841" s="15" t="s">
        <v>22956</v>
      </c>
      <c r="B7841" s="15" t="s">
        <v>22957</v>
      </c>
      <c r="C7841" s="18" t="s">
        <v>28</v>
      </c>
      <c r="D7841" s="15" t="s">
        <v>22958</v>
      </c>
      <c r="E7841" s="18" t="s">
        <v>28</v>
      </c>
      <c r="F7841" s="19" t="s">
        <v>28</v>
      </c>
      <c r="G7841" s="19">
        <v>0.76</v>
      </c>
      <c r="H7841" s="19" t="s">
        <v>28</v>
      </c>
      <c r="I7841" s="18" t="s">
        <v>28</v>
      </c>
      <c r="J7841" s="18" t="s">
        <v>28</v>
      </c>
      <c r="K7841" s="18" t="s">
        <v>28</v>
      </c>
      <c r="L7841" s="18" t="s">
        <v>28</v>
      </c>
      <c r="M7841" s="18" t="s">
        <v>28</v>
      </c>
      <c r="N7841" s="17">
        <v>43220</v>
      </c>
      <c r="O7841" s="15" t="s">
        <v>79</v>
      </c>
      <c r="P7841" s="16" t="s">
        <v>22959</v>
      </c>
      <c r="Q7841" s="15" t="s">
        <v>1088</v>
      </c>
      <c r="R7841" s="13" t="str">
        <f>HYPERLINK("https://my.pitchbook.com?c=106645-06T","View Company Online")</f>
        <v>View Company Online</v>
      </c>
    </row>
    <row r="7842" spans="1:18" hidden="1" x14ac:dyDescent="0.3">
      <c r="A7842" s="9" t="s">
        <v>22960</v>
      </c>
      <c r="B7842" s="9" t="s">
        <v>11110</v>
      </c>
      <c r="C7842" s="11" t="s">
        <v>28</v>
      </c>
      <c r="D7842" s="9" t="s">
        <v>11111</v>
      </c>
      <c r="E7842" s="11" t="s">
        <v>28</v>
      </c>
      <c r="F7842" s="10" t="s">
        <v>28</v>
      </c>
      <c r="G7842" s="10" t="s">
        <v>28</v>
      </c>
      <c r="H7842" s="10" t="s">
        <v>28</v>
      </c>
      <c r="I7842" s="11" t="s">
        <v>28</v>
      </c>
      <c r="J7842" s="11" t="s">
        <v>28</v>
      </c>
      <c r="K7842" s="11" t="s">
        <v>28</v>
      </c>
      <c r="L7842" s="11" t="s">
        <v>28</v>
      </c>
      <c r="M7842" s="11" t="s">
        <v>28</v>
      </c>
      <c r="N7842" s="8">
        <v>43216</v>
      </c>
      <c r="O7842" s="9" t="s">
        <v>30</v>
      </c>
      <c r="P7842" s="12" t="s">
        <v>22961</v>
      </c>
      <c r="Q7842" s="9" t="s">
        <v>11113</v>
      </c>
      <c r="R7842" s="14" t="str">
        <f>HYPERLINK("https://my.pitchbook.com?c=118337-23T","View Company Online")</f>
        <v>View Company Online</v>
      </c>
    </row>
    <row r="7843" spans="1:18" hidden="1" x14ac:dyDescent="0.3">
      <c r="A7843" s="15" t="s">
        <v>22962</v>
      </c>
      <c r="B7843" s="15" t="s">
        <v>3677</v>
      </c>
      <c r="C7843" s="18" t="s">
        <v>28</v>
      </c>
      <c r="D7843" s="15" t="s">
        <v>3678</v>
      </c>
      <c r="E7843" s="18" t="s">
        <v>28</v>
      </c>
      <c r="F7843" s="19" t="s">
        <v>28</v>
      </c>
      <c r="G7843" s="19">
        <v>213.11</v>
      </c>
      <c r="H7843" s="19" t="s">
        <v>28</v>
      </c>
      <c r="I7843" s="18" t="s">
        <v>28</v>
      </c>
      <c r="J7843" s="18" t="s">
        <v>28</v>
      </c>
      <c r="K7843" s="18">
        <v>98.76</v>
      </c>
      <c r="L7843" s="18" t="s">
        <v>28</v>
      </c>
      <c r="M7843" s="18">
        <v>16.420000000000002</v>
      </c>
      <c r="N7843" s="17">
        <v>43216</v>
      </c>
      <c r="O7843" s="15" t="s">
        <v>173</v>
      </c>
      <c r="P7843" s="16" t="s">
        <v>22963</v>
      </c>
      <c r="Q7843" s="15" t="s">
        <v>37</v>
      </c>
      <c r="R7843" s="13" t="str">
        <f>HYPERLINK("https://my.pitchbook.com?c=121516-03T","View Company Online")</f>
        <v>View Company Online</v>
      </c>
    </row>
    <row r="7844" spans="1:18" hidden="1" x14ac:dyDescent="0.3">
      <c r="A7844" s="9" t="s">
        <v>22964</v>
      </c>
      <c r="B7844" s="9" t="s">
        <v>22965</v>
      </c>
      <c r="C7844" s="11" t="s">
        <v>28</v>
      </c>
      <c r="D7844" s="9" t="s">
        <v>22966</v>
      </c>
      <c r="E7844" s="11">
        <v>38.409999999999997</v>
      </c>
      <c r="F7844" s="10">
        <v>73.8</v>
      </c>
      <c r="G7844" s="10">
        <v>59.04</v>
      </c>
      <c r="H7844" s="10">
        <v>73.8</v>
      </c>
      <c r="I7844" s="11" t="s">
        <v>28</v>
      </c>
      <c r="J7844" s="11" t="s">
        <v>28</v>
      </c>
      <c r="K7844" s="11">
        <v>170.03</v>
      </c>
      <c r="L7844" s="11">
        <v>0.43</v>
      </c>
      <c r="M7844" s="11">
        <v>36.08</v>
      </c>
      <c r="N7844" s="8">
        <v>43216</v>
      </c>
      <c r="O7844" s="9" t="s">
        <v>30</v>
      </c>
      <c r="P7844" s="12" t="s">
        <v>2005</v>
      </c>
      <c r="Q7844" s="9" t="s">
        <v>43</v>
      </c>
      <c r="R7844" s="14" t="str">
        <f>HYPERLINK("https://my.pitchbook.com?c=224502-49T","View Company Online")</f>
        <v>View Company Online</v>
      </c>
    </row>
    <row r="7845" spans="1:18" hidden="1" x14ac:dyDescent="0.3">
      <c r="A7845" s="15" t="s">
        <v>22967</v>
      </c>
      <c r="B7845" s="15" t="s">
        <v>16423</v>
      </c>
      <c r="C7845" s="18" t="s">
        <v>28</v>
      </c>
      <c r="D7845" s="15" t="s">
        <v>16424</v>
      </c>
      <c r="E7845" s="18" t="s">
        <v>28</v>
      </c>
      <c r="F7845" s="19" t="s">
        <v>28</v>
      </c>
      <c r="G7845" s="19">
        <v>1</v>
      </c>
      <c r="H7845" s="19" t="s">
        <v>28</v>
      </c>
      <c r="I7845" s="18" t="s">
        <v>28</v>
      </c>
      <c r="J7845" s="18" t="s">
        <v>28</v>
      </c>
      <c r="K7845" s="18">
        <v>150</v>
      </c>
      <c r="L7845" s="18" t="s">
        <v>28</v>
      </c>
      <c r="M7845" s="18" t="s">
        <v>28</v>
      </c>
      <c r="N7845" s="17">
        <v>43216</v>
      </c>
      <c r="O7845" s="15" t="s">
        <v>79</v>
      </c>
      <c r="P7845" s="16" t="s">
        <v>19170</v>
      </c>
      <c r="Q7845" s="15" t="s">
        <v>409</v>
      </c>
      <c r="R7845" s="13" t="str">
        <f>HYPERLINK("https://my.pitchbook.com?c=302210-29T","View Company Online")</f>
        <v>View Company Online</v>
      </c>
    </row>
    <row r="7846" spans="1:18" hidden="1" x14ac:dyDescent="0.3">
      <c r="A7846" s="9" t="s">
        <v>22968</v>
      </c>
      <c r="B7846" s="9" t="s">
        <v>22969</v>
      </c>
      <c r="C7846" s="11" t="s">
        <v>28</v>
      </c>
      <c r="D7846" s="9" t="s">
        <v>22970</v>
      </c>
      <c r="E7846" s="11" t="s">
        <v>28</v>
      </c>
      <c r="F7846" s="10" t="s">
        <v>28</v>
      </c>
      <c r="G7846" s="10" t="s">
        <v>28</v>
      </c>
      <c r="H7846" s="10" t="s">
        <v>28</v>
      </c>
      <c r="I7846" s="11" t="s">
        <v>28</v>
      </c>
      <c r="J7846" s="11" t="s">
        <v>28</v>
      </c>
      <c r="K7846" s="11" t="s">
        <v>28</v>
      </c>
      <c r="L7846" s="11" t="s">
        <v>28</v>
      </c>
      <c r="M7846" s="11" t="s">
        <v>28</v>
      </c>
      <c r="N7846" s="8">
        <v>43215</v>
      </c>
      <c r="O7846" s="9" t="s">
        <v>30</v>
      </c>
      <c r="P7846" s="12" t="s">
        <v>22971</v>
      </c>
      <c r="Q7846" s="9" t="s">
        <v>75</v>
      </c>
      <c r="R7846" s="14" t="str">
        <f>HYPERLINK("https://my.pitchbook.com?c=127801-54T","View Company Online")</f>
        <v>View Company Online</v>
      </c>
    </row>
    <row r="7847" spans="1:18" hidden="1" x14ac:dyDescent="0.3">
      <c r="A7847" s="15" t="s">
        <v>22972</v>
      </c>
      <c r="B7847" s="15" t="s">
        <v>22973</v>
      </c>
      <c r="C7847" s="18" t="s">
        <v>28</v>
      </c>
      <c r="D7847" s="15" t="s">
        <v>22974</v>
      </c>
      <c r="E7847" s="18" t="s">
        <v>28</v>
      </c>
      <c r="F7847" s="19" t="s">
        <v>28</v>
      </c>
      <c r="G7847" s="19" t="s">
        <v>28</v>
      </c>
      <c r="H7847" s="19" t="s">
        <v>28</v>
      </c>
      <c r="I7847" s="18" t="s">
        <v>28</v>
      </c>
      <c r="J7847" s="18" t="s">
        <v>28</v>
      </c>
      <c r="K7847" s="18" t="s">
        <v>28</v>
      </c>
      <c r="L7847" s="18" t="s">
        <v>28</v>
      </c>
      <c r="M7847" s="18" t="s">
        <v>28</v>
      </c>
      <c r="N7847" s="17">
        <v>43215</v>
      </c>
      <c r="O7847" s="15" t="s">
        <v>30</v>
      </c>
      <c r="P7847" s="16" t="s">
        <v>19095</v>
      </c>
      <c r="Q7847" s="15" t="s">
        <v>105</v>
      </c>
      <c r="R7847" s="13" t="str">
        <f>HYPERLINK("https://my.pitchbook.com?c=105737-05T","View Company Online")</f>
        <v>View Company Online</v>
      </c>
    </row>
    <row r="7848" spans="1:18" hidden="1" x14ac:dyDescent="0.3">
      <c r="A7848" s="9" t="s">
        <v>22975</v>
      </c>
      <c r="B7848" s="9" t="s">
        <v>9050</v>
      </c>
      <c r="C7848" s="11" t="s">
        <v>28</v>
      </c>
      <c r="D7848" s="9" t="s">
        <v>15854</v>
      </c>
      <c r="E7848" s="11">
        <v>292.05</v>
      </c>
      <c r="F7848" s="10" t="s">
        <v>28</v>
      </c>
      <c r="G7848" s="10">
        <v>1005.18</v>
      </c>
      <c r="H7848" s="10" t="s">
        <v>28</v>
      </c>
      <c r="I7848" s="11">
        <v>305.76</v>
      </c>
      <c r="J7848" s="11" t="s">
        <v>28</v>
      </c>
      <c r="K7848" s="11">
        <v>1257.52</v>
      </c>
      <c r="L7848" s="11" t="s">
        <v>28</v>
      </c>
      <c r="M7848" s="11">
        <v>218.16</v>
      </c>
      <c r="N7848" s="8">
        <v>43215</v>
      </c>
      <c r="O7848" s="9" t="s">
        <v>173</v>
      </c>
      <c r="P7848" s="12" t="s">
        <v>28</v>
      </c>
      <c r="Q7848" s="9" t="s">
        <v>9051</v>
      </c>
      <c r="R7848" s="14" t="str">
        <f>HYPERLINK("https://my.pitchbook.com?c=193384-36T","View Company Online")</f>
        <v>View Company Online</v>
      </c>
    </row>
    <row r="7849" spans="1:18" hidden="1" x14ac:dyDescent="0.3">
      <c r="A7849" s="15" t="s">
        <v>22976</v>
      </c>
      <c r="B7849" s="15" t="s">
        <v>18816</v>
      </c>
      <c r="C7849" s="18" t="s">
        <v>28</v>
      </c>
      <c r="D7849" s="15" t="s">
        <v>18817</v>
      </c>
      <c r="E7849" s="18" t="s">
        <v>28</v>
      </c>
      <c r="F7849" s="19" t="s">
        <v>28</v>
      </c>
      <c r="G7849" s="19" t="s">
        <v>28</v>
      </c>
      <c r="H7849" s="19" t="s">
        <v>28</v>
      </c>
      <c r="I7849" s="18" t="s">
        <v>28</v>
      </c>
      <c r="J7849" s="18" t="s">
        <v>28</v>
      </c>
      <c r="K7849" s="18" t="s">
        <v>28</v>
      </c>
      <c r="L7849" s="18" t="s">
        <v>28</v>
      </c>
      <c r="M7849" s="18" t="s">
        <v>28</v>
      </c>
      <c r="N7849" s="17">
        <v>43215</v>
      </c>
      <c r="O7849" s="15" t="s">
        <v>52</v>
      </c>
      <c r="P7849" s="16" t="s">
        <v>22977</v>
      </c>
      <c r="Q7849" s="15" t="s">
        <v>75</v>
      </c>
      <c r="R7849" s="13" t="str">
        <f>HYPERLINK("https://my.pitchbook.com?c=140766-94T","View Company Online")</f>
        <v>View Company Online</v>
      </c>
    </row>
    <row r="7850" spans="1:18" hidden="1" x14ac:dyDescent="0.3">
      <c r="A7850" s="9" t="s">
        <v>22978</v>
      </c>
      <c r="B7850" s="9" t="s">
        <v>4107</v>
      </c>
      <c r="C7850" s="11" t="s">
        <v>28</v>
      </c>
      <c r="D7850" s="9" t="s">
        <v>4108</v>
      </c>
      <c r="E7850" s="11" t="s">
        <v>28</v>
      </c>
      <c r="F7850" s="10" t="s">
        <v>28</v>
      </c>
      <c r="G7850" s="10" t="s">
        <v>28</v>
      </c>
      <c r="H7850" s="10" t="s">
        <v>28</v>
      </c>
      <c r="I7850" s="11" t="s">
        <v>28</v>
      </c>
      <c r="J7850" s="11" t="s">
        <v>28</v>
      </c>
      <c r="K7850" s="11" t="s">
        <v>28</v>
      </c>
      <c r="L7850" s="11" t="s">
        <v>28</v>
      </c>
      <c r="M7850" s="11" t="s">
        <v>28</v>
      </c>
      <c r="N7850" s="8">
        <v>43214</v>
      </c>
      <c r="O7850" s="9" t="s">
        <v>1285</v>
      </c>
      <c r="P7850" s="12" t="s">
        <v>22979</v>
      </c>
      <c r="Q7850" s="9" t="s">
        <v>1007</v>
      </c>
      <c r="R7850" s="14" t="str">
        <f>HYPERLINK("https://my.pitchbook.com?c=114586-57T","View Company Online")</f>
        <v>View Company Online</v>
      </c>
    </row>
    <row r="7851" spans="1:18" hidden="1" x14ac:dyDescent="0.3">
      <c r="A7851" s="15" t="s">
        <v>22980</v>
      </c>
      <c r="B7851" s="15" t="s">
        <v>1553</v>
      </c>
      <c r="C7851" s="18" t="s">
        <v>28</v>
      </c>
      <c r="D7851" s="15" t="s">
        <v>1554</v>
      </c>
      <c r="E7851" s="18" t="s">
        <v>28</v>
      </c>
      <c r="F7851" s="19" t="s">
        <v>28</v>
      </c>
      <c r="G7851" s="19">
        <v>0.02</v>
      </c>
      <c r="H7851" s="19" t="s">
        <v>28</v>
      </c>
      <c r="I7851" s="18" t="s">
        <v>28</v>
      </c>
      <c r="J7851" s="18" t="s">
        <v>28</v>
      </c>
      <c r="K7851" s="18" t="s">
        <v>28</v>
      </c>
      <c r="L7851" s="18" t="s">
        <v>28</v>
      </c>
      <c r="M7851" s="18" t="s">
        <v>28</v>
      </c>
      <c r="N7851" s="17">
        <v>43213</v>
      </c>
      <c r="O7851" s="15" t="s">
        <v>8420</v>
      </c>
      <c r="P7851" s="16" t="s">
        <v>28</v>
      </c>
      <c r="Q7851" s="15" t="s">
        <v>43</v>
      </c>
      <c r="R7851" s="13" t="str">
        <f>HYPERLINK("https://my.pitchbook.com?c=115630-39T","View Company Online")</f>
        <v>View Company Online</v>
      </c>
    </row>
    <row r="7852" spans="1:18" hidden="1" x14ac:dyDescent="0.3">
      <c r="A7852" s="9" t="s">
        <v>22981</v>
      </c>
      <c r="B7852" s="9" t="s">
        <v>22982</v>
      </c>
      <c r="C7852" s="11" t="s">
        <v>28</v>
      </c>
      <c r="D7852" s="9" t="s">
        <v>22983</v>
      </c>
      <c r="E7852" s="11" t="s">
        <v>28</v>
      </c>
      <c r="F7852" s="10" t="s">
        <v>28</v>
      </c>
      <c r="G7852" s="10" t="s">
        <v>28</v>
      </c>
      <c r="H7852" s="10" t="s">
        <v>28</v>
      </c>
      <c r="I7852" s="11" t="s">
        <v>28</v>
      </c>
      <c r="J7852" s="11" t="s">
        <v>28</v>
      </c>
      <c r="K7852" s="11" t="s">
        <v>28</v>
      </c>
      <c r="L7852" s="11" t="s">
        <v>28</v>
      </c>
      <c r="M7852" s="11" t="s">
        <v>28</v>
      </c>
      <c r="N7852" s="8">
        <v>43213</v>
      </c>
      <c r="O7852" s="9" t="s">
        <v>173</v>
      </c>
      <c r="P7852" s="12" t="s">
        <v>28</v>
      </c>
      <c r="Q7852" s="9" t="s">
        <v>174</v>
      </c>
      <c r="R7852" s="14" t="str">
        <f>HYPERLINK("https://my.pitchbook.com?c=224108-38T","View Company Online")</f>
        <v>View Company Online</v>
      </c>
    </row>
    <row r="7853" spans="1:18" hidden="1" x14ac:dyDescent="0.3">
      <c r="A7853" s="15" t="s">
        <v>22984</v>
      </c>
      <c r="B7853" s="15" t="s">
        <v>22985</v>
      </c>
      <c r="C7853" s="18" t="s">
        <v>28</v>
      </c>
      <c r="D7853" s="15" t="s">
        <v>22986</v>
      </c>
      <c r="E7853" s="18" t="s">
        <v>28</v>
      </c>
      <c r="F7853" s="19">
        <v>13.11</v>
      </c>
      <c r="G7853" s="19">
        <v>6.55</v>
      </c>
      <c r="H7853" s="19">
        <v>13.11</v>
      </c>
      <c r="I7853" s="18" t="s">
        <v>28</v>
      </c>
      <c r="J7853" s="18" t="s">
        <v>28</v>
      </c>
      <c r="K7853" s="18" t="s">
        <v>28</v>
      </c>
      <c r="L7853" s="18" t="s">
        <v>28</v>
      </c>
      <c r="M7853" s="18" t="s">
        <v>28</v>
      </c>
      <c r="N7853" s="17">
        <v>43213</v>
      </c>
      <c r="O7853" s="15" t="s">
        <v>30</v>
      </c>
      <c r="P7853" s="16" t="s">
        <v>22987</v>
      </c>
      <c r="Q7853" s="15" t="s">
        <v>1361</v>
      </c>
      <c r="R7853" s="13" t="str">
        <f>HYPERLINK("https://my.pitchbook.com?c=253898-92T","View Company Online")</f>
        <v>View Company Online</v>
      </c>
    </row>
    <row r="7854" spans="1:18" hidden="1" x14ac:dyDescent="0.3">
      <c r="A7854" s="9" t="s">
        <v>22988</v>
      </c>
      <c r="B7854" s="9" t="s">
        <v>22989</v>
      </c>
      <c r="C7854" s="11" t="s">
        <v>28</v>
      </c>
      <c r="D7854" s="9" t="s">
        <v>22990</v>
      </c>
      <c r="E7854" s="11" t="s">
        <v>28</v>
      </c>
      <c r="F7854" s="10" t="s">
        <v>28</v>
      </c>
      <c r="G7854" s="10" t="s">
        <v>28</v>
      </c>
      <c r="H7854" s="10" t="s">
        <v>28</v>
      </c>
      <c r="I7854" s="11" t="s">
        <v>28</v>
      </c>
      <c r="J7854" s="11" t="s">
        <v>28</v>
      </c>
      <c r="K7854" s="11" t="s">
        <v>28</v>
      </c>
      <c r="L7854" s="11" t="s">
        <v>28</v>
      </c>
      <c r="M7854" s="11" t="s">
        <v>28</v>
      </c>
      <c r="N7854" s="8">
        <v>43210</v>
      </c>
      <c r="O7854" s="9" t="s">
        <v>52</v>
      </c>
      <c r="P7854" s="12" t="s">
        <v>2830</v>
      </c>
      <c r="Q7854" s="9" t="s">
        <v>371</v>
      </c>
      <c r="R7854" s="14" t="str">
        <f>HYPERLINK("https://my.pitchbook.com?c=258994-00T","View Company Online")</f>
        <v>View Company Online</v>
      </c>
    </row>
    <row r="7855" spans="1:18" hidden="1" x14ac:dyDescent="0.3">
      <c r="A7855" s="15" t="s">
        <v>22991</v>
      </c>
      <c r="B7855" s="15" t="s">
        <v>22992</v>
      </c>
      <c r="C7855" s="18" t="s">
        <v>28</v>
      </c>
      <c r="D7855" s="15" t="s">
        <v>22993</v>
      </c>
      <c r="E7855" s="18" t="s">
        <v>28</v>
      </c>
      <c r="F7855" s="19" t="s">
        <v>28</v>
      </c>
      <c r="G7855" s="19" t="s">
        <v>28</v>
      </c>
      <c r="H7855" s="19" t="s">
        <v>28</v>
      </c>
      <c r="I7855" s="18" t="s">
        <v>28</v>
      </c>
      <c r="J7855" s="18" t="s">
        <v>28</v>
      </c>
      <c r="K7855" s="18" t="s">
        <v>28</v>
      </c>
      <c r="L7855" s="18" t="s">
        <v>28</v>
      </c>
      <c r="M7855" s="18" t="s">
        <v>28</v>
      </c>
      <c r="N7855" s="17">
        <v>43210</v>
      </c>
      <c r="O7855" s="15" t="s">
        <v>30</v>
      </c>
      <c r="P7855" s="16" t="s">
        <v>22994</v>
      </c>
      <c r="Q7855" s="15" t="s">
        <v>136</v>
      </c>
      <c r="R7855" s="13" t="str">
        <f>HYPERLINK("https://my.pitchbook.com?c=129756-25T","View Company Online")</f>
        <v>View Company Online</v>
      </c>
    </row>
    <row r="7856" spans="1:18" hidden="1" x14ac:dyDescent="0.3">
      <c r="A7856" s="9" t="s">
        <v>22995</v>
      </c>
      <c r="B7856" s="9" t="s">
        <v>22996</v>
      </c>
      <c r="C7856" s="11" t="s">
        <v>28</v>
      </c>
      <c r="D7856" s="9" t="s">
        <v>22997</v>
      </c>
      <c r="E7856" s="11" t="s">
        <v>28</v>
      </c>
      <c r="F7856" s="10" t="s">
        <v>28</v>
      </c>
      <c r="G7856" s="10" t="s">
        <v>28</v>
      </c>
      <c r="H7856" s="10" t="s">
        <v>28</v>
      </c>
      <c r="I7856" s="11" t="s">
        <v>28</v>
      </c>
      <c r="J7856" s="11" t="s">
        <v>28</v>
      </c>
      <c r="K7856" s="11" t="s">
        <v>28</v>
      </c>
      <c r="L7856" s="11" t="s">
        <v>28</v>
      </c>
      <c r="M7856" s="11" t="s">
        <v>28</v>
      </c>
      <c r="N7856" s="8">
        <v>43209</v>
      </c>
      <c r="O7856" s="9" t="s">
        <v>30</v>
      </c>
      <c r="P7856" s="12" t="s">
        <v>22998</v>
      </c>
      <c r="Q7856" s="9" t="s">
        <v>75</v>
      </c>
      <c r="R7856" s="14" t="str">
        <f>HYPERLINK("https://my.pitchbook.com?c=117177-13T","View Company Online")</f>
        <v>View Company Online</v>
      </c>
    </row>
    <row r="7857" spans="1:18" hidden="1" x14ac:dyDescent="0.3">
      <c r="A7857" s="15" t="s">
        <v>22999</v>
      </c>
      <c r="B7857" s="15" t="s">
        <v>23000</v>
      </c>
      <c r="C7857" s="18" t="s">
        <v>28</v>
      </c>
      <c r="D7857" s="15" t="s">
        <v>23001</v>
      </c>
      <c r="E7857" s="18" t="s">
        <v>28</v>
      </c>
      <c r="F7857" s="19" t="s">
        <v>28</v>
      </c>
      <c r="G7857" s="19" t="s">
        <v>28</v>
      </c>
      <c r="H7857" s="19" t="s">
        <v>28</v>
      </c>
      <c r="I7857" s="18" t="s">
        <v>28</v>
      </c>
      <c r="J7857" s="18" t="s">
        <v>28</v>
      </c>
      <c r="K7857" s="18" t="s">
        <v>28</v>
      </c>
      <c r="L7857" s="18" t="s">
        <v>28</v>
      </c>
      <c r="M7857" s="18" t="s">
        <v>28</v>
      </c>
      <c r="N7857" s="17">
        <v>43209</v>
      </c>
      <c r="O7857" s="15" t="s">
        <v>41</v>
      </c>
      <c r="P7857" s="16" t="s">
        <v>23002</v>
      </c>
      <c r="Q7857" s="15" t="s">
        <v>136</v>
      </c>
      <c r="R7857" s="13" t="str">
        <f>HYPERLINK("https://my.pitchbook.com?c=108161-11T","View Company Online")</f>
        <v>View Company Online</v>
      </c>
    </row>
    <row r="7858" spans="1:18" hidden="1" x14ac:dyDescent="0.3">
      <c r="A7858" s="9" t="s">
        <v>23003</v>
      </c>
      <c r="B7858" s="9" t="s">
        <v>3877</v>
      </c>
      <c r="C7858" s="11" t="s">
        <v>28</v>
      </c>
      <c r="D7858" s="9" t="s">
        <v>3878</v>
      </c>
      <c r="E7858" s="11" t="s">
        <v>28</v>
      </c>
      <c r="F7858" s="10" t="s">
        <v>28</v>
      </c>
      <c r="G7858" s="10">
        <v>0.89</v>
      </c>
      <c r="H7858" s="10" t="s">
        <v>28</v>
      </c>
      <c r="I7858" s="11" t="s">
        <v>28</v>
      </c>
      <c r="J7858" s="11" t="s">
        <v>28</v>
      </c>
      <c r="K7858" s="11" t="s">
        <v>28</v>
      </c>
      <c r="L7858" s="11" t="s">
        <v>28</v>
      </c>
      <c r="M7858" s="11" t="s">
        <v>28</v>
      </c>
      <c r="N7858" s="8">
        <v>43208</v>
      </c>
      <c r="O7858" s="9" t="s">
        <v>73</v>
      </c>
      <c r="P7858" s="12" t="s">
        <v>23004</v>
      </c>
      <c r="Q7858" s="9" t="s">
        <v>75</v>
      </c>
      <c r="R7858" s="14" t="str">
        <f>HYPERLINK("https://my.pitchbook.com?c=106810-93T","View Company Online")</f>
        <v>View Company Online</v>
      </c>
    </row>
    <row r="7859" spans="1:18" hidden="1" x14ac:dyDescent="0.3">
      <c r="A7859" s="15" t="s">
        <v>23005</v>
      </c>
      <c r="B7859" s="15" t="s">
        <v>23006</v>
      </c>
      <c r="C7859" s="18" t="s">
        <v>28</v>
      </c>
      <c r="D7859" s="15" t="s">
        <v>23007</v>
      </c>
      <c r="E7859" s="18" t="s">
        <v>28</v>
      </c>
      <c r="F7859" s="19">
        <v>0.94</v>
      </c>
      <c r="G7859" s="19">
        <v>0.47</v>
      </c>
      <c r="H7859" s="19">
        <v>0.94</v>
      </c>
      <c r="I7859" s="18" t="s">
        <v>28</v>
      </c>
      <c r="J7859" s="18" t="s">
        <v>28</v>
      </c>
      <c r="K7859" s="18" t="s">
        <v>28</v>
      </c>
      <c r="L7859" s="18" t="s">
        <v>28</v>
      </c>
      <c r="M7859" s="18" t="s">
        <v>28</v>
      </c>
      <c r="N7859" s="17">
        <v>43208</v>
      </c>
      <c r="O7859" s="15" t="s">
        <v>30</v>
      </c>
      <c r="P7859" s="16" t="s">
        <v>23008</v>
      </c>
      <c r="Q7859" s="15" t="s">
        <v>85</v>
      </c>
      <c r="R7859" s="13" t="str">
        <f>HYPERLINK("https://my.pitchbook.com?c=101542-06T","View Company Online")</f>
        <v>View Company Online</v>
      </c>
    </row>
    <row r="7860" spans="1:18" hidden="1" x14ac:dyDescent="0.3">
      <c r="A7860" s="9" t="s">
        <v>23009</v>
      </c>
      <c r="B7860" s="9" t="s">
        <v>23010</v>
      </c>
      <c r="C7860" s="11" t="s">
        <v>28</v>
      </c>
      <c r="D7860" s="9" t="s">
        <v>23011</v>
      </c>
      <c r="E7860" s="11" t="s">
        <v>28</v>
      </c>
      <c r="F7860" s="10" t="s">
        <v>28</v>
      </c>
      <c r="G7860" s="10">
        <v>2.39</v>
      </c>
      <c r="H7860" s="10" t="s">
        <v>28</v>
      </c>
      <c r="I7860" s="11" t="s">
        <v>28</v>
      </c>
      <c r="J7860" s="11" t="s">
        <v>28</v>
      </c>
      <c r="K7860" s="11" t="s">
        <v>28</v>
      </c>
      <c r="L7860" s="11" t="s">
        <v>28</v>
      </c>
      <c r="M7860" s="11" t="s">
        <v>28</v>
      </c>
      <c r="N7860" s="8">
        <v>43208</v>
      </c>
      <c r="O7860" s="9" t="s">
        <v>99</v>
      </c>
      <c r="P7860" s="12" t="s">
        <v>23012</v>
      </c>
      <c r="Q7860" s="9" t="s">
        <v>75</v>
      </c>
      <c r="R7860" s="14" t="str">
        <f>HYPERLINK("https://my.pitchbook.com?c=104391-19T","View Company Online")</f>
        <v>View Company Online</v>
      </c>
    </row>
    <row r="7861" spans="1:18" hidden="1" x14ac:dyDescent="0.3">
      <c r="A7861" s="15" t="s">
        <v>23013</v>
      </c>
      <c r="B7861" s="15" t="s">
        <v>15209</v>
      </c>
      <c r="C7861" s="18" t="s">
        <v>28</v>
      </c>
      <c r="D7861" s="15" t="s">
        <v>15210</v>
      </c>
      <c r="E7861" s="18" t="s">
        <v>28</v>
      </c>
      <c r="F7861" s="19" t="s">
        <v>28</v>
      </c>
      <c r="G7861" s="19">
        <v>8.5</v>
      </c>
      <c r="H7861" s="19" t="s">
        <v>28</v>
      </c>
      <c r="I7861" s="18" t="s">
        <v>28</v>
      </c>
      <c r="J7861" s="18" t="s">
        <v>28</v>
      </c>
      <c r="K7861" s="18" t="s">
        <v>28</v>
      </c>
      <c r="L7861" s="18" t="s">
        <v>28</v>
      </c>
      <c r="M7861" s="18" t="s">
        <v>28</v>
      </c>
      <c r="N7861" s="17">
        <v>43208</v>
      </c>
      <c r="O7861" s="15" t="s">
        <v>73</v>
      </c>
      <c r="P7861" s="16" t="s">
        <v>23014</v>
      </c>
      <c r="Q7861" s="15" t="s">
        <v>37</v>
      </c>
      <c r="R7861" s="13" t="str">
        <f>HYPERLINK("https://my.pitchbook.com?c=110304-82T","View Company Online")</f>
        <v>View Company Online</v>
      </c>
    </row>
    <row r="7862" spans="1:18" hidden="1" x14ac:dyDescent="0.3">
      <c r="A7862" s="9" t="s">
        <v>23015</v>
      </c>
      <c r="B7862" s="9" t="s">
        <v>23016</v>
      </c>
      <c r="C7862" s="11" t="s">
        <v>28</v>
      </c>
      <c r="D7862" s="9" t="s">
        <v>23017</v>
      </c>
      <c r="E7862" s="11" t="s">
        <v>28</v>
      </c>
      <c r="F7862" s="10" t="s">
        <v>28</v>
      </c>
      <c r="G7862" s="10" t="s">
        <v>28</v>
      </c>
      <c r="H7862" s="10" t="s">
        <v>28</v>
      </c>
      <c r="I7862" s="11" t="s">
        <v>28</v>
      </c>
      <c r="J7862" s="11" t="s">
        <v>28</v>
      </c>
      <c r="K7862" s="11" t="s">
        <v>28</v>
      </c>
      <c r="L7862" s="11" t="s">
        <v>28</v>
      </c>
      <c r="M7862" s="11" t="s">
        <v>28</v>
      </c>
      <c r="N7862" s="8">
        <v>43207</v>
      </c>
      <c r="O7862" s="9" t="s">
        <v>58</v>
      </c>
      <c r="P7862" s="12" t="s">
        <v>23018</v>
      </c>
      <c r="Q7862" s="9" t="s">
        <v>470</v>
      </c>
      <c r="R7862" s="14" t="str">
        <f>HYPERLINK("https://my.pitchbook.com?c=108019-36T","View Company Online")</f>
        <v>View Company Online</v>
      </c>
    </row>
    <row r="7863" spans="1:18" hidden="1" x14ac:dyDescent="0.3">
      <c r="A7863" s="15" t="s">
        <v>23019</v>
      </c>
      <c r="B7863" s="15" t="s">
        <v>23020</v>
      </c>
      <c r="C7863" s="18" t="s">
        <v>28</v>
      </c>
      <c r="D7863" s="15" t="s">
        <v>23021</v>
      </c>
      <c r="E7863" s="18" t="s">
        <v>28</v>
      </c>
      <c r="F7863" s="19" t="s">
        <v>28</v>
      </c>
      <c r="G7863" s="19" t="s">
        <v>28</v>
      </c>
      <c r="H7863" s="19" t="s">
        <v>28</v>
      </c>
      <c r="I7863" s="18" t="s">
        <v>28</v>
      </c>
      <c r="J7863" s="18" t="s">
        <v>28</v>
      </c>
      <c r="K7863" s="18" t="s">
        <v>28</v>
      </c>
      <c r="L7863" s="18" t="s">
        <v>28</v>
      </c>
      <c r="M7863" s="18" t="s">
        <v>28</v>
      </c>
      <c r="N7863" s="17">
        <v>43206</v>
      </c>
      <c r="O7863" s="15" t="s">
        <v>30</v>
      </c>
      <c r="P7863" s="16" t="s">
        <v>23022</v>
      </c>
      <c r="Q7863" s="15" t="s">
        <v>85</v>
      </c>
      <c r="R7863" s="13" t="str">
        <f>HYPERLINK("https://my.pitchbook.com?c=104830-66T","View Company Online")</f>
        <v>View Company Online</v>
      </c>
    </row>
    <row r="7864" spans="1:18" hidden="1" x14ac:dyDescent="0.3">
      <c r="A7864" s="9" t="s">
        <v>23023</v>
      </c>
      <c r="B7864" s="9" t="s">
        <v>23024</v>
      </c>
      <c r="C7864" s="11" t="s">
        <v>28</v>
      </c>
      <c r="D7864" s="9" t="s">
        <v>23025</v>
      </c>
      <c r="E7864" s="11" t="s">
        <v>28</v>
      </c>
      <c r="F7864" s="10" t="s">
        <v>28</v>
      </c>
      <c r="G7864" s="10" t="s">
        <v>28</v>
      </c>
      <c r="H7864" s="10" t="s">
        <v>28</v>
      </c>
      <c r="I7864" s="11" t="s">
        <v>28</v>
      </c>
      <c r="J7864" s="11" t="s">
        <v>28</v>
      </c>
      <c r="K7864" s="11">
        <v>46.93</v>
      </c>
      <c r="L7864" s="11" t="s">
        <v>28</v>
      </c>
      <c r="M7864" s="11" t="s">
        <v>28</v>
      </c>
      <c r="N7864" s="8">
        <v>43206</v>
      </c>
      <c r="O7864" s="9" t="s">
        <v>93</v>
      </c>
      <c r="P7864" s="12" t="s">
        <v>3198</v>
      </c>
      <c r="Q7864" s="9" t="s">
        <v>169</v>
      </c>
      <c r="R7864" s="14" t="str">
        <f>HYPERLINK("https://my.pitchbook.com?c=126353-71T","View Company Online")</f>
        <v>View Company Online</v>
      </c>
    </row>
    <row r="7865" spans="1:18" hidden="1" x14ac:dyDescent="0.3">
      <c r="A7865" s="15" t="s">
        <v>23026</v>
      </c>
      <c r="B7865" s="15" t="s">
        <v>21529</v>
      </c>
      <c r="C7865" s="18" t="s">
        <v>28</v>
      </c>
      <c r="D7865" s="15" t="s">
        <v>21530</v>
      </c>
      <c r="E7865" s="18" t="s">
        <v>28</v>
      </c>
      <c r="F7865" s="19" t="s">
        <v>28</v>
      </c>
      <c r="G7865" s="19">
        <v>0.03</v>
      </c>
      <c r="H7865" s="19" t="s">
        <v>28</v>
      </c>
      <c r="I7865" s="18" t="s">
        <v>28</v>
      </c>
      <c r="J7865" s="18" t="s">
        <v>28</v>
      </c>
      <c r="K7865" s="18" t="s">
        <v>28</v>
      </c>
      <c r="L7865" s="18" t="s">
        <v>28</v>
      </c>
      <c r="M7865" s="18" t="s">
        <v>28</v>
      </c>
      <c r="N7865" s="17">
        <v>43206</v>
      </c>
      <c r="O7865" s="15" t="s">
        <v>52</v>
      </c>
      <c r="P7865" s="16" t="s">
        <v>16809</v>
      </c>
      <c r="Q7865" s="15" t="s">
        <v>37</v>
      </c>
      <c r="R7865" s="13" t="str">
        <f>HYPERLINK("https://my.pitchbook.com?c=125341-75T","View Company Online")</f>
        <v>View Company Online</v>
      </c>
    </row>
    <row r="7866" spans="1:18" hidden="1" x14ac:dyDescent="0.3">
      <c r="A7866" s="9" t="s">
        <v>23027</v>
      </c>
      <c r="B7866" s="9" t="s">
        <v>4664</v>
      </c>
      <c r="C7866" s="11" t="s">
        <v>28</v>
      </c>
      <c r="D7866" s="9" t="s">
        <v>4665</v>
      </c>
      <c r="E7866" s="11" t="s">
        <v>28</v>
      </c>
      <c r="F7866" s="10" t="s">
        <v>28</v>
      </c>
      <c r="G7866" s="10">
        <v>7.0000000000000007E-2</v>
      </c>
      <c r="H7866" s="10" t="s">
        <v>28</v>
      </c>
      <c r="I7866" s="11" t="s">
        <v>28</v>
      </c>
      <c r="J7866" s="11" t="s">
        <v>28</v>
      </c>
      <c r="K7866" s="11" t="s">
        <v>28</v>
      </c>
      <c r="L7866" s="11" t="s">
        <v>28</v>
      </c>
      <c r="M7866" s="11" t="s">
        <v>28</v>
      </c>
      <c r="N7866" s="8">
        <v>43204</v>
      </c>
      <c r="O7866" s="9" t="s">
        <v>52</v>
      </c>
      <c r="P7866" s="12" t="s">
        <v>23028</v>
      </c>
      <c r="Q7866" s="9" t="s">
        <v>37</v>
      </c>
      <c r="R7866" s="14" t="str">
        <f>HYPERLINK("https://my.pitchbook.com?c=125273-08T","View Company Online")</f>
        <v>View Company Online</v>
      </c>
    </row>
    <row r="7867" spans="1:18" hidden="1" x14ac:dyDescent="0.3">
      <c r="A7867" s="15" t="s">
        <v>23029</v>
      </c>
      <c r="B7867" s="15" t="s">
        <v>22460</v>
      </c>
      <c r="C7867" s="18" t="s">
        <v>28</v>
      </c>
      <c r="D7867" s="15" t="s">
        <v>22461</v>
      </c>
      <c r="E7867" s="18" t="s">
        <v>28</v>
      </c>
      <c r="F7867" s="19" t="s">
        <v>28</v>
      </c>
      <c r="G7867" s="19">
        <v>7.0000000000000007E-2</v>
      </c>
      <c r="H7867" s="19" t="s">
        <v>28</v>
      </c>
      <c r="I7867" s="18" t="s">
        <v>28</v>
      </c>
      <c r="J7867" s="18" t="s">
        <v>28</v>
      </c>
      <c r="K7867" s="18" t="s">
        <v>28</v>
      </c>
      <c r="L7867" s="18" t="s">
        <v>28</v>
      </c>
      <c r="M7867" s="18" t="s">
        <v>28</v>
      </c>
      <c r="N7867" s="17">
        <v>43204</v>
      </c>
      <c r="O7867" s="15" t="s">
        <v>99</v>
      </c>
      <c r="P7867" s="16" t="s">
        <v>28</v>
      </c>
      <c r="Q7867" s="15" t="s">
        <v>386</v>
      </c>
      <c r="R7867" s="13" t="str">
        <f>HYPERLINK("https://my.pitchbook.com?c=166844-89T","View Company Online")</f>
        <v>View Company Online</v>
      </c>
    </row>
    <row r="7868" spans="1:18" hidden="1" x14ac:dyDescent="0.3">
      <c r="A7868" s="9" t="s">
        <v>23030</v>
      </c>
      <c r="B7868" s="9" t="s">
        <v>22277</v>
      </c>
      <c r="C7868" s="11" t="s">
        <v>28</v>
      </c>
      <c r="D7868" s="9" t="s">
        <v>22278</v>
      </c>
      <c r="E7868" s="11" t="s">
        <v>28</v>
      </c>
      <c r="F7868" s="10" t="s">
        <v>28</v>
      </c>
      <c r="G7868" s="10" t="s">
        <v>28</v>
      </c>
      <c r="H7868" s="10" t="s">
        <v>28</v>
      </c>
      <c r="I7868" s="11" t="s">
        <v>28</v>
      </c>
      <c r="J7868" s="11" t="s">
        <v>28</v>
      </c>
      <c r="K7868" s="11" t="s">
        <v>28</v>
      </c>
      <c r="L7868" s="11" t="s">
        <v>28</v>
      </c>
      <c r="M7868" s="11" t="s">
        <v>28</v>
      </c>
      <c r="N7868" s="8">
        <v>43203</v>
      </c>
      <c r="O7868" s="9" t="s">
        <v>52</v>
      </c>
      <c r="P7868" s="12" t="s">
        <v>4500</v>
      </c>
      <c r="Q7868" s="9" t="s">
        <v>37</v>
      </c>
      <c r="R7868" s="14" t="str">
        <f>HYPERLINK("https://my.pitchbook.com?c=251051-14T","View Company Online")</f>
        <v>View Company Online</v>
      </c>
    </row>
    <row r="7869" spans="1:18" hidden="1" x14ac:dyDescent="0.3">
      <c r="A7869" s="15" t="s">
        <v>23031</v>
      </c>
      <c r="B7869" s="15" t="s">
        <v>16771</v>
      </c>
      <c r="C7869" s="18" t="s">
        <v>28</v>
      </c>
      <c r="D7869" s="15" t="s">
        <v>16772</v>
      </c>
      <c r="E7869" s="18" t="s">
        <v>28</v>
      </c>
      <c r="F7869" s="19" t="s">
        <v>28</v>
      </c>
      <c r="G7869" s="19" t="s">
        <v>28</v>
      </c>
      <c r="H7869" s="19" t="s">
        <v>28</v>
      </c>
      <c r="I7869" s="18" t="s">
        <v>28</v>
      </c>
      <c r="J7869" s="18" t="s">
        <v>28</v>
      </c>
      <c r="K7869" s="18" t="s">
        <v>28</v>
      </c>
      <c r="L7869" s="18" t="s">
        <v>28</v>
      </c>
      <c r="M7869" s="18" t="s">
        <v>28</v>
      </c>
      <c r="N7869" s="17">
        <v>43203</v>
      </c>
      <c r="O7869" s="15" t="s">
        <v>52</v>
      </c>
      <c r="P7869" s="16" t="s">
        <v>4500</v>
      </c>
      <c r="Q7869" s="15" t="s">
        <v>566</v>
      </c>
      <c r="R7869" s="13" t="str">
        <f>HYPERLINK("https://my.pitchbook.com?c=250886-62T","View Company Online")</f>
        <v>View Company Online</v>
      </c>
    </row>
    <row r="7870" spans="1:18" hidden="1" x14ac:dyDescent="0.3">
      <c r="A7870" s="9" t="s">
        <v>23032</v>
      </c>
      <c r="B7870" s="9" t="s">
        <v>5097</v>
      </c>
      <c r="C7870" s="11" t="s">
        <v>28</v>
      </c>
      <c r="D7870" s="9" t="s">
        <v>5098</v>
      </c>
      <c r="E7870" s="11" t="s">
        <v>28</v>
      </c>
      <c r="F7870" s="10" t="s">
        <v>28</v>
      </c>
      <c r="G7870" s="10">
        <v>5.0999999999999996</v>
      </c>
      <c r="H7870" s="10" t="s">
        <v>28</v>
      </c>
      <c r="I7870" s="11" t="s">
        <v>28</v>
      </c>
      <c r="J7870" s="11" t="s">
        <v>28</v>
      </c>
      <c r="K7870" s="11" t="s">
        <v>28</v>
      </c>
      <c r="L7870" s="11" t="s">
        <v>28</v>
      </c>
      <c r="M7870" s="11" t="s">
        <v>28</v>
      </c>
      <c r="N7870" s="8">
        <v>43203</v>
      </c>
      <c r="O7870" s="9" t="s">
        <v>79</v>
      </c>
      <c r="P7870" s="12" t="s">
        <v>23033</v>
      </c>
      <c r="Q7870" s="9" t="s">
        <v>37</v>
      </c>
      <c r="R7870" s="14" t="str">
        <f>HYPERLINK("https://my.pitchbook.com?c=100205-74T","View Company Online")</f>
        <v>View Company Online</v>
      </c>
    </row>
    <row r="7871" spans="1:18" hidden="1" x14ac:dyDescent="0.3">
      <c r="A7871" s="15" t="s">
        <v>23034</v>
      </c>
      <c r="B7871" s="15" t="s">
        <v>23035</v>
      </c>
      <c r="C7871" s="18" t="s">
        <v>28</v>
      </c>
      <c r="D7871" s="15" t="s">
        <v>23036</v>
      </c>
      <c r="E7871" s="18" t="s">
        <v>28</v>
      </c>
      <c r="F7871" s="19" t="s">
        <v>28</v>
      </c>
      <c r="G7871" s="19" t="s">
        <v>28</v>
      </c>
      <c r="H7871" s="19" t="s">
        <v>28</v>
      </c>
      <c r="I7871" s="18" t="s">
        <v>28</v>
      </c>
      <c r="J7871" s="18" t="s">
        <v>28</v>
      </c>
      <c r="K7871" s="18" t="s">
        <v>28</v>
      </c>
      <c r="L7871" s="18" t="s">
        <v>28</v>
      </c>
      <c r="M7871" s="18" t="s">
        <v>28</v>
      </c>
      <c r="N7871" s="17">
        <v>43203</v>
      </c>
      <c r="O7871" s="15" t="s">
        <v>52</v>
      </c>
      <c r="P7871" s="16" t="s">
        <v>4500</v>
      </c>
      <c r="Q7871" s="15" t="s">
        <v>119</v>
      </c>
      <c r="R7871" s="13" t="str">
        <f>HYPERLINK("https://my.pitchbook.com?c=250964-20T","View Company Online")</f>
        <v>View Company Online</v>
      </c>
    </row>
    <row r="7872" spans="1:18" hidden="1" x14ac:dyDescent="0.3">
      <c r="A7872" s="9" t="s">
        <v>23037</v>
      </c>
      <c r="B7872" s="9" t="s">
        <v>14076</v>
      </c>
      <c r="C7872" s="11" t="s">
        <v>28</v>
      </c>
      <c r="D7872" s="9" t="s">
        <v>14077</v>
      </c>
      <c r="E7872" s="11" t="s">
        <v>28</v>
      </c>
      <c r="F7872" s="10" t="s">
        <v>28</v>
      </c>
      <c r="G7872" s="10">
        <v>1.05</v>
      </c>
      <c r="H7872" s="10" t="s">
        <v>28</v>
      </c>
      <c r="I7872" s="11" t="s">
        <v>28</v>
      </c>
      <c r="J7872" s="11" t="s">
        <v>28</v>
      </c>
      <c r="K7872" s="11" t="s">
        <v>28</v>
      </c>
      <c r="L7872" s="11" t="s">
        <v>28</v>
      </c>
      <c r="M7872" s="11" t="s">
        <v>28</v>
      </c>
      <c r="N7872" s="8">
        <v>43202</v>
      </c>
      <c r="O7872" s="9" t="s">
        <v>79</v>
      </c>
      <c r="P7872" s="12" t="s">
        <v>23038</v>
      </c>
      <c r="Q7872" s="9" t="s">
        <v>75</v>
      </c>
      <c r="R7872" s="14" t="str">
        <f>HYPERLINK("https://my.pitchbook.com?c=108216-19T","View Company Online")</f>
        <v>View Company Online</v>
      </c>
    </row>
    <row r="7873" spans="1:18" hidden="1" x14ac:dyDescent="0.3">
      <c r="A7873" s="15" t="s">
        <v>23039</v>
      </c>
      <c r="B7873" s="15" t="s">
        <v>12704</v>
      </c>
      <c r="C7873" s="18" t="s">
        <v>28</v>
      </c>
      <c r="D7873" s="15" t="s">
        <v>12705</v>
      </c>
      <c r="E7873" s="18" t="s">
        <v>28</v>
      </c>
      <c r="F7873" s="19" t="s">
        <v>28</v>
      </c>
      <c r="G7873" s="19">
        <v>1.5</v>
      </c>
      <c r="H7873" s="19" t="s">
        <v>28</v>
      </c>
      <c r="I7873" s="18" t="s">
        <v>28</v>
      </c>
      <c r="J7873" s="18" t="s">
        <v>28</v>
      </c>
      <c r="K7873" s="18" t="s">
        <v>28</v>
      </c>
      <c r="L7873" s="18" t="s">
        <v>28</v>
      </c>
      <c r="M7873" s="18" t="s">
        <v>28</v>
      </c>
      <c r="N7873" s="17">
        <v>43202</v>
      </c>
      <c r="O7873" s="15" t="s">
        <v>79</v>
      </c>
      <c r="P7873" s="16" t="s">
        <v>23040</v>
      </c>
      <c r="Q7873" s="15" t="s">
        <v>75</v>
      </c>
      <c r="R7873" s="13" t="str">
        <f>HYPERLINK("https://my.pitchbook.com?c=97390-45T","View Company Online")</f>
        <v>View Company Online</v>
      </c>
    </row>
    <row r="7874" spans="1:18" hidden="1" x14ac:dyDescent="0.3">
      <c r="A7874" s="9" t="s">
        <v>23041</v>
      </c>
      <c r="B7874" s="9" t="s">
        <v>966</v>
      </c>
      <c r="C7874" s="11" t="s">
        <v>28</v>
      </c>
      <c r="D7874" s="9" t="s">
        <v>18709</v>
      </c>
      <c r="E7874" s="11" t="s">
        <v>28</v>
      </c>
      <c r="F7874" s="10" t="s">
        <v>28</v>
      </c>
      <c r="G7874" s="10" t="s">
        <v>28</v>
      </c>
      <c r="H7874" s="10" t="s">
        <v>28</v>
      </c>
      <c r="I7874" s="11" t="s">
        <v>28</v>
      </c>
      <c r="J7874" s="11" t="s">
        <v>28</v>
      </c>
      <c r="K7874" s="11" t="s">
        <v>28</v>
      </c>
      <c r="L7874" s="11" t="s">
        <v>28</v>
      </c>
      <c r="M7874" s="11" t="s">
        <v>28</v>
      </c>
      <c r="N7874" s="8">
        <v>43202</v>
      </c>
      <c r="O7874" s="9" t="s">
        <v>52</v>
      </c>
      <c r="P7874" s="12" t="s">
        <v>5620</v>
      </c>
      <c r="Q7874" s="9" t="s">
        <v>75</v>
      </c>
      <c r="R7874" s="14" t="str">
        <f>HYPERLINK("https://my.pitchbook.com?c=137277-64T","View Company Online")</f>
        <v>View Company Online</v>
      </c>
    </row>
    <row r="7875" spans="1:18" hidden="1" x14ac:dyDescent="0.3">
      <c r="A7875" s="15" t="s">
        <v>23042</v>
      </c>
      <c r="B7875" s="15" t="s">
        <v>23043</v>
      </c>
      <c r="C7875" s="18" t="s">
        <v>28</v>
      </c>
      <c r="D7875" s="15" t="s">
        <v>23044</v>
      </c>
      <c r="E7875" s="18" t="s">
        <v>28</v>
      </c>
      <c r="F7875" s="19" t="s">
        <v>28</v>
      </c>
      <c r="G7875" s="19" t="s">
        <v>28</v>
      </c>
      <c r="H7875" s="19" t="s">
        <v>28</v>
      </c>
      <c r="I7875" s="18" t="s">
        <v>28</v>
      </c>
      <c r="J7875" s="18" t="s">
        <v>28</v>
      </c>
      <c r="K7875" s="18" t="s">
        <v>28</v>
      </c>
      <c r="L7875" s="18" t="s">
        <v>28</v>
      </c>
      <c r="M7875" s="18" t="s">
        <v>28</v>
      </c>
      <c r="N7875" s="17">
        <v>43201</v>
      </c>
      <c r="O7875" s="15" t="s">
        <v>52</v>
      </c>
      <c r="P7875" s="16" t="s">
        <v>221</v>
      </c>
      <c r="Q7875" s="15" t="s">
        <v>75</v>
      </c>
      <c r="R7875" s="13" t="str">
        <f>HYPERLINK("https://my.pitchbook.com?c=215411-77T","View Company Online")</f>
        <v>View Company Online</v>
      </c>
    </row>
    <row r="7876" spans="1:18" hidden="1" x14ac:dyDescent="0.3">
      <c r="A7876" s="9" t="s">
        <v>23045</v>
      </c>
      <c r="B7876" s="9" t="s">
        <v>17770</v>
      </c>
      <c r="C7876" s="11" t="s">
        <v>28</v>
      </c>
      <c r="D7876" s="9" t="s">
        <v>17771</v>
      </c>
      <c r="E7876" s="11" t="s">
        <v>28</v>
      </c>
      <c r="F7876" s="10" t="s">
        <v>28</v>
      </c>
      <c r="G7876" s="10">
        <v>0.18</v>
      </c>
      <c r="H7876" s="10" t="s">
        <v>28</v>
      </c>
      <c r="I7876" s="11" t="s">
        <v>28</v>
      </c>
      <c r="J7876" s="11" t="s">
        <v>28</v>
      </c>
      <c r="K7876" s="11" t="s">
        <v>28</v>
      </c>
      <c r="L7876" s="11" t="s">
        <v>28</v>
      </c>
      <c r="M7876" s="11" t="s">
        <v>28</v>
      </c>
      <c r="N7876" s="8">
        <v>43201</v>
      </c>
      <c r="O7876" s="9" t="s">
        <v>1639</v>
      </c>
      <c r="P7876" s="12" t="s">
        <v>28</v>
      </c>
      <c r="Q7876" s="9" t="s">
        <v>37</v>
      </c>
      <c r="R7876" s="14" t="str">
        <f>HYPERLINK("https://my.pitchbook.com?c=122933-89T","View Company Online")</f>
        <v>View Company Online</v>
      </c>
    </row>
    <row r="7877" spans="1:18" hidden="1" x14ac:dyDescent="0.3">
      <c r="A7877" s="15" t="s">
        <v>23046</v>
      </c>
      <c r="B7877" s="15" t="s">
        <v>23047</v>
      </c>
      <c r="C7877" s="18" t="s">
        <v>28</v>
      </c>
      <c r="D7877" s="15" t="s">
        <v>23048</v>
      </c>
      <c r="E7877" s="18" t="s">
        <v>28</v>
      </c>
      <c r="F7877" s="19" t="s">
        <v>28</v>
      </c>
      <c r="G7877" s="19">
        <v>0.9</v>
      </c>
      <c r="H7877" s="19" t="s">
        <v>28</v>
      </c>
      <c r="I7877" s="18" t="s">
        <v>28</v>
      </c>
      <c r="J7877" s="18" t="s">
        <v>28</v>
      </c>
      <c r="K7877" s="18" t="s">
        <v>28</v>
      </c>
      <c r="L7877" s="18" t="s">
        <v>28</v>
      </c>
      <c r="M7877" s="18" t="s">
        <v>28</v>
      </c>
      <c r="N7877" s="17">
        <v>43201</v>
      </c>
      <c r="O7877" s="15" t="s">
        <v>58</v>
      </c>
      <c r="P7877" s="16" t="s">
        <v>23049</v>
      </c>
      <c r="Q7877" s="15" t="s">
        <v>114</v>
      </c>
      <c r="R7877" s="13" t="str">
        <f>HYPERLINK("https://my.pitchbook.com?c=113741-74T","View Company Online")</f>
        <v>View Company Online</v>
      </c>
    </row>
    <row r="7878" spans="1:18" hidden="1" x14ac:dyDescent="0.3">
      <c r="A7878" s="9" t="s">
        <v>23050</v>
      </c>
      <c r="B7878" s="9" t="s">
        <v>20368</v>
      </c>
      <c r="C7878" s="11" t="s">
        <v>28</v>
      </c>
      <c r="D7878" s="9" t="s">
        <v>20369</v>
      </c>
      <c r="E7878" s="11" t="s">
        <v>28</v>
      </c>
      <c r="F7878" s="10" t="s">
        <v>28</v>
      </c>
      <c r="G7878" s="10">
        <v>1.35</v>
      </c>
      <c r="H7878" s="10" t="s">
        <v>28</v>
      </c>
      <c r="I7878" s="11" t="s">
        <v>28</v>
      </c>
      <c r="J7878" s="11" t="s">
        <v>28</v>
      </c>
      <c r="K7878" s="11" t="s">
        <v>28</v>
      </c>
      <c r="L7878" s="11" t="s">
        <v>28</v>
      </c>
      <c r="M7878" s="11" t="s">
        <v>28</v>
      </c>
      <c r="N7878" s="8">
        <v>43200</v>
      </c>
      <c r="O7878" s="9" t="s">
        <v>99</v>
      </c>
      <c r="P7878" s="12" t="s">
        <v>140</v>
      </c>
      <c r="Q7878" s="9" t="s">
        <v>119</v>
      </c>
      <c r="R7878" s="14" t="str">
        <f>HYPERLINK("https://my.pitchbook.com?c=110071-27T","View Company Online")</f>
        <v>View Company Online</v>
      </c>
    </row>
    <row r="7879" spans="1:18" hidden="1" x14ac:dyDescent="0.3">
      <c r="A7879" s="15" t="s">
        <v>23051</v>
      </c>
      <c r="B7879" s="15" t="s">
        <v>23052</v>
      </c>
      <c r="C7879" s="18" t="s">
        <v>28</v>
      </c>
      <c r="D7879" s="15" t="s">
        <v>23053</v>
      </c>
      <c r="E7879" s="18" t="s">
        <v>28</v>
      </c>
      <c r="F7879" s="19" t="s">
        <v>28</v>
      </c>
      <c r="G7879" s="19" t="s">
        <v>28</v>
      </c>
      <c r="H7879" s="19" t="s">
        <v>28</v>
      </c>
      <c r="I7879" s="18" t="s">
        <v>28</v>
      </c>
      <c r="J7879" s="18" t="s">
        <v>28</v>
      </c>
      <c r="K7879" s="18" t="s">
        <v>28</v>
      </c>
      <c r="L7879" s="18" t="s">
        <v>28</v>
      </c>
      <c r="M7879" s="18" t="s">
        <v>28</v>
      </c>
      <c r="N7879" s="17">
        <v>43200</v>
      </c>
      <c r="O7879" s="15" t="s">
        <v>30</v>
      </c>
      <c r="P7879" s="16" t="s">
        <v>23054</v>
      </c>
      <c r="Q7879" s="15" t="s">
        <v>43</v>
      </c>
      <c r="R7879" s="13" t="str">
        <f>HYPERLINK("https://my.pitchbook.com?c=104243-23T","View Company Online")</f>
        <v>View Company Online</v>
      </c>
    </row>
    <row r="7880" spans="1:18" hidden="1" x14ac:dyDescent="0.3">
      <c r="A7880" s="9" t="s">
        <v>23055</v>
      </c>
      <c r="B7880" s="9" t="s">
        <v>23056</v>
      </c>
      <c r="C7880" s="11" t="s">
        <v>28</v>
      </c>
      <c r="D7880" s="9" t="s">
        <v>23057</v>
      </c>
      <c r="E7880" s="11" t="s">
        <v>28</v>
      </c>
      <c r="F7880" s="10" t="s">
        <v>28</v>
      </c>
      <c r="G7880" s="10" t="s">
        <v>28</v>
      </c>
      <c r="H7880" s="10" t="s">
        <v>28</v>
      </c>
      <c r="I7880" s="11" t="s">
        <v>28</v>
      </c>
      <c r="J7880" s="11" t="s">
        <v>28</v>
      </c>
      <c r="K7880" s="11" t="s">
        <v>28</v>
      </c>
      <c r="L7880" s="11" t="s">
        <v>28</v>
      </c>
      <c r="M7880" s="11" t="s">
        <v>28</v>
      </c>
      <c r="N7880" s="8">
        <v>43199</v>
      </c>
      <c r="O7880" s="9" t="s">
        <v>30</v>
      </c>
      <c r="P7880" s="12" t="s">
        <v>23058</v>
      </c>
      <c r="Q7880" s="9" t="s">
        <v>449</v>
      </c>
      <c r="R7880" s="14" t="str">
        <f>HYPERLINK("https://my.pitchbook.com?c=114376-51T","View Company Online")</f>
        <v>View Company Online</v>
      </c>
    </row>
    <row r="7881" spans="1:18" hidden="1" x14ac:dyDescent="0.3">
      <c r="A7881" s="15" t="s">
        <v>23059</v>
      </c>
      <c r="B7881" s="15" t="s">
        <v>9781</v>
      </c>
      <c r="C7881" s="18" t="s">
        <v>28</v>
      </c>
      <c r="D7881" s="15" t="s">
        <v>9782</v>
      </c>
      <c r="E7881" s="18" t="s">
        <v>28</v>
      </c>
      <c r="F7881" s="19" t="s">
        <v>28</v>
      </c>
      <c r="G7881" s="19">
        <v>0.09</v>
      </c>
      <c r="H7881" s="19" t="s">
        <v>28</v>
      </c>
      <c r="I7881" s="18" t="s">
        <v>28</v>
      </c>
      <c r="J7881" s="18" t="s">
        <v>28</v>
      </c>
      <c r="K7881" s="18" t="s">
        <v>28</v>
      </c>
      <c r="L7881" s="18" t="s">
        <v>28</v>
      </c>
      <c r="M7881" s="18" t="s">
        <v>28</v>
      </c>
      <c r="N7881" s="17">
        <v>43199</v>
      </c>
      <c r="O7881" s="15" t="s">
        <v>379</v>
      </c>
      <c r="P7881" s="16" t="s">
        <v>28</v>
      </c>
      <c r="Q7881" s="15" t="s">
        <v>75</v>
      </c>
      <c r="R7881" s="13" t="str">
        <f>HYPERLINK("https://my.pitchbook.com?c=113742-64T","View Company Online")</f>
        <v>View Company Online</v>
      </c>
    </row>
    <row r="7882" spans="1:18" hidden="1" x14ac:dyDescent="0.3">
      <c r="A7882" s="9" t="s">
        <v>23060</v>
      </c>
      <c r="B7882" s="9" t="s">
        <v>16883</v>
      </c>
      <c r="C7882" s="11" t="s">
        <v>28</v>
      </c>
      <c r="D7882" s="9" t="s">
        <v>16884</v>
      </c>
      <c r="E7882" s="11" t="s">
        <v>28</v>
      </c>
      <c r="F7882" s="10" t="s">
        <v>28</v>
      </c>
      <c r="G7882" s="10">
        <v>0.02</v>
      </c>
      <c r="H7882" s="10" t="s">
        <v>28</v>
      </c>
      <c r="I7882" s="11" t="s">
        <v>28</v>
      </c>
      <c r="J7882" s="11" t="s">
        <v>28</v>
      </c>
      <c r="K7882" s="11" t="s">
        <v>28</v>
      </c>
      <c r="L7882" s="11" t="s">
        <v>28</v>
      </c>
      <c r="M7882" s="11" t="s">
        <v>28</v>
      </c>
      <c r="N7882" s="8">
        <v>43197</v>
      </c>
      <c r="O7882" s="9" t="s">
        <v>47</v>
      </c>
      <c r="P7882" s="12" t="s">
        <v>23061</v>
      </c>
      <c r="Q7882" s="9" t="s">
        <v>75</v>
      </c>
      <c r="R7882" s="14" t="str">
        <f>HYPERLINK("https://my.pitchbook.com?c=123098-41T","View Company Online")</f>
        <v>View Company Online</v>
      </c>
    </row>
    <row r="7883" spans="1:18" hidden="1" x14ac:dyDescent="0.3">
      <c r="A7883" s="15" t="s">
        <v>23062</v>
      </c>
      <c r="B7883" s="15" t="s">
        <v>13145</v>
      </c>
      <c r="C7883" s="18" t="s">
        <v>28</v>
      </c>
      <c r="D7883" s="15" t="s">
        <v>13146</v>
      </c>
      <c r="E7883" s="18" t="s">
        <v>28</v>
      </c>
      <c r="F7883" s="19" t="s">
        <v>28</v>
      </c>
      <c r="G7883" s="19" t="s">
        <v>28</v>
      </c>
      <c r="H7883" s="19" t="s">
        <v>28</v>
      </c>
      <c r="I7883" s="18" t="s">
        <v>28</v>
      </c>
      <c r="J7883" s="18" t="s">
        <v>28</v>
      </c>
      <c r="K7883" s="18" t="s">
        <v>28</v>
      </c>
      <c r="L7883" s="18" t="s">
        <v>28</v>
      </c>
      <c r="M7883" s="18" t="s">
        <v>28</v>
      </c>
      <c r="N7883" s="17">
        <v>43196</v>
      </c>
      <c r="O7883" s="15" t="s">
        <v>73</v>
      </c>
      <c r="P7883" s="16" t="s">
        <v>19147</v>
      </c>
      <c r="Q7883" s="15" t="s">
        <v>855</v>
      </c>
      <c r="R7883" s="13" t="str">
        <f>HYPERLINK("https://my.pitchbook.com?c=216307-90T","View Company Online")</f>
        <v>View Company Online</v>
      </c>
    </row>
    <row r="7884" spans="1:18" hidden="1" x14ac:dyDescent="0.3">
      <c r="A7884" s="9" t="s">
        <v>23063</v>
      </c>
      <c r="B7884" s="9" t="s">
        <v>23064</v>
      </c>
      <c r="C7884" s="11" t="s">
        <v>28</v>
      </c>
      <c r="D7884" s="9" t="s">
        <v>23065</v>
      </c>
      <c r="E7884" s="11" t="s">
        <v>28</v>
      </c>
      <c r="F7884" s="10" t="s">
        <v>28</v>
      </c>
      <c r="G7884" s="10" t="s">
        <v>28</v>
      </c>
      <c r="H7884" s="10" t="s">
        <v>28</v>
      </c>
      <c r="I7884" s="11" t="s">
        <v>28</v>
      </c>
      <c r="J7884" s="11" t="s">
        <v>28</v>
      </c>
      <c r="K7884" s="11" t="s">
        <v>28</v>
      </c>
      <c r="L7884" s="11" t="s">
        <v>28</v>
      </c>
      <c r="M7884" s="11" t="s">
        <v>28</v>
      </c>
      <c r="N7884" s="8">
        <v>43196</v>
      </c>
      <c r="O7884" s="9" t="s">
        <v>41</v>
      </c>
      <c r="P7884" s="12" t="s">
        <v>23066</v>
      </c>
      <c r="Q7884" s="9" t="s">
        <v>386</v>
      </c>
      <c r="R7884" s="14" t="str">
        <f>HYPERLINK("https://my.pitchbook.com?c=104032-27T","View Company Online")</f>
        <v>View Company Online</v>
      </c>
    </row>
    <row r="7885" spans="1:18" x14ac:dyDescent="0.3">
      <c r="A7885" s="15" t="s">
        <v>23067</v>
      </c>
      <c r="B7885" s="15" t="s">
        <v>23068</v>
      </c>
      <c r="C7885" s="18">
        <v>11.66</v>
      </c>
      <c r="D7885" s="15" t="s">
        <v>23069</v>
      </c>
      <c r="E7885" s="18">
        <v>6.55</v>
      </c>
      <c r="F7885" s="19">
        <v>132.54</v>
      </c>
      <c r="G7885" s="19">
        <v>151.43</v>
      </c>
      <c r="H7885" s="19">
        <v>166.25</v>
      </c>
      <c r="I7885" s="18">
        <v>11.37</v>
      </c>
      <c r="J7885" s="18">
        <v>14.62</v>
      </c>
      <c r="K7885" s="18">
        <v>200.21</v>
      </c>
      <c r="L7885" s="18">
        <v>0.83</v>
      </c>
      <c r="M7885" s="18">
        <v>4.76</v>
      </c>
      <c r="N7885" s="17">
        <v>43195</v>
      </c>
      <c r="O7885" s="15" t="s">
        <v>30</v>
      </c>
      <c r="P7885" s="16" t="s">
        <v>8550</v>
      </c>
      <c r="Q7885" s="15" t="s">
        <v>15070</v>
      </c>
      <c r="R7885" s="13" t="str">
        <f>HYPERLINK("https://my.pitchbook.com?c=97989-22T","View Company Online")</f>
        <v>View Company Online</v>
      </c>
    </row>
    <row r="7886" spans="1:18" hidden="1" x14ac:dyDescent="0.3">
      <c r="A7886" s="9" t="s">
        <v>23070</v>
      </c>
      <c r="B7886" s="9" t="s">
        <v>23071</v>
      </c>
      <c r="C7886" s="11" t="s">
        <v>28</v>
      </c>
      <c r="D7886" s="9" t="s">
        <v>23072</v>
      </c>
      <c r="E7886" s="11" t="s">
        <v>28</v>
      </c>
      <c r="F7886" s="10">
        <v>7.59</v>
      </c>
      <c r="G7886" s="10">
        <v>7.59</v>
      </c>
      <c r="H7886" s="10">
        <v>7.59</v>
      </c>
      <c r="I7886" s="11" t="s">
        <v>28</v>
      </c>
      <c r="J7886" s="11" t="s">
        <v>28</v>
      </c>
      <c r="K7886" s="11" t="s">
        <v>28</v>
      </c>
      <c r="L7886" s="11" t="s">
        <v>28</v>
      </c>
      <c r="M7886" s="11" t="s">
        <v>28</v>
      </c>
      <c r="N7886" s="8">
        <v>43194</v>
      </c>
      <c r="O7886" s="9" t="s">
        <v>30</v>
      </c>
      <c r="P7886" s="12" t="s">
        <v>10279</v>
      </c>
      <c r="Q7886" s="9" t="s">
        <v>75</v>
      </c>
      <c r="R7886" s="14" t="str">
        <f>HYPERLINK("https://my.pitchbook.com?c=110476-72T","View Company Online")</f>
        <v>View Company Online</v>
      </c>
    </row>
    <row r="7887" spans="1:18" hidden="1" x14ac:dyDescent="0.3">
      <c r="A7887" s="15" t="s">
        <v>23073</v>
      </c>
      <c r="B7887" s="15" t="s">
        <v>20924</v>
      </c>
      <c r="C7887" s="18" t="s">
        <v>28</v>
      </c>
      <c r="D7887" s="15" t="s">
        <v>20925</v>
      </c>
      <c r="E7887" s="18" t="s">
        <v>28</v>
      </c>
      <c r="F7887" s="19" t="s">
        <v>28</v>
      </c>
      <c r="G7887" s="19">
        <v>9</v>
      </c>
      <c r="H7887" s="19" t="s">
        <v>28</v>
      </c>
      <c r="I7887" s="18" t="s">
        <v>28</v>
      </c>
      <c r="J7887" s="18" t="s">
        <v>28</v>
      </c>
      <c r="K7887" s="18" t="s">
        <v>28</v>
      </c>
      <c r="L7887" s="18" t="s">
        <v>28</v>
      </c>
      <c r="M7887" s="18" t="s">
        <v>28</v>
      </c>
      <c r="N7887" s="17">
        <v>43194</v>
      </c>
      <c r="O7887" s="15" t="s">
        <v>99</v>
      </c>
      <c r="P7887" s="16" t="s">
        <v>23074</v>
      </c>
      <c r="Q7887" s="15" t="s">
        <v>855</v>
      </c>
      <c r="R7887" s="13" t="str">
        <f>HYPERLINK("https://my.pitchbook.com?c=103994-29T","View Company Online")</f>
        <v>View Company Online</v>
      </c>
    </row>
    <row r="7888" spans="1:18" hidden="1" x14ac:dyDescent="0.3">
      <c r="A7888" s="9" t="s">
        <v>23075</v>
      </c>
      <c r="B7888" s="9" t="s">
        <v>6043</v>
      </c>
      <c r="C7888" s="11" t="s">
        <v>28</v>
      </c>
      <c r="D7888" s="9" t="s">
        <v>6044</v>
      </c>
      <c r="E7888" s="11" t="s">
        <v>28</v>
      </c>
      <c r="F7888" s="10" t="s">
        <v>28</v>
      </c>
      <c r="G7888" s="10" t="s">
        <v>28</v>
      </c>
      <c r="H7888" s="10" t="s">
        <v>28</v>
      </c>
      <c r="I7888" s="11" t="s">
        <v>28</v>
      </c>
      <c r="J7888" s="11" t="s">
        <v>28</v>
      </c>
      <c r="K7888" s="11" t="s">
        <v>28</v>
      </c>
      <c r="L7888" s="11" t="s">
        <v>28</v>
      </c>
      <c r="M7888" s="11" t="s">
        <v>28</v>
      </c>
      <c r="N7888" s="8">
        <v>43193</v>
      </c>
      <c r="O7888" s="9" t="s">
        <v>173</v>
      </c>
      <c r="P7888" s="12" t="s">
        <v>28</v>
      </c>
      <c r="Q7888" s="9" t="s">
        <v>240</v>
      </c>
      <c r="R7888" s="14" t="str">
        <f>HYPERLINK("https://my.pitchbook.com?c=130703-77T","View Company Online")</f>
        <v>View Company Online</v>
      </c>
    </row>
    <row r="7889" spans="1:18" hidden="1" x14ac:dyDescent="0.3">
      <c r="A7889" s="15" t="s">
        <v>23076</v>
      </c>
      <c r="B7889" s="15" t="s">
        <v>23077</v>
      </c>
      <c r="C7889" s="18" t="s">
        <v>28</v>
      </c>
      <c r="D7889" s="15" t="s">
        <v>23078</v>
      </c>
      <c r="E7889" s="18" t="s">
        <v>28</v>
      </c>
      <c r="F7889" s="19" t="s">
        <v>28</v>
      </c>
      <c r="G7889" s="19" t="s">
        <v>28</v>
      </c>
      <c r="H7889" s="19" t="s">
        <v>28</v>
      </c>
      <c r="I7889" s="18" t="s">
        <v>28</v>
      </c>
      <c r="J7889" s="18" t="s">
        <v>28</v>
      </c>
      <c r="K7889" s="18" t="s">
        <v>28</v>
      </c>
      <c r="L7889" s="18" t="s">
        <v>28</v>
      </c>
      <c r="M7889" s="18" t="s">
        <v>28</v>
      </c>
      <c r="N7889" s="17">
        <v>43193</v>
      </c>
      <c r="O7889" s="15" t="s">
        <v>41</v>
      </c>
      <c r="P7889" s="16" t="s">
        <v>23079</v>
      </c>
      <c r="Q7889" s="15" t="s">
        <v>1088</v>
      </c>
      <c r="R7889" s="13" t="str">
        <f>HYPERLINK("https://my.pitchbook.com?c=105919-57T","View Company Online")</f>
        <v>View Company Online</v>
      </c>
    </row>
    <row r="7890" spans="1:18" hidden="1" x14ac:dyDescent="0.3">
      <c r="A7890" s="9" t="s">
        <v>23080</v>
      </c>
      <c r="B7890" s="9" t="s">
        <v>7016</v>
      </c>
      <c r="C7890" s="11" t="s">
        <v>28</v>
      </c>
      <c r="D7890" s="9" t="s">
        <v>7017</v>
      </c>
      <c r="E7890" s="11" t="s">
        <v>28</v>
      </c>
      <c r="F7890" s="10" t="s">
        <v>28</v>
      </c>
      <c r="G7890" s="10" t="s">
        <v>28</v>
      </c>
      <c r="H7890" s="10" t="s">
        <v>28</v>
      </c>
      <c r="I7890" s="11" t="s">
        <v>28</v>
      </c>
      <c r="J7890" s="11" t="s">
        <v>28</v>
      </c>
      <c r="K7890" s="11" t="s">
        <v>28</v>
      </c>
      <c r="L7890" s="11" t="s">
        <v>28</v>
      </c>
      <c r="M7890" s="11" t="s">
        <v>28</v>
      </c>
      <c r="N7890" s="8">
        <v>43192</v>
      </c>
      <c r="O7890" s="9" t="s">
        <v>52</v>
      </c>
      <c r="P7890" s="12" t="s">
        <v>1970</v>
      </c>
      <c r="Q7890" s="9" t="s">
        <v>37</v>
      </c>
      <c r="R7890" s="14" t="str">
        <f>HYPERLINK("https://my.pitchbook.com?c=125629-21T","View Company Online")</f>
        <v>View Company Online</v>
      </c>
    </row>
    <row r="7891" spans="1:18" hidden="1" x14ac:dyDescent="0.3">
      <c r="A7891" s="15" t="s">
        <v>23081</v>
      </c>
      <c r="B7891" s="15" t="s">
        <v>3192</v>
      </c>
      <c r="C7891" s="18" t="s">
        <v>28</v>
      </c>
      <c r="D7891" s="15" t="s">
        <v>3193</v>
      </c>
      <c r="E7891" s="18" t="s">
        <v>28</v>
      </c>
      <c r="F7891" s="19" t="s">
        <v>28</v>
      </c>
      <c r="G7891" s="19">
        <v>3.6</v>
      </c>
      <c r="H7891" s="19" t="s">
        <v>28</v>
      </c>
      <c r="I7891" s="18" t="s">
        <v>28</v>
      </c>
      <c r="J7891" s="18" t="s">
        <v>28</v>
      </c>
      <c r="K7891" s="18" t="s">
        <v>28</v>
      </c>
      <c r="L7891" s="18" t="s">
        <v>28</v>
      </c>
      <c r="M7891" s="18" t="s">
        <v>28</v>
      </c>
      <c r="N7891" s="17">
        <v>43192</v>
      </c>
      <c r="O7891" s="15" t="s">
        <v>73</v>
      </c>
      <c r="P7891" s="16" t="s">
        <v>23082</v>
      </c>
      <c r="Q7891" s="15" t="s">
        <v>114</v>
      </c>
      <c r="R7891" s="13" t="str">
        <f>HYPERLINK("https://my.pitchbook.com?c=103808-53T","View Company Online")</f>
        <v>View Company Online</v>
      </c>
    </row>
    <row r="7892" spans="1:18" hidden="1" x14ac:dyDescent="0.3">
      <c r="A7892" s="9" t="s">
        <v>23083</v>
      </c>
      <c r="B7892" s="9" t="s">
        <v>11660</v>
      </c>
      <c r="C7892" s="11" t="s">
        <v>28</v>
      </c>
      <c r="D7892" s="9" t="s">
        <v>11661</v>
      </c>
      <c r="E7892" s="11" t="s">
        <v>28</v>
      </c>
      <c r="F7892" s="10" t="s">
        <v>28</v>
      </c>
      <c r="G7892" s="10" t="s">
        <v>28</v>
      </c>
      <c r="H7892" s="10" t="s">
        <v>28</v>
      </c>
      <c r="I7892" s="11" t="s">
        <v>28</v>
      </c>
      <c r="J7892" s="11" t="s">
        <v>28</v>
      </c>
      <c r="K7892" s="11" t="s">
        <v>28</v>
      </c>
      <c r="L7892" s="11" t="s">
        <v>28</v>
      </c>
      <c r="M7892" s="11" t="s">
        <v>28</v>
      </c>
      <c r="N7892" s="8">
        <v>43192</v>
      </c>
      <c r="O7892" s="9" t="s">
        <v>79</v>
      </c>
      <c r="P7892" s="12" t="s">
        <v>23084</v>
      </c>
      <c r="Q7892" s="9" t="s">
        <v>285</v>
      </c>
      <c r="R7892" s="14" t="str">
        <f>HYPERLINK("https://my.pitchbook.com?c=103844-53T","View Company Online")</f>
        <v>View Company Online</v>
      </c>
    </row>
    <row r="7893" spans="1:18" hidden="1" x14ac:dyDescent="0.3">
      <c r="A7893" s="15" t="s">
        <v>23085</v>
      </c>
      <c r="B7893" s="15" t="s">
        <v>12133</v>
      </c>
      <c r="C7893" s="18" t="s">
        <v>28</v>
      </c>
      <c r="D7893" s="15" t="s">
        <v>12134</v>
      </c>
      <c r="E7893" s="18" t="s">
        <v>28</v>
      </c>
      <c r="F7893" s="19" t="s">
        <v>28</v>
      </c>
      <c r="G7893" s="19">
        <v>0.11</v>
      </c>
      <c r="H7893" s="19" t="s">
        <v>28</v>
      </c>
      <c r="I7893" s="18" t="s">
        <v>28</v>
      </c>
      <c r="J7893" s="18" t="s">
        <v>28</v>
      </c>
      <c r="K7893" s="18" t="s">
        <v>28</v>
      </c>
      <c r="L7893" s="18" t="s">
        <v>28</v>
      </c>
      <c r="M7893" s="18" t="s">
        <v>28</v>
      </c>
      <c r="N7893" s="17">
        <v>43191</v>
      </c>
      <c r="O7893" s="15" t="s">
        <v>1639</v>
      </c>
      <c r="P7893" s="16" t="s">
        <v>28</v>
      </c>
      <c r="Q7893" s="15" t="s">
        <v>95</v>
      </c>
      <c r="R7893" s="13" t="str">
        <f>HYPERLINK("https://my.pitchbook.com?c=122932-63T","View Company Online")</f>
        <v>View Company Online</v>
      </c>
    </row>
    <row r="7894" spans="1:18" hidden="1" x14ac:dyDescent="0.3">
      <c r="A7894" s="9" t="s">
        <v>23086</v>
      </c>
      <c r="B7894" s="9" t="s">
        <v>9553</v>
      </c>
      <c r="C7894" s="11" t="s">
        <v>28</v>
      </c>
      <c r="D7894" s="9" t="s">
        <v>9554</v>
      </c>
      <c r="E7894" s="11" t="s">
        <v>28</v>
      </c>
      <c r="F7894" s="10" t="s">
        <v>28</v>
      </c>
      <c r="G7894" s="10">
        <v>0.03</v>
      </c>
      <c r="H7894" s="10" t="s">
        <v>28</v>
      </c>
      <c r="I7894" s="11" t="s">
        <v>28</v>
      </c>
      <c r="J7894" s="11" t="s">
        <v>28</v>
      </c>
      <c r="K7894" s="11" t="s">
        <v>28</v>
      </c>
      <c r="L7894" s="11" t="s">
        <v>28</v>
      </c>
      <c r="M7894" s="11" t="s">
        <v>28</v>
      </c>
      <c r="N7894" s="8">
        <v>43191</v>
      </c>
      <c r="O7894" s="9" t="s">
        <v>8420</v>
      </c>
      <c r="P7894" s="12" t="s">
        <v>28</v>
      </c>
      <c r="Q7894" s="9" t="s">
        <v>607</v>
      </c>
      <c r="R7894" s="14" t="str">
        <f>HYPERLINK("https://my.pitchbook.com?c=202311-64T","View Company Online")</f>
        <v>View Company Online</v>
      </c>
    </row>
    <row r="7895" spans="1:18" hidden="1" x14ac:dyDescent="0.3">
      <c r="A7895" s="15" t="s">
        <v>23087</v>
      </c>
      <c r="B7895" s="15" t="s">
        <v>18822</v>
      </c>
      <c r="C7895" s="18" t="s">
        <v>28</v>
      </c>
      <c r="D7895" s="15" t="s">
        <v>18823</v>
      </c>
      <c r="E7895" s="18" t="s">
        <v>28</v>
      </c>
      <c r="F7895" s="19" t="s">
        <v>28</v>
      </c>
      <c r="G7895" s="19">
        <v>0.02</v>
      </c>
      <c r="H7895" s="19" t="s">
        <v>28</v>
      </c>
      <c r="I7895" s="18" t="s">
        <v>28</v>
      </c>
      <c r="J7895" s="18" t="s">
        <v>28</v>
      </c>
      <c r="K7895" s="18" t="s">
        <v>28</v>
      </c>
      <c r="L7895" s="18" t="s">
        <v>28</v>
      </c>
      <c r="M7895" s="18" t="s">
        <v>28</v>
      </c>
      <c r="N7895" s="17">
        <v>43191</v>
      </c>
      <c r="O7895" s="15" t="s">
        <v>1639</v>
      </c>
      <c r="P7895" s="16" t="s">
        <v>28</v>
      </c>
      <c r="Q7895" s="15" t="s">
        <v>583</v>
      </c>
      <c r="R7895" s="13" t="str">
        <f>HYPERLINK("https://my.pitchbook.com?c=125980-03T","View Company Online")</f>
        <v>View Company Online</v>
      </c>
    </row>
    <row r="7896" spans="1:18" hidden="1" x14ac:dyDescent="0.3">
      <c r="A7896" s="9" t="s">
        <v>23088</v>
      </c>
      <c r="B7896" s="9" t="s">
        <v>23089</v>
      </c>
      <c r="C7896" s="11" t="s">
        <v>28</v>
      </c>
      <c r="D7896" s="9" t="s">
        <v>23090</v>
      </c>
      <c r="E7896" s="11" t="s">
        <v>28</v>
      </c>
      <c r="F7896" s="10" t="s">
        <v>28</v>
      </c>
      <c r="G7896" s="10">
        <v>0.03</v>
      </c>
      <c r="H7896" s="10">
        <v>0.8</v>
      </c>
      <c r="I7896" s="11" t="s">
        <v>28</v>
      </c>
      <c r="J7896" s="11" t="s">
        <v>28</v>
      </c>
      <c r="K7896" s="11" t="s">
        <v>28</v>
      </c>
      <c r="L7896" s="11" t="s">
        <v>28</v>
      </c>
      <c r="M7896" s="11" t="s">
        <v>28</v>
      </c>
      <c r="N7896" s="8">
        <v>43191</v>
      </c>
      <c r="O7896" s="9" t="s">
        <v>99</v>
      </c>
      <c r="P7896" s="12" t="s">
        <v>28</v>
      </c>
      <c r="Q7896" s="9" t="s">
        <v>95</v>
      </c>
      <c r="R7896" s="14" t="str">
        <f>HYPERLINK("https://my.pitchbook.com?c=209327-68T","View Company Online")</f>
        <v>View Company Online</v>
      </c>
    </row>
    <row r="7897" spans="1:18" hidden="1" x14ac:dyDescent="0.3">
      <c r="A7897" s="15" t="s">
        <v>23091</v>
      </c>
      <c r="B7897" s="15" t="s">
        <v>23092</v>
      </c>
      <c r="C7897" s="18" t="s">
        <v>28</v>
      </c>
      <c r="D7897" s="15" t="s">
        <v>23093</v>
      </c>
      <c r="E7897" s="18" t="s">
        <v>28</v>
      </c>
      <c r="F7897" s="19" t="s">
        <v>28</v>
      </c>
      <c r="G7897" s="19" t="s">
        <v>28</v>
      </c>
      <c r="H7897" s="19" t="s">
        <v>28</v>
      </c>
      <c r="I7897" s="18" t="s">
        <v>28</v>
      </c>
      <c r="J7897" s="18" t="s">
        <v>28</v>
      </c>
      <c r="K7897" s="18" t="s">
        <v>28</v>
      </c>
      <c r="L7897" s="18" t="s">
        <v>28</v>
      </c>
      <c r="M7897" s="18" t="s">
        <v>28</v>
      </c>
      <c r="N7897" s="17">
        <v>43191</v>
      </c>
      <c r="O7897" s="15" t="s">
        <v>93</v>
      </c>
      <c r="P7897" s="16" t="s">
        <v>23094</v>
      </c>
      <c r="Q7897" s="15" t="s">
        <v>14987</v>
      </c>
      <c r="R7897" s="13" t="str">
        <f>HYPERLINK("https://my.pitchbook.com?c=115945-12T","View Company Online")</f>
        <v>View Company Online</v>
      </c>
    </row>
    <row r="7898" spans="1:18" hidden="1" x14ac:dyDescent="0.3">
      <c r="A7898" s="9" t="s">
        <v>23095</v>
      </c>
      <c r="B7898" s="9" t="s">
        <v>7491</v>
      </c>
      <c r="C7898" s="11" t="s">
        <v>28</v>
      </c>
      <c r="D7898" s="9" t="s">
        <v>7492</v>
      </c>
      <c r="E7898" s="11" t="s">
        <v>28</v>
      </c>
      <c r="F7898" s="10" t="s">
        <v>28</v>
      </c>
      <c r="G7898" s="10">
        <v>4.5</v>
      </c>
      <c r="H7898" s="10" t="s">
        <v>28</v>
      </c>
      <c r="I7898" s="11" t="s">
        <v>28</v>
      </c>
      <c r="J7898" s="11" t="s">
        <v>28</v>
      </c>
      <c r="K7898" s="11" t="s">
        <v>28</v>
      </c>
      <c r="L7898" s="11" t="s">
        <v>28</v>
      </c>
      <c r="M7898" s="11" t="s">
        <v>28</v>
      </c>
      <c r="N7898" s="8">
        <v>43191</v>
      </c>
      <c r="O7898" s="9" t="s">
        <v>79</v>
      </c>
      <c r="P7898" s="12" t="s">
        <v>28</v>
      </c>
      <c r="Q7898" s="9" t="s">
        <v>75</v>
      </c>
      <c r="R7898" s="14" t="str">
        <f>HYPERLINK("https://my.pitchbook.com?c=116327-35T","View Company Online")</f>
        <v>View Company Online</v>
      </c>
    </row>
    <row r="7899" spans="1:18" hidden="1" x14ac:dyDescent="0.3">
      <c r="A7899" s="15" t="s">
        <v>23096</v>
      </c>
      <c r="B7899" s="15" t="s">
        <v>23097</v>
      </c>
      <c r="C7899" s="18" t="s">
        <v>28</v>
      </c>
      <c r="D7899" s="15" t="s">
        <v>23098</v>
      </c>
      <c r="E7899" s="18" t="s">
        <v>28</v>
      </c>
      <c r="F7899" s="19" t="s">
        <v>28</v>
      </c>
      <c r="G7899" s="19" t="s">
        <v>28</v>
      </c>
      <c r="H7899" s="19" t="s">
        <v>28</v>
      </c>
      <c r="I7899" s="18">
        <v>93.86</v>
      </c>
      <c r="J7899" s="18" t="s">
        <v>28</v>
      </c>
      <c r="K7899" s="18">
        <v>535.65</v>
      </c>
      <c r="L7899" s="18" t="s">
        <v>28</v>
      </c>
      <c r="M7899" s="18" t="s">
        <v>28</v>
      </c>
      <c r="N7899" s="17">
        <v>43191</v>
      </c>
      <c r="O7899" s="15" t="s">
        <v>30</v>
      </c>
      <c r="P7899" s="16" t="s">
        <v>23099</v>
      </c>
      <c r="Q7899" s="15" t="s">
        <v>669</v>
      </c>
      <c r="R7899" s="13" t="str">
        <f>HYPERLINK("https://my.pitchbook.com?c=82891-54T","View Company Online")</f>
        <v>View Company Online</v>
      </c>
    </row>
    <row r="7900" spans="1:18" hidden="1" x14ac:dyDescent="0.3">
      <c r="A7900" s="9" t="s">
        <v>23100</v>
      </c>
      <c r="B7900" s="9" t="s">
        <v>2201</v>
      </c>
      <c r="C7900" s="11" t="s">
        <v>28</v>
      </c>
      <c r="D7900" s="9" t="s">
        <v>2202</v>
      </c>
      <c r="E7900" s="11" t="s">
        <v>28</v>
      </c>
      <c r="F7900" s="10" t="s">
        <v>28</v>
      </c>
      <c r="G7900" s="10">
        <v>0.1</v>
      </c>
      <c r="H7900" s="10" t="s">
        <v>28</v>
      </c>
      <c r="I7900" s="11" t="s">
        <v>28</v>
      </c>
      <c r="J7900" s="11" t="s">
        <v>28</v>
      </c>
      <c r="K7900" s="11">
        <v>1.56</v>
      </c>
      <c r="L7900" s="11" t="s">
        <v>28</v>
      </c>
      <c r="M7900" s="11" t="s">
        <v>28</v>
      </c>
      <c r="N7900" s="8">
        <v>43189</v>
      </c>
      <c r="O7900" s="9" t="s">
        <v>52</v>
      </c>
      <c r="P7900" s="12" t="s">
        <v>23101</v>
      </c>
      <c r="Q7900" s="9" t="s">
        <v>75</v>
      </c>
      <c r="R7900" s="14" t="str">
        <f>HYPERLINK("https://my.pitchbook.com?c=112509-73T","View Company Online")</f>
        <v>View Company Online</v>
      </c>
    </row>
    <row r="7901" spans="1:18" hidden="1" x14ac:dyDescent="0.3">
      <c r="A7901" s="15" t="s">
        <v>23102</v>
      </c>
      <c r="B7901" s="15" t="s">
        <v>8997</v>
      </c>
      <c r="C7901" s="18" t="s">
        <v>28</v>
      </c>
      <c r="D7901" s="15" t="s">
        <v>8998</v>
      </c>
      <c r="E7901" s="18" t="s">
        <v>28</v>
      </c>
      <c r="F7901" s="19" t="s">
        <v>28</v>
      </c>
      <c r="G7901" s="19" t="s">
        <v>28</v>
      </c>
      <c r="H7901" s="19" t="s">
        <v>28</v>
      </c>
      <c r="I7901" s="18" t="s">
        <v>28</v>
      </c>
      <c r="J7901" s="18" t="s">
        <v>28</v>
      </c>
      <c r="K7901" s="18" t="s">
        <v>28</v>
      </c>
      <c r="L7901" s="18" t="s">
        <v>28</v>
      </c>
      <c r="M7901" s="18" t="s">
        <v>28</v>
      </c>
      <c r="N7901" s="17">
        <v>43188</v>
      </c>
      <c r="O7901" s="15" t="s">
        <v>41</v>
      </c>
      <c r="P7901" s="16" t="s">
        <v>2009</v>
      </c>
      <c r="Q7901" s="15" t="s">
        <v>8999</v>
      </c>
      <c r="R7901" s="13" t="str">
        <f>HYPERLINK("https://my.pitchbook.com?c=121638-70T","View Company Online")</f>
        <v>View Company Online</v>
      </c>
    </row>
    <row r="7902" spans="1:18" hidden="1" x14ac:dyDescent="0.3">
      <c r="A7902" s="9" t="s">
        <v>23103</v>
      </c>
      <c r="B7902" s="9" t="s">
        <v>23104</v>
      </c>
      <c r="C7902" s="11" t="s">
        <v>28</v>
      </c>
      <c r="D7902" s="9" t="s">
        <v>23105</v>
      </c>
      <c r="E7902" s="11" t="s">
        <v>28</v>
      </c>
      <c r="F7902" s="10" t="s">
        <v>28</v>
      </c>
      <c r="G7902" s="10">
        <v>0.16</v>
      </c>
      <c r="H7902" s="10" t="s">
        <v>28</v>
      </c>
      <c r="I7902" s="11" t="s">
        <v>28</v>
      </c>
      <c r="J7902" s="11" t="s">
        <v>28</v>
      </c>
      <c r="K7902" s="11">
        <v>5.01</v>
      </c>
      <c r="L7902" s="11" t="s">
        <v>28</v>
      </c>
      <c r="M7902" s="11" t="s">
        <v>28</v>
      </c>
      <c r="N7902" s="8">
        <v>43187</v>
      </c>
      <c r="O7902" s="9" t="s">
        <v>52</v>
      </c>
      <c r="P7902" s="12" t="s">
        <v>20284</v>
      </c>
      <c r="Q7902" s="9" t="s">
        <v>692</v>
      </c>
      <c r="R7902" s="14" t="str">
        <f>HYPERLINK("https://my.pitchbook.com?c=125865-28T","View Company Online")</f>
        <v>View Company Online</v>
      </c>
    </row>
    <row r="7903" spans="1:18" hidden="1" x14ac:dyDescent="0.3">
      <c r="A7903" s="15" t="s">
        <v>23106</v>
      </c>
      <c r="B7903" s="15" t="s">
        <v>23107</v>
      </c>
      <c r="C7903" s="18" t="s">
        <v>28</v>
      </c>
      <c r="D7903" s="15" t="s">
        <v>23108</v>
      </c>
      <c r="E7903" s="18" t="s">
        <v>28</v>
      </c>
      <c r="F7903" s="19">
        <v>27.47</v>
      </c>
      <c r="G7903" s="19">
        <v>27.47</v>
      </c>
      <c r="H7903" s="19">
        <v>27.47</v>
      </c>
      <c r="I7903" s="18" t="s">
        <v>28</v>
      </c>
      <c r="J7903" s="18" t="s">
        <v>28</v>
      </c>
      <c r="K7903" s="18" t="s">
        <v>28</v>
      </c>
      <c r="L7903" s="18" t="s">
        <v>28</v>
      </c>
      <c r="M7903" s="18" t="s">
        <v>28</v>
      </c>
      <c r="N7903" s="17">
        <v>43187</v>
      </c>
      <c r="O7903" s="15" t="s">
        <v>30</v>
      </c>
      <c r="P7903" s="16" t="s">
        <v>28</v>
      </c>
      <c r="Q7903" s="15" t="s">
        <v>105</v>
      </c>
      <c r="R7903" s="13" t="str">
        <f>HYPERLINK("https://my.pitchbook.com?c=211797-64T","View Company Online")</f>
        <v>View Company Online</v>
      </c>
    </row>
    <row r="7904" spans="1:18" hidden="1" x14ac:dyDescent="0.3">
      <c r="A7904" s="9" t="s">
        <v>23109</v>
      </c>
      <c r="B7904" s="9" t="s">
        <v>15824</v>
      </c>
      <c r="C7904" s="11" t="s">
        <v>28</v>
      </c>
      <c r="D7904" s="9" t="s">
        <v>15825</v>
      </c>
      <c r="E7904" s="11" t="s">
        <v>28</v>
      </c>
      <c r="F7904" s="10" t="s">
        <v>28</v>
      </c>
      <c r="G7904" s="10">
        <v>0.1</v>
      </c>
      <c r="H7904" s="10" t="s">
        <v>28</v>
      </c>
      <c r="I7904" s="11" t="s">
        <v>28</v>
      </c>
      <c r="J7904" s="11" t="s">
        <v>28</v>
      </c>
      <c r="K7904" s="11" t="s">
        <v>28</v>
      </c>
      <c r="L7904" s="11" t="s">
        <v>28</v>
      </c>
      <c r="M7904" s="11" t="s">
        <v>28</v>
      </c>
      <c r="N7904" s="8">
        <v>43186</v>
      </c>
      <c r="O7904" s="9" t="s">
        <v>52</v>
      </c>
      <c r="P7904" s="12" t="s">
        <v>23101</v>
      </c>
      <c r="Q7904" s="9" t="s">
        <v>75</v>
      </c>
      <c r="R7904" s="14" t="str">
        <f>HYPERLINK("https://my.pitchbook.com?c=87077-71T","View Company Online")</f>
        <v>View Company Online</v>
      </c>
    </row>
    <row r="7905" spans="1:18" hidden="1" x14ac:dyDescent="0.3">
      <c r="A7905" s="15" t="s">
        <v>23110</v>
      </c>
      <c r="B7905" s="15" t="s">
        <v>5384</v>
      </c>
      <c r="C7905" s="18" t="s">
        <v>28</v>
      </c>
      <c r="D7905" s="15" t="s">
        <v>5385</v>
      </c>
      <c r="E7905" s="18" t="s">
        <v>28</v>
      </c>
      <c r="F7905" s="19" t="s">
        <v>28</v>
      </c>
      <c r="G7905" s="19" t="s">
        <v>28</v>
      </c>
      <c r="H7905" s="19" t="s">
        <v>28</v>
      </c>
      <c r="I7905" s="18" t="s">
        <v>28</v>
      </c>
      <c r="J7905" s="18" t="s">
        <v>28</v>
      </c>
      <c r="K7905" s="18" t="s">
        <v>28</v>
      </c>
      <c r="L7905" s="18" t="s">
        <v>28</v>
      </c>
      <c r="M7905" s="18" t="s">
        <v>28</v>
      </c>
      <c r="N7905" s="17">
        <v>43186</v>
      </c>
      <c r="O7905" s="15" t="s">
        <v>52</v>
      </c>
      <c r="P7905" s="16" t="s">
        <v>22799</v>
      </c>
      <c r="Q7905" s="15" t="s">
        <v>37</v>
      </c>
      <c r="R7905" s="13" t="str">
        <f>HYPERLINK("https://my.pitchbook.com?c=116193-16T","View Company Online")</f>
        <v>View Company Online</v>
      </c>
    </row>
    <row r="7906" spans="1:18" hidden="1" x14ac:dyDescent="0.3">
      <c r="A7906" s="9" t="s">
        <v>23111</v>
      </c>
      <c r="B7906" s="9" t="s">
        <v>15048</v>
      </c>
      <c r="C7906" s="11" t="s">
        <v>28</v>
      </c>
      <c r="D7906" s="9" t="s">
        <v>15049</v>
      </c>
      <c r="E7906" s="11" t="s">
        <v>28</v>
      </c>
      <c r="F7906" s="10" t="s">
        <v>28</v>
      </c>
      <c r="G7906" s="10">
        <v>0.06</v>
      </c>
      <c r="H7906" s="10" t="s">
        <v>28</v>
      </c>
      <c r="I7906" s="11" t="s">
        <v>28</v>
      </c>
      <c r="J7906" s="11" t="s">
        <v>28</v>
      </c>
      <c r="K7906" s="11" t="s">
        <v>28</v>
      </c>
      <c r="L7906" s="11" t="s">
        <v>28</v>
      </c>
      <c r="M7906" s="11" t="s">
        <v>28</v>
      </c>
      <c r="N7906" s="8">
        <v>43186</v>
      </c>
      <c r="O7906" s="9" t="s">
        <v>52</v>
      </c>
      <c r="P7906" s="12" t="s">
        <v>21372</v>
      </c>
      <c r="Q7906" s="9" t="s">
        <v>75</v>
      </c>
      <c r="R7906" s="14" t="str">
        <f>HYPERLINK("https://my.pitchbook.com?c=110207-17T","View Company Online")</f>
        <v>View Company Online</v>
      </c>
    </row>
    <row r="7907" spans="1:18" hidden="1" x14ac:dyDescent="0.3">
      <c r="A7907" s="15" t="s">
        <v>23112</v>
      </c>
      <c r="B7907" s="15" t="s">
        <v>23113</v>
      </c>
      <c r="C7907" s="18" t="s">
        <v>28</v>
      </c>
      <c r="D7907" s="15" t="s">
        <v>23114</v>
      </c>
      <c r="E7907" s="18" t="s">
        <v>28</v>
      </c>
      <c r="F7907" s="19" t="s">
        <v>28</v>
      </c>
      <c r="G7907" s="19">
        <v>262.7</v>
      </c>
      <c r="H7907" s="19">
        <v>519.29999999999995</v>
      </c>
      <c r="I7907" s="18">
        <v>44.12</v>
      </c>
      <c r="J7907" s="18">
        <v>11.77</v>
      </c>
      <c r="K7907" s="18">
        <v>399.86</v>
      </c>
      <c r="L7907" s="18">
        <v>1.3</v>
      </c>
      <c r="M7907" s="18" t="s">
        <v>28</v>
      </c>
      <c r="N7907" s="17">
        <v>43186</v>
      </c>
      <c r="O7907" s="15" t="s">
        <v>173</v>
      </c>
      <c r="P7907" s="16" t="s">
        <v>28</v>
      </c>
      <c r="Q7907" s="15" t="s">
        <v>409</v>
      </c>
      <c r="R7907" s="13" t="str">
        <f>HYPERLINK("https://my.pitchbook.com?c=97752-70T","View Company Online")</f>
        <v>View Company Online</v>
      </c>
    </row>
    <row r="7908" spans="1:18" hidden="1" x14ac:dyDescent="0.3">
      <c r="A7908" s="9" t="s">
        <v>23115</v>
      </c>
      <c r="B7908" s="9" t="s">
        <v>18152</v>
      </c>
      <c r="C7908" s="11" t="s">
        <v>28</v>
      </c>
      <c r="D7908" s="9" t="s">
        <v>18153</v>
      </c>
      <c r="E7908" s="11" t="s">
        <v>28</v>
      </c>
      <c r="F7908" s="10" t="s">
        <v>28</v>
      </c>
      <c r="G7908" s="10">
        <v>3.05</v>
      </c>
      <c r="H7908" s="10" t="s">
        <v>28</v>
      </c>
      <c r="I7908" s="11" t="s">
        <v>28</v>
      </c>
      <c r="J7908" s="11" t="s">
        <v>28</v>
      </c>
      <c r="K7908" s="11" t="s">
        <v>28</v>
      </c>
      <c r="L7908" s="11" t="s">
        <v>28</v>
      </c>
      <c r="M7908" s="11" t="s">
        <v>28</v>
      </c>
      <c r="N7908" s="8">
        <v>43186</v>
      </c>
      <c r="O7908" s="9" t="s">
        <v>73</v>
      </c>
      <c r="P7908" s="12" t="s">
        <v>23116</v>
      </c>
      <c r="Q7908" s="9" t="s">
        <v>95</v>
      </c>
      <c r="R7908" s="14" t="str">
        <f>HYPERLINK("https://my.pitchbook.com?c=89573-41T","View Company Online")</f>
        <v>View Company Online</v>
      </c>
    </row>
    <row r="7909" spans="1:18" hidden="1" x14ac:dyDescent="0.3">
      <c r="A7909" s="15" t="s">
        <v>23117</v>
      </c>
      <c r="B7909" s="15" t="s">
        <v>23118</v>
      </c>
      <c r="C7909" s="18" t="s">
        <v>28</v>
      </c>
      <c r="D7909" s="15" t="s">
        <v>23119</v>
      </c>
      <c r="E7909" s="18" t="s">
        <v>28</v>
      </c>
      <c r="F7909" s="19" t="s">
        <v>28</v>
      </c>
      <c r="G7909" s="19" t="s">
        <v>28</v>
      </c>
      <c r="H7909" s="19" t="s">
        <v>28</v>
      </c>
      <c r="I7909" s="18" t="s">
        <v>28</v>
      </c>
      <c r="J7909" s="18" t="s">
        <v>28</v>
      </c>
      <c r="K7909" s="18" t="s">
        <v>28</v>
      </c>
      <c r="L7909" s="18" t="s">
        <v>28</v>
      </c>
      <c r="M7909" s="18" t="s">
        <v>28</v>
      </c>
      <c r="N7909" s="17">
        <v>43186</v>
      </c>
      <c r="O7909" s="15" t="s">
        <v>30</v>
      </c>
      <c r="P7909" s="16" t="s">
        <v>28</v>
      </c>
      <c r="Q7909" s="15" t="s">
        <v>169</v>
      </c>
      <c r="R7909" s="13" t="str">
        <f>HYPERLINK("https://my.pitchbook.com?c=190539-91T","View Company Online")</f>
        <v>View Company Online</v>
      </c>
    </row>
    <row r="7910" spans="1:18" hidden="1" x14ac:dyDescent="0.3">
      <c r="A7910" s="9" t="s">
        <v>23120</v>
      </c>
      <c r="B7910" s="9" t="s">
        <v>14284</v>
      </c>
      <c r="C7910" s="11" t="s">
        <v>28</v>
      </c>
      <c r="D7910" s="9" t="s">
        <v>14285</v>
      </c>
      <c r="E7910" s="11" t="s">
        <v>28</v>
      </c>
      <c r="F7910" s="10" t="s">
        <v>28</v>
      </c>
      <c r="G7910" s="10">
        <v>0.06</v>
      </c>
      <c r="H7910" s="10" t="s">
        <v>28</v>
      </c>
      <c r="I7910" s="11" t="s">
        <v>28</v>
      </c>
      <c r="J7910" s="11" t="s">
        <v>28</v>
      </c>
      <c r="K7910" s="11" t="s">
        <v>28</v>
      </c>
      <c r="L7910" s="11" t="s">
        <v>28</v>
      </c>
      <c r="M7910" s="11" t="s">
        <v>28</v>
      </c>
      <c r="N7910" s="8">
        <v>43185</v>
      </c>
      <c r="O7910" s="9" t="s">
        <v>99</v>
      </c>
      <c r="P7910" s="12" t="s">
        <v>23121</v>
      </c>
      <c r="Q7910" s="9" t="s">
        <v>75</v>
      </c>
      <c r="R7910" s="14" t="str">
        <f>HYPERLINK("https://my.pitchbook.com?c=103821-22T","View Company Online")</f>
        <v>View Company Online</v>
      </c>
    </row>
    <row r="7911" spans="1:18" hidden="1" x14ac:dyDescent="0.3">
      <c r="A7911" s="15" t="s">
        <v>23122</v>
      </c>
      <c r="B7911" s="15" t="s">
        <v>18491</v>
      </c>
      <c r="C7911" s="18" t="s">
        <v>28</v>
      </c>
      <c r="D7911" s="15" t="s">
        <v>18492</v>
      </c>
      <c r="E7911" s="18" t="s">
        <v>28</v>
      </c>
      <c r="F7911" s="19" t="s">
        <v>28</v>
      </c>
      <c r="G7911" s="19" t="s">
        <v>28</v>
      </c>
      <c r="H7911" s="19" t="s">
        <v>28</v>
      </c>
      <c r="I7911" s="18" t="s">
        <v>28</v>
      </c>
      <c r="J7911" s="18" t="s">
        <v>28</v>
      </c>
      <c r="K7911" s="18" t="s">
        <v>28</v>
      </c>
      <c r="L7911" s="18" t="s">
        <v>28</v>
      </c>
      <c r="M7911" s="18" t="s">
        <v>28</v>
      </c>
      <c r="N7911" s="17">
        <v>43182</v>
      </c>
      <c r="O7911" s="15" t="s">
        <v>79</v>
      </c>
      <c r="P7911" s="16" t="s">
        <v>16948</v>
      </c>
      <c r="Q7911" s="15" t="s">
        <v>583</v>
      </c>
      <c r="R7911" s="13" t="str">
        <f>HYPERLINK("https://my.pitchbook.com?c=114664-96T","View Company Online")</f>
        <v>View Company Online</v>
      </c>
    </row>
    <row r="7912" spans="1:18" hidden="1" x14ac:dyDescent="0.3">
      <c r="A7912" s="9" t="s">
        <v>23123</v>
      </c>
      <c r="B7912" s="9" t="s">
        <v>22351</v>
      </c>
      <c r="C7912" s="11" t="s">
        <v>28</v>
      </c>
      <c r="D7912" s="9" t="s">
        <v>22352</v>
      </c>
      <c r="E7912" s="11" t="s">
        <v>28</v>
      </c>
      <c r="F7912" s="10">
        <v>27.8</v>
      </c>
      <c r="G7912" s="10">
        <v>27.8</v>
      </c>
      <c r="H7912" s="10">
        <v>27.8</v>
      </c>
      <c r="I7912" s="11" t="s">
        <v>28</v>
      </c>
      <c r="J7912" s="11" t="s">
        <v>28</v>
      </c>
      <c r="K7912" s="11" t="s">
        <v>28</v>
      </c>
      <c r="L7912" s="11" t="s">
        <v>28</v>
      </c>
      <c r="M7912" s="11" t="s">
        <v>28</v>
      </c>
      <c r="N7912" s="8">
        <v>43182</v>
      </c>
      <c r="O7912" s="9" t="s">
        <v>30</v>
      </c>
      <c r="P7912" s="12" t="s">
        <v>23124</v>
      </c>
      <c r="Q7912" s="9" t="s">
        <v>75</v>
      </c>
      <c r="R7912" s="14" t="str">
        <f>HYPERLINK("https://my.pitchbook.com?c=100281-79T","View Company Online")</f>
        <v>View Company Online</v>
      </c>
    </row>
    <row r="7913" spans="1:18" hidden="1" x14ac:dyDescent="0.3">
      <c r="A7913" s="15" t="s">
        <v>23125</v>
      </c>
      <c r="B7913" s="15" t="s">
        <v>23126</v>
      </c>
      <c r="C7913" s="18" t="s">
        <v>28</v>
      </c>
      <c r="D7913" s="15" t="s">
        <v>23127</v>
      </c>
      <c r="E7913" s="18" t="s">
        <v>28</v>
      </c>
      <c r="F7913" s="19">
        <v>0.64</v>
      </c>
      <c r="G7913" s="19">
        <v>0.64</v>
      </c>
      <c r="H7913" s="19">
        <v>0.64</v>
      </c>
      <c r="I7913" s="18" t="s">
        <v>28</v>
      </c>
      <c r="J7913" s="18" t="s">
        <v>28</v>
      </c>
      <c r="K7913" s="18" t="s">
        <v>28</v>
      </c>
      <c r="L7913" s="18" t="s">
        <v>28</v>
      </c>
      <c r="M7913" s="18" t="s">
        <v>28</v>
      </c>
      <c r="N7913" s="17">
        <v>43181</v>
      </c>
      <c r="O7913" s="15" t="s">
        <v>30</v>
      </c>
      <c r="P7913" s="16" t="s">
        <v>23128</v>
      </c>
      <c r="Q7913" s="15" t="s">
        <v>449</v>
      </c>
      <c r="R7913" s="13" t="str">
        <f>HYPERLINK("https://my.pitchbook.com?c=104090-23T","View Company Online")</f>
        <v>View Company Online</v>
      </c>
    </row>
    <row r="7914" spans="1:18" hidden="1" x14ac:dyDescent="0.3">
      <c r="A7914" s="9" t="s">
        <v>23129</v>
      </c>
      <c r="B7914" s="9" t="s">
        <v>5868</v>
      </c>
      <c r="C7914" s="11" t="s">
        <v>28</v>
      </c>
      <c r="D7914" s="9" t="s">
        <v>5869</v>
      </c>
      <c r="E7914" s="11" t="s">
        <v>28</v>
      </c>
      <c r="F7914" s="10">
        <v>60.02</v>
      </c>
      <c r="G7914" s="10">
        <v>60.02</v>
      </c>
      <c r="H7914" s="10">
        <v>60.02</v>
      </c>
      <c r="I7914" s="11" t="s">
        <v>28</v>
      </c>
      <c r="J7914" s="11" t="s">
        <v>28</v>
      </c>
      <c r="K7914" s="11" t="s">
        <v>28</v>
      </c>
      <c r="L7914" s="11" t="s">
        <v>28</v>
      </c>
      <c r="M7914" s="11" t="s">
        <v>28</v>
      </c>
      <c r="N7914" s="8">
        <v>43181</v>
      </c>
      <c r="O7914" s="9" t="s">
        <v>41</v>
      </c>
      <c r="P7914" s="12" t="s">
        <v>8652</v>
      </c>
      <c r="Q7914" s="9" t="s">
        <v>5870</v>
      </c>
      <c r="R7914" s="14" t="str">
        <f>HYPERLINK("https://my.pitchbook.com?c=179515-99T","View Company Online")</f>
        <v>View Company Online</v>
      </c>
    </row>
    <row r="7915" spans="1:18" hidden="1" x14ac:dyDescent="0.3">
      <c r="A7915" s="15" t="s">
        <v>23130</v>
      </c>
      <c r="B7915" s="15" t="s">
        <v>5625</v>
      </c>
      <c r="C7915" s="18" t="s">
        <v>28</v>
      </c>
      <c r="D7915" s="15" t="s">
        <v>5626</v>
      </c>
      <c r="E7915" s="18" t="s">
        <v>28</v>
      </c>
      <c r="F7915" s="19" t="s">
        <v>28</v>
      </c>
      <c r="G7915" s="19" t="s">
        <v>28</v>
      </c>
      <c r="H7915" s="19" t="s">
        <v>28</v>
      </c>
      <c r="I7915" s="18" t="s">
        <v>28</v>
      </c>
      <c r="J7915" s="18" t="s">
        <v>28</v>
      </c>
      <c r="K7915" s="18" t="s">
        <v>28</v>
      </c>
      <c r="L7915" s="18" t="s">
        <v>28</v>
      </c>
      <c r="M7915" s="18" t="s">
        <v>28</v>
      </c>
      <c r="N7915" s="17">
        <v>43180</v>
      </c>
      <c r="O7915" s="15" t="s">
        <v>99</v>
      </c>
      <c r="P7915" s="16" t="s">
        <v>20284</v>
      </c>
      <c r="Q7915" s="15" t="s">
        <v>5628</v>
      </c>
      <c r="R7915" s="13" t="str">
        <f>HYPERLINK("https://my.pitchbook.com?c=104394-61T","View Company Online")</f>
        <v>View Company Online</v>
      </c>
    </row>
    <row r="7916" spans="1:18" hidden="1" x14ac:dyDescent="0.3">
      <c r="A7916" s="9" t="s">
        <v>23131</v>
      </c>
      <c r="B7916" s="9" t="s">
        <v>12506</v>
      </c>
      <c r="C7916" s="11" t="s">
        <v>28</v>
      </c>
      <c r="D7916" s="9" t="s">
        <v>12507</v>
      </c>
      <c r="E7916" s="11" t="s">
        <v>28</v>
      </c>
      <c r="F7916" s="10" t="s">
        <v>28</v>
      </c>
      <c r="G7916" s="10">
        <v>0.5</v>
      </c>
      <c r="H7916" s="10">
        <v>4.17</v>
      </c>
      <c r="I7916" s="11" t="s">
        <v>28</v>
      </c>
      <c r="J7916" s="11" t="s">
        <v>28</v>
      </c>
      <c r="K7916" s="11" t="s">
        <v>28</v>
      </c>
      <c r="L7916" s="11" t="s">
        <v>28</v>
      </c>
      <c r="M7916" s="11" t="s">
        <v>28</v>
      </c>
      <c r="N7916" s="8">
        <v>43179</v>
      </c>
      <c r="O7916" s="9" t="s">
        <v>73</v>
      </c>
      <c r="P7916" s="12" t="s">
        <v>28</v>
      </c>
      <c r="Q7916" s="9" t="s">
        <v>419</v>
      </c>
      <c r="R7916" s="14" t="str">
        <f>HYPERLINK("https://my.pitchbook.com?c=126770-95T","View Company Online")</f>
        <v>View Company Online</v>
      </c>
    </row>
    <row r="7917" spans="1:18" hidden="1" x14ac:dyDescent="0.3">
      <c r="A7917" s="15" t="s">
        <v>23132</v>
      </c>
      <c r="B7917" s="15" t="s">
        <v>22752</v>
      </c>
      <c r="C7917" s="18" t="s">
        <v>28</v>
      </c>
      <c r="D7917" s="15" t="s">
        <v>23133</v>
      </c>
      <c r="E7917" s="18" t="s">
        <v>28</v>
      </c>
      <c r="F7917" s="19" t="s">
        <v>28</v>
      </c>
      <c r="G7917" s="19">
        <v>30</v>
      </c>
      <c r="H7917" s="19" t="s">
        <v>28</v>
      </c>
      <c r="I7917" s="18" t="s">
        <v>28</v>
      </c>
      <c r="J7917" s="18" t="s">
        <v>28</v>
      </c>
      <c r="K7917" s="18" t="s">
        <v>28</v>
      </c>
      <c r="L7917" s="18" t="s">
        <v>28</v>
      </c>
      <c r="M7917" s="18" t="s">
        <v>28</v>
      </c>
      <c r="N7917" s="17">
        <v>43179</v>
      </c>
      <c r="O7917" s="15" t="s">
        <v>79</v>
      </c>
      <c r="P7917" s="16" t="s">
        <v>23134</v>
      </c>
      <c r="Q7917" s="15" t="s">
        <v>75</v>
      </c>
      <c r="R7917" s="13" t="str">
        <f>HYPERLINK("https://my.pitchbook.com?c=103680-91T","View Company Online")</f>
        <v>View Company Online</v>
      </c>
    </row>
    <row r="7918" spans="1:18" hidden="1" x14ac:dyDescent="0.3">
      <c r="A7918" s="9" t="s">
        <v>23135</v>
      </c>
      <c r="B7918" s="9" t="s">
        <v>9691</v>
      </c>
      <c r="C7918" s="11" t="s">
        <v>28</v>
      </c>
      <c r="D7918" s="9" t="s">
        <v>9692</v>
      </c>
      <c r="E7918" s="11" t="s">
        <v>28</v>
      </c>
      <c r="F7918" s="10" t="s">
        <v>28</v>
      </c>
      <c r="G7918" s="10">
        <v>1</v>
      </c>
      <c r="H7918" s="10" t="s">
        <v>28</v>
      </c>
      <c r="I7918" s="11" t="s">
        <v>28</v>
      </c>
      <c r="J7918" s="11" t="s">
        <v>28</v>
      </c>
      <c r="K7918" s="11" t="s">
        <v>28</v>
      </c>
      <c r="L7918" s="11" t="s">
        <v>28</v>
      </c>
      <c r="M7918" s="11" t="s">
        <v>28</v>
      </c>
      <c r="N7918" s="8">
        <v>43179</v>
      </c>
      <c r="O7918" s="9" t="s">
        <v>99</v>
      </c>
      <c r="P7918" s="12" t="s">
        <v>23136</v>
      </c>
      <c r="Q7918" s="9" t="s">
        <v>119</v>
      </c>
      <c r="R7918" s="14" t="str">
        <f>HYPERLINK("https://my.pitchbook.com?c=110070-46T","View Company Online")</f>
        <v>View Company Online</v>
      </c>
    </row>
    <row r="7919" spans="1:18" hidden="1" x14ac:dyDescent="0.3">
      <c r="A7919" s="15" t="s">
        <v>23137</v>
      </c>
      <c r="B7919" s="15" t="s">
        <v>10515</v>
      </c>
      <c r="C7919" s="18" t="s">
        <v>28</v>
      </c>
      <c r="D7919" s="15" t="s">
        <v>10516</v>
      </c>
      <c r="E7919" s="18" t="s">
        <v>28</v>
      </c>
      <c r="F7919" s="19" t="s">
        <v>28</v>
      </c>
      <c r="G7919" s="19">
        <v>0.92</v>
      </c>
      <c r="H7919" s="19" t="s">
        <v>28</v>
      </c>
      <c r="I7919" s="18" t="s">
        <v>28</v>
      </c>
      <c r="J7919" s="18" t="s">
        <v>28</v>
      </c>
      <c r="K7919" s="18" t="s">
        <v>28</v>
      </c>
      <c r="L7919" s="18" t="s">
        <v>28</v>
      </c>
      <c r="M7919" s="18" t="s">
        <v>28</v>
      </c>
      <c r="N7919" s="17">
        <v>43179</v>
      </c>
      <c r="O7919" s="15" t="s">
        <v>79</v>
      </c>
      <c r="P7919" s="16" t="s">
        <v>23138</v>
      </c>
      <c r="Q7919" s="15" t="s">
        <v>832</v>
      </c>
      <c r="R7919" s="13" t="str">
        <f>HYPERLINK("https://my.pitchbook.com?c=107749-36T","View Company Online")</f>
        <v>View Company Online</v>
      </c>
    </row>
    <row r="7920" spans="1:18" hidden="1" x14ac:dyDescent="0.3">
      <c r="A7920" s="9" t="s">
        <v>23139</v>
      </c>
      <c r="B7920" s="9" t="s">
        <v>10945</v>
      </c>
      <c r="C7920" s="11" t="s">
        <v>28</v>
      </c>
      <c r="D7920" s="9" t="s">
        <v>10946</v>
      </c>
      <c r="E7920" s="11" t="s">
        <v>28</v>
      </c>
      <c r="F7920" s="10" t="s">
        <v>28</v>
      </c>
      <c r="G7920" s="10">
        <v>0.3</v>
      </c>
      <c r="H7920" s="10" t="s">
        <v>28</v>
      </c>
      <c r="I7920" s="11" t="s">
        <v>28</v>
      </c>
      <c r="J7920" s="11" t="s">
        <v>28</v>
      </c>
      <c r="K7920" s="11" t="s">
        <v>28</v>
      </c>
      <c r="L7920" s="11" t="s">
        <v>28</v>
      </c>
      <c r="M7920" s="11" t="s">
        <v>28</v>
      </c>
      <c r="N7920" s="8">
        <v>43179</v>
      </c>
      <c r="O7920" s="9" t="s">
        <v>99</v>
      </c>
      <c r="P7920" s="12" t="s">
        <v>23140</v>
      </c>
      <c r="Q7920" s="9" t="s">
        <v>75</v>
      </c>
      <c r="R7920" s="14" t="str">
        <f>HYPERLINK("https://my.pitchbook.com?c=110069-83T","View Company Online")</f>
        <v>View Company Online</v>
      </c>
    </row>
    <row r="7921" spans="1:18" hidden="1" x14ac:dyDescent="0.3">
      <c r="A7921" s="15" t="s">
        <v>23141</v>
      </c>
      <c r="B7921" s="15" t="s">
        <v>21374</v>
      </c>
      <c r="C7921" s="18" t="s">
        <v>28</v>
      </c>
      <c r="D7921" s="15" t="s">
        <v>21375</v>
      </c>
      <c r="E7921" s="18" t="s">
        <v>28</v>
      </c>
      <c r="F7921" s="19" t="s">
        <v>28</v>
      </c>
      <c r="G7921" s="19" t="s">
        <v>28</v>
      </c>
      <c r="H7921" s="19" t="s">
        <v>28</v>
      </c>
      <c r="I7921" s="18" t="s">
        <v>28</v>
      </c>
      <c r="J7921" s="18" t="s">
        <v>28</v>
      </c>
      <c r="K7921" s="18" t="s">
        <v>28</v>
      </c>
      <c r="L7921" s="18" t="s">
        <v>28</v>
      </c>
      <c r="M7921" s="18" t="s">
        <v>28</v>
      </c>
      <c r="N7921" s="17">
        <v>43179</v>
      </c>
      <c r="O7921" s="15" t="s">
        <v>52</v>
      </c>
      <c r="P7921" s="16" t="s">
        <v>23142</v>
      </c>
      <c r="Q7921" s="15" t="s">
        <v>1035</v>
      </c>
      <c r="R7921" s="13" t="str">
        <f>HYPERLINK("https://my.pitchbook.com?c=277640-74T","View Company Online")</f>
        <v>View Company Online</v>
      </c>
    </row>
    <row r="7922" spans="1:18" hidden="1" x14ac:dyDescent="0.3">
      <c r="A7922" s="9" t="s">
        <v>23143</v>
      </c>
      <c r="B7922" s="9" t="s">
        <v>23144</v>
      </c>
      <c r="C7922" s="11" t="s">
        <v>28</v>
      </c>
      <c r="D7922" s="9" t="s">
        <v>23145</v>
      </c>
      <c r="E7922" s="11" t="s">
        <v>28</v>
      </c>
      <c r="F7922" s="10" t="s">
        <v>28</v>
      </c>
      <c r="G7922" s="10" t="s">
        <v>28</v>
      </c>
      <c r="H7922" s="10" t="s">
        <v>28</v>
      </c>
      <c r="I7922" s="11" t="s">
        <v>28</v>
      </c>
      <c r="J7922" s="11" t="s">
        <v>28</v>
      </c>
      <c r="K7922" s="11" t="s">
        <v>28</v>
      </c>
      <c r="L7922" s="11" t="s">
        <v>28</v>
      </c>
      <c r="M7922" s="11" t="s">
        <v>28</v>
      </c>
      <c r="N7922" s="8">
        <v>43179</v>
      </c>
      <c r="O7922" s="9" t="s">
        <v>41</v>
      </c>
      <c r="P7922" s="12" t="s">
        <v>23146</v>
      </c>
      <c r="Q7922" s="9" t="s">
        <v>5347</v>
      </c>
      <c r="R7922" s="14" t="str">
        <f>HYPERLINK("https://my.pitchbook.com?c=104704-30T","View Company Online")</f>
        <v>View Company Online</v>
      </c>
    </row>
    <row r="7923" spans="1:18" hidden="1" x14ac:dyDescent="0.3">
      <c r="A7923" s="15" t="s">
        <v>23147</v>
      </c>
      <c r="B7923" s="15" t="s">
        <v>10945</v>
      </c>
      <c r="C7923" s="18" t="s">
        <v>28</v>
      </c>
      <c r="D7923" s="15" t="s">
        <v>10946</v>
      </c>
      <c r="E7923" s="18" t="s">
        <v>28</v>
      </c>
      <c r="F7923" s="19" t="s">
        <v>28</v>
      </c>
      <c r="G7923" s="19">
        <v>0.13</v>
      </c>
      <c r="H7923" s="19">
        <v>1.79</v>
      </c>
      <c r="I7923" s="18" t="s">
        <v>28</v>
      </c>
      <c r="J7923" s="18" t="s">
        <v>28</v>
      </c>
      <c r="K7923" s="18" t="s">
        <v>28</v>
      </c>
      <c r="L7923" s="18" t="s">
        <v>28</v>
      </c>
      <c r="M7923" s="18" t="s">
        <v>28</v>
      </c>
      <c r="N7923" s="17">
        <v>43178</v>
      </c>
      <c r="O7923" s="15" t="s">
        <v>52</v>
      </c>
      <c r="P7923" s="16" t="s">
        <v>3944</v>
      </c>
      <c r="Q7923" s="15" t="s">
        <v>75</v>
      </c>
      <c r="R7923" s="13" t="str">
        <f>HYPERLINK("https://my.pitchbook.com?c=101847-43T","View Company Online")</f>
        <v>View Company Online</v>
      </c>
    </row>
    <row r="7924" spans="1:18" hidden="1" x14ac:dyDescent="0.3">
      <c r="A7924" s="9" t="s">
        <v>23148</v>
      </c>
      <c r="B7924" s="9" t="s">
        <v>23149</v>
      </c>
      <c r="C7924" s="11" t="s">
        <v>28</v>
      </c>
      <c r="D7924" s="9" t="s">
        <v>23150</v>
      </c>
      <c r="E7924" s="11" t="s">
        <v>28</v>
      </c>
      <c r="F7924" s="10" t="s">
        <v>28</v>
      </c>
      <c r="G7924" s="10" t="s">
        <v>28</v>
      </c>
      <c r="H7924" s="10" t="s">
        <v>28</v>
      </c>
      <c r="I7924" s="11" t="s">
        <v>28</v>
      </c>
      <c r="J7924" s="11" t="s">
        <v>28</v>
      </c>
      <c r="K7924" s="11" t="s">
        <v>28</v>
      </c>
      <c r="L7924" s="11" t="s">
        <v>28</v>
      </c>
      <c r="M7924" s="11" t="s">
        <v>28</v>
      </c>
      <c r="N7924" s="8">
        <v>43175</v>
      </c>
      <c r="O7924" s="9" t="s">
        <v>99</v>
      </c>
      <c r="P7924" s="12" t="s">
        <v>20284</v>
      </c>
      <c r="Q7924" s="9" t="s">
        <v>75</v>
      </c>
      <c r="R7924" s="14" t="str">
        <f>HYPERLINK("https://my.pitchbook.com?c=103948-48T","View Company Online")</f>
        <v>View Company Online</v>
      </c>
    </row>
    <row r="7925" spans="1:18" hidden="1" x14ac:dyDescent="0.3">
      <c r="A7925" s="15" t="s">
        <v>23151</v>
      </c>
      <c r="B7925" s="15" t="s">
        <v>11923</v>
      </c>
      <c r="C7925" s="18" t="s">
        <v>28</v>
      </c>
      <c r="D7925" s="15" t="s">
        <v>11924</v>
      </c>
      <c r="E7925" s="18" t="s">
        <v>28</v>
      </c>
      <c r="F7925" s="19" t="s">
        <v>28</v>
      </c>
      <c r="G7925" s="19" t="s">
        <v>28</v>
      </c>
      <c r="H7925" s="19" t="s">
        <v>28</v>
      </c>
      <c r="I7925" s="18" t="s">
        <v>28</v>
      </c>
      <c r="J7925" s="18" t="s">
        <v>28</v>
      </c>
      <c r="K7925" s="18" t="s">
        <v>28</v>
      </c>
      <c r="L7925" s="18" t="s">
        <v>28</v>
      </c>
      <c r="M7925" s="18" t="s">
        <v>28</v>
      </c>
      <c r="N7925" s="17">
        <v>43175</v>
      </c>
      <c r="O7925" s="15" t="s">
        <v>99</v>
      </c>
      <c r="P7925" s="16" t="s">
        <v>23152</v>
      </c>
      <c r="Q7925" s="15" t="s">
        <v>37</v>
      </c>
      <c r="R7925" s="13" t="str">
        <f>HYPERLINK("https://my.pitchbook.com?c=103947-49T","View Company Online")</f>
        <v>View Company Online</v>
      </c>
    </row>
    <row r="7926" spans="1:18" hidden="1" x14ac:dyDescent="0.3">
      <c r="A7926" s="9" t="s">
        <v>23153</v>
      </c>
      <c r="B7926" s="9" t="s">
        <v>11510</v>
      </c>
      <c r="C7926" s="11" t="s">
        <v>28</v>
      </c>
      <c r="D7926" s="9" t="s">
        <v>11511</v>
      </c>
      <c r="E7926" s="11" t="s">
        <v>28</v>
      </c>
      <c r="F7926" s="10" t="s">
        <v>28</v>
      </c>
      <c r="G7926" s="10" t="s">
        <v>28</v>
      </c>
      <c r="H7926" s="10" t="s">
        <v>28</v>
      </c>
      <c r="I7926" s="11" t="s">
        <v>28</v>
      </c>
      <c r="J7926" s="11" t="s">
        <v>28</v>
      </c>
      <c r="K7926" s="11" t="s">
        <v>28</v>
      </c>
      <c r="L7926" s="11" t="s">
        <v>28</v>
      </c>
      <c r="M7926" s="11" t="s">
        <v>28</v>
      </c>
      <c r="N7926" s="8">
        <v>43175</v>
      </c>
      <c r="O7926" s="9" t="s">
        <v>52</v>
      </c>
      <c r="P7926" s="12" t="s">
        <v>3375</v>
      </c>
      <c r="Q7926" s="9" t="s">
        <v>75</v>
      </c>
      <c r="R7926" s="14" t="str">
        <f>HYPERLINK("https://my.pitchbook.com?c=122764-06T","View Company Online")</f>
        <v>View Company Online</v>
      </c>
    </row>
    <row r="7927" spans="1:18" hidden="1" x14ac:dyDescent="0.3">
      <c r="A7927" s="15" t="s">
        <v>23154</v>
      </c>
      <c r="B7927" s="15" t="s">
        <v>23155</v>
      </c>
      <c r="C7927" s="18" t="s">
        <v>28</v>
      </c>
      <c r="D7927" s="15" t="s">
        <v>23156</v>
      </c>
      <c r="E7927" s="18" t="s">
        <v>28</v>
      </c>
      <c r="F7927" s="19" t="s">
        <v>28</v>
      </c>
      <c r="G7927" s="19" t="s">
        <v>28</v>
      </c>
      <c r="H7927" s="19" t="s">
        <v>28</v>
      </c>
      <c r="I7927" s="18" t="s">
        <v>28</v>
      </c>
      <c r="J7927" s="18" t="s">
        <v>28</v>
      </c>
      <c r="K7927" s="18" t="s">
        <v>28</v>
      </c>
      <c r="L7927" s="18" t="s">
        <v>28</v>
      </c>
      <c r="M7927" s="18" t="s">
        <v>28</v>
      </c>
      <c r="N7927" s="17">
        <v>43175</v>
      </c>
      <c r="O7927" s="15" t="s">
        <v>30</v>
      </c>
      <c r="P7927" s="16" t="s">
        <v>21347</v>
      </c>
      <c r="Q7927" s="15" t="s">
        <v>3048</v>
      </c>
      <c r="R7927" s="13" t="str">
        <f>HYPERLINK("https://my.pitchbook.com?c=102979-81T","View Company Online")</f>
        <v>View Company Online</v>
      </c>
    </row>
    <row r="7928" spans="1:18" hidden="1" x14ac:dyDescent="0.3">
      <c r="A7928" s="9" t="s">
        <v>23157</v>
      </c>
      <c r="B7928" s="9" t="s">
        <v>23104</v>
      </c>
      <c r="C7928" s="11" t="s">
        <v>28</v>
      </c>
      <c r="D7928" s="9" t="s">
        <v>23105</v>
      </c>
      <c r="E7928" s="11" t="s">
        <v>28</v>
      </c>
      <c r="F7928" s="10" t="s">
        <v>28</v>
      </c>
      <c r="G7928" s="10">
        <v>4.92</v>
      </c>
      <c r="H7928" s="10" t="s">
        <v>28</v>
      </c>
      <c r="I7928" s="11" t="s">
        <v>28</v>
      </c>
      <c r="J7928" s="11" t="s">
        <v>28</v>
      </c>
      <c r="K7928" s="11">
        <v>5.01</v>
      </c>
      <c r="L7928" s="11" t="s">
        <v>28</v>
      </c>
      <c r="M7928" s="11" t="s">
        <v>28</v>
      </c>
      <c r="N7928" s="8">
        <v>43175</v>
      </c>
      <c r="O7928" s="9" t="s">
        <v>99</v>
      </c>
      <c r="P7928" s="12" t="s">
        <v>20284</v>
      </c>
      <c r="Q7928" s="9" t="s">
        <v>692</v>
      </c>
      <c r="R7928" s="14" t="str">
        <f>HYPERLINK("https://my.pitchbook.com?c=103946-77T","View Company Online")</f>
        <v>View Company Online</v>
      </c>
    </row>
    <row r="7929" spans="1:18" hidden="1" x14ac:dyDescent="0.3">
      <c r="A7929" s="15" t="s">
        <v>23158</v>
      </c>
      <c r="B7929" s="15" t="s">
        <v>15774</v>
      </c>
      <c r="C7929" s="18" t="s">
        <v>28</v>
      </c>
      <c r="D7929" s="15" t="s">
        <v>15775</v>
      </c>
      <c r="E7929" s="18" t="s">
        <v>28</v>
      </c>
      <c r="F7929" s="19" t="s">
        <v>28</v>
      </c>
      <c r="G7929" s="19" t="s">
        <v>28</v>
      </c>
      <c r="H7929" s="19" t="s">
        <v>28</v>
      </c>
      <c r="I7929" s="18" t="s">
        <v>28</v>
      </c>
      <c r="J7929" s="18" t="s">
        <v>28</v>
      </c>
      <c r="K7929" s="18" t="s">
        <v>28</v>
      </c>
      <c r="L7929" s="18" t="s">
        <v>28</v>
      </c>
      <c r="M7929" s="18" t="s">
        <v>28</v>
      </c>
      <c r="N7929" s="17">
        <v>43175</v>
      </c>
      <c r="O7929" s="15" t="s">
        <v>99</v>
      </c>
      <c r="P7929" s="16" t="s">
        <v>23159</v>
      </c>
      <c r="Q7929" s="15" t="s">
        <v>75</v>
      </c>
      <c r="R7929" s="13" t="str">
        <f>HYPERLINK("https://my.pitchbook.com?c=103949-38T","View Company Online")</f>
        <v>View Company Online</v>
      </c>
    </row>
    <row r="7930" spans="1:18" hidden="1" x14ac:dyDescent="0.3">
      <c r="A7930" s="9" t="s">
        <v>23160</v>
      </c>
      <c r="B7930" s="9" t="s">
        <v>16627</v>
      </c>
      <c r="C7930" s="11" t="s">
        <v>28</v>
      </c>
      <c r="D7930" s="9" t="s">
        <v>16628</v>
      </c>
      <c r="E7930" s="11" t="s">
        <v>28</v>
      </c>
      <c r="F7930" s="10" t="s">
        <v>28</v>
      </c>
      <c r="G7930" s="10">
        <v>1.6</v>
      </c>
      <c r="H7930" s="10" t="s">
        <v>28</v>
      </c>
      <c r="I7930" s="11" t="s">
        <v>28</v>
      </c>
      <c r="J7930" s="11" t="s">
        <v>28</v>
      </c>
      <c r="K7930" s="11" t="s">
        <v>28</v>
      </c>
      <c r="L7930" s="11" t="s">
        <v>28</v>
      </c>
      <c r="M7930" s="11" t="s">
        <v>28</v>
      </c>
      <c r="N7930" s="8">
        <v>43175</v>
      </c>
      <c r="O7930" s="9" t="s">
        <v>79</v>
      </c>
      <c r="P7930" s="12" t="s">
        <v>23161</v>
      </c>
      <c r="Q7930" s="9" t="s">
        <v>37</v>
      </c>
      <c r="R7930" s="14" t="str">
        <f>HYPERLINK("https://my.pitchbook.com?c=106418-71T","View Company Online")</f>
        <v>View Company Online</v>
      </c>
    </row>
    <row r="7931" spans="1:18" hidden="1" x14ac:dyDescent="0.3">
      <c r="A7931" s="15" t="s">
        <v>23162</v>
      </c>
      <c r="B7931" s="15" t="s">
        <v>23163</v>
      </c>
      <c r="C7931" s="18" t="s">
        <v>28</v>
      </c>
      <c r="D7931" s="15" t="s">
        <v>23164</v>
      </c>
      <c r="E7931" s="18" t="s">
        <v>28</v>
      </c>
      <c r="F7931" s="19">
        <v>100</v>
      </c>
      <c r="G7931" s="19">
        <v>100</v>
      </c>
      <c r="H7931" s="19">
        <v>100</v>
      </c>
      <c r="I7931" s="18" t="s">
        <v>28</v>
      </c>
      <c r="J7931" s="18" t="s">
        <v>28</v>
      </c>
      <c r="K7931" s="18" t="s">
        <v>28</v>
      </c>
      <c r="L7931" s="18" t="s">
        <v>28</v>
      </c>
      <c r="M7931" s="18" t="s">
        <v>28</v>
      </c>
      <c r="N7931" s="17">
        <v>43174</v>
      </c>
      <c r="O7931" s="15" t="s">
        <v>41</v>
      </c>
      <c r="P7931" s="16" t="s">
        <v>23165</v>
      </c>
      <c r="Q7931" s="15" t="s">
        <v>1793</v>
      </c>
      <c r="R7931" s="13" t="str">
        <f>HYPERLINK("https://my.pitchbook.com?c=102872-71T","View Company Online")</f>
        <v>View Company Online</v>
      </c>
    </row>
    <row r="7932" spans="1:18" hidden="1" x14ac:dyDescent="0.3">
      <c r="A7932" s="9" t="s">
        <v>23166</v>
      </c>
      <c r="B7932" s="9" t="s">
        <v>23167</v>
      </c>
      <c r="C7932" s="11" t="s">
        <v>28</v>
      </c>
      <c r="D7932" s="9" t="s">
        <v>23168</v>
      </c>
      <c r="E7932" s="11" t="s">
        <v>28</v>
      </c>
      <c r="F7932" s="10" t="s">
        <v>28</v>
      </c>
      <c r="G7932" s="10" t="s">
        <v>28</v>
      </c>
      <c r="H7932" s="10" t="s">
        <v>28</v>
      </c>
      <c r="I7932" s="11" t="s">
        <v>28</v>
      </c>
      <c r="J7932" s="11" t="s">
        <v>28</v>
      </c>
      <c r="K7932" s="11" t="s">
        <v>28</v>
      </c>
      <c r="L7932" s="11" t="s">
        <v>28</v>
      </c>
      <c r="M7932" s="11" t="s">
        <v>28</v>
      </c>
      <c r="N7932" s="8">
        <v>43174</v>
      </c>
      <c r="O7932" s="9" t="s">
        <v>52</v>
      </c>
      <c r="P7932" s="12" t="s">
        <v>4500</v>
      </c>
      <c r="Q7932" s="9" t="s">
        <v>43</v>
      </c>
      <c r="R7932" s="14" t="str">
        <f>HYPERLINK("https://my.pitchbook.com?c=276540-22T","View Company Online")</f>
        <v>View Company Online</v>
      </c>
    </row>
    <row r="7933" spans="1:18" hidden="1" x14ac:dyDescent="0.3">
      <c r="A7933" s="15" t="s">
        <v>23169</v>
      </c>
      <c r="B7933" s="15" t="s">
        <v>23170</v>
      </c>
      <c r="C7933" s="18" t="s">
        <v>28</v>
      </c>
      <c r="D7933" s="15" t="s">
        <v>23171</v>
      </c>
      <c r="E7933" s="18" t="s">
        <v>28</v>
      </c>
      <c r="F7933" s="19" t="s">
        <v>28</v>
      </c>
      <c r="G7933" s="19" t="s">
        <v>28</v>
      </c>
      <c r="H7933" s="19" t="s">
        <v>28</v>
      </c>
      <c r="I7933" s="18" t="s">
        <v>28</v>
      </c>
      <c r="J7933" s="18" t="s">
        <v>28</v>
      </c>
      <c r="K7933" s="18" t="s">
        <v>28</v>
      </c>
      <c r="L7933" s="18" t="s">
        <v>28</v>
      </c>
      <c r="M7933" s="18" t="s">
        <v>28</v>
      </c>
      <c r="N7933" s="17">
        <v>43174</v>
      </c>
      <c r="O7933" s="15" t="s">
        <v>52</v>
      </c>
      <c r="P7933" s="16" t="s">
        <v>4500</v>
      </c>
      <c r="Q7933" s="15" t="s">
        <v>43</v>
      </c>
      <c r="R7933" s="13" t="str">
        <f>HYPERLINK("https://my.pitchbook.com?c=276682-33T","View Company Online")</f>
        <v>View Company Online</v>
      </c>
    </row>
    <row r="7934" spans="1:18" hidden="1" x14ac:dyDescent="0.3">
      <c r="A7934" s="9" t="s">
        <v>23172</v>
      </c>
      <c r="B7934" s="9" t="s">
        <v>12503</v>
      </c>
      <c r="C7934" s="11" t="s">
        <v>28</v>
      </c>
      <c r="D7934" s="9" t="s">
        <v>12504</v>
      </c>
      <c r="E7934" s="11" t="s">
        <v>28</v>
      </c>
      <c r="F7934" s="10" t="s">
        <v>28</v>
      </c>
      <c r="G7934" s="10" t="s">
        <v>28</v>
      </c>
      <c r="H7934" s="10" t="s">
        <v>28</v>
      </c>
      <c r="I7934" s="11" t="s">
        <v>28</v>
      </c>
      <c r="J7934" s="11" t="s">
        <v>28</v>
      </c>
      <c r="K7934" s="11" t="s">
        <v>28</v>
      </c>
      <c r="L7934" s="11" t="s">
        <v>28</v>
      </c>
      <c r="M7934" s="11" t="s">
        <v>28</v>
      </c>
      <c r="N7934" s="8">
        <v>43174</v>
      </c>
      <c r="O7934" s="9" t="s">
        <v>79</v>
      </c>
      <c r="P7934" s="12" t="s">
        <v>23173</v>
      </c>
      <c r="Q7934" s="9" t="s">
        <v>114</v>
      </c>
      <c r="R7934" s="14" t="str">
        <f>HYPERLINK("https://my.pitchbook.com?c=107516-62T","View Company Online")</f>
        <v>View Company Online</v>
      </c>
    </row>
    <row r="7935" spans="1:18" hidden="1" x14ac:dyDescent="0.3">
      <c r="A7935" s="15" t="s">
        <v>23174</v>
      </c>
      <c r="B7935" s="15" t="s">
        <v>20772</v>
      </c>
      <c r="C7935" s="18" t="s">
        <v>28</v>
      </c>
      <c r="D7935" s="15" t="s">
        <v>20773</v>
      </c>
      <c r="E7935" s="18" t="s">
        <v>28</v>
      </c>
      <c r="F7935" s="19" t="s">
        <v>28</v>
      </c>
      <c r="G7935" s="19" t="s">
        <v>28</v>
      </c>
      <c r="H7935" s="19" t="s">
        <v>28</v>
      </c>
      <c r="I7935" s="18" t="s">
        <v>28</v>
      </c>
      <c r="J7935" s="18" t="s">
        <v>28</v>
      </c>
      <c r="K7935" s="18" t="s">
        <v>28</v>
      </c>
      <c r="L7935" s="18" t="s">
        <v>28</v>
      </c>
      <c r="M7935" s="18" t="s">
        <v>28</v>
      </c>
      <c r="N7935" s="17">
        <v>43173</v>
      </c>
      <c r="O7935" s="15" t="s">
        <v>52</v>
      </c>
      <c r="P7935" s="16" t="s">
        <v>10628</v>
      </c>
      <c r="Q7935" s="15" t="s">
        <v>188</v>
      </c>
      <c r="R7935" s="13" t="str">
        <f>HYPERLINK("https://my.pitchbook.com?c=104746-69T","View Company Online")</f>
        <v>View Company Online</v>
      </c>
    </row>
    <row r="7936" spans="1:18" hidden="1" x14ac:dyDescent="0.3">
      <c r="A7936" s="9" t="s">
        <v>23175</v>
      </c>
      <c r="B7936" s="9" t="s">
        <v>10659</v>
      </c>
      <c r="C7936" s="11" t="s">
        <v>28</v>
      </c>
      <c r="D7936" s="9" t="s">
        <v>10660</v>
      </c>
      <c r="E7936" s="11" t="s">
        <v>28</v>
      </c>
      <c r="F7936" s="10">
        <v>67.66</v>
      </c>
      <c r="G7936" s="10">
        <v>67.66</v>
      </c>
      <c r="H7936" s="10">
        <v>67.66</v>
      </c>
      <c r="I7936" s="11" t="s">
        <v>28</v>
      </c>
      <c r="J7936" s="11" t="s">
        <v>28</v>
      </c>
      <c r="K7936" s="11" t="s">
        <v>28</v>
      </c>
      <c r="L7936" s="11" t="s">
        <v>28</v>
      </c>
      <c r="M7936" s="11" t="s">
        <v>28</v>
      </c>
      <c r="N7936" s="8">
        <v>43171</v>
      </c>
      <c r="O7936" s="9" t="s">
        <v>30</v>
      </c>
      <c r="P7936" s="12" t="s">
        <v>23176</v>
      </c>
      <c r="Q7936" s="9" t="s">
        <v>136</v>
      </c>
      <c r="R7936" s="14" t="str">
        <f>HYPERLINK("https://my.pitchbook.com?c=242396-11T","View Company Online")</f>
        <v>View Company Online</v>
      </c>
    </row>
    <row r="7937" spans="1:18" hidden="1" x14ac:dyDescent="0.3">
      <c r="A7937" s="15" t="s">
        <v>23177</v>
      </c>
      <c r="B7937" s="15" t="s">
        <v>977</v>
      </c>
      <c r="C7937" s="18" t="s">
        <v>28</v>
      </c>
      <c r="D7937" s="15" t="s">
        <v>978</v>
      </c>
      <c r="E7937" s="18" t="s">
        <v>28</v>
      </c>
      <c r="F7937" s="19" t="s">
        <v>28</v>
      </c>
      <c r="G7937" s="19" t="s">
        <v>28</v>
      </c>
      <c r="H7937" s="19" t="s">
        <v>28</v>
      </c>
      <c r="I7937" s="18" t="s">
        <v>28</v>
      </c>
      <c r="J7937" s="18" t="s">
        <v>28</v>
      </c>
      <c r="K7937" s="18">
        <v>250</v>
      </c>
      <c r="L7937" s="18" t="s">
        <v>28</v>
      </c>
      <c r="M7937" s="18" t="s">
        <v>28</v>
      </c>
      <c r="N7937" s="17">
        <v>43171</v>
      </c>
      <c r="O7937" s="15" t="s">
        <v>41</v>
      </c>
      <c r="P7937" s="16" t="s">
        <v>9864</v>
      </c>
      <c r="Q7937" s="15" t="s">
        <v>105</v>
      </c>
      <c r="R7937" s="13" t="str">
        <f>HYPERLINK("https://my.pitchbook.com?c=96646-06T","View Company Online")</f>
        <v>View Company Online</v>
      </c>
    </row>
    <row r="7938" spans="1:18" hidden="1" x14ac:dyDescent="0.3">
      <c r="A7938" s="9" t="s">
        <v>23178</v>
      </c>
      <c r="B7938" s="9" t="s">
        <v>23179</v>
      </c>
      <c r="C7938" s="11" t="s">
        <v>28</v>
      </c>
      <c r="D7938" s="9" t="s">
        <v>23180</v>
      </c>
      <c r="E7938" s="11" t="s">
        <v>28</v>
      </c>
      <c r="F7938" s="10">
        <v>13.84</v>
      </c>
      <c r="G7938" s="10">
        <v>13.84</v>
      </c>
      <c r="H7938" s="10">
        <v>13.84</v>
      </c>
      <c r="I7938" s="11" t="s">
        <v>28</v>
      </c>
      <c r="J7938" s="11" t="s">
        <v>28</v>
      </c>
      <c r="K7938" s="11" t="s">
        <v>28</v>
      </c>
      <c r="L7938" s="11" t="s">
        <v>28</v>
      </c>
      <c r="M7938" s="11" t="s">
        <v>28</v>
      </c>
      <c r="N7938" s="8">
        <v>43171</v>
      </c>
      <c r="O7938" s="9" t="s">
        <v>30</v>
      </c>
      <c r="P7938" s="12" t="s">
        <v>23181</v>
      </c>
      <c r="Q7938" s="9" t="s">
        <v>362</v>
      </c>
      <c r="R7938" s="14" t="str">
        <f>HYPERLINK("https://my.pitchbook.com?c=117416-62T","View Company Online")</f>
        <v>View Company Online</v>
      </c>
    </row>
    <row r="7939" spans="1:18" hidden="1" x14ac:dyDescent="0.3">
      <c r="A7939" s="15" t="s">
        <v>23182</v>
      </c>
      <c r="B7939" s="15" t="s">
        <v>23183</v>
      </c>
      <c r="C7939" s="18" t="s">
        <v>28</v>
      </c>
      <c r="D7939" s="15" t="s">
        <v>23184</v>
      </c>
      <c r="E7939" s="18" t="s">
        <v>28</v>
      </c>
      <c r="F7939" s="19">
        <v>2.15</v>
      </c>
      <c r="G7939" s="19">
        <v>2.15</v>
      </c>
      <c r="H7939" s="19">
        <v>2.15</v>
      </c>
      <c r="I7939" s="18" t="s">
        <v>28</v>
      </c>
      <c r="J7939" s="18" t="s">
        <v>28</v>
      </c>
      <c r="K7939" s="18" t="s">
        <v>28</v>
      </c>
      <c r="L7939" s="18" t="s">
        <v>28</v>
      </c>
      <c r="M7939" s="18" t="s">
        <v>28</v>
      </c>
      <c r="N7939" s="17">
        <v>43168</v>
      </c>
      <c r="O7939" s="15" t="s">
        <v>30</v>
      </c>
      <c r="P7939" s="16" t="s">
        <v>14401</v>
      </c>
      <c r="Q7939" s="15" t="s">
        <v>114</v>
      </c>
      <c r="R7939" s="13" t="str">
        <f>HYPERLINK("https://my.pitchbook.com?c=256449-88T","View Company Online")</f>
        <v>View Company Online</v>
      </c>
    </row>
    <row r="7940" spans="1:18" hidden="1" x14ac:dyDescent="0.3">
      <c r="A7940" s="9" t="s">
        <v>23185</v>
      </c>
      <c r="B7940" s="9" t="s">
        <v>23186</v>
      </c>
      <c r="C7940" s="11" t="s">
        <v>28</v>
      </c>
      <c r="D7940" s="9" t="s">
        <v>23187</v>
      </c>
      <c r="E7940" s="11">
        <v>0.5</v>
      </c>
      <c r="F7940" s="10" t="s">
        <v>28</v>
      </c>
      <c r="G7940" s="10" t="s">
        <v>28</v>
      </c>
      <c r="H7940" s="10" t="s">
        <v>28</v>
      </c>
      <c r="I7940" s="11">
        <v>0.5</v>
      </c>
      <c r="J7940" s="11" t="s">
        <v>28</v>
      </c>
      <c r="K7940" s="11">
        <v>0.88</v>
      </c>
      <c r="L7940" s="11" t="s">
        <v>28</v>
      </c>
      <c r="M7940" s="11">
        <v>0.5</v>
      </c>
      <c r="N7940" s="8">
        <v>43167</v>
      </c>
      <c r="O7940" s="9" t="s">
        <v>173</v>
      </c>
      <c r="P7940" s="12" t="s">
        <v>28</v>
      </c>
      <c r="Q7940" s="9" t="s">
        <v>240</v>
      </c>
      <c r="R7940" s="14" t="str">
        <f>HYPERLINK("https://my.pitchbook.com?c=224606-98T","View Company Online")</f>
        <v>View Company Online</v>
      </c>
    </row>
    <row r="7941" spans="1:18" hidden="1" x14ac:dyDescent="0.3">
      <c r="A7941" s="15" t="s">
        <v>23188</v>
      </c>
      <c r="B7941" s="15" t="s">
        <v>1855</v>
      </c>
      <c r="C7941" s="18" t="s">
        <v>28</v>
      </c>
      <c r="D7941" s="15" t="s">
        <v>1856</v>
      </c>
      <c r="E7941" s="18" t="s">
        <v>28</v>
      </c>
      <c r="F7941" s="19" t="s">
        <v>28</v>
      </c>
      <c r="G7941" s="19">
        <v>1.5</v>
      </c>
      <c r="H7941" s="19" t="s">
        <v>28</v>
      </c>
      <c r="I7941" s="18" t="s">
        <v>28</v>
      </c>
      <c r="J7941" s="18" t="s">
        <v>28</v>
      </c>
      <c r="K7941" s="18" t="s">
        <v>28</v>
      </c>
      <c r="L7941" s="18" t="s">
        <v>28</v>
      </c>
      <c r="M7941" s="18" t="s">
        <v>28</v>
      </c>
      <c r="N7941" s="17">
        <v>43167</v>
      </c>
      <c r="O7941" s="15" t="s">
        <v>99</v>
      </c>
      <c r="P7941" s="16" t="s">
        <v>23189</v>
      </c>
      <c r="Q7941" s="15" t="s">
        <v>37</v>
      </c>
      <c r="R7941" s="13" t="str">
        <f>HYPERLINK("https://my.pitchbook.com?c=108181-00T","View Company Online")</f>
        <v>View Company Online</v>
      </c>
    </row>
    <row r="7942" spans="1:18" hidden="1" x14ac:dyDescent="0.3">
      <c r="A7942" s="9" t="s">
        <v>23190</v>
      </c>
      <c r="B7942" s="9" t="s">
        <v>20848</v>
      </c>
      <c r="C7942" s="11" t="s">
        <v>28</v>
      </c>
      <c r="D7942" s="9" t="s">
        <v>20849</v>
      </c>
      <c r="E7942" s="11" t="s">
        <v>28</v>
      </c>
      <c r="F7942" s="10" t="s">
        <v>28</v>
      </c>
      <c r="G7942" s="10" t="s">
        <v>28</v>
      </c>
      <c r="H7942" s="10" t="s">
        <v>28</v>
      </c>
      <c r="I7942" s="11" t="s">
        <v>28</v>
      </c>
      <c r="J7942" s="11" t="s">
        <v>28</v>
      </c>
      <c r="K7942" s="11" t="s">
        <v>28</v>
      </c>
      <c r="L7942" s="11" t="s">
        <v>28</v>
      </c>
      <c r="M7942" s="11" t="s">
        <v>28</v>
      </c>
      <c r="N7942" s="8">
        <v>43166</v>
      </c>
      <c r="O7942" s="9" t="s">
        <v>52</v>
      </c>
      <c r="P7942" s="12" t="s">
        <v>22757</v>
      </c>
      <c r="Q7942" s="9" t="s">
        <v>75</v>
      </c>
      <c r="R7942" s="14" t="str">
        <f>HYPERLINK("https://my.pitchbook.com?c=139170-70T","View Company Online")</f>
        <v>View Company Online</v>
      </c>
    </row>
    <row r="7943" spans="1:18" hidden="1" x14ac:dyDescent="0.3">
      <c r="A7943" s="15" t="s">
        <v>23191</v>
      </c>
      <c r="B7943" s="15" t="s">
        <v>19860</v>
      </c>
      <c r="C7943" s="18" t="s">
        <v>28</v>
      </c>
      <c r="D7943" s="15" t="s">
        <v>19861</v>
      </c>
      <c r="E7943" s="18" t="s">
        <v>28</v>
      </c>
      <c r="F7943" s="19" t="s">
        <v>28</v>
      </c>
      <c r="G7943" s="19">
        <v>0.06</v>
      </c>
      <c r="H7943" s="19" t="s">
        <v>28</v>
      </c>
      <c r="I7943" s="18" t="s">
        <v>28</v>
      </c>
      <c r="J7943" s="18" t="s">
        <v>28</v>
      </c>
      <c r="K7943" s="18" t="s">
        <v>28</v>
      </c>
      <c r="L7943" s="18" t="s">
        <v>28</v>
      </c>
      <c r="M7943" s="18" t="s">
        <v>28</v>
      </c>
      <c r="N7943" s="17">
        <v>43166</v>
      </c>
      <c r="O7943" s="15" t="s">
        <v>52</v>
      </c>
      <c r="P7943" s="16" t="s">
        <v>23192</v>
      </c>
      <c r="Q7943" s="15" t="s">
        <v>5347</v>
      </c>
      <c r="R7943" s="13" t="str">
        <f>HYPERLINK("https://my.pitchbook.com?c=123132-79T","View Company Online")</f>
        <v>View Company Online</v>
      </c>
    </row>
    <row r="7944" spans="1:18" hidden="1" x14ac:dyDescent="0.3">
      <c r="A7944" s="9" t="s">
        <v>23193</v>
      </c>
      <c r="B7944" s="9" t="s">
        <v>19293</v>
      </c>
      <c r="C7944" s="11" t="s">
        <v>28</v>
      </c>
      <c r="D7944" s="9" t="s">
        <v>19294</v>
      </c>
      <c r="E7944" s="11" t="s">
        <v>28</v>
      </c>
      <c r="F7944" s="10" t="s">
        <v>28</v>
      </c>
      <c r="G7944" s="10">
        <v>0.4</v>
      </c>
      <c r="H7944" s="10" t="s">
        <v>28</v>
      </c>
      <c r="I7944" s="11" t="s">
        <v>28</v>
      </c>
      <c r="J7944" s="11" t="s">
        <v>28</v>
      </c>
      <c r="K7944" s="11" t="s">
        <v>28</v>
      </c>
      <c r="L7944" s="11" t="s">
        <v>28</v>
      </c>
      <c r="M7944" s="11" t="s">
        <v>28</v>
      </c>
      <c r="N7944" s="8">
        <v>43166</v>
      </c>
      <c r="O7944" s="9" t="s">
        <v>99</v>
      </c>
      <c r="P7944" s="12" t="s">
        <v>23194</v>
      </c>
      <c r="Q7944" s="9" t="s">
        <v>10313</v>
      </c>
      <c r="R7944" s="14" t="str">
        <f>HYPERLINK("https://my.pitchbook.com?c=110067-94T","View Company Online")</f>
        <v>View Company Online</v>
      </c>
    </row>
    <row r="7945" spans="1:18" hidden="1" x14ac:dyDescent="0.3">
      <c r="A7945" s="15" t="s">
        <v>23195</v>
      </c>
      <c r="B7945" s="15" t="s">
        <v>22838</v>
      </c>
      <c r="C7945" s="18" t="s">
        <v>28</v>
      </c>
      <c r="D7945" s="15" t="s">
        <v>22839</v>
      </c>
      <c r="E7945" s="18" t="s">
        <v>28</v>
      </c>
      <c r="F7945" s="19" t="s">
        <v>28</v>
      </c>
      <c r="G7945" s="19">
        <v>0.06</v>
      </c>
      <c r="H7945" s="19" t="s">
        <v>28</v>
      </c>
      <c r="I7945" s="18" t="s">
        <v>28</v>
      </c>
      <c r="J7945" s="18" t="s">
        <v>28</v>
      </c>
      <c r="K7945" s="18" t="s">
        <v>28</v>
      </c>
      <c r="L7945" s="18" t="s">
        <v>28</v>
      </c>
      <c r="M7945" s="18" t="s">
        <v>28</v>
      </c>
      <c r="N7945" s="17">
        <v>43166</v>
      </c>
      <c r="O7945" s="15" t="s">
        <v>52</v>
      </c>
      <c r="P7945" s="16" t="s">
        <v>23196</v>
      </c>
      <c r="Q7945" s="15" t="s">
        <v>75</v>
      </c>
      <c r="R7945" s="13" t="str">
        <f>HYPERLINK("https://my.pitchbook.com?c=123132-43T","View Company Online")</f>
        <v>View Company Online</v>
      </c>
    </row>
    <row r="7946" spans="1:18" hidden="1" x14ac:dyDescent="0.3">
      <c r="A7946" s="9" t="s">
        <v>23197</v>
      </c>
      <c r="B7946" s="9" t="s">
        <v>23198</v>
      </c>
      <c r="C7946" s="11" t="s">
        <v>28</v>
      </c>
      <c r="D7946" s="9" t="s">
        <v>23199</v>
      </c>
      <c r="E7946" s="11" t="s">
        <v>28</v>
      </c>
      <c r="F7946" s="10" t="s">
        <v>28</v>
      </c>
      <c r="G7946" s="10" t="s">
        <v>28</v>
      </c>
      <c r="H7946" s="10" t="s">
        <v>28</v>
      </c>
      <c r="I7946" s="11" t="s">
        <v>28</v>
      </c>
      <c r="J7946" s="11" t="s">
        <v>28</v>
      </c>
      <c r="K7946" s="11" t="s">
        <v>28</v>
      </c>
      <c r="L7946" s="11" t="s">
        <v>28</v>
      </c>
      <c r="M7946" s="11" t="s">
        <v>28</v>
      </c>
      <c r="N7946" s="8">
        <v>43165</v>
      </c>
      <c r="O7946" s="9" t="s">
        <v>41</v>
      </c>
      <c r="P7946" s="12" t="s">
        <v>23200</v>
      </c>
      <c r="Q7946" s="9" t="s">
        <v>3912</v>
      </c>
      <c r="R7946" s="14" t="str">
        <f>HYPERLINK("https://my.pitchbook.com?c=102783-70T","View Company Online")</f>
        <v>View Company Online</v>
      </c>
    </row>
    <row r="7947" spans="1:18" hidden="1" x14ac:dyDescent="0.3">
      <c r="A7947" s="15" t="s">
        <v>23201</v>
      </c>
      <c r="B7947" s="15" t="s">
        <v>7535</v>
      </c>
      <c r="C7947" s="18" t="s">
        <v>28</v>
      </c>
      <c r="D7947" s="15" t="s">
        <v>7536</v>
      </c>
      <c r="E7947" s="18" t="s">
        <v>28</v>
      </c>
      <c r="F7947" s="19" t="s">
        <v>28</v>
      </c>
      <c r="G7947" s="19">
        <v>16.989999999999998</v>
      </c>
      <c r="H7947" s="19" t="s">
        <v>28</v>
      </c>
      <c r="I7947" s="18" t="s">
        <v>28</v>
      </c>
      <c r="J7947" s="18" t="s">
        <v>28</v>
      </c>
      <c r="K7947" s="18" t="s">
        <v>28</v>
      </c>
      <c r="L7947" s="18" t="s">
        <v>28</v>
      </c>
      <c r="M7947" s="18" t="s">
        <v>28</v>
      </c>
      <c r="N7947" s="17">
        <v>43165</v>
      </c>
      <c r="O7947" s="15" t="s">
        <v>79</v>
      </c>
      <c r="P7947" s="16" t="s">
        <v>23202</v>
      </c>
      <c r="Q7947" s="15" t="s">
        <v>43</v>
      </c>
      <c r="R7947" s="13" t="str">
        <f>HYPERLINK("https://my.pitchbook.com?c=99752-68T","View Company Online")</f>
        <v>View Company Online</v>
      </c>
    </row>
    <row r="7948" spans="1:18" hidden="1" x14ac:dyDescent="0.3">
      <c r="A7948" s="9" t="s">
        <v>23203</v>
      </c>
      <c r="B7948" s="9" t="s">
        <v>5329</v>
      </c>
      <c r="C7948" s="11" t="s">
        <v>28</v>
      </c>
      <c r="D7948" s="9" t="s">
        <v>5330</v>
      </c>
      <c r="E7948" s="11">
        <v>-2.2200000000000002</v>
      </c>
      <c r="F7948" s="10" t="s">
        <v>28</v>
      </c>
      <c r="G7948" s="10" t="s">
        <v>28</v>
      </c>
      <c r="H7948" s="10" t="s">
        <v>28</v>
      </c>
      <c r="I7948" s="11">
        <v>0.1</v>
      </c>
      <c r="J7948" s="11" t="s">
        <v>28</v>
      </c>
      <c r="K7948" s="11">
        <v>94.13</v>
      </c>
      <c r="L7948" s="11" t="s">
        <v>28</v>
      </c>
      <c r="M7948" s="11">
        <v>-4.6900000000000004</v>
      </c>
      <c r="N7948" s="8">
        <v>43164</v>
      </c>
      <c r="O7948" s="9" t="s">
        <v>159</v>
      </c>
      <c r="P7948" s="12" t="s">
        <v>5331</v>
      </c>
      <c r="Q7948" s="9" t="s">
        <v>136</v>
      </c>
      <c r="R7948" s="14" t="str">
        <f>HYPERLINK("https://my.pitchbook.com?c=102328-03T","View Company Online")</f>
        <v>View Company Online</v>
      </c>
    </row>
    <row r="7949" spans="1:18" hidden="1" x14ac:dyDescent="0.3">
      <c r="A7949" s="15" t="s">
        <v>23204</v>
      </c>
      <c r="B7949" s="15" t="s">
        <v>23205</v>
      </c>
      <c r="C7949" s="18" t="s">
        <v>28</v>
      </c>
      <c r="D7949" s="15" t="s">
        <v>23206</v>
      </c>
      <c r="E7949" s="18" t="s">
        <v>28</v>
      </c>
      <c r="F7949" s="19" t="s">
        <v>28</v>
      </c>
      <c r="G7949" s="19" t="s">
        <v>28</v>
      </c>
      <c r="H7949" s="19" t="s">
        <v>28</v>
      </c>
      <c r="I7949" s="18" t="s">
        <v>28</v>
      </c>
      <c r="J7949" s="18" t="s">
        <v>28</v>
      </c>
      <c r="K7949" s="18" t="s">
        <v>28</v>
      </c>
      <c r="L7949" s="18" t="s">
        <v>28</v>
      </c>
      <c r="M7949" s="18" t="s">
        <v>28</v>
      </c>
      <c r="N7949" s="17">
        <v>43164</v>
      </c>
      <c r="O7949" s="15" t="s">
        <v>99</v>
      </c>
      <c r="P7949" s="16" t="s">
        <v>17245</v>
      </c>
      <c r="Q7949" s="15" t="s">
        <v>75</v>
      </c>
      <c r="R7949" s="13" t="str">
        <f>HYPERLINK("https://my.pitchbook.com?c=113739-67T","View Company Online")</f>
        <v>View Company Online</v>
      </c>
    </row>
    <row r="7950" spans="1:18" hidden="1" x14ac:dyDescent="0.3">
      <c r="A7950" s="9" t="s">
        <v>23207</v>
      </c>
      <c r="B7950" s="9" t="s">
        <v>23208</v>
      </c>
      <c r="C7950" s="11" t="s">
        <v>28</v>
      </c>
      <c r="D7950" s="9" t="s">
        <v>23209</v>
      </c>
      <c r="E7950" s="11" t="s">
        <v>28</v>
      </c>
      <c r="F7950" s="10" t="s">
        <v>28</v>
      </c>
      <c r="G7950" s="10" t="s">
        <v>28</v>
      </c>
      <c r="H7950" s="10" t="s">
        <v>28</v>
      </c>
      <c r="I7950" s="11" t="s">
        <v>28</v>
      </c>
      <c r="J7950" s="11" t="s">
        <v>28</v>
      </c>
      <c r="K7950" s="11" t="s">
        <v>28</v>
      </c>
      <c r="L7950" s="11" t="s">
        <v>28</v>
      </c>
      <c r="M7950" s="11" t="s">
        <v>28</v>
      </c>
      <c r="N7950" s="8">
        <v>43162</v>
      </c>
      <c r="O7950" s="9" t="s">
        <v>30</v>
      </c>
      <c r="P7950" s="12" t="s">
        <v>28</v>
      </c>
      <c r="Q7950" s="9" t="s">
        <v>616</v>
      </c>
      <c r="R7950" s="14" t="str">
        <f>HYPERLINK("https://my.pitchbook.com?c=110881-81T","View Company Online")</f>
        <v>View Company Online</v>
      </c>
    </row>
    <row r="7951" spans="1:18" hidden="1" x14ac:dyDescent="0.3">
      <c r="A7951" s="15" t="s">
        <v>23210</v>
      </c>
      <c r="B7951" s="15" t="s">
        <v>23211</v>
      </c>
      <c r="C7951" s="18" t="s">
        <v>28</v>
      </c>
      <c r="D7951" s="15" t="s">
        <v>23212</v>
      </c>
      <c r="E7951" s="18" t="s">
        <v>28</v>
      </c>
      <c r="F7951" s="19">
        <v>304.04000000000002</v>
      </c>
      <c r="G7951" s="19">
        <v>151.11000000000001</v>
      </c>
      <c r="H7951" s="19">
        <v>304.04000000000002</v>
      </c>
      <c r="I7951" s="18" t="s">
        <v>28</v>
      </c>
      <c r="J7951" s="18" t="s">
        <v>28</v>
      </c>
      <c r="K7951" s="18" t="s">
        <v>28</v>
      </c>
      <c r="L7951" s="18" t="s">
        <v>28</v>
      </c>
      <c r="M7951" s="18" t="s">
        <v>28</v>
      </c>
      <c r="N7951" s="17">
        <v>43162</v>
      </c>
      <c r="O7951" s="15" t="s">
        <v>30</v>
      </c>
      <c r="P7951" s="16" t="s">
        <v>23213</v>
      </c>
      <c r="Q7951" s="15" t="s">
        <v>959</v>
      </c>
      <c r="R7951" s="13" t="str">
        <f>HYPERLINK("https://my.pitchbook.com?c=99362-71T","View Company Online")</f>
        <v>View Company Online</v>
      </c>
    </row>
    <row r="7952" spans="1:18" hidden="1" x14ac:dyDescent="0.3">
      <c r="A7952" s="9" t="s">
        <v>23214</v>
      </c>
      <c r="B7952" s="9" t="s">
        <v>23215</v>
      </c>
      <c r="C7952" s="11" t="s">
        <v>28</v>
      </c>
      <c r="D7952" s="9" t="s">
        <v>23216</v>
      </c>
      <c r="E7952" s="11" t="s">
        <v>28</v>
      </c>
      <c r="F7952" s="10" t="s">
        <v>28</v>
      </c>
      <c r="G7952" s="10" t="s">
        <v>28</v>
      </c>
      <c r="H7952" s="10" t="s">
        <v>28</v>
      </c>
      <c r="I7952" s="11" t="s">
        <v>28</v>
      </c>
      <c r="J7952" s="11" t="s">
        <v>28</v>
      </c>
      <c r="K7952" s="11" t="s">
        <v>28</v>
      </c>
      <c r="L7952" s="11" t="s">
        <v>28</v>
      </c>
      <c r="M7952" s="11" t="s">
        <v>28</v>
      </c>
      <c r="N7952" s="8">
        <v>43162</v>
      </c>
      <c r="O7952" s="9" t="s">
        <v>30</v>
      </c>
      <c r="P7952" s="12" t="s">
        <v>8562</v>
      </c>
      <c r="Q7952" s="9" t="s">
        <v>362</v>
      </c>
      <c r="R7952" s="14" t="str">
        <f>HYPERLINK("https://my.pitchbook.com?c=102623-14T","View Company Online")</f>
        <v>View Company Online</v>
      </c>
    </row>
    <row r="7953" spans="1:18" hidden="1" x14ac:dyDescent="0.3">
      <c r="A7953" s="15" t="s">
        <v>23217</v>
      </c>
      <c r="B7953" s="15" t="s">
        <v>23218</v>
      </c>
      <c r="C7953" s="18" t="s">
        <v>28</v>
      </c>
      <c r="D7953" s="15" t="s">
        <v>23219</v>
      </c>
      <c r="E7953" s="18" t="s">
        <v>28</v>
      </c>
      <c r="F7953" s="19">
        <v>380.02</v>
      </c>
      <c r="G7953" s="19">
        <v>190.01</v>
      </c>
      <c r="H7953" s="19">
        <v>380.02</v>
      </c>
      <c r="I7953" s="18" t="s">
        <v>28</v>
      </c>
      <c r="J7953" s="18" t="s">
        <v>28</v>
      </c>
      <c r="K7953" s="18" t="s">
        <v>28</v>
      </c>
      <c r="L7953" s="18" t="s">
        <v>28</v>
      </c>
      <c r="M7953" s="18" t="s">
        <v>28</v>
      </c>
      <c r="N7953" s="17">
        <v>43161</v>
      </c>
      <c r="O7953" s="15" t="s">
        <v>30</v>
      </c>
      <c r="P7953" s="16" t="s">
        <v>28</v>
      </c>
      <c r="Q7953" s="15" t="s">
        <v>226</v>
      </c>
      <c r="R7953" s="13" t="str">
        <f>HYPERLINK("https://my.pitchbook.com?c=102277-45T","View Company Online")</f>
        <v>View Company Online</v>
      </c>
    </row>
    <row r="7954" spans="1:18" hidden="1" x14ac:dyDescent="0.3">
      <c r="A7954" s="9" t="s">
        <v>23220</v>
      </c>
      <c r="B7954" s="9" t="s">
        <v>23221</v>
      </c>
      <c r="C7954" s="11" t="s">
        <v>28</v>
      </c>
      <c r="D7954" s="9" t="s">
        <v>23222</v>
      </c>
      <c r="E7954" s="11">
        <v>11.3</v>
      </c>
      <c r="F7954" s="10" t="s">
        <v>28</v>
      </c>
      <c r="G7954" s="10" t="s">
        <v>28</v>
      </c>
      <c r="H7954" s="10" t="s">
        <v>28</v>
      </c>
      <c r="I7954" s="11">
        <v>11.6</v>
      </c>
      <c r="J7954" s="11" t="s">
        <v>28</v>
      </c>
      <c r="K7954" s="11">
        <v>42.22</v>
      </c>
      <c r="L7954" s="11" t="s">
        <v>28</v>
      </c>
      <c r="M7954" s="11">
        <v>11.17</v>
      </c>
      <c r="N7954" s="8">
        <v>43161</v>
      </c>
      <c r="O7954" s="9" t="s">
        <v>173</v>
      </c>
      <c r="P7954" s="12" t="s">
        <v>28</v>
      </c>
      <c r="Q7954" s="9" t="s">
        <v>299</v>
      </c>
      <c r="R7954" s="14" t="str">
        <f>HYPERLINK("https://my.pitchbook.com?c=224573-77T","View Company Online")</f>
        <v>View Company Online</v>
      </c>
    </row>
    <row r="7955" spans="1:18" x14ac:dyDescent="0.3">
      <c r="A7955" s="15" t="s">
        <v>23223</v>
      </c>
      <c r="B7955" s="15" t="s">
        <v>23224</v>
      </c>
      <c r="C7955" s="18">
        <v>4.68</v>
      </c>
      <c r="D7955" s="15" t="s">
        <v>23225</v>
      </c>
      <c r="E7955" s="18">
        <v>4.07</v>
      </c>
      <c r="F7955" s="19">
        <v>19.04</v>
      </c>
      <c r="G7955" s="19">
        <v>19.05</v>
      </c>
      <c r="H7955" s="19">
        <v>19.05</v>
      </c>
      <c r="I7955" s="18">
        <v>4.07</v>
      </c>
      <c r="J7955" s="18">
        <v>4.68</v>
      </c>
      <c r="K7955" s="18">
        <v>0</v>
      </c>
      <c r="L7955" s="18" t="s">
        <v>28</v>
      </c>
      <c r="M7955" s="18">
        <v>-0.94</v>
      </c>
      <c r="N7955" s="17">
        <v>43161</v>
      </c>
      <c r="O7955" s="15" t="s">
        <v>30</v>
      </c>
      <c r="P7955" s="16" t="s">
        <v>23226</v>
      </c>
      <c r="Q7955" s="15" t="s">
        <v>975</v>
      </c>
      <c r="R7955" s="13" t="str">
        <f>HYPERLINK("https://my.pitchbook.com?c=98887-15T","View Company Online")</f>
        <v>View Company Online</v>
      </c>
    </row>
    <row r="7956" spans="1:18" hidden="1" x14ac:dyDescent="0.3">
      <c r="A7956" s="9" t="s">
        <v>23227</v>
      </c>
      <c r="B7956" s="9" t="s">
        <v>23228</v>
      </c>
      <c r="C7956" s="11" t="s">
        <v>28</v>
      </c>
      <c r="D7956" s="9" t="s">
        <v>23229</v>
      </c>
      <c r="E7956" s="11" t="s">
        <v>28</v>
      </c>
      <c r="F7956" s="10" t="s">
        <v>28</v>
      </c>
      <c r="G7956" s="10">
        <v>0.1</v>
      </c>
      <c r="H7956" s="10">
        <v>0.5</v>
      </c>
      <c r="I7956" s="11" t="s">
        <v>28</v>
      </c>
      <c r="J7956" s="11" t="s">
        <v>28</v>
      </c>
      <c r="K7956" s="11" t="s">
        <v>28</v>
      </c>
      <c r="L7956" s="11" t="s">
        <v>28</v>
      </c>
      <c r="M7956" s="11" t="s">
        <v>28</v>
      </c>
      <c r="N7956" s="8">
        <v>43160</v>
      </c>
      <c r="O7956" s="9" t="s">
        <v>99</v>
      </c>
      <c r="P7956" s="12" t="s">
        <v>10707</v>
      </c>
      <c r="Q7956" s="9" t="s">
        <v>75</v>
      </c>
      <c r="R7956" s="14" t="str">
        <f>HYPERLINK("https://my.pitchbook.com?c=266273-29T","View Company Online")</f>
        <v>View Company Online</v>
      </c>
    </row>
    <row r="7957" spans="1:18" hidden="1" x14ac:dyDescent="0.3">
      <c r="A7957" s="15" t="s">
        <v>23230</v>
      </c>
      <c r="B7957" s="15" t="s">
        <v>19917</v>
      </c>
      <c r="C7957" s="18" t="s">
        <v>28</v>
      </c>
      <c r="D7957" s="15" t="s">
        <v>19918</v>
      </c>
      <c r="E7957" s="18" t="s">
        <v>28</v>
      </c>
      <c r="F7957" s="19">
        <v>862.16</v>
      </c>
      <c r="G7957" s="19">
        <v>862.16</v>
      </c>
      <c r="H7957" s="19">
        <v>862.16</v>
      </c>
      <c r="I7957" s="18" t="s">
        <v>28</v>
      </c>
      <c r="J7957" s="18" t="s">
        <v>28</v>
      </c>
      <c r="K7957" s="18" t="s">
        <v>28</v>
      </c>
      <c r="L7957" s="18" t="s">
        <v>28</v>
      </c>
      <c r="M7957" s="18" t="s">
        <v>28</v>
      </c>
      <c r="N7957" s="17">
        <v>43160</v>
      </c>
      <c r="O7957" s="15" t="s">
        <v>30</v>
      </c>
      <c r="P7957" s="16" t="s">
        <v>28</v>
      </c>
      <c r="Q7957" s="15" t="s">
        <v>4901</v>
      </c>
      <c r="R7957" s="13" t="str">
        <f>HYPERLINK("https://my.pitchbook.com?c=55162-45T","View Company Online")</f>
        <v>View Company Online</v>
      </c>
    </row>
    <row r="7958" spans="1:18" hidden="1" x14ac:dyDescent="0.3">
      <c r="A7958" s="9" t="s">
        <v>23231</v>
      </c>
      <c r="B7958" s="9" t="s">
        <v>5785</v>
      </c>
      <c r="C7958" s="11" t="s">
        <v>28</v>
      </c>
      <c r="D7958" s="9" t="s">
        <v>12775</v>
      </c>
      <c r="E7958" s="11" t="s">
        <v>28</v>
      </c>
      <c r="F7958" s="10" t="s">
        <v>28</v>
      </c>
      <c r="G7958" s="10">
        <v>150</v>
      </c>
      <c r="H7958" s="10">
        <v>2000</v>
      </c>
      <c r="I7958" s="11" t="s">
        <v>28</v>
      </c>
      <c r="J7958" s="11" t="s">
        <v>28</v>
      </c>
      <c r="K7958" s="11">
        <v>170.5</v>
      </c>
      <c r="L7958" s="11">
        <v>11.73</v>
      </c>
      <c r="M7958" s="11">
        <v>-32.1</v>
      </c>
      <c r="N7958" s="8">
        <v>43160</v>
      </c>
      <c r="O7958" s="9" t="s">
        <v>79</v>
      </c>
      <c r="P7958" s="12" t="s">
        <v>23232</v>
      </c>
      <c r="Q7958" s="9" t="s">
        <v>1213</v>
      </c>
      <c r="R7958" s="14" t="str">
        <f>HYPERLINK("https://my.pitchbook.com?c=102211-30T","View Company Online")</f>
        <v>View Company Online</v>
      </c>
    </row>
    <row r="7959" spans="1:18" hidden="1" x14ac:dyDescent="0.3">
      <c r="A7959" s="15" t="s">
        <v>23233</v>
      </c>
      <c r="B7959" s="15" t="s">
        <v>966</v>
      </c>
      <c r="C7959" s="18" t="s">
        <v>28</v>
      </c>
      <c r="D7959" s="15" t="s">
        <v>18709</v>
      </c>
      <c r="E7959" s="18" t="s">
        <v>28</v>
      </c>
      <c r="F7959" s="19" t="s">
        <v>28</v>
      </c>
      <c r="G7959" s="19" t="s">
        <v>28</v>
      </c>
      <c r="H7959" s="19" t="s">
        <v>28</v>
      </c>
      <c r="I7959" s="18" t="s">
        <v>28</v>
      </c>
      <c r="J7959" s="18" t="s">
        <v>28</v>
      </c>
      <c r="K7959" s="18" t="s">
        <v>28</v>
      </c>
      <c r="L7959" s="18" t="s">
        <v>28</v>
      </c>
      <c r="M7959" s="18" t="s">
        <v>28</v>
      </c>
      <c r="N7959" s="17">
        <v>43160</v>
      </c>
      <c r="O7959" s="15" t="s">
        <v>52</v>
      </c>
      <c r="P7959" s="16" t="s">
        <v>23234</v>
      </c>
      <c r="Q7959" s="15" t="s">
        <v>75</v>
      </c>
      <c r="R7959" s="13" t="str">
        <f>HYPERLINK("https://my.pitchbook.com?c=137276-38T","View Company Online")</f>
        <v>View Company Online</v>
      </c>
    </row>
    <row r="7960" spans="1:18" hidden="1" x14ac:dyDescent="0.3">
      <c r="A7960" s="9" t="s">
        <v>23235</v>
      </c>
      <c r="B7960" s="9" t="s">
        <v>23236</v>
      </c>
      <c r="C7960" s="11" t="s">
        <v>28</v>
      </c>
      <c r="D7960" s="9" t="s">
        <v>28</v>
      </c>
      <c r="E7960" s="11" t="s">
        <v>28</v>
      </c>
      <c r="F7960" s="10" t="s">
        <v>28</v>
      </c>
      <c r="G7960" s="10" t="s">
        <v>28</v>
      </c>
      <c r="H7960" s="10" t="s">
        <v>28</v>
      </c>
      <c r="I7960" s="11" t="s">
        <v>28</v>
      </c>
      <c r="J7960" s="11" t="s">
        <v>28</v>
      </c>
      <c r="K7960" s="11" t="s">
        <v>28</v>
      </c>
      <c r="L7960" s="11" t="s">
        <v>28</v>
      </c>
      <c r="M7960" s="11" t="s">
        <v>28</v>
      </c>
      <c r="N7960" s="8">
        <v>43160</v>
      </c>
      <c r="O7960" s="9" t="s">
        <v>30</v>
      </c>
      <c r="P7960" s="12" t="s">
        <v>9793</v>
      </c>
      <c r="Q7960" s="9" t="s">
        <v>75</v>
      </c>
      <c r="R7960" s="14" t="str">
        <f>HYPERLINK("https://my.pitchbook.com?c=216302-05T","View Company Online")</f>
        <v>View Company Online</v>
      </c>
    </row>
    <row r="7961" spans="1:18" hidden="1" x14ac:dyDescent="0.3">
      <c r="A7961" s="15" t="s">
        <v>23237</v>
      </c>
      <c r="B7961" s="15" t="s">
        <v>2606</v>
      </c>
      <c r="C7961" s="18" t="s">
        <v>28</v>
      </c>
      <c r="D7961" s="15" t="s">
        <v>2607</v>
      </c>
      <c r="E7961" s="18" t="s">
        <v>28</v>
      </c>
      <c r="F7961" s="19" t="s">
        <v>28</v>
      </c>
      <c r="G7961" s="19">
        <v>1.54</v>
      </c>
      <c r="H7961" s="19" t="s">
        <v>28</v>
      </c>
      <c r="I7961" s="18" t="s">
        <v>28</v>
      </c>
      <c r="J7961" s="18" t="s">
        <v>28</v>
      </c>
      <c r="K7961" s="18" t="s">
        <v>28</v>
      </c>
      <c r="L7961" s="18" t="s">
        <v>28</v>
      </c>
      <c r="M7961" s="18" t="s">
        <v>28</v>
      </c>
      <c r="N7961" s="17">
        <v>43160</v>
      </c>
      <c r="O7961" s="15" t="s">
        <v>79</v>
      </c>
      <c r="P7961" s="16" t="s">
        <v>23238</v>
      </c>
      <c r="Q7961" s="15" t="s">
        <v>75</v>
      </c>
      <c r="R7961" s="13" t="str">
        <f>HYPERLINK("https://my.pitchbook.com?c=166820-59T","View Company Online")</f>
        <v>View Company Online</v>
      </c>
    </row>
    <row r="7962" spans="1:18" hidden="1" x14ac:dyDescent="0.3">
      <c r="A7962" s="9" t="s">
        <v>23239</v>
      </c>
      <c r="B7962" s="9" t="s">
        <v>23240</v>
      </c>
      <c r="C7962" s="11" t="s">
        <v>28</v>
      </c>
      <c r="D7962" s="9" t="s">
        <v>23241</v>
      </c>
      <c r="E7962" s="11" t="s">
        <v>28</v>
      </c>
      <c r="F7962" s="10" t="s">
        <v>28</v>
      </c>
      <c r="G7962" s="10" t="s">
        <v>28</v>
      </c>
      <c r="H7962" s="10" t="s">
        <v>28</v>
      </c>
      <c r="I7962" s="11" t="s">
        <v>28</v>
      </c>
      <c r="J7962" s="11" t="s">
        <v>28</v>
      </c>
      <c r="K7962" s="11" t="s">
        <v>28</v>
      </c>
      <c r="L7962" s="11" t="s">
        <v>28</v>
      </c>
      <c r="M7962" s="11" t="s">
        <v>28</v>
      </c>
      <c r="N7962" s="8">
        <v>43160</v>
      </c>
      <c r="O7962" s="9" t="s">
        <v>99</v>
      </c>
      <c r="P7962" s="12" t="s">
        <v>611</v>
      </c>
      <c r="Q7962" s="9" t="s">
        <v>75</v>
      </c>
      <c r="R7962" s="14" t="str">
        <f>HYPERLINK("https://my.pitchbook.com?c=119986-75T","View Company Online")</f>
        <v>View Company Online</v>
      </c>
    </row>
    <row r="7963" spans="1:18" hidden="1" x14ac:dyDescent="0.3">
      <c r="A7963" s="15" t="s">
        <v>23242</v>
      </c>
      <c r="B7963" s="15" t="s">
        <v>4659</v>
      </c>
      <c r="C7963" s="18" t="s">
        <v>28</v>
      </c>
      <c r="D7963" s="15" t="s">
        <v>4660</v>
      </c>
      <c r="E7963" s="18" t="s">
        <v>28</v>
      </c>
      <c r="F7963" s="19" t="s">
        <v>28</v>
      </c>
      <c r="G7963" s="19">
        <v>0.02</v>
      </c>
      <c r="H7963" s="19" t="s">
        <v>28</v>
      </c>
      <c r="I7963" s="18" t="s">
        <v>28</v>
      </c>
      <c r="J7963" s="18" t="s">
        <v>28</v>
      </c>
      <c r="K7963" s="18" t="s">
        <v>28</v>
      </c>
      <c r="L7963" s="18" t="s">
        <v>28</v>
      </c>
      <c r="M7963" s="18" t="s">
        <v>28</v>
      </c>
      <c r="N7963" s="17">
        <v>43160</v>
      </c>
      <c r="O7963" s="15" t="s">
        <v>9098</v>
      </c>
      <c r="P7963" s="16" t="s">
        <v>28</v>
      </c>
      <c r="Q7963" s="15" t="s">
        <v>169</v>
      </c>
      <c r="R7963" s="13" t="str">
        <f>HYPERLINK("https://my.pitchbook.com?c=165236-23T","View Company Online")</f>
        <v>View Company Online</v>
      </c>
    </row>
    <row r="7964" spans="1:18" hidden="1" x14ac:dyDescent="0.3">
      <c r="A7964" s="9" t="s">
        <v>23243</v>
      </c>
      <c r="B7964" s="9" t="s">
        <v>23244</v>
      </c>
      <c r="C7964" s="11" t="s">
        <v>28</v>
      </c>
      <c r="D7964" s="9" t="s">
        <v>23245</v>
      </c>
      <c r="E7964" s="11" t="s">
        <v>28</v>
      </c>
      <c r="F7964" s="10">
        <v>13.38</v>
      </c>
      <c r="G7964" s="10">
        <v>13.38</v>
      </c>
      <c r="H7964" s="10">
        <v>13.38</v>
      </c>
      <c r="I7964" s="11" t="s">
        <v>28</v>
      </c>
      <c r="J7964" s="11" t="s">
        <v>28</v>
      </c>
      <c r="K7964" s="11" t="s">
        <v>28</v>
      </c>
      <c r="L7964" s="11" t="s">
        <v>28</v>
      </c>
      <c r="M7964" s="11" t="s">
        <v>28</v>
      </c>
      <c r="N7964" s="8">
        <v>43160</v>
      </c>
      <c r="O7964" s="9" t="s">
        <v>41</v>
      </c>
      <c r="P7964" s="12" t="s">
        <v>23146</v>
      </c>
      <c r="Q7964" s="9" t="s">
        <v>5347</v>
      </c>
      <c r="R7964" s="14" t="str">
        <f>HYPERLINK("https://my.pitchbook.com?c=104703-76T","View Company Online")</f>
        <v>View Company Online</v>
      </c>
    </row>
    <row r="7965" spans="1:18" hidden="1" x14ac:dyDescent="0.3">
      <c r="A7965" s="15" t="s">
        <v>23246</v>
      </c>
      <c r="B7965" s="15" t="s">
        <v>23247</v>
      </c>
      <c r="C7965" s="18" t="s">
        <v>28</v>
      </c>
      <c r="D7965" s="15" t="s">
        <v>23248</v>
      </c>
      <c r="E7965" s="18" t="s">
        <v>28</v>
      </c>
      <c r="F7965" s="19" t="s">
        <v>28</v>
      </c>
      <c r="G7965" s="19" t="s">
        <v>28</v>
      </c>
      <c r="H7965" s="19" t="s">
        <v>28</v>
      </c>
      <c r="I7965" s="18" t="s">
        <v>28</v>
      </c>
      <c r="J7965" s="18" t="s">
        <v>28</v>
      </c>
      <c r="K7965" s="18" t="s">
        <v>28</v>
      </c>
      <c r="L7965" s="18" t="s">
        <v>28</v>
      </c>
      <c r="M7965" s="18" t="s">
        <v>28</v>
      </c>
      <c r="N7965" s="17">
        <v>43160</v>
      </c>
      <c r="O7965" s="15" t="s">
        <v>93</v>
      </c>
      <c r="P7965" s="16" t="s">
        <v>23249</v>
      </c>
      <c r="Q7965" s="15" t="s">
        <v>268</v>
      </c>
      <c r="R7965" s="13" t="str">
        <f>HYPERLINK("https://my.pitchbook.com?c=278763-67T","View Company Online")</f>
        <v>View Company Online</v>
      </c>
    </row>
    <row r="7966" spans="1:18" hidden="1" x14ac:dyDescent="0.3">
      <c r="A7966" s="9" t="s">
        <v>23250</v>
      </c>
      <c r="B7966" s="9" t="s">
        <v>23251</v>
      </c>
      <c r="C7966" s="11" t="s">
        <v>28</v>
      </c>
      <c r="D7966" s="9" t="s">
        <v>23252</v>
      </c>
      <c r="E7966" s="11" t="s">
        <v>28</v>
      </c>
      <c r="F7966" s="10" t="s">
        <v>28</v>
      </c>
      <c r="G7966" s="10" t="s">
        <v>28</v>
      </c>
      <c r="H7966" s="10" t="s">
        <v>28</v>
      </c>
      <c r="I7966" s="11" t="s">
        <v>28</v>
      </c>
      <c r="J7966" s="11" t="s">
        <v>28</v>
      </c>
      <c r="K7966" s="11" t="s">
        <v>28</v>
      </c>
      <c r="L7966" s="11" t="s">
        <v>28</v>
      </c>
      <c r="M7966" s="11" t="s">
        <v>28</v>
      </c>
      <c r="N7966" s="8">
        <v>43160</v>
      </c>
      <c r="O7966" s="9" t="s">
        <v>30</v>
      </c>
      <c r="P7966" s="12" t="s">
        <v>23253</v>
      </c>
      <c r="Q7966" s="9" t="s">
        <v>160</v>
      </c>
      <c r="R7966" s="14" t="str">
        <f>HYPERLINK("https://my.pitchbook.com?c=102253-78T","View Company Online")</f>
        <v>View Company Online</v>
      </c>
    </row>
    <row r="7967" spans="1:18" hidden="1" x14ac:dyDescent="0.3">
      <c r="A7967" s="15" t="s">
        <v>23254</v>
      </c>
      <c r="B7967" s="15" t="s">
        <v>23255</v>
      </c>
      <c r="C7967" s="18" t="s">
        <v>28</v>
      </c>
      <c r="D7967" s="15" t="s">
        <v>23256</v>
      </c>
      <c r="E7967" s="18" t="s">
        <v>28</v>
      </c>
      <c r="F7967" s="19" t="s">
        <v>28</v>
      </c>
      <c r="G7967" s="19" t="s">
        <v>28</v>
      </c>
      <c r="H7967" s="19" t="s">
        <v>28</v>
      </c>
      <c r="I7967" s="18" t="s">
        <v>28</v>
      </c>
      <c r="J7967" s="18" t="s">
        <v>28</v>
      </c>
      <c r="K7967" s="18" t="s">
        <v>28</v>
      </c>
      <c r="L7967" s="18" t="s">
        <v>28</v>
      </c>
      <c r="M7967" s="18" t="s">
        <v>28</v>
      </c>
      <c r="N7967" s="17">
        <v>43159</v>
      </c>
      <c r="O7967" s="15" t="s">
        <v>30</v>
      </c>
      <c r="P7967" s="16" t="s">
        <v>23257</v>
      </c>
      <c r="Q7967" s="15" t="s">
        <v>3912</v>
      </c>
      <c r="R7967" s="13" t="str">
        <f>HYPERLINK("https://my.pitchbook.com?c=104597-47T","View Company Online")</f>
        <v>View Company Online</v>
      </c>
    </row>
    <row r="7968" spans="1:18" hidden="1" x14ac:dyDescent="0.3">
      <c r="A7968" s="9" t="s">
        <v>23258</v>
      </c>
      <c r="B7968" s="9" t="s">
        <v>23259</v>
      </c>
      <c r="C7968" s="11" t="s">
        <v>28</v>
      </c>
      <c r="D7968" s="9" t="s">
        <v>23260</v>
      </c>
      <c r="E7968" s="11" t="s">
        <v>28</v>
      </c>
      <c r="F7968" s="10" t="s">
        <v>28</v>
      </c>
      <c r="G7968" s="10" t="s">
        <v>28</v>
      </c>
      <c r="H7968" s="10" t="s">
        <v>28</v>
      </c>
      <c r="I7968" s="11" t="s">
        <v>28</v>
      </c>
      <c r="J7968" s="11" t="s">
        <v>28</v>
      </c>
      <c r="K7968" s="11" t="s">
        <v>28</v>
      </c>
      <c r="L7968" s="11" t="s">
        <v>28</v>
      </c>
      <c r="M7968" s="11" t="s">
        <v>28</v>
      </c>
      <c r="N7968" s="8">
        <v>43159</v>
      </c>
      <c r="O7968" s="9" t="s">
        <v>173</v>
      </c>
      <c r="P7968" s="12" t="s">
        <v>28</v>
      </c>
      <c r="Q7968" s="9" t="s">
        <v>174</v>
      </c>
      <c r="R7968" s="14" t="str">
        <f>HYPERLINK("https://my.pitchbook.com?c=224373-07T","View Company Online")</f>
        <v>View Company Online</v>
      </c>
    </row>
    <row r="7969" spans="1:18" hidden="1" x14ac:dyDescent="0.3">
      <c r="A7969" s="15" t="s">
        <v>23261</v>
      </c>
      <c r="B7969" s="15" t="s">
        <v>12924</v>
      </c>
      <c r="C7969" s="18" t="s">
        <v>28</v>
      </c>
      <c r="D7969" s="15" t="s">
        <v>12925</v>
      </c>
      <c r="E7969" s="18" t="s">
        <v>28</v>
      </c>
      <c r="F7969" s="19" t="s">
        <v>28</v>
      </c>
      <c r="G7969" s="19" t="s">
        <v>28</v>
      </c>
      <c r="H7969" s="19" t="s">
        <v>28</v>
      </c>
      <c r="I7969" s="18" t="s">
        <v>28</v>
      </c>
      <c r="J7969" s="18" t="s">
        <v>28</v>
      </c>
      <c r="K7969" s="18" t="s">
        <v>28</v>
      </c>
      <c r="L7969" s="18" t="s">
        <v>28</v>
      </c>
      <c r="M7969" s="18" t="s">
        <v>28</v>
      </c>
      <c r="N7969" s="17">
        <v>43159</v>
      </c>
      <c r="O7969" s="15" t="s">
        <v>52</v>
      </c>
      <c r="P7969" s="16" t="s">
        <v>8495</v>
      </c>
      <c r="Q7969" s="15" t="s">
        <v>37</v>
      </c>
      <c r="R7969" s="13" t="str">
        <f>HYPERLINK("https://my.pitchbook.com?c=284238-64T","View Company Online")</f>
        <v>View Company Online</v>
      </c>
    </row>
    <row r="7970" spans="1:18" hidden="1" x14ac:dyDescent="0.3">
      <c r="A7970" s="9" t="s">
        <v>23262</v>
      </c>
      <c r="B7970" s="9" t="s">
        <v>23263</v>
      </c>
      <c r="C7970" s="11" t="s">
        <v>28</v>
      </c>
      <c r="D7970" s="9" t="s">
        <v>23264</v>
      </c>
      <c r="E7970" s="11" t="s">
        <v>28</v>
      </c>
      <c r="F7970" s="10" t="s">
        <v>28</v>
      </c>
      <c r="G7970" s="10" t="s">
        <v>28</v>
      </c>
      <c r="H7970" s="10" t="s">
        <v>28</v>
      </c>
      <c r="I7970" s="11" t="s">
        <v>28</v>
      </c>
      <c r="J7970" s="11" t="s">
        <v>28</v>
      </c>
      <c r="K7970" s="11" t="s">
        <v>28</v>
      </c>
      <c r="L7970" s="11" t="s">
        <v>28</v>
      </c>
      <c r="M7970" s="11" t="s">
        <v>28</v>
      </c>
      <c r="N7970" s="8">
        <v>43157</v>
      </c>
      <c r="O7970" s="9" t="s">
        <v>30</v>
      </c>
      <c r="P7970" s="12" t="s">
        <v>23265</v>
      </c>
      <c r="Q7970" s="9" t="s">
        <v>1527</v>
      </c>
      <c r="R7970" s="14" t="str">
        <f>HYPERLINK("https://my.pitchbook.com?c=102151-90T","View Company Online")</f>
        <v>View Company Online</v>
      </c>
    </row>
    <row r="7971" spans="1:18" x14ac:dyDescent="0.3">
      <c r="A7971" s="15" t="s">
        <v>23266</v>
      </c>
      <c r="B7971" s="15" t="s">
        <v>2368</v>
      </c>
      <c r="C7971" s="18" t="s">
        <v>28</v>
      </c>
      <c r="D7971" s="15" t="s">
        <v>23267</v>
      </c>
      <c r="E7971" s="18">
        <v>-274.33</v>
      </c>
      <c r="F7971" s="19">
        <v>771.61</v>
      </c>
      <c r="G7971" s="19">
        <v>494.83</v>
      </c>
      <c r="H7971" s="19">
        <v>779.26</v>
      </c>
      <c r="I7971" s="18">
        <v>-270.52</v>
      </c>
      <c r="J7971" s="18">
        <v>-2.88</v>
      </c>
      <c r="K7971" s="18">
        <v>229.68</v>
      </c>
      <c r="L7971" s="18">
        <v>3.39</v>
      </c>
      <c r="M7971" s="18">
        <v>-356.54</v>
      </c>
      <c r="N7971" s="17">
        <v>43155</v>
      </c>
      <c r="O7971" s="15" t="s">
        <v>41</v>
      </c>
      <c r="P7971" s="16" t="s">
        <v>28</v>
      </c>
      <c r="Q7971" s="15" t="s">
        <v>226</v>
      </c>
      <c r="R7971" s="13" t="str">
        <f>HYPERLINK("https://my.pitchbook.com?c=85856-23T","View Company Online")</f>
        <v>View Company Online</v>
      </c>
    </row>
    <row r="7972" spans="1:18" hidden="1" x14ac:dyDescent="0.3">
      <c r="A7972" s="9" t="s">
        <v>23268</v>
      </c>
      <c r="B7972" s="9" t="s">
        <v>23269</v>
      </c>
      <c r="C7972" s="11" t="s">
        <v>28</v>
      </c>
      <c r="D7972" s="9" t="s">
        <v>23270</v>
      </c>
      <c r="E7972" s="11" t="s">
        <v>28</v>
      </c>
      <c r="F7972" s="10" t="s">
        <v>28</v>
      </c>
      <c r="G7972" s="10" t="s">
        <v>28</v>
      </c>
      <c r="H7972" s="10" t="s">
        <v>28</v>
      </c>
      <c r="I7972" s="11" t="s">
        <v>28</v>
      </c>
      <c r="J7972" s="11" t="s">
        <v>28</v>
      </c>
      <c r="K7972" s="11" t="s">
        <v>28</v>
      </c>
      <c r="L7972" s="11" t="s">
        <v>28</v>
      </c>
      <c r="M7972" s="11" t="s">
        <v>28</v>
      </c>
      <c r="N7972" s="8">
        <v>43154</v>
      </c>
      <c r="O7972" s="9" t="s">
        <v>30</v>
      </c>
      <c r="P7972" s="12" t="s">
        <v>23271</v>
      </c>
      <c r="Q7972" s="9" t="s">
        <v>362</v>
      </c>
      <c r="R7972" s="14" t="str">
        <f>HYPERLINK("https://my.pitchbook.com?c=106407-73T","View Company Online")</f>
        <v>View Company Online</v>
      </c>
    </row>
    <row r="7973" spans="1:18" hidden="1" x14ac:dyDescent="0.3">
      <c r="A7973" s="15" t="s">
        <v>23272</v>
      </c>
      <c r="B7973" s="15" t="s">
        <v>12420</v>
      </c>
      <c r="C7973" s="18" t="s">
        <v>28</v>
      </c>
      <c r="D7973" s="15" t="s">
        <v>12421</v>
      </c>
      <c r="E7973" s="18" t="s">
        <v>28</v>
      </c>
      <c r="F7973" s="19" t="s">
        <v>28</v>
      </c>
      <c r="G7973" s="19">
        <v>21.7</v>
      </c>
      <c r="H7973" s="19" t="s">
        <v>28</v>
      </c>
      <c r="I7973" s="18" t="s">
        <v>28</v>
      </c>
      <c r="J7973" s="18" t="s">
        <v>28</v>
      </c>
      <c r="K7973" s="18" t="s">
        <v>28</v>
      </c>
      <c r="L7973" s="18" t="s">
        <v>28</v>
      </c>
      <c r="M7973" s="18" t="s">
        <v>28</v>
      </c>
      <c r="N7973" s="17">
        <v>43153</v>
      </c>
      <c r="O7973" s="15" t="s">
        <v>79</v>
      </c>
      <c r="P7973" s="16" t="s">
        <v>23273</v>
      </c>
      <c r="Q7973" s="15" t="s">
        <v>37</v>
      </c>
      <c r="R7973" s="13" t="str">
        <f>HYPERLINK("https://my.pitchbook.com?c=101934-01T","View Company Online")</f>
        <v>View Company Online</v>
      </c>
    </row>
    <row r="7974" spans="1:18" hidden="1" x14ac:dyDescent="0.3">
      <c r="A7974" s="9" t="s">
        <v>23274</v>
      </c>
      <c r="B7974" s="9" t="s">
        <v>3335</v>
      </c>
      <c r="C7974" s="11" t="s">
        <v>28</v>
      </c>
      <c r="D7974" s="9" t="s">
        <v>3336</v>
      </c>
      <c r="E7974" s="11" t="s">
        <v>28</v>
      </c>
      <c r="F7974" s="10" t="s">
        <v>28</v>
      </c>
      <c r="G7974" s="10">
        <v>6.97</v>
      </c>
      <c r="H7974" s="10" t="s">
        <v>28</v>
      </c>
      <c r="I7974" s="11" t="s">
        <v>28</v>
      </c>
      <c r="J7974" s="11" t="s">
        <v>28</v>
      </c>
      <c r="K7974" s="11" t="s">
        <v>28</v>
      </c>
      <c r="L7974" s="11" t="s">
        <v>28</v>
      </c>
      <c r="M7974" s="11" t="s">
        <v>28</v>
      </c>
      <c r="N7974" s="8">
        <v>43153</v>
      </c>
      <c r="O7974" s="9" t="s">
        <v>79</v>
      </c>
      <c r="P7974" s="12" t="s">
        <v>23275</v>
      </c>
      <c r="Q7974" s="9" t="s">
        <v>75</v>
      </c>
      <c r="R7974" s="14" t="str">
        <f>HYPERLINK("https://my.pitchbook.com?c=102101-86T","View Company Online")</f>
        <v>View Company Online</v>
      </c>
    </row>
    <row r="7975" spans="1:18" hidden="1" x14ac:dyDescent="0.3">
      <c r="A7975" s="15" t="s">
        <v>23276</v>
      </c>
      <c r="B7975" s="15" t="s">
        <v>1988</v>
      </c>
      <c r="C7975" s="18" t="s">
        <v>28</v>
      </c>
      <c r="D7975" s="15" t="s">
        <v>1989</v>
      </c>
      <c r="E7975" s="18" t="s">
        <v>28</v>
      </c>
      <c r="F7975" s="19" t="s">
        <v>28</v>
      </c>
      <c r="G7975" s="19" t="s">
        <v>28</v>
      </c>
      <c r="H7975" s="19" t="s">
        <v>28</v>
      </c>
      <c r="I7975" s="18" t="s">
        <v>28</v>
      </c>
      <c r="J7975" s="18" t="s">
        <v>28</v>
      </c>
      <c r="K7975" s="18" t="s">
        <v>28</v>
      </c>
      <c r="L7975" s="18" t="s">
        <v>28</v>
      </c>
      <c r="M7975" s="18" t="s">
        <v>28</v>
      </c>
      <c r="N7975" s="17">
        <v>43153</v>
      </c>
      <c r="O7975" s="15" t="s">
        <v>79</v>
      </c>
      <c r="P7975" s="16" t="s">
        <v>23277</v>
      </c>
      <c r="Q7975" s="15" t="s">
        <v>75</v>
      </c>
      <c r="R7975" s="13" t="str">
        <f>HYPERLINK("https://my.pitchbook.com?c=101983-06T","View Company Online")</f>
        <v>View Company Online</v>
      </c>
    </row>
    <row r="7976" spans="1:18" hidden="1" x14ac:dyDescent="0.3">
      <c r="A7976" s="9" t="s">
        <v>23278</v>
      </c>
      <c r="B7976" s="9" t="s">
        <v>14436</v>
      </c>
      <c r="C7976" s="11" t="s">
        <v>28</v>
      </c>
      <c r="D7976" s="9" t="s">
        <v>14437</v>
      </c>
      <c r="E7976" s="11" t="s">
        <v>28</v>
      </c>
      <c r="F7976" s="10" t="s">
        <v>28</v>
      </c>
      <c r="G7976" s="10" t="s">
        <v>28</v>
      </c>
      <c r="H7976" s="10" t="s">
        <v>28</v>
      </c>
      <c r="I7976" s="11" t="s">
        <v>28</v>
      </c>
      <c r="J7976" s="11" t="s">
        <v>28</v>
      </c>
      <c r="K7976" s="11" t="s">
        <v>28</v>
      </c>
      <c r="L7976" s="11" t="s">
        <v>28</v>
      </c>
      <c r="M7976" s="11" t="s">
        <v>28</v>
      </c>
      <c r="N7976" s="8">
        <v>43153</v>
      </c>
      <c r="O7976" s="9" t="s">
        <v>173</v>
      </c>
      <c r="P7976" s="12" t="s">
        <v>28</v>
      </c>
      <c r="Q7976" s="9" t="s">
        <v>69</v>
      </c>
      <c r="R7976" s="14" t="str">
        <f>HYPERLINK("https://my.pitchbook.com?c=191817-10T","View Company Online")</f>
        <v>View Company Online</v>
      </c>
    </row>
    <row r="7977" spans="1:18" hidden="1" x14ac:dyDescent="0.3">
      <c r="A7977" s="15" t="s">
        <v>23279</v>
      </c>
      <c r="B7977" s="15" t="s">
        <v>19687</v>
      </c>
      <c r="C7977" s="18" t="s">
        <v>28</v>
      </c>
      <c r="D7977" s="15" t="s">
        <v>19688</v>
      </c>
      <c r="E7977" s="18" t="s">
        <v>28</v>
      </c>
      <c r="F7977" s="19" t="s">
        <v>28</v>
      </c>
      <c r="G7977" s="19">
        <v>0.09</v>
      </c>
      <c r="H7977" s="19" t="s">
        <v>28</v>
      </c>
      <c r="I7977" s="18" t="s">
        <v>28</v>
      </c>
      <c r="J7977" s="18" t="s">
        <v>28</v>
      </c>
      <c r="K7977" s="18" t="s">
        <v>28</v>
      </c>
      <c r="L7977" s="18" t="s">
        <v>28</v>
      </c>
      <c r="M7977" s="18" t="s">
        <v>28</v>
      </c>
      <c r="N7977" s="17">
        <v>43152</v>
      </c>
      <c r="O7977" s="15" t="s">
        <v>379</v>
      </c>
      <c r="P7977" s="16" t="s">
        <v>28</v>
      </c>
      <c r="Q7977" s="15" t="s">
        <v>75</v>
      </c>
      <c r="R7977" s="13" t="str">
        <f>HYPERLINK("https://my.pitchbook.com?c=130902-40T","View Company Online")</f>
        <v>View Company Online</v>
      </c>
    </row>
    <row r="7978" spans="1:18" hidden="1" x14ac:dyDescent="0.3">
      <c r="A7978" s="9" t="s">
        <v>23280</v>
      </c>
      <c r="B7978" s="9" t="s">
        <v>23281</v>
      </c>
      <c r="C7978" s="11" t="s">
        <v>28</v>
      </c>
      <c r="D7978" s="9" t="s">
        <v>23282</v>
      </c>
      <c r="E7978" s="11" t="s">
        <v>28</v>
      </c>
      <c r="F7978" s="10" t="s">
        <v>28</v>
      </c>
      <c r="G7978" s="10" t="s">
        <v>28</v>
      </c>
      <c r="H7978" s="10" t="s">
        <v>28</v>
      </c>
      <c r="I7978" s="11" t="s">
        <v>28</v>
      </c>
      <c r="J7978" s="11" t="s">
        <v>28</v>
      </c>
      <c r="K7978" s="11" t="s">
        <v>28</v>
      </c>
      <c r="L7978" s="11" t="s">
        <v>28</v>
      </c>
      <c r="M7978" s="11" t="s">
        <v>28</v>
      </c>
      <c r="N7978" s="8">
        <v>43152</v>
      </c>
      <c r="O7978" s="9" t="s">
        <v>52</v>
      </c>
      <c r="P7978" s="12" t="s">
        <v>11539</v>
      </c>
      <c r="Q7978" s="9" t="s">
        <v>855</v>
      </c>
      <c r="R7978" s="14" t="str">
        <f>HYPERLINK("https://my.pitchbook.com?c=126506-62T","View Company Online")</f>
        <v>View Company Online</v>
      </c>
    </row>
    <row r="7979" spans="1:18" hidden="1" x14ac:dyDescent="0.3">
      <c r="A7979" s="15" t="s">
        <v>23283</v>
      </c>
      <c r="B7979" s="15" t="s">
        <v>23284</v>
      </c>
      <c r="C7979" s="18" t="s">
        <v>28</v>
      </c>
      <c r="D7979" s="15" t="s">
        <v>23285</v>
      </c>
      <c r="E7979" s="18" t="s">
        <v>28</v>
      </c>
      <c r="F7979" s="19" t="s">
        <v>28</v>
      </c>
      <c r="G7979" s="19" t="s">
        <v>28</v>
      </c>
      <c r="H7979" s="19" t="s">
        <v>28</v>
      </c>
      <c r="I7979" s="18" t="s">
        <v>28</v>
      </c>
      <c r="J7979" s="18" t="s">
        <v>28</v>
      </c>
      <c r="K7979" s="18" t="s">
        <v>28</v>
      </c>
      <c r="L7979" s="18" t="s">
        <v>28</v>
      </c>
      <c r="M7979" s="18" t="s">
        <v>28</v>
      </c>
      <c r="N7979" s="17">
        <v>43152</v>
      </c>
      <c r="O7979" s="15" t="s">
        <v>30</v>
      </c>
      <c r="P7979" s="16" t="s">
        <v>23286</v>
      </c>
      <c r="Q7979" s="15" t="s">
        <v>4670</v>
      </c>
      <c r="R7979" s="13" t="str">
        <f>HYPERLINK("https://my.pitchbook.com?c=110988-55T","View Company Online")</f>
        <v>View Company Online</v>
      </c>
    </row>
    <row r="7980" spans="1:18" hidden="1" x14ac:dyDescent="0.3">
      <c r="A7980" s="9" t="s">
        <v>23287</v>
      </c>
      <c r="B7980" s="9" t="s">
        <v>17535</v>
      </c>
      <c r="C7980" s="11" t="s">
        <v>28</v>
      </c>
      <c r="D7980" s="9" t="s">
        <v>17536</v>
      </c>
      <c r="E7980" s="11" t="s">
        <v>28</v>
      </c>
      <c r="F7980" s="10" t="s">
        <v>28</v>
      </c>
      <c r="G7980" s="10">
        <v>2.5</v>
      </c>
      <c r="H7980" s="10" t="s">
        <v>28</v>
      </c>
      <c r="I7980" s="11" t="s">
        <v>28</v>
      </c>
      <c r="J7980" s="11" t="s">
        <v>28</v>
      </c>
      <c r="K7980" s="11" t="s">
        <v>28</v>
      </c>
      <c r="L7980" s="11" t="s">
        <v>28</v>
      </c>
      <c r="M7980" s="11" t="s">
        <v>28</v>
      </c>
      <c r="N7980" s="8">
        <v>43151</v>
      </c>
      <c r="O7980" s="9" t="s">
        <v>73</v>
      </c>
      <c r="P7980" s="12" t="s">
        <v>23288</v>
      </c>
      <c r="Q7980" s="9" t="s">
        <v>95</v>
      </c>
      <c r="R7980" s="14" t="str">
        <f>HYPERLINK("https://my.pitchbook.com?c=99742-24T","View Company Online")</f>
        <v>View Company Online</v>
      </c>
    </row>
    <row r="7981" spans="1:18" hidden="1" x14ac:dyDescent="0.3">
      <c r="A7981" s="15" t="s">
        <v>23289</v>
      </c>
      <c r="B7981" s="15" t="s">
        <v>4890</v>
      </c>
      <c r="C7981" s="18" t="s">
        <v>28</v>
      </c>
      <c r="D7981" s="15" t="s">
        <v>4891</v>
      </c>
      <c r="E7981" s="18" t="s">
        <v>28</v>
      </c>
      <c r="F7981" s="19" t="s">
        <v>28</v>
      </c>
      <c r="G7981" s="19">
        <v>2.78</v>
      </c>
      <c r="H7981" s="19" t="s">
        <v>28</v>
      </c>
      <c r="I7981" s="18" t="s">
        <v>28</v>
      </c>
      <c r="J7981" s="18" t="s">
        <v>28</v>
      </c>
      <c r="K7981" s="18" t="s">
        <v>28</v>
      </c>
      <c r="L7981" s="18" t="s">
        <v>28</v>
      </c>
      <c r="M7981" s="18" t="s">
        <v>28</v>
      </c>
      <c r="N7981" s="17">
        <v>43151</v>
      </c>
      <c r="O7981" s="15" t="s">
        <v>73</v>
      </c>
      <c r="P7981" s="16" t="s">
        <v>23290</v>
      </c>
      <c r="Q7981" s="15" t="s">
        <v>75</v>
      </c>
      <c r="R7981" s="13" t="str">
        <f>HYPERLINK("https://my.pitchbook.com?c=126059-41T","View Company Online")</f>
        <v>View Company Online</v>
      </c>
    </row>
    <row r="7982" spans="1:18" hidden="1" x14ac:dyDescent="0.3">
      <c r="A7982" s="9" t="s">
        <v>23291</v>
      </c>
      <c r="B7982" s="9" t="s">
        <v>23292</v>
      </c>
      <c r="C7982" s="11" t="s">
        <v>28</v>
      </c>
      <c r="D7982" s="9" t="s">
        <v>23293</v>
      </c>
      <c r="E7982" s="11" t="s">
        <v>28</v>
      </c>
      <c r="F7982" s="10" t="s">
        <v>28</v>
      </c>
      <c r="G7982" s="10" t="s">
        <v>28</v>
      </c>
      <c r="H7982" s="10" t="s">
        <v>28</v>
      </c>
      <c r="I7982" s="11" t="s">
        <v>28</v>
      </c>
      <c r="J7982" s="11" t="s">
        <v>28</v>
      </c>
      <c r="K7982" s="11">
        <v>37.549999999999997</v>
      </c>
      <c r="L7982" s="11" t="s">
        <v>28</v>
      </c>
      <c r="M7982" s="11" t="s">
        <v>28</v>
      </c>
      <c r="N7982" s="8">
        <v>43151</v>
      </c>
      <c r="O7982" s="9" t="s">
        <v>30</v>
      </c>
      <c r="P7982" s="12" t="s">
        <v>23294</v>
      </c>
      <c r="Q7982" s="9" t="s">
        <v>7261</v>
      </c>
      <c r="R7982" s="14" t="str">
        <f>HYPERLINK("https://my.pitchbook.com?c=105741-64T","View Company Online")</f>
        <v>View Company Online</v>
      </c>
    </row>
    <row r="7983" spans="1:18" hidden="1" x14ac:dyDescent="0.3">
      <c r="A7983" s="15" t="s">
        <v>23295</v>
      </c>
      <c r="B7983" s="15" t="s">
        <v>23296</v>
      </c>
      <c r="C7983" s="18" t="s">
        <v>28</v>
      </c>
      <c r="D7983" s="15" t="s">
        <v>23297</v>
      </c>
      <c r="E7983" s="18" t="s">
        <v>28</v>
      </c>
      <c r="F7983" s="19">
        <v>55.1</v>
      </c>
      <c r="G7983" s="19">
        <v>55.1</v>
      </c>
      <c r="H7983" s="19">
        <v>55.1</v>
      </c>
      <c r="I7983" s="18" t="s">
        <v>28</v>
      </c>
      <c r="J7983" s="18" t="s">
        <v>28</v>
      </c>
      <c r="K7983" s="18" t="s">
        <v>28</v>
      </c>
      <c r="L7983" s="18" t="s">
        <v>28</v>
      </c>
      <c r="M7983" s="18" t="s">
        <v>28</v>
      </c>
      <c r="N7983" s="17">
        <v>43150</v>
      </c>
      <c r="O7983" s="15" t="s">
        <v>30</v>
      </c>
      <c r="P7983" s="16" t="s">
        <v>23298</v>
      </c>
      <c r="Q7983" s="15" t="s">
        <v>69</v>
      </c>
      <c r="R7983" s="13" t="str">
        <f>HYPERLINK("https://my.pitchbook.com?c=101734-57T","View Company Online")</f>
        <v>View Company Online</v>
      </c>
    </row>
    <row r="7984" spans="1:18" hidden="1" x14ac:dyDescent="0.3">
      <c r="A7984" s="9" t="s">
        <v>23299</v>
      </c>
      <c r="B7984" s="9" t="s">
        <v>23300</v>
      </c>
      <c r="C7984" s="11" t="s">
        <v>28</v>
      </c>
      <c r="D7984" s="9" t="s">
        <v>23301</v>
      </c>
      <c r="E7984" s="11" t="s">
        <v>28</v>
      </c>
      <c r="F7984" s="10" t="s">
        <v>28</v>
      </c>
      <c r="G7984" s="10" t="s">
        <v>28</v>
      </c>
      <c r="H7984" s="10" t="s">
        <v>28</v>
      </c>
      <c r="I7984" s="11" t="s">
        <v>28</v>
      </c>
      <c r="J7984" s="11" t="s">
        <v>28</v>
      </c>
      <c r="K7984" s="11">
        <v>0.47</v>
      </c>
      <c r="L7984" s="11" t="s">
        <v>28</v>
      </c>
      <c r="M7984" s="11" t="s">
        <v>28</v>
      </c>
      <c r="N7984" s="8">
        <v>43147</v>
      </c>
      <c r="O7984" s="9" t="s">
        <v>52</v>
      </c>
      <c r="P7984" s="12" t="s">
        <v>8495</v>
      </c>
      <c r="Q7984" s="9" t="s">
        <v>37</v>
      </c>
      <c r="R7984" s="14" t="str">
        <f>HYPERLINK("https://my.pitchbook.com?c=165985-12T","View Company Online")</f>
        <v>View Company Online</v>
      </c>
    </row>
    <row r="7985" spans="1:18" hidden="1" x14ac:dyDescent="0.3">
      <c r="A7985" s="15" t="s">
        <v>23302</v>
      </c>
      <c r="B7985" s="15" t="s">
        <v>23303</v>
      </c>
      <c r="C7985" s="18" t="s">
        <v>28</v>
      </c>
      <c r="D7985" s="15" t="s">
        <v>23304</v>
      </c>
      <c r="E7985" s="18" t="s">
        <v>28</v>
      </c>
      <c r="F7985" s="19" t="s">
        <v>28</v>
      </c>
      <c r="G7985" s="19" t="s">
        <v>28</v>
      </c>
      <c r="H7985" s="19" t="s">
        <v>28</v>
      </c>
      <c r="I7985" s="18" t="s">
        <v>28</v>
      </c>
      <c r="J7985" s="18" t="s">
        <v>28</v>
      </c>
      <c r="K7985" s="18" t="s">
        <v>28</v>
      </c>
      <c r="L7985" s="18" t="s">
        <v>28</v>
      </c>
      <c r="M7985" s="18" t="s">
        <v>28</v>
      </c>
      <c r="N7985" s="17">
        <v>43147</v>
      </c>
      <c r="O7985" s="15" t="s">
        <v>23305</v>
      </c>
      <c r="P7985" s="16" t="s">
        <v>23306</v>
      </c>
      <c r="Q7985" s="15" t="s">
        <v>399</v>
      </c>
      <c r="R7985" s="13" t="str">
        <f>HYPERLINK("https://my.pitchbook.com?c=101653-84T","View Company Online")</f>
        <v>View Company Online</v>
      </c>
    </row>
    <row r="7986" spans="1:18" hidden="1" x14ac:dyDescent="0.3">
      <c r="A7986" s="9" t="s">
        <v>23307</v>
      </c>
      <c r="B7986" s="9" t="s">
        <v>23308</v>
      </c>
      <c r="C7986" s="11" t="s">
        <v>28</v>
      </c>
      <c r="D7986" s="9" t="s">
        <v>23309</v>
      </c>
      <c r="E7986" s="11" t="s">
        <v>28</v>
      </c>
      <c r="F7986" s="10" t="s">
        <v>28</v>
      </c>
      <c r="G7986" s="10" t="s">
        <v>28</v>
      </c>
      <c r="H7986" s="10" t="s">
        <v>28</v>
      </c>
      <c r="I7986" s="11" t="s">
        <v>28</v>
      </c>
      <c r="J7986" s="11" t="s">
        <v>28</v>
      </c>
      <c r="K7986" s="11">
        <v>16.350000000000001</v>
      </c>
      <c r="L7986" s="11" t="s">
        <v>28</v>
      </c>
      <c r="M7986" s="11" t="s">
        <v>28</v>
      </c>
      <c r="N7986" s="8">
        <v>43146</v>
      </c>
      <c r="O7986" s="9" t="s">
        <v>30</v>
      </c>
      <c r="P7986" s="12" t="s">
        <v>23310</v>
      </c>
      <c r="Q7986" s="9" t="s">
        <v>316</v>
      </c>
      <c r="R7986" s="14" t="str">
        <f>HYPERLINK("https://my.pitchbook.com?c=102487-15T","View Company Online")</f>
        <v>View Company Online</v>
      </c>
    </row>
    <row r="7987" spans="1:18" hidden="1" x14ac:dyDescent="0.3">
      <c r="A7987" s="15" t="s">
        <v>23311</v>
      </c>
      <c r="B7987" s="15" t="s">
        <v>23312</v>
      </c>
      <c r="C7987" s="18" t="s">
        <v>28</v>
      </c>
      <c r="D7987" s="15" t="s">
        <v>23313</v>
      </c>
      <c r="E7987" s="18" t="s">
        <v>28</v>
      </c>
      <c r="F7987" s="19" t="s">
        <v>28</v>
      </c>
      <c r="G7987" s="19" t="s">
        <v>28</v>
      </c>
      <c r="H7987" s="19" t="s">
        <v>28</v>
      </c>
      <c r="I7987" s="18" t="s">
        <v>28</v>
      </c>
      <c r="J7987" s="18" t="s">
        <v>28</v>
      </c>
      <c r="K7987" s="18" t="s">
        <v>28</v>
      </c>
      <c r="L7987" s="18" t="s">
        <v>28</v>
      </c>
      <c r="M7987" s="18" t="s">
        <v>28</v>
      </c>
      <c r="N7987" s="17">
        <v>43146</v>
      </c>
      <c r="O7987" s="15" t="s">
        <v>30</v>
      </c>
      <c r="P7987" s="16" t="s">
        <v>23314</v>
      </c>
      <c r="Q7987" s="15" t="s">
        <v>5347</v>
      </c>
      <c r="R7987" s="13" t="str">
        <f>HYPERLINK("https://my.pitchbook.com?c=101531-35T","View Company Online")</f>
        <v>View Company Online</v>
      </c>
    </row>
    <row r="7988" spans="1:18" hidden="1" x14ac:dyDescent="0.3">
      <c r="A7988" s="9" t="s">
        <v>23315</v>
      </c>
      <c r="B7988" s="9" t="s">
        <v>16681</v>
      </c>
      <c r="C7988" s="11" t="s">
        <v>28</v>
      </c>
      <c r="D7988" s="9" t="s">
        <v>19777</v>
      </c>
      <c r="E7988" s="11" t="s">
        <v>28</v>
      </c>
      <c r="F7988" s="10" t="s">
        <v>28</v>
      </c>
      <c r="G7988" s="10" t="s">
        <v>28</v>
      </c>
      <c r="H7988" s="10" t="s">
        <v>28</v>
      </c>
      <c r="I7988" s="11" t="s">
        <v>28</v>
      </c>
      <c r="J7988" s="11" t="s">
        <v>28</v>
      </c>
      <c r="K7988" s="11" t="s">
        <v>28</v>
      </c>
      <c r="L7988" s="11" t="s">
        <v>28</v>
      </c>
      <c r="M7988" s="11" t="s">
        <v>28</v>
      </c>
      <c r="N7988" s="8">
        <v>43146</v>
      </c>
      <c r="O7988" s="9" t="s">
        <v>79</v>
      </c>
      <c r="P7988" s="12" t="s">
        <v>23316</v>
      </c>
      <c r="Q7988" s="9" t="s">
        <v>566</v>
      </c>
      <c r="R7988" s="14" t="str">
        <f>HYPERLINK("https://my.pitchbook.com?c=100430-11T","View Company Online")</f>
        <v>View Company Online</v>
      </c>
    </row>
    <row r="7989" spans="1:18" hidden="1" x14ac:dyDescent="0.3">
      <c r="A7989" s="15" t="s">
        <v>23317</v>
      </c>
      <c r="B7989" s="15" t="s">
        <v>23318</v>
      </c>
      <c r="C7989" s="18" t="s">
        <v>28</v>
      </c>
      <c r="D7989" s="15" t="s">
        <v>23319</v>
      </c>
      <c r="E7989" s="18" t="s">
        <v>28</v>
      </c>
      <c r="F7989" s="19" t="s">
        <v>28</v>
      </c>
      <c r="G7989" s="19" t="s">
        <v>28</v>
      </c>
      <c r="H7989" s="19" t="s">
        <v>28</v>
      </c>
      <c r="I7989" s="18" t="s">
        <v>28</v>
      </c>
      <c r="J7989" s="18" t="s">
        <v>28</v>
      </c>
      <c r="K7989" s="18" t="s">
        <v>28</v>
      </c>
      <c r="L7989" s="18" t="s">
        <v>28</v>
      </c>
      <c r="M7989" s="18">
        <v>-17.309999999999999</v>
      </c>
      <c r="N7989" s="17">
        <v>43146</v>
      </c>
      <c r="O7989" s="15" t="s">
        <v>30</v>
      </c>
      <c r="P7989" s="16" t="s">
        <v>28</v>
      </c>
      <c r="Q7989" s="15" t="s">
        <v>607</v>
      </c>
      <c r="R7989" s="13" t="str">
        <f>HYPERLINK("https://my.pitchbook.com?c=109016-38T","View Company Online")</f>
        <v>View Company Online</v>
      </c>
    </row>
    <row r="7990" spans="1:18" hidden="1" x14ac:dyDescent="0.3">
      <c r="A7990" s="9" t="s">
        <v>23320</v>
      </c>
      <c r="B7990" s="9" t="s">
        <v>23321</v>
      </c>
      <c r="C7990" s="11" t="s">
        <v>28</v>
      </c>
      <c r="D7990" s="9" t="s">
        <v>23322</v>
      </c>
      <c r="E7990" s="11" t="s">
        <v>28</v>
      </c>
      <c r="F7990" s="10" t="s">
        <v>28</v>
      </c>
      <c r="G7990" s="10" t="s">
        <v>28</v>
      </c>
      <c r="H7990" s="10" t="s">
        <v>28</v>
      </c>
      <c r="I7990" s="11" t="s">
        <v>28</v>
      </c>
      <c r="J7990" s="11" t="s">
        <v>28</v>
      </c>
      <c r="K7990" s="11" t="s">
        <v>28</v>
      </c>
      <c r="L7990" s="11" t="s">
        <v>28</v>
      </c>
      <c r="M7990" s="11" t="s">
        <v>28</v>
      </c>
      <c r="N7990" s="8">
        <v>43146</v>
      </c>
      <c r="O7990" s="9" t="s">
        <v>58</v>
      </c>
      <c r="P7990" s="12" t="s">
        <v>23323</v>
      </c>
      <c r="Q7990" s="9" t="s">
        <v>75</v>
      </c>
      <c r="R7990" s="14" t="str">
        <f>HYPERLINK("https://my.pitchbook.com?c=134687-26T","View Company Online")</f>
        <v>View Company Online</v>
      </c>
    </row>
    <row r="7991" spans="1:18" hidden="1" x14ac:dyDescent="0.3">
      <c r="A7991" s="15" t="s">
        <v>23324</v>
      </c>
      <c r="B7991" s="15" t="s">
        <v>23325</v>
      </c>
      <c r="C7991" s="18" t="s">
        <v>28</v>
      </c>
      <c r="D7991" s="15" t="s">
        <v>23326</v>
      </c>
      <c r="E7991" s="18" t="s">
        <v>28</v>
      </c>
      <c r="F7991" s="19" t="s">
        <v>28</v>
      </c>
      <c r="G7991" s="19">
        <v>4.5199999999999996</v>
      </c>
      <c r="H7991" s="19" t="s">
        <v>28</v>
      </c>
      <c r="I7991" s="18" t="s">
        <v>28</v>
      </c>
      <c r="J7991" s="18" t="s">
        <v>28</v>
      </c>
      <c r="K7991" s="18" t="s">
        <v>28</v>
      </c>
      <c r="L7991" s="18" t="s">
        <v>28</v>
      </c>
      <c r="M7991" s="18" t="s">
        <v>28</v>
      </c>
      <c r="N7991" s="17">
        <v>43146</v>
      </c>
      <c r="O7991" s="15" t="s">
        <v>79</v>
      </c>
      <c r="P7991" s="16" t="s">
        <v>23327</v>
      </c>
      <c r="Q7991" s="15" t="s">
        <v>740</v>
      </c>
      <c r="R7991" s="13" t="str">
        <f>HYPERLINK("https://my.pitchbook.com?c=251163-01T","View Company Online")</f>
        <v>View Company Online</v>
      </c>
    </row>
    <row r="7992" spans="1:18" hidden="1" x14ac:dyDescent="0.3">
      <c r="A7992" s="9" t="s">
        <v>23328</v>
      </c>
      <c r="B7992" s="9" t="s">
        <v>23329</v>
      </c>
      <c r="C7992" s="11" t="s">
        <v>28</v>
      </c>
      <c r="D7992" s="9" t="s">
        <v>23330</v>
      </c>
      <c r="E7992" s="11" t="s">
        <v>28</v>
      </c>
      <c r="F7992" s="10" t="s">
        <v>28</v>
      </c>
      <c r="G7992" s="10" t="s">
        <v>28</v>
      </c>
      <c r="H7992" s="10" t="s">
        <v>28</v>
      </c>
      <c r="I7992" s="11" t="s">
        <v>28</v>
      </c>
      <c r="J7992" s="11" t="s">
        <v>28</v>
      </c>
      <c r="K7992" s="11" t="s">
        <v>28</v>
      </c>
      <c r="L7992" s="11" t="s">
        <v>28</v>
      </c>
      <c r="M7992" s="11" t="s">
        <v>28</v>
      </c>
      <c r="N7992" s="8">
        <v>43145</v>
      </c>
      <c r="O7992" s="9" t="s">
        <v>30</v>
      </c>
      <c r="P7992" s="12" t="s">
        <v>28</v>
      </c>
      <c r="Q7992" s="9" t="s">
        <v>1051</v>
      </c>
      <c r="R7992" s="14" t="str">
        <f>HYPERLINK("https://my.pitchbook.com?c=101517-58T","View Company Online")</f>
        <v>View Company Online</v>
      </c>
    </row>
    <row r="7993" spans="1:18" hidden="1" x14ac:dyDescent="0.3">
      <c r="A7993" s="15" t="s">
        <v>23331</v>
      </c>
      <c r="B7993" s="15" t="s">
        <v>2432</v>
      </c>
      <c r="C7993" s="18" t="s">
        <v>28</v>
      </c>
      <c r="D7993" s="15" t="s">
        <v>2433</v>
      </c>
      <c r="E7993" s="18" t="s">
        <v>28</v>
      </c>
      <c r="F7993" s="19" t="s">
        <v>28</v>
      </c>
      <c r="G7993" s="19">
        <v>0.62</v>
      </c>
      <c r="H7993" s="19" t="s">
        <v>28</v>
      </c>
      <c r="I7993" s="18" t="s">
        <v>28</v>
      </c>
      <c r="J7993" s="18" t="s">
        <v>28</v>
      </c>
      <c r="K7993" s="18" t="s">
        <v>28</v>
      </c>
      <c r="L7993" s="18" t="s">
        <v>28</v>
      </c>
      <c r="M7993" s="18" t="s">
        <v>28</v>
      </c>
      <c r="N7993" s="17">
        <v>43143</v>
      </c>
      <c r="O7993" s="15" t="s">
        <v>99</v>
      </c>
      <c r="P7993" s="16" t="s">
        <v>23332</v>
      </c>
      <c r="Q7993" s="15" t="s">
        <v>75</v>
      </c>
      <c r="R7993" s="13" t="str">
        <f>HYPERLINK("https://my.pitchbook.com?c=210578-32T","View Company Online")</f>
        <v>View Company Online</v>
      </c>
    </row>
    <row r="7994" spans="1:18" hidden="1" x14ac:dyDescent="0.3">
      <c r="A7994" s="9" t="s">
        <v>23333</v>
      </c>
      <c r="B7994" s="9" t="s">
        <v>23334</v>
      </c>
      <c r="C7994" s="11" t="s">
        <v>28</v>
      </c>
      <c r="D7994" s="9" t="s">
        <v>23335</v>
      </c>
      <c r="E7994" s="11" t="s">
        <v>28</v>
      </c>
      <c r="F7994" s="10">
        <v>104</v>
      </c>
      <c r="G7994" s="10">
        <v>104</v>
      </c>
      <c r="H7994" s="10">
        <v>104</v>
      </c>
      <c r="I7994" s="11" t="s">
        <v>28</v>
      </c>
      <c r="J7994" s="11" t="s">
        <v>28</v>
      </c>
      <c r="K7994" s="11" t="s">
        <v>28</v>
      </c>
      <c r="L7994" s="11" t="s">
        <v>28</v>
      </c>
      <c r="M7994" s="11" t="s">
        <v>28</v>
      </c>
      <c r="N7994" s="8">
        <v>43138</v>
      </c>
      <c r="O7994" s="9" t="s">
        <v>41</v>
      </c>
      <c r="P7994" s="12" t="s">
        <v>23336</v>
      </c>
      <c r="Q7994" s="9" t="s">
        <v>43</v>
      </c>
      <c r="R7994" s="14" t="str">
        <f>HYPERLINK("https://my.pitchbook.com?c=101356-75T","View Company Online")</f>
        <v>View Company Online</v>
      </c>
    </row>
    <row r="7995" spans="1:18" hidden="1" x14ac:dyDescent="0.3">
      <c r="A7995" s="15" t="s">
        <v>23337</v>
      </c>
      <c r="B7995" s="15" t="s">
        <v>23338</v>
      </c>
      <c r="C7995" s="18" t="s">
        <v>28</v>
      </c>
      <c r="D7995" s="15" t="s">
        <v>23339</v>
      </c>
      <c r="E7995" s="18" t="s">
        <v>28</v>
      </c>
      <c r="F7995" s="19" t="s">
        <v>28</v>
      </c>
      <c r="G7995" s="19" t="s">
        <v>28</v>
      </c>
      <c r="H7995" s="19" t="s">
        <v>28</v>
      </c>
      <c r="I7995" s="18" t="s">
        <v>28</v>
      </c>
      <c r="J7995" s="18" t="s">
        <v>28</v>
      </c>
      <c r="K7995" s="18" t="s">
        <v>28</v>
      </c>
      <c r="L7995" s="18" t="s">
        <v>28</v>
      </c>
      <c r="M7995" s="18" t="s">
        <v>28</v>
      </c>
      <c r="N7995" s="17">
        <v>43138</v>
      </c>
      <c r="O7995" s="15" t="s">
        <v>30</v>
      </c>
      <c r="P7995" s="16" t="s">
        <v>23340</v>
      </c>
      <c r="Q7995" s="15" t="s">
        <v>900</v>
      </c>
      <c r="R7995" s="13" t="str">
        <f>HYPERLINK("https://my.pitchbook.com?c=93252-07T","View Company Online")</f>
        <v>View Company Online</v>
      </c>
    </row>
    <row r="7996" spans="1:18" hidden="1" x14ac:dyDescent="0.3">
      <c r="A7996" s="9" t="s">
        <v>23341</v>
      </c>
      <c r="B7996" s="9" t="s">
        <v>8705</v>
      </c>
      <c r="C7996" s="11" t="s">
        <v>28</v>
      </c>
      <c r="D7996" s="9" t="s">
        <v>13312</v>
      </c>
      <c r="E7996" s="11" t="s">
        <v>28</v>
      </c>
      <c r="F7996" s="10" t="s">
        <v>28</v>
      </c>
      <c r="G7996" s="10">
        <v>30</v>
      </c>
      <c r="H7996" s="10" t="s">
        <v>28</v>
      </c>
      <c r="I7996" s="11" t="s">
        <v>28</v>
      </c>
      <c r="J7996" s="11" t="s">
        <v>28</v>
      </c>
      <c r="K7996" s="11" t="s">
        <v>28</v>
      </c>
      <c r="L7996" s="11" t="s">
        <v>28</v>
      </c>
      <c r="M7996" s="11" t="s">
        <v>28</v>
      </c>
      <c r="N7996" s="8">
        <v>43137</v>
      </c>
      <c r="O7996" s="9" t="s">
        <v>93</v>
      </c>
      <c r="P7996" s="12" t="s">
        <v>23342</v>
      </c>
      <c r="Q7996" s="9" t="s">
        <v>37</v>
      </c>
      <c r="R7996" s="14" t="str">
        <f>HYPERLINK("https://my.pitchbook.com?c=100811-08T","View Company Online")</f>
        <v>View Company Online</v>
      </c>
    </row>
    <row r="7997" spans="1:18" hidden="1" x14ac:dyDescent="0.3">
      <c r="A7997" s="15" t="s">
        <v>23343</v>
      </c>
      <c r="B7997" s="15" t="s">
        <v>6284</v>
      </c>
      <c r="C7997" s="18" t="s">
        <v>28</v>
      </c>
      <c r="D7997" s="15" t="s">
        <v>6285</v>
      </c>
      <c r="E7997" s="18" t="s">
        <v>28</v>
      </c>
      <c r="F7997" s="19" t="s">
        <v>28</v>
      </c>
      <c r="G7997" s="19">
        <v>0.31</v>
      </c>
      <c r="H7997" s="19" t="s">
        <v>28</v>
      </c>
      <c r="I7997" s="18" t="s">
        <v>28</v>
      </c>
      <c r="J7997" s="18" t="s">
        <v>28</v>
      </c>
      <c r="K7997" s="18">
        <v>4.6900000000000004</v>
      </c>
      <c r="L7997" s="18" t="s">
        <v>28</v>
      </c>
      <c r="M7997" s="18" t="s">
        <v>28</v>
      </c>
      <c r="N7997" s="17">
        <v>43137</v>
      </c>
      <c r="O7997" s="15" t="s">
        <v>99</v>
      </c>
      <c r="P7997" s="16" t="s">
        <v>23344</v>
      </c>
      <c r="Q7997" s="15" t="s">
        <v>75</v>
      </c>
      <c r="R7997" s="13" t="str">
        <f>HYPERLINK("https://my.pitchbook.com?c=194845-87T","View Company Online")</f>
        <v>View Company Online</v>
      </c>
    </row>
    <row r="7998" spans="1:18" hidden="1" x14ac:dyDescent="0.3">
      <c r="A7998" s="9" t="s">
        <v>23345</v>
      </c>
      <c r="B7998" s="9" t="s">
        <v>4207</v>
      </c>
      <c r="C7998" s="11" t="s">
        <v>28</v>
      </c>
      <c r="D7998" s="9" t="s">
        <v>4208</v>
      </c>
      <c r="E7998" s="11" t="s">
        <v>28</v>
      </c>
      <c r="F7998" s="10" t="s">
        <v>28</v>
      </c>
      <c r="G7998" s="10">
        <v>0.68</v>
      </c>
      <c r="H7998" s="10" t="s">
        <v>28</v>
      </c>
      <c r="I7998" s="11" t="s">
        <v>28</v>
      </c>
      <c r="J7998" s="11" t="s">
        <v>28</v>
      </c>
      <c r="K7998" s="11" t="s">
        <v>28</v>
      </c>
      <c r="L7998" s="11" t="s">
        <v>28</v>
      </c>
      <c r="M7998" s="11" t="s">
        <v>28</v>
      </c>
      <c r="N7998" s="8">
        <v>43137</v>
      </c>
      <c r="O7998" s="9" t="s">
        <v>99</v>
      </c>
      <c r="P7998" s="12" t="s">
        <v>140</v>
      </c>
      <c r="Q7998" s="9" t="s">
        <v>43</v>
      </c>
      <c r="R7998" s="14" t="str">
        <f>HYPERLINK("https://my.pitchbook.com?c=110066-23T","View Company Online")</f>
        <v>View Company Online</v>
      </c>
    </row>
    <row r="7999" spans="1:18" hidden="1" x14ac:dyDescent="0.3">
      <c r="A7999" s="15" t="s">
        <v>23346</v>
      </c>
      <c r="B7999" s="15" t="s">
        <v>23347</v>
      </c>
      <c r="C7999" s="18" t="s">
        <v>28</v>
      </c>
      <c r="D7999" s="15" t="s">
        <v>23348</v>
      </c>
      <c r="E7999" s="18" t="s">
        <v>28</v>
      </c>
      <c r="F7999" s="19" t="s">
        <v>28</v>
      </c>
      <c r="G7999" s="19" t="s">
        <v>28</v>
      </c>
      <c r="H7999" s="19" t="s">
        <v>28</v>
      </c>
      <c r="I7999" s="18" t="s">
        <v>28</v>
      </c>
      <c r="J7999" s="18" t="s">
        <v>28</v>
      </c>
      <c r="K7999" s="18">
        <v>20.02</v>
      </c>
      <c r="L7999" s="18" t="s">
        <v>28</v>
      </c>
      <c r="M7999" s="18" t="s">
        <v>28</v>
      </c>
      <c r="N7999" s="17">
        <v>43136</v>
      </c>
      <c r="O7999" s="15" t="s">
        <v>30</v>
      </c>
      <c r="P7999" s="16" t="s">
        <v>23349</v>
      </c>
      <c r="Q7999" s="15" t="s">
        <v>8610</v>
      </c>
      <c r="R7999" s="13" t="str">
        <f>HYPERLINK("https://my.pitchbook.com?c=101125-99T","View Company Online")</f>
        <v>View Company Online</v>
      </c>
    </row>
    <row r="8000" spans="1:18" hidden="1" x14ac:dyDescent="0.3">
      <c r="A8000" s="9" t="s">
        <v>23350</v>
      </c>
      <c r="B8000" s="9" t="s">
        <v>23351</v>
      </c>
      <c r="C8000" s="11" t="s">
        <v>28</v>
      </c>
      <c r="D8000" s="9" t="s">
        <v>23352</v>
      </c>
      <c r="E8000" s="11" t="s">
        <v>28</v>
      </c>
      <c r="F8000" s="10">
        <v>187.33</v>
      </c>
      <c r="G8000" s="10">
        <v>187.33</v>
      </c>
      <c r="H8000" s="10">
        <v>187.33</v>
      </c>
      <c r="I8000" s="11" t="s">
        <v>28</v>
      </c>
      <c r="J8000" s="11" t="s">
        <v>28</v>
      </c>
      <c r="K8000" s="11" t="s">
        <v>28</v>
      </c>
      <c r="L8000" s="11" t="s">
        <v>28</v>
      </c>
      <c r="M8000" s="11" t="s">
        <v>28</v>
      </c>
      <c r="N8000" s="8">
        <v>43133</v>
      </c>
      <c r="O8000" s="9" t="s">
        <v>30</v>
      </c>
      <c r="P8000" s="12" t="s">
        <v>23353</v>
      </c>
      <c r="Q8000" s="9" t="s">
        <v>299</v>
      </c>
      <c r="R8000" s="14" t="str">
        <f>HYPERLINK("https://my.pitchbook.com?c=101019-25T","View Company Online")</f>
        <v>View Company Online</v>
      </c>
    </row>
    <row r="8001" spans="1:18" hidden="1" x14ac:dyDescent="0.3">
      <c r="A8001" s="15" t="s">
        <v>23354</v>
      </c>
      <c r="B8001" s="15" t="s">
        <v>23355</v>
      </c>
      <c r="C8001" s="18" t="s">
        <v>28</v>
      </c>
      <c r="D8001" s="15" t="s">
        <v>23356</v>
      </c>
      <c r="E8001" s="18" t="s">
        <v>28</v>
      </c>
      <c r="F8001" s="19">
        <v>43.87</v>
      </c>
      <c r="G8001" s="19">
        <v>43.87</v>
      </c>
      <c r="H8001" s="19">
        <v>43.87</v>
      </c>
      <c r="I8001" s="18" t="s">
        <v>28</v>
      </c>
      <c r="J8001" s="18" t="s">
        <v>28</v>
      </c>
      <c r="K8001" s="18" t="s">
        <v>28</v>
      </c>
      <c r="L8001" s="18" t="s">
        <v>28</v>
      </c>
      <c r="M8001" s="18" t="s">
        <v>28</v>
      </c>
      <c r="N8001" s="17">
        <v>43133</v>
      </c>
      <c r="O8001" s="15" t="s">
        <v>30</v>
      </c>
      <c r="P8001" s="16" t="s">
        <v>23271</v>
      </c>
      <c r="Q8001" s="15" t="s">
        <v>362</v>
      </c>
      <c r="R8001" s="13" t="str">
        <f>HYPERLINK("https://my.pitchbook.com?c=102023-56T","View Company Online")</f>
        <v>View Company Online</v>
      </c>
    </row>
    <row r="8002" spans="1:18" hidden="1" x14ac:dyDescent="0.3">
      <c r="A8002" s="9" t="s">
        <v>23357</v>
      </c>
      <c r="B8002" s="9" t="s">
        <v>21997</v>
      </c>
      <c r="C8002" s="11" t="s">
        <v>28</v>
      </c>
      <c r="D8002" s="9" t="s">
        <v>21998</v>
      </c>
      <c r="E8002" s="11" t="s">
        <v>28</v>
      </c>
      <c r="F8002" s="10" t="s">
        <v>28</v>
      </c>
      <c r="G8002" s="10">
        <v>0.01</v>
      </c>
      <c r="H8002" s="10" t="s">
        <v>28</v>
      </c>
      <c r="I8002" s="11" t="s">
        <v>28</v>
      </c>
      <c r="J8002" s="11" t="s">
        <v>28</v>
      </c>
      <c r="K8002" s="11" t="s">
        <v>28</v>
      </c>
      <c r="L8002" s="11" t="s">
        <v>28</v>
      </c>
      <c r="M8002" s="11" t="s">
        <v>28</v>
      </c>
      <c r="N8002" s="8">
        <v>43133</v>
      </c>
      <c r="O8002" s="9" t="s">
        <v>99</v>
      </c>
      <c r="P8002" s="12" t="s">
        <v>23358</v>
      </c>
      <c r="Q8002" s="9" t="s">
        <v>404</v>
      </c>
      <c r="R8002" s="14" t="str">
        <f>HYPERLINK("https://my.pitchbook.com?c=127529-11T","View Company Online")</f>
        <v>View Company Online</v>
      </c>
    </row>
    <row r="8003" spans="1:18" hidden="1" x14ac:dyDescent="0.3">
      <c r="A8003" s="15" t="s">
        <v>23359</v>
      </c>
      <c r="B8003" s="15" t="s">
        <v>17222</v>
      </c>
      <c r="C8003" s="18" t="s">
        <v>28</v>
      </c>
      <c r="D8003" s="15" t="s">
        <v>17223</v>
      </c>
      <c r="E8003" s="18" t="s">
        <v>28</v>
      </c>
      <c r="F8003" s="19" t="s">
        <v>28</v>
      </c>
      <c r="G8003" s="19">
        <v>0.85</v>
      </c>
      <c r="H8003" s="19" t="s">
        <v>28</v>
      </c>
      <c r="I8003" s="18" t="s">
        <v>28</v>
      </c>
      <c r="J8003" s="18" t="s">
        <v>28</v>
      </c>
      <c r="K8003" s="18" t="s">
        <v>28</v>
      </c>
      <c r="L8003" s="18" t="s">
        <v>28</v>
      </c>
      <c r="M8003" s="18" t="s">
        <v>28</v>
      </c>
      <c r="N8003" s="17">
        <v>43132</v>
      </c>
      <c r="O8003" s="15" t="s">
        <v>99</v>
      </c>
      <c r="P8003" s="16" t="s">
        <v>23360</v>
      </c>
      <c r="Q8003" s="15" t="s">
        <v>399</v>
      </c>
      <c r="R8003" s="13" t="str">
        <f>HYPERLINK("https://my.pitchbook.com?c=207135-28T","View Company Online")</f>
        <v>View Company Online</v>
      </c>
    </row>
    <row r="8004" spans="1:18" hidden="1" x14ac:dyDescent="0.3">
      <c r="A8004" s="9" t="s">
        <v>23361</v>
      </c>
      <c r="B8004" s="9" t="s">
        <v>4013</v>
      </c>
      <c r="C8004" s="11" t="s">
        <v>28</v>
      </c>
      <c r="D8004" s="9" t="s">
        <v>4014</v>
      </c>
      <c r="E8004" s="11" t="s">
        <v>28</v>
      </c>
      <c r="F8004" s="10" t="s">
        <v>28</v>
      </c>
      <c r="G8004" s="10">
        <v>0.94</v>
      </c>
      <c r="H8004" s="10" t="s">
        <v>28</v>
      </c>
      <c r="I8004" s="11" t="s">
        <v>28</v>
      </c>
      <c r="J8004" s="11" t="s">
        <v>28</v>
      </c>
      <c r="K8004" s="11" t="s">
        <v>28</v>
      </c>
      <c r="L8004" s="11" t="s">
        <v>28</v>
      </c>
      <c r="M8004" s="11" t="s">
        <v>28</v>
      </c>
      <c r="N8004" s="8">
        <v>43132</v>
      </c>
      <c r="O8004" s="9" t="s">
        <v>73</v>
      </c>
      <c r="P8004" s="12" t="s">
        <v>3000</v>
      </c>
      <c r="Q8004" s="9" t="s">
        <v>75</v>
      </c>
      <c r="R8004" s="14" t="str">
        <f>HYPERLINK("https://my.pitchbook.com?c=100429-66T","View Company Online")</f>
        <v>View Company Online</v>
      </c>
    </row>
    <row r="8005" spans="1:18" hidden="1" x14ac:dyDescent="0.3">
      <c r="A8005" s="15" t="s">
        <v>23362</v>
      </c>
      <c r="B8005" s="15" t="s">
        <v>18098</v>
      </c>
      <c r="C8005" s="18" t="s">
        <v>28</v>
      </c>
      <c r="D8005" s="15" t="s">
        <v>18099</v>
      </c>
      <c r="E8005" s="18" t="s">
        <v>28</v>
      </c>
      <c r="F8005" s="19" t="s">
        <v>28</v>
      </c>
      <c r="G8005" s="19" t="s">
        <v>28</v>
      </c>
      <c r="H8005" s="19" t="s">
        <v>28</v>
      </c>
      <c r="I8005" s="18" t="s">
        <v>28</v>
      </c>
      <c r="J8005" s="18" t="s">
        <v>28</v>
      </c>
      <c r="K8005" s="18" t="s">
        <v>28</v>
      </c>
      <c r="L8005" s="18" t="s">
        <v>28</v>
      </c>
      <c r="M8005" s="18" t="s">
        <v>28</v>
      </c>
      <c r="N8005" s="17">
        <v>43132</v>
      </c>
      <c r="O8005" s="15" t="s">
        <v>52</v>
      </c>
      <c r="P8005" s="16" t="s">
        <v>1970</v>
      </c>
      <c r="Q8005" s="15" t="s">
        <v>75</v>
      </c>
      <c r="R8005" s="13" t="str">
        <f>HYPERLINK("https://my.pitchbook.com?c=140651-11T","View Company Online")</f>
        <v>View Company Online</v>
      </c>
    </row>
    <row r="8006" spans="1:18" hidden="1" x14ac:dyDescent="0.3">
      <c r="A8006" s="9" t="s">
        <v>23363</v>
      </c>
      <c r="B8006" s="9" t="s">
        <v>23364</v>
      </c>
      <c r="C8006" s="11" t="s">
        <v>28</v>
      </c>
      <c r="D8006" s="9" t="s">
        <v>23365</v>
      </c>
      <c r="E8006" s="11" t="s">
        <v>28</v>
      </c>
      <c r="F8006" s="10" t="s">
        <v>28</v>
      </c>
      <c r="G8006" s="10" t="s">
        <v>28</v>
      </c>
      <c r="H8006" s="10" t="s">
        <v>28</v>
      </c>
      <c r="I8006" s="11" t="s">
        <v>28</v>
      </c>
      <c r="J8006" s="11" t="s">
        <v>28</v>
      </c>
      <c r="K8006" s="11" t="s">
        <v>28</v>
      </c>
      <c r="L8006" s="11" t="s">
        <v>28</v>
      </c>
      <c r="M8006" s="11" t="s">
        <v>28</v>
      </c>
      <c r="N8006" s="8">
        <v>43132</v>
      </c>
      <c r="O8006" s="9" t="s">
        <v>73</v>
      </c>
      <c r="P8006" s="12" t="s">
        <v>1986</v>
      </c>
      <c r="Q8006" s="9" t="s">
        <v>75</v>
      </c>
      <c r="R8006" s="14" t="str">
        <f>HYPERLINK("https://my.pitchbook.com?c=177095-17T","View Company Online")</f>
        <v>View Company Online</v>
      </c>
    </row>
    <row r="8007" spans="1:18" hidden="1" x14ac:dyDescent="0.3">
      <c r="A8007" s="15" t="s">
        <v>23366</v>
      </c>
      <c r="B8007" s="15" t="s">
        <v>23367</v>
      </c>
      <c r="C8007" s="18" t="s">
        <v>28</v>
      </c>
      <c r="D8007" s="15" t="s">
        <v>23368</v>
      </c>
      <c r="E8007" s="18" t="s">
        <v>28</v>
      </c>
      <c r="F8007" s="19" t="s">
        <v>28</v>
      </c>
      <c r="G8007" s="19" t="s">
        <v>28</v>
      </c>
      <c r="H8007" s="19" t="s">
        <v>28</v>
      </c>
      <c r="I8007" s="18" t="s">
        <v>28</v>
      </c>
      <c r="J8007" s="18" t="s">
        <v>28</v>
      </c>
      <c r="K8007" s="18" t="s">
        <v>28</v>
      </c>
      <c r="L8007" s="18" t="s">
        <v>28</v>
      </c>
      <c r="M8007" s="18" t="s">
        <v>28</v>
      </c>
      <c r="N8007" s="17">
        <v>43132</v>
      </c>
      <c r="O8007" s="15" t="s">
        <v>30</v>
      </c>
      <c r="P8007" s="16" t="s">
        <v>23369</v>
      </c>
      <c r="Q8007" s="15" t="s">
        <v>616</v>
      </c>
      <c r="R8007" s="13" t="str">
        <f>HYPERLINK("https://my.pitchbook.com?c=111246-58T","View Company Online")</f>
        <v>View Company Online</v>
      </c>
    </row>
    <row r="8008" spans="1:18" hidden="1" x14ac:dyDescent="0.3">
      <c r="A8008" s="9" t="s">
        <v>23370</v>
      </c>
      <c r="B8008" s="9" t="s">
        <v>3509</v>
      </c>
      <c r="C8008" s="11" t="s">
        <v>28</v>
      </c>
      <c r="D8008" s="9" t="s">
        <v>3510</v>
      </c>
      <c r="E8008" s="11" t="s">
        <v>28</v>
      </c>
      <c r="F8008" s="10" t="s">
        <v>28</v>
      </c>
      <c r="G8008" s="10">
        <v>0.03</v>
      </c>
      <c r="H8008" s="10" t="s">
        <v>28</v>
      </c>
      <c r="I8008" s="11" t="s">
        <v>28</v>
      </c>
      <c r="J8008" s="11" t="s">
        <v>28</v>
      </c>
      <c r="K8008" s="11" t="s">
        <v>28</v>
      </c>
      <c r="L8008" s="11" t="s">
        <v>28</v>
      </c>
      <c r="M8008" s="11" t="s">
        <v>28</v>
      </c>
      <c r="N8008" s="8">
        <v>43132</v>
      </c>
      <c r="O8008" s="9" t="s">
        <v>52</v>
      </c>
      <c r="P8008" s="12" t="s">
        <v>1792</v>
      </c>
      <c r="Q8008" s="9" t="s">
        <v>1336</v>
      </c>
      <c r="R8008" s="14" t="str">
        <f>HYPERLINK("https://my.pitchbook.com?c=123773-41T","View Company Online")</f>
        <v>View Company Online</v>
      </c>
    </row>
    <row r="8009" spans="1:18" hidden="1" x14ac:dyDescent="0.3">
      <c r="A8009" s="15" t="s">
        <v>23371</v>
      </c>
      <c r="B8009" s="15" t="s">
        <v>23372</v>
      </c>
      <c r="C8009" s="18" t="s">
        <v>28</v>
      </c>
      <c r="D8009" s="15" t="s">
        <v>23373</v>
      </c>
      <c r="E8009" s="18">
        <v>397.22</v>
      </c>
      <c r="F8009" s="19" t="s">
        <v>28</v>
      </c>
      <c r="G8009" s="19">
        <v>363</v>
      </c>
      <c r="H8009" s="19">
        <v>2160.71</v>
      </c>
      <c r="I8009" s="18">
        <v>514.67999999999995</v>
      </c>
      <c r="J8009" s="18">
        <v>4.2</v>
      </c>
      <c r="K8009" s="18">
        <v>1732.68</v>
      </c>
      <c r="L8009" s="18">
        <v>1.25</v>
      </c>
      <c r="M8009" s="18">
        <v>200.28</v>
      </c>
      <c r="N8009" s="17">
        <v>43132</v>
      </c>
      <c r="O8009" s="15" t="s">
        <v>159</v>
      </c>
      <c r="P8009" s="16" t="s">
        <v>23374</v>
      </c>
      <c r="Q8009" s="15" t="s">
        <v>4901</v>
      </c>
      <c r="R8009" s="13" t="str">
        <f>HYPERLINK("https://my.pitchbook.com?c=95628-43T","View Company Online")</f>
        <v>View Company Online</v>
      </c>
    </row>
    <row r="8010" spans="1:18" hidden="1" x14ac:dyDescent="0.3">
      <c r="A8010" s="9" t="s">
        <v>23375</v>
      </c>
      <c r="B8010" s="9" t="s">
        <v>23376</v>
      </c>
      <c r="C8010" s="11" t="s">
        <v>28</v>
      </c>
      <c r="D8010" s="9" t="s">
        <v>23377</v>
      </c>
      <c r="E8010" s="11" t="s">
        <v>28</v>
      </c>
      <c r="F8010" s="10">
        <v>3.59</v>
      </c>
      <c r="G8010" s="10">
        <v>1.72</v>
      </c>
      <c r="H8010" s="10">
        <v>3.59</v>
      </c>
      <c r="I8010" s="11" t="s">
        <v>28</v>
      </c>
      <c r="J8010" s="11" t="s">
        <v>28</v>
      </c>
      <c r="K8010" s="11" t="s">
        <v>28</v>
      </c>
      <c r="L8010" s="11" t="s">
        <v>28</v>
      </c>
      <c r="M8010" s="11" t="s">
        <v>28</v>
      </c>
      <c r="N8010" s="8">
        <v>43132</v>
      </c>
      <c r="O8010" s="9" t="s">
        <v>41</v>
      </c>
      <c r="P8010" s="12" t="s">
        <v>28</v>
      </c>
      <c r="Q8010" s="9" t="s">
        <v>226</v>
      </c>
      <c r="R8010" s="14" t="str">
        <f>HYPERLINK("https://my.pitchbook.com?c=111610-54T","View Company Online")</f>
        <v>View Company Online</v>
      </c>
    </row>
    <row r="8011" spans="1:18" hidden="1" x14ac:dyDescent="0.3">
      <c r="A8011" s="15" t="s">
        <v>23378</v>
      </c>
      <c r="B8011" s="15" t="s">
        <v>20823</v>
      </c>
      <c r="C8011" s="18" t="s">
        <v>28</v>
      </c>
      <c r="D8011" s="15" t="s">
        <v>20824</v>
      </c>
      <c r="E8011" s="18" t="s">
        <v>28</v>
      </c>
      <c r="F8011" s="19" t="s">
        <v>28</v>
      </c>
      <c r="G8011" s="19">
        <v>0.62</v>
      </c>
      <c r="H8011" s="19" t="s">
        <v>28</v>
      </c>
      <c r="I8011" s="18" t="s">
        <v>28</v>
      </c>
      <c r="J8011" s="18" t="s">
        <v>28</v>
      </c>
      <c r="K8011" s="18" t="s">
        <v>28</v>
      </c>
      <c r="L8011" s="18" t="s">
        <v>28</v>
      </c>
      <c r="M8011" s="18" t="s">
        <v>28</v>
      </c>
      <c r="N8011" s="17">
        <v>43132</v>
      </c>
      <c r="O8011" s="15" t="s">
        <v>79</v>
      </c>
      <c r="P8011" s="16" t="s">
        <v>23379</v>
      </c>
      <c r="Q8011" s="15" t="s">
        <v>75</v>
      </c>
      <c r="R8011" s="13" t="str">
        <f>HYPERLINK("https://my.pitchbook.com?c=110560-06T","View Company Online")</f>
        <v>View Company Online</v>
      </c>
    </row>
    <row r="8012" spans="1:18" hidden="1" x14ac:dyDescent="0.3">
      <c r="A8012" s="9" t="s">
        <v>23380</v>
      </c>
      <c r="B8012" s="9" t="s">
        <v>17556</v>
      </c>
      <c r="C8012" s="11" t="s">
        <v>28</v>
      </c>
      <c r="D8012" s="9" t="s">
        <v>17557</v>
      </c>
      <c r="E8012" s="11" t="s">
        <v>28</v>
      </c>
      <c r="F8012" s="10" t="s">
        <v>28</v>
      </c>
      <c r="G8012" s="10">
        <v>0.5</v>
      </c>
      <c r="H8012" s="10" t="s">
        <v>28</v>
      </c>
      <c r="I8012" s="11" t="s">
        <v>28</v>
      </c>
      <c r="J8012" s="11" t="s">
        <v>28</v>
      </c>
      <c r="K8012" s="11" t="s">
        <v>28</v>
      </c>
      <c r="L8012" s="11" t="s">
        <v>28</v>
      </c>
      <c r="M8012" s="11" t="s">
        <v>28</v>
      </c>
      <c r="N8012" s="8">
        <v>43132</v>
      </c>
      <c r="O8012" s="9" t="s">
        <v>379</v>
      </c>
      <c r="P8012" s="12" t="s">
        <v>28</v>
      </c>
      <c r="Q8012" s="9" t="s">
        <v>75</v>
      </c>
      <c r="R8012" s="14" t="str">
        <f>HYPERLINK("https://my.pitchbook.com?c=158313-88T","View Company Online")</f>
        <v>View Company Online</v>
      </c>
    </row>
    <row r="8013" spans="1:18" hidden="1" x14ac:dyDescent="0.3">
      <c r="A8013" s="15" t="s">
        <v>23381</v>
      </c>
      <c r="B8013" s="15" t="s">
        <v>23382</v>
      </c>
      <c r="C8013" s="18" t="s">
        <v>28</v>
      </c>
      <c r="D8013" s="15" t="s">
        <v>23383</v>
      </c>
      <c r="E8013" s="18" t="s">
        <v>28</v>
      </c>
      <c r="F8013" s="19" t="s">
        <v>28</v>
      </c>
      <c r="G8013" s="19" t="s">
        <v>28</v>
      </c>
      <c r="H8013" s="19" t="s">
        <v>28</v>
      </c>
      <c r="I8013" s="18" t="s">
        <v>28</v>
      </c>
      <c r="J8013" s="18" t="s">
        <v>28</v>
      </c>
      <c r="K8013" s="18" t="s">
        <v>28</v>
      </c>
      <c r="L8013" s="18" t="s">
        <v>28</v>
      </c>
      <c r="M8013" s="18" t="s">
        <v>28</v>
      </c>
      <c r="N8013" s="17">
        <v>43132</v>
      </c>
      <c r="O8013" s="15" t="s">
        <v>30</v>
      </c>
      <c r="P8013" s="16" t="s">
        <v>18471</v>
      </c>
      <c r="Q8013" s="15" t="s">
        <v>414</v>
      </c>
      <c r="R8013" s="13" t="str">
        <f>HYPERLINK("https://my.pitchbook.com?c=214183-09T","View Company Online")</f>
        <v>View Company Online</v>
      </c>
    </row>
    <row r="8014" spans="1:18" hidden="1" x14ac:dyDescent="0.3">
      <c r="A8014" s="9" t="s">
        <v>23384</v>
      </c>
      <c r="B8014" s="9" t="s">
        <v>3280</v>
      </c>
      <c r="C8014" s="11" t="s">
        <v>28</v>
      </c>
      <c r="D8014" s="9" t="s">
        <v>3281</v>
      </c>
      <c r="E8014" s="11" t="s">
        <v>28</v>
      </c>
      <c r="F8014" s="10" t="s">
        <v>28</v>
      </c>
      <c r="G8014" s="10">
        <v>0.28999999999999998</v>
      </c>
      <c r="H8014" s="10">
        <v>2</v>
      </c>
      <c r="I8014" s="11" t="s">
        <v>28</v>
      </c>
      <c r="J8014" s="11" t="s">
        <v>28</v>
      </c>
      <c r="K8014" s="11" t="s">
        <v>28</v>
      </c>
      <c r="L8014" s="11" t="s">
        <v>28</v>
      </c>
      <c r="M8014" s="11" t="s">
        <v>28</v>
      </c>
      <c r="N8014" s="8">
        <v>43132</v>
      </c>
      <c r="O8014" s="9" t="s">
        <v>73</v>
      </c>
      <c r="P8014" s="12" t="s">
        <v>23385</v>
      </c>
      <c r="Q8014" s="9" t="s">
        <v>696</v>
      </c>
      <c r="R8014" s="14" t="str">
        <f>HYPERLINK("https://my.pitchbook.com?c=110067-58T","View Company Online")</f>
        <v>View Company Online</v>
      </c>
    </row>
    <row r="8015" spans="1:18" hidden="1" x14ac:dyDescent="0.3">
      <c r="A8015" s="15" t="s">
        <v>23386</v>
      </c>
      <c r="B8015" s="15" t="s">
        <v>2649</v>
      </c>
      <c r="C8015" s="18" t="s">
        <v>28</v>
      </c>
      <c r="D8015" s="15" t="s">
        <v>2650</v>
      </c>
      <c r="E8015" s="18" t="s">
        <v>28</v>
      </c>
      <c r="F8015" s="19" t="s">
        <v>28</v>
      </c>
      <c r="G8015" s="19">
        <v>0.45</v>
      </c>
      <c r="H8015" s="19" t="s">
        <v>28</v>
      </c>
      <c r="I8015" s="18" t="s">
        <v>28</v>
      </c>
      <c r="J8015" s="18" t="s">
        <v>28</v>
      </c>
      <c r="K8015" s="18" t="s">
        <v>28</v>
      </c>
      <c r="L8015" s="18" t="s">
        <v>28</v>
      </c>
      <c r="M8015" s="18" t="s">
        <v>28</v>
      </c>
      <c r="N8015" s="17">
        <v>43132</v>
      </c>
      <c r="O8015" s="15" t="s">
        <v>99</v>
      </c>
      <c r="P8015" s="16" t="s">
        <v>28</v>
      </c>
      <c r="Q8015" s="15" t="s">
        <v>75</v>
      </c>
      <c r="R8015" s="13" t="str">
        <f>HYPERLINK("https://my.pitchbook.com?c=214238-26T","View Company Online")</f>
        <v>View Company Online</v>
      </c>
    </row>
    <row r="8016" spans="1:18" hidden="1" x14ac:dyDescent="0.3">
      <c r="A8016" s="9" t="s">
        <v>23387</v>
      </c>
      <c r="B8016" s="9" t="s">
        <v>23388</v>
      </c>
      <c r="C8016" s="11" t="s">
        <v>28</v>
      </c>
      <c r="D8016" s="9" t="s">
        <v>23389</v>
      </c>
      <c r="E8016" s="11" t="s">
        <v>28</v>
      </c>
      <c r="F8016" s="10">
        <v>311</v>
      </c>
      <c r="G8016" s="10">
        <v>311</v>
      </c>
      <c r="H8016" s="10">
        <v>311</v>
      </c>
      <c r="I8016" s="11" t="s">
        <v>28</v>
      </c>
      <c r="J8016" s="11" t="s">
        <v>28</v>
      </c>
      <c r="K8016" s="11" t="s">
        <v>28</v>
      </c>
      <c r="L8016" s="11" t="s">
        <v>28</v>
      </c>
      <c r="M8016" s="11" t="s">
        <v>28</v>
      </c>
      <c r="N8016" s="8">
        <v>43132</v>
      </c>
      <c r="O8016" s="9" t="s">
        <v>41</v>
      </c>
      <c r="P8016" s="12" t="s">
        <v>28</v>
      </c>
      <c r="Q8016" s="9" t="s">
        <v>1361</v>
      </c>
      <c r="R8016" s="14" t="str">
        <f>HYPERLINK("https://my.pitchbook.com?c=90755-11T","View Company Online")</f>
        <v>View Company Online</v>
      </c>
    </row>
    <row r="8017" spans="1:18" hidden="1" x14ac:dyDescent="0.3">
      <c r="A8017" s="15" t="s">
        <v>23390</v>
      </c>
      <c r="B8017" s="15" t="s">
        <v>23391</v>
      </c>
      <c r="C8017" s="18" t="s">
        <v>28</v>
      </c>
      <c r="D8017" s="15" t="s">
        <v>23392</v>
      </c>
      <c r="E8017" s="18" t="s">
        <v>28</v>
      </c>
      <c r="F8017" s="19" t="s">
        <v>28</v>
      </c>
      <c r="G8017" s="19" t="s">
        <v>28</v>
      </c>
      <c r="H8017" s="19" t="s">
        <v>28</v>
      </c>
      <c r="I8017" s="18" t="s">
        <v>28</v>
      </c>
      <c r="J8017" s="18" t="s">
        <v>28</v>
      </c>
      <c r="K8017" s="18">
        <v>93.86</v>
      </c>
      <c r="L8017" s="18" t="s">
        <v>28</v>
      </c>
      <c r="M8017" s="18" t="s">
        <v>28</v>
      </c>
      <c r="N8017" s="17">
        <v>43132</v>
      </c>
      <c r="O8017" s="15" t="s">
        <v>41</v>
      </c>
      <c r="P8017" s="16" t="s">
        <v>23393</v>
      </c>
      <c r="Q8017" s="15" t="s">
        <v>566</v>
      </c>
      <c r="R8017" s="13" t="str">
        <f>HYPERLINK("https://my.pitchbook.com?c=102126-61T","View Company Online")</f>
        <v>View Company Online</v>
      </c>
    </row>
    <row r="8018" spans="1:18" hidden="1" x14ac:dyDescent="0.3">
      <c r="A8018" s="9" t="s">
        <v>23394</v>
      </c>
      <c r="B8018" s="9" t="s">
        <v>23395</v>
      </c>
      <c r="C8018" s="11" t="s">
        <v>28</v>
      </c>
      <c r="D8018" s="9" t="s">
        <v>23396</v>
      </c>
      <c r="E8018" s="11" t="s">
        <v>28</v>
      </c>
      <c r="F8018" s="10" t="s">
        <v>28</v>
      </c>
      <c r="G8018" s="10" t="s">
        <v>28</v>
      </c>
      <c r="H8018" s="10" t="s">
        <v>28</v>
      </c>
      <c r="I8018" s="11" t="s">
        <v>28</v>
      </c>
      <c r="J8018" s="11" t="s">
        <v>28</v>
      </c>
      <c r="K8018" s="11" t="s">
        <v>28</v>
      </c>
      <c r="L8018" s="11" t="s">
        <v>28</v>
      </c>
      <c r="M8018" s="11" t="s">
        <v>28</v>
      </c>
      <c r="N8018" s="8">
        <v>43132</v>
      </c>
      <c r="O8018" s="9" t="s">
        <v>30</v>
      </c>
      <c r="P8018" s="12" t="s">
        <v>23397</v>
      </c>
      <c r="Q8018" s="9" t="s">
        <v>658</v>
      </c>
      <c r="R8018" s="14" t="str">
        <f>HYPERLINK("https://my.pitchbook.com?c=155351-71T","View Company Online")</f>
        <v>View Company Online</v>
      </c>
    </row>
    <row r="8019" spans="1:18" hidden="1" x14ac:dyDescent="0.3">
      <c r="A8019" s="15" t="s">
        <v>23398</v>
      </c>
      <c r="B8019" s="15" t="s">
        <v>23399</v>
      </c>
      <c r="C8019" s="18" t="s">
        <v>28</v>
      </c>
      <c r="D8019" s="15" t="s">
        <v>23400</v>
      </c>
      <c r="E8019" s="18" t="s">
        <v>28</v>
      </c>
      <c r="F8019" s="19" t="s">
        <v>28</v>
      </c>
      <c r="G8019" s="19" t="s">
        <v>28</v>
      </c>
      <c r="H8019" s="19" t="s">
        <v>28</v>
      </c>
      <c r="I8019" s="18" t="s">
        <v>28</v>
      </c>
      <c r="J8019" s="18" t="s">
        <v>28</v>
      </c>
      <c r="K8019" s="18" t="s">
        <v>28</v>
      </c>
      <c r="L8019" s="18" t="s">
        <v>28</v>
      </c>
      <c r="M8019" s="18" t="s">
        <v>28</v>
      </c>
      <c r="N8019" s="17">
        <v>43132</v>
      </c>
      <c r="O8019" s="15" t="s">
        <v>73</v>
      </c>
      <c r="P8019" s="16" t="s">
        <v>611</v>
      </c>
      <c r="Q8019" s="15" t="s">
        <v>75</v>
      </c>
      <c r="R8019" s="13" t="str">
        <f>HYPERLINK("https://my.pitchbook.com?c=156987-73T","View Company Online")</f>
        <v>View Company Online</v>
      </c>
    </row>
    <row r="8020" spans="1:18" hidden="1" x14ac:dyDescent="0.3">
      <c r="A8020" s="9" t="s">
        <v>23401</v>
      </c>
      <c r="B8020" s="9" t="s">
        <v>23402</v>
      </c>
      <c r="C8020" s="11" t="s">
        <v>28</v>
      </c>
      <c r="D8020" s="9" t="s">
        <v>23403</v>
      </c>
      <c r="E8020" s="11" t="s">
        <v>28</v>
      </c>
      <c r="F8020" s="10" t="s">
        <v>28</v>
      </c>
      <c r="G8020" s="10" t="s">
        <v>28</v>
      </c>
      <c r="H8020" s="10" t="s">
        <v>28</v>
      </c>
      <c r="I8020" s="11" t="s">
        <v>28</v>
      </c>
      <c r="J8020" s="11" t="s">
        <v>28</v>
      </c>
      <c r="K8020" s="11" t="s">
        <v>28</v>
      </c>
      <c r="L8020" s="11" t="s">
        <v>28</v>
      </c>
      <c r="M8020" s="11" t="s">
        <v>28</v>
      </c>
      <c r="N8020" s="8">
        <v>43132</v>
      </c>
      <c r="O8020" s="9" t="s">
        <v>30</v>
      </c>
      <c r="P8020" s="12" t="s">
        <v>23404</v>
      </c>
      <c r="Q8020" s="9" t="s">
        <v>1179</v>
      </c>
      <c r="R8020" s="14" t="str">
        <f>HYPERLINK("https://my.pitchbook.com?c=117419-05T","View Company Online")</f>
        <v>View Company Online</v>
      </c>
    </row>
    <row r="8021" spans="1:18" hidden="1" x14ac:dyDescent="0.3">
      <c r="A8021" s="15" t="s">
        <v>23405</v>
      </c>
      <c r="B8021" s="15" t="s">
        <v>12399</v>
      </c>
      <c r="C8021" s="18" t="s">
        <v>28</v>
      </c>
      <c r="D8021" s="15" t="s">
        <v>12400</v>
      </c>
      <c r="E8021" s="18" t="s">
        <v>28</v>
      </c>
      <c r="F8021" s="19" t="s">
        <v>28</v>
      </c>
      <c r="G8021" s="19" t="s">
        <v>28</v>
      </c>
      <c r="H8021" s="19" t="s">
        <v>28</v>
      </c>
      <c r="I8021" s="18" t="s">
        <v>28</v>
      </c>
      <c r="J8021" s="18" t="s">
        <v>28</v>
      </c>
      <c r="K8021" s="18" t="s">
        <v>28</v>
      </c>
      <c r="L8021" s="18" t="s">
        <v>28</v>
      </c>
      <c r="M8021" s="18" t="s">
        <v>28</v>
      </c>
      <c r="N8021" s="17">
        <v>43132</v>
      </c>
      <c r="O8021" s="15" t="s">
        <v>99</v>
      </c>
      <c r="P8021" s="16" t="s">
        <v>10515</v>
      </c>
      <c r="Q8021" s="15" t="s">
        <v>95</v>
      </c>
      <c r="R8021" s="13" t="str">
        <f>HYPERLINK("https://my.pitchbook.com?c=125978-14T","View Company Online")</f>
        <v>View Company Online</v>
      </c>
    </row>
    <row r="8022" spans="1:18" hidden="1" x14ac:dyDescent="0.3">
      <c r="A8022" s="9" t="s">
        <v>23406</v>
      </c>
      <c r="B8022" s="9" t="s">
        <v>23407</v>
      </c>
      <c r="C8022" s="11" t="s">
        <v>28</v>
      </c>
      <c r="D8022" s="9" t="s">
        <v>23408</v>
      </c>
      <c r="E8022" s="11" t="s">
        <v>28</v>
      </c>
      <c r="F8022" s="10">
        <v>4.68</v>
      </c>
      <c r="G8022" s="10">
        <v>4.68</v>
      </c>
      <c r="H8022" s="10">
        <v>4.68</v>
      </c>
      <c r="I8022" s="11" t="s">
        <v>28</v>
      </c>
      <c r="J8022" s="11" t="s">
        <v>28</v>
      </c>
      <c r="K8022" s="11">
        <v>3.13</v>
      </c>
      <c r="L8022" s="11">
        <v>1.5</v>
      </c>
      <c r="M8022" s="11" t="s">
        <v>28</v>
      </c>
      <c r="N8022" s="8">
        <v>43132</v>
      </c>
      <c r="O8022" s="9" t="s">
        <v>41</v>
      </c>
      <c r="P8022" s="12" t="s">
        <v>23409</v>
      </c>
      <c r="Q8022" s="9" t="s">
        <v>245</v>
      </c>
      <c r="R8022" s="14" t="str">
        <f>HYPERLINK("https://my.pitchbook.com?c=104390-74T","View Company Online")</f>
        <v>View Company Online</v>
      </c>
    </row>
    <row r="8023" spans="1:18" hidden="1" x14ac:dyDescent="0.3">
      <c r="A8023" s="15" t="s">
        <v>23410</v>
      </c>
      <c r="B8023" s="15" t="s">
        <v>966</v>
      </c>
      <c r="C8023" s="18" t="s">
        <v>28</v>
      </c>
      <c r="D8023" s="15" t="s">
        <v>18709</v>
      </c>
      <c r="E8023" s="18" t="s">
        <v>28</v>
      </c>
      <c r="F8023" s="19" t="s">
        <v>28</v>
      </c>
      <c r="G8023" s="19" t="s">
        <v>28</v>
      </c>
      <c r="H8023" s="19" t="s">
        <v>28</v>
      </c>
      <c r="I8023" s="18" t="s">
        <v>28</v>
      </c>
      <c r="J8023" s="18" t="s">
        <v>28</v>
      </c>
      <c r="K8023" s="18" t="s">
        <v>28</v>
      </c>
      <c r="L8023" s="18" t="s">
        <v>28</v>
      </c>
      <c r="M8023" s="18" t="s">
        <v>28</v>
      </c>
      <c r="N8023" s="17">
        <v>43132</v>
      </c>
      <c r="O8023" s="15" t="s">
        <v>99</v>
      </c>
      <c r="P8023" s="16" t="s">
        <v>23411</v>
      </c>
      <c r="Q8023" s="15" t="s">
        <v>75</v>
      </c>
      <c r="R8023" s="13" t="str">
        <f>HYPERLINK("https://my.pitchbook.com?c=137276-74T","View Company Online")</f>
        <v>View Company Online</v>
      </c>
    </row>
    <row r="8024" spans="1:18" hidden="1" x14ac:dyDescent="0.3">
      <c r="A8024" s="9" t="s">
        <v>23412</v>
      </c>
      <c r="B8024" s="9" t="s">
        <v>23413</v>
      </c>
      <c r="C8024" s="11" t="s">
        <v>28</v>
      </c>
      <c r="D8024" s="9" t="s">
        <v>23414</v>
      </c>
      <c r="E8024" s="11" t="s">
        <v>28</v>
      </c>
      <c r="F8024" s="10" t="s">
        <v>28</v>
      </c>
      <c r="G8024" s="10" t="s">
        <v>28</v>
      </c>
      <c r="H8024" s="10" t="s">
        <v>28</v>
      </c>
      <c r="I8024" s="11" t="s">
        <v>28</v>
      </c>
      <c r="J8024" s="11" t="s">
        <v>28</v>
      </c>
      <c r="K8024" s="11" t="s">
        <v>28</v>
      </c>
      <c r="L8024" s="11" t="s">
        <v>28</v>
      </c>
      <c r="M8024" s="11" t="s">
        <v>28</v>
      </c>
      <c r="N8024" s="8">
        <v>43132</v>
      </c>
      <c r="O8024" s="9" t="s">
        <v>41</v>
      </c>
      <c r="P8024" s="12" t="s">
        <v>23415</v>
      </c>
      <c r="Q8024" s="9" t="s">
        <v>15521</v>
      </c>
      <c r="R8024" s="14" t="str">
        <f>HYPERLINK("https://my.pitchbook.com?c=115998-49T","View Company Online")</f>
        <v>View Company Online</v>
      </c>
    </row>
    <row r="8025" spans="1:18" hidden="1" x14ac:dyDescent="0.3">
      <c r="A8025" s="15" t="s">
        <v>23416</v>
      </c>
      <c r="B8025" s="15" t="s">
        <v>23417</v>
      </c>
      <c r="C8025" s="18" t="s">
        <v>28</v>
      </c>
      <c r="D8025" s="15" t="s">
        <v>23418</v>
      </c>
      <c r="E8025" s="18" t="s">
        <v>28</v>
      </c>
      <c r="F8025" s="19" t="s">
        <v>28</v>
      </c>
      <c r="G8025" s="19" t="s">
        <v>28</v>
      </c>
      <c r="H8025" s="19" t="s">
        <v>28</v>
      </c>
      <c r="I8025" s="18" t="s">
        <v>28</v>
      </c>
      <c r="J8025" s="18" t="s">
        <v>28</v>
      </c>
      <c r="K8025" s="18" t="s">
        <v>28</v>
      </c>
      <c r="L8025" s="18" t="s">
        <v>28</v>
      </c>
      <c r="M8025" s="18" t="s">
        <v>28</v>
      </c>
      <c r="N8025" s="17">
        <v>43132</v>
      </c>
      <c r="O8025" s="15" t="s">
        <v>41</v>
      </c>
      <c r="P8025" s="16" t="s">
        <v>23419</v>
      </c>
      <c r="Q8025" s="15" t="s">
        <v>169</v>
      </c>
      <c r="R8025" s="13" t="str">
        <f>HYPERLINK("https://my.pitchbook.com?c=102133-18T","View Company Online")</f>
        <v>View Company Online</v>
      </c>
    </row>
    <row r="8026" spans="1:18" hidden="1" x14ac:dyDescent="0.3">
      <c r="A8026" s="9" t="s">
        <v>23420</v>
      </c>
      <c r="B8026" s="9" t="s">
        <v>14085</v>
      </c>
      <c r="C8026" s="11" t="s">
        <v>28</v>
      </c>
      <c r="D8026" s="9" t="s">
        <v>14086</v>
      </c>
      <c r="E8026" s="11" t="s">
        <v>28</v>
      </c>
      <c r="F8026" s="10" t="s">
        <v>28</v>
      </c>
      <c r="G8026" s="10">
        <v>0.46</v>
      </c>
      <c r="H8026" s="10" t="s">
        <v>28</v>
      </c>
      <c r="I8026" s="11" t="s">
        <v>28</v>
      </c>
      <c r="J8026" s="11" t="s">
        <v>28</v>
      </c>
      <c r="K8026" s="11" t="s">
        <v>28</v>
      </c>
      <c r="L8026" s="11" t="s">
        <v>28</v>
      </c>
      <c r="M8026" s="11" t="s">
        <v>28</v>
      </c>
      <c r="N8026" s="8">
        <v>43131</v>
      </c>
      <c r="O8026" s="9" t="s">
        <v>99</v>
      </c>
      <c r="P8026" s="12" t="s">
        <v>23421</v>
      </c>
      <c r="Q8026" s="9" t="s">
        <v>832</v>
      </c>
      <c r="R8026" s="14" t="str">
        <f>HYPERLINK("https://my.pitchbook.com?c=210784-06T","View Company Online")</f>
        <v>View Company Online</v>
      </c>
    </row>
    <row r="8027" spans="1:18" hidden="1" x14ac:dyDescent="0.3">
      <c r="A8027" s="15" t="s">
        <v>23422</v>
      </c>
      <c r="B8027" s="15" t="s">
        <v>17861</v>
      </c>
      <c r="C8027" s="18" t="s">
        <v>28</v>
      </c>
      <c r="D8027" s="15" t="s">
        <v>17862</v>
      </c>
      <c r="E8027" s="18" t="s">
        <v>28</v>
      </c>
      <c r="F8027" s="19" t="s">
        <v>28</v>
      </c>
      <c r="G8027" s="19" t="s">
        <v>28</v>
      </c>
      <c r="H8027" s="19" t="s">
        <v>28</v>
      </c>
      <c r="I8027" s="18" t="s">
        <v>28</v>
      </c>
      <c r="J8027" s="18" t="s">
        <v>28</v>
      </c>
      <c r="K8027" s="18" t="s">
        <v>28</v>
      </c>
      <c r="L8027" s="18" t="s">
        <v>28</v>
      </c>
      <c r="M8027" s="18" t="s">
        <v>28</v>
      </c>
      <c r="N8027" s="17">
        <v>43131</v>
      </c>
      <c r="O8027" s="15" t="s">
        <v>52</v>
      </c>
      <c r="P8027" s="16" t="s">
        <v>4500</v>
      </c>
      <c r="Q8027" s="15" t="s">
        <v>75</v>
      </c>
      <c r="R8027" s="13" t="str">
        <f>HYPERLINK("https://my.pitchbook.com?c=124707-52T","View Company Online")</f>
        <v>View Company Online</v>
      </c>
    </row>
    <row r="8028" spans="1:18" hidden="1" x14ac:dyDescent="0.3">
      <c r="A8028" s="9" t="s">
        <v>23423</v>
      </c>
      <c r="B8028" s="9" t="s">
        <v>13014</v>
      </c>
      <c r="C8028" s="11" t="s">
        <v>28</v>
      </c>
      <c r="D8028" s="9" t="s">
        <v>13015</v>
      </c>
      <c r="E8028" s="11" t="s">
        <v>28</v>
      </c>
      <c r="F8028" s="10" t="s">
        <v>28</v>
      </c>
      <c r="G8028" s="10">
        <v>0.41</v>
      </c>
      <c r="H8028" s="10" t="s">
        <v>28</v>
      </c>
      <c r="I8028" s="11" t="s">
        <v>28</v>
      </c>
      <c r="J8028" s="11" t="s">
        <v>28</v>
      </c>
      <c r="K8028" s="11" t="s">
        <v>28</v>
      </c>
      <c r="L8028" s="11" t="s">
        <v>28</v>
      </c>
      <c r="M8028" s="11" t="s">
        <v>28</v>
      </c>
      <c r="N8028" s="8">
        <v>43131</v>
      </c>
      <c r="O8028" s="9" t="s">
        <v>99</v>
      </c>
      <c r="P8028" s="12" t="s">
        <v>23424</v>
      </c>
      <c r="Q8028" s="9" t="s">
        <v>75</v>
      </c>
      <c r="R8028" s="14" t="str">
        <f>HYPERLINK("https://my.pitchbook.com?c=106188-31T","View Company Online")</f>
        <v>View Company Online</v>
      </c>
    </row>
    <row r="8029" spans="1:18" hidden="1" x14ac:dyDescent="0.3">
      <c r="A8029" s="15" t="s">
        <v>23425</v>
      </c>
      <c r="B8029" s="15" t="s">
        <v>15824</v>
      </c>
      <c r="C8029" s="18" t="s">
        <v>28</v>
      </c>
      <c r="D8029" s="15" t="s">
        <v>15825</v>
      </c>
      <c r="E8029" s="18" t="s">
        <v>28</v>
      </c>
      <c r="F8029" s="19" t="s">
        <v>28</v>
      </c>
      <c r="G8029" s="19" t="s">
        <v>28</v>
      </c>
      <c r="H8029" s="19" t="s">
        <v>28</v>
      </c>
      <c r="I8029" s="18" t="s">
        <v>28</v>
      </c>
      <c r="J8029" s="18" t="s">
        <v>28</v>
      </c>
      <c r="K8029" s="18" t="s">
        <v>28</v>
      </c>
      <c r="L8029" s="18" t="s">
        <v>28</v>
      </c>
      <c r="M8029" s="18" t="s">
        <v>28</v>
      </c>
      <c r="N8029" s="17">
        <v>43130</v>
      </c>
      <c r="O8029" s="15" t="s">
        <v>73</v>
      </c>
      <c r="P8029" s="16" t="s">
        <v>23426</v>
      </c>
      <c r="Q8029" s="15" t="s">
        <v>75</v>
      </c>
      <c r="R8029" s="13" t="str">
        <f>HYPERLINK("https://my.pitchbook.com?c=126837-28T","View Company Online")</f>
        <v>View Company Online</v>
      </c>
    </row>
    <row r="8030" spans="1:18" hidden="1" x14ac:dyDescent="0.3">
      <c r="A8030" s="9" t="s">
        <v>23427</v>
      </c>
      <c r="B8030" s="9" t="s">
        <v>22214</v>
      </c>
      <c r="C8030" s="11" t="s">
        <v>28</v>
      </c>
      <c r="D8030" s="9" t="s">
        <v>22215</v>
      </c>
      <c r="E8030" s="11" t="s">
        <v>28</v>
      </c>
      <c r="F8030" s="10" t="s">
        <v>28</v>
      </c>
      <c r="G8030" s="10" t="s">
        <v>28</v>
      </c>
      <c r="H8030" s="10" t="s">
        <v>28</v>
      </c>
      <c r="I8030" s="11" t="s">
        <v>28</v>
      </c>
      <c r="J8030" s="11" t="s">
        <v>28</v>
      </c>
      <c r="K8030" s="11" t="s">
        <v>28</v>
      </c>
      <c r="L8030" s="11" t="s">
        <v>28</v>
      </c>
      <c r="M8030" s="11" t="s">
        <v>28</v>
      </c>
      <c r="N8030" s="8">
        <v>43130</v>
      </c>
      <c r="O8030" s="9" t="s">
        <v>52</v>
      </c>
      <c r="P8030" s="12" t="s">
        <v>23428</v>
      </c>
      <c r="Q8030" s="9" t="s">
        <v>75</v>
      </c>
      <c r="R8030" s="14" t="str">
        <f>HYPERLINK("https://my.pitchbook.com?c=123156-55T","View Company Online")</f>
        <v>View Company Online</v>
      </c>
    </row>
    <row r="8031" spans="1:18" hidden="1" x14ac:dyDescent="0.3">
      <c r="A8031" s="15" t="s">
        <v>23429</v>
      </c>
      <c r="B8031" s="15" t="s">
        <v>23430</v>
      </c>
      <c r="C8031" s="18" t="s">
        <v>28</v>
      </c>
      <c r="D8031" s="15" t="s">
        <v>23431</v>
      </c>
      <c r="E8031" s="18" t="s">
        <v>28</v>
      </c>
      <c r="F8031" s="19" t="s">
        <v>28</v>
      </c>
      <c r="G8031" s="19">
        <v>100</v>
      </c>
      <c r="H8031" s="19" t="s">
        <v>28</v>
      </c>
      <c r="I8031" s="18" t="s">
        <v>28</v>
      </c>
      <c r="J8031" s="18" t="s">
        <v>28</v>
      </c>
      <c r="K8031" s="18" t="s">
        <v>28</v>
      </c>
      <c r="L8031" s="18" t="s">
        <v>28</v>
      </c>
      <c r="M8031" s="18" t="s">
        <v>28</v>
      </c>
      <c r="N8031" s="17">
        <v>43130</v>
      </c>
      <c r="O8031" s="15" t="s">
        <v>58</v>
      </c>
      <c r="P8031" s="16" t="s">
        <v>23432</v>
      </c>
      <c r="Q8031" s="15" t="s">
        <v>10676</v>
      </c>
      <c r="R8031" s="13" t="str">
        <f>HYPERLINK("https://my.pitchbook.com?c=102265-93T","View Company Online")</f>
        <v>View Company Online</v>
      </c>
    </row>
    <row r="8032" spans="1:18" hidden="1" x14ac:dyDescent="0.3">
      <c r="A8032" s="9" t="s">
        <v>23433</v>
      </c>
      <c r="B8032" s="9" t="s">
        <v>23434</v>
      </c>
      <c r="C8032" s="11" t="s">
        <v>28</v>
      </c>
      <c r="D8032" s="9" t="s">
        <v>23435</v>
      </c>
      <c r="E8032" s="11" t="s">
        <v>28</v>
      </c>
      <c r="F8032" s="10" t="s">
        <v>28</v>
      </c>
      <c r="G8032" s="10" t="s">
        <v>28</v>
      </c>
      <c r="H8032" s="10" t="s">
        <v>28</v>
      </c>
      <c r="I8032" s="11">
        <v>15</v>
      </c>
      <c r="J8032" s="11" t="s">
        <v>28</v>
      </c>
      <c r="K8032" s="11">
        <v>55</v>
      </c>
      <c r="L8032" s="11" t="s">
        <v>28</v>
      </c>
      <c r="M8032" s="11" t="s">
        <v>28</v>
      </c>
      <c r="N8032" s="8">
        <v>43129</v>
      </c>
      <c r="O8032" s="9" t="s">
        <v>30</v>
      </c>
      <c r="P8032" s="12" t="s">
        <v>8837</v>
      </c>
      <c r="Q8032" s="9" t="s">
        <v>1007</v>
      </c>
      <c r="R8032" s="14" t="str">
        <f>HYPERLINK("https://my.pitchbook.com?c=100676-89T","View Company Online")</f>
        <v>View Company Online</v>
      </c>
    </row>
    <row r="8033" spans="1:18" hidden="1" x14ac:dyDescent="0.3">
      <c r="A8033" s="15" t="s">
        <v>23436</v>
      </c>
      <c r="B8033" s="15" t="s">
        <v>17722</v>
      </c>
      <c r="C8033" s="18" t="s">
        <v>28</v>
      </c>
      <c r="D8033" s="15" t="s">
        <v>17723</v>
      </c>
      <c r="E8033" s="18" t="s">
        <v>28</v>
      </c>
      <c r="F8033" s="19" t="s">
        <v>28</v>
      </c>
      <c r="G8033" s="19">
        <v>0.02</v>
      </c>
      <c r="H8033" s="19" t="s">
        <v>28</v>
      </c>
      <c r="I8033" s="18" t="s">
        <v>28</v>
      </c>
      <c r="J8033" s="18" t="s">
        <v>28</v>
      </c>
      <c r="K8033" s="18" t="s">
        <v>28</v>
      </c>
      <c r="L8033" s="18" t="s">
        <v>28</v>
      </c>
      <c r="M8033" s="18" t="s">
        <v>28</v>
      </c>
      <c r="N8033" s="17">
        <v>43129</v>
      </c>
      <c r="O8033" s="15" t="s">
        <v>52</v>
      </c>
      <c r="P8033" s="16" t="s">
        <v>23437</v>
      </c>
      <c r="Q8033" s="15" t="s">
        <v>119</v>
      </c>
      <c r="R8033" s="13" t="str">
        <f>HYPERLINK("https://my.pitchbook.com?c=103870-09T","View Company Online")</f>
        <v>View Company Online</v>
      </c>
    </row>
    <row r="8034" spans="1:18" hidden="1" x14ac:dyDescent="0.3">
      <c r="A8034" s="9" t="s">
        <v>23438</v>
      </c>
      <c r="B8034" s="9" t="s">
        <v>16272</v>
      </c>
      <c r="C8034" s="11" t="s">
        <v>28</v>
      </c>
      <c r="D8034" s="9" t="s">
        <v>16273</v>
      </c>
      <c r="E8034" s="11" t="s">
        <v>28</v>
      </c>
      <c r="F8034" s="10" t="s">
        <v>28</v>
      </c>
      <c r="G8034" s="10">
        <v>0.05</v>
      </c>
      <c r="H8034" s="10" t="s">
        <v>28</v>
      </c>
      <c r="I8034" s="11" t="s">
        <v>28</v>
      </c>
      <c r="J8034" s="11" t="s">
        <v>28</v>
      </c>
      <c r="K8034" s="11" t="s">
        <v>28</v>
      </c>
      <c r="L8034" s="11" t="s">
        <v>28</v>
      </c>
      <c r="M8034" s="11" t="s">
        <v>28</v>
      </c>
      <c r="N8034" s="8">
        <v>43129</v>
      </c>
      <c r="O8034" s="9" t="s">
        <v>52</v>
      </c>
      <c r="P8034" s="12" t="s">
        <v>23437</v>
      </c>
      <c r="Q8034" s="9" t="s">
        <v>5347</v>
      </c>
      <c r="R8034" s="14" t="str">
        <f>HYPERLINK("https://my.pitchbook.com?c=103873-06T","View Company Online")</f>
        <v>View Company Online</v>
      </c>
    </row>
    <row r="8035" spans="1:18" hidden="1" x14ac:dyDescent="0.3">
      <c r="A8035" s="15" t="s">
        <v>23439</v>
      </c>
      <c r="B8035" s="15" t="s">
        <v>5785</v>
      </c>
      <c r="C8035" s="18" t="s">
        <v>28</v>
      </c>
      <c r="D8035" s="15" t="s">
        <v>12775</v>
      </c>
      <c r="E8035" s="18" t="s">
        <v>28</v>
      </c>
      <c r="F8035" s="19" t="s">
        <v>28</v>
      </c>
      <c r="G8035" s="19">
        <v>0.02</v>
      </c>
      <c r="H8035" s="19" t="s">
        <v>28</v>
      </c>
      <c r="I8035" s="18" t="s">
        <v>28</v>
      </c>
      <c r="J8035" s="18" t="s">
        <v>28</v>
      </c>
      <c r="K8035" s="18">
        <v>170.5</v>
      </c>
      <c r="L8035" s="18" t="s">
        <v>28</v>
      </c>
      <c r="M8035" s="18">
        <v>-32.1</v>
      </c>
      <c r="N8035" s="17">
        <v>43129</v>
      </c>
      <c r="O8035" s="15" t="s">
        <v>52</v>
      </c>
      <c r="P8035" s="16" t="s">
        <v>23437</v>
      </c>
      <c r="Q8035" s="15" t="s">
        <v>1213</v>
      </c>
      <c r="R8035" s="13" t="str">
        <f>HYPERLINK("https://my.pitchbook.com?c=103873-69T","View Company Online")</f>
        <v>View Company Online</v>
      </c>
    </row>
    <row r="8036" spans="1:18" hidden="1" x14ac:dyDescent="0.3">
      <c r="A8036" s="9" t="s">
        <v>23440</v>
      </c>
      <c r="B8036" s="9" t="s">
        <v>23441</v>
      </c>
      <c r="C8036" s="11" t="s">
        <v>28</v>
      </c>
      <c r="D8036" s="9" t="s">
        <v>23442</v>
      </c>
      <c r="E8036" s="11" t="s">
        <v>28</v>
      </c>
      <c r="F8036" s="10" t="s">
        <v>28</v>
      </c>
      <c r="G8036" s="10" t="s">
        <v>28</v>
      </c>
      <c r="H8036" s="10" t="s">
        <v>28</v>
      </c>
      <c r="I8036" s="11" t="s">
        <v>28</v>
      </c>
      <c r="J8036" s="11" t="s">
        <v>28</v>
      </c>
      <c r="K8036" s="11" t="s">
        <v>28</v>
      </c>
      <c r="L8036" s="11" t="s">
        <v>28</v>
      </c>
      <c r="M8036" s="11" t="s">
        <v>28</v>
      </c>
      <c r="N8036" s="8">
        <v>43126</v>
      </c>
      <c r="O8036" s="9" t="s">
        <v>30</v>
      </c>
      <c r="P8036" s="12" t="s">
        <v>23443</v>
      </c>
      <c r="Q8036" s="9" t="s">
        <v>855</v>
      </c>
      <c r="R8036" s="14" t="str">
        <f>HYPERLINK("https://my.pitchbook.com?c=208288-00T","View Company Online")</f>
        <v>View Company Online</v>
      </c>
    </row>
    <row r="8037" spans="1:18" hidden="1" x14ac:dyDescent="0.3">
      <c r="A8037" s="15" t="s">
        <v>23444</v>
      </c>
      <c r="B8037" s="15" t="s">
        <v>23445</v>
      </c>
      <c r="C8037" s="18" t="s">
        <v>28</v>
      </c>
      <c r="D8037" s="15" t="s">
        <v>23446</v>
      </c>
      <c r="E8037" s="18" t="s">
        <v>28</v>
      </c>
      <c r="F8037" s="19" t="s">
        <v>28</v>
      </c>
      <c r="G8037" s="19" t="s">
        <v>28</v>
      </c>
      <c r="H8037" s="19" t="s">
        <v>28</v>
      </c>
      <c r="I8037" s="18" t="s">
        <v>28</v>
      </c>
      <c r="J8037" s="18" t="s">
        <v>28</v>
      </c>
      <c r="K8037" s="18" t="s">
        <v>28</v>
      </c>
      <c r="L8037" s="18" t="s">
        <v>28</v>
      </c>
      <c r="M8037" s="18" t="s">
        <v>28</v>
      </c>
      <c r="N8037" s="17">
        <v>43126</v>
      </c>
      <c r="O8037" s="15" t="s">
        <v>30</v>
      </c>
      <c r="P8037" s="16" t="s">
        <v>23447</v>
      </c>
      <c r="Q8037" s="15" t="s">
        <v>54</v>
      </c>
      <c r="R8037" s="13" t="str">
        <f>HYPERLINK("https://my.pitchbook.com?c=100761-04T","View Company Online")</f>
        <v>View Company Online</v>
      </c>
    </row>
    <row r="8038" spans="1:18" hidden="1" x14ac:dyDescent="0.3">
      <c r="A8038" s="9" t="s">
        <v>23448</v>
      </c>
      <c r="B8038" s="9" t="s">
        <v>5770</v>
      </c>
      <c r="C8038" s="11" t="s">
        <v>28</v>
      </c>
      <c r="D8038" s="9" t="s">
        <v>5771</v>
      </c>
      <c r="E8038" s="11" t="s">
        <v>28</v>
      </c>
      <c r="F8038" s="10" t="s">
        <v>28</v>
      </c>
      <c r="G8038" s="10">
        <v>4.63</v>
      </c>
      <c r="H8038" s="10" t="s">
        <v>28</v>
      </c>
      <c r="I8038" s="11" t="s">
        <v>28</v>
      </c>
      <c r="J8038" s="11" t="s">
        <v>28</v>
      </c>
      <c r="K8038" s="11">
        <v>0.17</v>
      </c>
      <c r="L8038" s="11" t="s">
        <v>28</v>
      </c>
      <c r="M8038" s="11">
        <v>-0.13</v>
      </c>
      <c r="N8038" s="8">
        <v>43124</v>
      </c>
      <c r="O8038" s="9" t="s">
        <v>73</v>
      </c>
      <c r="P8038" s="12" t="s">
        <v>23449</v>
      </c>
      <c r="Q8038" s="9" t="s">
        <v>1336</v>
      </c>
      <c r="R8038" s="14" t="str">
        <f>HYPERLINK("https://my.pitchbook.com?c=112809-25T","View Company Online")</f>
        <v>View Company Online</v>
      </c>
    </row>
    <row r="8039" spans="1:18" hidden="1" x14ac:dyDescent="0.3">
      <c r="A8039" s="15" t="s">
        <v>23450</v>
      </c>
      <c r="B8039" s="15" t="s">
        <v>14313</v>
      </c>
      <c r="C8039" s="18" t="s">
        <v>28</v>
      </c>
      <c r="D8039" s="15" t="s">
        <v>23451</v>
      </c>
      <c r="E8039" s="18">
        <v>243.88</v>
      </c>
      <c r="F8039" s="19" t="s">
        <v>28</v>
      </c>
      <c r="G8039" s="19">
        <v>2265.79</v>
      </c>
      <c r="H8039" s="19">
        <v>6775.51</v>
      </c>
      <c r="I8039" s="18">
        <v>260.02</v>
      </c>
      <c r="J8039" s="18">
        <v>26.06</v>
      </c>
      <c r="K8039" s="18">
        <v>786.83</v>
      </c>
      <c r="L8039" s="18">
        <v>8.61</v>
      </c>
      <c r="M8039" s="18">
        <v>149.80000000000001</v>
      </c>
      <c r="N8039" s="17">
        <v>43124</v>
      </c>
      <c r="O8039" s="15" t="s">
        <v>173</v>
      </c>
      <c r="P8039" s="16" t="s">
        <v>28</v>
      </c>
      <c r="Q8039" s="15" t="s">
        <v>37</v>
      </c>
      <c r="R8039" s="13" t="str">
        <f>HYPERLINK("https://my.pitchbook.com?c=99265-06T","View Company Online")</f>
        <v>View Company Online</v>
      </c>
    </row>
    <row r="8040" spans="1:18" hidden="1" x14ac:dyDescent="0.3">
      <c r="A8040" s="9" t="s">
        <v>23452</v>
      </c>
      <c r="B8040" s="9" t="s">
        <v>23453</v>
      </c>
      <c r="C8040" s="11" t="s">
        <v>28</v>
      </c>
      <c r="D8040" s="9" t="s">
        <v>23454</v>
      </c>
      <c r="E8040" s="11" t="s">
        <v>28</v>
      </c>
      <c r="F8040" s="10">
        <v>271.51</v>
      </c>
      <c r="G8040" s="10">
        <v>271.51</v>
      </c>
      <c r="H8040" s="10">
        <v>271.51</v>
      </c>
      <c r="I8040" s="11" t="s">
        <v>28</v>
      </c>
      <c r="J8040" s="11" t="s">
        <v>28</v>
      </c>
      <c r="K8040" s="11" t="s">
        <v>28</v>
      </c>
      <c r="L8040" s="11" t="s">
        <v>28</v>
      </c>
      <c r="M8040" s="11" t="s">
        <v>28</v>
      </c>
      <c r="N8040" s="8">
        <v>43123</v>
      </c>
      <c r="O8040" s="9" t="s">
        <v>30</v>
      </c>
      <c r="P8040" s="12" t="s">
        <v>23455</v>
      </c>
      <c r="Q8040" s="9" t="s">
        <v>226</v>
      </c>
      <c r="R8040" s="14" t="str">
        <f>HYPERLINK("https://my.pitchbook.com?c=110227-51T","View Company Online")</f>
        <v>View Company Online</v>
      </c>
    </row>
    <row r="8041" spans="1:18" hidden="1" x14ac:dyDescent="0.3">
      <c r="A8041" s="15" t="s">
        <v>23456</v>
      </c>
      <c r="B8041" s="15" t="s">
        <v>19296</v>
      </c>
      <c r="C8041" s="18" t="s">
        <v>28</v>
      </c>
      <c r="D8041" s="15" t="s">
        <v>19297</v>
      </c>
      <c r="E8041" s="18" t="s">
        <v>28</v>
      </c>
      <c r="F8041" s="19" t="s">
        <v>28</v>
      </c>
      <c r="G8041" s="19">
        <v>0.26</v>
      </c>
      <c r="H8041" s="19" t="s">
        <v>28</v>
      </c>
      <c r="I8041" s="18" t="s">
        <v>28</v>
      </c>
      <c r="J8041" s="18" t="s">
        <v>28</v>
      </c>
      <c r="K8041" s="18" t="s">
        <v>28</v>
      </c>
      <c r="L8041" s="18" t="s">
        <v>28</v>
      </c>
      <c r="M8041" s="18" t="s">
        <v>28</v>
      </c>
      <c r="N8041" s="17">
        <v>43123</v>
      </c>
      <c r="O8041" s="15" t="s">
        <v>379</v>
      </c>
      <c r="P8041" s="16" t="s">
        <v>28</v>
      </c>
      <c r="Q8041" s="15" t="s">
        <v>95</v>
      </c>
      <c r="R8041" s="13" t="str">
        <f>HYPERLINK("https://my.pitchbook.com?c=125980-84T","View Company Online")</f>
        <v>View Company Online</v>
      </c>
    </row>
    <row r="8042" spans="1:18" hidden="1" x14ac:dyDescent="0.3">
      <c r="A8042" s="9" t="s">
        <v>23457</v>
      </c>
      <c r="B8042" s="9" t="s">
        <v>2048</v>
      </c>
      <c r="C8042" s="11" t="s">
        <v>28</v>
      </c>
      <c r="D8042" s="9" t="s">
        <v>2049</v>
      </c>
      <c r="E8042" s="11" t="s">
        <v>28</v>
      </c>
      <c r="F8042" s="10" t="s">
        <v>28</v>
      </c>
      <c r="G8042" s="10">
        <v>1.85</v>
      </c>
      <c r="H8042" s="10">
        <v>4.1900000000000004</v>
      </c>
      <c r="I8042" s="11" t="s">
        <v>28</v>
      </c>
      <c r="J8042" s="11" t="s">
        <v>28</v>
      </c>
      <c r="K8042" s="11">
        <v>1.56</v>
      </c>
      <c r="L8042" s="11">
        <v>2.68</v>
      </c>
      <c r="M8042" s="11" t="s">
        <v>28</v>
      </c>
      <c r="N8042" s="8">
        <v>43122</v>
      </c>
      <c r="O8042" s="9" t="s">
        <v>73</v>
      </c>
      <c r="P8042" s="12" t="s">
        <v>22713</v>
      </c>
      <c r="Q8042" s="9" t="s">
        <v>1007</v>
      </c>
      <c r="R8042" s="14" t="str">
        <f>HYPERLINK("https://my.pitchbook.com?c=100634-59T","View Company Online")</f>
        <v>View Company Online</v>
      </c>
    </row>
    <row r="8043" spans="1:18" hidden="1" x14ac:dyDescent="0.3">
      <c r="A8043" s="15" t="s">
        <v>23458</v>
      </c>
      <c r="B8043" s="15" t="s">
        <v>23459</v>
      </c>
      <c r="C8043" s="18" t="s">
        <v>28</v>
      </c>
      <c r="D8043" s="15" t="s">
        <v>23460</v>
      </c>
      <c r="E8043" s="18" t="s">
        <v>28</v>
      </c>
      <c r="F8043" s="19">
        <v>373.01</v>
      </c>
      <c r="G8043" s="19">
        <v>158.53</v>
      </c>
      <c r="H8043" s="19">
        <v>373.01</v>
      </c>
      <c r="I8043" s="18" t="s">
        <v>28</v>
      </c>
      <c r="J8043" s="18" t="s">
        <v>28</v>
      </c>
      <c r="K8043" s="18" t="s">
        <v>28</v>
      </c>
      <c r="L8043" s="18" t="s">
        <v>28</v>
      </c>
      <c r="M8043" s="18" t="s">
        <v>28</v>
      </c>
      <c r="N8043" s="17">
        <v>43120</v>
      </c>
      <c r="O8043" s="15" t="s">
        <v>41</v>
      </c>
      <c r="P8043" s="16" t="s">
        <v>23461</v>
      </c>
      <c r="Q8043" s="15" t="s">
        <v>114</v>
      </c>
      <c r="R8043" s="13" t="str">
        <f>HYPERLINK("https://my.pitchbook.com?c=100365-85T","View Company Online")</f>
        <v>View Company Online</v>
      </c>
    </row>
    <row r="8044" spans="1:18" hidden="1" x14ac:dyDescent="0.3">
      <c r="A8044" s="9" t="s">
        <v>23462</v>
      </c>
      <c r="B8044" s="9" t="s">
        <v>23463</v>
      </c>
      <c r="C8044" s="11" t="s">
        <v>28</v>
      </c>
      <c r="D8044" s="9" t="s">
        <v>23464</v>
      </c>
      <c r="E8044" s="11" t="s">
        <v>28</v>
      </c>
      <c r="F8044" s="10" t="s">
        <v>28</v>
      </c>
      <c r="G8044" s="10">
        <v>0.03</v>
      </c>
      <c r="H8044" s="10" t="s">
        <v>28</v>
      </c>
      <c r="I8044" s="11" t="s">
        <v>28</v>
      </c>
      <c r="J8044" s="11" t="s">
        <v>28</v>
      </c>
      <c r="K8044" s="11" t="s">
        <v>28</v>
      </c>
      <c r="L8044" s="11" t="s">
        <v>28</v>
      </c>
      <c r="M8044" s="11" t="s">
        <v>28</v>
      </c>
      <c r="N8044" s="8">
        <v>43119</v>
      </c>
      <c r="O8044" s="9" t="s">
        <v>52</v>
      </c>
      <c r="P8044" s="12" t="s">
        <v>16809</v>
      </c>
      <c r="Q8044" s="9" t="s">
        <v>855</v>
      </c>
      <c r="R8044" s="14" t="str">
        <f>HYPERLINK("https://my.pitchbook.com?c=125336-71T","View Company Online")</f>
        <v>View Company Online</v>
      </c>
    </row>
    <row r="8045" spans="1:18" hidden="1" x14ac:dyDescent="0.3">
      <c r="A8045" s="15" t="s">
        <v>23465</v>
      </c>
      <c r="B8045" s="15" t="s">
        <v>5931</v>
      </c>
      <c r="C8045" s="18" t="s">
        <v>28</v>
      </c>
      <c r="D8045" s="15" t="s">
        <v>5932</v>
      </c>
      <c r="E8045" s="18" t="s">
        <v>28</v>
      </c>
      <c r="F8045" s="19" t="s">
        <v>28</v>
      </c>
      <c r="G8045" s="19">
        <v>0.4</v>
      </c>
      <c r="H8045" s="19" t="s">
        <v>28</v>
      </c>
      <c r="I8045" s="18" t="s">
        <v>28</v>
      </c>
      <c r="J8045" s="18" t="s">
        <v>28</v>
      </c>
      <c r="K8045" s="18" t="s">
        <v>28</v>
      </c>
      <c r="L8045" s="18" t="s">
        <v>28</v>
      </c>
      <c r="M8045" s="18" t="s">
        <v>28</v>
      </c>
      <c r="N8045" s="17">
        <v>43119</v>
      </c>
      <c r="O8045" s="15" t="s">
        <v>99</v>
      </c>
      <c r="P8045" s="16" t="s">
        <v>23466</v>
      </c>
      <c r="Q8045" s="15" t="s">
        <v>75</v>
      </c>
      <c r="R8045" s="13" t="str">
        <f>HYPERLINK("https://my.pitchbook.com?c=92134-36T","View Company Online")</f>
        <v>View Company Online</v>
      </c>
    </row>
    <row r="8046" spans="1:18" hidden="1" x14ac:dyDescent="0.3">
      <c r="A8046" s="9" t="s">
        <v>23467</v>
      </c>
      <c r="B8046" s="9" t="s">
        <v>23468</v>
      </c>
      <c r="C8046" s="11" t="s">
        <v>28</v>
      </c>
      <c r="D8046" s="9" t="s">
        <v>23469</v>
      </c>
      <c r="E8046" s="11" t="s">
        <v>28</v>
      </c>
      <c r="F8046" s="10" t="s">
        <v>28</v>
      </c>
      <c r="G8046" s="10">
        <v>0.1</v>
      </c>
      <c r="H8046" s="10" t="s">
        <v>28</v>
      </c>
      <c r="I8046" s="11" t="s">
        <v>28</v>
      </c>
      <c r="J8046" s="11" t="s">
        <v>28</v>
      </c>
      <c r="K8046" s="11" t="s">
        <v>28</v>
      </c>
      <c r="L8046" s="11" t="s">
        <v>28</v>
      </c>
      <c r="M8046" s="11" t="s">
        <v>28</v>
      </c>
      <c r="N8046" s="8">
        <v>43119</v>
      </c>
      <c r="O8046" s="9" t="s">
        <v>52</v>
      </c>
      <c r="P8046" s="12" t="s">
        <v>16809</v>
      </c>
      <c r="Q8046" s="9" t="s">
        <v>566</v>
      </c>
      <c r="R8046" s="14" t="str">
        <f>HYPERLINK("https://my.pitchbook.com?c=125349-04T","View Company Online")</f>
        <v>View Company Online</v>
      </c>
    </row>
    <row r="8047" spans="1:18" hidden="1" x14ac:dyDescent="0.3">
      <c r="A8047" s="15" t="s">
        <v>23470</v>
      </c>
      <c r="B8047" s="15" t="s">
        <v>23471</v>
      </c>
      <c r="C8047" s="18" t="s">
        <v>28</v>
      </c>
      <c r="D8047" s="15" t="s">
        <v>23472</v>
      </c>
      <c r="E8047" s="18" t="s">
        <v>28</v>
      </c>
      <c r="F8047" s="19" t="s">
        <v>28</v>
      </c>
      <c r="G8047" s="19">
        <v>0.8</v>
      </c>
      <c r="H8047" s="19" t="s">
        <v>28</v>
      </c>
      <c r="I8047" s="18" t="s">
        <v>28</v>
      </c>
      <c r="J8047" s="18" t="s">
        <v>28</v>
      </c>
      <c r="K8047" s="18" t="s">
        <v>28</v>
      </c>
      <c r="L8047" s="18" t="s">
        <v>28</v>
      </c>
      <c r="M8047" s="18" t="s">
        <v>28</v>
      </c>
      <c r="N8047" s="17">
        <v>43119</v>
      </c>
      <c r="O8047" s="15" t="s">
        <v>79</v>
      </c>
      <c r="P8047" s="16" t="s">
        <v>11495</v>
      </c>
      <c r="Q8047" s="15" t="s">
        <v>43</v>
      </c>
      <c r="R8047" s="13" t="str">
        <f>HYPERLINK("https://my.pitchbook.com?c=181492-12T","View Company Online")</f>
        <v>View Company Online</v>
      </c>
    </row>
    <row r="8048" spans="1:18" hidden="1" x14ac:dyDescent="0.3">
      <c r="A8048" s="9" t="s">
        <v>23473</v>
      </c>
      <c r="B8048" s="9" t="s">
        <v>23474</v>
      </c>
      <c r="C8048" s="11" t="s">
        <v>28</v>
      </c>
      <c r="D8048" s="9" t="s">
        <v>23475</v>
      </c>
      <c r="E8048" s="11" t="s">
        <v>28</v>
      </c>
      <c r="F8048" s="10" t="s">
        <v>28</v>
      </c>
      <c r="G8048" s="10">
        <v>0.03</v>
      </c>
      <c r="H8048" s="10" t="s">
        <v>28</v>
      </c>
      <c r="I8048" s="11" t="s">
        <v>28</v>
      </c>
      <c r="J8048" s="11" t="s">
        <v>28</v>
      </c>
      <c r="K8048" s="11" t="s">
        <v>28</v>
      </c>
      <c r="L8048" s="11" t="s">
        <v>28</v>
      </c>
      <c r="M8048" s="11" t="s">
        <v>28</v>
      </c>
      <c r="N8048" s="8">
        <v>43119</v>
      </c>
      <c r="O8048" s="9" t="s">
        <v>52</v>
      </c>
      <c r="P8048" s="12" t="s">
        <v>16809</v>
      </c>
      <c r="Q8048" s="9" t="s">
        <v>1793</v>
      </c>
      <c r="R8048" s="14" t="str">
        <f>HYPERLINK("https://my.pitchbook.com?c=125343-73T","View Company Online")</f>
        <v>View Company Online</v>
      </c>
    </row>
    <row r="8049" spans="1:18" hidden="1" x14ac:dyDescent="0.3">
      <c r="A8049" s="15" t="s">
        <v>23476</v>
      </c>
      <c r="B8049" s="15" t="s">
        <v>23477</v>
      </c>
      <c r="C8049" s="18" t="s">
        <v>28</v>
      </c>
      <c r="D8049" s="15" t="s">
        <v>23478</v>
      </c>
      <c r="E8049" s="18" t="s">
        <v>28</v>
      </c>
      <c r="F8049" s="19">
        <v>38.25</v>
      </c>
      <c r="G8049" s="19">
        <v>26.77</v>
      </c>
      <c r="H8049" s="19">
        <v>38.25</v>
      </c>
      <c r="I8049" s="18" t="s">
        <v>28</v>
      </c>
      <c r="J8049" s="18" t="s">
        <v>28</v>
      </c>
      <c r="K8049" s="18" t="s">
        <v>28</v>
      </c>
      <c r="L8049" s="18" t="s">
        <v>28</v>
      </c>
      <c r="M8049" s="18" t="s">
        <v>28</v>
      </c>
      <c r="N8049" s="17">
        <v>43118</v>
      </c>
      <c r="O8049" s="15" t="s">
        <v>30</v>
      </c>
      <c r="P8049" s="16" t="s">
        <v>23479</v>
      </c>
      <c r="Q8049" s="15" t="s">
        <v>37</v>
      </c>
      <c r="R8049" s="13" t="str">
        <f>HYPERLINK("https://my.pitchbook.com?c=106869-07T","View Company Online")</f>
        <v>View Company Online</v>
      </c>
    </row>
    <row r="8050" spans="1:18" hidden="1" x14ac:dyDescent="0.3">
      <c r="A8050" s="9" t="s">
        <v>23480</v>
      </c>
      <c r="B8050" s="9" t="s">
        <v>23481</v>
      </c>
      <c r="C8050" s="11" t="s">
        <v>28</v>
      </c>
      <c r="D8050" s="9" t="s">
        <v>23482</v>
      </c>
      <c r="E8050" s="11" t="s">
        <v>28</v>
      </c>
      <c r="F8050" s="10">
        <v>25.28</v>
      </c>
      <c r="G8050" s="10">
        <v>25.28</v>
      </c>
      <c r="H8050" s="10">
        <v>25.28</v>
      </c>
      <c r="I8050" s="11" t="s">
        <v>28</v>
      </c>
      <c r="J8050" s="11" t="s">
        <v>28</v>
      </c>
      <c r="K8050" s="11" t="s">
        <v>28</v>
      </c>
      <c r="L8050" s="11" t="s">
        <v>28</v>
      </c>
      <c r="M8050" s="11" t="s">
        <v>28</v>
      </c>
      <c r="N8050" s="8">
        <v>43117</v>
      </c>
      <c r="O8050" s="9" t="s">
        <v>30</v>
      </c>
      <c r="P8050" s="12" t="s">
        <v>23483</v>
      </c>
      <c r="Q8050" s="9" t="s">
        <v>2916</v>
      </c>
      <c r="R8050" s="14" t="str">
        <f>HYPERLINK("https://my.pitchbook.com?c=98393-77T","View Company Online")</f>
        <v>View Company Online</v>
      </c>
    </row>
    <row r="8051" spans="1:18" hidden="1" x14ac:dyDescent="0.3">
      <c r="A8051" s="15" t="s">
        <v>23484</v>
      </c>
      <c r="B8051" s="15" t="s">
        <v>11091</v>
      </c>
      <c r="C8051" s="18" t="s">
        <v>28</v>
      </c>
      <c r="D8051" s="15" t="s">
        <v>11092</v>
      </c>
      <c r="E8051" s="18" t="s">
        <v>28</v>
      </c>
      <c r="F8051" s="19" t="s">
        <v>28</v>
      </c>
      <c r="G8051" s="19">
        <v>0.03</v>
      </c>
      <c r="H8051" s="19" t="s">
        <v>28</v>
      </c>
      <c r="I8051" s="18" t="s">
        <v>28</v>
      </c>
      <c r="J8051" s="18" t="s">
        <v>28</v>
      </c>
      <c r="K8051" s="18" t="s">
        <v>28</v>
      </c>
      <c r="L8051" s="18" t="s">
        <v>28</v>
      </c>
      <c r="M8051" s="18" t="s">
        <v>28</v>
      </c>
      <c r="N8051" s="17">
        <v>43117</v>
      </c>
      <c r="O8051" s="15" t="s">
        <v>52</v>
      </c>
      <c r="P8051" s="16" t="s">
        <v>16809</v>
      </c>
      <c r="Q8051" s="15" t="s">
        <v>5628</v>
      </c>
      <c r="R8051" s="13" t="str">
        <f>HYPERLINK("https://my.pitchbook.com?c=125338-51T","View Company Online")</f>
        <v>View Company Online</v>
      </c>
    </row>
    <row r="8052" spans="1:18" hidden="1" x14ac:dyDescent="0.3">
      <c r="A8052" s="9" t="s">
        <v>23485</v>
      </c>
      <c r="B8052" s="9" t="s">
        <v>23486</v>
      </c>
      <c r="C8052" s="11" t="s">
        <v>28</v>
      </c>
      <c r="D8052" s="9" t="s">
        <v>23487</v>
      </c>
      <c r="E8052" s="11" t="s">
        <v>28</v>
      </c>
      <c r="F8052" s="10" t="s">
        <v>28</v>
      </c>
      <c r="G8052" s="10" t="s">
        <v>28</v>
      </c>
      <c r="H8052" s="10" t="s">
        <v>28</v>
      </c>
      <c r="I8052" s="11" t="s">
        <v>28</v>
      </c>
      <c r="J8052" s="11" t="s">
        <v>28</v>
      </c>
      <c r="K8052" s="11" t="s">
        <v>28</v>
      </c>
      <c r="L8052" s="11" t="s">
        <v>28</v>
      </c>
      <c r="M8052" s="11" t="s">
        <v>28</v>
      </c>
      <c r="N8052" s="8">
        <v>43117</v>
      </c>
      <c r="O8052" s="9" t="s">
        <v>58</v>
      </c>
      <c r="P8052" s="12" t="s">
        <v>23488</v>
      </c>
      <c r="Q8052" s="9" t="s">
        <v>136</v>
      </c>
      <c r="R8052" s="14" t="str">
        <f>HYPERLINK("https://my.pitchbook.com?c=165290-68T","View Company Online")</f>
        <v>View Company Online</v>
      </c>
    </row>
    <row r="8053" spans="1:18" hidden="1" x14ac:dyDescent="0.3">
      <c r="A8053" s="15" t="s">
        <v>23489</v>
      </c>
      <c r="B8053" s="15" t="s">
        <v>10005</v>
      </c>
      <c r="C8053" s="18" t="s">
        <v>28</v>
      </c>
      <c r="D8053" s="15" t="s">
        <v>10006</v>
      </c>
      <c r="E8053" s="18" t="s">
        <v>28</v>
      </c>
      <c r="F8053" s="19" t="s">
        <v>28</v>
      </c>
      <c r="G8053" s="19">
        <v>55</v>
      </c>
      <c r="H8053" s="19" t="s">
        <v>28</v>
      </c>
      <c r="I8053" s="18" t="s">
        <v>28</v>
      </c>
      <c r="J8053" s="18" t="s">
        <v>28</v>
      </c>
      <c r="K8053" s="18" t="s">
        <v>28</v>
      </c>
      <c r="L8053" s="18" t="s">
        <v>28</v>
      </c>
      <c r="M8053" s="18" t="s">
        <v>28</v>
      </c>
      <c r="N8053" s="17">
        <v>43116</v>
      </c>
      <c r="O8053" s="15" t="s">
        <v>79</v>
      </c>
      <c r="P8053" s="16" t="s">
        <v>23490</v>
      </c>
      <c r="Q8053" s="15" t="s">
        <v>696</v>
      </c>
      <c r="R8053" s="13" t="str">
        <f>HYPERLINK("https://my.pitchbook.com?c=98541-82T","View Company Online")</f>
        <v>View Company Online</v>
      </c>
    </row>
    <row r="8054" spans="1:18" hidden="1" x14ac:dyDescent="0.3">
      <c r="A8054" s="9" t="s">
        <v>23491</v>
      </c>
      <c r="B8054" s="9" t="s">
        <v>23492</v>
      </c>
      <c r="C8054" s="11" t="s">
        <v>28</v>
      </c>
      <c r="D8054" s="9" t="s">
        <v>23493</v>
      </c>
      <c r="E8054" s="11" t="s">
        <v>28</v>
      </c>
      <c r="F8054" s="10" t="s">
        <v>28</v>
      </c>
      <c r="G8054" s="10" t="s">
        <v>28</v>
      </c>
      <c r="H8054" s="10" t="s">
        <v>28</v>
      </c>
      <c r="I8054" s="11" t="s">
        <v>28</v>
      </c>
      <c r="J8054" s="11" t="s">
        <v>28</v>
      </c>
      <c r="K8054" s="11" t="s">
        <v>28</v>
      </c>
      <c r="L8054" s="11" t="s">
        <v>28</v>
      </c>
      <c r="M8054" s="11" t="s">
        <v>28</v>
      </c>
      <c r="N8054" s="8">
        <v>43112</v>
      </c>
      <c r="O8054" s="9" t="s">
        <v>30</v>
      </c>
      <c r="P8054" s="12" t="s">
        <v>13536</v>
      </c>
      <c r="Q8054" s="9" t="s">
        <v>95</v>
      </c>
      <c r="R8054" s="14" t="str">
        <f>HYPERLINK("https://my.pitchbook.com?c=106506-55T","View Company Online")</f>
        <v>View Company Online</v>
      </c>
    </row>
    <row r="8055" spans="1:18" hidden="1" x14ac:dyDescent="0.3">
      <c r="A8055" s="15" t="s">
        <v>23494</v>
      </c>
      <c r="B8055" s="15" t="s">
        <v>23495</v>
      </c>
      <c r="C8055" s="18" t="s">
        <v>28</v>
      </c>
      <c r="D8055" s="15" t="s">
        <v>23496</v>
      </c>
      <c r="E8055" s="18" t="s">
        <v>28</v>
      </c>
      <c r="F8055" s="19" t="s">
        <v>28</v>
      </c>
      <c r="G8055" s="19" t="s">
        <v>28</v>
      </c>
      <c r="H8055" s="19" t="s">
        <v>28</v>
      </c>
      <c r="I8055" s="18" t="s">
        <v>28</v>
      </c>
      <c r="J8055" s="18" t="s">
        <v>28</v>
      </c>
      <c r="K8055" s="18" t="s">
        <v>28</v>
      </c>
      <c r="L8055" s="18" t="s">
        <v>28</v>
      </c>
      <c r="M8055" s="18" t="s">
        <v>28</v>
      </c>
      <c r="N8055" s="17">
        <v>43111</v>
      </c>
      <c r="O8055" s="15" t="s">
        <v>30</v>
      </c>
      <c r="P8055" s="16" t="s">
        <v>28</v>
      </c>
      <c r="Q8055" s="15" t="s">
        <v>900</v>
      </c>
      <c r="R8055" s="13" t="str">
        <f>HYPERLINK("https://my.pitchbook.com?c=99959-23T","View Company Online")</f>
        <v>View Company Online</v>
      </c>
    </row>
    <row r="8056" spans="1:18" hidden="1" x14ac:dyDescent="0.3">
      <c r="A8056" s="9" t="s">
        <v>23497</v>
      </c>
      <c r="B8056" s="9" t="s">
        <v>23498</v>
      </c>
      <c r="C8056" s="11" t="s">
        <v>28</v>
      </c>
      <c r="D8056" s="9" t="s">
        <v>23499</v>
      </c>
      <c r="E8056" s="11" t="s">
        <v>28</v>
      </c>
      <c r="F8056" s="10" t="s">
        <v>28</v>
      </c>
      <c r="G8056" s="10" t="s">
        <v>28</v>
      </c>
      <c r="H8056" s="10" t="s">
        <v>28</v>
      </c>
      <c r="I8056" s="11" t="s">
        <v>28</v>
      </c>
      <c r="J8056" s="11" t="s">
        <v>28</v>
      </c>
      <c r="K8056" s="11">
        <v>56.32</v>
      </c>
      <c r="L8056" s="11" t="s">
        <v>28</v>
      </c>
      <c r="M8056" s="11" t="s">
        <v>28</v>
      </c>
      <c r="N8056" s="8">
        <v>43111</v>
      </c>
      <c r="O8056" s="9" t="s">
        <v>30</v>
      </c>
      <c r="P8056" s="12" t="s">
        <v>23500</v>
      </c>
      <c r="Q8056" s="9" t="s">
        <v>136</v>
      </c>
      <c r="R8056" s="14" t="str">
        <f>HYPERLINK("https://my.pitchbook.com?c=105951-25T","View Company Online")</f>
        <v>View Company Online</v>
      </c>
    </row>
    <row r="8057" spans="1:18" hidden="1" x14ac:dyDescent="0.3">
      <c r="A8057" s="15" t="s">
        <v>23501</v>
      </c>
      <c r="B8057" s="15" t="s">
        <v>23502</v>
      </c>
      <c r="C8057" s="18" t="s">
        <v>28</v>
      </c>
      <c r="D8057" s="15" t="s">
        <v>23503</v>
      </c>
      <c r="E8057" s="18" t="s">
        <v>28</v>
      </c>
      <c r="F8057" s="19" t="s">
        <v>28</v>
      </c>
      <c r="G8057" s="19" t="s">
        <v>28</v>
      </c>
      <c r="H8057" s="19" t="s">
        <v>28</v>
      </c>
      <c r="I8057" s="18" t="s">
        <v>28</v>
      </c>
      <c r="J8057" s="18" t="s">
        <v>28</v>
      </c>
      <c r="K8057" s="18" t="s">
        <v>28</v>
      </c>
      <c r="L8057" s="18" t="s">
        <v>28</v>
      </c>
      <c r="M8057" s="18" t="s">
        <v>28</v>
      </c>
      <c r="N8057" s="17">
        <v>43109</v>
      </c>
      <c r="O8057" s="15" t="s">
        <v>79</v>
      </c>
      <c r="P8057" s="16" t="s">
        <v>10628</v>
      </c>
      <c r="Q8057" s="15" t="s">
        <v>95</v>
      </c>
      <c r="R8057" s="13" t="str">
        <f>HYPERLINK("https://my.pitchbook.com?c=114939-55T","View Company Online")</f>
        <v>View Company Online</v>
      </c>
    </row>
    <row r="8058" spans="1:18" hidden="1" x14ac:dyDescent="0.3">
      <c r="A8058" s="9" t="s">
        <v>23504</v>
      </c>
      <c r="B8058" s="9" t="s">
        <v>23505</v>
      </c>
      <c r="C8058" s="11" t="s">
        <v>28</v>
      </c>
      <c r="D8058" s="9" t="s">
        <v>23506</v>
      </c>
      <c r="E8058" s="11" t="s">
        <v>28</v>
      </c>
      <c r="F8058" s="10" t="s">
        <v>28</v>
      </c>
      <c r="G8058" s="10" t="s">
        <v>28</v>
      </c>
      <c r="H8058" s="10" t="s">
        <v>28</v>
      </c>
      <c r="I8058" s="11" t="s">
        <v>28</v>
      </c>
      <c r="J8058" s="11" t="s">
        <v>28</v>
      </c>
      <c r="K8058" s="11">
        <v>27</v>
      </c>
      <c r="L8058" s="11" t="s">
        <v>28</v>
      </c>
      <c r="M8058" s="11" t="s">
        <v>28</v>
      </c>
      <c r="N8058" s="8">
        <v>43108</v>
      </c>
      <c r="O8058" s="9" t="s">
        <v>30</v>
      </c>
      <c r="P8058" s="12" t="s">
        <v>23507</v>
      </c>
      <c r="Q8058" s="9" t="s">
        <v>95</v>
      </c>
      <c r="R8058" s="14" t="str">
        <f>HYPERLINK("https://my.pitchbook.com?c=99803-62T","View Company Online")</f>
        <v>View Company Online</v>
      </c>
    </row>
    <row r="8059" spans="1:18" hidden="1" x14ac:dyDescent="0.3">
      <c r="A8059" s="15" t="s">
        <v>23508</v>
      </c>
      <c r="B8059" s="15" t="s">
        <v>15154</v>
      </c>
      <c r="C8059" s="18" t="s">
        <v>28</v>
      </c>
      <c r="D8059" s="15" t="s">
        <v>15155</v>
      </c>
      <c r="E8059" s="18" t="s">
        <v>28</v>
      </c>
      <c r="F8059" s="19" t="s">
        <v>28</v>
      </c>
      <c r="G8059" s="19">
        <v>0.54</v>
      </c>
      <c r="H8059" s="19" t="s">
        <v>28</v>
      </c>
      <c r="I8059" s="18" t="s">
        <v>28</v>
      </c>
      <c r="J8059" s="18" t="s">
        <v>28</v>
      </c>
      <c r="K8059" s="18" t="s">
        <v>28</v>
      </c>
      <c r="L8059" s="18" t="s">
        <v>28</v>
      </c>
      <c r="M8059" s="18" t="s">
        <v>28</v>
      </c>
      <c r="N8059" s="17">
        <v>43108</v>
      </c>
      <c r="O8059" s="15" t="s">
        <v>99</v>
      </c>
      <c r="P8059" s="16" t="s">
        <v>23509</v>
      </c>
      <c r="Q8059" s="15" t="s">
        <v>85</v>
      </c>
      <c r="R8059" s="13" t="str">
        <f>HYPERLINK("https://my.pitchbook.com?c=139261-60T","View Company Online")</f>
        <v>View Company Online</v>
      </c>
    </row>
    <row r="8060" spans="1:18" hidden="1" x14ac:dyDescent="0.3">
      <c r="A8060" s="9" t="s">
        <v>23510</v>
      </c>
      <c r="B8060" s="9" t="s">
        <v>23511</v>
      </c>
      <c r="C8060" s="11" t="s">
        <v>28</v>
      </c>
      <c r="D8060" s="9" t="s">
        <v>23512</v>
      </c>
      <c r="E8060" s="11" t="s">
        <v>28</v>
      </c>
      <c r="F8060" s="10">
        <v>1150</v>
      </c>
      <c r="G8060" s="10">
        <v>1150</v>
      </c>
      <c r="H8060" s="10">
        <v>1150</v>
      </c>
      <c r="I8060" s="11" t="s">
        <v>28</v>
      </c>
      <c r="J8060" s="11" t="s">
        <v>28</v>
      </c>
      <c r="K8060" s="11" t="s">
        <v>28</v>
      </c>
      <c r="L8060" s="11" t="s">
        <v>28</v>
      </c>
      <c r="M8060" s="11" t="s">
        <v>28</v>
      </c>
      <c r="N8060" s="8">
        <v>43108</v>
      </c>
      <c r="O8060" s="9" t="s">
        <v>30</v>
      </c>
      <c r="P8060" s="12" t="s">
        <v>23513</v>
      </c>
      <c r="Q8060" s="9" t="s">
        <v>1007</v>
      </c>
      <c r="R8060" s="14" t="str">
        <f>HYPERLINK("https://my.pitchbook.com?c=76324-60T","View Company Online")</f>
        <v>View Company Online</v>
      </c>
    </row>
    <row r="8061" spans="1:18" hidden="1" x14ac:dyDescent="0.3">
      <c r="A8061" s="15" t="s">
        <v>23514</v>
      </c>
      <c r="B8061" s="15" t="s">
        <v>23515</v>
      </c>
      <c r="C8061" s="18" t="s">
        <v>28</v>
      </c>
      <c r="D8061" s="15" t="s">
        <v>23516</v>
      </c>
      <c r="E8061" s="18" t="s">
        <v>28</v>
      </c>
      <c r="F8061" s="19" t="s">
        <v>28</v>
      </c>
      <c r="G8061" s="19" t="s">
        <v>28</v>
      </c>
      <c r="H8061" s="19" t="s">
        <v>28</v>
      </c>
      <c r="I8061" s="18" t="s">
        <v>28</v>
      </c>
      <c r="J8061" s="18" t="s">
        <v>28</v>
      </c>
      <c r="K8061" s="18" t="s">
        <v>28</v>
      </c>
      <c r="L8061" s="18" t="s">
        <v>28</v>
      </c>
      <c r="M8061" s="18" t="s">
        <v>28</v>
      </c>
      <c r="N8061" s="17">
        <v>43108</v>
      </c>
      <c r="O8061" s="15" t="s">
        <v>30</v>
      </c>
      <c r="P8061" s="16" t="s">
        <v>23517</v>
      </c>
      <c r="Q8061" s="15" t="s">
        <v>169</v>
      </c>
      <c r="R8061" s="13" t="str">
        <f>HYPERLINK("https://my.pitchbook.com?c=99936-28T","View Company Online")</f>
        <v>View Company Online</v>
      </c>
    </row>
    <row r="8062" spans="1:18" hidden="1" x14ac:dyDescent="0.3">
      <c r="A8062" s="9" t="s">
        <v>23518</v>
      </c>
      <c r="B8062" s="9" t="s">
        <v>23519</v>
      </c>
      <c r="C8062" s="11" t="s">
        <v>28</v>
      </c>
      <c r="D8062" s="9" t="s">
        <v>23520</v>
      </c>
      <c r="E8062" s="11" t="s">
        <v>28</v>
      </c>
      <c r="F8062" s="10" t="s">
        <v>28</v>
      </c>
      <c r="G8062" s="10" t="s">
        <v>28</v>
      </c>
      <c r="H8062" s="10" t="s">
        <v>28</v>
      </c>
      <c r="I8062" s="11" t="s">
        <v>28</v>
      </c>
      <c r="J8062" s="11" t="s">
        <v>28</v>
      </c>
      <c r="K8062" s="11" t="s">
        <v>28</v>
      </c>
      <c r="L8062" s="11" t="s">
        <v>28</v>
      </c>
      <c r="M8062" s="11" t="s">
        <v>28</v>
      </c>
      <c r="N8062" s="8">
        <v>43105</v>
      </c>
      <c r="O8062" s="9" t="s">
        <v>30</v>
      </c>
      <c r="P8062" s="12" t="s">
        <v>23521</v>
      </c>
      <c r="Q8062" s="9" t="s">
        <v>240</v>
      </c>
      <c r="R8062" s="14" t="str">
        <f>HYPERLINK("https://my.pitchbook.com?c=224497-54T","View Company Online")</f>
        <v>View Company Online</v>
      </c>
    </row>
    <row r="8063" spans="1:18" hidden="1" x14ac:dyDescent="0.3">
      <c r="A8063" s="15" t="s">
        <v>23522</v>
      </c>
      <c r="B8063" s="15" t="s">
        <v>5684</v>
      </c>
      <c r="C8063" s="18" t="s">
        <v>28</v>
      </c>
      <c r="D8063" s="15" t="s">
        <v>5685</v>
      </c>
      <c r="E8063" s="18">
        <v>1.71</v>
      </c>
      <c r="F8063" s="19" t="s">
        <v>28</v>
      </c>
      <c r="G8063" s="19" t="s">
        <v>28</v>
      </c>
      <c r="H8063" s="19" t="s">
        <v>28</v>
      </c>
      <c r="I8063" s="18">
        <v>1.71</v>
      </c>
      <c r="J8063" s="18" t="s">
        <v>28</v>
      </c>
      <c r="K8063" s="18">
        <v>1.1000000000000001</v>
      </c>
      <c r="L8063" s="18" t="s">
        <v>28</v>
      </c>
      <c r="M8063" s="18">
        <v>1.67</v>
      </c>
      <c r="N8063" s="17">
        <v>43104</v>
      </c>
      <c r="O8063" s="15" t="s">
        <v>173</v>
      </c>
      <c r="P8063" s="16" t="s">
        <v>28</v>
      </c>
      <c r="Q8063" s="15" t="s">
        <v>1361</v>
      </c>
      <c r="R8063" s="13" t="str">
        <f>HYPERLINK("https://my.pitchbook.com?c=221122-09T","View Company Online")</f>
        <v>View Company Online</v>
      </c>
    </row>
    <row r="8064" spans="1:18" hidden="1" x14ac:dyDescent="0.3">
      <c r="A8064" s="9" t="s">
        <v>23523</v>
      </c>
      <c r="B8064" s="9" t="s">
        <v>23524</v>
      </c>
      <c r="C8064" s="11" t="s">
        <v>28</v>
      </c>
      <c r="D8064" s="9" t="s">
        <v>23525</v>
      </c>
      <c r="E8064" s="11" t="s">
        <v>28</v>
      </c>
      <c r="F8064" s="10">
        <v>101.07</v>
      </c>
      <c r="G8064" s="10">
        <v>93.84</v>
      </c>
      <c r="H8064" s="10">
        <v>101.07</v>
      </c>
      <c r="I8064" s="11" t="s">
        <v>28</v>
      </c>
      <c r="J8064" s="11" t="s">
        <v>28</v>
      </c>
      <c r="K8064" s="11" t="s">
        <v>28</v>
      </c>
      <c r="L8064" s="11" t="s">
        <v>28</v>
      </c>
      <c r="M8064" s="11" t="s">
        <v>28</v>
      </c>
      <c r="N8064" s="8">
        <v>43104</v>
      </c>
      <c r="O8064" s="9" t="s">
        <v>30</v>
      </c>
      <c r="P8064" s="12" t="s">
        <v>10073</v>
      </c>
      <c r="Q8064" s="9" t="s">
        <v>362</v>
      </c>
      <c r="R8064" s="14" t="str">
        <f>HYPERLINK("https://my.pitchbook.com?c=103961-08T","View Company Online")</f>
        <v>View Company Online</v>
      </c>
    </row>
    <row r="8065" spans="1:18" hidden="1" x14ac:dyDescent="0.3">
      <c r="A8065" s="15" t="s">
        <v>23526</v>
      </c>
      <c r="B8065" s="15" t="s">
        <v>23527</v>
      </c>
      <c r="C8065" s="18" t="s">
        <v>28</v>
      </c>
      <c r="D8065" s="15" t="s">
        <v>23528</v>
      </c>
      <c r="E8065" s="18" t="s">
        <v>28</v>
      </c>
      <c r="F8065" s="19" t="s">
        <v>28</v>
      </c>
      <c r="G8065" s="19">
        <v>9.08</v>
      </c>
      <c r="H8065" s="19">
        <v>30.27</v>
      </c>
      <c r="I8065" s="18" t="s">
        <v>28</v>
      </c>
      <c r="J8065" s="18" t="s">
        <v>28</v>
      </c>
      <c r="K8065" s="18" t="s">
        <v>28</v>
      </c>
      <c r="L8065" s="18" t="s">
        <v>28</v>
      </c>
      <c r="M8065" s="18" t="s">
        <v>28</v>
      </c>
      <c r="N8065" s="17">
        <v>43104</v>
      </c>
      <c r="O8065" s="15" t="s">
        <v>93</v>
      </c>
      <c r="P8065" s="16" t="s">
        <v>11640</v>
      </c>
      <c r="Q8065" s="15" t="s">
        <v>362</v>
      </c>
      <c r="R8065" s="13" t="str">
        <f>HYPERLINK("https://my.pitchbook.com?c=140923-36T","View Company Online")</f>
        <v>View Company Online</v>
      </c>
    </row>
    <row r="8066" spans="1:18" hidden="1" x14ac:dyDescent="0.3">
      <c r="A8066" s="9" t="s">
        <v>23529</v>
      </c>
      <c r="B8066" s="9" t="s">
        <v>10241</v>
      </c>
      <c r="C8066" s="11" t="s">
        <v>28</v>
      </c>
      <c r="D8066" s="9" t="s">
        <v>10242</v>
      </c>
      <c r="E8066" s="11" t="s">
        <v>28</v>
      </c>
      <c r="F8066" s="10" t="s">
        <v>28</v>
      </c>
      <c r="G8066" s="10" t="s">
        <v>28</v>
      </c>
      <c r="H8066" s="10" t="s">
        <v>28</v>
      </c>
      <c r="I8066" s="11" t="s">
        <v>28</v>
      </c>
      <c r="J8066" s="11" t="s">
        <v>28</v>
      </c>
      <c r="K8066" s="11" t="s">
        <v>28</v>
      </c>
      <c r="L8066" s="11" t="s">
        <v>28</v>
      </c>
      <c r="M8066" s="11" t="s">
        <v>28</v>
      </c>
      <c r="N8066" s="8">
        <v>43104</v>
      </c>
      <c r="O8066" s="9" t="s">
        <v>30</v>
      </c>
      <c r="P8066" s="12" t="s">
        <v>63</v>
      </c>
      <c r="Q8066" s="9" t="s">
        <v>64</v>
      </c>
      <c r="R8066" s="14" t="str">
        <f>HYPERLINK("https://my.pitchbook.com?c=92034-37T","View Company Online")</f>
        <v>View Company Online</v>
      </c>
    </row>
    <row r="8067" spans="1:18" hidden="1" x14ac:dyDescent="0.3">
      <c r="A8067" s="15" t="s">
        <v>23530</v>
      </c>
      <c r="B8067" s="15" t="s">
        <v>23531</v>
      </c>
      <c r="C8067" s="18" t="s">
        <v>28</v>
      </c>
      <c r="D8067" s="15" t="s">
        <v>23532</v>
      </c>
      <c r="E8067" s="18" t="s">
        <v>28</v>
      </c>
      <c r="F8067" s="19">
        <v>1000</v>
      </c>
      <c r="G8067" s="19">
        <v>900</v>
      </c>
      <c r="H8067" s="19">
        <v>1000</v>
      </c>
      <c r="I8067" s="18" t="s">
        <v>28</v>
      </c>
      <c r="J8067" s="18" t="s">
        <v>28</v>
      </c>
      <c r="K8067" s="18" t="s">
        <v>28</v>
      </c>
      <c r="L8067" s="18" t="s">
        <v>28</v>
      </c>
      <c r="M8067" s="18" t="s">
        <v>28</v>
      </c>
      <c r="N8067" s="17">
        <v>43103</v>
      </c>
      <c r="O8067" s="15" t="s">
        <v>30</v>
      </c>
      <c r="P8067" s="16" t="s">
        <v>23533</v>
      </c>
      <c r="Q8067" s="15" t="s">
        <v>85</v>
      </c>
      <c r="R8067" s="13" t="str">
        <f>HYPERLINK("https://my.pitchbook.com?c=99526-15T","View Company Online")</f>
        <v>View Company Online</v>
      </c>
    </row>
    <row r="8068" spans="1:18" hidden="1" x14ac:dyDescent="0.3">
      <c r="A8068" s="9" t="s">
        <v>23534</v>
      </c>
      <c r="B8068" s="9" t="s">
        <v>23535</v>
      </c>
      <c r="C8068" s="11" t="s">
        <v>28</v>
      </c>
      <c r="D8068" s="9" t="s">
        <v>23536</v>
      </c>
      <c r="E8068" s="11" t="s">
        <v>28</v>
      </c>
      <c r="F8068" s="10" t="s">
        <v>28</v>
      </c>
      <c r="G8068" s="10" t="s">
        <v>28</v>
      </c>
      <c r="H8068" s="10" t="s">
        <v>28</v>
      </c>
      <c r="I8068" s="11" t="s">
        <v>28</v>
      </c>
      <c r="J8068" s="11" t="s">
        <v>28</v>
      </c>
      <c r="K8068" s="11" t="s">
        <v>28</v>
      </c>
      <c r="L8068" s="11" t="s">
        <v>28</v>
      </c>
      <c r="M8068" s="11" t="s">
        <v>28</v>
      </c>
      <c r="N8068" s="8">
        <v>43103</v>
      </c>
      <c r="O8068" s="9" t="s">
        <v>30</v>
      </c>
      <c r="P8068" s="12" t="s">
        <v>23537</v>
      </c>
      <c r="Q8068" s="9" t="s">
        <v>4602</v>
      </c>
      <c r="R8068" s="14" t="str">
        <f>HYPERLINK("https://my.pitchbook.com?c=97668-10T","View Company Online")</f>
        <v>View Company Online</v>
      </c>
    </row>
    <row r="8069" spans="1:18" x14ac:dyDescent="0.3">
      <c r="A8069" s="15" t="s">
        <v>23538</v>
      </c>
      <c r="B8069" s="15" t="s">
        <v>23539</v>
      </c>
      <c r="C8069" s="18" t="s">
        <v>28</v>
      </c>
      <c r="D8069" s="15" t="s">
        <v>23540</v>
      </c>
      <c r="E8069" s="18">
        <v>-45.85</v>
      </c>
      <c r="F8069" s="19">
        <v>46.04</v>
      </c>
      <c r="G8069" s="19">
        <v>46.65</v>
      </c>
      <c r="H8069" s="19">
        <v>46.65</v>
      </c>
      <c r="I8069" s="18">
        <v>-42</v>
      </c>
      <c r="J8069" s="18">
        <v>-1.1100000000000001</v>
      </c>
      <c r="K8069" s="18">
        <v>66.06</v>
      </c>
      <c r="L8069" s="18">
        <v>0.71</v>
      </c>
      <c r="M8069" s="18">
        <v>-46.31</v>
      </c>
      <c r="N8069" s="17">
        <v>43102</v>
      </c>
      <c r="O8069" s="15" t="s">
        <v>30</v>
      </c>
      <c r="P8069" s="16" t="s">
        <v>23541</v>
      </c>
      <c r="Q8069" s="15" t="s">
        <v>1068</v>
      </c>
      <c r="R8069" s="13" t="str">
        <f>HYPERLINK("https://my.pitchbook.com?c=110142-55T","View Company Online")</f>
        <v>View Company Online</v>
      </c>
    </row>
    <row r="8070" spans="1:18" hidden="1" x14ac:dyDescent="0.3">
      <c r="A8070" s="9" t="s">
        <v>23542</v>
      </c>
      <c r="B8070" s="9" t="s">
        <v>23543</v>
      </c>
      <c r="C8070" s="11" t="s">
        <v>28</v>
      </c>
      <c r="D8070" s="9" t="s">
        <v>23544</v>
      </c>
      <c r="E8070" s="11" t="s">
        <v>28</v>
      </c>
      <c r="F8070" s="10" t="s">
        <v>28</v>
      </c>
      <c r="G8070" s="10">
        <v>0.6</v>
      </c>
      <c r="H8070" s="10" t="s">
        <v>28</v>
      </c>
      <c r="I8070" s="11" t="s">
        <v>28</v>
      </c>
      <c r="J8070" s="11" t="s">
        <v>28</v>
      </c>
      <c r="K8070" s="11" t="s">
        <v>28</v>
      </c>
      <c r="L8070" s="11" t="s">
        <v>28</v>
      </c>
      <c r="M8070" s="11" t="s">
        <v>28</v>
      </c>
      <c r="N8070" s="8">
        <v>43102</v>
      </c>
      <c r="O8070" s="9" t="s">
        <v>79</v>
      </c>
      <c r="P8070" s="12" t="s">
        <v>23545</v>
      </c>
      <c r="Q8070" s="9" t="s">
        <v>75</v>
      </c>
      <c r="R8070" s="14" t="str">
        <f>HYPERLINK("https://my.pitchbook.com?c=208531-00T","View Company Online")</f>
        <v>View Company Online</v>
      </c>
    </row>
    <row r="8071" spans="1:18" hidden="1" x14ac:dyDescent="0.3">
      <c r="A8071" s="15" t="s">
        <v>23546</v>
      </c>
      <c r="B8071" s="15" t="s">
        <v>23547</v>
      </c>
      <c r="C8071" s="18" t="s">
        <v>28</v>
      </c>
      <c r="D8071" s="15" t="s">
        <v>23548</v>
      </c>
      <c r="E8071" s="18" t="s">
        <v>28</v>
      </c>
      <c r="F8071" s="19">
        <v>16.649999999999999</v>
      </c>
      <c r="G8071" s="19">
        <v>16.649999999999999</v>
      </c>
      <c r="H8071" s="19">
        <v>16.649999999999999</v>
      </c>
      <c r="I8071" s="18" t="s">
        <v>28</v>
      </c>
      <c r="J8071" s="18" t="s">
        <v>28</v>
      </c>
      <c r="K8071" s="18" t="s">
        <v>28</v>
      </c>
      <c r="L8071" s="18" t="s">
        <v>28</v>
      </c>
      <c r="M8071" s="18" t="s">
        <v>28</v>
      </c>
      <c r="N8071" s="17">
        <v>43102</v>
      </c>
      <c r="O8071" s="15" t="s">
        <v>30</v>
      </c>
      <c r="P8071" s="16" t="s">
        <v>23549</v>
      </c>
      <c r="Q8071" s="15" t="s">
        <v>1051</v>
      </c>
      <c r="R8071" s="13" t="str">
        <f>HYPERLINK("https://my.pitchbook.com?c=157774-87T","View Company Online")</f>
        <v>View Company Online</v>
      </c>
    </row>
    <row r="8072" spans="1:18" hidden="1" x14ac:dyDescent="0.3">
      <c r="A8072" s="9" t="s">
        <v>23550</v>
      </c>
      <c r="B8072" s="9" t="s">
        <v>21175</v>
      </c>
      <c r="C8072" s="11" t="s">
        <v>28</v>
      </c>
      <c r="D8072" s="9" t="s">
        <v>21176</v>
      </c>
      <c r="E8072" s="11" t="s">
        <v>28</v>
      </c>
      <c r="F8072" s="10" t="s">
        <v>28</v>
      </c>
      <c r="G8072" s="10" t="s">
        <v>28</v>
      </c>
      <c r="H8072" s="10" t="s">
        <v>28</v>
      </c>
      <c r="I8072" s="11" t="s">
        <v>28</v>
      </c>
      <c r="J8072" s="11" t="s">
        <v>28</v>
      </c>
      <c r="K8072" s="11" t="s">
        <v>28</v>
      </c>
      <c r="L8072" s="11" t="s">
        <v>28</v>
      </c>
      <c r="M8072" s="11" t="s">
        <v>28</v>
      </c>
      <c r="N8072" s="8">
        <v>43101</v>
      </c>
      <c r="O8072" s="9" t="s">
        <v>99</v>
      </c>
      <c r="P8072" s="12" t="s">
        <v>28</v>
      </c>
      <c r="Q8072" s="9" t="s">
        <v>409</v>
      </c>
      <c r="R8072" s="14" t="str">
        <f>HYPERLINK("https://my.pitchbook.com?c=215813-26T","View Company Online")</f>
        <v>View Company Online</v>
      </c>
    </row>
    <row r="8073" spans="1:18" hidden="1" x14ac:dyDescent="0.3">
      <c r="A8073" s="15" t="s">
        <v>23551</v>
      </c>
      <c r="B8073" s="15" t="s">
        <v>16697</v>
      </c>
      <c r="C8073" s="18" t="s">
        <v>28</v>
      </c>
      <c r="D8073" s="15" t="s">
        <v>16698</v>
      </c>
      <c r="E8073" s="18" t="s">
        <v>28</v>
      </c>
      <c r="F8073" s="19" t="s">
        <v>28</v>
      </c>
      <c r="G8073" s="19" t="s">
        <v>28</v>
      </c>
      <c r="H8073" s="19" t="s">
        <v>28</v>
      </c>
      <c r="I8073" s="18" t="s">
        <v>28</v>
      </c>
      <c r="J8073" s="18" t="s">
        <v>28</v>
      </c>
      <c r="K8073" s="18" t="s">
        <v>28</v>
      </c>
      <c r="L8073" s="18" t="s">
        <v>28</v>
      </c>
      <c r="M8073" s="18" t="s">
        <v>28</v>
      </c>
      <c r="N8073" s="17">
        <v>43101</v>
      </c>
      <c r="O8073" s="15" t="s">
        <v>79</v>
      </c>
      <c r="P8073" s="16" t="s">
        <v>23552</v>
      </c>
      <c r="Q8073" s="15" t="s">
        <v>75</v>
      </c>
      <c r="R8073" s="13" t="str">
        <f>HYPERLINK("https://my.pitchbook.com?c=220044-34T","View Company Online")</f>
        <v>View Company Online</v>
      </c>
    </row>
    <row r="8074" spans="1:18" hidden="1" x14ac:dyDescent="0.3">
      <c r="A8074" s="9" t="s">
        <v>23553</v>
      </c>
      <c r="B8074" s="9" t="s">
        <v>2170</v>
      </c>
      <c r="C8074" s="11" t="s">
        <v>28</v>
      </c>
      <c r="D8074" s="9" t="s">
        <v>2171</v>
      </c>
      <c r="E8074" s="11" t="s">
        <v>28</v>
      </c>
      <c r="F8074" s="10" t="s">
        <v>28</v>
      </c>
      <c r="G8074" s="10">
        <v>3</v>
      </c>
      <c r="H8074" s="10" t="s">
        <v>28</v>
      </c>
      <c r="I8074" s="11" t="s">
        <v>28</v>
      </c>
      <c r="J8074" s="11" t="s">
        <v>28</v>
      </c>
      <c r="K8074" s="11" t="s">
        <v>28</v>
      </c>
      <c r="L8074" s="11" t="s">
        <v>28</v>
      </c>
      <c r="M8074" s="11" t="s">
        <v>28</v>
      </c>
      <c r="N8074" s="8">
        <v>43101</v>
      </c>
      <c r="O8074" s="9" t="s">
        <v>99</v>
      </c>
      <c r="P8074" s="12" t="s">
        <v>28</v>
      </c>
      <c r="Q8074" s="9" t="s">
        <v>1336</v>
      </c>
      <c r="R8074" s="14" t="str">
        <f>HYPERLINK("https://my.pitchbook.com?c=137179-36T","View Company Online")</f>
        <v>View Company Online</v>
      </c>
    </row>
    <row r="8075" spans="1:18" hidden="1" x14ac:dyDescent="0.3">
      <c r="A8075" s="15" t="s">
        <v>23554</v>
      </c>
      <c r="B8075" s="15" t="s">
        <v>1958</v>
      </c>
      <c r="C8075" s="18" t="s">
        <v>28</v>
      </c>
      <c r="D8075" s="15" t="s">
        <v>1959</v>
      </c>
      <c r="E8075" s="18" t="s">
        <v>28</v>
      </c>
      <c r="F8075" s="19" t="s">
        <v>28</v>
      </c>
      <c r="G8075" s="19">
        <v>27.24</v>
      </c>
      <c r="H8075" s="19" t="s">
        <v>28</v>
      </c>
      <c r="I8075" s="18" t="s">
        <v>28</v>
      </c>
      <c r="J8075" s="18" t="s">
        <v>28</v>
      </c>
      <c r="K8075" s="18" t="s">
        <v>28</v>
      </c>
      <c r="L8075" s="18" t="s">
        <v>28</v>
      </c>
      <c r="M8075" s="18" t="s">
        <v>28</v>
      </c>
      <c r="N8075" s="17">
        <v>43101</v>
      </c>
      <c r="O8075" s="15" t="s">
        <v>73</v>
      </c>
      <c r="P8075" s="16" t="s">
        <v>23555</v>
      </c>
      <c r="Q8075" s="15" t="s">
        <v>37</v>
      </c>
      <c r="R8075" s="13" t="str">
        <f>HYPERLINK("https://my.pitchbook.com?c=185206-24T","View Company Online")</f>
        <v>View Company Online</v>
      </c>
    </row>
    <row r="8076" spans="1:18" hidden="1" x14ac:dyDescent="0.3">
      <c r="A8076" s="9" t="s">
        <v>23556</v>
      </c>
      <c r="B8076" s="9" t="s">
        <v>14849</v>
      </c>
      <c r="C8076" s="11" t="s">
        <v>28</v>
      </c>
      <c r="D8076" s="9" t="s">
        <v>14850</v>
      </c>
      <c r="E8076" s="11" t="s">
        <v>28</v>
      </c>
      <c r="F8076" s="10" t="s">
        <v>28</v>
      </c>
      <c r="G8076" s="10">
        <v>0.05</v>
      </c>
      <c r="H8076" s="10">
        <v>0.91</v>
      </c>
      <c r="I8076" s="11" t="s">
        <v>28</v>
      </c>
      <c r="J8076" s="11" t="s">
        <v>28</v>
      </c>
      <c r="K8076" s="11" t="s">
        <v>28</v>
      </c>
      <c r="L8076" s="11" t="s">
        <v>28</v>
      </c>
      <c r="M8076" s="11" t="s">
        <v>28</v>
      </c>
      <c r="N8076" s="8">
        <v>43101</v>
      </c>
      <c r="O8076" s="9" t="s">
        <v>52</v>
      </c>
      <c r="P8076" s="12" t="s">
        <v>21790</v>
      </c>
      <c r="Q8076" s="9" t="s">
        <v>75</v>
      </c>
      <c r="R8076" s="14" t="str">
        <f>HYPERLINK("https://my.pitchbook.com?c=127513-09T","View Company Online")</f>
        <v>View Company Online</v>
      </c>
    </row>
    <row r="8077" spans="1:18" hidden="1" x14ac:dyDescent="0.3">
      <c r="A8077" s="15" t="s">
        <v>23557</v>
      </c>
      <c r="B8077" s="15" t="s">
        <v>23558</v>
      </c>
      <c r="C8077" s="18" t="s">
        <v>28</v>
      </c>
      <c r="D8077" s="15" t="s">
        <v>23559</v>
      </c>
      <c r="E8077" s="18" t="s">
        <v>28</v>
      </c>
      <c r="F8077" s="19" t="s">
        <v>28</v>
      </c>
      <c r="G8077" s="19" t="s">
        <v>28</v>
      </c>
      <c r="H8077" s="19" t="s">
        <v>28</v>
      </c>
      <c r="I8077" s="18" t="s">
        <v>28</v>
      </c>
      <c r="J8077" s="18" t="s">
        <v>28</v>
      </c>
      <c r="K8077" s="18" t="s">
        <v>28</v>
      </c>
      <c r="L8077" s="18" t="s">
        <v>28</v>
      </c>
      <c r="M8077" s="18" t="s">
        <v>28</v>
      </c>
      <c r="N8077" s="17">
        <v>43101</v>
      </c>
      <c r="O8077" s="15" t="s">
        <v>73</v>
      </c>
      <c r="P8077" s="16" t="s">
        <v>23560</v>
      </c>
      <c r="Q8077" s="15" t="s">
        <v>69</v>
      </c>
      <c r="R8077" s="13" t="str">
        <f>HYPERLINK("https://my.pitchbook.com?c=224184-07T","View Company Online")</f>
        <v>View Company Online</v>
      </c>
    </row>
    <row r="8078" spans="1:18" hidden="1" x14ac:dyDescent="0.3">
      <c r="A8078" s="9" t="s">
        <v>23561</v>
      </c>
      <c r="B8078" s="9" t="s">
        <v>4256</v>
      </c>
      <c r="C8078" s="11" t="s">
        <v>28</v>
      </c>
      <c r="D8078" s="9" t="s">
        <v>4257</v>
      </c>
      <c r="E8078" s="11" t="s">
        <v>28</v>
      </c>
      <c r="F8078" s="10" t="s">
        <v>28</v>
      </c>
      <c r="G8078" s="10">
        <v>0.25</v>
      </c>
      <c r="H8078" s="10" t="s">
        <v>28</v>
      </c>
      <c r="I8078" s="11" t="s">
        <v>28</v>
      </c>
      <c r="J8078" s="11" t="s">
        <v>28</v>
      </c>
      <c r="K8078" s="11" t="s">
        <v>28</v>
      </c>
      <c r="L8078" s="11" t="s">
        <v>28</v>
      </c>
      <c r="M8078" s="11" t="s">
        <v>28</v>
      </c>
      <c r="N8078" s="8">
        <v>43101</v>
      </c>
      <c r="O8078" s="9" t="s">
        <v>379</v>
      </c>
      <c r="P8078" s="12" t="s">
        <v>23234</v>
      </c>
      <c r="Q8078" s="9" t="s">
        <v>75</v>
      </c>
      <c r="R8078" s="14" t="str">
        <f>HYPERLINK("https://my.pitchbook.com?c=138710-26T","View Company Online")</f>
        <v>View Company Online</v>
      </c>
    </row>
    <row r="8079" spans="1:18" hidden="1" x14ac:dyDescent="0.3">
      <c r="A8079" s="15" t="s">
        <v>23562</v>
      </c>
      <c r="B8079" s="15" t="s">
        <v>23563</v>
      </c>
      <c r="C8079" s="18" t="s">
        <v>28</v>
      </c>
      <c r="D8079" s="15" t="s">
        <v>23564</v>
      </c>
      <c r="E8079" s="18" t="s">
        <v>28</v>
      </c>
      <c r="F8079" s="19" t="s">
        <v>28</v>
      </c>
      <c r="G8079" s="19" t="s">
        <v>28</v>
      </c>
      <c r="H8079" s="19" t="s">
        <v>28</v>
      </c>
      <c r="I8079" s="18" t="s">
        <v>28</v>
      </c>
      <c r="J8079" s="18" t="s">
        <v>28</v>
      </c>
      <c r="K8079" s="18" t="s">
        <v>28</v>
      </c>
      <c r="L8079" s="18" t="s">
        <v>28</v>
      </c>
      <c r="M8079" s="18" t="s">
        <v>28</v>
      </c>
      <c r="N8079" s="17">
        <v>43101</v>
      </c>
      <c r="O8079" s="15" t="s">
        <v>41</v>
      </c>
      <c r="P8079" s="16" t="s">
        <v>23565</v>
      </c>
      <c r="Q8079" s="15" t="s">
        <v>692</v>
      </c>
      <c r="R8079" s="13" t="str">
        <f>HYPERLINK("https://my.pitchbook.com?c=258043-87T","View Company Online")</f>
        <v>View Company Online</v>
      </c>
    </row>
    <row r="8080" spans="1:18" hidden="1" x14ac:dyDescent="0.3">
      <c r="A8080" s="9" t="s">
        <v>23566</v>
      </c>
      <c r="B8080" s="9" t="s">
        <v>23567</v>
      </c>
      <c r="C8080" s="11" t="s">
        <v>28</v>
      </c>
      <c r="D8080" s="9" t="s">
        <v>23568</v>
      </c>
      <c r="E8080" s="11" t="s">
        <v>28</v>
      </c>
      <c r="F8080" s="10" t="s">
        <v>28</v>
      </c>
      <c r="G8080" s="10" t="s">
        <v>28</v>
      </c>
      <c r="H8080" s="10" t="s">
        <v>28</v>
      </c>
      <c r="I8080" s="11" t="s">
        <v>28</v>
      </c>
      <c r="J8080" s="11" t="s">
        <v>28</v>
      </c>
      <c r="K8080" s="11" t="s">
        <v>28</v>
      </c>
      <c r="L8080" s="11" t="s">
        <v>28</v>
      </c>
      <c r="M8080" s="11" t="s">
        <v>28</v>
      </c>
      <c r="N8080" s="8">
        <v>43101</v>
      </c>
      <c r="O8080" s="9" t="s">
        <v>79</v>
      </c>
      <c r="P8080" s="12" t="s">
        <v>17011</v>
      </c>
      <c r="Q8080" s="9" t="s">
        <v>75</v>
      </c>
      <c r="R8080" s="14" t="str">
        <f>HYPERLINK("https://my.pitchbook.com?c=224213-32T","View Company Online")</f>
        <v>View Company Online</v>
      </c>
    </row>
    <row r="8081" spans="1:18" hidden="1" x14ac:dyDescent="0.3">
      <c r="A8081" s="15" t="s">
        <v>23569</v>
      </c>
      <c r="B8081" s="15" t="s">
        <v>9338</v>
      </c>
      <c r="C8081" s="18" t="s">
        <v>28</v>
      </c>
      <c r="D8081" s="15" t="s">
        <v>9339</v>
      </c>
      <c r="E8081" s="18" t="s">
        <v>28</v>
      </c>
      <c r="F8081" s="19" t="s">
        <v>28</v>
      </c>
      <c r="G8081" s="19">
        <v>0.18</v>
      </c>
      <c r="H8081" s="19" t="s">
        <v>28</v>
      </c>
      <c r="I8081" s="18" t="s">
        <v>28</v>
      </c>
      <c r="J8081" s="18" t="s">
        <v>28</v>
      </c>
      <c r="K8081" s="18" t="s">
        <v>28</v>
      </c>
      <c r="L8081" s="18" t="s">
        <v>28</v>
      </c>
      <c r="M8081" s="18" t="s">
        <v>28</v>
      </c>
      <c r="N8081" s="17">
        <v>43101</v>
      </c>
      <c r="O8081" s="15" t="s">
        <v>379</v>
      </c>
      <c r="P8081" s="16" t="s">
        <v>23570</v>
      </c>
      <c r="Q8081" s="15" t="s">
        <v>75</v>
      </c>
      <c r="R8081" s="13" t="str">
        <f>HYPERLINK("https://my.pitchbook.com?c=203162-50T","View Company Online")</f>
        <v>View Company Online</v>
      </c>
    </row>
    <row r="8082" spans="1:18" hidden="1" x14ac:dyDescent="0.3">
      <c r="A8082" s="9" t="s">
        <v>23571</v>
      </c>
      <c r="B8082" s="9" t="s">
        <v>14815</v>
      </c>
      <c r="C8082" s="11" t="s">
        <v>28</v>
      </c>
      <c r="D8082" s="9" t="s">
        <v>14816</v>
      </c>
      <c r="E8082" s="11" t="s">
        <v>28</v>
      </c>
      <c r="F8082" s="10" t="s">
        <v>28</v>
      </c>
      <c r="G8082" s="10">
        <v>3.03</v>
      </c>
      <c r="H8082" s="10" t="s">
        <v>28</v>
      </c>
      <c r="I8082" s="11" t="s">
        <v>28</v>
      </c>
      <c r="J8082" s="11" t="s">
        <v>28</v>
      </c>
      <c r="K8082" s="11" t="s">
        <v>28</v>
      </c>
      <c r="L8082" s="11" t="s">
        <v>28</v>
      </c>
      <c r="M8082" s="11" t="s">
        <v>28</v>
      </c>
      <c r="N8082" s="8">
        <v>43101</v>
      </c>
      <c r="O8082" s="9" t="s">
        <v>73</v>
      </c>
      <c r="P8082" s="12" t="s">
        <v>23572</v>
      </c>
      <c r="Q8082" s="9" t="s">
        <v>75</v>
      </c>
      <c r="R8082" s="14" t="str">
        <f>HYPERLINK("https://my.pitchbook.com?c=175733-38T","View Company Online")</f>
        <v>View Company Online</v>
      </c>
    </row>
    <row r="8083" spans="1:18" hidden="1" x14ac:dyDescent="0.3">
      <c r="A8083" s="15" t="s">
        <v>23573</v>
      </c>
      <c r="B8083" s="15" t="s">
        <v>23574</v>
      </c>
      <c r="C8083" s="18" t="s">
        <v>28</v>
      </c>
      <c r="D8083" s="15" t="s">
        <v>23575</v>
      </c>
      <c r="E8083" s="18" t="s">
        <v>28</v>
      </c>
      <c r="F8083" s="19" t="s">
        <v>28</v>
      </c>
      <c r="G8083" s="19" t="s">
        <v>28</v>
      </c>
      <c r="H8083" s="19" t="s">
        <v>28</v>
      </c>
      <c r="I8083" s="18" t="s">
        <v>28</v>
      </c>
      <c r="J8083" s="18" t="s">
        <v>28</v>
      </c>
      <c r="K8083" s="18" t="s">
        <v>28</v>
      </c>
      <c r="L8083" s="18" t="s">
        <v>28</v>
      </c>
      <c r="M8083" s="18" t="s">
        <v>28</v>
      </c>
      <c r="N8083" s="17">
        <v>43101</v>
      </c>
      <c r="O8083" s="15" t="s">
        <v>73</v>
      </c>
      <c r="P8083" s="16" t="s">
        <v>14910</v>
      </c>
      <c r="Q8083" s="15" t="s">
        <v>119</v>
      </c>
      <c r="R8083" s="13" t="str">
        <f>HYPERLINK("https://my.pitchbook.com?c=126038-35T","View Company Online")</f>
        <v>View Company Online</v>
      </c>
    </row>
    <row r="8084" spans="1:18" hidden="1" x14ac:dyDescent="0.3">
      <c r="A8084" s="9" t="s">
        <v>23576</v>
      </c>
      <c r="B8084" s="9" t="s">
        <v>18102</v>
      </c>
      <c r="C8084" s="11" t="s">
        <v>28</v>
      </c>
      <c r="D8084" s="9" t="s">
        <v>18103</v>
      </c>
      <c r="E8084" s="11" t="s">
        <v>28</v>
      </c>
      <c r="F8084" s="10" t="s">
        <v>28</v>
      </c>
      <c r="G8084" s="10">
        <v>2.72</v>
      </c>
      <c r="H8084" s="10" t="s">
        <v>28</v>
      </c>
      <c r="I8084" s="11" t="s">
        <v>28</v>
      </c>
      <c r="J8084" s="11" t="s">
        <v>28</v>
      </c>
      <c r="K8084" s="11">
        <v>0.28000000000000003</v>
      </c>
      <c r="L8084" s="11" t="s">
        <v>28</v>
      </c>
      <c r="M8084" s="11" t="s">
        <v>28</v>
      </c>
      <c r="N8084" s="8">
        <v>43101</v>
      </c>
      <c r="O8084" s="9" t="s">
        <v>99</v>
      </c>
      <c r="P8084" s="12" t="s">
        <v>23577</v>
      </c>
      <c r="Q8084" s="9" t="s">
        <v>136</v>
      </c>
      <c r="R8084" s="14" t="str">
        <f>HYPERLINK("https://my.pitchbook.com?c=160425-01T","View Company Online")</f>
        <v>View Company Online</v>
      </c>
    </row>
    <row r="8085" spans="1:18" hidden="1" x14ac:dyDescent="0.3">
      <c r="A8085" s="15" t="s">
        <v>23578</v>
      </c>
      <c r="B8085" s="15" t="s">
        <v>21583</v>
      </c>
      <c r="C8085" s="18" t="s">
        <v>28</v>
      </c>
      <c r="D8085" s="15" t="s">
        <v>21584</v>
      </c>
      <c r="E8085" s="18" t="s">
        <v>28</v>
      </c>
      <c r="F8085" s="19" t="s">
        <v>28</v>
      </c>
      <c r="G8085" s="19" t="s">
        <v>28</v>
      </c>
      <c r="H8085" s="19" t="s">
        <v>28</v>
      </c>
      <c r="I8085" s="18" t="s">
        <v>28</v>
      </c>
      <c r="J8085" s="18" t="s">
        <v>28</v>
      </c>
      <c r="K8085" s="18" t="s">
        <v>28</v>
      </c>
      <c r="L8085" s="18" t="s">
        <v>28</v>
      </c>
      <c r="M8085" s="18" t="s">
        <v>28</v>
      </c>
      <c r="N8085" s="17">
        <v>43101</v>
      </c>
      <c r="O8085" s="15" t="s">
        <v>52</v>
      </c>
      <c r="P8085" s="16" t="s">
        <v>17245</v>
      </c>
      <c r="Q8085" s="15" t="s">
        <v>75</v>
      </c>
      <c r="R8085" s="13" t="str">
        <f>HYPERLINK("https://my.pitchbook.com?c=125751-25T","View Company Online")</f>
        <v>View Company Online</v>
      </c>
    </row>
    <row r="8086" spans="1:18" hidden="1" x14ac:dyDescent="0.3">
      <c r="A8086" s="9" t="s">
        <v>23579</v>
      </c>
      <c r="B8086" s="9" t="s">
        <v>23580</v>
      </c>
      <c r="C8086" s="11" t="s">
        <v>28</v>
      </c>
      <c r="D8086" s="9" t="s">
        <v>23581</v>
      </c>
      <c r="E8086" s="11" t="s">
        <v>28</v>
      </c>
      <c r="F8086" s="10" t="s">
        <v>28</v>
      </c>
      <c r="G8086" s="10" t="s">
        <v>28</v>
      </c>
      <c r="H8086" s="10" t="s">
        <v>28</v>
      </c>
      <c r="I8086" s="11" t="s">
        <v>28</v>
      </c>
      <c r="J8086" s="11" t="s">
        <v>28</v>
      </c>
      <c r="K8086" s="11" t="s">
        <v>28</v>
      </c>
      <c r="L8086" s="11" t="s">
        <v>28</v>
      </c>
      <c r="M8086" s="11" t="s">
        <v>28</v>
      </c>
      <c r="N8086" s="8">
        <v>43101</v>
      </c>
      <c r="O8086" s="9" t="s">
        <v>30</v>
      </c>
      <c r="P8086" s="12" t="s">
        <v>5134</v>
      </c>
      <c r="Q8086" s="9" t="s">
        <v>832</v>
      </c>
      <c r="R8086" s="14" t="str">
        <f>HYPERLINK("https://my.pitchbook.com?c=254157-49T","View Company Online")</f>
        <v>View Company Online</v>
      </c>
    </row>
    <row r="8087" spans="1:18" hidden="1" x14ac:dyDescent="0.3">
      <c r="A8087" s="15" t="s">
        <v>23582</v>
      </c>
      <c r="B8087" s="15" t="s">
        <v>4200</v>
      </c>
      <c r="C8087" s="18" t="s">
        <v>28</v>
      </c>
      <c r="D8087" s="15" t="s">
        <v>4201</v>
      </c>
      <c r="E8087" s="18" t="s">
        <v>28</v>
      </c>
      <c r="F8087" s="19" t="s">
        <v>28</v>
      </c>
      <c r="G8087" s="19" t="s">
        <v>28</v>
      </c>
      <c r="H8087" s="19" t="s">
        <v>28</v>
      </c>
      <c r="I8087" s="18" t="s">
        <v>28</v>
      </c>
      <c r="J8087" s="18" t="s">
        <v>28</v>
      </c>
      <c r="K8087" s="18" t="s">
        <v>28</v>
      </c>
      <c r="L8087" s="18" t="s">
        <v>28</v>
      </c>
      <c r="M8087" s="18" t="s">
        <v>28</v>
      </c>
      <c r="N8087" s="17">
        <v>43101</v>
      </c>
      <c r="O8087" s="15" t="s">
        <v>41</v>
      </c>
      <c r="P8087" s="16" t="s">
        <v>16738</v>
      </c>
      <c r="Q8087" s="15" t="s">
        <v>43</v>
      </c>
      <c r="R8087" s="13" t="str">
        <f>HYPERLINK("https://my.pitchbook.com?c=247216-24T","View Company Online")</f>
        <v>View Company Online</v>
      </c>
    </row>
    <row r="8088" spans="1:18" hidden="1" x14ac:dyDescent="0.3">
      <c r="A8088" s="9" t="s">
        <v>23583</v>
      </c>
      <c r="B8088" s="9" t="s">
        <v>23584</v>
      </c>
      <c r="C8088" s="11" t="s">
        <v>28</v>
      </c>
      <c r="D8088" s="9" t="s">
        <v>23585</v>
      </c>
      <c r="E8088" s="11" t="s">
        <v>28</v>
      </c>
      <c r="F8088" s="10" t="s">
        <v>28</v>
      </c>
      <c r="G8088" s="10" t="s">
        <v>28</v>
      </c>
      <c r="H8088" s="10" t="s">
        <v>28</v>
      </c>
      <c r="I8088" s="11" t="s">
        <v>28</v>
      </c>
      <c r="J8088" s="11" t="s">
        <v>28</v>
      </c>
      <c r="K8088" s="11" t="s">
        <v>28</v>
      </c>
      <c r="L8088" s="11" t="s">
        <v>28</v>
      </c>
      <c r="M8088" s="11" t="s">
        <v>28</v>
      </c>
      <c r="N8088" s="8">
        <v>43101</v>
      </c>
      <c r="O8088" s="9" t="s">
        <v>30</v>
      </c>
      <c r="P8088" s="12" t="s">
        <v>28</v>
      </c>
      <c r="Q8088" s="9" t="s">
        <v>285</v>
      </c>
      <c r="R8088" s="14" t="str">
        <f>HYPERLINK("https://my.pitchbook.com?c=214210-00T","View Company Online")</f>
        <v>View Company Online</v>
      </c>
    </row>
    <row r="8089" spans="1:18" hidden="1" x14ac:dyDescent="0.3">
      <c r="A8089" s="15" t="s">
        <v>23586</v>
      </c>
      <c r="B8089" s="15" t="s">
        <v>23587</v>
      </c>
      <c r="C8089" s="18" t="s">
        <v>28</v>
      </c>
      <c r="D8089" s="15" t="s">
        <v>23588</v>
      </c>
      <c r="E8089" s="18" t="s">
        <v>28</v>
      </c>
      <c r="F8089" s="19">
        <v>1513.3</v>
      </c>
      <c r="G8089" s="19">
        <v>1513.3</v>
      </c>
      <c r="H8089" s="19">
        <v>1513.3</v>
      </c>
      <c r="I8089" s="18" t="s">
        <v>28</v>
      </c>
      <c r="J8089" s="18" t="s">
        <v>28</v>
      </c>
      <c r="K8089" s="18" t="s">
        <v>28</v>
      </c>
      <c r="L8089" s="18" t="s">
        <v>28</v>
      </c>
      <c r="M8089" s="18" t="s">
        <v>28</v>
      </c>
      <c r="N8089" s="17">
        <v>43101</v>
      </c>
      <c r="O8089" s="15" t="s">
        <v>30</v>
      </c>
      <c r="P8089" s="16" t="s">
        <v>14770</v>
      </c>
      <c r="Q8089" s="15" t="s">
        <v>43</v>
      </c>
      <c r="R8089" s="13" t="str">
        <f>HYPERLINK("https://my.pitchbook.com?c=226004-14T","View Company Online")</f>
        <v>View Company Online</v>
      </c>
    </row>
    <row r="8090" spans="1:18" hidden="1" x14ac:dyDescent="0.3">
      <c r="A8090" s="9" t="s">
        <v>23589</v>
      </c>
      <c r="B8090" s="9" t="s">
        <v>23590</v>
      </c>
      <c r="C8090" s="11" t="s">
        <v>28</v>
      </c>
      <c r="D8090" s="9" t="s">
        <v>23591</v>
      </c>
      <c r="E8090" s="11" t="s">
        <v>28</v>
      </c>
      <c r="F8090" s="10" t="s">
        <v>28</v>
      </c>
      <c r="G8090" s="10" t="s">
        <v>28</v>
      </c>
      <c r="H8090" s="10" t="s">
        <v>28</v>
      </c>
      <c r="I8090" s="11" t="s">
        <v>28</v>
      </c>
      <c r="J8090" s="11" t="s">
        <v>28</v>
      </c>
      <c r="K8090" s="11" t="s">
        <v>28</v>
      </c>
      <c r="L8090" s="11" t="s">
        <v>28</v>
      </c>
      <c r="M8090" s="11" t="s">
        <v>28</v>
      </c>
      <c r="N8090" s="8">
        <v>43101</v>
      </c>
      <c r="O8090" s="9" t="s">
        <v>41</v>
      </c>
      <c r="P8090" s="12" t="s">
        <v>12076</v>
      </c>
      <c r="Q8090" s="9" t="s">
        <v>43</v>
      </c>
      <c r="R8090" s="14" t="str">
        <f>HYPERLINK("https://my.pitchbook.com?c=204579-37T","View Company Online")</f>
        <v>View Company Online</v>
      </c>
    </row>
    <row r="8091" spans="1:18" hidden="1" x14ac:dyDescent="0.3">
      <c r="A8091" s="15" t="s">
        <v>23592</v>
      </c>
      <c r="B8091" s="15" t="s">
        <v>9970</v>
      </c>
      <c r="C8091" s="18" t="s">
        <v>28</v>
      </c>
      <c r="D8091" s="15" t="s">
        <v>9971</v>
      </c>
      <c r="E8091" s="18" t="s">
        <v>28</v>
      </c>
      <c r="F8091" s="19" t="s">
        <v>28</v>
      </c>
      <c r="G8091" s="19" t="s">
        <v>28</v>
      </c>
      <c r="H8091" s="19" t="s">
        <v>28</v>
      </c>
      <c r="I8091" s="18" t="s">
        <v>28</v>
      </c>
      <c r="J8091" s="18" t="s">
        <v>28</v>
      </c>
      <c r="K8091" s="18" t="s">
        <v>28</v>
      </c>
      <c r="L8091" s="18" t="s">
        <v>28</v>
      </c>
      <c r="M8091" s="18" t="s">
        <v>28</v>
      </c>
      <c r="N8091" s="17">
        <v>43101</v>
      </c>
      <c r="O8091" s="15" t="s">
        <v>52</v>
      </c>
      <c r="P8091" s="16" t="s">
        <v>6543</v>
      </c>
      <c r="Q8091" s="15" t="s">
        <v>75</v>
      </c>
      <c r="R8091" s="13" t="str">
        <f>HYPERLINK("https://my.pitchbook.com?c=208401-04T","View Company Online")</f>
        <v>View Company Online</v>
      </c>
    </row>
    <row r="8092" spans="1:18" hidden="1" x14ac:dyDescent="0.3">
      <c r="A8092" s="9" t="s">
        <v>23593</v>
      </c>
      <c r="B8092" s="9" t="s">
        <v>23594</v>
      </c>
      <c r="C8092" s="11" t="s">
        <v>28</v>
      </c>
      <c r="D8092" s="9" t="s">
        <v>23595</v>
      </c>
      <c r="E8092" s="11" t="s">
        <v>28</v>
      </c>
      <c r="F8092" s="10" t="s">
        <v>28</v>
      </c>
      <c r="G8092" s="10" t="s">
        <v>28</v>
      </c>
      <c r="H8092" s="10" t="s">
        <v>28</v>
      </c>
      <c r="I8092" s="11" t="s">
        <v>28</v>
      </c>
      <c r="J8092" s="11" t="s">
        <v>28</v>
      </c>
      <c r="K8092" s="11" t="s">
        <v>28</v>
      </c>
      <c r="L8092" s="11" t="s">
        <v>28</v>
      </c>
      <c r="M8092" s="11" t="s">
        <v>28</v>
      </c>
      <c r="N8092" s="8">
        <v>43101</v>
      </c>
      <c r="O8092" s="9" t="s">
        <v>52</v>
      </c>
      <c r="P8092" s="12" t="s">
        <v>2830</v>
      </c>
      <c r="Q8092" s="9" t="s">
        <v>43</v>
      </c>
      <c r="R8092" s="14" t="str">
        <f>HYPERLINK("https://my.pitchbook.com?c=292208-50T","View Company Online")</f>
        <v>View Company Online</v>
      </c>
    </row>
    <row r="8093" spans="1:18" hidden="1" x14ac:dyDescent="0.3">
      <c r="A8093" s="15" t="s">
        <v>23596</v>
      </c>
      <c r="B8093" s="15" t="s">
        <v>7016</v>
      </c>
      <c r="C8093" s="18" t="s">
        <v>28</v>
      </c>
      <c r="D8093" s="15" t="s">
        <v>7017</v>
      </c>
      <c r="E8093" s="18" t="s">
        <v>28</v>
      </c>
      <c r="F8093" s="19" t="s">
        <v>28</v>
      </c>
      <c r="G8093" s="19" t="s">
        <v>28</v>
      </c>
      <c r="H8093" s="19" t="s">
        <v>28</v>
      </c>
      <c r="I8093" s="18" t="s">
        <v>28</v>
      </c>
      <c r="J8093" s="18" t="s">
        <v>28</v>
      </c>
      <c r="K8093" s="18" t="s">
        <v>28</v>
      </c>
      <c r="L8093" s="18" t="s">
        <v>28</v>
      </c>
      <c r="M8093" s="18" t="s">
        <v>28</v>
      </c>
      <c r="N8093" s="17">
        <v>43101</v>
      </c>
      <c r="O8093" s="15" t="s">
        <v>52</v>
      </c>
      <c r="P8093" s="16" t="s">
        <v>23597</v>
      </c>
      <c r="Q8093" s="15" t="s">
        <v>37</v>
      </c>
      <c r="R8093" s="13" t="str">
        <f>HYPERLINK("https://my.pitchbook.com?c=125634-79T","View Company Online")</f>
        <v>View Company Online</v>
      </c>
    </row>
    <row r="8094" spans="1:18" hidden="1" x14ac:dyDescent="0.3">
      <c r="A8094" s="9" t="s">
        <v>23598</v>
      </c>
      <c r="B8094" s="9" t="s">
        <v>13032</v>
      </c>
      <c r="C8094" s="11" t="s">
        <v>28</v>
      </c>
      <c r="D8094" s="9" t="s">
        <v>13033</v>
      </c>
      <c r="E8094" s="11" t="s">
        <v>28</v>
      </c>
      <c r="F8094" s="10" t="s">
        <v>28</v>
      </c>
      <c r="G8094" s="10" t="s">
        <v>28</v>
      </c>
      <c r="H8094" s="10" t="s">
        <v>28</v>
      </c>
      <c r="I8094" s="11" t="s">
        <v>28</v>
      </c>
      <c r="J8094" s="11" t="s">
        <v>28</v>
      </c>
      <c r="K8094" s="11" t="s">
        <v>28</v>
      </c>
      <c r="L8094" s="11" t="s">
        <v>28</v>
      </c>
      <c r="M8094" s="11" t="s">
        <v>28</v>
      </c>
      <c r="N8094" s="8">
        <v>43101</v>
      </c>
      <c r="O8094" s="9" t="s">
        <v>79</v>
      </c>
      <c r="P8094" s="12" t="s">
        <v>23599</v>
      </c>
      <c r="Q8094" s="9" t="s">
        <v>386</v>
      </c>
      <c r="R8094" s="14" t="str">
        <f>HYPERLINK("https://my.pitchbook.com?c=123081-85T","View Company Online")</f>
        <v>View Company Online</v>
      </c>
    </row>
    <row r="8095" spans="1:18" hidden="1" x14ac:dyDescent="0.3">
      <c r="A8095" s="15" t="s">
        <v>23600</v>
      </c>
      <c r="B8095" s="15" t="s">
        <v>5600</v>
      </c>
      <c r="C8095" s="18" t="s">
        <v>28</v>
      </c>
      <c r="D8095" s="15" t="s">
        <v>5601</v>
      </c>
      <c r="E8095" s="18" t="s">
        <v>28</v>
      </c>
      <c r="F8095" s="19" t="s">
        <v>28</v>
      </c>
      <c r="G8095" s="19">
        <v>0.05</v>
      </c>
      <c r="H8095" s="19" t="s">
        <v>28</v>
      </c>
      <c r="I8095" s="18" t="s">
        <v>28</v>
      </c>
      <c r="J8095" s="18" t="s">
        <v>28</v>
      </c>
      <c r="K8095" s="18" t="s">
        <v>28</v>
      </c>
      <c r="L8095" s="18" t="s">
        <v>28</v>
      </c>
      <c r="M8095" s="18" t="s">
        <v>28</v>
      </c>
      <c r="N8095" s="17">
        <v>43101</v>
      </c>
      <c r="O8095" s="15" t="s">
        <v>52</v>
      </c>
      <c r="P8095" s="16" t="s">
        <v>2915</v>
      </c>
      <c r="Q8095" s="15" t="s">
        <v>75</v>
      </c>
      <c r="R8095" s="13" t="str">
        <f>HYPERLINK("https://my.pitchbook.com?c=247211-56T","View Company Online")</f>
        <v>View Company Online</v>
      </c>
    </row>
    <row r="8096" spans="1:18" hidden="1" x14ac:dyDescent="0.3">
      <c r="A8096" s="9" t="s">
        <v>23601</v>
      </c>
      <c r="B8096" s="9" t="s">
        <v>16771</v>
      </c>
      <c r="C8096" s="11" t="s">
        <v>28</v>
      </c>
      <c r="D8096" s="9" t="s">
        <v>16772</v>
      </c>
      <c r="E8096" s="11" t="s">
        <v>28</v>
      </c>
      <c r="F8096" s="10" t="s">
        <v>28</v>
      </c>
      <c r="G8096" s="10">
        <v>0.01</v>
      </c>
      <c r="H8096" s="10" t="s">
        <v>28</v>
      </c>
      <c r="I8096" s="11" t="s">
        <v>28</v>
      </c>
      <c r="J8096" s="11" t="s">
        <v>28</v>
      </c>
      <c r="K8096" s="11" t="s">
        <v>28</v>
      </c>
      <c r="L8096" s="11" t="s">
        <v>28</v>
      </c>
      <c r="M8096" s="11" t="s">
        <v>28</v>
      </c>
      <c r="N8096" s="8">
        <v>43101</v>
      </c>
      <c r="O8096" s="9" t="s">
        <v>1639</v>
      </c>
      <c r="P8096" s="12" t="s">
        <v>28</v>
      </c>
      <c r="Q8096" s="9" t="s">
        <v>566</v>
      </c>
      <c r="R8096" s="14" t="str">
        <f>HYPERLINK("https://my.pitchbook.com?c=248772-61T","View Company Online")</f>
        <v>View Company Online</v>
      </c>
    </row>
    <row r="8097" spans="1:18" hidden="1" x14ac:dyDescent="0.3">
      <c r="A8097" s="15" t="s">
        <v>23602</v>
      </c>
      <c r="B8097" s="15" t="s">
        <v>23603</v>
      </c>
      <c r="C8097" s="18" t="s">
        <v>28</v>
      </c>
      <c r="D8097" s="15" t="s">
        <v>17688</v>
      </c>
      <c r="E8097" s="18" t="s">
        <v>28</v>
      </c>
      <c r="F8097" s="19" t="s">
        <v>28</v>
      </c>
      <c r="G8097" s="19" t="s">
        <v>28</v>
      </c>
      <c r="H8097" s="19" t="s">
        <v>28</v>
      </c>
      <c r="I8097" s="18" t="s">
        <v>28</v>
      </c>
      <c r="J8097" s="18" t="s">
        <v>28</v>
      </c>
      <c r="K8097" s="18" t="s">
        <v>28</v>
      </c>
      <c r="L8097" s="18" t="s">
        <v>28</v>
      </c>
      <c r="M8097" s="18" t="s">
        <v>28</v>
      </c>
      <c r="N8097" s="17">
        <v>43101</v>
      </c>
      <c r="O8097" s="15" t="s">
        <v>30</v>
      </c>
      <c r="P8097" s="16" t="s">
        <v>14764</v>
      </c>
      <c r="Q8097" s="15" t="s">
        <v>4670</v>
      </c>
      <c r="R8097" s="13" t="str">
        <f>HYPERLINK("https://my.pitchbook.com?c=258026-32T","View Company Online")</f>
        <v>View Company Online</v>
      </c>
    </row>
    <row r="8098" spans="1:18" hidden="1" x14ac:dyDescent="0.3">
      <c r="A8098" s="9" t="s">
        <v>23604</v>
      </c>
      <c r="B8098" s="9" t="s">
        <v>20690</v>
      </c>
      <c r="C8098" s="11" t="s">
        <v>28</v>
      </c>
      <c r="D8098" s="9" t="s">
        <v>20691</v>
      </c>
      <c r="E8098" s="11" t="s">
        <v>28</v>
      </c>
      <c r="F8098" s="10" t="s">
        <v>28</v>
      </c>
      <c r="G8098" s="10">
        <v>0.36</v>
      </c>
      <c r="H8098" s="10" t="s">
        <v>28</v>
      </c>
      <c r="I8098" s="11" t="s">
        <v>28</v>
      </c>
      <c r="J8098" s="11" t="s">
        <v>28</v>
      </c>
      <c r="K8098" s="11" t="s">
        <v>28</v>
      </c>
      <c r="L8098" s="11" t="s">
        <v>28</v>
      </c>
      <c r="M8098" s="11" t="s">
        <v>28</v>
      </c>
      <c r="N8098" s="8">
        <v>43101</v>
      </c>
      <c r="O8098" s="9" t="s">
        <v>73</v>
      </c>
      <c r="P8098" s="12" t="s">
        <v>15304</v>
      </c>
      <c r="Q8098" s="9" t="s">
        <v>75</v>
      </c>
      <c r="R8098" s="14" t="str">
        <f>HYPERLINK("https://my.pitchbook.com?c=124784-20T","View Company Online")</f>
        <v>View Company Online</v>
      </c>
    </row>
    <row r="8099" spans="1:18" hidden="1" x14ac:dyDescent="0.3">
      <c r="A8099" s="15" t="s">
        <v>23605</v>
      </c>
      <c r="B8099" s="15" t="s">
        <v>14034</v>
      </c>
      <c r="C8099" s="18" t="s">
        <v>28</v>
      </c>
      <c r="D8099" s="15" t="s">
        <v>14035</v>
      </c>
      <c r="E8099" s="18" t="s">
        <v>28</v>
      </c>
      <c r="F8099" s="19" t="s">
        <v>28</v>
      </c>
      <c r="G8099" s="19" t="s">
        <v>28</v>
      </c>
      <c r="H8099" s="19" t="s">
        <v>28</v>
      </c>
      <c r="I8099" s="18" t="s">
        <v>28</v>
      </c>
      <c r="J8099" s="18" t="s">
        <v>28</v>
      </c>
      <c r="K8099" s="18" t="s">
        <v>28</v>
      </c>
      <c r="L8099" s="18" t="s">
        <v>28</v>
      </c>
      <c r="M8099" s="18" t="s">
        <v>28</v>
      </c>
      <c r="N8099" s="17">
        <v>43101</v>
      </c>
      <c r="O8099" s="15" t="s">
        <v>52</v>
      </c>
      <c r="P8099" s="16" t="s">
        <v>16809</v>
      </c>
      <c r="Q8099" s="15" t="s">
        <v>75</v>
      </c>
      <c r="R8099" s="13" t="str">
        <f>HYPERLINK("https://my.pitchbook.com?c=125613-01T","View Company Online")</f>
        <v>View Company Online</v>
      </c>
    </row>
    <row r="8100" spans="1:18" hidden="1" x14ac:dyDescent="0.3">
      <c r="A8100" s="9" t="s">
        <v>23606</v>
      </c>
      <c r="B8100" s="9" t="s">
        <v>12302</v>
      </c>
      <c r="C8100" s="11" t="s">
        <v>28</v>
      </c>
      <c r="D8100" s="9" t="s">
        <v>12303</v>
      </c>
      <c r="E8100" s="11" t="s">
        <v>28</v>
      </c>
      <c r="F8100" s="10" t="s">
        <v>28</v>
      </c>
      <c r="G8100" s="10">
        <v>0.11</v>
      </c>
      <c r="H8100" s="10" t="s">
        <v>28</v>
      </c>
      <c r="I8100" s="11" t="s">
        <v>28</v>
      </c>
      <c r="J8100" s="11" t="s">
        <v>28</v>
      </c>
      <c r="K8100" s="11" t="s">
        <v>28</v>
      </c>
      <c r="L8100" s="11" t="s">
        <v>28</v>
      </c>
      <c r="M8100" s="11" t="s">
        <v>28</v>
      </c>
      <c r="N8100" s="8">
        <v>43101</v>
      </c>
      <c r="O8100" s="9" t="s">
        <v>379</v>
      </c>
      <c r="P8100" s="12" t="s">
        <v>23607</v>
      </c>
      <c r="Q8100" s="9" t="s">
        <v>404</v>
      </c>
      <c r="R8100" s="14" t="str">
        <f>HYPERLINK("https://my.pitchbook.com?c=179942-41T","View Company Online")</f>
        <v>View Company Online</v>
      </c>
    </row>
    <row r="8101" spans="1:18" hidden="1" x14ac:dyDescent="0.3">
      <c r="A8101" s="15" t="s">
        <v>23608</v>
      </c>
      <c r="B8101" s="15" t="s">
        <v>22633</v>
      </c>
      <c r="C8101" s="18" t="s">
        <v>28</v>
      </c>
      <c r="D8101" s="15" t="s">
        <v>22634</v>
      </c>
      <c r="E8101" s="18" t="s">
        <v>28</v>
      </c>
      <c r="F8101" s="19" t="s">
        <v>28</v>
      </c>
      <c r="G8101" s="19">
        <v>7.0000000000000007E-2</v>
      </c>
      <c r="H8101" s="19" t="s">
        <v>28</v>
      </c>
      <c r="I8101" s="18" t="s">
        <v>28</v>
      </c>
      <c r="J8101" s="18" t="s">
        <v>28</v>
      </c>
      <c r="K8101" s="18" t="s">
        <v>28</v>
      </c>
      <c r="L8101" s="18" t="s">
        <v>28</v>
      </c>
      <c r="M8101" s="18" t="s">
        <v>28</v>
      </c>
      <c r="N8101" s="17">
        <v>43101</v>
      </c>
      <c r="O8101" s="15" t="s">
        <v>52</v>
      </c>
      <c r="P8101" s="16" t="s">
        <v>23609</v>
      </c>
      <c r="Q8101" s="15" t="s">
        <v>114</v>
      </c>
      <c r="R8101" s="13" t="str">
        <f>HYPERLINK("https://my.pitchbook.com?c=123355-63T","View Company Online")</f>
        <v>View Company Online</v>
      </c>
    </row>
    <row r="8102" spans="1:18" hidden="1" x14ac:dyDescent="0.3">
      <c r="A8102" s="9" t="s">
        <v>23610</v>
      </c>
      <c r="B8102" s="9" t="s">
        <v>9104</v>
      </c>
      <c r="C8102" s="11" t="s">
        <v>28</v>
      </c>
      <c r="D8102" s="9" t="s">
        <v>9105</v>
      </c>
      <c r="E8102" s="11" t="s">
        <v>28</v>
      </c>
      <c r="F8102" s="10" t="s">
        <v>28</v>
      </c>
      <c r="G8102" s="10">
        <v>0.02</v>
      </c>
      <c r="H8102" s="10" t="s">
        <v>28</v>
      </c>
      <c r="I8102" s="11" t="s">
        <v>28</v>
      </c>
      <c r="J8102" s="11" t="s">
        <v>28</v>
      </c>
      <c r="K8102" s="11" t="s">
        <v>28</v>
      </c>
      <c r="L8102" s="11" t="s">
        <v>28</v>
      </c>
      <c r="M8102" s="11" t="s">
        <v>28</v>
      </c>
      <c r="N8102" s="8">
        <v>43101</v>
      </c>
      <c r="O8102" s="9" t="s">
        <v>9098</v>
      </c>
      <c r="P8102" s="12" t="s">
        <v>28</v>
      </c>
      <c r="Q8102" s="9" t="s">
        <v>692</v>
      </c>
      <c r="R8102" s="14" t="str">
        <f>HYPERLINK("https://my.pitchbook.com?c=174309-85T","View Company Online")</f>
        <v>View Company Online</v>
      </c>
    </row>
    <row r="8103" spans="1:18" hidden="1" x14ac:dyDescent="0.3">
      <c r="A8103" s="15" t="s">
        <v>23611</v>
      </c>
      <c r="B8103" s="15" t="s">
        <v>834</v>
      </c>
      <c r="C8103" s="18" t="s">
        <v>28</v>
      </c>
      <c r="D8103" s="15" t="s">
        <v>835</v>
      </c>
      <c r="E8103" s="18" t="s">
        <v>28</v>
      </c>
      <c r="F8103" s="19" t="s">
        <v>28</v>
      </c>
      <c r="G8103" s="19">
        <v>0.05</v>
      </c>
      <c r="H8103" s="19" t="s">
        <v>28</v>
      </c>
      <c r="I8103" s="18" t="s">
        <v>28</v>
      </c>
      <c r="J8103" s="18" t="s">
        <v>28</v>
      </c>
      <c r="K8103" s="18" t="s">
        <v>28</v>
      </c>
      <c r="L8103" s="18" t="s">
        <v>28</v>
      </c>
      <c r="M8103" s="18" t="s">
        <v>28</v>
      </c>
      <c r="N8103" s="17">
        <v>43101</v>
      </c>
      <c r="O8103" s="15" t="s">
        <v>52</v>
      </c>
      <c r="P8103" s="16" t="s">
        <v>21103</v>
      </c>
      <c r="Q8103" s="15" t="s">
        <v>75</v>
      </c>
      <c r="R8103" s="13" t="str">
        <f>HYPERLINK("https://my.pitchbook.com?c=270474-40T","View Company Online")</f>
        <v>View Company Online</v>
      </c>
    </row>
    <row r="8104" spans="1:18" hidden="1" x14ac:dyDescent="0.3">
      <c r="A8104" s="9" t="s">
        <v>23612</v>
      </c>
      <c r="B8104" s="9" t="s">
        <v>2351</v>
      </c>
      <c r="C8104" s="11" t="s">
        <v>28</v>
      </c>
      <c r="D8104" s="9" t="s">
        <v>2352</v>
      </c>
      <c r="E8104" s="11" t="s">
        <v>28</v>
      </c>
      <c r="F8104" s="10" t="s">
        <v>28</v>
      </c>
      <c r="G8104" s="10">
        <v>0.15</v>
      </c>
      <c r="H8104" s="10">
        <v>2.14</v>
      </c>
      <c r="I8104" s="11" t="s">
        <v>28</v>
      </c>
      <c r="J8104" s="11" t="s">
        <v>28</v>
      </c>
      <c r="K8104" s="11" t="s">
        <v>28</v>
      </c>
      <c r="L8104" s="11" t="s">
        <v>28</v>
      </c>
      <c r="M8104" s="11" t="s">
        <v>28</v>
      </c>
      <c r="N8104" s="8">
        <v>43101</v>
      </c>
      <c r="O8104" s="9" t="s">
        <v>52</v>
      </c>
      <c r="P8104" s="12" t="s">
        <v>3944</v>
      </c>
      <c r="Q8104" s="9" t="s">
        <v>740</v>
      </c>
      <c r="R8104" s="14" t="str">
        <f>HYPERLINK("https://my.pitchbook.com?c=132008-68T","View Company Online")</f>
        <v>View Company Online</v>
      </c>
    </row>
    <row r="8105" spans="1:18" hidden="1" x14ac:dyDescent="0.3">
      <c r="A8105" s="15" t="s">
        <v>23613</v>
      </c>
      <c r="B8105" s="15" t="s">
        <v>23614</v>
      </c>
      <c r="C8105" s="18" t="s">
        <v>28</v>
      </c>
      <c r="D8105" s="15" t="s">
        <v>23615</v>
      </c>
      <c r="E8105" s="18" t="s">
        <v>28</v>
      </c>
      <c r="F8105" s="19" t="s">
        <v>28</v>
      </c>
      <c r="G8105" s="19" t="s">
        <v>28</v>
      </c>
      <c r="H8105" s="19" t="s">
        <v>28</v>
      </c>
      <c r="I8105" s="18" t="s">
        <v>28</v>
      </c>
      <c r="J8105" s="18" t="s">
        <v>28</v>
      </c>
      <c r="K8105" s="18" t="s">
        <v>28</v>
      </c>
      <c r="L8105" s="18" t="s">
        <v>28</v>
      </c>
      <c r="M8105" s="18" t="s">
        <v>28</v>
      </c>
      <c r="N8105" s="17">
        <v>43101</v>
      </c>
      <c r="O8105" s="15" t="s">
        <v>79</v>
      </c>
      <c r="P8105" s="16" t="s">
        <v>23616</v>
      </c>
      <c r="Q8105" s="15" t="s">
        <v>522</v>
      </c>
      <c r="R8105" s="13" t="str">
        <f>HYPERLINK("https://my.pitchbook.com?c=100323-19T","View Company Online")</f>
        <v>View Company Online</v>
      </c>
    </row>
    <row r="8106" spans="1:18" hidden="1" x14ac:dyDescent="0.3">
      <c r="A8106" s="9" t="s">
        <v>23617</v>
      </c>
      <c r="B8106" s="9" t="s">
        <v>7857</v>
      </c>
      <c r="C8106" s="11" t="s">
        <v>28</v>
      </c>
      <c r="D8106" s="9" t="s">
        <v>7858</v>
      </c>
      <c r="E8106" s="11" t="s">
        <v>28</v>
      </c>
      <c r="F8106" s="10" t="s">
        <v>28</v>
      </c>
      <c r="G8106" s="10">
        <v>0.03</v>
      </c>
      <c r="H8106" s="10" t="s">
        <v>28</v>
      </c>
      <c r="I8106" s="11" t="s">
        <v>28</v>
      </c>
      <c r="J8106" s="11" t="s">
        <v>28</v>
      </c>
      <c r="K8106" s="11" t="s">
        <v>28</v>
      </c>
      <c r="L8106" s="11" t="s">
        <v>28</v>
      </c>
      <c r="M8106" s="11" t="s">
        <v>28</v>
      </c>
      <c r="N8106" s="8">
        <v>43101</v>
      </c>
      <c r="O8106" s="9" t="s">
        <v>52</v>
      </c>
      <c r="P8106" s="12" t="s">
        <v>16809</v>
      </c>
      <c r="Q8106" s="9" t="s">
        <v>583</v>
      </c>
      <c r="R8106" s="14" t="str">
        <f>HYPERLINK("https://my.pitchbook.com?c=125374-96T","View Company Online")</f>
        <v>View Company Online</v>
      </c>
    </row>
    <row r="8107" spans="1:18" hidden="1" x14ac:dyDescent="0.3">
      <c r="A8107" s="15" t="s">
        <v>23618</v>
      </c>
      <c r="B8107" s="15" t="s">
        <v>23619</v>
      </c>
      <c r="C8107" s="18" t="s">
        <v>28</v>
      </c>
      <c r="D8107" s="15" t="s">
        <v>23620</v>
      </c>
      <c r="E8107" s="18" t="s">
        <v>28</v>
      </c>
      <c r="F8107" s="19">
        <v>17.190000000000001</v>
      </c>
      <c r="G8107" s="19">
        <v>17.190000000000001</v>
      </c>
      <c r="H8107" s="19">
        <v>17.190000000000001</v>
      </c>
      <c r="I8107" s="18" t="s">
        <v>28</v>
      </c>
      <c r="J8107" s="18" t="s">
        <v>28</v>
      </c>
      <c r="K8107" s="18" t="s">
        <v>28</v>
      </c>
      <c r="L8107" s="18" t="s">
        <v>28</v>
      </c>
      <c r="M8107" s="18" t="s">
        <v>28</v>
      </c>
      <c r="N8107" s="17">
        <v>43101</v>
      </c>
      <c r="O8107" s="15" t="s">
        <v>30</v>
      </c>
      <c r="P8107" s="16" t="s">
        <v>10268</v>
      </c>
      <c r="Q8107" s="15" t="s">
        <v>1035</v>
      </c>
      <c r="R8107" s="13" t="str">
        <f>HYPERLINK("https://my.pitchbook.com?c=119560-96T","View Company Online")</f>
        <v>View Company Online</v>
      </c>
    </row>
    <row r="8108" spans="1:18" hidden="1" x14ac:dyDescent="0.3">
      <c r="A8108" s="9" t="s">
        <v>23621</v>
      </c>
      <c r="B8108" s="9" t="s">
        <v>11510</v>
      </c>
      <c r="C8108" s="11" t="s">
        <v>28</v>
      </c>
      <c r="D8108" s="9" t="s">
        <v>11511</v>
      </c>
      <c r="E8108" s="11" t="s">
        <v>28</v>
      </c>
      <c r="F8108" s="10" t="s">
        <v>28</v>
      </c>
      <c r="G8108" s="10" t="s">
        <v>28</v>
      </c>
      <c r="H8108" s="10" t="s">
        <v>28</v>
      </c>
      <c r="I8108" s="11" t="s">
        <v>28</v>
      </c>
      <c r="J8108" s="11" t="s">
        <v>28</v>
      </c>
      <c r="K8108" s="11" t="s">
        <v>28</v>
      </c>
      <c r="L8108" s="11" t="s">
        <v>28</v>
      </c>
      <c r="M8108" s="11" t="s">
        <v>28</v>
      </c>
      <c r="N8108" s="8">
        <v>43101</v>
      </c>
      <c r="O8108" s="9" t="s">
        <v>52</v>
      </c>
      <c r="P8108" s="12" t="s">
        <v>28</v>
      </c>
      <c r="Q8108" s="9" t="s">
        <v>75</v>
      </c>
      <c r="R8108" s="14" t="str">
        <f>HYPERLINK("https://my.pitchbook.com?c=93140-74T","View Company Online")</f>
        <v>View Company Online</v>
      </c>
    </row>
    <row r="8109" spans="1:18" hidden="1" x14ac:dyDescent="0.3">
      <c r="A8109" s="15" t="s">
        <v>23622</v>
      </c>
      <c r="B8109" s="15" t="s">
        <v>10413</v>
      </c>
      <c r="C8109" s="18" t="s">
        <v>28</v>
      </c>
      <c r="D8109" s="15" t="s">
        <v>10414</v>
      </c>
      <c r="E8109" s="18" t="s">
        <v>28</v>
      </c>
      <c r="F8109" s="19" t="s">
        <v>28</v>
      </c>
      <c r="G8109" s="19" t="s">
        <v>28</v>
      </c>
      <c r="H8109" s="19" t="s">
        <v>28</v>
      </c>
      <c r="I8109" s="18" t="s">
        <v>28</v>
      </c>
      <c r="J8109" s="18" t="s">
        <v>28</v>
      </c>
      <c r="K8109" s="18" t="s">
        <v>28</v>
      </c>
      <c r="L8109" s="18" t="s">
        <v>28</v>
      </c>
      <c r="M8109" s="18" t="s">
        <v>28</v>
      </c>
      <c r="N8109" s="17">
        <v>43101</v>
      </c>
      <c r="O8109" s="15" t="s">
        <v>52</v>
      </c>
      <c r="P8109" s="16" t="s">
        <v>23623</v>
      </c>
      <c r="Q8109" s="15" t="s">
        <v>75</v>
      </c>
      <c r="R8109" s="13" t="str">
        <f>HYPERLINK("https://my.pitchbook.com?c=139703-95T","View Company Online")</f>
        <v>View Company Online</v>
      </c>
    </row>
    <row r="8110" spans="1:18" hidden="1" x14ac:dyDescent="0.3">
      <c r="A8110" s="9" t="s">
        <v>23624</v>
      </c>
      <c r="B8110" s="9" t="s">
        <v>23625</v>
      </c>
      <c r="C8110" s="11" t="s">
        <v>28</v>
      </c>
      <c r="D8110" s="9" t="s">
        <v>23626</v>
      </c>
      <c r="E8110" s="11" t="s">
        <v>28</v>
      </c>
      <c r="F8110" s="10" t="s">
        <v>28</v>
      </c>
      <c r="G8110" s="10">
        <v>1.51</v>
      </c>
      <c r="H8110" s="10" t="s">
        <v>28</v>
      </c>
      <c r="I8110" s="11" t="s">
        <v>28</v>
      </c>
      <c r="J8110" s="11" t="s">
        <v>28</v>
      </c>
      <c r="K8110" s="11" t="s">
        <v>28</v>
      </c>
      <c r="L8110" s="11" t="s">
        <v>28</v>
      </c>
      <c r="M8110" s="11" t="s">
        <v>28</v>
      </c>
      <c r="N8110" s="8">
        <v>43101</v>
      </c>
      <c r="O8110" s="9" t="s">
        <v>99</v>
      </c>
      <c r="P8110" s="12" t="s">
        <v>28</v>
      </c>
      <c r="Q8110" s="9" t="s">
        <v>43</v>
      </c>
      <c r="R8110" s="14" t="str">
        <f>HYPERLINK("https://my.pitchbook.com?c=123404-05T","View Company Online")</f>
        <v>View Company Online</v>
      </c>
    </row>
    <row r="8111" spans="1:18" hidden="1" x14ac:dyDescent="0.3">
      <c r="A8111" s="15" t="s">
        <v>23627</v>
      </c>
      <c r="B8111" s="15" t="s">
        <v>23628</v>
      </c>
      <c r="C8111" s="18" t="s">
        <v>28</v>
      </c>
      <c r="D8111" s="15" t="s">
        <v>23629</v>
      </c>
      <c r="E8111" s="18" t="s">
        <v>28</v>
      </c>
      <c r="F8111" s="19" t="s">
        <v>28</v>
      </c>
      <c r="G8111" s="19" t="s">
        <v>28</v>
      </c>
      <c r="H8111" s="19" t="s">
        <v>28</v>
      </c>
      <c r="I8111" s="18" t="s">
        <v>28</v>
      </c>
      <c r="J8111" s="18" t="s">
        <v>28</v>
      </c>
      <c r="K8111" s="18" t="s">
        <v>28</v>
      </c>
      <c r="L8111" s="18" t="s">
        <v>28</v>
      </c>
      <c r="M8111" s="18" t="s">
        <v>28</v>
      </c>
      <c r="N8111" s="17">
        <v>43101</v>
      </c>
      <c r="O8111" s="15" t="s">
        <v>52</v>
      </c>
      <c r="P8111" s="16" t="s">
        <v>2830</v>
      </c>
      <c r="Q8111" s="15" t="s">
        <v>1191</v>
      </c>
      <c r="R8111" s="13" t="str">
        <f>HYPERLINK("https://my.pitchbook.com?c=292213-90T","View Company Online")</f>
        <v>View Company Online</v>
      </c>
    </row>
    <row r="8112" spans="1:18" hidden="1" x14ac:dyDescent="0.3">
      <c r="A8112" s="9" t="s">
        <v>23630</v>
      </c>
      <c r="B8112" s="9" t="s">
        <v>23631</v>
      </c>
      <c r="C8112" s="11" t="s">
        <v>28</v>
      </c>
      <c r="D8112" s="9" t="s">
        <v>23632</v>
      </c>
      <c r="E8112" s="11" t="s">
        <v>28</v>
      </c>
      <c r="F8112" s="10" t="s">
        <v>28</v>
      </c>
      <c r="G8112" s="10" t="s">
        <v>28</v>
      </c>
      <c r="H8112" s="10" t="s">
        <v>28</v>
      </c>
      <c r="I8112" s="11" t="s">
        <v>28</v>
      </c>
      <c r="J8112" s="11" t="s">
        <v>28</v>
      </c>
      <c r="K8112" s="11" t="s">
        <v>28</v>
      </c>
      <c r="L8112" s="11" t="s">
        <v>28</v>
      </c>
      <c r="M8112" s="11" t="s">
        <v>28</v>
      </c>
      <c r="N8112" s="8">
        <v>43101</v>
      </c>
      <c r="O8112" s="9" t="s">
        <v>73</v>
      </c>
      <c r="P8112" s="12" t="s">
        <v>23633</v>
      </c>
      <c r="Q8112" s="9" t="s">
        <v>245</v>
      </c>
      <c r="R8112" s="14" t="str">
        <f>HYPERLINK("https://my.pitchbook.com?c=262507-42T","View Company Online")</f>
        <v>View Company Online</v>
      </c>
    </row>
    <row r="8113" spans="1:18" hidden="1" x14ac:dyDescent="0.3">
      <c r="A8113" s="15" t="s">
        <v>23634</v>
      </c>
      <c r="B8113" s="15" t="s">
        <v>23635</v>
      </c>
      <c r="C8113" s="18" t="s">
        <v>28</v>
      </c>
      <c r="D8113" s="15" t="s">
        <v>23636</v>
      </c>
      <c r="E8113" s="18" t="s">
        <v>28</v>
      </c>
      <c r="F8113" s="19" t="s">
        <v>28</v>
      </c>
      <c r="G8113" s="19" t="s">
        <v>28</v>
      </c>
      <c r="H8113" s="19" t="s">
        <v>28</v>
      </c>
      <c r="I8113" s="18" t="s">
        <v>28</v>
      </c>
      <c r="J8113" s="18" t="s">
        <v>28</v>
      </c>
      <c r="K8113" s="18" t="s">
        <v>28</v>
      </c>
      <c r="L8113" s="18" t="s">
        <v>28</v>
      </c>
      <c r="M8113" s="18" t="s">
        <v>28</v>
      </c>
      <c r="N8113" s="17">
        <v>43101</v>
      </c>
      <c r="O8113" s="15" t="s">
        <v>52</v>
      </c>
      <c r="P8113" s="16" t="s">
        <v>7022</v>
      </c>
      <c r="Q8113" s="15" t="s">
        <v>114</v>
      </c>
      <c r="R8113" s="13" t="str">
        <f>HYPERLINK("https://my.pitchbook.com?c=88305-22T","View Company Online")</f>
        <v>View Company Online</v>
      </c>
    </row>
    <row r="8114" spans="1:18" hidden="1" x14ac:dyDescent="0.3">
      <c r="A8114" s="9" t="s">
        <v>23637</v>
      </c>
      <c r="B8114" s="9" t="s">
        <v>9818</v>
      </c>
      <c r="C8114" s="11" t="s">
        <v>28</v>
      </c>
      <c r="D8114" s="9" t="s">
        <v>9819</v>
      </c>
      <c r="E8114" s="11" t="s">
        <v>28</v>
      </c>
      <c r="F8114" s="10" t="s">
        <v>28</v>
      </c>
      <c r="G8114" s="10" t="s">
        <v>28</v>
      </c>
      <c r="H8114" s="10" t="s">
        <v>28</v>
      </c>
      <c r="I8114" s="11" t="s">
        <v>28</v>
      </c>
      <c r="J8114" s="11" t="s">
        <v>28</v>
      </c>
      <c r="K8114" s="11" t="s">
        <v>28</v>
      </c>
      <c r="L8114" s="11" t="s">
        <v>28</v>
      </c>
      <c r="M8114" s="11" t="s">
        <v>28</v>
      </c>
      <c r="N8114" s="8">
        <v>43101</v>
      </c>
      <c r="O8114" s="9" t="s">
        <v>52</v>
      </c>
      <c r="P8114" s="12" t="s">
        <v>8495</v>
      </c>
      <c r="Q8114" s="9" t="s">
        <v>75</v>
      </c>
      <c r="R8114" s="14" t="str">
        <f>HYPERLINK("https://my.pitchbook.com?c=124794-46T","View Company Online")</f>
        <v>View Company Online</v>
      </c>
    </row>
    <row r="8115" spans="1:18" hidden="1" x14ac:dyDescent="0.3">
      <c r="A8115" s="15" t="s">
        <v>23638</v>
      </c>
      <c r="B8115" s="15" t="s">
        <v>19181</v>
      </c>
      <c r="C8115" s="18" t="s">
        <v>28</v>
      </c>
      <c r="D8115" s="15" t="s">
        <v>19182</v>
      </c>
      <c r="E8115" s="18" t="s">
        <v>28</v>
      </c>
      <c r="F8115" s="19" t="s">
        <v>28</v>
      </c>
      <c r="G8115" s="19">
        <v>0.03</v>
      </c>
      <c r="H8115" s="19" t="s">
        <v>28</v>
      </c>
      <c r="I8115" s="18" t="s">
        <v>28</v>
      </c>
      <c r="J8115" s="18" t="s">
        <v>28</v>
      </c>
      <c r="K8115" s="18" t="s">
        <v>28</v>
      </c>
      <c r="L8115" s="18" t="s">
        <v>28</v>
      </c>
      <c r="M8115" s="18" t="s">
        <v>28</v>
      </c>
      <c r="N8115" s="17">
        <v>43101</v>
      </c>
      <c r="O8115" s="15" t="s">
        <v>52</v>
      </c>
      <c r="P8115" s="16" t="s">
        <v>16809</v>
      </c>
      <c r="Q8115" s="15" t="s">
        <v>386</v>
      </c>
      <c r="R8115" s="13" t="str">
        <f>HYPERLINK("https://my.pitchbook.com?c=125355-70T","View Company Online")</f>
        <v>View Company Online</v>
      </c>
    </row>
    <row r="8116" spans="1:18" hidden="1" x14ac:dyDescent="0.3">
      <c r="A8116" s="9" t="s">
        <v>23639</v>
      </c>
      <c r="B8116" s="9" t="s">
        <v>1279</v>
      </c>
      <c r="C8116" s="11" t="s">
        <v>28</v>
      </c>
      <c r="D8116" s="9" t="s">
        <v>1280</v>
      </c>
      <c r="E8116" s="11" t="s">
        <v>28</v>
      </c>
      <c r="F8116" s="10" t="s">
        <v>28</v>
      </c>
      <c r="G8116" s="10">
        <v>1.06</v>
      </c>
      <c r="H8116" s="10" t="s">
        <v>28</v>
      </c>
      <c r="I8116" s="11" t="s">
        <v>28</v>
      </c>
      <c r="J8116" s="11" t="s">
        <v>28</v>
      </c>
      <c r="K8116" s="11" t="s">
        <v>28</v>
      </c>
      <c r="L8116" s="11" t="s">
        <v>28</v>
      </c>
      <c r="M8116" s="11" t="s">
        <v>28</v>
      </c>
      <c r="N8116" s="8">
        <v>43101</v>
      </c>
      <c r="O8116" s="9" t="s">
        <v>73</v>
      </c>
      <c r="P8116" s="12" t="s">
        <v>28</v>
      </c>
      <c r="Q8116" s="9" t="s">
        <v>1035</v>
      </c>
      <c r="R8116" s="14" t="str">
        <f>HYPERLINK("https://my.pitchbook.com?c=174874-87T","View Company Online")</f>
        <v>View Company Online</v>
      </c>
    </row>
    <row r="8117" spans="1:18" hidden="1" x14ac:dyDescent="0.3">
      <c r="A8117" s="15" t="s">
        <v>23640</v>
      </c>
      <c r="B8117" s="15" t="s">
        <v>23641</v>
      </c>
      <c r="C8117" s="18" t="s">
        <v>28</v>
      </c>
      <c r="D8117" s="15" t="s">
        <v>23642</v>
      </c>
      <c r="E8117" s="18" t="s">
        <v>28</v>
      </c>
      <c r="F8117" s="19" t="s">
        <v>28</v>
      </c>
      <c r="G8117" s="19" t="s">
        <v>28</v>
      </c>
      <c r="H8117" s="19" t="s">
        <v>28</v>
      </c>
      <c r="I8117" s="18" t="s">
        <v>28</v>
      </c>
      <c r="J8117" s="18" t="s">
        <v>28</v>
      </c>
      <c r="K8117" s="18" t="s">
        <v>28</v>
      </c>
      <c r="L8117" s="18" t="s">
        <v>28</v>
      </c>
      <c r="M8117" s="18" t="s">
        <v>28</v>
      </c>
      <c r="N8117" s="17">
        <v>43101</v>
      </c>
      <c r="O8117" s="15" t="s">
        <v>41</v>
      </c>
      <c r="P8117" s="16" t="s">
        <v>23643</v>
      </c>
      <c r="Q8117" s="15" t="s">
        <v>616</v>
      </c>
      <c r="R8117" s="13" t="str">
        <f>HYPERLINK("https://my.pitchbook.com?c=258591-52T","View Company Online")</f>
        <v>View Company Online</v>
      </c>
    </row>
    <row r="8118" spans="1:18" hidden="1" x14ac:dyDescent="0.3">
      <c r="A8118" s="9" t="s">
        <v>23644</v>
      </c>
      <c r="B8118" s="9" t="s">
        <v>20011</v>
      </c>
      <c r="C8118" s="11" t="s">
        <v>28</v>
      </c>
      <c r="D8118" s="9" t="s">
        <v>20012</v>
      </c>
      <c r="E8118" s="11" t="s">
        <v>28</v>
      </c>
      <c r="F8118" s="10" t="s">
        <v>28</v>
      </c>
      <c r="G8118" s="10" t="s">
        <v>28</v>
      </c>
      <c r="H8118" s="10" t="s">
        <v>28</v>
      </c>
      <c r="I8118" s="11" t="s">
        <v>28</v>
      </c>
      <c r="J8118" s="11" t="s">
        <v>28</v>
      </c>
      <c r="K8118" s="11" t="s">
        <v>28</v>
      </c>
      <c r="L8118" s="11" t="s">
        <v>28</v>
      </c>
      <c r="M8118" s="11" t="s">
        <v>28</v>
      </c>
      <c r="N8118" s="8">
        <v>43101</v>
      </c>
      <c r="O8118" s="9" t="s">
        <v>52</v>
      </c>
      <c r="P8118" s="12" t="s">
        <v>9686</v>
      </c>
      <c r="Q8118" s="9" t="s">
        <v>245</v>
      </c>
      <c r="R8118" s="14" t="str">
        <f>HYPERLINK("https://my.pitchbook.com?c=258026-77T","View Company Online")</f>
        <v>View Company Online</v>
      </c>
    </row>
    <row r="8119" spans="1:18" hidden="1" x14ac:dyDescent="0.3">
      <c r="A8119" s="15" t="s">
        <v>23645</v>
      </c>
      <c r="B8119" s="15" t="s">
        <v>1347</v>
      </c>
      <c r="C8119" s="18" t="s">
        <v>28</v>
      </c>
      <c r="D8119" s="15" t="s">
        <v>1348</v>
      </c>
      <c r="E8119" s="18" t="s">
        <v>28</v>
      </c>
      <c r="F8119" s="19" t="s">
        <v>28</v>
      </c>
      <c r="G8119" s="19" t="s">
        <v>28</v>
      </c>
      <c r="H8119" s="19" t="s">
        <v>28</v>
      </c>
      <c r="I8119" s="18" t="s">
        <v>28</v>
      </c>
      <c r="J8119" s="18" t="s">
        <v>28</v>
      </c>
      <c r="K8119" s="18" t="s">
        <v>28</v>
      </c>
      <c r="L8119" s="18" t="s">
        <v>28</v>
      </c>
      <c r="M8119" s="18" t="s">
        <v>28</v>
      </c>
      <c r="N8119" s="17">
        <v>43101</v>
      </c>
      <c r="O8119" s="15" t="s">
        <v>379</v>
      </c>
      <c r="P8119" s="16" t="s">
        <v>28</v>
      </c>
      <c r="Q8119" s="15" t="s">
        <v>583</v>
      </c>
      <c r="R8119" s="13" t="str">
        <f>HYPERLINK("https://my.pitchbook.com?c=220531-15T","View Company Online")</f>
        <v>View Company Online</v>
      </c>
    </row>
    <row r="8120" spans="1:18" hidden="1" x14ac:dyDescent="0.3">
      <c r="A8120" s="9" t="s">
        <v>23646</v>
      </c>
      <c r="B8120" s="9" t="s">
        <v>1347</v>
      </c>
      <c r="C8120" s="11" t="s">
        <v>28</v>
      </c>
      <c r="D8120" s="9" t="s">
        <v>1348</v>
      </c>
      <c r="E8120" s="11" t="s">
        <v>28</v>
      </c>
      <c r="F8120" s="10" t="s">
        <v>28</v>
      </c>
      <c r="G8120" s="10">
        <v>0.05</v>
      </c>
      <c r="H8120" s="10" t="s">
        <v>28</v>
      </c>
      <c r="I8120" s="11" t="s">
        <v>28</v>
      </c>
      <c r="J8120" s="11" t="s">
        <v>28</v>
      </c>
      <c r="K8120" s="11" t="s">
        <v>28</v>
      </c>
      <c r="L8120" s="11" t="s">
        <v>28</v>
      </c>
      <c r="M8120" s="11" t="s">
        <v>28</v>
      </c>
      <c r="N8120" s="8">
        <v>43101</v>
      </c>
      <c r="O8120" s="9" t="s">
        <v>47</v>
      </c>
      <c r="P8120" s="12" t="s">
        <v>23647</v>
      </c>
      <c r="Q8120" s="9" t="s">
        <v>583</v>
      </c>
      <c r="R8120" s="14" t="str">
        <f>HYPERLINK("https://my.pitchbook.com?c=248354-92T","View Company Online")</f>
        <v>View Company Online</v>
      </c>
    </row>
    <row r="8121" spans="1:18" hidden="1" x14ac:dyDescent="0.3">
      <c r="A8121" s="15" t="s">
        <v>23648</v>
      </c>
      <c r="B8121" s="15" t="s">
        <v>19509</v>
      </c>
      <c r="C8121" s="18" t="s">
        <v>28</v>
      </c>
      <c r="D8121" s="15" t="s">
        <v>19510</v>
      </c>
      <c r="E8121" s="18" t="s">
        <v>28</v>
      </c>
      <c r="F8121" s="19" t="s">
        <v>28</v>
      </c>
      <c r="G8121" s="19">
        <v>0.2</v>
      </c>
      <c r="H8121" s="19" t="s">
        <v>28</v>
      </c>
      <c r="I8121" s="18" t="s">
        <v>28</v>
      </c>
      <c r="J8121" s="18" t="s">
        <v>28</v>
      </c>
      <c r="K8121" s="18" t="s">
        <v>28</v>
      </c>
      <c r="L8121" s="18" t="s">
        <v>28</v>
      </c>
      <c r="M8121" s="18" t="s">
        <v>28</v>
      </c>
      <c r="N8121" s="17">
        <v>43101</v>
      </c>
      <c r="O8121" s="15" t="s">
        <v>58</v>
      </c>
      <c r="P8121" s="16" t="s">
        <v>28</v>
      </c>
      <c r="Q8121" s="15" t="s">
        <v>75</v>
      </c>
      <c r="R8121" s="13" t="str">
        <f>HYPERLINK("https://my.pitchbook.com?c=127513-45T","View Company Online")</f>
        <v>View Company Online</v>
      </c>
    </row>
    <row r="8122" spans="1:18" hidden="1" x14ac:dyDescent="0.3">
      <c r="A8122" s="9" t="s">
        <v>23649</v>
      </c>
      <c r="B8122" s="9" t="s">
        <v>23650</v>
      </c>
      <c r="C8122" s="11" t="s">
        <v>28</v>
      </c>
      <c r="D8122" s="9" t="s">
        <v>23651</v>
      </c>
      <c r="E8122" s="11" t="s">
        <v>28</v>
      </c>
      <c r="F8122" s="10" t="s">
        <v>28</v>
      </c>
      <c r="G8122" s="10" t="s">
        <v>28</v>
      </c>
      <c r="H8122" s="10" t="s">
        <v>28</v>
      </c>
      <c r="I8122" s="11" t="s">
        <v>28</v>
      </c>
      <c r="J8122" s="11" t="s">
        <v>28</v>
      </c>
      <c r="K8122" s="11" t="s">
        <v>28</v>
      </c>
      <c r="L8122" s="11" t="s">
        <v>28</v>
      </c>
      <c r="M8122" s="11" t="s">
        <v>28</v>
      </c>
      <c r="N8122" s="8">
        <v>43101</v>
      </c>
      <c r="O8122" s="9" t="s">
        <v>73</v>
      </c>
      <c r="P8122" s="12" t="s">
        <v>20225</v>
      </c>
      <c r="Q8122" s="9" t="s">
        <v>5628</v>
      </c>
      <c r="R8122" s="14" t="str">
        <f>HYPERLINK("https://my.pitchbook.com?c=124168-87T","View Company Online")</f>
        <v>View Company Online</v>
      </c>
    </row>
    <row r="8123" spans="1:18" hidden="1" x14ac:dyDescent="0.3">
      <c r="A8123" s="15" t="s">
        <v>23652</v>
      </c>
      <c r="B8123" s="15" t="s">
        <v>16048</v>
      </c>
      <c r="C8123" s="18" t="s">
        <v>28</v>
      </c>
      <c r="D8123" s="15" t="s">
        <v>16049</v>
      </c>
      <c r="E8123" s="18" t="s">
        <v>28</v>
      </c>
      <c r="F8123" s="19" t="s">
        <v>28</v>
      </c>
      <c r="G8123" s="19" t="s">
        <v>28</v>
      </c>
      <c r="H8123" s="19" t="s">
        <v>28</v>
      </c>
      <c r="I8123" s="18" t="s">
        <v>28</v>
      </c>
      <c r="J8123" s="18" t="s">
        <v>28</v>
      </c>
      <c r="K8123" s="18" t="s">
        <v>28</v>
      </c>
      <c r="L8123" s="18" t="s">
        <v>28</v>
      </c>
      <c r="M8123" s="18" t="s">
        <v>28</v>
      </c>
      <c r="N8123" s="17">
        <v>43101</v>
      </c>
      <c r="O8123" s="15" t="s">
        <v>99</v>
      </c>
      <c r="P8123" s="16" t="s">
        <v>23653</v>
      </c>
      <c r="Q8123" s="15" t="s">
        <v>37</v>
      </c>
      <c r="R8123" s="13" t="str">
        <f>HYPERLINK("https://my.pitchbook.com?c=119995-48T","View Company Online")</f>
        <v>View Company Online</v>
      </c>
    </row>
    <row r="8124" spans="1:18" hidden="1" x14ac:dyDescent="0.3">
      <c r="A8124" s="9" t="s">
        <v>23654</v>
      </c>
      <c r="B8124" s="9" t="s">
        <v>2052</v>
      </c>
      <c r="C8124" s="11" t="s">
        <v>28</v>
      </c>
      <c r="D8124" s="9" t="s">
        <v>2053</v>
      </c>
      <c r="E8124" s="11" t="s">
        <v>28</v>
      </c>
      <c r="F8124" s="10" t="s">
        <v>28</v>
      </c>
      <c r="G8124" s="10" t="s">
        <v>28</v>
      </c>
      <c r="H8124" s="10" t="s">
        <v>28</v>
      </c>
      <c r="I8124" s="11" t="s">
        <v>28</v>
      </c>
      <c r="J8124" s="11" t="s">
        <v>28</v>
      </c>
      <c r="K8124" s="11" t="s">
        <v>28</v>
      </c>
      <c r="L8124" s="11" t="s">
        <v>28</v>
      </c>
      <c r="M8124" s="11" t="s">
        <v>28</v>
      </c>
      <c r="N8124" s="8">
        <v>43101</v>
      </c>
      <c r="O8124" s="9" t="s">
        <v>79</v>
      </c>
      <c r="P8124" s="12" t="s">
        <v>23655</v>
      </c>
      <c r="Q8124" s="9" t="s">
        <v>419</v>
      </c>
      <c r="R8124" s="14" t="str">
        <f>HYPERLINK("https://my.pitchbook.com?c=139329-37T","View Company Online")</f>
        <v>View Company Online</v>
      </c>
    </row>
    <row r="8125" spans="1:18" hidden="1" x14ac:dyDescent="0.3">
      <c r="A8125" s="15" t="s">
        <v>23656</v>
      </c>
      <c r="B8125" s="15" t="s">
        <v>23657</v>
      </c>
      <c r="C8125" s="18" t="s">
        <v>28</v>
      </c>
      <c r="D8125" s="15" t="s">
        <v>23658</v>
      </c>
      <c r="E8125" s="18" t="s">
        <v>28</v>
      </c>
      <c r="F8125" s="19" t="s">
        <v>28</v>
      </c>
      <c r="G8125" s="19" t="s">
        <v>28</v>
      </c>
      <c r="H8125" s="19" t="s">
        <v>28</v>
      </c>
      <c r="I8125" s="18" t="s">
        <v>28</v>
      </c>
      <c r="J8125" s="18" t="s">
        <v>28</v>
      </c>
      <c r="K8125" s="18" t="s">
        <v>28</v>
      </c>
      <c r="L8125" s="18" t="s">
        <v>28</v>
      </c>
      <c r="M8125" s="18" t="s">
        <v>28</v>
      </c>
      <c r="N8125" s="17">
        <v>43101</v>
      </c>
      <c r="O8125" s="15" t="s">
        <v>30</v>
      </c>
      <c r="P8125" s="16" t="s">
        <v>23659</v>
      </c>
      <c r="Q8125" s="15" t="s">
        <v>386</v>
      </c>
      <c r="R8125" s="13" t="str">
        <f>HYPERLINK("https://my.pitchbook.com?c=266663-26T","View Company Online")</f>
        <v>View Company Online</v>
      </c>
    </row>
    <row r="8126" spans="1:18" hidden="1" x14ac:dyDescent="0.3">
      <c r="A8126" s="9" t="s">
        <v>23660</v>
      </c>
      <c r="B8126" s="9" t="s">
        <v>10531</v>
      </c>
      <c r="C8126" s="11" t="s">
        <v>28</v>
      </c>
      <c r="D8126" s="9" t="s">
        <v>10532</v>
      </c>
      <c r="E8126" s="11" t="s">
        <v>28</v>
      </c>
      <c r="F8126" s="10" t="s">
        <v>28</v>
      </c>
      <c r="G8126" s="10">
        <v>0.01</v>
      </c>
      <c r="H8126" s="10" t="s">
        <v>28</v>
      </c>
      <c r="I8126" s="11" t="s">
        <v>28</v>
      </c>
      <c r="J8126" s="11" t="s">
        <v>28</v>
      </c>
      <c r="K8126" s="11" t="s">
        <v>28</v>
      </c>
      <c r="L8126" s="11" t="s">
        <v>28</v>
      </c>
      <c r="M8126" s="11" t="s">
        <v>28</v>
      </c>
      <c r="N8126" s="8">
        <v>43101</v>
      </c>
      <c r="O8126" s="9" t="s">
        <v>47</v>
      </c>
      <c r="P8126" s="12" t="s">
        <v>3944</v>
      </c>
      <c r="Q8126" s="9" t="s">
        <v>75</v>
      </c>
      <c r="R8126" s="14" t="str">
        <f>HYPERLINK("https://my.pitchbook.com?c=133962-49T","View Company Online")</f>
        <v>View Company Online</v>
      </c>
    </row>
    <row r="8127" spans="1:18" hidden="1" x14ac:dyDescent="0.3">
      <c r="A8127" s="15" t="s">
        <v>23661</v>
      </c>
      <c r="B8127" s="15" t="s">
        <v>4371</v>
      </c>
      <c r="C8127" s="18" t="s">
        <v>28</v>
      </c>
      <c r="D8127" s="15" t="s">
        <v>4372</v>
      </c>
      <c r="E8127" s="18" t="s">
        <v>28</v>
      </c>
      <c r="F8127" s="19" t="s">
        <v>28</v>
      </c>
      <c r="G8127" s="19" t="s">
        <v>28</v>
      </c>
      <c r="H8127" s="19" t="s">
        <v>28</v>
      </c>
      <c r="I8127" s="18" t="s">
        <v>28</v>
      </c>
      <c r="J8127" s="18" t="s">
        <v>28</v>
      </c>
      <c r="K8127" s="18" t="s">
        <v>28</v>
      </c>
      <c r="L8127" s="18" t="s">
        <v>28</v>
      </c>
      <c r="M8127" s="18" t="s">
        <v>28</v>
      </c>
      <c r="N8127" s="17">
        <v>43101</v>
      </c>
      <c r="O8127" s="15" t="s">
        <v>52</v>
      </c>
      <c r="P8127" s="16" t="s">
        <v>2442</v>
      </c>
      <c r="Q8127" s="15" t="s">
        <v>4374</v>
      </c>
      <c r="R8127" s="13" t="str">
        <f>HYPERLINK("https://my.pitchbook.com?c=263865-52T","View Company Online")</f>
        <v>View Company Online</v>
      </c>
    </row>
    <row r="8128" spans="1:18" hidden="1" x14ac:dyDescent="0.3">
      <c r="A8128" s="9" t="s">
        <v>23662</v>
      </c>
      <c r="B8128" s="9" t="s">
        <v>21529</v>
      </c>
      <c r="C8128" s="11" t="s">
        <v>28</v>
      </c>
      <c r="D8128" s="9" t="s">
        <v>21530</v>
      </c>
      <c r="E8128" s="11" t="s">
        <v>28</v>
      </c>
      <c r="F8128" s="10" t="s">
        <v>28</v>
      </c>
      <c r="G8128" s="10" t="s">
        <v>28</v>
      </c>
      <c r="H8128" s="10" t="s">
        <v>28</v>
      </c>
      <c r="I8128" s="11" t="s">
        <v>28</v>
      </c>
      <c r="J8128" s="11" t="s">
        <v>28</v>
      </c>
      <c r="K8128" s="11" t="s">
        <v>28</v>
      </c>
      <c r="L8128" s="11" t="s">
        <v>28</v>
      </c>
      <c r="M8128" s="11" t="s">
        <v>28</v>
      </c>
      <c r="N8128" s="8">
        <v>43101</v>
      </c>
      <c r="O8128" s="9" t="s">
        <v>52</v>
      </c>
      <c r="P8128" s="12" t="s">
        <v>1970</v>
      </c>
      <c r="Q8128" s="9" t="s">
        <v>37</v>
      </c>
      <c r="R8128" s="14" t="str">
        <f>HYPERLINK("https://my.pitchbook.com?c=125341-39T","View Company Online")</f>
        <v>View Company Online</v>
      </c>
    </row>
    <row r="8129" spans="1:18" hidden="1" x14ac:dyDescent="0.3">
      <c r="A8129" s="15" t="s">
        <v>23663</v>
      </c>
      <c r="B8129" s="15" t="s">
        <v>23664</v>
      </c>
      <c r="C8129" s="18" t="s">
        <v>28</v>
      </c>
      <c r="D8129" s="15" t="s">
        <v>23665</v>
      </c>
      <c r="E8129" s="18" t="s">
        <v>28</v>
      </c>
      <c r="F8129" s="19" t="s">
        <v>28</v>
      </c>
      <c r="G8129" s="19" t="s">
        <v>28</v>
      </c>
      <c r="H8129" s="19" t="s">
        <v>28</v>
      </c>
      <c r="I8129" s="18" t="s">
        <v>28</v>
      </c>
      <c r="J8129" s="18" t="s">
        <v>28</v>
      </c>
      <c r="K8129" s="18" t="s">
        <v>28</v>
      </c>
      <c r="L8129" s="18" t="s">
        <v>28</v>
      </c>
      <c r="M8129" s="18" t="s">
        <v>28</v>
      </c>
      <c r="N8129" s="17">
        <v>43101</v>
      </c>
      <c r="O8129" s="15" t="s">
        <v>79</v>
      </c>
      <c r="P8129" s="16" t="s">
        <v>8824</v>
      </c>
      <c r="Q8129" s="15" t="s">
        <v>75</v>
      </c>
      <c r="R8129" s="13" t="str">
        <f>HYPERLINK("https://my.pitchbook.com?c=111536-74T","View Company Online")</f>
        <v>View Company Online</v>
      </c>
    </row>
    <row r="8130" spans="1:18" hidden="1" x14ac:dyDescent="0.3">
      <c r="A8130" s="9" t="s">
        <v>23666</v>
      </c>
      <c r="B8130" s="9" t="s">
        <v>23667</v>
      </c>
      <c r="C8130" s="11" t="s">
        <v>28</v>
      </c>
      <c r="D8130" s="9" t="s">
        <v>23668</v>
      </c>
      <c r="E8130" s="11" t="s">
        <v>28</v>
      </c>
      <c r="F8130" s="10" t="s">
        <v>28</v>
      </c>
      <c r="G8130" s="10" t="s">
        <v>28</v>
      </c>
      <c r="H8130" s="10" t="s">
        <v>28</v>
      </c>
      <c r="I8130" s="11" t="s">
        <v>28</v>
      </c>
      <c r="J8130" s="11" t="s">
        <v>28</v>
      </c>
      <c r="K8130" s="11" t="s">
        <v>28</v>
      </c>
      <c r="L8130" s="11" t="s">
        <v>28</v>
      </c>
      <c r="M8130" s="11" t="s">
        <v>28</v>
      </c>
      <c r="N8130" s="8">
        <v>43101</v>
      </c>
      <c r="O8130" s="9" t="s">
        <v>73</v>
      </c>
      <c r="P8130" s="12" t="s">
        <v>17011</v>
      </c>
      <c r="Q8130" s="9" t="s">
        <v>75</v>
      </c>
      <c r="R8130" s="14" t="str">
        <f>HYPERLINK("https://my.pitchbook.com?c=224182-72T","View Company Online")</f>
        <v>View Company Online</v>
      </c>
    </row>
    <row r="8131" spans="1:18" hidden="1" x14ac:dyDescent="0.3">
      <c r="A8131" s="15" t="s">
        <v>23669</v>
      </c>
      <c r="B8131" s="15" t="s">
        <v>22532</v>
      </c>
      <c r="C8131" s="18" t="s">
        <v>28</v>
      </c>
      <c r="D8131" s="15" t="s">
        <v>22533</v>
      </c>
      <c r="E8131" s="18" t="s">
        <v>28</v>
      </c>
      <c r="F8131" s="19" t="s">
        <v>28</v>
      </c>
      <c r="G8131" s="19" t="s">
        <v>28</v>
      </c>
      <c r="H8131" s="19" t="s">
        <v>28</v>
      </c>
      <c r="I8131" s="18" t="s">
        <v>28</v>
      </c>
      <c r="J8131" s="18" t="s">
        <v>28</v>
      </c>
      <c r="K8131" s="18" t="s">
        <v>28</v>
      </c>
      <c r="L8131" s="18" t="s">
        <v>28</v>
      </c>
      <c r="M8131" s="18" t="s">
        <v>28</v>
      </c>
      <c r="N8131" s="17">
        <v>43101</v>
      </c>
      <c r="O8131" s="15" t="s">
        <v>52</v>
      </c>
      <c r="P8131" s="16" t="s">
        <v>23670</v>
      </c>
      <c r="Q8131" s="15" t="s">
        <v>75</v>
      </c>
      <c r="R8131" s="13" t="str">
        <f>HYPERLINK("https://my.pitchbook.com?c=288444-88T","View Company Online")</f>
        <v>View Company Online</v>
      </c>
    </row>
    <row r="8132" spans="1:18" hidden="1" x14ac:dyDescent="0.3">
      <c r="A8132" s="9" t="s">
        <v>23671</v>
      </c>
      <c r="B8132" s="9" t="s">
        <v>23672</v>
      </c>
      <c r="C8132" s="11" t="s">
        <v>28</v>
      </c>
      <c r="D8132" s="9" t="s">
        <v>23673</v>
      </c>
      <c r="E8132" s="11" t="s">
        <v>28</v>
      </c>
      <c r="F8132" s="10" t="s">
        <v>28</v>
      </c>
      <c r="G8132" s="10" t="s">
        <v>28</v>
      </c>
      <c r="H8132" s="10" t="s">
        <v>28</v>
      </c>
      <c r="I8132" s="11" t="s">
        <v>28</v>
      </c>
      <c r="J8132" s="11" t="s">
        <v>28</v>
      </c>
      <c r="K8132" s="11" t="s">
        <v>28</v>
      </c>
      <c r="L8132" s="11" t="s">
        <v>28</v>
      </c>
      <c r="M8132" s="11" t="s">
        <v>28</v>
      </c>
      <c r="N8132" s="8">
        <v>43101</v>
      </c>
      <c r="O8132" s="9" t="s">
        <v>30</v>
      </c>
      <c r="P8132" s="12" t="s">
        <v>23674</v>
      </c>
      <c r="Q8132" s="9" t="s">
        <v>362</v>
      </c>
      <c r="R8132" s="14" t="str">
        <f>HYPERLINK("https://my.pitchbook.com?c=268760-08T","View Company Online")</f>
        <v>View Company Online</v>
      </c>
    </row>
    <row r="8133" spans="1:18" hidden="1" x14ac:dyDescent="0.3">
      <c r="A8133" s="15" t="s">
        <v>23675</v>
      </c>
      <c r="B8133" s="15" t="s">
        <v>8552</v>
      </c>
      <c r="C8133" s="18" t="s">
        <v>28</v>
      </c>
      <c r="D8133" s="15" t="s">
        <v>8553</v>
      </c>
      <c r="E8133" s="18" t="s">
        <v>28</v>
      </c>
      <c r="F8133" s="19" t="s">
        <v>28</v>
      </c>
      <c r="G8133" s="19">
        <v>0.61</v>
      </c>
      <c r="H8133" s="19" t="s">
        <v>28</v>
      </c>
      <c r="I8133" s="18" t="s">
        <v>28</v>
      </c>
      <c r="J8133" s="18" t="s">
        <v>28</v>
      </c>
      <c r="K8133" s="18" t="s">
        <v>28</v>
      </c>
      <c r="L8133" s="18" t="s">
        <v>28</v>
      </c>
      <c r="M8133" s="18" t="s">
        <v>28</v>
      </c>
      <c r="N8133" s="17">
        <v>43101</v>
      </c>
      <c r="O8133" s="15" t="s">
        <v>73</v>
      </c>
      <c r="P8133" s="16" t="s">
        <v>23676</v>
      </c>
      <c r="Q8133" s="15" t="s">
        <v>4710</v>
      </c>
      <c r="R8133" s="13" t="str">
        <f>HYPERLINK("https://my.pitchbook.com?c=168005-62T","View Company Online")</f>
        <v>View Company Online</v>
      </c>
    </row>
    <row r="8134" spans="1:18" hidden="1" x14ac:dyDescent="0.3">
      <c r="A8134" s="9" t="s">
        <v>23677</v>
      </c>
      <c r="B8134" s="9" t="s">
        <v>12177</v>
      </c>
      <c r="C8134" s="11" t="s">
        <v>28</v>
      </c>
      <c r="D8134" s="9" t="s">
        <v>12178</v>
      </c>
      <c r="E8134" s="11" t="s">
        <v>28</v>
      </c>
      <c r="F8134" s="10" t="s">
        <v>28</v>
      </c>
      <c r="G8134" s="10">
        <v>0.3</v>
      </c>
      <c r="H8134" s="10" t="s">
        <v>28</v>
      </c>
      <c r="I8134" s="11" t="s">
        <v>28</v>
      </c>
      <c r="J8134" s="11" t="s">
        <v>28</v>
      </c>
      <c r="K8134" s="11" t="s">
        <v>28</v>
      </c>
      <c r="L8134" s="11" t="s">
        <v>28</v>
      </c>
      <c r="M8134" s="11" t="s">
        <v>28</v>
      </c>
      <c r="N8134" s="8">
        <v>43101</v>
      </c>
      <c r="O8134" s="9" t="s">
        <v>99</v>
      </c>
      <c r="P8134" s="12" t="s">
        <v>28</v>
      </c>
      <c r="Q8134" s="9" t="s">
        <v>245</v>
      </c>
      <c r="R8134" s="14" t="str">
        <f>HYPERLINK("https://my.pitchbook.com?c=211602-34T","View Company Online")</f>
        <v>View Company Online</v>
      </c>
    </row>
    <row r="8135" spans="1:18" hidden="1" x14ac:dyDescent="0.3">
      <c r="A8135" s="15" t="s">
        <v>23678</v>
      </c>
      <c r="B8135" s="15" t="s">
        <v>2119</v>
      </c>
      <c r="C8135" s="18" t="s">
        <v>28</v>
      </c>
      <c r="D8135" s="15" t="s">
        <v>2120</v>
      </c>
      <c r="E8135" s="18" t="s">
        <v>28</v>
      </c>
      <c r="F8135" s="19" t="s">
        <v>28</v>
      </c>
      <c r="G8135" s="19" t="s">
        <v>28</v>
      </c>
      <c r="H8135" s="19" t="s">
        <v>28</v>
      </c>
      <c r="I8135" s="18" t="s">
        <v>28</v>
      </c>
      <c r="J8135" s="18" t="s">
        <v>28</v>
      </c>
      <c r="K8135" s="18" t="s">
        <v>28</v>
      </c>
      <c r="L8135" s="18" t="s">
        <v>28</v>
      </c>
      <c r="M8135" s="18" t="s">
        <v>28</v>
      </c>
      <c r="N8135" s="17">
        <v>43101</v>
      </c>
      <c r="O8135" s="15" t="s">
        <v>79</v>
      </c>
      <c r="P8135" s="16" t="s">
        <v>11495</v>
      </c>
      <c r="Q8135" s="15" t="s">
        <v>75</v>
      </c>
      <c r="R8135" s="13" t="str">
        <f>HYPERLINK("https://my.pitchbook.com?c=294076-63T","View Company Online")</f>
        <v>View Company Online</v>
      </c>
    </row>
    <row r="8136" spans="1:18" hidden="1" x14ac:dyDescent="0.3">
      <c r="A8136" s="9" t="s">
        <v>23679</v>
      </c>
      <c r="B8136" s="9" t="s">
        <v>23680</v>
      </c>
      <c r="C8136" s="11" t="s">
        <v>28</v>
      </c>
      <c r="D8136" s="9" t="s">
        <v>23681</v>
      </c>
      <c r="E8136" s="11" t="s">
        <v>28</v>
      </c>
      <c r="F8136" s="10" t="s">
        <v>28</v>
      </c>
      <c r="G8136" s="10" t="s">
        <v>28</v>
      </c>
      <c r="H8136" s="10" t="s">
        <v>28</v>
      </c>
      <c r="I8136" s="11" t="s">
        <v>28</v>
      </c>
      <c r="J8136" s="11" t="s">
        <v>28</v>
      </c>
      <c r="K8136" s="11" t="s">
        <v>28</v>
      </c>
      <c r="L8136" s="11" t="s">
        <v>28</v>
      </c>
      <c r="M8136" s="11" t="s">
        <v>28</v>
      </c>
      <c r="N8136" s="8">
        <v>43101</v>
      </c>
      <c r="O8136" s="9" t="s">
        <v>79</v>
      </c>
      <c r="P8136" s="12" t="s">
        <v>1986</v>
      </c>
      <c r="Q8136" s="9" t="s">
        <v>583</v>
      </c>
      <c r="R8136" s="14" t="str">
        <f>HYPERLINK("https://my.pitchbook.com?c=177094-54T","View Company Online")</f>
        <v>View Company Online</v>
      </c>
    </row>
    <row r="8137" spans="1:18" hidden="1" x14ac:dyDescent="0.3">
      <c r="A8137" s="15" t="s">
        <v>23682</v>
      </c>
      <c r="B8137" s="15" t="s">
        <v>12700</v>
      </c>
      <c r="C8137" s="18" t="s">
        <v>28</v>
      </c>
      <c r="D8137" s="15" t="s">
        <v>12701</v>
      </c>
      <c r="E8137" s="18" t="s">
        <v>28</v>
      </c>
      <c r="F8137" s="19" t="s">
        <v>28</v>
      </c>
      <c r="G8137" s="19" t="s">
        <v>28</v>
      </c>
      <c r="H8137" s="19" t="s">
        <v>28</v>
      </c>
      <c r="I8137" s="18" t="s">
        <v>28</v>
      </c>
      <c r="J8137" s="18" t="s">
        <v>28</v>
      </c>
      <c r="K8137" s="18" t="s">
        <v>28</v>
      </c>
      <c r="L8137" s="18" t="s">
        <v>28</v>
      </c>
      <c r="M8137" s="18" t="s">
        <v>28</v>
      </c>
      <c r="N8137" s="17">
        <v>43101</v>
      </c>
      <c r="O8137" s="15" t="s">
        <v>52</v>
      </c>
      <c r="P8137" s="16" t="s">
        <v>19536</v>
      </c>
      <c r="Q8137" s="15" t="s">
        <v>75</v>
      </c>
      <c r="R8137" s="13" t="str">
        <f>HYPERLINK("https://my.pitchbook.com?c=269470-45T","View Company Online")</f>
        <v>View Company Online</v>
      </c>
    </row>
    <row r="8138" spans="1:18" hidden="1" x14ac:dyDescent="0.3">
      <c r="A8138" s="9" t="s">
        <v>23683</v>
      </c>
      <c r="B8138" s="9" t="s">
        <v>14029</v>
      </c>
      <c r="C8138" s="11" t="s">
        <v>28</v>
      </c>
      <c r="D8138" s="9" t="s">
        <v>14030</v>
      </c>
      <c r="E8138" s="11" t="s">
        <v>28</v>
      </c>
      <c r="F8138" s="10" t="s">
        <v>28</v>
      </c>
      <c r="G8138" s="10" t="s">
        <v>28</v>
      </c>
      <c r="H8138" s="10" t="s">
        <v>28</v>
      </c>
      <c r="I8138" s="11" t="s">
        <v>28</v>
      </c>
      <c r="J8138" s="11" t="s">
        <v>28</v>
      </c>
      <c r="K8138" s="11" t="s">
        <v>28</v>
      </c>
      <c r="L8138" s="11" t="s">
        <v>28</v>
      </c>
      <c r="M8138" s="11" t="s">
        <v>28</v>
      </c>
      <c r="N8138" s="8">
        <v>43101</v>
      </c>
      <c r="O8138" s="9" t="s">
        <v>58</v>
      </c>
      <c r="P8138" s="12" t="s">
        <v>23684</v>
      </c>
      <c r="Q8138" s="9" t="s">
        <v>2168</v>
      </c>
      <c r="R8138" s="14" t="str">
        <f>HYPERLINK("https://my.pitchbook.com?c=180645-13T","View Company Online")</f>
        <v>View Company Online</v>
      </c>
    </row>
    <row r="8139" spans="1:18" hidden="1" x14ac:dyDescent="0.3">
      <c r="A8139" s="15" t="s">
        <v>23685</v>
      </c>
      <c r="B8139" s="15" t="s">
        <v>23686</v>
      </c>
      <c r="C8139" s="18" t="s">
        <v>28</v>
      </c>
      <c r="D8139" s="15" t="s">
        <v>23687</v>
      </c>
      <c r="E8139" s="18" t="s">
        <v>28</v>
      </c>
      <c r="F8139" s="19" t="s">
        <v>28</v>
      </c>
      <c r="G8139" s="19" t="s">
        <v>28</v>
      </c>
      <c r="H8139" s="19" t="s">
        <v>28</v>
      </c>
      <c r="I8139" s="18" t="s">
        <v>28</v>
      </c>
      <c r="J8139" s="18" t="s">
        <v>28</v>
      </c>
      <c r="K8139" s="18" t="s">
        <v>28</v>
      </c>
      <c r="L8139" s="18" t="s">
        <v>28</v>
      </c>
      <c r="M8139" s="18" t="s">
        <v>28</v>
      </c>
      <c r="N8139" s="17">
        <v>43101</v>
      </c>
      <c r="O8139" s="15" t="s">
        <v>30</v>
      </c>
      <c r="P8139" s="16" t="s">
        <v>3117</v>
      </c>
      <c r="Q8139" s="15" t="s">
        <v>753</v>
      </c>
      <c r="R8139" s="13" t="str">
        <f>HYPERLINK("https://my.pitchbook.com?c=274120-57T","View Company Online")</f>
        <v>View Company Online</v>
      </c>
    </row>
    <row r="8140" spans="1:18" hidden="1" x14ac:dyDescent="0.3">
      <c r="A8140" s="9" t="s">
        <v>23688</v>
      </c>
      <c r="B8140" s="9" t="s">
        <v>8839</v>
      </c>
      <c r="C8140" s="11" t="s">
        <v>28</v>
      </c>
      <c r="D8140" s="9" t="s">
        <v>8840</v>
      </c>
      <c r="E8140" s="11" t="s">
        <v>28</v>
      </c>
      <c r="F8140" s="10" t="s">
        <v>28</v>
      </c>
      <c r="G8140" s="10">
        <v>0.12</v>
      </c>
      <c r="H8140" s="10">
        <v>1.71</v>
      </c>
      <c r="I8140" s="11" t="s">
        <v>28</v>
      </c>
      <c r="J8140" s="11" t="s">
        <v>28</v>
      </c>
      <c r="K8140" s="11" t="s">
        <v>28</v>
      </c>
      <c r="L8140" s="11" t="s">
        <v>28</v>
      </c>
      <c r="M8140" s="11" t="s">
        <v>28</v>
      </c>
      <c r="N8140" s="8">
        <v>43101</v>
      </c>
      <c r="O8140" s="9" t="s">
        <v>52</v>
      </c>
      <c r="P8140" s="12" t="s">
        <v>3944</v>
      </c>
      <c r="Q8140" s="9" t="s">
        <v>386</v>
      </c>
      <c r="R8140" s="14" t="str">
        <f>HYPERLINK("https://my.pitchbook.com?c=170846-38T","View Company Online")</f>
        <v>View Company Online</v>
      </c>
    </row>
    <row r="8141" spans="1:18" hidden="1" x14ac:dyDescent="0.3">
      <c r="A8141" s="15" t="s">
        <v>23689</v>
      </c>
      <c r="B8141" s="15" t="s">
        <v>4439</v>
      </c>
      <c r="C8141" s="18" t="s">
        <v>28</v>
      </c>
      <c r="D8141" s="15" t="s">
        <v>4440</v>
      </c>
      <c r="E8141" s="18" t="s">
        <v>28</v>
      </c>
      <c r="F8141" s="19" t="s">
        <v>28</v>
      </c>
      <c r="G8141" s="19">
        <v>0.35</v>
      </c>
      <c r="H8141" s="19" t="s">
        <v>28</v>
      </c>
      <c r="I8141" s="18" t="s">
        <v>28</v>
      </c>
      <c r="J8141" s="18" t="s">
        <v>28</v>
      </c>
      <c r="K8141" s="18" t="s">
        <v>28</v>
      </c>
      <c r="L8141" s="18" t="s">
        <v>28</v>
      </c>
      <c r="M8141" s="18" t="s">
        <v>28</v>
      </c>
      <c r="N8141" s="17">
        <v>43101</v>
      </c>
      <c r="O8141" s="15" t="s">
        <v>99</v>
      </c>
      <c r="P8141" s="16" t="s">
        <v>3000</v>
      </c>
      <c r="Q8141" s="15" t="s">
        <v>419</v>
      </c>
      <c r="R8141" s="13" t="str">
        <f>HYPERLINK("https://my.pitchbook.com?c=174620-08T","View Company Online")</f>
        <v>View Company Online</v>
      </c>
    </row>
    <row r="8142" spans="1:18" hidden="1" x14ac:dyDescent="0.3">
      <c r="A8142" s="9" t="s">
        <v>23690</v>
      </c>
      <c r="B8142" s="9" t="s">
        <v>5577</v>
      </c>
      <c r="C8142" s="11" t="s">
        <v>28</v>
      </c>
      <c r="D8142" s="9" t="s">
        <v>5578</v>
      </c>
      <c r="E8142" s="11" t="s">
        <v>28</v>
      </c>
      <c r="F8142" s="10" t="s">
        <v>28</v>
      </c>
      <c r="G8142" s="10" t="s">
        <v>28</v>
      </c>
      <c r="H8142" s="10" t="s">
        <v>28</v>
      </c>
      <c r="I8142" s="11" t="s">
        <v>28</v>
      </c>
      <c r="J8142" s="11" t="s">
        <v>28</v>
      </c>
      <c r="K8142" s="11" t="s">
        <v>28</v>
      </c>
      <c r="L8142" s="11" t="s">
        <v>28</v>
      </c>
      <c r="M8142" s="11" t="s">
        <v>28</v>
      </c>
      <c r="N8142" s="8">
        <v>43101</v>
      </c>
      <c r="O8142" s="9" t="s">
        <v>73</v>
      </c>
      <c r="P8142" s="12" t="s">
        <v>23691</v>
      </c>
      <c r="Q8142" s="9" t="s">
        <v>832</v>
      </c>
      <c r="R8142" s="14" t="str">
        <f>HYPERLINK("https://my.pitchbook.com?c=213937-12T","View Company Online")</f>
        <v>View Company Online</v>
      </c>
    </row>
    <row r="8143" spans="1:18" hidden="1" x14ac:dyDescent="0.3">
      <c r="A8143" s="15" t="s">
        <v>23692</v>
      </c>
      <c r="B8143" s="15" t="s">
        <v>21821</v>
      </c>
      <c r="C8143" s="18" t="s">
        <v>28</v>
      </c>
      <c r="D8143" s="15" t="s">
        <v>21822</v>
      </c>
      <c r="E8143" s="18" t="s">
        <v>28</v>
      </c>
      <c r="F8143" s="19" t="s">
        <v>28</v>
      </c>
      <c r="G8143" s="19" t="s">
        <v>28</v>
      </c>
      <c r="H8143" s="19" t="s">
        <v>28</v>
      </c>
      <c r="I8143" s="18" t="s">
        <v>28</v>
      </c>
      <c r="J8143" s="18" t="s">
        <v>28</v>
      </c>
      <c r="K8143" s="18" t="s">
        <v>28</v>
      </c>
      <c r="L8143" s="18" t="s">
        <v>28</v>
      </c>
      <c r="M8143" s="18" t="s">
        <v>28</v>
      </c>
      <c r="N8143" s="17">
        <v>43101</v>
      </c>
      <c r="O8143" s="15" t="s">
        <v>52</v>
      </c>
      <c r="P8143" s="16" t="s">
        <v>8261</v>
      </c>
      <c r="Q8143" s="15" t="s">
        <v>75</v>
      </c>
      <c r="R8143" s="13" t="str">
        <f>HYPERLINK("https://my.pitchbook.com?c=292634-38T","View Company Online")</f>
        <v>View Company Online</v>
      </c>
    </row>
    <row r="8144" spans="1:18" hidden="1" x14ac:dyDescent="0.3">
      <c r="A8144" s="9" t="s">
        <v>23693</v>
      </c>
      <c r="B8144" s="9" t="s">
        <v>12708</v>
      </c>
      <c r="C8144" s="11" t="s">
        <v>28</v>
      </c>
      <c r="D8144" s="9" t="s">
        <v>12709</v>
      </c>
      <c r="E8144" s="11" t="s">
        <v>28</v>
      </c>
      <c r="F8144" s="10" t="s">
        <v>28</v>
      </c>
      <c r="G8144" s="10">
        <v>4</v>
      </c>
      <c r="H8144" s="10" t="s">
        <v>28</v>
      </c>
      <c r="I8144" s="11" t="s">
        <v>28</v>
      </c>
      <c r="J8144" s="11" t="s">
        <v>28</v>
      </c>
      <c r="K8144" s="11" t="s">
        <v>28</v>
      </c>
      <c r="L8144" s="11" t="s">
        <v>28</v>
      </c>
      <c r="M8144" s="11" t="s">
        <v>28</v>
      </c>
      <c r="N8144" s="8">
        <v>43101</v>
      </c>
      <c r="O8144" s="9" t="s">
        <v>73</v>
      </c>
      <c r="P8144" s="12" t="s">
        <v>23694</v>
      </c>
      <c r="Q8144" s="9" t="s">
        <v>37</v>
      </c>
      <c r="R8144" s="14" t="str">
        <f>HYPERLINK("https://my.pitchbook.com?c=113830-75T","View Company Online")</f>
        <v>View Company Online</v>
      </c>
    </row>
    <row r="8145" spans="1:18" hidden="1" x14ac:dyDescent="0.3">
      <c r="A8145" s="15" t="s">
        <v>23695</v>
      </c>
      <c r="B8145" s="15" t="s">
        <v>11419</v>
      </c>
      <c r="C8145" s="18" t="s">
        <v>28</v>
      </c>
      <c r="D8145" s="15" t="s">
        <v>11420</v>
      </c>
      <c r="E8145" s="18" t="s">
        <v>28</v>
      </c>
      <c r="F8145" s="19" t="s">
        <v>28</v>
      </c>
      <c r="G8145" s="19" t="s">
        <v>28</v>
      </c>
      <c r="H8145" s="19" t="s">
        <v>28</v>
      </c>
      <c r="I8145" s="18" t="s">
        <v>28</v>
      </c>
      <c r="J8145" s="18" t="s">
        <v>28</v>
      </c>
      <c r="K8145" s="18" t="s">
        <v>28</v>
      </c>
      <c r="L8145" s="18" t="s">
        <v>28</v>
      </c>
      <c r="M8145" s="18" t="s">
        <v>28</v>
      </c>
      <c r="N8145" s="17">
        <v>43101</v>
      </c>
      <c r="O8145" s="15" t="s">
        <v>52</v>
      </c>
      <c r="P8145" s="16" t="s">
        <v>2442</v>
      </c>
      <c r="Q8145" s="15" t="s">
        <v>85</v>
      </c>
      <c r="R8145" s="13" t="str">
        <f>HYPERLINK("https://my.pitchbook.com?c=266762-98T","View Company Online")</f>
        <v>View Company Online</v>
      </c>
    </row>
    <row r="8146" spans="1:18" hidden="1" x14ac:dyDescent="0.3">
      <c r="A8146" s="9" t="s">
        <v>23696</v>
      </c>
      <c r="B8146" s="9" t="s">
        <v>22158</v>
      </c>
      <c r="C8146" s="11" t="s">
        <v>28</v>
      </c>
      <c r="D8146" s="9" t="s">
        <v>22159</v>
      </c>
      <c r="E8146" s="11" t="s">
        <v>28</v>
      </c>
      <c r="F8146" s="10" t="s">
        <v>28</v>
      </c>
      <c r="G8146" s="10" t="s">
        <v>28</v>
      </c>
      <c r="H8146" s="10" t="s">
        <v>28</v>
      </c>
      <c r="I8146" s="11" t="s">
        <v>28</v>
      </c>
      <c r="J8146" s="11" t="s">
        <v>28</v>
      </c>
      <c r="K8146" s="11" t="s">
        <v>28</v>
      </c>
      <c r="L8146" s="11" t="s">
        <v>28</v>
      </c>
      <c r="M8146" s="11" t="s">
        <v>28</v>
      </c>
      <c r="N8146" s="8">
        <v>43101</v>
      </c>
      <c r="O8146" s="9" t="s">
        <v>73</v>
      </c>
      <c r="P8146" s="12" t="s">
        <v>8780</v>
      </c>
      <c r="Q8146" s="9" t="s">
        <v>85</v>
      </c>
      <c r="R8146" s="14" t="str">
        <f>HYPERLINK("https://my.pitchbook.com?c=118133-83T","View Company Online")</f>
        <v>View Company Online</v>
      </c>
    </row>
    <row r="8147" spans="1:18" hidden="1" x14ac:dyDescent="0.3">
      <c r="A8147" s="15" t="s">
        <v>23697</v>
      </c>
      <c r="B8147" s="15" t="s">
        <v>23698</v>
      </c>
      <c r="C8147" s="18" t="s">
        <v>28</v>
      </c>
      <c r="D8147" s="15" t="s">
        <v>23699</v>
      </c>
      <c r="E8147" s="18" t="s">
        <v>28</v>
      </c>
      <c r="F8147" s="19" t="s">
        <v>28</v>
      </c>
      <c r="G8147" s="19" t="s">
        <v>28</v>
      </c>
      <c r="H8147" s="19" t="s">
        <v>28</v>
      </c>
      <c r="I8147" s="18" t="s">
        <v>28</v>
      </c>
      <c r="J8147" s="18" t="s">
        <v>28</v>
      </c>
      <c r="K8147" s="18" t="s">
        <v>28</v>
      </c>
      <c r="L8147" s="18" t="s">
        <v>28</v>
      </c>
      <c r="M8147" s="18" t="s">
        <v>28</v>
      </c>
      <c r="N8147" s="17">
        <v>43101</v>
      </c>
      <c r="O8147" s="15" t="s">
        <v>73</v>
      </c>
      <c r="P8147" s="16" t="s">
        <v>23700</v>
      </c>
      <c r="Q8147" s="15" t="s">
        <v>75</v>
      </c>
      <c r="R8147" s="13" t="str">
        <f>HYPERLINK("https://my.pitchbook.com?c=108213-49T","View Company Online")</f>
        <v>View Company Online</v>
      </c>
    </row>
    <row r="8148" spans="1:18" hidden="1" x14ac:dyDescent="0.3">
      <c r="A8148" s="9" t="s">
        <v>23701</v>
      </c>
      <c r="B8148" s="9" t="s">
        <v>15669</v>
      </c>
      <c r="C8148" s="11" t="s">
        <v>28</v>
      </c>
      <c r="D8148" s="9" t="s">
        <v>15670</v>
      </c>
      <c r="E8148" s="11" t="s">
        <v>28</v>
      </c>
      <c r="F8148" s="10" t="s">
        <v>28</v>
      </c>
      <c r="G8148" s="10">
        <v>18.16</v>
      </c>
      <c r="H8148" s="10" t="s">
        <v>28</v>
      </c>
      <c r="I8148" s="11" t="s">
        <v>28</v>
      </c>
      <c r="J8148" s="11" t="s">
        <v>28</v>
      </c>
      <c r="K8148" s="11" t="s">
        <v>28</v>
      </c>
      <c r="L8148" s="11" t="s">
        <v>28</v>
      </c>
      <c r="M8148" s="11" t="s">
        <v>28</v>
      </c>
      <c r="N8148" s="8">
        <v>43101</v>
      </c>
      <c r="O8148" s="9" t="s">
        <v>99</v>
      </c>
      <c r="P8148" s="12" t="s">
        <v>23702</v>
      </c>
      <c r="Q8148" s="9" t="s">
        <v>362</v>
      </c>
      <c r="R8148" s="14" t="str">
        <f>HYPERLINK("https://my.pitchbook.com?c=171516-34T","View Company Online")</f>
        <v>View Company Online</v>
      </c>
    </row>
    <row r="8149" spans="1:18" hidden="1" x14ac:dyDescent="0.3">
      <c r="A8149" s="15" t="s">
        <v>23703</v>
      </c>
      <c r="B8149" s="15" t="s">
        <v>17439</v>
      </c>
      <c r="C8149" s="18" t="s">
        <v>28</v>
      </c>
      <c r="D8149" s="15" t="s">
        <v>17440</v>
      </c>
      <c r="E8149" s="18" t="s">
        <v>28</v>
      </c>
      <c r="F8149" s="19" t="s">
        <v>28</v>
      </c>
      <c r="G8149" s="19">
        <v>1.21</v>
      </c>
      <c r="H8149" s="19" t="s">
        <v>28</v>
      </c>
      <c r="I8149" s="18" t="s">
        <v>28</v>
      </c>
      <c r="J8149" s="18" t="s">
        <v>28</v>
      </c>
      <c r="K8149" s="18" t="s">
        <v>28</v>
      </c>
      <c r="L8149" s="18" t="s">
        <v>28</v>
      </c>
      <c r="M8149" s="18" t="s">
        <v>28</v>
      </c>
      <c r="N8149" s="17">
        <v>43101</v>
      </c>
      <c r="O8149" s="15" t="s">
        <v>73</v>
      </c>
      <c r="P8149" s="16" t="s">
        <v>23704</v>
      </c>
      <c r="Q8149" s="15" t="s">
        <v>75</v>
      </c>
      <c r="R8149" s="13" t="str">
        <f>HYPERLINK("https://my.pitchbook.com?c=175522-87T","View Company Online")</f>
        <v>View Company Online</v>
      </c>
    </row>
    <row r="8150" spans="1:18" hidden="1" x14ac:dyDescent="0.3">
      <c r="A8150" s="9" t="s">
        <v>23705</v>
      </c>
      <c r="B8150" s="9" t="s">
        <v>23706</v>
      </c>
      <c r="C8150" s="11" t="s">
        <v>28</v>
      </c>
      <c r="D8150" s="9" t="s">
        <v>23707</v>
      </c>
      <c r="E8150" s="11" t="s">
        <v>28</v>
      </c>
      <c r="F8150" s="10" t="s">
        <v>28</v>
      </c>
      <c r="G8150" s="10" t="s">
        <v>28</v>
      </c>
      <c r="H8150" s="10" t="s">
        <v>28</v>
      </c>
      <c r="I8150" s="11" t="s">
        <v>28</v>
      </c>
      <c r="J8150" s="11" t="s">
        <v>28</v>
      </c>
      <c r="K8150" s="11" t="s">
        <v>28</v>
      </c>
      <c r="L8150" s="11" t="s">
        <v>28</v>
      </c>
      <c r="M8150" s="11" t="s">
        <v>28</v>
      </c>
      <c r="N8150" s="8">
        <v>43101</v>
      </c>
      <c r="O8150" s="9" t="s">
        <v>79</v>
      </c>
      <c r="P8150" s="12" t="s">
        <v>23708</v>
      </c>
      <c r="Q8150" s="9" t="s">
        <v>404</v>
      </c>
      <c r="R8150" s="14" t="str">
        <f>HYPERLINK("https://my.pitchbook.com?c=108480-61T","View Company Online")</f>
        <v>View Company Online</v>
      </c>
    </row>
    <row r="8151" spans="1:18" hidden="1" x14ac:dyDescent="0.3">
      <c r="A8151" s="15" t="s">
        <v>23709</v>
      </c>
      <c r="B8151" s="15" t="s">
        <v>902</v>
      </c>
      <c r="C8151" s="18" t="s">
        <v>28</v>
      </c>
      <c r="D8151" s="15" t="s">
        <v>903</v>
      </c>
      <c r="E8151" s="18" t="s">
        <v>28</v>
      </c>
      <c r="F8151" s="19" t="s">
        <v>28</v>
      </c>
      <c r="G8151" s="19">
        <v>1.21</v>
      </c>
      <c r="H8151" s="19" t="s">
        <v>28</v>
      </c>
      <c r="I8151" s="18" t="s">
        <v>28</v>
      </c>
      <c r="J8151" s="18" t="s">
        <v>28</v>
      </c>
      <c r="K8151" s="18" t="s">
        <v>28</v>
      </c>
      <c r="L8151" s="18" t="s">
        <v>28</v>
      </c>
      <c r="M8151" s="18" t="s">
        <v>28</v>
      </c>
      <c r="N8151" s="17">
        <v>43101</v>
      </c>
      <c r="O8151" s="15" t="s">
        <v>379</v>
      </c>
      <c r="P8151" s="16" t="s">
        <v>28</v>
      </c>
      <c r="Q8151" s="15" t="s">
        <v>114</v>
      </c>
      <c r="R8151" s="13" t="str">
        <f>HYPERLINK("https://my.pitchbook.com?c=140101-21T","View Company Online")</f>
        <v>View Company Online</v>
      </c>
    </row>
    <row r="8152" spans="1:18" hidden="1" x14ac:dyDescent="0.3">
      <c r="A8152" s="9" t="s">
        <v>23710</v>
      </c>
      <c r="B8152" s="9" t="s">
        <v>10281</v>
      </c>
      <c r="C8152" s="11" t="s">
        <v>28</v>
      </c>
      <c r="D8152" s="9" t="s">
        <v>10282</v>
      </c>
      <c r="E8152" s="11" t="s">
        <v>28</v>
      </c>
      <c r="F8152" s="10" t="s">
        <v>28</v>
      </c>
      <c r="G8152" s="10">
        <v>3</v>
      </c>
      <c r="H8152" s="10" t="s">
        <v>28</v>
      </c>
      <c r="I8152" s="11" t="s">
        <v>28</v>
      </c>
      <c r="J8152" s="11" t="s">
        <v>28</v>
      </c>
      <c r="K8152" s="11" t="s">
        <v>28</v>
      </c>
      <c r="L8152" s="11" t="s">
        <v>28</v>
      </c>
      <c r="M8152" s="11" t="s">
        <v>28</v>
      </c>
      <c r="N8152" s="8">
        <v>43101</v>
      </c>
      <c r="O8152" s="9" t="s">
        <v>99</v>
      </c>
      <c r="P8152" s="12" t="s">
        <v>28</v>
      </c>
      <c r="Q8152" s="9" t="s">
        <v>105</v>
      </c>
      <c r="R8152" s="14" t="str">
        <f>HYPERLINK("https://my.pitchbook.com?c=206808-76T","View Company Online")</f>
        <v>View Company Online</v>
      </c>
    </row>
    <row r="8153" spans="1:18" hidden="1" x14ac:dyDescent="0.3">
      <c r="A8153" s="15" t="s">
        <v>23711</v>
      </c>
      <c r="B8153" s="15" t="s">
        <v>6345</v>
      </c>
      <c r="C8153" s="18" t="s">
        <v>28</v>
      </c>
      <c r="D8153" s="15" t="s">
        <v>6346</v>
      </c>
      <c r="E8153" s="18" t="s">
        <v>28</v>
      </c>
      <c r="F8153" s="19" t="s">
        <v>28</v>
      </c>
      <c r="G8153" s="19" t="s">
        <v>28</v>
      </c>
      <c r="H8153" s="19" t="s">
        <v>28</v>
      </c>
      <c r="I8153" s="18" t="s">
        <v>28</v>
      </c>
      <c r="J8153" s="18" t="s">
        <v>28</v>
      </c>
      <c r="K8153" s="18" t="s">
        <v>28</v>
      </c>
      <c r="L8153" s="18" t="s">
        <v>28</v>
      </c>
      <c r="M8153" s="18" t="s">
        <v>28</v>
      </c>
      <c r="N8153" s="17">
        <v>43101</v>
      </c>
      <c r="O8153" s="15" t="s">
        <v>379</v>
      </c>
      <c r="P8153" s="16" t="s">
        <v>7110</v>
      </c>
      <c r="Q8153" s="15" t="s">
        <v>6348</v>
      </c>
      <c r="R8153" s="13" t="str">
        <f>HYPERLINK("https://my.pitchbook.com?c=215785-63T","View Company Online")</f>
        <v>View Company Online</v>
      </c>
    </row>
    <row r="8154" spans="1:18" hidden="1" x14ac:dyDescent="0.3">
      <c r="A8154" s="9" t="s">
        <v>23712</v>
      </c>
      <c r="B8154" s="9" t="s">
        <v>23713</v>
      </c>
      <c r="C8154" s="11" t="s">
        <v>28</v>
      </c>
      <c r="D8154" s="9" t="s">
        <v>23714</v>
      </c>
      <c r="E8154" s="11" t="s">
        <v>28</v>
      </c>
      <c r="F8154" s="10" t="s">
        <v>28</v>
      </c>
      <c r="G8154" s="10" t="s">
        <v>28</v>
      </c>
      <c r="H8154" s="10" t="s">
        <v>28</v>
      </c>
      <c r="I8154" s="11" t="s">
        <v>28</v>
      </c>
      <c r="J8154" s="11" t="s">
        <v>28</v>
      </c>
      <c r="K8154" s="11" t="s">
        <v>28</v>
      </c>
      <c r="L8154" s="11" t="s">
        <v>28</v>
      </c>
      <c r="M8154" s="11" t="s">
        <v>28</v>
      </c>
      <c r="N8154" s="8">
        <v>43101</v>
      </c>
      <c r="O8154" s="9" t="s">
        <v>41</v>
      </c>
      <c r="P8154" s="12" t="s">
        <v>23715</v>
      </c>
      <c r="Q8154" s="9" t="s">
        <v>2835</v>
      </c>
      <c r="R8154" s="14" t="str">
        <f>HYPERLINK("https://my.pitchbook.com?c=256958-83T","View Company Online")</f>
        <v>View Company Online</v>
      </c>
    </row>
    <row r="8155" spans="1:18" hidden="1" x14ac:dyDescent="0.3">
      <c r="A8155" s="15" t="s">
        <v>23716</v>
      </c>
      <c r="B8155" s="15" t="s">
        <v>23717</v>
      </c>
      <c r="C8155" s="18" t="s">
        <v>28</v>
      </c>
      <c r="D8155" s="15" t="s">
        <v>23718</v>
      </c>
      <c r="E8155" s="18" t="s">
        <v>28</v>
      </c>
      <c r="F8155" s="19" t="s">
        <v>28</v>
      </c>
      <c r="G8155" s="19" t="s">
        <v>28</v>
      </c>
      <c r="H8155" s="19" t="s">
        <v>28</v>
      </c>
      <c r="I8155" s="18" t="s">
        <v>28</v>
      </c>
      <c r="J8155" s="18" t="s">
        <v>28</v>
      </c>
      <c r="K8155" s="18" t="s">
        <v>28</v>
      </c>
      <c r="L8155" s="18" t="s">
        <v>28</v>
      </c>
      <c r="M8155" s="18" t="s">
        <v>28</v>
      </c>
      <c r="N8155" s="17">
        <v>43101</v>
      </c>
      <c r="O8155" s="15" t="s">
        <v>52</v>
      </c>
      <c r="P8155" s="16" t="s">
        <v>4500</v>
      </c>
      <c r="Q8155" s="15" t="s">
        <v>774</v>
      </c>
      <c r="R8155" s="13" t="str">
        <f>HYPERLINK("https://my.pitchbook.com?c=262473-13T","View Company Online")</f>
        <v>View Company Online</v>
      </c>
    </row>
    <row r="8156" spans="1:18" hidden="1" x14ac:dyDescent="0.3">
      <c r="A8156" s="9" t="s">
        <v>23719</v>
      </c>
      <c r="B8156" s="9" t="s">
        <v>23720</v>
      </c>
      <c r="C8156" s="11" t="s">
        <v>28</v>
      </c>
      <c r="D8156" s="9" t="s">
        <v>23721</v>
      </c>
      <c r="E8156" s="11" t="s">
        <v>28</v>
      </c>
      <c r="F8156" s="10" t="s">
        <v>28</v>
      </c>
      <c r="G8156" s="10" t="s">
        <v>28</v>
      </c>
      <c r="H8156" s="10" t="s">
        <v>28</v>
      </c>
      <c r="I8156" s="11" t="s">
        <v>28</v>
      </c>
      <c r="J8156" s="11" t="s">
        <v>28</v>
      </c>
      <c r="K8156" s="11" t="s">
        <v>28</v>
      </c>
      <c r="L8156" s="11" t="s">
        <v>28</v>
      </c>
      <c r="M8156" s="11" t="s">
        <v>28</v>
      </c>
      <c r="N8156" s="8">
        <v>43101</v>
      </c>
      <c r="O8156" s="9" t="s">
        <v>41</v>
      </c>
      <c r="P8156" s="12" t="s">
        <v>23722</v>
      </c>
      <c r="Q8156" s="9" t="s">
        <v>105</v>
      </c>
      <c r="R8156" s="14" t="str">
        <f>HYPERLINK("https://my.pitchbook.com?c=283234-60T","View Company Online")</f>
        <v>View Company Online</v>
      </c>
    </row>
    <row r="8157" spans="1:18" hidden="1" x14ac:dyDescent="0.3">
      <c r="A8157" s="15" t="s">
        <v>23723</v>
      </c>
      <c r="B8157" s="15" t="s">
        <v>23724</v>
      </c>
      <c r="C8157" s="18" t="s">
        <v>28</v>
      </c>
      <c r="D8157" s="15" t="s">
        <v>23725</v>
      </c>
      <c r="E8157" s="18" t="s">
        <v>28</v>
      </c>
      <c r="F8157" s="19" t="s">
        <v>28</v>
      </c>
      <c r="G8157" s="19" t="s">
        <v>28</v>
      </c>
      <c r="H8157" s="19" t="s">
        <v>28</v>
      </c>
      <c r="I8157" s="18" t="s">
        <v>28</v>
      </c>
      <c r="J8157" s="18" t="s">
        <v>28</v>
      </c>
      <c r="K8157" s="18" t="s">
        <v>28</v>
      </c>
      <c r="L8157" s="18" t="s">
        <v>28</v>
      </c>
      <c r="M8157" s="18" t="s">
        <v>28</v>
      </c>
      <c r="N8157" s="17">
        <v>43101</v>
      </c>
      <c r="O8157" s="15" t="s">
        <v>52</v>
      </c>
      <c r="P8157" s="16" t="s">
        <v>28</v>
      </c>
      <c r="Q8157" s="15" t="s">
        <v>1643</v>
      </c>
      <c r="R8157" s="13" t="str">
        <f>HYPERLINK("https://my.pitchbook.com?c=123597-91T","View Company Online")</f>
        <v>View Company Online</v>
      </c>
    </row>
    <row r="8158" spans="1:18" hidden="1" x14ac:dyDescent="0.3">
      <c r="A8158" s="9" t="s">
        <v>23726</v>
      </c>
      <c r="B8158" s="9" t="s">
        <v>23727</v>
      </c>
      <c r="C8158" s="11" t="s">
        <v>28</v>
      </c>
      <c r="D8158" s="9" t="s">
        <v>23728</v>
      </c>
      <c r="E8158" s="11" t="s">
        <v>28</v>
      </c>
      <c r="F8158" s="10" t="s">
        <v>28</v>
      </c>
      <c r="G8158" s="10" t="s">
        <v>28</v>
      </c>
      <c r="H8158" s="10" t="s">
        <v>28</v>
      </c>
      <c r="I8158" s="11" t="s">
        <v>28</v>
      </c>
      <c r="J8158" s="11" t="s">
        <v>28</v>
      </c>
      <c r="K8158" s="11" t="s">
        <v>28</v>
      </c>
      <c r="L8158" s="11" t="s">
        <v>28</v>
      </c>
      <c r="M8158" s="11" t="s">
        <v>28</v>
      </c>
      <c r="N8158" s="8">
        <v>43101</v>
      </c>
      <c r="O8158" s="9" t="s">
        <v>30</v>
      </c>
      <c r="P8158" s="12" t="s">
        <v>2005</v>
      </c>
      <c r="Q8158" s="9" t="s">
        <v>43</v>
      </c>
      <c r="R8158" s="14" t="str">
        <f>HYPERLINK("https://my.pitchbook.com?c=169133-59T","View Company Online")</f>
        <v>View Company Online</v>
      </c>
    </row>
    <row r="8159" spans="1:18" hidden="1" x14ac:dyDescent="0.3">
      <c r="A8159" s="15" t="s">
        <v>23729</v>
      </c>
      <c r="B8159" s="15" t="s">
        <v>23730</v>
      </c>
      <c r="C8159" s="18" t="s">
        <v>28</v>
      </c>
      <c r="D8159" s="15" t="s">
        <v>23731</v>
      </c>
      <c r="E8159" s="18" t="s">
        <v>28</v>
      </c>
      <c r="F8159" s="19" t="s">
        <v>28</v>
      </c>
      <c r="G8159" s="19" t="s">
        <v>28</v>
      </c>
      <c r="H8159" s="19" t="s">
        <v>28</v>
      </c>
      <c r="I8159" s="18" t="s">
        <v>28</v>
      </c>
      <c r="J8159" s="18" t="s">
        <v>28</v>
      </c>
      <c r="K8159" s="18" t="s">
        <v>28</v>
      </c>
      <c r="L8159" s="18" t="s">
        <v>28</v>
      </c>
      <c r="M8159" s="18" t="s">
        <v>28</v>
      </c>
      <c r="N8159" s="17">
        <v>43101</v>
      </c>
      <c r="O8159" s="15" t="s">
        <v>52</v>
      </c>
      <c r="P8159" s="16" t="s">
        <v>7022</v>
      </c>
      <c r="Q8159" s="15" t="s">
        <v>75</v>
      </c>
      <c r="R8159" s="13" t="str">
        <f>HYPERLINK("https://my.pitchbook.com?c=126467-11T","View Company Online")</f>
        <v>View Company Online</v>
      </c>
    </row>
    <row r="8160" spans="1:18" hidden="1" x14ac:dyDescent="0.3">
      <c r="A8160" s="9" t="s">
        <v>23732</v>
      </c>
      <c r="B8160" s="9" t="s">
        <v>23733</v>
      </c>
      <c r="C8160" s="11" t="s">
        <v>28</v>
      </c>
      <c r="D8160" s="9" t="s">
        <v>23734</v>
      </c>
      <c r="E8160" s="11" t="s">
        <v>28</v>
      </c>
      <c r="F8160" s="10" t="s">
        <v>28</v>
      </c>
      <c r="G8160" s="10" t="s">
        <v>28</v>
      </c>
      <c r="H8160" s="10" t="s">
        <v>28</v>
      </c>
      <c r="I8160" s="11" t="s">
        <v>28</v>
      </c>
      <c r="J8160" s="11" t="s">
        <v>28</v>
      </c>
      <c r="K8160" s="11" t="s">
        <v>28</v>
      </c>
      <c r="L8160" s="11" t="s">
        <v>28</v>
      </c>
      <c r="M8160" s="11" t="s">
        <v>28</v>
      </c>
      <c r="N8160" s="8">
        <v>43101</v>
      </c>
      <c r="O8160" s="9" t="s">
        <v>30</v>
      </c>
      <c r="P8160" s="12" t="s">
        <v>28</v>
      </c>
      <c r="Q8160" s="9" t="s">
        <v>4710</v>
      </c>
      <c r="R8160" s="14" t="str">
        <f>HYPERLINK("https://my.pitchbook.com?c=260449-39T","View Company Online")</f>
        <v>View Company Online</v>
      </c>
    </row>
    <row r="8161" spans="1:18" hidden="1" x14ac:dyDescent="0.3">
      <c r="A8161" s="15" t="s">
        <v>23735</v>
      </c>
      <c r="B8161" s="15" t="s">
        <v>10285</v>
      </c>
      <c r="C8161" s="18" t="s">
        <v>28</v>
      </c>
      <c r="D8161" s="15" t="s">
        <v>10286</v>
      </c>
      <c r="E8161" s="18" t="s">
        <v>28</v>
      </c>
      <c r="F8161" s="19" t="s">
        <v>28</v>
      </c>
      <c r="G8161" s="19" t="s">
        <v>28</v>
      </c>
      <c r="H8161" s="19" t="s">
        <v>28</v>
      </c>
      <c r="I8161" s="18" t="s">
        <v>28</v>
      </c>
      <c r="J8161" s="18" t="s">
        <v>28</v>
      </c>
      <c r="K8161" s="18" t="s">
        <v>28</v>
      </c>
      <c r="L8161" s="18" t="s">
        <v>28</v>
      </c>
      <c r="M8161" s="18" t="s">
        <v>28</v>
      </c>
      <c r="N8161" s="17">
        <v>43101</v>
      </c>
      <c r="O8161" s="15" t="s">
        <v>52</v>
      </c>
      <c r="P8161" s="16" t="s">
        <v>6543</v>
      </c>
      <c r="Q8161" s="15" t="s">
        <v>409</v>
      </c>
      <c r="R8161" s="13" t="str">
        <f>HYPERLINK("https://my.pitchbook.com?c=243917-38T","View Company Online")</f>
        <v>View Company Online</v>
      </c>
    </row>
    <row r="8162" spans="1:18" hidden="1" x14ac:dyDescent="0.3">
      <c r="A8162" s="9" t="s">
        <v>23736</v>
      </c>
      <c r="B8162" s="9" t="s">
        <v>23737</v>
      </c>
      <c r="C8162" s="11" t="s">
        <v>28</v>
      </c>
      <c r="D8162" s="9" t="s">
        <v>23738</v>
      </c>
      <c r="E8162" s="11" t="s">
        <v>28</v>
      </c>
      <c r="F8162" s="10" t="s">
        <v>28</v>
      </c>
      <c r="G8162" s="10" t="s">
        <v>28</v>
      </c>
      <c r="H8162" s="10" t="s">
        <v>28</v>
      </c>
      <c r="I8162" s="11" t="s">
        <v>28</v>
      </c>
      <c r="J8162" s="11" t="s">
        <v>28</v>
      </c>
      <c r="K8162" s="11" t="s">
        <v>28</v>
      </c>
      <c r="L8162" s="11" t="s">
        <v>28</v>
      </c>
      <c r="M8162" s="11" t="s">
        <v>28</v>
      </c>
      <c r="N8162" s="8">
        <v>43101</v>
      </c>
      <c r="O8162" s="9" t="s">
        <v>79</v>
      </c>
      <c r="P8162" s="12" t="s">
        <v>611</v>
      </c>
      <c r="Q8162" s="9" t="s">
        <v>75</v>
      </c>
      <c r="R8162" s="14" t="str">
        <f>HYPERLINK("https://my.pitchbook.com?c=132151-33T","View Company Online")</f>
        <v>View Company Online</v>
      </c>
    </row>
    <row r="8163" spans="1:18" hidden="1" x14ac:dyDescent="0.3">
      <c r="A8163" s="15" t="s">
        <v>23739</v>
      </c>
      <c r="B8163" s="15" t="s">
        <v>18509</v>
      </c>
      <c r="C8163" s="18" t="s">
        <v>28</v>
      </c>
      <c r="D8163" s="15" t="s">
        <v>18510</v>
      </c>
      <c r="E8163" s="18" t="s">
        <v>28</v>
      </c>
      <c r="F8163" s="19" t="s">
        <v>28</v>
      </c>
      <c r="G8163" s="19" t="s">
        <v>28</v>
      </c>
      <c r="H8163" s="19" t="s">
        <v>28</v>
      </c>
      <c r="I8163" s="18" t="s">
        <v>28</v>
      </c>
      <c r="J8163" s="18" t="s">
        <v>28</v>
      </c>
      <c r="K8163" s="18" t="s">
        <v>28</v>
      </c>
      <c r="L8163" s="18" t="s">
        <v>28</v>
      </c>
      <c r="M8163" s="18" t="s">
        <v>28</v>
      </c>
      <c r="N8163" s="17">
        <v>43101</v>
      </c>
      <c r="O8163" s="15" t="s">
        <v>73</v>
      </c>
      <c r="P8163" s="16" t="s">
        <v>611</v>
      </c>
      <c r="Q8163" s="15" t="s">
        <v>75</v>
      </c>
      <c r="R8163" s="13" t="str">
        <f>HYPERLINK("https://my.pitchbook.com?c=243459-19T","View Company Online")</f>
        <v>View Company Online</v>
      </c>
    </row>
    <row r="8164" spans="1:18" hidden="1" x14ac:dyDescent="0.3">
      <c r="A8164" s="9" t="s">
        <v>23740</v>
      </c>
      <c r="B8164" s="9" t="s">
        <v>503</v>
      </c>
      <c r="C8164" s="11" t="s">
        <v>28</v>
      </c>
      <c r="D8164" s="9" t="s">
        <v>504</v>
      </c>
      <c r="E8164" s="11" t="s">
        <v>28</v>
      </c>
      <c r="F8164" s="10" t="s">
        <v>28</v>
      </c>
      <c r="G8164" s="10" t="s">
        <v>28</v>
      </c>
      <c r="H8164" s="10" t="s">
        <v>28</v>
      </c>
      <c r="I8164" s="11" t="s">
        <v>28</v>
      </c>
      <c r="J8164" s="11" t="s">
        <v>28</v>
      </c>
      <c r="K8164" s="11" t="s">
        <v>28</v>
      </c>
      <c r="L8164" s="11" t="s">
        <v>28</v>
      </c>
      <c r="M8164" s="11" t="s">
        <v>28</v>
      </c>
      <c r="N8164" s="8">
        <v>43101</v>
      </c>
      <c r="O8164" s="9" t="s">
        <v>73</v>
      </c>
      <c r="P8164" s="12" t="s">
        <v>23741</v>
      </c>
      <c r="Q8164" s="9" t="s">
        <v>240</v>
      </c>
      <c r="R8164" s="14" t="str">
        <f>HYPERLINK("https://my.pitchbook.com?c=169067-26T","View Company Online")</f>
        <v>View Company Online</v>
      </c>
    </row>
    <row r="8165" spans="1:18" hidden="1" x14ac:dyDescent="0.3">
      <c r="A8165" s="15" t="s">
        <v>23742</v>
      </c>
      <c r="B8165" s="15" t="s">
        <v>11939</v>
      </c>
      <c r="C8165" s="18" t="s">
        <v>28</v>
      </c>
      <c r="D8165" s="15" t="s">
        <v>11940</v>
      </c>
      <c r="E8165" s="18" t="s">
        <v>28</v>
      </c>
      <c r="F8165" s="19" t="s">
        <v>28</v>
      </c>
      <c r="G8165" s="19" t="s">
        <v>28</v>
      </c>
      <c r="H8165" s="19" t="s">
        <v>28</v>
      </c>
      <c r="I8165" s="18" t="s">
        <v>28</v>
      </c>
      <c r="J8165" s="18" t="s">
        <v>28</v>
      </c>
      <c r="K8165" s="18" t="s">
        <v>28</v>
      </c>
      <c r="L8165" s="18" t="s">
        <v>28</v>
      </c>
      <c r="M8165" s="18" t="s">
        <v>28</v>
      </c>
      <c r="N8165" s="17">
        <v>43101</v>
      </c>
      <c r="O8165" s="15" t="s">
        <v>99</v>
      </c>
      <c r="P8165" s="16" t="s">
        <v>23743</v>
      </c>
      <c r="Q8165" s="15" t="s">
        <v>75</v>
      </c>
      <c r="R8165" s="13" t="str">
        <f>HYPERLINK("https://my.pitchbook.com?c=184407-85T","View Company Online")</f>
        <v>View Company Online</v>
      </c>
    </row>
    <row r="8166" spans="1:18" hidden="1" x14ac:dyDescent="0.3">
      <c r="A8166" s="9" t="s">
        <v>23744</v>
      </c>
      <c r="B8166" s="9" t="s">
        <v>17653</v>
      </c>
      <c r="C8166" s="11" t="s">
        <v>28</v>
      </c>
      <c r="D8166" s="9" t="s">
        <v>17654</v>
      </c>
      <c r="E8166" s="11" t="s">
        <v>28</v>
      </c>
      <c r="F8166" s="10" t="s">
        <v>28</v>
      </c>
      <c r="G8166" s="10" t="s">
        <v>28</v>
      </c>
      <c r="H8166" s="10" t="s">
        <v>28</v>
      </c>
      <c r="I8166" s="11" t="s">
        <v>28</v>
      </c>
      <c r="J8166" s="11" t="s">
        <v>28</v>
      </c>
      <c r="K8166" s="11" t="s">
        <v>28</v>
      </c>
      <c r="L8166" s="11" t="s">
        <v>28</v>
      </c>
      <c r="M8166" s="11" t="s">
        <v>28</v>
      </c>
      <c r="N8166" s="8">
        <v>43101</v>
      </c>
      <c r="O8166" s="9" t="s">
        <v>52</v>
      </c>
      <c r="P8166" s="12" t="s">
        <v>23745</v>
      </c>
      <c r="Q8166" s="9" t="s">
        <v>381</v>
      </c>
      <c r="R8166" s="14" t="str">
        <f>HYPERLINK("https://my.pitchbook.com?c=159547-96T","View Company Online")</f>
        <v>View Company Online</v>
      </c>
    </row>
    <row r="8167" spans="1:18" hidden="1" x14ac:dyDescent="0.3">
      <c r="A8167" s="15" t="s">
        <v>23746</v>
      </c>
      <c r="B8167" s="15" t="s">
        <v>23747</v>
      </c>
      <c r="C8167" s="18" t="s">
        <v>28</v>
      </c>
      <c r="D8167" s="15" t="s">
        <v>23748</v>
      </c>
      <c r="E8167" s="18" t="s">
        <v>28</v>
      </c>
      <c r="F8167" s="19" t="s">
        <v>28</v>
      </c>
      <c r="G8167" s="19">
        <v>0.12</v>
      </c>
      <c r="H8167" s="19" t="s">
        <v>28</v>
      </c>
      <c r="I8167" s="18" t="s">
        <v>28</v>
      </c>
      <c r="J8167" s="18" t="s">
        <v>28</v>
      </c>
      <c r="K8167" s="18" t="s">
        <v>28</v>
      </c>
      <c r="L8167" s="18" t="s">
        <v>28</v>
      </c>
      <c r="M8167" s="18" t="s">
        <v>28</v>
      </c>
      <c r="N8167" s="17">
        <v>43101</v>
      </c>
      <c r="O8167" s="15" t="s">
        <v>99</v>
      </c>
      <c r="P8167" s="16" t="s">
        <v>28</v>
      </c>
      <c r="Q8167" s="15" t="s">
        <v>607</v>
      </c>
      <c r="R8167" s="13" t="str">
        <f>HYPERLINK("https://my.pitchbook.com?c=125983-54T","View Company Online")</f>
        <v>View Company Online</v>
      </c>
    </row>
    <row r="8168" spans="1:18" hidden="1" x14ac:dyDescent="0.3">
      <c r="A8168" s="9" t="s">
        <v>23749</v>
      </c>
      <c r="B8168" s="9" t="s">
        <v>23750</v>
      </c>
      <c r="C8168" s="11" t="s">
        <v>28</v>
      </c>
      <c r="D8168" s="9" t="s">
        <v>23751</v>
      </c>
      <c r="E8168" s="11" t="s">
        <v>28</v>
      </c>
      <c r="F8168" s="10" t="s">
        <v>28</v>
      </c>
      <c r="G8168" s="10" t="s">
        <v>28</v>
      </c>
      <c r="H8168" s="10" t="s">
        <v>28</v>
      </c>
      <c r="I8168" s="11" t="s">
        <v>28</v>
      </c>
      <c r="J8168" s="11" t="s">
        <v>28</v>
      </c>
      <c r="K8168" s="11" t="s">
        <v>28</v>
      </c>
      <c r="L8168" s="11" t="s">
        <v>28</v>
      </c>
      <c r="M8168" s="11" t="s">
        <v>28</v>
      </c>
      <c r="N8168" s="8">
        <v>43101</v>
      </c>
      <c r="O8168" s="9" t="s">
        <v>99</v>
      </c>
      <c r="P8168" s="12" t="s">
        <v>28</v>
      </c>
      <c r="Q8168" s="9" t="s">
        <v>696</v>
      </c>
      <c r="R8168" s="14" t="str">
        <f>HYPERLINK("https://my.pitchbook.com?c=235214-92T","View Company Online")</f>
        <v>View Company Online</v>
      </c>
    </row>
    <row r="8169" spans="1:18" hidden="1" x14ac:dyDescent="0.3">
      <c r="A8169" s="15" t="s">
        <v>23752</v>
      </c>
      <c r="B8169" s="15" t="s">
        <v>15301</v>
      </c>
      <c r="C8169" s="18" t="s">
        <v>28</v>
      </c>
      <c r="D8169" s="15" t="s">
        <v>15302</v>
      </c>
      <c r="E8169" s="18" t="s">
        <v>28</v>
      </c>
      <c r="F8169" s="19" t="s">
        <v>28</v>
      </c>
      <c r="G8169" s="19" t="s">
        <v>28</v>
      </c>
      <c r="H8169" s="19" t="s">
        <v>28</v>
      </c>
      <c r="I8169" s="18" t="s">
        <v>28</v>
      </c>
      <c r="J8169" s="18" t="s">
        <v>28</v>
      </c>
      <c r="K8169" s="18" t="s">
        <v>28</v>
      </c>
      <c r="L8169" s="18" t="s">
        <v>28</v>
      </c>
      <c r="M8169" s="18" t="s">
        <v>28</v>
      </c>
      <c r="N8169" s="17">
        <v>43101</v>
      </c>
      <c r="O8169" s="15" t="s">
        <v>99</v>
      </c>
      <c r="P8169" s="16" t="s">
        <v>18538</v>
      </c>
      <c r="Q8169" s="15" t="s">
        <v>75</v>
      </c>
      <c r="R8169" s="13" t="str">
        <f>HYPERLINK("https://my.pitchbook.com?c=120010-33T","View Company Online")</f>
        <v>View Company Online</v>
      </c>
    </row>
    <row r="8170" spans="1:18" hidden="1" x14ac:dyDescent="0.3">
      <c r="A8170" s="9" t="s">
        <v>23753</v>
      </c>
      <c r="B8170" s="9" t="s">
        <v>23754</v>
      </c>
      <c r="C8170" s="11" t="s">
        <v>28</v>
      </c>
      <c r="D8170" s="9" t="s">
        <v>23755</v>
      </c>
      <c r="E8170" s="11" t="s">
        <v>28</v>
      </c>
      <c r="F8170" s="10" t="s">
        <v>28</v>
      </c>
      <c r="G8170" s="10" t="s">
        <v>28</v>
      </c>
      <c r="H8170" s="10" t="s">
        <v>28</v>
      </c>
      <c r="I8170" s="11" t="s">
        <v>28</v>
      </c>
      <c r="J8170" s="11" t="s">
        <v>28</v>
      </c>
      <c r="K8170" s="11" t="s">
        <v>28</v>
      </c>
      <c r="L8170" s="11" t="s">
        <v>28</v>
      </c>
      <c r="M8170" s="11" t="s">
        <v>28</v>
      </c>
      <c r="N8170" s="8">
        <v>43100</v>
      </c>
      <c r="O8170" s="9" t="s">
        <v>30</v>
      </c>
      <c r="P8170" s="12" t="s">
        <v>23756</v>
      </c>
      <c r="Q8170" s="9" t="s">
        <v>10419</v>
      </c>
      <c r="R8170" s="14" t="str">
        <f>HYPERLINK("https://my.pitchbook.com?c=228268-45T","View Company Online")</f>
        <v>View Company Online</v>
      </c>
    </row>
    <row r="8171" spans="1:18" hidden="1" x14ac:dyDescent="0.3">
      <c r="A8171" s="15" t="s">
        <v>23757</v>
      </c>
      <c r="B8171" s="15" t="s">
        <v>23758</v>
      </c>
      <c r="C8171" s="18" t="s">
        <v>28</v>
      </c>
      <c r="D8171" s="15" t="s">
        <v>23759</v>
      </c>
      <c r="E8171" s="18" t="s">
        <v>28</v>
      </c>
      <c r="F8171" s="19" t="s">
        <v>28</v>
      </c>
      <c r="G8171" s="19" t="s">
        <v>28</v>
      </c>
      <c r="H8171" s="19" t="s">
        <v>28</v>
      </c>
      <c r="I8171" s="18" t="s">
        <v>28</v>
      </c>
      <c r="J8171" s="18" t="s">
        <v>28</v>
      </c>
      <c r="K8171" s="18" t="s">
        <v>28</v>
      </c>
      <c r="L8171" s="18" t="s">
        <v>28</v>
      </c>
      <c r="M8171" s="18" t="s">
        <v>28</v>
      </c>
      <c r="N8171" s="17">
        <v>43100</v>
      </c>
      <c r="O8171" s="15" t="s">
        <v>30</v>
      </c>
      <c r="P8171" s="16" t="s">
        <v>17315</v>
      </c>
      <c r="Q8171" s="15" t="s">
        <v>409</v>
      </c>
      <c r="R8171" s="13" t="str">
        <f>HYPERLINK("https://my.pitchbook.com?c=209108-17T","View Company Online")</f>
        <v>View Company Online</v>
      </c>
    </row>
    <row r="8172" spans="1:18" hidden="1" x14ac:dyDescent="0.3">
      <c r="A8172" s="9" t="s">
        <v>23760</v>
      </c>
      <c r="B8172" s="9" t="s">
        <v>23761</v>
      </c>
      <c r="C8172" s="11" t="s">
        <v>28</v>
      </c>
      <c r="D8172" s="9" t="s">
        <v>23762</v>
      </c>
      <c r="E8172" s="11" t="s">
        <v>28</v>
      </c>
      <c r="F8172" s="10">
        <v>30.33</v>
      </c>
      <c r="G8172" s="10">
        <v>18.2</v>
      </c>
      <c r="H8172" s="10">
        <v>30.33</v>
      </c>
      <c r="I8172" s="11" t="s">
        <v>28</v>
      </c>
      <c r="J8172" s="11" t="s">
        <v>28</v>
      </c>
      <c r="K8172" s="11" t="s">
        <v>28</v>
      </c>
      <c r="L8172" s="11" t="s">
        <v>28</v>
      </c>
      <c r="M8172" s="11" t="s">
        <v>28</v>
      </c>
      <c r="N8172" s="8">
        <v>43100</v>
      </c>
      <c r="O8172" s="9" t="s">
        <v>30</v>
      </c>
      <c r="P8172" s="12" t="s">
        <v>23763</v>
      </c>
      <c r="Q8172" s="9" t="s">
        <v>2168</v>
      </c>
      <c r="R8172" s="14" t="str">
        <f>HYPERLINK("https://my.pitchbook.com?c=86532-85T","View Company Online")</f>
        <v>View Company Online</v>
      </c>
    </row>
    <row r="8173" spans="1:18" x14ac:dyDescent="0.3">
      <c r="A8173" s="15" t="s">
        <v>23764</v>
      </c>
      <c r="B8173" s="15" t="s">
        <v>23765</v>
      </c>
      <c r="C8173" s="18" t="s">
        <v>28</v>
      </c>
      <c r="D8173" s="15" t="s">
        <v>23766</v>
      </c>
      <c r="E8173" s="18" t="s">
        <v>28</v>
      </c>
      <c r="F8173" s="19" t="s">
        <v>28</v>
      </c>
      <c r="G8173" s="19">
        <v>303.08999999999997</v>
      </c>
      <c r="H8173" s="19">
        <v>1212.3699999999999</v>
      </c>
      <c r="I8173" s="18">
        <v>244.12</v>
      </c>
      <c r="J8173" s="18">
        <v>4.97</v>
      </c>
      <c r="K8173" s="18">
        <v>1110.72</v>
      </c>
      <c r="L8173" s="18">
        <v>1.0900000000000001</v>
      </c>
      <c r="M8173" s="18" t="s">
        <v>28</v>
      </c>
      <c r="N8173" s="17">
        <v>43098</v>
      </c>
      <c r="O8173" s="15" t="s">
        <v>93</v>
      </c>
      <c r="P8173" s="16" t="s">
        <v>23767</v>
      </c>
      <c r="Q8173" s="15" t="s">
        <v>692</v>
      </c>
      <c r="R8173" s="13" t="str">
        <f>HYPERLINK("https://my.pitchbook.com?c=99501-31T","View Company Online")</f>
        <v>View Company Online</v>
      </c>
    </row>
    <row r="8174" spans="1:18" hidden="1" x14ac:dyDescent="0.3">
      <c r="A8174" s="9" t="s">
        <v>23768</v>
      </c>
      <c r="B8174" s="9" t="s">
        <v>4089</v>
      </c>
      <c r="C8174" s="11" t="s">
        <v>28</v>
      </c>
      <c r="D8174" s="9" t="s">
        <v>4090</v>
      </c>
      <c r="E8174" s="11" t="s">
        <v>28</v>
      </c>
      <c r="F8174" s="10" t="s">
        <v>28</v>
      </c>
      <c r="G8174" s="10">
        <v>7</v>
      </c>
      <c r="H8174" s="10" t="s">
        <v>28</v>
      </c>
      <c r="I8174" s="11" t="s">
        <v>28</v>
      </c>
      <c r="J8174" s="11" t="s">
        <v>28</v>
      </c>
      <c r="K8174" s="11" t="s">
        <v>28</v>
      </c>
      <c r="L8174" s="11" t="s">
        <v>28</v>
      </c>
      <c r="M8174" s="11" t="s">
        <v>28</v>
      </c>
      <c r="N8174" s="8">
        <v>43098</v>
      </c>
      <c r="O8174" s="9" t="s">
        <v>79</v>
      </c>
      <c r="P8174" s="12" t="s">
        <v>23769</v>
      </c>
      <c r="Q8174" s="9" t="s">
        <v>75</v>
      </c>
      <c r="R8174" s="14" t="str">
        <f>HYPERLINK("https://my.pitchbook.com?c=107179-21T","View Company Online")</f>
        <v>View Company Online</v>
      </c>
    </row>
    <row r="8175" spans="1:18" hidden="1" x14ac:dyDescent="0.3">
      <c r="A8175" s="15" t="s">
        <v>23770</v>
      </c>
      <c r="B8175" s="15" t="s">
        <v>23771</v>
      </c>
      <c r="C8175" s="18" t="s">
        <v>28</v>
      </c>
      <c r="D8175" s="15" t="s">
        <v>23772</v>
      </c>
      <c r="E8175" s="18" t="s">
        <v>28</v>
      </c>
      <c r="F8175" s="19" t="s">
        <v>28</v>
      </c>
      <c r="G8175" s="19" t="s">
        <v>28</v>
      </c>
      <c r="H8175" s="19" t="s">
        <v>28</v>
      </c>
      <c r="I8175" s="18" t="s">
        <v>28</v>
      </c>
      <c r="J8175" s="18" t="s">
        <v>28</v>
      </c>
      <c r="K8175" s="18">
        <v>25.03</v>
      </c>
      <c r="L8175" s="18" t="s">
        <v>28</v>
      </c>
      <c r="M8175" s="18" t="s">
        <v>28</v>
      </c>
      <c r="N8175" s="17">
        <v>43098</v>
      </c>
      <c r="O8175" s="15" t="s">
        <v>30</v>
      </c>
      <c r="P8175" s="16" t="s">
        <v>23773</v>
      </c>
      <c r="Q8175" s="15" t="s">
        <v>753</v>
      </c>
      <c r="R8175" s="13" t="str">
        <f>HYPERLINK("https://my.pitchbook.com?c=96394-60T","View Company Online")</f>
        <v>View Company Online</v>
      </c>
    </row>
    <row r="8176" spans="1:18" hidden="1" x14ac:dyDescent="0.3">
      <c r="A8176" s="9" t="s">
        <v>23774</v>
      </c>
      <c r="B8176" s="9" t="s">
        <v>10696</v>
      </c>
      <c r="C8176" s="11" t="s">
        <v>28</v>
      </c>
      <c r="D8176" s="9" t="s">
        <v>10697</v>
      </c>
      <c r="E8176" s="11" t="s">
        <v>28</v>
      </c>
      <c r="F8176" s="10" t="s">
        <v>28</v>
      </c>
      <c r="G8176" s="10" t="s">
        <v>28</v>
      </c>
      <c r="H8176" s="10" t="s">
        <v>28</v>
      </c>
      <c r="I8176" s="11" t="s">
        <v>28</v>
      </c>
      <c r="J8176" s="11" t="s">
        <v>28</v>
      </c>
      <c r="K8176" s="11" t="s">
        <v>28</v>
      </c>
      <c r="L8176" s="11" t="s">
        <v>28</v>
      </c>
      <c r="M8176" s="11" t="s">
        <v>28</v>
      </c>
      <c r="N8176" s="8">
        <v>43098</v>
      </c>
      <c r="O8176" s="9" t="s">
        <v>30</v>
      </c>
      <c r="P8176" s="12" t="s">
        <v>23775</v>
      </c>
      <c r="Q8176" s="9" t="s">
        <v>774</v>
      </c>
      <c r="R8176" s="14" t="str">
        <f>HYPERLINK("https://my.pitchbook.com?c=189710-20T","View Company Online")</f>
        <v>View Company Online</v>
      </c>
    </row>
    <row r="8177" spans="1:18" hidden="1" x14ac:dyDescent="0.3">
      <c r="A8177" s="15" t="s">
        <v>23776</v>
      </c>
      <c r="B8177" s="15" t="s">
        <v>23777</v>
      </c>
      <c r="C8177" s="18" t="s">
        <v>28</v>
      </c>
      <c r="D8177" s="15" t="s">
        <v>23778</v>
      </c>
      <c r="E8177" s="18" t="s">
        <v>28</v>
      </c>
      <c r="F8177" s="19" t="s">
        <v>28</v>
      </c>
      <c r="G8177" s="19" t="s">
        <v>28</v>
      </c>
      <c r="H8177" s="19" t="s">
        <v>28</v>
      </c>
      <c r="I8177" s="18" t="s">
        <v>28</v>
      </c>
      <c r="J8177" s="18" t="s">
        <v>28</v>
      </c>
      <c r="K8177" s="18">
        <v>17.579999999999998</v>
      </c>
      <c r="L8177" s="18" t="s">
        <v>28</v>
      </c>
      <c r="M8177" s="18">
        <v>16.149999999999999</v>
      </c>
      <c r="N8177" s="17">
        <v>43097</v>
      </c>
      <c r="O8177" s="15" t="s">
        <v>173</v>
      </c>
      <c r="P8177" s="16" t="s">
        <v>28</v>
      </c>
      <c r="Q8177" s="15" t="s">
        <v>174</v>
      </c>
      <c r="R8177" s="13" t="str">
        <f>HYPERLINK("https://my.pitchbook.com?c=227752-93T","View Company Online")</f>
        <v>View Company Online</v>
      </c>
    </row>
    <row r="8178" spans="1:18" hidden="1" x14ac:dyDescent="0.3">
      <c r="A8178" s="9" t="s">
        <v>23779</v>
      </c>
      <c r="B8178" s="9" t="s">
        <v>23780</v>
      </c>
      <c r="C8178" s="11" t="s">
        <v>28</v>
      </c>
      <c r="D8178" s="9" t="s">
        <v>23781</v>
      </c>
      <c r="E8178" s="11" t="s">
        <v>28</v>
      </c>
      <c r="F8178" s="10" t="s">
        <v>28</v>
      </c>
      <c r="G8178" s="10">
        <v>1.82</v>
      </c>
      <c r="H8178" s="10" t="s">
        <v>28</v>
      </c>
      <c r="I8178" s="11" t="s">
        <v>28</v>
      </c>
      <c r="J8178" s="11" t="s">
        <v>28</v>
      </c>
      <c r="K8178" s="11" t="s">
        <v>28</v>
      </c>
      <c r="L8178" s="11" t="s">
        <v>28</v>
      </c>
      <c r="M8178" s="11" t="s">
        <v>28</v>
      </c>
      <c r="N8178" s="8">
        <v>43096</v>
      </c>
      <c r="O8178" s="9" t="s">
        <v>79</v>
      </c>
      <c r="P8178" s="12" t="s">
        <v>23782</v>
      </c>
      <c r="Q8178" s="9" t="s">
        <v>75</v>
      </c>
      <c r="R8178" s="14" t="str">
        <f>HYPERLINK("https://my.pitchbook.com?c=246748-06T","View Company Online")</f>
        <v>View Company Online</v>
      </c>
    </row>
    <row r="8179" spans="1:18" hidden="1" x14ac:dyDescent="0.3">
      <c r="A8179" s="15" t="s">
        <v>23783</v>
      </c>
      <c r="B8179" s="15" t="s">
        <v>23784</v>
      </c>
      <c r="C8179" s="18" t="s">
        <v>28</v>
      </c>
      <c r="D8179" s="15" t="s">
        <v>23785</v>
      </c>
      <c r="E8179" s="18" t="s">
        <v>28</v>
      </c>
      <c r="F8179" s="19" t="s">
        <v>28</v>
      </c>
      <c r="G8179" s="19">
        <v>0.1</v>
      </c>
      <c r="H8179" s="19" t="s">
        <v>28</v>
      </c>
      <c r="I8179" s="18" t="s">
        <v>28</v>
      </c>
      <c r="J8179" s="18" t="s">
        <v>28</v>
      </c>
      <c r="K8179" s="18" t="s">
        <v>28</v>
      </c>
      <c r="L8179" s="18" t="s">
        <v>28</v>
      </c>
      <c r="M8179" s="18" t="s">
        <v>28</v>
      </c>
      <c r="N8179" s="17">
        <v>43096</v>
      </c>
      <c r="O8179" s="15" t="s">
        <v>99</v>
      </c>
      <c r="P8179" s="16" t="s">
        <v>19170</v>
      </c>
      <c r="Q8179" s="15" t="s">
        <v>75</v>
      </c>
      <c r="R8179" s="13" t="str">
        <f>HYPERLINK("https://my.pitchbook.com?c=302298-67T","View Company Online")</f>
        <v>View Company Online</v>
      </c>
    </row>
    <row r="8180" spans="1:18" hidden="1" x14ac:dyDescent="0.3">
      <c r="A8180" s="9" t="s">
        <v>23786</v>
      </c>
      <c r="B8180" s="9" t="s">
        <v>19240</v>
      </c>
      <c r="C8180" s="11" t="s">
        <v>28</v>
      </c>
      <c r="D8180" s="9" t="s">
        <v>19241</v>
      </c>
      <c r="E8180" s="11" t="s">
        <v>28</v>
      </c>
      <c r="F8180" s="10" t="s">
        <v>28</v>
      </c>
      <c r="G8180" s="10" t="s">
        <v>28</v>
      </c>
      <c r="H8180" s="10" t="s">
        <v>28</v>
      </c>
      <c r="I8180" s="11" t="s">
        <v>28</v>
      </c>
      <c r="J8180" s="11" t="s">
        <v>28</v>
      </c>
      <c r="K8180" s="11" t="s">
        <v>28</v>
      </c>
      <c r="L8180" s="11" t="s">
        <v>28</v>
      </c>
      <c r="M8180" s="11" t="s">
        <v>28</v>
      </c>
      <c r="N8180" s="8">
        <v>43095</v>
      </c>
      <c r="O8180" s="9" t="s">
        <v>41</v>
      </c>
      <c r="P8180" s="12" t="s">
        <v>23787</v>
      </c>
      <c r="Q8180" s="9" t="s">
        <v>449</v>
      </c>
      <c r="R8180" s="14" t="str">
        <f>HYPERLINK("https://my.pitchbook.com?c=106656-22T","View Company Online")</f>
        <v>View Company Online</v>
      </c>
    </row>
    <row r="8181" spans="1:18" hidden="1" x14ac:dyDescent="0.3">
      <c r="A8181" s="15" t="s">
        <v>23788</v>
      </c>
      <c r="B8181" s="15" t="s">
        <v>10355</v>
      </c>
      <c r="C8181" s="18" t="s">
        <v>28</v>
      </c>
      <c r="D8181" s="15" t="s">
        <v>10356</v>
      </c>
      <c r="E8181" s="18" t="s">
        <v>28</v>
      </c>
      <c r="F8181" s="19" t="s">
        <v>28</v>
      </c>
      <c r="G8181" s="19" t="s">
        <v>28</v>
      </c>
      <c r="H8181" s="19" t="s">
        <v>28</v>
      </c>
      <c r="I8181" s="18" t="s">
        <v>28</v>
      </c>
      <c r="J8181" s="18" t="s">
        <v>28</v>
      </c>
      <c r="K8181" s="18" t="s">
        <v>28</v>
      </c>
      <c r="L8181" s="18" t="s">
        <v>28</v>
      </c>
      <c r="M8181" s="18" t="s">
        <v>28</v>
      </c>
      <c r="N8181" s="17">
        <v>43095</v>
      </c>
      <c r="O8181" s="15" t="s">
        <v>79</v>
      </c>
      <c r="P8181" s="16" t="s">
        <v>104</v>
      </c>
      <c r="Q8181" s="15" t="s">
        <v>566</v>
      </c>
      <c r="R8181" s="13" t="str">
        <f>HYPERLINK("https://my.pitchbook.com?c=203681-17T","View Company Online")</f>
        <v>View Company Online</v>
      </c>
    </row>
    <row r="8182" spans="1:18" hidden="1" x14ac:dyDescent="0.3">
      <c r="A8182" s="9" t="s">
        <v>23789</v>
      </c>
      <c r="B8182" s="9" t="s">
        <v>23790</v>
      </c>
      <c r="C8182" s="11" t="s">
        <v>28</v>
      </c>
      <c r="D8182" s="9" t="s">
        <v>23791</v>
      </c>
      <c r="E8182" s="11" t="s">
        <v>28</v>
      </c>
      <c r="F8182" s="10">
        <v>112.46</v>
      </c>
      <c r="G8182" s="10">
        <v>112.46</v>
      </c>
      <c r="H8182" s="10">
        <v>112.46</v>
      </c>
      <c r="I8182" s="11" t="s">
        <v>28</v>
      </c>
      <c r="J8182" s="11" t="s">
        <v>28</v>
      </c>
      <c r="K8182" s="11" t="s">
        <v>28</v>
      </c>
      <c r="L8182" s="11" t="s">
        <v>28</v>
      </c>
      <c r="M8182" s="11" t="s">
        <v>28</v>
      </c>
      <c r="N8182" s="8">
        <v>43094</v>
      </c>
      <c r="O8182" s="9" t="s">
        <v>30</v>
      </c>
      <c r="P8182" s="12" t="s">
        <v>20457</v>
      </c>
      <c r="Q8182" s="9" t="s">
        <v>1068</v>
      </c>
      <c r="R8182" s="14" t="str">
        <f>HYPERLINK("https://my.pitchbook.com?c=218475-82T","View Company Online")</f>
        <v>View Company Online</v>
      </c>
    </row>
    <row r="8183" spans="1:18" hidden="1" x14ac:dyDescent="0.3">
      <c r="A8183" s="15" t="s">
        <v>23792</v>
      </c>
      <c r="B8183" s="15" t="s">
        <v>14681</v>
      </c>
      <c r="C8183" s="18" t="s">
        <v>28</v>
      </c>
      <c r="D8183" s="15" t="s">
        <v>14682</v>
      </c>
      <c r="E8183" s="18" t="s">
        <v>28</v>
      </c>
      <c r="F8183" s="19" t="s">
        <v>28</v>
      </c>
      <c r="G8183" s="19">
        <v>0.61</v>
      </c>
      <c r="H8183" s="19" t="s">
        <v>28</v>
      </c>
      <c r="I8183" s="18" t="s">
        <v>28</v>
      </c>
      <c r="J8183" s="18" t="s">
        <v>28</v>
      </c>
      <c r="K8183" s="18" t="s">
        <v>28</v>
      </c>
      <c r="L8183" s="18" t="s">
        <v>28</v>
      </c>
      <c r="M8183" s="18" t="s">
        <v>28</v>
      </c>
      <c r="N8183" s="17">
        <v>43091</v>
      </c>
      <c r="O8183" s="15" t="s">
        <v>73</v>
      </c>
      <c r="P8183" s="16" t="s">
        <v>3734</v>
      </c>
      <c r="Q8183" s="15" t="s">
        <v>85</v>
      </c>
      <c r="R8183" s="13" t="str">
        <f>HYPERLINK("https://my.pitchbook.com?c=127258-84T","View Company Online")</f>
        <v>View Company Online</v>
      </c>
    </row>
    <row r="8184" spans="1:18" x14ac:dyDescent="0.3">
      <c r="A8184" s="9" t="s">
        <v>23793</v>
      </c>
      <c r="B8184" s="9" t="s">
        <v>23794</v>
      </c>
      <c r="C8184" s="11" t="s">
        <v>28</v>
      </c>
      <c r="D8184" s="9" t="s">
        <v>23795</v>
      </c>
      <c r="E8184" s="11">
        <v>1.21</v>
      </c>
      <c r="F8184" s="10" t="s">
        <v>28</v>
      </c>
      <c r="G8184" s="10">
        <v>370</v>
      </c>
      <c r="H8184" s="10">
        <v>1100</v>
      </c>
      <c r="I8184" s="11">
        <v>1.21</v>
      </c>
      <c r="J8184" s="11">
        <v>906.01</v>
      </c>
      <c r="K8184" s="11">
        <v>0</v>
      </c>
      <c r="L8184" s="11" t="s">
        <v>28</v>
      </c>
      <c r="M8184" s="11">
        <v>1.72</v>
      </c>
      <c r="N8184" s="8">
        <v>43091</v>
      </c>
      <c r="O8184" s="9" t="s">
        <v>974</v>
      </c>
      <c r="P8184" s="12" t="s">
        <v>23796</v>
      </c>
      <c r="Q8184" s="9" t="s">
        <v>1088</v>
      </c>
      <c r="R8184" s="14" t="str">
        <f>HYPERLINK("https://my.pitchbook.com?c=92811-25T","View Company Online")</f>
        <v>View Company Online</v>
      </c>
    </row>
    <row r="8185" spans="1:18" hidden="1" x14ac:dyDescent="0.3">
      <c r="A8185" s="15" t="s">
        <v>23797</v>
      </c>
      <c r="B8185" s="15" t="s">
        <v>23794</v>
      </c>
      <c r="C8185" s="18" t="s">
        <v>28</v>
      </c>
      <c r="D8185" s="15" t="s">
        <v>23795</v>
      </c>
      <c r="E8185" s="18">
        <v>1.21</v>
      </c>
      <c r="F8185" s="19" t="s">
        <v>28</v>
      </c>
      <c r="G8185" s="19">
        <v>130</v>
      </c>
      <c r="H8185" s="19" t="s">
        <v>28</v>
      </c>
      <c r="I8185" s="18">
        <v>1.21</v>
      </c>
      <c r="J8185" s="18" t="s">
        <v>28</v>
      </c>
      <c r="K8185" s="18">
        <v>0</v>
      </c>
      <c r="L8185" s="18" t="s">
        <v>28</v>
      </c>
      <c r="M8185" s="18">
        <v>1.72</v>
      </c>
      <c r="N8185" s="17">
        <v>43091</v>
      </c>
      <c r="O8185" s="15" t="s">
        <v>159</v>
      </c>
      <c r="P8185" s="16" t="s">
        <v>28</v>
      </c>
      <c r="Q8185" s="15" t="s">
        <v>1088</v>
      </c>
      <c r="R8185" s="13" t="str">
        <f>HYPERLINK("https://my.pitchbook.com?c=168126-13T","View Company Online")</f>
        <v>View Company Online</v>
      </c>
    </row>
    <row r="8186" spans="1:18" hidden="1" x14ac:dyDescent="0.3">
      <c r="A8186" s="9" t="s">
        <v>23798</v>
      </c>
      <c r="B8186" s="9" t="s">
        <v>23799</v>
      </c>
      <c r="C8186" s="11" t="s">
        <v>28</v>
      </c>
      <c r="D8186" s="9" t="s">
        <v>23800</v>
      </c>
      <c r="E8186" s="11" t="s">
        <v>28</v>
      </c>
      <c r="F8186" s="10" t="s">
        <v>28</v>
      </c>
      <c r="G8186" s="10" t="s">
        <v>28</v>
      </c>
      <c r="H8186" s="10" t="s">
        <v>28</v>
      </c>
      <c r="I8186" s="11" t="s">
        <v>28</v>
      </c>
      <c r="J8186" s="11" t="s">
        <v>28</v>
      </c>
      <c r="K8186" s="11" t="s">
        <v>28</v>
      </c>
      <c r="L8186" s="11" t="s">
        <v>28</v>
      </c>
      <c r="M8186" s="11" t="s">
        <v>28</v>
      </c>
      <c r="N8186" s="8">
        <v>43091</v>
      </c>
      <c r="O8186" s="9" t="s">
        <v>52</v>
      </c>
      <c r="P8186" s="12" t="s">
        <v>23801</v>
      </c>
      <c r="Q8186" s="9" t="s">
        <v>75</v>
      </c>
      <c r="R8186" s="14" t="str">
        <f>HYPERLINK("https://my.pitchbook.com?c=255822-58T","View Company Online")</f>
        <v>View Company Online</v>
      </c>
    </row>
    <row r="8187" spans="1:18" hidden="1" x14ac:dyDescent="0.3">
      <c r="A8187" s="15" t="s">
        <v>23802</v>
      </c>
      <c r="B8187" s="15" t="s">
        <v>373</v>
      </c>
      <c r="C8187" s="18" t="s">
        <v>28</v>
      </c>
      <c r="D8187" s="15" t="s">
        <v>374</v>
      </c>
      <c r="E8187" s="18" t="s">
        <v>28</v>
      </c>
      <c r="F8187" s="19" t="s">
        <v>28</v>
      </c>
      <c r="G8187" s="19" t="s">
        <v>28</v>
      </c>
      <c r="H8187" s="19" t="s">
        <v>28</v>
      </c>
      <c r="I8187" s="18" t="s">
        <v>28</v>
      </c>
      <c r="J8187" s="18" t="s">
        <v>28</v>
      </c>
      <c r="K8187" s="18" t="s">
        <v>28</v>
      </c>
      <c r="L8187" s="18" t="s">
        <v>28</v>
      </c>
      <c r="M8187" s="18" t="s">
        <v>28</v>
      </c>
      <c r="N8187" s="17">
        <v>43091</v>
      </c>
      <c r="O8187" s="15" t="s">
        <v>52</v>
      </c>
      <c r="P8187" s="16" t="s">
        <v>23358</v>
      </c>
      <c r="Q8187" s="15" t="s">
        <v>75</v>
      </c>
      <c r="R8187" s="13" t="str">
        <f>HYPERLINK("https://my.pitchbook.com?c=269508-70T","View Company Online")</f>
        <v>View Company Online</v>
      </c>
    </row>
    <row r="8188" spans="1:18" hidden="1" x14ac:dyDescent="0.3">
      <c r="A8188" s="9" t="s">
        <v>23803</v>
      </c>
      <c r="B8188" s="9" t="s">
        <v>1222</v>
      </c>
      <c r="C8188" s="11" t="s">
        <v>28</v>
      </c>
      <c r="D8188" s="9" t="s">
        <v>1223</v>
      </c>
      <c r="E8188" s="11" t="s">
        <v>28</v>
      </c>
      <c r="F8188" s="10" t="s">
        <v>28</v>
      </c>
      <c r="G8188" s="10">
        <v>0.18</v>
      </c>
      <c r="H8188" s="10" t="s">
        <v>28</v>
      </c>
      <c r="I8188" s="11" t="s">
        <v>28</v>
      </c>
      <c r="J8188" s="11" t="s">
        <v>28</v>
      </c>
      <c r="K8188" s="11" t="s">
        <v>28</v>
      </c>
      <c r="L8188" s="11" t="s">
        <v>28</v>
      </c>
      <c r="M8188" s="11" t="s">
        <v>28</v>
      </c>
      <c r="N8188" s="8">
        <v>43091</v>
      </c>
      <c r="O8188" s="9" t="s">
        <v>73</v>
      </c>
      <c r="P8188" s="12" t="s">
        <v>23804</v>
      </c>
      <c r="Q8188" s="9" t="s">
        <v>75</v>
      </c>
      <c r="R8188" s="14" t="str">
        <f>HYPERLINK("https://my.pitchbook.com?c=123131-53T","View Company Online")</f>
        <v>View Company Online</v>
      </c>
    </row>
    <row r="8189" spans="1:18" hidden="1" x14ac:dyDescent="0.3">
      <c r="A8189" s="15" t="s">
        <v>23805</v>
      </c>
      <c r="B8189" s="15" t="s">
        <v>23717</v>
      </c>
      <c r="C8189" s="18" t="s">
        <v>28</v>
      </c>
      <c r="D8189" s="15" t="s">
        <v>23718</v>
      </c>
      <c r="E8189" s="18" t="s">
        <v>28</v>
      </c>
      <c r="F8189" s="19" t="s">
        <v>28</v>
      </c>
      <c r="G8189" s="19" t="s">
        <v>28</v>
      </c>
      <c r="H8189" s="19" t="s">
        <v>28</v>
      </c>
      <c r="I8189" s="18" t="s">
        <v>28</v>
      </c>
      <c r="J8189" s="18" t="s">
        <v>28</v>
      </c>
      <c r="K8189" s="18" t="s">
        <v>28</v>
      </c>
      <c r="L8189" s="18" t="s">
        <v>28</v>
      </c>
      <c r="M8189" s="18" t="s">
        <v>28</v>
      </c>
      <c r="N8189" s="17">
        <v>43091</v>
      </c>
      <c r="O8189" s="15" t="s">
        <v>52</v>
      </c>
      <c r="P8189" s="16" t="s">
        <v>22279</v>
      </c>
      <c r="Q8189" s="15" t="s">
        <v>774</v>
      </c>
      <c r="R8189" s="13" t="str">
        <f>HYPERLINK("https://my.pitchbook.com?c=262473-76T","View Company Online")</f>
        <v>View Company Online</v>
      </c>
    </row>
    <row r="8190" spans="1:18" hidden="1" x14ac:dyDescent="0.3">
      <c r="A8190" s="9" t="s">
        <v>23806</v>
      </c>
      <c r="B8190" s="9" t="s">
        <v>23807</v>
      </c>
      <c r="C8190" s="11" t="s">
        <v>28</v>
      </c>
      <c r="D8190" s="9" t="s">
        <v>23808</v>
      </c>
      <c r="E8190" s="11" t="s">
        <v>28</v>
      </c>
      <c r="F8190" s="10" t="s">
        <v>28</v>
      </c>
      <c r="G8190" s="10" t="s">
        <v>28</v>
      </c>
      <c r="H8190" s="10" t="s">
        <v>28</v>
      </c>
      <c r="I8190" s="11" t="s">
        <v>28</v>
      </c>
      <c r="J8190" s="11" t="s">
        <v>28</v>
      </c>
      <c r="K8190" s="11" t="s">
        <v>28</v>
      </c>
      <c r="L8190" s="11" t="s">
        <v>28</v>
      </c>
      <c r="M8190" s="11" t="s">
        <v>28</v>
      </c>
      <c r="N8190" s="8">
        <v>43090</v>
      </c>
      <c r="O8190" s="9" t="s">
        <v>30</v>
      </c>
      <c r="P8190" s="12" t="s">
        <v>21227</v>
      </c>
      <c r="Q8190" s="9" t="s">
        <v>43</v>
      </c>
      <c r="R8190" s="14" t="str">
        <f>HYPERLINK("https://my.pitchbook.com?c=256569-49T","View Company Online")</f>
        <v>View Company Online</v>
      </c>
    </row>
    <row r="8191" spans="1:18" hidden="1" x14ac:dyDescent="0.3">
      <c r="A8191" s="15" t="s">
        <v>23809</v>
      </c>
      <c r="B8191" s="15" t="s">
        <v>22838</v>
      </c>
      <c r="C8191" s="18" t="s">
        <v>28</v>
      </c>
      <c r="D8191" s="15" t="s">
        <v>22839</v>
      </c>
      <c r="E8191" s="18" t="s">
        <v>28</v>
      </c>
      <c r="F8191" s="19">
        <v>3.05</v>
      </c>
      <c r="G8191" s="19">
        <v>3.05</v>
      </c>
      <c r="H8191" s="19">
        <v>3.05</v>
      </c>
      <c r="I8191" s="18" t="s">
        <v>28</v>
      </c>
      <c r="J8191" s="18" t="s">
        <v>28</v>
      </c>
      <c r="K8191" s="18" t="s">
        <v>28</v>
      </c>
      <c r="L8191" s="18" t="s">
        <v>28</v>
      </c>
      <c r="M8191" s="18" t="s">
        <v>28</v>
      </c>
      <c r="N8191" s="17">
        <v>43090</v>
      </c>
      <c r="O8191" s="15" t="s">
        <v>30</v>
      </c>
      <c r="P8191" s="16" t="s">
        <v>23810</v>
      </c>
      <c r="Q8191" s="15" t="s">
        <v>75</v>
      </c>
      <c r="R8191" s="13" t="str">
        <f>HYPERLINK("https://my.pitchbook.com?c=123133-06T","View Company Online")</f>
        <v>View Company Online</v>
      </c>
    </row>
    <row r="8192" spans="1:18" hidden="1" x14ac:dyDescent="0.3">
      <c r="A8192" s="9" t="s">
        <v>23811</v>
      </c>
      <c r="B8192" s="9" t="s">
        <v>14849</v>
      </c>
      <c r="C8192" s="11" t="s">
        <v>28</v>
      </c>
      <c r="D8192" s="9" t="s">
        <v>14850</v>
      </c>
      <c r="E8192" s="11" t="s">
        <v>28</v>
      </c>
      <c r="F8192" s="10" t="s">
        <v>28</v>
      </c>
      <c r="G8192" s="10">
        <v>0.03</v>
      </c>
      <c r="H8192" s="10" t="s">
        <v>28</v>
      </c>
      <c r="I8192" s="11" t="s">
        <v>28</v>
      </c>
      <c r="J8192" s="11" t="s">
        <v>28</v>
      </c>
      <c r="K8192" s="11" t="s">
        <v>28</v>
      </c>
      <c r="L8192" s="11" t="s">
        <v>28</v>
      </c>
      <c r="M8192" s="11" t="s">
        <v>28</v>
      </c>
      <c r="N8192" s="8">
        <v>43089</v>
      </c>
      <c r="O8192" s="9" t="s">
        <v>9098</v>
      </c>
      <c r="P8192" s="12" t="s">
        <v>28</v>
      </c>
      <c r="Q8192" s="9" t="s">
        <v>75</v>
      </c>
      <c r="R8192" s="14" t="str">
        <f>HYPERLINK("https://my.pitchbook.com?c=127868-05T","View Company Online")</f>
        <v>View Company Online</v>
      </c>
    </row>
    <row r="8193" spans="1:18" hidden="1" x14ac:dyDescent="0.3">
      <c r="A8193" s="15" t="s">
        <v>23812</v>
      </c>
      <c r="B8193" s="15" t="s">
        <v>22384</v>
      </c>
      <c r="C8193" s="18" t="s">
        <v>28</v>
      </c>
      <c r="D8193" s="15" t="s">
        <v>22385</v>
      </c>
      <c r="E8193" s="18" t="s">
        <v>28</v>
      </c>
      <c r="F8193" s="19" t="s">
        <v>28</v>
      </c>
      <c r="G8193" s="19" t="s">
        <v>28</v>
      </c>
      <c r="H8193" s="19" t="s">
        <v>28</v>
      </c>
      <c r="I8193" s="18" t="s">
        <v>28</v>
      </c>
      <c r="J8193" s="18" t="s">
        <v>28</v>
      </c>
      <c r="K8193" s="18" t="s">
        <v>28</v>
      </c>
      <c r="L8193" s="18" t="s">
        <v>28</v>
      </c>
      <c r="M8193" s="18" t="s">
        <v>28</v>
      </c>
      <c r="N8193" s="17">
        <v>43089</v>
      </c>
      <c r="O8193" s="15" t="s">
        <v>30</v>
      </c>
      <c r="P8193" s="16" t="s">
        <v>23813</v>
      </c>
      <c r="Q8193" s="15" t="s">
        <v>226</v>
      </c>
      <c r="R8193" s="13" t="str">
        <f>HYPERLINK("https://my.pitchbook.com?c=111378-70T","View Company Online")</f>
        <v>View Company Online</v>
      </c>
    </row>
    <row r="8194" spans="1:18" hidden="1" x14ac:dyDescent="0.3">
      <c r="A8194" s="9" t="s">
        <v>23814</v>
      </c>
      <c r="B8194" s="9" t="s">
        <v>23815</v>
      </c>
      <c r="C8194" s="11" t="s">
        <v>28</v>
      </c>
      <c r="D8194" s="9" t="s">
        <v>23816</v>
      </c>
      <c r="E8194" s="11" t="s">
        <v>28</v>
      </c>
      <c r="F8194" s="10">
        <v>60.78</v>
      </c>
      <c r="G8194" s="10">
        <v>31</v>
      </c>
      <c r="H8194" s="10">
        <v>60.78</v>
      </c>
      <c r="I8194" s="11" t="s">
        <v>28</v>
      </c>
      <c r="J8194" s="11" t="s">
        <v>28</v>
      </c>
      <c r="K8194" s="11">
        <v>47</v>
      </c>
      <c r="L8194" s="11">
        <v>1.29</v>
      </c>
      <c r="M8194" s="11" t="s">
        <v>28</v>
      </c>
      <c r="N8194" s="8">
        <v>43089</v>
      </c>
      <c r="O8194" s="9" t="s">
        <v>30</v>
      </c>
      <c r="P8194" s="12" t="s">
        <v>18597</v>
      </c>
      <c r="Q8194" s="9" t="s">
        <v>136</v>
      </c>
      <c r="R8194" s="14" t="str">
        <f>HYPERLINK("https://my.pitchbook.com?c=99503-47T","View Company Online")</f>
        <v>View Company Online</v>
      </c>
    </row>
    <row r="8195" spans="1:18" hidden="1" x14ac:dyDescent="0.3">
      <c r="A8195" s="15" t="s">
        <v>23817</v>
      </c>
      <c r="B8195" s="15" t="s">
        <v>23818</v>
      </c>
      <c r="C8195" s="18" t="s">
        <v>28</v>
      </c>
      <c r="D8195" s="15" t="s">
        <v>23819</v>
      </c>
      <c r="E8195" s="18" t="s">
        <v>28</v>
      </c>
      <c r="F8195" s="19" t="s">
        <v>28</v>
      </c>
      <c r="G8195" s="19" t="s">
        <v>28</v>
      </c>
      <c r="H8195" s="19" t="s">
        <v>28</v>
      </c>
      <c r="I8195" s="18" t="s">
        <v>28</v>
      </c>
      <c r="J8195" s="18" t="s">
        <v>28</v>
      </c>
      <c r="K8195" s="18" t="s">
        <v>28</v>
      </c>
      <c r="L8195" s="18" t="s">
        <v>28</v>
      </c>
      <c r="M8195" s="18" t="s">
        <v>28</v>
      </c>
      <c r="N8195" s="17">
        <v>43089</v>
      </c>
      <c r="O8195" s="15" t="s">
        <v>93</v>
      </c>
      <c r="P8195" s="16" t="s">
        <v>23820</v>
      </c>
      <c r="Q8195" s="15" t="s">
        <v>95</v>
      </c>
      <c r="R8195" s="13" t="str">
        <f>HYPERLINK("https://my.pitchbook.com?c=207419-32T","View Company Online")</f>
        <v>View Company Online</v>
      </c>
    </row>
    <row r="8196" spans="1:18" hidden="1" x14ac:dyDescent="0.3">
      <c r="A8196" s="9" t="s">
        <v>23821</v>
      </c>
      <c r="B8196" s="9" t="s">
        <v>23822</v>
      </c>
      <c r="C8196" s="11" t="s">
        <v>28</v>
      </c>
      <c r="D8196" s="9" t="s">
        <v>23823</v>
      </c>
      <c r="E8196" s="11" t="s">
        <v>28</v>
      </c>
      <c r="F8196" s="10" t="s">
        <v>28</v>
      </c>
      <c r="G8196" s="10" t="s">
        <v>28</v>
      </c>
      <c r="H8196" s="10" t="s">
        <v>28</v>
      </c>
      <c r="I8196" s="11" t="s">
        <v>28</v>
      </c>
      <c r="J8196" s="11" t="s">
        <v>28</v>
      </c>
      <c r="K8196" s="11" t="s">
        <v>28</v>
      </c>
      <c r="L8196" s="11" t="s">
        <v>28</v>
      </c>
      <c r="M8196" s="11" t="s">
        <v>28</v>
      </c>
      <c r="N8196" s="8">
        <v>43089</v>
      </c>
      <c r="O8196" s="9" t="s">
        <v>30</v>
      </c>
      <c r="P8196" s="12" t="s">
        <v>23824</v>
      </c>
      <c r="Q8196" s="9" t="s">
        <v>1051</v>
      </c>
      <c r="R8196" s="14" t="str">
        <f>HYPERLINK("https://my.pitchbook.com?c=101055-88T","View Company Online")</f>
        <v>View Company Online</v>
      </c>
    </row>
    <row r="8197" spans="1:18" hidden="1" x14ac:dyDescent="0.3">
      <c r="A8197" s="15" t="s">
        <v>23825</v>
      </c>
      <c r="B8197" s="15" t="s">
        <v>18354</v>
      </c>
      <c r="C8197" s="18" t="s">
        <v>28</v>
      </c>
      <c r="D8197" s="15" t="s">
        <v>18355</v>
      </c>
      <c r="E8197" s="18" t="s">
        <v>28</v>
      </c>
      <c r="F8197" s="19" t="s">
        <v>28</v>
      </c>
      <c r="G8197" s="19">
        <v>0.7</v>
      </c>
      <c r="H8197" s="19" t="s">
        <v>28</v>
      </c>
      <c r="I8197" s="18" t="s">
        <v>28</v>
      </c>
      <c r="J8197" s="18" t="s">
        <v>28</v>
      </c>
      <c r="K8197" s="18" t="s">
        <v>28</v>
      </c>
      <c r="L8197" s="18" t="s">
        <v>28</v>
      </c>
      <c r="M8197" s="18" t="s">
        <v>28</v>
      </c>
      <c r="N8197" s="17">
        <v>43088</v>
      </c>
      <c r="O8197" s="15" t="s">
        <v>99</v>
      </c>
      <c r="P8197" s="16" t="s">
        <v>23826</v>
      </c>
      <c r="Q8197" s="15" t="s">
        <v>75</v>
      </c>
      <c r="R8197" s="13" t="str">
        <f>HYPERLINK("https://my.pitchbook.com?c=99017-02T","View Company Online")</f>
        <v>View Company Online</v>
      </c>
    </row>
    <row r="8198" spans="1:18" hidden="1" x14ac:dyDescent="0.3">
      <c r="A8198" s="9" t="s">
        <v>23827</v>
      </c>
      <c r="B8198" s="9" t="s">
        <v>3369</v>
      </c>
      <c r="C8198" s="11" t="s">
        <v>28</v>
      </c>
      <c r="D8198" s="9" t="s">
        <v>3370</v>
      </c>
      <c r="E8198" s="11">
        <v>5.68</v>
      </c>
      <c r="F8198" s="10" t="s">
        <v>28</v>
      </c>
      <c r="G8198" s="10">
        <v>586.53</v>
      </c>
      <c r="H8198" s="10" t="s">
        <v>28</v>
      </c>
      <c r="I8198" s="11">
        <v>40.450000000000003</v>
      </c>
      <c r="J8198" s="11" t="s">
        <v>28</v>
      </c>
      <c r="K8198" s="11">
        <v>520.53</v>
      </c>
      <c r="L8198" s="11" t="s">
        <v>28</v>
      </c>
      <c r="M8198" s="11">
        <v>-15.57</v>
      </c>
      <c r="N8198" s="8">
        <v>43087</v>
      </c>
      <c r="O8198" s="9" t="s">
        <v>173</v>
      </c>
      <c r="P8198" s="12" t="s">
        <v>28</v>
      </c>
      <c r="Q8198" s="9" t="s">
        <v>169</v>
      </c>
      <c r="R8198" s="14" t="str">
        <f>HYPERLINK("https://my.pitchbook.com?c=96268-87T","View Company Online")</f>
        <v>View Company Online</v>
      </c>
    </row>
    <row r="8199" spans="1:18" hidden="1" x14ac:dyDescent="0.3">
      <c r="A8199" s="15" t="s">
        <v>23828</v>
      </c>
      <c r="B8199" s="15" t="s">
        <v>23829</v>
      </c>
      <c r="C8199" s="18" t="s">
        <v>28</v>
      </c>
      <c r="D8199" s="15" t="s">
        <v>23830</v>
      </c>
      <c r="E8199" s="18" t="s">
        <v>28</v>
      </c>
      <c r="F8199" s="19" t="s">
        <v>28</v>
      </c>
      <c r="G8199" s="19" t="s">
        <v>28</v>
      </c>
      <c r="H8199" s="19" t="s">
        <v>28</v>
      </c>
      <c r="I8199" s="18" t="s">
        <v>28</v>
      </c>
      <c r="J8199" s="18" t="s">
        <v>28</v>
      </c>
      <c r="K8199" s="18" t="s">
        <v>28</v>
      </c>
      <c r="L8199" s="18" t="s">
        <v>28</v>
      </c>
      <c r="M8199" s="18" t="s">
        <v>28</v>
      </c>
      <c r="N8199" s="17">
        <v>43086</v>
      </c>
      <c r="O8199" s="15" t="s">
        <v>52</v>
      </c>
      <c r="P8199" s="16" t="s">
        <v>4500</v>
      </c>
      <c r="Q8199" s="15" t="s">
        <v>740</v>
      </c>
      <c r="R8199" s="13" t="str">
        <f>HYPERLINK("https://my.pitchbook.com?c=277452-46T","View Company Online")</f>
        <v>View Company Online</v>
      </c>
    </row>
    <row r="8200" spans="1:18" hidden="1" x14ac:dyDescent="0.3">
      <c r="A8200" s="9" t="s">
        <v>23831</v>
      </c>
      <c r="B8200" s="9" t="s">
        <v>23832</v>
      </c>
      <c r="C8200" s="11" t="s">
        <v>28</v>
      </c>
      <c r="D8200" s="9" t="s">
        <v>23833</v>
      </c>
      <c r="E8200" s="11" t="s">
        <v>28</v>
      </c>
      <c r="F8200" s="10" t="s">
        <v>28</v>
      </c>
      <c r="G8200" s="10" t="s">
        <v>28</v>
      </c>
      <c r="H8200" s="10" t="s">
        <v>28</v>
      </c>
      <c r="I8200" s="11" t="s">
        <v>28</v>
      </c>
      <c r="J8200" s="11" t="s">
        <v>28</v>
      </c>
      <c r="K8200" s="11" t="s">
        <v>28</v>
      </c>
      <c r="L8200" s="11" t="s">
        <v>28</v>
      </c>
      <c r="M8200" s="11" t="s">
        <v>28</v>
      </c>
      <c r="N8200" s="8">
        <v>43084</v>
      </c>
      <c r="O8200" s="9" t="s">
        <v>30</v>
      </c>
      <c r="P8200" s="12" t="s">
        <v>23834</v>
      </c>
      <c r="Q8200" s="9" t="s">
        <v>1035</v>
      </c>
      <c r="R8200" s="14" t="str">
        <f>HYPERLINK("https://my.pitchbook.com?c=114069-52T","View Company Online")</f>
        <v>View Company Online</v>
      </c>
    </row>
    <row r="8201" spans="1:18" hidden="1" x14ac:dyDescent="0.3">
      <c r="A8201" s="15" t="s">
        <v>23835</v>
      </c>
      <c r="B8201" s="15" t="s">
        <v>20844</v>
      </c>
      <c r="C8201" s="18" t="s">
        <v>28</v>
      </c>
      <c r="D8201" s="15" t="s">
        <v>20845</v>
      </c>
      <c r="E8201" s="18" t="s">
        <v>28</v>
      </c>
      <c r="F8201" s="19" t="s">
        <v>28</v>
      </c>
      <c r="G8201" s="19" t="s">
        <v>28</v>
      </c>
      <c r="H8201" s="19" t="s">
        <v>28</v>
      </c>
      <c r="I8201" s="18" t="s">
        <v>28</v>
      </c>
      <c r="J8201" s="18" t="s">
        <v>28</v>
      </c>
      <c r="K8201" s="18" t="s">
        <v>28</v>
      </c>
      <c r="L8201" s="18" t="s">
        <v>28</v>
      </c>
      <c r="M8201" s="18" t="s">
        <v>28</v>
      </c>
      <c r="N8201" s="17">
        <v>43084</v>
      </c>
      <c r="O8201" s="15" t="s">
        <v>99</v>
      </c>
      <c r="P8201" s="16" t="s">
        <v>611</v>
      </c>
      <c r="Q8201" s="15" t="s">
        <v>75</v>
      </c>
      <c r="R8201" s="13" t="str">
        <f>HYPERLINK("https://my.pitchbook.com?c=119997-19T","View Company Online")</f>
        <v>View Company Online</v>
      </c>
    </row>
    <row r="8202" spans="1:18" hidden="1" x14ac:dyDescent="0.3">
      <c r="A8202" s="9" t="s">
        <v>23836</v>
      </c>
      <c r="B8202" s="9" t="s">
        <v>23837</v>
      </c>
      <c r="C8202" s="11" t="s">
        <v>28</v>
      </c>
      <c r="D8202" s="9" t="s">
        <v>23838</v>
      </c>
      <c r="E8202" s="11" t="s">
        <v>28</v>
      </c>
      <c r="F8202" s="10" t="s">
        <v>28</v>
      </c>
      <c r="G8202" s="10" t="s">
        <v>28</v>
      </c>
      <c r="H8202" s="10" t="s">
        <v>28</v>
      </c>
      <c r="I8202" s="11" t="s">
        <v>28</v>
      </c>
      <c r="J8202" s="11" t="s">
        <v>28</v>
      </c>
      <c r="K8202" s="11" t="s">
        <v>28</v>
      </c>
      <c r="L8202" s="11" t="s">
        <v>28</v>
      </c>
      <c r="M8202" s="11" t="s">
        <v>28</v>
      </c>
      <c r="N8202" s="8">
        <v>43082</v>
      </c>
      <c r="O8202" s="9" t="s">
        <v>30</v>
      </c>
      <c r="P8202" s="12" t="s">
        <v>23839</v>
      </c>
      <c r="Q8202" s="9" t="s">
        <v>1007</v>
      </c>
      <c r="R8202" s="14" t="str">
        <f>HYPERLINK("https://my.pitchbook.com?c=211869-10T","View Company Online")</f>
        <v>View Company Online</v>
      </c>
    </row>
    <row r="8203" spans="1:18" hidden="1" x14ac:dyDescent="0.3">
      <c r="A8203" s="15" t="s">
        <v>23840</v>
      </c>
      <c r="B8203" s="15" t="s">
        <v>14464</v>
      </c>
      <c r="C8203" s="18" t="s">
        <v>28</v>
      </c>
      <c r="D8203" s="15" t="s">
        <v>14465</v>
      </c>
      <c r="E8203" s="18" t="s">
        <v>28</v>
      </c>
      <c r="F8203" s="19" t="s">
        <v>28</v>
      </c>
      <c r="G8203" s="19">
        <v>1.23</v>
      </c>
      <c r="H8203" s="19" t="s">
        <v>28</v>
      </c>
      <c r="I8203" s="18" t="s">
        <v>28</v>
      </c>
      <c r="J8203" s="18" t="s">
        <v>28</v>
      </c>
      <c r="K8203" s="18" t="s">
        <v>28</v>
      </c>
      <c r="L8203" s="18" t="s">
        <v>28</v>
      </c>
      <c r="M8203" s="18" t="s">
        <v>28</v>
      </c>
      <c r="N8203" s="17">
        <v>43082</v>
      </c>
      <c r="O8203" s="15" t="s">
        <v>79</v>
      </c>
      <c r="P8203" s="16" t="s">
        <v>23841</v>
      </c>
      <c r="Q8203" s="15" t="s">
        <v>75</v>
      </c>
      <c r="R8203" s="13" t="str">
        <f>HYPERLINK("https://my.pitchbook.com?c=111653-92T","View Company Online")</f>
        <v>View Company Online</v>
      </c>
    </row>
    <row r="8204" spans="1:18" hidden="1" x14ac:dyDescent="0.3">
      <c r="A8204" s="9" t="s">
        <v>23842</v>
      </c>
      <c r="B8204" s="9" t="s">
        <v>23843</v>
      </c>
      <c r="C8204" s="11" t="s">
        <v>28</v>
      </c>
      <c r="D8204" s="9" t="s">
        <v>23844</v>
      </c>
      <c r="E8204" s="11" t="s">
        <v>28</v>
      </c>
      <c r="F8204" s="10" t="s">
        <v>28</v>
      </c>
      <c r="G8204" s="10" t="s">
        <v>28</v>
      </c>
      <c r="H8204" s="10" t="s">
        <v>28</v>
      </c>
      <c r="I8204" s="11" t="s">
        <v>28</v>
      </c>
      <c r="J8204" s="11" t="s">
        <v>28</v>
      </c>
      <c r="K8204" s="11" t="s">
        <v>28</v>
      </c>
      <c r="L8204" s="11" t="s">
        <v>28</v>
      </c>
      <c r="M8204" s="11" t="s">
        <v>28</v>
      </c>
      <c r="N8204" s="8">
        <v>43082</v>
      </c>
      <c r="O8204" s="9" t="s">
        <v>73</v>
      </c>
      <c r="P8204" s="12" t="s">
        <v>23845</v>
      </c>
      <c r="Q8204" s="9" t="s">
        <v>2916</v>
      </c>
      <c r="R8204" s="14" t="str">
        <f>HYPERLINK("https://my.pitchbook.com?c=140532-31T","View Company Online")</f>
        <v>View Company Online</v>
      </c>
    </row>
    <row r="8205" spans="1:18" hidden="1" x14ac:dyDescent="0.3">
      <c r="A8205" s="15" t="s">
        <v>23846</v>
      </c>
      <c r="B8205" s="15" t="s">
        <v>12538</v>
      </c>
      <c r="C8205" s="18" t="s">
        <v>28</v>
      </c>
      <c r="D8205" s="15" t="s">
        <v>23847</v>
      </c>
      <c r="E8205" s="18">
        <v>0.01</v>
      </c>
      <c r="F8205" s="19" t="s">
        <v>28</v>
      </c>
      <c r="G8205" s="19" t="s">
        <v>28</v>
      </c>
      <c r="H8205" s="19" t="s">
        <v>28</v>
      </c>
      <c r="I8205" s="18">
        <v>0.01</v>
      </c>
      <c r="J8205" s="18" t="s">
        <v>28</v>
      </c>
      <c r="K8205" s="18">
        <v>0</v>
      </c>
      <c r="L8205" s="18" t="s">
        <v>28</v>
      </c>
      <c r="M8205" s="18">
        <v>0.01</v>
      </c>
      <c r="N8205" s="17">
        <v>43081</v>
      </c>
      <c r="O8205" s="15" t="s">
        <v>173</v>
      </c>
      <c r="P8205" s="16" t="s">
        <v>28</v>
      </c>
      <c r="Q8205" s="15" t="s">
        <v>114</v>
      </c>
      <c r="R8205" s="13" t="str">
        <f>HYPERLINK("https://my.pitchbook.com?c=225037-63T","View Company Online")</f>
        <v>View Company Online</v>
      </c>
    </row>
    <row r="8206" spans="1:18" hidden="1" x14ac:dyDescent="0.3">
      <c r="A8206" s="9" t="s">
        <v>23848</v>
      </c>
      <c r="B8206" s="9" t="s">
        <v>23849</v>
      </c>
      <c r="C8206" s="11" t="s">
        <v>28</v>
      </c>
      <c r="D8206" s="9" t="s">
        <v>23850</v>
      </c>
      <c r="E8206" s="11" t="s">
        <v>28</v>
      </c>
      <c r="F8206" s="10" t="s">
        <v>28</v>
      </c>
      <c r="G8206" s="10" t="s">
        <v>28</v>
      </c>
      <c r="H8206" s="10" t="s">
        <v>28</v>
      </c>
      <c r="I8206" s="11" t="s">
        <v>28</v>
      </c>
      <c r="J8206" s="11" t="s">
        <v>28</v>
      </c>
      <c r="K8206" s="11" t="s">
        <v>28</v>
      </c>
      <c r="L8206" s="11" t="s">
        <v>28</v>
      </c>
      <c r="M8206" s="11" t="s">
        <v>28</v>
      </c>
      <c r="N8206" s="8">
        <v>43077</v>
      </c>
      <c r="O8206" s="9" t="s">
        <v>30</v>
      </c>
      <c r="P8206" s="12" t="s">
        <v>23851</v>
      </c>
      <c r="Q8206" s="9" t="s">
        <v>245</v>
      </c>
      <c r="R8206" s="14" t="str">
        <f>HYPERLINK("https://my.pitchbook.com?c=99537-85T","View Company Online")</f>
        <v>View Company Online</v>
      </c>
    </row>
    <row r="8207" spans="1:18" hidden="1" x14ac:dyDescent="0.3">
      <c r="A8207" s="15" t="s">
        <v>23852</v>
      </c>
      <c r="B8207" s="15" t="s">
        <v>23853</v>
      </c>
      <c r="C8207" s="18" t="s">
        <v>28</v>
      </c>
      <c r="D8207" s="15" t="s">
        <v>23854</v>
      </c>
      <c r="E8207" s="18" t="s">
        <v>28</v>
      </c>
      <c r="F8207" s="19" t="s">
        <v>28</v>
      </c>
      <c r="G8207" s="19" t="s">
        <v>28</v>
      </c>
      <c r="H8207" s="19" t="s">
        <v>28</v>
      </c>
      <c r="I8207" s="18" t="s">
        <v>28</v>
      </c>
      <c r="J8207" s="18" t="s">
        <v>28</v>
      </c>
      <c r="K8207" s="18" t="s">
        <v>28</v>
      </c>
      <c r="L8207" s="18" t="s">
        <v>28</v>
      </c>
      <c r="M8207" s="18" t="s">
        <v>28</v>
      </c>
      <c r="N8207" s="17">
        <v>43077</v>
      </c>
      <c r="O8207" s="15" t="s">
        <v>30</v>
      </c>
      <c r="P8207" s="16" t="s">
        <v>23855</v>
      </c>
      <c r="Q8207" s="15" t="s">
        <v>5347</v>
      </c>
      <c r="R8207" s="13" t="str">
        <f>HYPERLINK("https://my.pitchbook.com?c=89330-50T","View Company Online")</f>
        <v>View Company Online</v>
      </c>
    </row>
    <row r="8208" spans="1:18" hidden="1" x14ac:dyDescent="0.3">
      <c r="A8208" s="9" t="s">
        <v>23856</v>
      </c>
      <c r="B8208" s="9" t="s">
        <v>23857</v>
      </c>
      <c r="C8208" s="11" t="s">
        <v>28</v>
      </c>
      <c r="D8208" s="9" t="s">
        <v>23858</v>
      </c>
      <c r="E8208" s="11" t="s">
        <v>28</v>
      </c>
      <c r="F8208" s="10" t="s">
        <v>28</v>
      </c>
      <c r="G8208" s="10" t="s">
        <v>28</v>
      </c>
      <c r="H8208" s="10" t="s">
        <v>28</v>
      </c>
      <c r="I8208" s="11" t="s">
        <v>28</v>
      </c>
      <c r="J8208" s="11" t="s">
        <v>28</v>
      </c>
      <c r="K8208" s="11">
        <v>220</v>
      </c>
      <c r="L8208" s="11" t="s">
        <v>28</v>
      </c>
      <c r="M8208" s="11" t="s">
        <v>28</v>
      </c>
      <c r="N8208" s="8">
        <v>43077</v>
      </c>
      <c r="O8208" s="9" t="s">
        <v>30</v>
      </c>
      <c r="P8208" s="12" t="s">
        <v>23859</v>
      </c>
      <c r="Q8208" s="9" t="s">
        <v>409</v>
      </c>
      <c r="R8208" s="14" t="str">
        <f>HYPERLINK("https://my.pitchbook.com?c=102094-57T","View Company Online")</f>
        <v>View Company Online</v>
      </c>
    </row>
    <row r="8209" spans="1:18" hidden="1" x14ac:dyDescent="0.3">
      <c r="A8209" s="15" t="s">
        <v>23860</v>
      </c>
      <c r="B8209" s="15" t="s">
        <v>12420</v>
      </c>
      <c r="C8209" s="18" t="s">
        <v>28</v>
      </c>
      <c r="D8209" s="15" t="s">
        <v>12421</v>
      </c>
      <c r="E8209" s="18" t="s">
        <v>28</v>
      </c>
      <c r="F8209" s="19" t="s">
        <v>28</v>
      </c>
      <c r="G8209" s="19" t="s">
        <v>28</v>
      </c>
      <c r="H8209" s="19" t="s">
        <v>28</v>
      </c>
      <c r="I8209" s="18" t="s">
        <v>28</v>
      </c>
      <c r="J8209" s="18" t="s">
        <v>28</v>
      </c>
      <c r="K8209" s="18" t="s">
        <v>28</v>
      </c>
      <c r="L8209" s="18" t="s">
        <v>28</v>
      </c>
      <c r="M8209" s="18" t="s">
        <v>28</v>
      </c>
      <c r="N8209" s="17">
        <v>43077</v>
      </c>
      <c r="O8209" s="15" t="s">
        <v>79</v>
      </c>
      <c r="P8209" s="16" t="s">
        <v>23861</v>
      </c>
      <c r="Q8209" s="15" t="s">
        <v>37</v>
      </c>
      <c r="R8209" s="13" t="str">
        <f>HYPERLINK("https://my.pitchbook.com?c=133615-27T","View Company Online")</f>
        <v>View Company Online</v>
      </c>
    </row>
    <row r="8210" spans="1:18" hidden="1" x14ac:dyDescent="0.3">
      <c r="A8210" s="9" t="s">
        <v>23862</v>
      </c>
      <c r="B8210" s="9" t="s">
        <v>23863</v>
      </c>
      <c r="C8210" s="11" t="s">
        <v>28</v>
      </c>
      <c r="D8210" s="9" t="s">
        <v>23864</v>
      </c>
      <c r="E8210" s="11" t="s">
        <v>28</v>
      </c>
      <c r="F8210" s="10">
        <v>4.5999999999999996</v>
      </c>
      <c r="G8210" s="10">
        <v>4.5999999999999996</v>
      </c>
      <c r="H8210" s="10">
        <v>4.5999999999999996</v>
      </c>
      <c r="I8210" s="11" t="s">
        <v>28</v>
      </c>
      <c r="J8210" s="11" t="s">
        <v>28</v>
      </c>
      <c r="K8210" s="11" t="s">
        <v>28</v>
      </c>
      <c r="L8210" s="11" t="s">
        <v>28</v>
      </c>
      <c r="M8210" s="11" t="s">
        <v>28</v>
      </c>
      <c r="N8210" s="8">
        <v>43077</v>
      </c>
      <c r="O8210" s="9" t="s">
        <v>30</v>
      </c>
      <c r="P8210" s="12" t="s">
        <v>23865</v>
      </c>
      <c r="Q8210" s="9" t="s">
        <v>583</v>
      </c>
      <c r="R8210" s="14" t="str">
        <f>HYPERLINK("https://my.pitchbook.com?c=200631-61T","View Company Online")</f>
        <v>View Company Online</v>
      </c>
    </row>
    <row r="8211" spans="1:18" hidden="1" x14ac:dyDescent="0.3">
      <c r="A8211" s="15" t="s">
        <v>23866</v>
      </c>
      <c r="B8211" s="15" t="s">
        <v>23867</v>
      </c>
      <c r="C8211" s="18" t="s">
        <v>28</v>
      </c>
      <c r="D8211" s="15" t="s">
        <v>23868</v>
      </c>
      <c r="E8211" s="18" t="s">
        <v>28</v>
      </c>
      <c r="F8211" s="19" t="s">
        <v>28</v>
      </c>
      <c r="G8211" s="19" t="s">
        <v>28</v>
      </c>
      <c r="H8211" s="19" t="s">
        <v>28</v>
      </c>
      <c r="I8211" s="18" t="s">
        <v>28</v>
      </c>
      <c r="J8211" s="18" t="s">
        <v>28</v>
      </c>
      <c r="K8211" s="18" t="s">
        <v>28</v>
      </c>
      <c r="L8211" s="18" t="s">
        <v>28</v>
      </c>
      <c r="M8211" s="18" t="s">
        <v>28</v>
      </c>
      <c r="N8211" s="17">
        <v>43076</v>
      </c>
      <c r="O8211" s="15" t="s">
        <v>52</v>
      </c>
      <c r="P8211" s="16" t="s">
        <v>4500</v>
      </c>
      <c r="Q8211" s="15" t="s">
        <v>855</v>
      </c>
      <c r="R8211" s="13" t="str">
        <f>HYPERLINK("https://my.pitchbook.com?c=251091-55T","View Company Online")</f>
        <v>View Company Online</v>
      </c>
    </row>
    <row r="8212" spans="1:18" hidden="1" x14ac:dyDescent="0.3">
      <c r="A8212" s="9" t="s">
        <v>23869</v>
      </c>
      <c r="B8212" s="9" t="s">
        <v>9459</v>
      </c>
      <c r="C8212" s="11" t="s">
        <v>28</v>
      </c>
      <c r="D8212" s="9" t="s">
        <v>9460</v>
      </c>
      <c r="E8212" s="11" t="s">
        <v>28</v>
      </c>
      <c r="F8212" s="10" t="s">
        <v>28</v>
      </c>
      <c r="G8212" s="10" t="s">
        <v>28</v>
      </c>
      <c r="H8212" s="10" t="s">
        <v>28</v>
      </c>
      <c r="I8212" s="11" t="s">
        <v>28</v>
      </c>
      <c r="J8212" s="11" t="s">
        <v>28</v>
      </c>
      <c r="K8212" s="11" t="s">
        <v>28</v>
      </c>
      <c r="L8212" s="11" t="s">
        <v>28</v>
      </c>
      <c r="M8212" s="11" t="s">
        <v>28</v>
      </c>
      <c r="N8212" s="8">
        <v>43076</v>
      </c>
      <c r="O8212" s="9" t="s">
        <v>52</v>
      </c>
      <c r="P8212" s="12" t="s">
        <v>4500</v>
      </c>
      <c r="Q8212" s="9" t="s">
        <v>583</v>
      </c>
      <c r="R8212" s="14" t="str">
        <f>HYPERLINK("https://my.pitchbook.com?c=250959-97T","View Company Online")</f>
        <v>View Company Online</v>
      </c>
    </row>
    <row r="8213" spans="1:18" hidden="1" x14ac:dyDescent="0.3">
      <c r="A8213" s="15" t="s">
        <v>23870</v>
      </c>
      <c r="B8213" s="15" t="s">
        <v>17313</v>
      </c>
      <c r="C8213" s="18" t="s">
        <v>28</v>
      </c>
      <c r="D8213" s="15" t="s">
        <v>17314</v>
      </c>
      <c r="E8213" s="18" t="s">
        <v>28</v>
      </c>
      <c r="F8213" s="19" t="s">
        <v>28</v>
      </c>
      <c r="G8213" s="19" t="s">
        <v>28</v>
      </c>
      <c r="H8213" s="19" t="s">
        <v>28</v>
      </c>
      <c r="I8213" s="18" t="s">
        <v>28</v>
      </c>
      <c r="J8213" s="18" t="s">
        <v>28</v>
      </c>
      <c r="K8213" s="18" t="s">
        <v>28</v>
      </c>
      <c r="L8213" s="18" t="s">
        <v>28</v>
      </c>
      <c r="M8213" s="18" t="s">
        <v>28</v>
      </c>
      <c r="N8213" s="17">
        <v>43076</v>
      </c>
      <c r="O8213" s="15" t="s">
        <v>52</v>
      </c>
      <c r="P8213" s="16" t="s">
        <v>4500</v>
      </c>
      <c r="Q8213" s="15" t="s">
        <v>75</v>
      </c>
      <c r="R8213" s="13" t="str">
        <f>HYPERLINK("https://my.pitchbook.com?c=251029-72T","View Company Online")</f>
        <v>View Company Online</v>
      </c>
    </row>
    <row r="8214" spans="1:18" hidden="1" x14ac:dyDescent="0.3">
      <c r="A8214" s="9" t="s">
        <v>23871</v>
      </c>
      <c r="B8214" s="9" t="s">
        <v>23872</v>
      </c>
      <c r="C8214" s="11" t="s">
        <v>28</v>
      </c>
      <c r="D8214" s="9" t="s">
        <v>23873</v>
      </c>
      <c r="E8214" s="11" t="s">
        <v>28</v>
      </c>
      <c r="F8214" s="10" t="s">
        <v>28</v>
      </c>
      <c r="G8214" s="10" t="s">
        <v>28</v>
      </c>
      <c r="H8214" s="10" t="s">
        <v>28</v>
      </c>
      <c r="I8214" s="11" t="s">
        <v>28</v>
      </c>
      <c r="J8214" s="11" t="s">
        <v>28</v>
      </c>
      <c r="K8214" s="11" t="s">
        <v>28</v>
      </c>
      <c r="L8214" s="11" t="s">
        <v>28</v>
      </c>
      <c r="M8214" s="11" t="s">
        <v>28</v>
      </c>
      <c r="N8214" s="8">
        <v>43076</v>
      </c>
      <c r="O8214" s="9" t="s">
        <v>52</v>
      </c>
      <c r="P8214" s="12" t="s">
        <v>4500</v>
      </c>
      <c r="Q8214" s="9" t="s">
        <v>136</v>
      </c>
      <c r="R8214" s="14" t="str">
        <f>HYPERLINK("https://my.pitchbook.com?c=276711-49T","View Company Online")</f>
        <v>View Company Online</v>
      </c>
    </row>
    <row r="8215" spans="1:18" hidden="1" x14ac:dyDescent="0.3">
      <c r="A8215" s="15" t="s">
        <v>23874</v>
      </c>
      <c r="B8215" s="15" t="s">
        <v>23875</v>
      </c>
      <c r="C8215" s="18" t="s">
        <v>28</v>
      </c>
      <c r="D8215" s="15" t="s">
        <v>23876</v>
      </c>
      <c r="E8215" s="18" t="s">
        <v>28</v>
      </c>
      <c r="F8215" s="19">
        <v>30.69</v>
      </c>
      <c r="G8215" s="19">
        <v>30.69</v>
      </c>
      <c r="H8215" s="19">
        <v>30.69</v>
      </c>
      <c r="I8215" s="18" t="s">
        <v>28</v>
      </c>
      <c r="J8215" s="18" t="s">
        <v>28</v>
      </c>
      <c r="K8215" s="18" t="s">
        <v>28</v>
      </c>
      <c r="L8215" s="18" t="s">
        <v>28</v>
      </c>
      <c r="M8215" s="18" t="s">
        <v>28</v>
      </c>
      <c r="N8215" s="17">
        <v>43075</v>
      </c>
      <c r="O8215" s="15" t="s">
        <v>30</v>
      </c>
      <c r="P8215" s="16" t="s">
        <v>23877</v>
      </c>
      <c r="Q8215" s="15" t="s">
        <v>959</v>
      </c>
      <c r="R8215" s="13" t="str">
        <f>HYPERLINK("https://my.pitchbook.com?c=98402-32T","View Company Online")</f>
        <v>View Company Online</v>
      </c>
    </row>
    <row r="8216" spans="1:18" hidden="1" x14ac:dyDescent="0.3">
      <c r="A8216" s="9" t="s">
        <v>23878</v>
      </c>
      <c r="B8216" s="9" t="s">
        <v>19838</v>
      </c>
      <c r="C8216" s="11" t="s">
        <v>28</v>
      </c>
      <c r="D8216" s="9" t="s">
        <v>19839</v>
      </c>
      <c r="E8216" s="11" t="s">
        <v>28</v>
      </c>
      <c r="F8216" s="10" t="s">
        <v>28</v>
      </c>
      <c r="G8216" s="10">
        <v>0.33</v>
      </c>
      <c r="H8216" s="10" t="s">
        <v>28</v>
      </c>
      <c r="I8216" s="11" t="s">
        <v>28</v>
      </c>
      <c r="J8216" s="11" t="s">
        <v>28</v>
      </c>
      <c r="K8216" s="11" t="s">
        <v>28</v>
      </c>
      <c r="L8216" s="11" t="s">
        <v>28</v>
      </c>
      <c r="M8216" s="11" t="s">
        <v>28</v>
      </c>
      <c r="N8216" s="8">
        <v>43074</v>
      </c>
      <c r="O8216" s="9" t="s">
        <v>99</v>
      </c>
      <c r="P8216" s="12" t="s">
        <v>23879</v>
      </c>
      <c r="Q8216" s="9" t="s">
        <v>119</v>
      </c>
      <c r="R8216" s="14" t="str">
        <f>HYPERLINK("https://my.pitchbook.com?c=103049-56T","View Company Online")</f>
        <v>View Company Online</v>
      </c>
    </row>
    <row r="8217" spans="1:18" hidden="1" x14ac:dyDescent="0.3">
      <c r="A8217" s="15" t="s">
        <v>23880</v>
      </c>
      <c r="B8217" s="15" t="s">
        <v>23881</v>
      </c>
      <c r="C8217" s="18" t="s">
        <v>28</v>
      </c>
      <c r="D8217" s="15" t="s">
        <v>23882</v>
      </c>
      <c r="E8217" s="18" t="s">
        <v>28</v>
      </c>
      <c r="F8217" s="19" t="s">
        <v>28</v>
      </c>
      <c r="G8217" s="19">
        <v>0.03</v>
      </c>
      <c r="H8217" s="19" t="s">
        <v>28</v>
      </c>
      <c r="I8217" s="18" t="s">
        <v>28</v>
      </c>
      <c r="J8217" s="18" t="s">
        <v>28</v>
      </c>
      <c r="K8217" s="18" t="s">
        <v>28</v>
      </c>
      <c r="L8217" s="18" t="s">
        <v>28</v>
      </c>
      <c r="M8217" s="18" t="s">
        <v>28</v>
      </c>
      <c r="N8217" s="17">
        <v>43074</v>
      </c>
      <c r="O8217" s="15" t="s">
        <v>52</v>
      </c>
      <c r="P8217" s="16" t="s">
        <v>1792</v>
      </c>
      <c r="Q8217" s="15" t="s">
        <v>696</v>
      </c>
      <c r="R8217" s="13" t="str">
        <f>HYPERLINK("https://my.pitchbook.com?c=126277-66T","View Company Online")</f>
        <v>View Company Online</v>
      </c>
    </row>
    <row r="8218" spans="1:18" hidden="1" x14ac:dyDescent="0.3">
      <c r="A8218" s="9" t="s">
        <v>23883</v>
      </c>
      <c r="B8218" s="9" t="s">
        <v>23884</v>
      </c>
      <c r="C8218" s="11" t="s">
        <v>28</v>
      </c>
      <c r="D8218" s="9" t="s">
        <v>23885</v>
      </c>
      <c r="E8218" s="11" t="s">
        <v>28</v>
      </c>
      <c r="F8218" s="10" t="s">
        <v>28</v>
      </c>
      <c r="G8218" s="10" t="s">
        <v>28</v>
      </c>
      <c r="H8218" s="10" t="s">
        <v>28</v>
      </c>
      <c r="I8218" s="11" t="s">
        <v>28</v>
      </c>
      <c r="J8218" s="11" t="s">
        <v>28</v>
      </c>
      <c r="K8218" s="11" t="s">
        <v>28</v>
      </c>
      <c r="L8218" s="11" t="s">
        <v>28</v>
      </c>
      <c r="M8218" s="11" t="s">
        <v>28</v>
      </c>
      <c r="N8218" s="8">
        <v>43074</v>
      </c>
      <c r="O8218" s="9" t="s">
        <v>30</v>
      </c>
      <c r="P8218" s="12" t="s">
        <v>1852</v>
      </c>
      <c r="Q8218" s="9" t="s">
        <v>880</v>
      </c>
      <c r="R8218" s="14" t="str">
        <f>HYPERLINK("https://my.pitchbook.com?c=257816-62T","View Company Online")</f>
        <v>View Company Online</v>
      </c>
    </row>
    <row r="8219" spans="1:18" hidden="1" x14ac:dyDescent="0.3">
      <c r="A8219" s="15" t="s">
        <v>23886</v>
      </c>
      <c r="B8219" s="15" t="s">
        <v>23887</v>
      </c>
      <c r="C8219" s="18" t="s">
        <v>28</v>
      </c>
      <c r="D8219" s="15" t="s">
        <v>23888</v>
      </c>
      <c r="E8219" s="18" t="s">
        <v>28</v>
      </c>
      <c r="F8219" s="19" t="s">
        <v>28</v>
      </c>
      <c r="G8219" s="19" t="s">
        <v>28</v>
      </c>
      <c r="H8219" s="19" t="s">
        <v>28</v>
      </c>
      <c r="I8219" s="18" t="s">
        <v>28</v>
      </c>
      <c r="J8219" s="18" t="s">
        <v>28</v>
      </c>
      <c r="K8219" s="18" t="s">
        <v>28</v>
      </c>
      <c r="L8219" s="18" t="s">
        <v>28</v>
      </c>
      <c r="M8219" s="18" t="s">
        <v>28</v>
      </c>
      <c r="N8219" s="17">
        <v>43073</v>
      </c>
      <c r="O8219" s="15" t="s">
        <v>30</v>
      </c>
      <c r="P8219" s="16" t="s">
        <v>23889</v>
      </c>
      <c r="Q8219" s="15" t="s">
        <v>959</v>
      </c>
      <c r="R8219" s="13" t="str">
        <f>HYPERLINK("https://my.pitchbook.com?c=86645-08T","View Company Online")</f>
        <v>View Company Online</v>
      </c>
    </row>
    <row r="8220" spans="1:18" hidden="1" x14ac:dyDescent="0.3">
      <c r="A8220" s="9" t="s">
        <v>23890</v>
      </c>
      <c r="B8220" s="9" t="s">
        <v>18971</v>
      </c>
      <c r="C8220" s="11" t="s">
        <v>28</v>
      </c>
      <c r="D8220" s="9" t="s">
        <v>23891</v>
      </c>
      <c r="E8220" s="11" t="s">
        <v>28</v>
      </c>
      <c r="F8220" s="10" t="s">
        <v>28</v>
      </c>
      <c r="G8220" s="10" t="s">
        <v>28</v>
      </c>
      <c r="H8220" s="10" t="s">
        <v>28</v>
      </c>
      <c r="I8220" s="11" t="s">
        <v>28</v>
      </c>
      <c r="J8220" s="11" t="s">
        <v>28</v>
      </c>
      <c r="K8220" s="11" t="s">
        <v>28</v>
      </c>
      <c r="L8220" s="11" t="s">
        <v>28</v>
      </c>
      <c r="M8220" s="11" t="s">
        <v>28</v>
      </c>
      <c r="N8220" s="8">
        <v>43073</v>
      </c>
      <c r="O8220" s="9" t="s">
        <v>30</v>
      </c>
      <c r="P8220" s="12" t="s">
        <v>23892</v>
      </c>
      <c r="Q8220" s="9" t="s">
        <v>386</v>
      </c>
      <c r="R8220" s="14" t="str">
        <f>HYPERLINK("https://my.pitchbook.com?c=134900-56T","View Company Online")</f>
        <v>View Company Online</v>
      </c>
    </row>
    <row r="8221" spans="1:18" hidden="1" x14ac:dyDescent="0.3">
      <c r="A8221" s="15" t="s">
        <v>23893</v>
      </c>
      <c r="B8221" s="15" t="s">
        <v>21240</v>
      </c>
      <c r="C8221" s="18" t="s">
        <v>28</v>
      </c>
      <c r="D8221" s="15" t="s">
        <v>21241</v>
      </c>
      <c r="E8221" s="18" t="s">
        <v>28</v>
      </c>
      <c r="F8221" s="19" t="s">
        <v>28</v>
      </c>
      <c r="G8221" s="19">
        <v>0.03</v>
      </c>
      <c r="H8221" s="19" t="s">
        <v>28</v>
      </c>
      <c r="I8221" s="18" t="s">
        <v>28</v>
      </c>
      <c r="J8221" s="18" t="s">
        <v>28</v>
      </c>
      <c r="K8221" s="18" t="s">
        <v>28</v>
      </c>
      <c r="L8221" s="18" t="s">
        <v>28</v>
      </c>
      <c r="M8221" s="18" t="s">
        <v>28</v>
      </c>
      <c r="N8221" s="17">
        <v>43073</v>
      </c>
      <c r="O8221" s="15" t="s">
        <v>52</v>
      </c>
      <c r="P8221" s="16" t="s">
        <v>16809</v>
      </c>
      <c r="Q8221" s="15" t="s">
        <v>75</v>
      </c>
      <c r="R8221" s="13" t="str">
        <f>HYPERLINK("https://my.pitchbook.com?c=125344-81T","View Company Online")</f>
        <v>View Company Online</v>
      </c>
    </row>
    <row r="8222" spans="1:18" hidden="1" x14ac:dyDescent="0.3">
      <c r="A8222" s="9" t="s">
        <v>23894</v>
      </c>
      <c r="B8222" s="9" t="s">
        <v>23895</v>
      </c>
      <c r="C8222" s="11" t="s">
        <v>28</v>
      </c>
      <c r="D8222" s="9" t="s">
        <v>23896</v>
      </c>
      <c r="E8222" s="11" t="s">
        <v>28</v>
      </c>
      <c r="F8222" s="10">
        <v>1100</v>
      </c>
      <c r="G8222" s="10">
        <v>1100</v>
      </c>
      <c r="H8222" s="10">
        <v>1100</v>
      </c>
      <c r="I8222" s="11" t="s">
        <v>28</v>
      </c>
      <c r="J8222" s="11" t="s">
        <v>28</v>
      </c>
      <c r="K8222" s="11" t="s">
        <v>28</v>
      </c>
      <c r="L8222" s="11" t="s">
        <v>28</v>
      </c>
      <c r="M8222" s="11" t="s">
        <v>28</v>
      </c>
      <c r="N8222" s="8">
        <v>43070</v>
      </c>
      <c r="O8222" s="9" t="s">
        <v>30</v>
      </c>
      <c r="P8222" s="12" t="s">
        <v>23897</v>
      </c>
      <c r="Q8222" s="9" t="s">
        <v>69</v>
      </c>
      <c r="R8222" s="14" t="str">
        <f>HYPERLINK("https://my.pitchbook.com?c=90644-50T","View Company Online")</f>
        <v>View Company Online</v>
      </c>
    </row>
    <row r="8223" spans="1:18" hidden="1" x14ac:dyDescent="0.3">
      <c r="A8223" s="15" t="s">
        <v>23898</v>
      </c>
      <c r="B8223" s="15" t="s">
        <v>23899</v>
      </c>
      <c r="C8223" s="18" t="s">
        <v>28</v>
      </c>
      <c r="D8223" s="15" t="s">
        <v>23900</v>
      </c>
      <c r="E8223" s="18" t="s">
        <v>28</v>
      </c>
      <c r="F8223" s="19">
        <v>8.73</v>
      </c>
      <c r="G8223" s="19">
        <v>8.73</v>
      </c>
      <c r="H8223" s="19">
        <v>8.73</v>
      </c>
      <c r="I8223" s="18" t="s">
        <v>28</v>
      </c>
      <c r="J8223" s="18" t="s">
        <v>28</v>
      </c>
      <c r="K8223" s="18" t="s">
        <v>28</v>
      </c>
      <c r="L8223" s="18" t="s">
        <v>28</v>
      </c>
      <c r="M8223" s="18" t="s">
        <v>28</v>
      </c>
      <c r="N8223" s="17">
        <v>43070</v>
      </c>
      <c r="O8223" s="15" t="s">
        <v>30</v>
      </c>
      <c r="P8223" s="16" t="s">
        <v>23901</v>
      </c>
      <c r="Q8223" s="15" t="s">
        <v>245</v>
      </c>
      <c r="R8223" s="13" t="str">
        <f>HYPERLINK("https://my.pitchbook.com?c=290393-29T","View Company Online")</f>
        <v>View Company Online</v>
      </c>
    </row>
    <row r="8224" spans="1:18" hidden="1" x14ac:dyDescent="0.3">
      <c r="A8224" s="9" t="s">
        <v>23902</v>
      </c>
      <c r="B8224" s="9" t="s">
        <v>23903</v>
      </c>
      <c r="C8224" s="11" t="s">
        <v>28</v>
      </c>
      <c r="D8224" s="9" t="s">
        <v>23904</v>
      </c>
      <c r="E8224" s="11" t="s">
        <v>28</v>
      </c>
      <c r="F8224" s="10" t="s">
        <v>28</v>
      </c>
      <c r="G8224" s="10" t="s">
        <v>28</v>
      </c>
      <c r="H8224" s="10" t="s">
        <v>28</v>
      </c>
      <c r="I8224" s="11" t="s">
        <v>28</v>
      </c>
      <c r="J8224" s="11" t="s">
        <v>28</v>
      </c>
      <c r="K8224" s="11" t="s">
        <v>28</v>
      </c>
      <c r="L8224" s="11" t="s">
        <v>28</v>
      </c>
      <c r="M8224" s="11" t="s">
        <v>28</v>
      </c>
      <c r="N8224" s="8">
        <v>43070</v>
      </c>
      <c r="O8224" s="9" t="s">
        <v>30</v>
      </c>
      <c r="P8224" s="12" t="s">
        <v>28</v>
      </c>
      <c r="Q8224" s="9" t="s">
        <v>105</v>
      </c>
      <c r="R8224" s="14" t="str">
        <f>HYPERLINK("https://my.pitchbook.com?c=139110-40T","View Company Online")</f>
        <v>View Company Online</v>
      </c>
    </row>
    <row r="8225" spans="1:18" hidden="1" x14ac:dyDescent="0.3">
      <c r="A8225" s="15" t="s">
        <v>23905</v>
      </c>
      <c r="B8225" s="15" t="s">
        <v>4542</v>
      </c>
      <c r="C8225" s="18" t="s">
        <v>28</v>
      </c>
      <c r="D8225" s="15" t="s">
        <v>4543</v>
      </c>
      <c r="E8225" s="18" t="s">
        <v>28</v>
      </c>
      <c r="F8225" s="19" t="s">
        <v>28</v>
      </c>
      <c r="G8225" s="19" t="s">
        <v>28</v>
      </c>
      <c r="H8225" s="19" t="s">
        <v>28</v>
      </c>
      <c r="I8225" s="18" t="s">
        <v>28</v>
      </c>
      <c r="J8225" s="18" t="s">
        <v>28</v>
      </c>
      <c r="K8225" s="18" t="s">
        <v>28</v>
      </c>
      <c r="L8225" s="18" t="s">
        <v>28</v>
      </c>
      <c r="M8225" s="18" t="s">
        <v>28</v>
      </c>
      <c r="N8225" s="17">
        <v>43070</v>
      </c>
      <c r="O8225" s="15" t="s">
        <v>73</v>
      </c>
      <c r="P8225" s="16" t="s">
        <v>22930</v>
      </c>
      <c r="Q8225" s="15" t="s">
        <v>37</v>
      </c>
      <c r="R8225" s="13" t="str">
        <f>HYPERLINK("https://my.pitchbook.com?c=102838-24T","View Company Online")</f>
        <v>View Company Online</v>
      </c>
    </row>
    <row r="8226" spans="1:18" hidden="1" x14ac:dyDescent="0.3">
      <c r="A8226" s="9" t="s">
        <v>23906</v>
      </c>
      <c r="B8226" s="9" t="s">
        <v>23907</v>
      </c>
      <c r="C8226" s="11" t="s">
        <v>28</v>
      </c>
      <c r="D8226" s="9" t="s">
        <v>23908</v>
      </c>
      <c r="E8226" s="11" t="s">
        <v>28</v>
      </c>
      <c r="F8226" s="10" t="s">
        <v>28</v>
      </c>
      <c r="G8226" s="10" t="s">
        <v>28</v>
      </c>
      <c r="H8226" s="10" t="s">
        <v>28</v>
      </c>
      <c r="I8226" s="11" t="s">
        <v>28</v>
      </c>
      <c r="J8226" s="11" t="s">
        <v>28</v>
      </c>
      <c r="K8226" s="11" t="s">
        <v>28</v>
      </c>
      <c r="L8226" s="11" t="s">
        <v>28</v>
      </c>
      <c r="M8226" s="11" t="s">
        <v>28</v>
      </c>
      <c r="N8226" s="8">
        <v>43070</v>
      </c>
      <c r="O8226" s="9" t="s">
        <v>30</v>
      </c>
      <c r="P8226" s="12" t="s">
        <v>23909</v>
      </c>
      <c r="Q8226" s="9" t="s">
        <v>136</v>
      </c>
      <c r="R8226" s="14" t="str">
        <f>HYPERLINK("https://my.pitchbook.com?c=95144-68T","View Company Online")</f>
        <v>View Company Online</v>
      </c>
    </row>
    <row r="8227" spans="1:18" hidden="1" x14ac:dyDescent="0.3">
      <c r="A8227" s="15" t="s">
        <v>23910</v>
      </c>
      <c r="B8227" s="15" t="s">
        <v>8220</v>
      </c>
      <c r="C8227" s="18" t="s">
        <v>28</v>
      </c>
      <c r="D8227" s="15" t="s">
        <v>8221</v>
      </c>
      <c r="E8227" s="18" t="s">
        <v>28</v>
      </c>
      <c r="F8227" s="19" t="s">
        <v>28</v>
      </c>
      <c r="G8227" s="19" t="s">
        <v>28</v>
      </c>
      <c r="H8227" s="19" t="s">
        <v>28</v>
      </c>
      <c r="I8227" s="18" t="s">
        <v>28</v>
      </c>
      <c r="J8227" s="18" t="s">
        <v>28</v>
      </c>
      <c r="K8227" s="18" t="s">
        <v>28</v>
      </c>
      <c r="L8227" s="18" t="s">
        <v>28</v>
      </c>
      <c r="M8227" s="18" t="s">
        <v>28</v>
      </c>
      <c r="N8227" s="17">
        <v>43070</v>
      </c>
      <c r="O8227" s="15" t="s">
        <v>52</v>
      </c>
      <c r="P8227" s="16" t="s">
        <v>23911</v>
      </c>
      <c r="Q8227" s="15" t="s">
        <v>404</v>
      </c>
      <c r="R8227" s="13" t="str">
        <f>HYPERLINK("https://my.pitchbook.com?c=111152-53T","View Company Online")</f>
        <v>View Company Online</v>
      </c>
    </row>
    <row r="8228" spans="1:18" hidden="1" x14ac:dyDescent="0.3">
      <c r="A8228" s="9" t="s">
        <v>23912</v>
      </c>
      <c r="B8228" s="9" t="s">
        <v>23913</v>
      </c>
      <c r="C8228" s="11" t="s">
        <v>28</v>
      </c>
      <c r="D8228" s="9" t="s">
        <v>23914</v>
      </c>
      <c r="E8228" s="11" t="s">
        <v>28</v>
      </c>
      <c r="F8228" s="10">
        <v>517.96</v>
      </c>
      <c r="G8228" s="10">
        <v>362.58</v>
      </c>
      <c r="H8228" s="10">
        <v>517.96</v>
      </c>
      <c r="I8228" s="11" t="s">
        <v>28</v>
      </c>
      <c r="J8228" s="11" t="s">
        <v>28</v>
      </c>
      <c r="K8228" s="11" t="s">
        <v>28</v>
      </c>
      <c r="L8228" s="11" t="s">
        <v>28</v>
      </c>
      <c r="M8228" s="11" t="s">
        <v>28</v>
      </c>
      <c r="N8228" s="8">
        <v>43070</v>
      </c>
      <c r="O8228" s="9" t="s">
        <v>30</v>
      </c>
      <c r="P8228" s="12" t="s">
        <v>23915</v>
      </c>
      <c r="Q8228" s="9" t="s">
        <v>4602</v>
      </c>
      <c r="R8228" s="14" t="str">
        <f>HYPERLINK("https://my.pitchbook.com?c=93339-28T","View Company Online")</f>
        <v>View Company Online</v>
      </c>
    </row>
    <row r="8229" spans="1:18" hidden="1" x14ac:dyDescent="0.3">
      <c r="A8229" s="15" t="s">
        <v>23916</v>
      </c>
      <c r="B8229" s="15" t="s">
        <v>23917</v>
      </c>
      <c r="C8229" s="18" t="s">
        <v>28</v>
      </c>
      <c r="D8229" s="15" t="s">
        <v>23918</v>
      </c>
      <c r="E8229" s="18" t="s">
        <v>28</v>
      </c>
      <c r="F8229" s="19" t="s">
        <v>28</v>
      </c>
      <c r="G8229" s="19" t="s">
        <v>28</v>
      </c>
      <c r="H8229" s="19" t="s">
        <v>28</v>
      </c>
      <c r="I8229" s="18" t="s">
        <v>28</v>
      </c>
      <c r="J8229" s="18" t="s">
        <v>28</v>
      </c>
      <c r="K8229" s="18" t="s">
        <v>28</v>
      </c>
      <c r="L8229" s="18" t="s">
        <v>28</v>
      </c>
      <c r="M8229" s="18" t="s">
        <v>28</v>
      </c>
      <c r="N8229" s="17">
        <v>43070</v>
      </c>
      <c r="O8229" s="15" t="s">
        <v>41</v>
      </c>
      <c r="P8229" s="16" t="s">
        <v>23919</v>
      </c>
      <c r="Q8229" s="15" t="s">
        <v>280</v>
      </c>
      <c r="R8229" s="13" t="str">
        <f>HYPERLINK("https://my.pitchbook.com?c=134239-15T","View Company Online")</f>
        <v>View Company Online</v>
      </c>
    </row>
    <row r="8230" spans="1:18" hidden="1" x14ac:dyDescent="0.3">
      <c r="A8230" s="9" t="s">
        <v>23920</v>
      </c>
      <c r="B8230" s="9" t="s">
        <v>8173</v>
      </c>
      <c r="C8230" s="11" t="s">
        <v>28</v>
      </c>
      <c r="D8230" s="9" t="s">
        <v>8174</v>
      </c>
      <c r="E8230" s="11" t="s">
        <v>28</v>
      </c>
      <c r="F8230" s="10" t="s">
        <v>28</v>
      </c>
      <c r="G8230" s="10">
        <v>0.41</v>
      </c>
      <c r="H8230" s="10" t="s">
        <v>28</v>
      </c>
      <c r="I8230" s="11" t="s">
        <v>28</v>
      </c>
      <c r="J8230" s="11" t="s">
        <v>28</v>
      </c>
      <c r="K8230" s="11" t="s">
        <v>28</v>
      </c>
      <c r="L8230" s="11" t="s">
        <v>28</v>
      </c>
      <c r="M8230" s="11" t="s">
        <v>28</v>
      </c>
      <c r="N8230" s="8">
        <v>43070</v>
      </c>
      <c r="O8230" s="9" t="s">
        <v>73</v>
      </c>
      <c r="P8230" s="12" t="s">
        <v>23921</v>
      </c>
      <c r="Q8230" s="9" t="s">
        <v>75</v>
      </c>
      <c r="R8230" s="14" t="str">
        <f>HYPERLINK("https://my.pitchbook.com?c=195694-75T","View Company Online")</f>
        <v>View Company Online</v>
      </c>
    </row>
    <row r="8231" spans="1:18" hidden="1" x14ac:dyDescent="0.3">
      <c r="A8231" s="15" t="s">
        <v>23922</v>
      </c>
      <c r="B8231" s="15" t="s">
        <v>23923</v>
      </c>
      <c r="C8231" s="18" t="s">
        <v>28</v>
      </c>
      <c r="D8231" s="15" t="s">
        <v>23924</v>
      </c>
      <c r="E8231" s="18" t="s">
        <v>28</v>
      </c>
      <c r="F8231" s="19">
        <v>1100</v>
      </c>
      <c r="G8231" s="19">
        <v>1100</v>
      </c>
      <c r="H8231" s="19">
        <v>1100</v>
      </c>
      <c r="I8231" s="18" t="s">
        <v>28</v>
      </c>
      <c r="J8231" s="18" t="s">
        <v>28</v>
      </c>
      <c r="K8231" s="18" t="s">
        <v>28</v>
      </c>
      <c r="L8231" s="18" t="s">
        <v>28</v>
      </c>
      <c r="M8231" s="18" t="s">
        <v>28</v>
      </c>
      <c r="N8231" s="17">
        <v>43069</v>
      </c>
      <c r="O8231" s="15" t="s">
        <v>41</v>
      </c>
      <c r="P8231" s="16" t="s">
        <v>23925</v>
      </c>
      <c r="Q8231" s="15" t="s">
        <v>69</v>
      </c>
      <c r="R8231" s="13" t="str">
        <f>HYPERLINK("https://my.pitchbook.com?c=98884-00T","View Company Online")</f>
        <v>View Company Online</v>
      </c>
    </row>
    <row r="8232" spans="1:18" hidden="1" x14ac:dyDescent="0.3">
      <c r="A8232" s="9" t="s">
        <v>23926</v>
      </c>
      <c r="B8232" s="9" t="s">
        <v>23927</v>
      </c>
      <c r="C8232" s="11" t="s">
        <v>28</v>
      </c>
      <c r="D8232" s="9" t="s">
        <v>23928</v>
      </c>
      <c r="E8232" s="11" t="s">
        <v>28</v>
      </c>
      <c r="F8232" s="10" t="s">
        <v>28</v>
      </c>
      <c r="G8232" s="10" t="s">
        <v>28</v>
      </c>
      <c r="H8232" s="10" t="s">
        <v>28</v>
      </c>
      <c r="I8232" s="11" t="s">
        <v>28</v>
      </c>
      <c r="J8232" s="11" t="s">
        <v>28</v>
      </c>
      <c r="K8232" s="11" t="s">
        <v>28</v>
      </c>
      <c r="L8232" s="11" t="s">
        <v>28</v>
      </c>
      <c r="M8232" s="11" t="s">
        <v>28</v>
      </c>
      <c r="N8232" s="8">
        <v>43069</v>
      </c>
      <c r="O8232" s="9" t="s">
        <v>173</v>
      </c>
      <c r="P8232" s="12" t="s">
        <v>28</v>
      </c>
      <c r="Q8232" s="9" t="s">
        <v>240</v>
      </c>
      <c r="R8232" s="14" t="str">
        <f>HYPERLINK("https://my.pitchbook.com?c=226509-67T","View Company Online")</f>
        <v>View Company Online</v>
      </c>
    </row>
    <row r="8233" spans="1:18" hidden="1" x14ac:dyDescent="0.3">
      <c r="A8233" s="15" t="s">
        <v>23929</v>
      </c>
      <c r="B8233" s="15" t="s">
        <v>5142</v>
      </c>
      <c r="C8233" s="18" t="s">
        <v>28</v>
      </c>
      <c r="D8233" s="15" t="s">
        <v>5143</v>
      </c>
      <c r="E8233" s="18" t="s">
        <v>28</v>
      </c>
      <c r="F8233" s="19" t="s">
        <v>28</v>
      </c>
      <c r="G8233" s="19" t="s">
        <v>28</v>
      </c>
      <c r="H8233" s="19" t="s">
        <v>28</v>
      </c>
      <c r="I8233" s="18" t="s">
        <v>28</v>
      </c>
      <c r="J8233" s="18" t="s">
        <v>28</v>
      </c>
      <c r="K8233" s="18" t="s">
        <v>28</v>
      </c>
      <c r="L8233" s="18" t="s">
        <v>28</v>
      </c>
      <c r="M8233" s="18" t="s">
        <v>28</v>
      </c>
      <c r="N8233" s="17">
        <v>43069</v>
      </c>
      <c r="O8233" s="15" t="s">
        <v>79</v>
      </c>
      <c r="P8233" s="16" t="s">
        <v>23930</v>
      </c>
      <c r="Q8233" s="15" t="s">
        <v>583</v>
      </c>
      <c r="R8233" s="13" t="str">
        <f>HYPERLINK("https://my.pitchbook.com?c=99233-47T","View Company Online")</f>
        <v>View Company Online</v>
      </c>
    </row>
    <row r="8234" spans="1:18" hidden="1" x14ac:dyDescent="0.3">
      <c r="A8234" s="9" t="s">
        <v>23931</v>
      </c>
      <c r="B8234" s="9" t="s">
        <v>23932</v>
      </c>
      <c r="C8234" s="11" t="s">
        <v>28</v>
      </c>
      <c r="D8234" s="9" t="s">
        <v>23933</v>
      </c>
      <c r="E8234" s="11" t="s">
        <v>28</v>
      </c>
      <c r="F8234" s="10" t="s">
        <v>28</v>
      </c>
      <c r="G8234" s="10" t="s">
        <v>28</v>
      </c>
      <c r="H8234" s="10" t="s">
        <v>28</v>
      </c>
      <c r="I8234" s="11" t="s">
        <v>28</v>
      </c>
      <c r="J8234" s="11" t="s">
        <v>28</v>
      </c>
      <c r="K8234" s="11" t="s">
        <v>28</v>
      </c>
      <c r="L8234" s="11" t="s">
        <v>28</v>
      </c>
      <c r="M8234" s="11" t="s">
        <v>28</v>
      </c>
      <c r="N8234" s="8">
        <v>43068</v>
      </c>
      <c r="O8234" s="9" t="s">
        <v>79</v>
      </c>
      <c r="P8234" s="12" t="s">
        <v>23934</v>
      </c>
      <c r="Q8234" s="9" t="s">
        <v>75</v>
      </c>
      <c r="R8234" s="14" t="str">
        <f>HYPERLINK("https://my.pitchbook.com?c=97857-82T","View Company Online")</f>
        <v>View Company Online</v>
      </c>
    </row>
    <row r="8235" spans="1:18" hidden="1" x14ac:dyDescent="0.3">
      <c r="A8235" s="15" t="s">
        <v>23935</v>
      </c>
      <c r="B8235" s="15" t="s">
        <v>23936</v>
      </c>
      <c r="C8235" s="18" t="s">
        <v>28</v>
      </c>
      <c r="D8235" s="15" t="s">
        <v>23937</v>
      </c>
      <c r="E8235" s="18" t="s">
        <v>28</v>
      </c>
      <c r="F8235" s="19" t="s">
        <v>28</v>
      </c>
      <c r="G8235" s="19" t="s">
        <v>28</v>
      </c>
      <c r="H8235" s="19" t="s">
        <v>28</v>
      </c>
      <c r="I8235" s="18" t="s">
        <v>28</v>
      </c>
      <c r="J8235" s="18" t="s">
        <v>28</v>
      </c>
      <c r="K8235" s="18" t="s">
        <v>28</v>
      </c>
      <c r="L8235" s="18" t="s">
        <v>28</v>
      </c>
      <c r="M8235" s="18" t="s">
        <v>28</v>
      </c>
      <c r="N8235" s="17">
        <v>43064</v>
      </c>
      <c r="O8235" s="15" t="s">
        <v>30</v>
      </c>
      <c r="P8235" s="16" t="s">
        <v>19996</v>
      </c>
      <c r="Q8235" s="15" t="s">
        <v>280</v>
      </c>
      <c r="R8235" s="13" t="str">
        <f>HYPERLINK("https://my.pitchbook.com?c=100470-97T","View Company Online")</f>
        <v>View Company Online</v>
      </c>
    </row>
    <row r="8236" spans="1:18" hidden="1" x14ac:dyDescent="0.3">
      <c r="A8236" s="9" t="s">
        <v>23938</v>
      </c>
      <c r="B8236" s="9" t="s">
        <v>23939</v>
      </c>
      <c r="C8236" s="11" t="s">
        <v>28</v>
      </c>
      <c r="D8236" s="9" t="s">
        <v>23940</v>
      </c>
      <c r="E8236" s="11" t="s">
        <v>28</v>
      </c>
      <c r="F8236" s="10" t="s">
        <v>28</v>
      </c>
      <c r="G8236" s="10" t="s">
        <v>28</v>
      </c>
      <c r="H8236" s="10" t="s">
        <v>28</v>
      </c>
      <c r="I8236" s="11" t="s">
        <v>28</v>
      </c>
      <c r="J8236" s="11" t="s">
        <v>28</v>
      </c>
      <c r="K8236" s="11" t="s">
        <v>28</v>
      </c>
      <c r="L8236" s="11" t="s">
        <v>28</v>
      </c>
      <c r="M8236" s="11" t="s">
        <v>28</v>
      </c>
      <c r="N8236" s="8">
        <v>43063</v>
      </c>
      <c r="O8236" s="9" t="s">
        <v>30</v>
      </c>
      <c r="P8236" s="12" t="s">
        <v>28</v>
      </c>
      <c r="Q8236" s="9" t="s">
        <v>692</v>
      </c>
      <c r="R8236" s="14" t="str">
        <f>HYPERLINK("https://my.pitchbook.com?c=250796-62T","View Company Online")</f>
        <v>View Company Online</v>
      </c>
    </row>
    <row r="8237" spans="1:18" hidden="1" x14ac:dyDescent="0.3">
      <c r="A8237" s="15" t="s">
        <v>23941</v>
      </c>
      <c r="B8237" s="15" t="s">
        <v>13720</v>
      </c>
      <c r="C8237" s="18" t="s">
        <v>28</v>
      </c>
      <c r="D8237" s="15" t="s">
        <v>13721</v>
      </c>
      <c r="E8237" s="18" t="s">
        <v>28</v>
      </c>
      <c r="F8237" s="19" t="s">
        <v>28</v>
      </c>
      <c r="G8237" s="19" t="s">
        <v>28</v>
      </c>
      <c r="H8237" s="19" t="s">
        <v>28</v>
      </c>
      <c r="I8237" s="18" t="s">
        <v>28</v>
      </c>
      <c r="J8237" s="18" t="s">
        <v>28</v>
      </c>
      <c r="K8237" s="18" t="s">
        <v>28</v>
      </c>
      <c r="L8237" s="18" t="s">
        <v>28</v>
      </c>
      <c r="M8237" s="18" t="s">
        <v>28</v>
      </c>
      <c r="N8237" s="17">
        <v>43061</v>
      </c>
      <c r="O8237" s="15" t="s">
        <v>73</v>
      </c>
      <c r="P8237" s="16" t="s">
        <v>28</v>
      </c>
      <c r="Q8237" s="15" t="s">
        <v>75</v>
      </c>
      <c r="R8237" s="13" t="str">
        <f>HYPERLINK("https://my.pitchbook.com?c=98034-58T","View Company Online")</f>
        <v>View Company Online</v>
      </c>
    </row>
    <row r="8238" spans="1:18" hidden="1" x14ac:dyDescent="0.3">
      <c r="A8238" s="9" t="s">
        <v>23942</v>
      </c>
      <c r="B8238" s="9" t="s">
        <v>10449</v>
      </c>
      <c r="C8238" s="11" t="s">
        <v>28</v>
      </c>
      <c r="D8238" s="9" t="s">
        <v>10450</v>
      </c>
      <c r="E8238" s="11" t="s">
        <v>28</v>
      </c>
      <c r="F8238" s="10" t="s">
        <v>28</v>
      </c>
      <c r="G8238" s="10">
        <v>0.05</v>
      </c>
      <c r="H8238" s="10" t="s">
        <v>28</v>
      </c>
      <c r="I8238" s="11" t="s">
        <v>28</v>
      </c>
      <c r="J8238" s="11" t="s">
        <v>28</v>
      </c>
      <c r="K8238" s="11" t="s">
        <v>28</v>
      </c>
      <c r="L8238" s="11" t="s">
        <v>28</v>
      </c>
      <c r="M8238" s="11" t="s">
        <v>28</v>
      </c>
      <c r="N8238" s="8">
        <v>43057</v>
      </c>
      <c r="O8238" s="9" t="s">
        <v>99</v>
      </c>
      <c r="P8238" s="12" t="s">
        <v>23943</v>
      </c>
      <c r="Q8238" s="9" t="s">
        <v>3973</v>
      </c>
      <c r="R8238" s="14" t="str">
        <f>HYPERLINK("https://my.pitchbook.com?c=177005-17T","View Company Online")</f>
        <v>View Company Online</v>
      </c>
    </row>
    <row r="8239" spans="1:18" hidden="1" x14ac:dyDescent="0.3">
      <c r="A8239" s="15" t="s">
        <v>23944</v>
      </c>
      <c r="B8239" s="15" t="s">
        <v>17218</v>
      </c>
      <c r="C8239" s="18" t="s">
        <v>28</v>
      </c>
      <c r="D8239" s="15" t="s">
        <v>17219</v>
      </c>
      <c r="E8239" s="18" t="s">
        <v>28</v>
      </c>
      <c r="F8239" s="19" t="s">
        <v>28</v>
      </c>
      <c r="G8239" s="19">
        <v>0.11</v>
      </c>
      <c r="H8239" s="19" t="s">
        <v>28</v>
      </c>
      <c r="I8239" s="18" t="s">
        <v>28</v>
      </c>
      <c r="J8239" s="18" t="s">
        <v>28</v>
      </c>
      <c r="K8239" s="18" t="s">
        <v>28</v>
      </c>
      <c r="L8239" s="18" t="s">
        <v>28</v>
      </c>
      <c r="M8239" s="18" t="s">
        <v>28</v>
      </c>
      <c r="N8239" s="17">
        <v>43057</v>
      </c>
      <c r="O8239" s="15" t="s">
        <v>99</v>
      </c>
      <c r="P8239" s="16" t="s">
        <v>23945</v>
      </c>
      <c r="Q8239" s="15" t="s">
        <v>75</v>
      </c>
      <c r="R8239" s="13" t="str">
        <f>HYPERLINK("https://my.pitchbook.com?c=211954-87T","View Company Online")</f>
        <v>View Company Online</v>
      </c>
    </row>
    <row r="8240" spans="1:18" hidden="1" x14ac:dyDescent="0.3">
      <c r="A8240" s="9" t="s">
        <v>23946</v>
      </c>
      <c r="B8240" s="9" t="s">
        <v>18592</v>
      </c>
      <c r="C8240" s="11" t="s">
        <v>28</v>
      </c>
      <c r="D8240" s="9" t="s">
        <v>18593</v>
      </c>
      <c r="E8240" s="11">
        <v>24.52</v>
      </c>
      <c r="F8240" s="10" t="s">
        <v>28</v>
      </c>
      <c r="G8240" s="10" t="s">
        <v>28</v>
      </c>
      <c r="H8240" s="10" t="s">
        <v>28</v>
      </c>
      <c r="I8240" s="11">
        <v>50.1</v>
      </c>
      <c r="J8240" s="11" t="s">
        <v>28</v>
      </c>
      <c r="K8240" s="11">
        <v>615.91999999999996</v>
      </c>
      <c r="L8240" s="11" t="s">
        <v>28</v>
      </c>
      <c r="M8240" s="11">
        <v>74.67</v>
      </c>
      <c r="N8240" s="8">
        <v>43056</v>
      </c>
      <c r="O8240" s="9" t="s">
        <v>173</v>
      </c>
      <c r="P8240" s="12" t="s">
        <v>21135</v>
      </c>
      <c r="Q8240" s="9" t="s">
        <v>6392</v>
      </c>
      <c r="R8240" s="14" t="str">
        <f>HYPERLINK("https://my.pitchbook.com?c=97798-69T","View Company Online")</f>
        <v>View Company Online</v>
      </c>
    </row>
    <row r="8241" spans="1:18" hidden="1" x14ac:dyDescent="0.3">
      <c r="A8241" s="15" t="s">
        <v>23947</v>
      </c>
      <c r="B8241" s="15" t="s">
        <v>4578</v>
      </c>
      <c r="C8241" s="18" t="s">
        <v>28</v>
      </c>
      <c r="D8241" s="15" t="s">
        <v>4579</v>
      </c>
      <c r="E8241" s="18" t="s">
        <v>28</v>
      </c>
      <c r="F8241" s="19" t="s">
        <v>28</v>
      </c>
      <c r="G8241" s="19" t="s">
        <v>28</v>
      </c>
      <c r="H8241" s="19" t="s">
        <v>28</v>
      </c>
      <c r="I8241" s="18" t="s">
        <v>28</v>
      </c>
      <c r="J8241" s="18" t="s">
        <v>28</v>
      </c>
      <c r="K8241" s="18">
        <v>406.74</v>
      </c>
      <c r="L8241" s="18" t="s">
        <v>28</v>
      </c>
      <c r="M8241" s="18" t="s">
        <v>28</v>
      </c>
      <c r="N8241" s="17">
        <v>43056</v>
      </c>
      <c r="O8241" s="15" t="s">
        <v>41</v>
      </c>
      <c r="P8241" s="16" t="s">
        <v>23948</v>
      </c>
      <c r="Q8241" s="15" t="s">
        <v>409</v>
      </c>
      <c r="R8241" s="13" t="str">
        <f>HYPERLINK("https://my.pitchbook.com?c=104630-86T","View Company Online")</f>
        <v>View Company Online</v>
      </c>
    </row>
    <row r="8242" spans="1:18" hidden="1" x14ac:dyDescent="0.3">
      <c r="A8242" s="9" t="s">
        <v>23949</v>
      </c>
      <c r="B8242" s="9" t="s">
        <v>23950</v>
      </c>
      <c r="C8242" s="11" t="s">
        <v>28</v>
      </c>
      <c r="D8242" s="9" t="s">
        <v>23951</v>
      </c>
      <c r="E8242" s="11" t="s">
        <v>28</v>
      </c>
      <c r="F8242" s="10">
        <v>3.59</v>
      </c>
      <c r="G8242" s="10">
        <v>2.7</v>
      </c>
      <c r="H8242" s="10">
        <v>3.59</v>
      </c>
      <c r="I8242" s="11" t="s">
        <v>28</v>
      </c>
      <c r="J8242" s="11" t="s">
        <v>28</v>
      </c>
      <c r="K8242" s="11" t="s">
        <v>28</v>
      </c>
      <c r="L8242" s="11" t="s">
        <v>28</v>
      </c>
      <c r="M8242" s="11" t="s">
        <v>28</v>
      </c>
      <c r="N8242" s="8">
        <v>43056</v>
      </c>
      <c r="O8242" s="9" t="s">
        <v>30</v>
      </c>
      <c r="P8242" s="12" t="s">
        <v>23952</v>
      </c>
      <c r="Q8242" s="9" t="s">
        <v>2043</v>
      </c>
      <c r="R8242" s="14" t="str">
        <f>HYPERLINK("https://my.pitchbook.com?c=97493-14T","View Company Online")</f>
        <v>View Company Online</v>
      </c>
    </row>
    <row r="8243" spans="1:18" hidden="1" x14ac:dyDescent="0.3">
      <c r="A8243" s="15" t="s">
        <v>23953</v>
      </c>
      <c r="B8243" s="15" t="s">
        <v>2854</v>
      </c>
      <c r="C8243" s="18" t="s">
        <v>28</v>
      </c>
      <c r="D8243" s="15" t="s">
        <v>2855</v>
      </c>
      <c r="E8243" s="18" t="s">
        <v>28</v>
      </c>
      <c r="F8243" s="19" t="s">
        <v>28</v>
      </c>
      <c r="G8243" s="19">
        <v>12.26</v>
      </c>
      <c r="H8243" s="19" t="s">
        <v>28</v>
      </c>
      <c r="I8243" s="18" t="s">
        <v>28</v>
      </c>
      <c r="J8243" s="18" t="s">
        <v>28</v>
      </c>
      <c r="K8243" s="18" t="s">
        <v>28</v>
      </c>
      <c r="L8243" s="18" t="s">
        <v>28</v>
      </c>
      <c r="M8243" s="18" t="s">
        <v>28</v>
      </c>
      <c r="N8243" s="17">
        <v>43056</v>
      </c>
      <c r="O8243" s="15" t="s">
        <v>73</v>
      </c>
      <c r="P8243" s="16" t="s">
        <v>23954</v>
      </c>
      <c r="Q8243" s="15" t="s">
        <v>85</v>
      </c>
      <c r="R8243" s="13" t="str">
        <f>HYPERLINK("https://my.pitchbook.com?c=175717-18T","View Company Online")</f>
        <v>View Company Online</v>
      </c>
    </row>
    <row r="8244" spans="1:18" hidden="1" x14ac:dyDescent="0.3">
      <c r="A8244" s="9" t="s">
        <v>23955</v>
      </c>
      <c r="B8244" s="9" t="s">
        <v>10718</v>
      </c>
      <c r="C8244" s="11" t="s">
        <v>28</v>
      </c>
      <c r="D8244" s="9" t="s">
        <v>10719</v>
      </c>
      <c r="E8244" s="11" t="s">
        <v>28</v>
      </c>
      <c r="F8244" s="10" t="s">
        <v>28</v>
      </c>
      <c r="G8244" s="10">
        <v>0.08</v>
      </c>
      <c r="H8244" s="10">
        <v>0.64</v>
      </c>
      <c r="I8244" s="11" t="s">
        <v>28</v>
      </c>
      <c r="J8244" s="11" t="s">
        <v>28</v>
      </c>
      <c r="K8244" s="11" t="s">
        <v>28</v>
      </c>
      <c r="L8244" s="11" t="s">
        <v>28</v>
      </c>
      <c r="M8244" s="11" t="s">
        <v>28</v>
      </c>
      <c r="N8244" s="8">
        <v>43056</v>
      </c>
      <c r="O8244" s="9" t="s">
        <v>52</v>
      </c>
      <c r="P8244" s="12" t="s">
        <v>8261</v>
      </c>
      <c r="Q8244" s="9" t="s">
        <v>75</v>
      </c>
      <c r="R8244" s="14" t="str">
        <f>HYPERLINK("https://my.pitchbook.com?c=121220-74T","View Company Online")</f>
        <v>View Company Online</v>
      </c>
    </row>
    <row r="8245" spans="1:18" hidden="1" x14ac:dyDescent="0.3">
      <c r="A8245" s="15" t="s">
        <v>23956</v>
      </c>
      <c r="B8245" s="15" t="s">
        <v>8042</v>
      </c>
      <c r="C8245" s="18" t="s">
        <v>28</v>
      </c>
      <c r="D8245" s="15" t="s">
        <v>8043</v>
      </c>
      <c r="E8245" s="18" t="s">
        <v>28</v>
      </c>
      <c r="F8245" s="19" t="s">
        <v>28</v>
      </c>
      <c r="G8245" s="19">
        <v>0.05</v>
      </c>
      <c r="H8245" s="19" t="s">
        <v>28</v>
      </c>
      <c r="I8245" s="18" t="s">
        <v>28</v>
      </c>
      <c r="J8245" s="18" t="s">
        <v>28</v>
      </c>
      <c r="K8245" s="18" t="s">
        <v>28</v>
      </c>
      <c r="L8245" s="18" t="s">
        <v>28</v>
      </c>
      <c r="M8245" s="18" t="s">
        <v>28</v>
      </c>
      <c r="N8245" s="17">
        <v>43056</v>
      </c>
      <c r="O8245" s="15" t="s">
        <v>52</v>
      </c>
      <c r="P8245" s="16" t="s">
        <v>8261</v>
      </c>
      <c r="Q8245" s="15" t="s">
        <v>75</v>
      </c>
      <c r="R8245" s="13" t="str">
        <f>HYPERLINK("https://my.pitchbook.com?c=124831-99T","View Company Online")</f>
        <v>View Company Online</v>
      </c>
    </row>
    <row r="8246" spans="1:18" hidden="1" x14ac:dyDescent="0.3">
      <c r="A8246" s="9" t="s">
        <v>23957</v>
      </c>
      <c r="B8246" s="9" t="s">
        <v>5533</v>
      </c>
      <c r="C8246" s="11" t="s">
        <v>28</v>
      </c>
      <c r="D8246" s="9" t="s">
        <v>5534</v>
      </c>
      <c r="E8246" s="11" t="s">
        <v>28</v>
      </c>
      <c r="F8246" s="10" t="s">
        <v>28</v>
      </c>
      <c r="G8246" s="10">
        <v>15</v>
      </c>
      <c r="H8246" s="10">
        <v>75</v>
      </c>
      <c r="I8246" s="11" t="s">
        <v>28</v>
      </c>
      <c r="J8246" s="11" t="s">
        <v>28</v>
      </c>
      <c r="K8246" s="11" t="s">
        <v>28</v>
      </c>
      <c r="L8246" s="11" t="s">
        <v>28</v>
      </c>
      <c r="M8246" s="11" t="s">
        <v>28</v>
      </c>
      <c r="N8246" s="8">
        <v>43056</v>
      </c>
      <c r="O8246" s="9" t="s">
        <v>73</v>
      </c>
      <c r="P8246" s="12" t="s">
        <v>23958</v>
      </c>
      <c r="Q8246" s="9" t="s">
        <v>409</v>
      </c>
      <c r="R8246" s="14" t="str">
        <f>HYPERLINK("https://my.pitchbook.com?c=97417-36T","View Company Online")</f>
        <v>View Company Online</v>
      </c>
    </row>
    <row r="8247" spans="1:18" hidden="1" x14ac:dyDescent="0.3">
      <c r="A8247" s="15" t="s">
        <v>23959</v>
      </c>
      <c r="B8247" s="15" t="s">
        <v>18313</v>
      </c>
      <c r="C8247" s="18" t="s">
        <v>28</v>
      </c>
      <c r="D8247" s="15" t="s">
        <v>18314</v>
      </c>
      <c r="E8247" s="18" t="s">
        <v>28</v>
      </c>
      <c r="F8247" s="19" t="s">
        <v>28</v>
      </c>
      <c r="G8247" s="19">
        <v>5</v>
      </c>
      <c r="H8247" s="19" t="s">
        <v>28</v>
      </c>
      <c r="I8247" s="18" t="s">
        <v>28</v>
      </c>
      <c r="J8247" s="18" t="s">
        <v>28</v>
      </c>
      <c r="K8247" s="18" t="s">
        <v>28</v>
      </c>
      <c r="L8247" s="18" t="s">
        <v>28</v>
      </c>
      <c r="M8247" s="18" t="s">
        <v>28</v>
      </c>
      <c r="N8247" s="17">
        <v>43053</v>
      </c>
      <c r="O8247" s="15" t="s">
        <v>73</v>
      </c>
      <c r="P8247" s="16" t="s">
        <v>23960</v>
      </c>
      <c r="Q8247" s="15" t="s">
        <v>37</v>
      </c>
      <c r="R8247" s="13" t="str">
        <f>HYPERLINK("https://my.pitchbook.com?c=113789-80T","View Company Online")</f>
        <v>View Company Online</v>
      </c>
    </row>
    <row r="8248" spans="1:18" hidden="1" x14ac:dyDescent="0.3">
      <c r="A8248" s="9" t="s">
        <v>23961</v>
      </c>
      <c r="B8248" s="9" t="s">
        <v>23962</v>
      </c>
      <c r="C8248" s="11" t="s">
        <v>28</v>
      </c>
      <c r="D8248" s="9" t="s">
        <v>23963</v>
      </c>
      <c r="E8248" s="11" t="s">
        <v>28</v>
      </c>
      <c r="F8248" s="10" t="s">
        <v>28</v>
      </c>
      <c r="G8248" s="10" t="s">
        <v>28</v>
      </c>
      <c r="H8248" s="10" t="s">
        <v>28</v>
      </c>
      <c r="I8248" s="11" t="s">
        <v>28</v>
      </c>
      <c r="J8248" s="11" t="s">
        <v>28</v>
      </c>
      <c r="K8248" s="11">
        <v>0.74</v>
      </c>
      <c r="L8248" s="11" t="s">
        <v>28</v>
      </c>
      <c r="M8248" s="11" t="s">
        <v>28</v>
      </c>
      <c r="N8248" s="8">
        <v>43053</v>
      </c>
      <c r="O8248" s="9" t="s">
        <v>30</v>
      </c>
      <c r="P8248" s="12" t="s">
        <v>23964</v>
      </c>
      <c r="Q8248" s="9" t="s">
        <v>740</v>
      </c>
      <c r="R8248" s="14" t="str">
        <f>HYPERLINK("https://my.pitchbook.com?c=98869-15T","View Company Online")</f>
        <v>View Company Online</v>
      </c>
    </row>
    <row r="8249" spans="1:18" hidden="1" x14ac:dyDescent="0.3">
      <c r="A8249" s="15" t="s">
        <v>23965</v>
      </c>
      <c r="B8249" s="15" t="s">
        <v>11151</v>
      </c>
      <c r="C8249" s="18" t="s">
        <v>28</v>
      </c>
      <c r="D8249" s="15" t="s">
        <v>11152</v>
      </c>
      <c r="E8249" s="18" t="s">
        <v>28</v>
      </c>
      <c r="F8249" s="19" t="s">
        <v>28</v>
      </c>
      <c r="G8249" s="19">
        <v>1.23</v>
      </c>
      <c r="H8249" s="19" t="s">
        <v>28</v>
      </c>
      <c r="I8249" s="18" t="s">
        <v>28</v>
      </c>
      <c r="J8249" s="18" t="s">
        <v>28</v>
      </c>
      <c r="K8249" s="18" t="s">
        <v>28</v>
      </c>
      <c r="L8249" s="18" t="s">
        <v>28</v>
      </c>
      <c r="M8249" s="18" t="s">
        <v>28</v>
      </c>
      <c r="N8249" s="17">
        <v>43052</v>
      </c>
      <c r="O8249" s="15" t="s">
        <v>73</v>
      </c>
      <c r="P8249" s="16" t="s">
        <v>11371</v>
      </c>
      <c r="Q8249" s="15" t="s">
        <v>37</v>
      </c>
      <c r="R8249" s="13" t="str">
        <f>HYPERLINK("https://my.pitchbook.com?c=123808-06T","View Company Online")</f>
        <v>View Company Online</v>
      </c>
    </row>
    <row r="8250" spans="1:18" hidden="1" x14ac:dyDescent="0.3">
      <c r="A8250" s="9" t="s">
        <v>23966</v>
      </c>
      <c r="B8250" s="9" t="s">
        <v>23967</v>
      </c>
      <c r="C8250" s="11" t="s">
        <v>28</v>
      </c>
      <c r="D8250" s="9" t="s">
        <v>23968</v>
      </c>
      <c r="E8250" s="11" t="s">
        <v>28</v>
      </c>
      <c r="F8250" s="10" t="s">
        <v>28</v>
      </c>
      <c r="G8250" s="10" t="s">
        <v>28</v>
      </c>
      <c r="H8250" s="10" t="s">
        <v>28</v>
      </c>
      <c r="I8250" s="11" t="s">
        <v>28</v>
      </c>
      <c r="J8250" s="11" t="s">
        <v>28</v>
      </c>
      <c r="K8250" s="11" t="s">
        <v>28</v>
      </c>
      <c r="L8250" s="11" t="s">
        <v>28</v>
      </c>
      <c r="M8250" s="11" t="s">
        <v>28</v>
      </c>
      <c r="N8250" s="8">
        <v>43048</v>
      </c>
      <c r="O8250" s="9" t="s">
        <v>30</v>
      </c>
      <c r="P8250" s="12" t="s">
        <v>28</v>
      </c>
      <c r="Q8250" s="9" t="s">
        <v>268</v>
      </c>
      <c r="R8250" s="14" t="str">
        <f>HYPERLINK("https://my.pitchbook.com?c=102735-46T","View Company Online")</f>
        <v>View Company Online</v>
      </c>
    </row>
    <row r="8251" spans="1:18" hidden="1" x14ac:dyDescent="0.3">
      <c r="A8251" s="15" t="s">
        <v>23969</v>
      </c>
      <c r="B8251" s="15" t="s">
        <v>21115</v>
      </c>
      <c r="C8251" s="18" t="s">
        <v>28</v>
      </c>
      <c r="D8251" s="15" t="s">
        <v>21116</v>
      </c>
      <c r="E8251" s="18" t="s">
        <v>28</v>
      </c>
      <c r="F8251" s="19" t="s">
        <v>28</v>
      </c>
      <c r="G8251" s="19" t="s">
        <v>28</v>
      </c>
      <c r="H8251" s="19" t="s">
        <v>28</v>
      </c>
      <c r="I8251" s="18" t="s">
        <v>28</v>
      </c>
      <c r="J8251" s="18" t="s">
        <v>28</v>
      </c>
      <c r="K8251" s="18" t="s">
        <v>28</v>
      </c>
      <c r="L8251" s="18" t="s">
        <v>28</v>
      </c>
      <c r="M8251" s="18" t="s">
        <v>28</v>
      </c>
      <c r="N8251" s="17">
        <v>43048</v>
      </c>
      <c r="O8251" s="15" t="s">
        <v>52</v>
      </c>
      <c r="P8251" s="16" t="s">
        <v>23970</v>
      </c>
      <c r="Q8251" s="15" t="s">
        <v>75</v>
      </c>
      <c r="R8251" s="13" t="str">
        <f>HYPERLINK("https://my.pitchbook.com?c=130498-93T","View Company Online")</f>
        <v>View Company Online</v>
      </c>
    </row>
    <row r="8252" spans="1:18" hidden="1" x14ac:dyDescent="0.3">
      <c r="A8252" s="9" t="s">
        <v>23971</v>
      </c>
      <c r="B8252" s="9" t="s">
        <v>7245</v>
      </c>
      <c r="C8252" s="11" t="s">
        <v>28</v>
      </c>
      <c r="D8252" s="9" t="s">
        <v>7246</v>
      </c>
      <c r="E8252" s="11" t="s">
        <v>28</v>
      </c>
      <c r="F8252" s="10" t="s">
        <v>28</v>
      </c>
      <c r="G8252" s="10" t="s">
        <v>28</v>
      </c>
      <c r="H8252" s="10" t="s">
        <v>28</v>
      </c>
      <c r="I8252" s="11" t="s">
        <v>28</v>
      </c>
      <c r="J8252" s="11" t="s">
        <v>28</v>
      </c>
      <c r="K8252" s="11" t="s">
        <v>28</v>
      </c>
      <c r="L8252" s="11" t="s">
        <v>28</v>
      </c>
      <c r="M8252" s="11" t="s">
        <v>28</v>
      </c>
      <c r="N8252" s="8">
        <v>43048</v>
      </c>
      <c r="O8252" s="9" t="s">
        <v>52</v>
      </c>
      <c r="P8252" s="12" t="s">
        <v>2830</v>
      </c>
      <c r="Q8252" s="9" t="s">
        <v>43</v>
      </c>
      <c r="R8252" s="14" t="str">
        <f>HYPERLINK("https://my.pitchbook.com?c=146214-28T","View Company Online")</f>
        <v>View Company Online</v>
      </c>
    </row>
    <row r="8253" spans="1:18" hidden="1" x14ac:dyDescent="0.3">
      <c r="A8253" s="15" t="s">
        <v>23972</v>
      </c>
      <c r="B8253" s="15" t="s">
        <v>23973</v>
      </c>
      <c r="C8253" s="18" t="s">
        <v>28</v>
      </c>
      <c r="D8253" s="15" t="s">
        <v>23974</v>
      </c>
      <c r="E8253" s="18" t="s">
        <v>28</v>
      </c>
      <c r="F8253" s="19" t="s">
        <v>28</v>
      </c>
      <c r="G8253" s="19" t="s">
        <v>28</v>
      </c>
      <c r="H8253" s="19" t="s">
        <v>28</v>
      </c>
      <c r="I8253" s="18" t="s">
        <v>28</v>
      </c>
      <c r="J8253" s="18" t="s">
        <v>28</v>
      </c>
      <c r="K8253" s="18" t="s">
        <v>28</v>
      </c>
      <c r="L8253" s="18" t="s">
        <v>28</v>
      </c>
      <c r="M8253" s="18" t="s">
        <v>28</v>
      </c>
      <c r="N8253" s="17">
        <v>43048</v>
      </c>
      <c r="O8253" s="15" t="s">
        <v>73</v>
      </c>
      <c r="P8253" s="16" t="s">
        <v>7108</v>
      </c>
      <c r="Q8253" s="15" t="s">
        <v>75</v>
      </c>
      <c r="R8253" s="13" t="str">
        <f>HYPERLINK("https://my.pitchbook.com?c=215726-23T","View Company Online")</f>
        <v>View Company Online</v>
      </c>
    </row>
    <row r="8254" spans="1:18" hidden="1" x14ac:dyDescent="0.3">
      <c r="A8254" s="9" t="s">
        <v>23975</v>
      </c>
      <c r="B8254" s="9" t="s">
        <v>23976</v>
      </c>
      <c r="C8254" s="11" t="s">
        <v>28</v>
      </c>
      <c r="D8254" s="9" t="s">
        <v>23977</v>
      </c>
      <c r="E8254" s="11" t="s">
        <v>28</v>
      </c>
      <c r="F8254" s="10" t="s">
        <v>28</v>
      </c>
      <c r="G8254" s="10" t="s">
        <v>28</v>
      </c>
      <c r="H8254" s="10" t="s">
        <v>28</v>
      </c>
      <c r="I8254" s="11" t="s">
        <v>28</v>
      </c>
      <c r="J8254" s="11" t="s">
        <v>28</v>
      </c>
      <c r="K8254" s="11" t="s">
        <v>28</v>
      </c>
      <c r="L8254" s="11" t="s">
        <v>28</v>
      </c>
      <c r="M8254" s="11" t="s">
        <v>28</v>
      </c>
      <c r="N8254" s="8">
        <v>43047</v>
      </c>
      <c r="O8254" s="9" t="s">
        <v>30</v>
      </c>
      <c r="P8254" s="12" t="s">
        <v>23978</v>
      </c>
      <c r="Q8254" s="9" t="s">
        <v>75</v>
      </c>
      <c r="R8254" s="14" t="str">
        <f>HYPERLINK("https://my.pitchbook.com?c=214206-85T","View Company Online")</f>
        <v>View Company Online</v>
      </c>
    </row>
    <row r="8255" spans="1:18" hidden="1" x14ac:dyDescent="0.3">
      <c r="A8255" s="15" t="s">
        <v>23979</v>
      </c>
      <c r="B8255" s="15" t="s">
        <v>23980</v>
      </c>
      <c r="C8255" s="18" t="s">
        <v>28</v>
      </c>
      <c r="D8255" s="15" t="s">
        <v>23981</v>
      </c>
      <c r="E8255" s="18" t="s">
        <v>28</v>
      </c>
      <c r="F8255" s="19">
        <v>21.05</v>
      </c>
      <c r="G8255" s="19">
        <v>21.05</v>
      </c>
      <c r="H8255" s="19">
        <v>21.05</v>
      </c>
      <c r="I8255" s="18" t="s">
        <v>28</v>
      </c>
      <c r="J8255" s="18" t="s">
        <v>28</v>
      </c>
      <c r="K8255" s="18" t="s">
        <v>28</v>
      </c>
      <c r="L8255" s="18" t="s">
        <v>28</v>
      </c>
      <c r="M8255" s="18" t="s">
        <v>28</v>
      </c>
      <c r="N8255" s="17">
        <v>43047</v>
      </c>
      <c r="O8255" s="15" t="s">
        <v>30</v>
      </c>
      <c r="P8255" s="16" t="s">
        <v>5722</v>
      </c>
      <c r="Q8255" s="15" t="s">
        <v>566</v>
      </c>
      <c r="R8255" s="13" t="str">
        <f>HYPERLINK("https://my.pitchbook.com?c=97041-79T","View Company Online")</f>
        <v>View Company Online</v>
      </c>
    </row>
    <row r="8256" spans="1:18" hidden="1" x14ac:dyDescent="0.3">
      <c r="A8256" s="9" t="s">
        <v>23982</v>
      </c>
      <c r="B8256" s="9" t="s">
        <v>23983</v>
      </c>
      <c r="C8256" s="11" t="s">
        <v>28</v>
      </c>
      <c r="D8256" s="9" t="s">
        <v>23984</v>
      </c>
      <c r="E8256" s="11" t="s">
        <v>28</v>
      </c>
      <c r="F8256" s="10" t="s">
        <v>28</v>
      </c>
      <c r="G8256" s="10">
        <v>0.96</v>
      </c>
      <c r="H8256" s="10" t="s">
        <v>28</v>
      </c>
      <c r="I8256" s="11" t="s">
        <v>28</v>
      </c>
      <c r="J8256" s="11" t="s">
        <v>28</v>
      </c>
      <c r="K8256" s="11" t="s">
        <v>28</v>
      </c>
      <c r="L8256" s="11" t="s">
        <v>28</v>
      </c>
      <c r="M8256" s="11" t="s">
        <v>28</v>
      </c>
      <c r="N8256" s="8">
        <v>43046</v>
      </c>
      <c r="O8256" s="9" t="s">
        <v>379</v>
      </c>
      <c r="P8256" s="12" t="s">
        <v>28</v>
      </c>
      <c r="Q8256" s="9" t="s">
        <v>419</v>
      </c>
      <c r="R8256" s="14" t="str">
        <f>HYPERLINK("https://my.pitchbook.com?c=96910-03T","View Company Online")</f>
        <v>View Company Online</v>
      </c>
    </row>
    <row r="8257" spans="1:18" hidden="1" x14ac:dyDescent="0.3">
      <c r="A8257" s="15" t="s">
        <v>23985</v>
      </c>
      <c r="B8257" s="15" t="s">
        <v>21846</v>
      </c>
      <c r="C8257" s="18" t="s">
        <v>28</v>
      </c>
      <c r="D8257" s="15" t="s">
        <v>21847</v>
      </c>
      <c r="E8257" s="18" t="s">
        <v>28</v>
      </c>
      <c r="F8257" s="19" t="s">
        <v>28</v>
      </c>
      <c r="G8257" s="19">
        <v>0.6</v>
      </c>
      <c r="H8257" s="19" t="s">
        <v>28</v>
      </c>
      <c r="I8257" s="18" t="s">
        <v>28</v>
      </c>
      <c r="J8257" s="18" t="s">
        <v>28</v>
      </c>
      <c r="K8257" s="18" t="s">
        <v>28</v>
      </c>
      <c r="L8257" s="18" t="s">
        <v>28</v>
      </c>
      <c r="M8257" s="18" t="s">
        <v>28</v>
      </c>
      <c r="N8257" s="17">
        <v>43046</v>
      </c>
      <c r="O8257" s="15" t="s">
        <v>379</v>
      </c>
      <c r="P8257" s="16" t="s">
        <v>28</v>
      </c>
      <c r="Q8257" s="15" t="s">
        <v>75</v>
      </c>
      <c r="R8257" s="13" t="str">
        <f>HYPERLINK("https://my.pitchbook.com?c=208728-64T","View Company Online")</f>
        <v>View Company Online</v>
      </c>
    </row>
    <row r="8258" spans="1:18" hidden="1" x14ac:dyDescent="0.3">
      <c r="A8258" s="9" t="s">
        <v>23986</v>
      </c>
      <c r="B8258" s="9" t="s">
        <v>8633</v>
      </c>
      <c r="C8258" s="11" t="s">
        <v>28</v>
      </c>
      <c r="D8258" s="9" t="s">
        <v>8634</v>
      </c>
      <c r="E8258" s="11" t="s">
        <v>28</v>
      </c>
      <c r="F8258" s="10" t="s">
        <v>28</v>
      </c>
      <c r="G8258" s="10">
        <v>0.94</v>
      </c>
      <c r="H8258" s="10">
        <v>3.12</v>
      </c>
      <c r="I8258" s="11" t="s">
        <v>28</v>
      </c>
      <c r="J8258" s="11" t="s">
        <v>28</v>
      </c>
      <c r="K8258" s="11" t="s">
        <v>28</v>
      </c>
      <c r="L8258" s="11" t="s">
        <v>28</v>
      </c>
      <c r="M8258" s="11" t="s">
        <v>28</v>
      </c>
      <c r="N8258" s="8">
        <v>43042</v>
      </c>
      <c r="O8258" s="9" t="s">
        <v>99</v>
      </c>
      <c r="P8258" s="12" t="s">
        <v>23987</v>
      </c>
      <c r="Q8258" s="9" t="s">
        <v>2168</v>
      </c>
      <c r="R8258" s="14" t="str">
        <f>HYPERLINK("https://my.pitchbook.com?c=100721-08T","View Company Online")</f>
        <v>View Company Online</v>
      </c>
    </row>
    <row r="8259" spans="1:18" hidden="1" x14ac:dyDescent="0.3">
      <c r="A8259" s="15" t="s">
        <v>23988</v>
      </c>
      <c r="B8259" s="15" t="s">
        <v>23989</v>
      </c>
      <c r="C8259" s="18" t="s">
        <v>28</v>
      </c>
      <c r="D8259" s="15" t="s">
        <v>23990</v>
      </c>
      <c r="E8259" s="18" t="s">
        <v>28</v>
      </c>
      <c r="F8259" s="19">
        <v>44.7</v>
      </c>
      <c r="G8259" s="19">
        <v>44.7</v>
      </c>
      <c r="H8259" s="19">
        <v>44.7</v>
      </c>
      <c r="I8259" s="18" t="s">
        <v>28</v>
      </c>
      <c r="J8259" s="18" t="s">
        <v>28</v>
      </c>
      <c r="K8259" s="18" t="s">
        <v>28</v>
      </c>
      <c r="L8259" s="18" t="s">
        <v>28</v>
      </c>
      <c r="M8259" s="18" t="s">
        <v>28</v>
      </c>
      <c r="N8259" s="17">
        <v>43040</v>
      </c>
      <c r="O8259" s="15" t="s">
        <v>30</v>
      </c>
      <c r="P8259" s="16" t="s">
        <v>23991</v>
      </c>
      <c r="Q8259" s="15" t="s">
        <v>331</v>
      </c>
      <c r="R8259" s="13" t="str">
        <f>HYPERLINK("https://my.pitchbook.com?c=91456-12T","View Company Online")</f>
        <v>View Company Online</v>
      </c>
    </row>
    <row r="8260" spans="1:18" x14ac:dyDescent="0.3">
      <c r="A8260" s="9" t="s">
        <v>23992</v>
      </c>
      <c r="B8260" s="9" t="s">
        <v>4196</v>
      </c>
      <c r="C8260" s="11" t="s">
        <v>28</v>
      </c>
      <c r="D8260" s="9" t="s">
        <v>4197</v>
      </c>
      <c r="E8260" s="11">
        <v>24.26</v>
      </c>
      <c r="F8260" s="10" t="s">
        <v>28</v>
      </c>
      <c r="G8260" s="10">
        <v>28.14</v>
      </c>
      <c r="H8260" s="10">
        <v>469.08</v>
      </c>
      <c r="I8260" s="11">
        <v>28.73</v>
      </c>
      <c r="J8260" s="11">
        <v>16.329999999999998</v>
      </c>
      <c r="K8260" s="11">
        <v>76.459999999999994</v>
      </c>
      <c r="L8260" s="11">
        <v>6.13</v>
      </c>
      <c r="M8260" s="11">
        <v>13.85</v>
      </c>
      <c r="N8260" s="8">
        <v>43040</v>
      </c>
      <c r="O8260" s="9" t="s">
        <v>93</v>
      </c>
      <c r="P8260" s="12" t="s">
        <v>23993</v>
      </c>
      <c r="Q8260" s="9" t="s">
        <v>583</v>
      </c>
      <c r="R8260" s="14" t="str">
        <f>HYPERLINK("https://my.pitchbook.com?c=98482-15T","View Company Online")</f>
        <v>View Company Online</v>
      </c>
    </row>
    <row r="8261" spans="1:18" hidden="1" x14ac:dyDescent="0.3">
      <c r="A8261" s="15" t="s">
        <v>23994</v>
      </c>
      <c r="B8261" s="15" t="s">
        <v>23995</v>
      </c>
      <c r="C8261" s="18" t="s">
        <v>28</v>
      </c>
      <c r="D8261" s="15" t="s">
        <v>23996</v>
      </c>
      <c r="E8261" s="18" t="s">
        <v>28</v>
      </c>
      <c r="F8261" s="19" t="s">
        <v>28</v>
      </c>
      <c r="G8261" s="19" t="s">
        <v>28</v>
      </c>
      <c r="H8261" s="19" t="s">
        <v>28</v>
      </c>
      <c r="I8261" s="18" t="s">
        <v>28</v>
      </c>
      <c r="J8261" s="18" t="s">
        <v>28</v>
      </c>
      <c r="K8261" s="18" t="s">
        <v>28</v>
      </c>
      <c r="L8261" s="18" t="s">
        <v>28</v>
      </c>
      <c r="M8261" s="18" t="s">
        <v>28</v>
      </c>
      <c r="N8261" s="17">
        <v>43040</v>
      </c>
      <c r="O8261" s="15" t="s">
        <v>30</v>
      </c>
      <c r="P8261" s="16" t="s">
        <v>23997</v>
      </c>
      <c r="Q8261" s="15" t="s">
        <v>399</v>
      </c>
      <c r="R8261" s="13" t="str">
        <f>HYPERLINK("https://my.pitchbook.com?c=223849-09T","View Company Online")</f>
        <v>View Company Online</v>
      </c>
    </row>
    <row r="8262" spans="1:18" hidden="1" x14ac:dyDescent="0.3">
      <c r="A8262" s="9" t="s">
        <v>23998</v>
      </c>
      <c r="B8262" s="9" t="s">
        <v>23997</v>
      </c>
      <c r="C8262" s="11" t="s">
        <v>28</v>
      </c>
      <c r="D8262" s="9" t="s">
        <v>23999</v>
      </c>
      <c r="E8262" s="11" t="s">
        <v>28</v>
      </c>
      <c r="F8262" s="10" t="s">
        <v>28</v>
      </c>
      <c r="G8262" s="10" t="s">
        <v>28</v>
      </c>
      <c r="H8262" s="10" t="s">
        <v>28</v>
      </c>
      <c r="I8262" s="11" t="s">
        <v>28</v>
      </c>
      <c r="J8262" s="11" t="s">
        <v>28</v>
      </c>
      <c r="K8262" s="11" t="s">
        <v>28</v>
      </c>
      <c r="L8262" s="11" t="s">
        <v>28</v>
      </c>
      <c r="M8262" s="11" t="s">
        <v>28</v>
      </c>
      <c r="N8262" s="8">
        <v>43040</v>
      </c>
      <c r="O8262" s="9" t="s">
        <v>1285</v>
      </c>
      <c r="P8262" s="12" t="s">
        <v>28</v>
      </c>
      <c r="Q8262" s="9" t="s">
        <v>75</v>
      </c>
      <c r="R8262" s="14" t="str">
        <f>HYPERLINK("https://my.pitchbook.com?c=56638-36T","View Company Online")</f>
        <v>View Company Online</v>
      </c>
    </row>
    <row r="8263" spans="1:18" hidden="1" x14ac:dyDescent="0.3">
      <c r="A8263" s="15" t="s">
        <v>24000</v>
      </c>
      <c r="B8263" s="15" t="s">
        <v>9691</v>
      </c>
      <c r="C8263" s="18" t="s">
        <v>28</v>
      </c>
      <c r="D8263" s="15" t="s">
        <v>9692</v>
      </c>
      <c r="E8263" s="18" t="s">
        <v>28</v>
      </c>
      <c r="F8263" s="19" t="s">
        <v>28</v>
      </c>
      <c r="G8263" s="19">
        <v>0.03</v>
      </c>
      <c r="H8263" s="19" t="s">
        <v>28</v>
      </c>
      <c r="I8263" s="18" t="s">
        <v>28</v>
      </c>
      <c r="J8263" s="18" t="s">
        <v>28</v>
      </c>
      <c r="K8263" s="18" t="s">
        <v>28</v>
      </c>
      <c r="L8263" s="18" t="s">
        <v>28</v>
      </c>
      <c r="M8263" s="18" t="s">
        <v>28</v>
      </c>
      <c r="N8263" s="17">
        <v>43040</v>
      </c>
      <c r="O8263" s="15" t="s">
        <v>9098</v>
      </c>
      <c r="P8263" s="16" t="s">
        <v>28</v>
      </c>
      <c r="Q8263" s="15" t="s">
        <v>119</v>
      </c>
      <c r="R8263" s="13" t="str">
        <f>HYPERLINK("https://my.pitchbook.com?c=111116-62T","View Company Online")</f>
        <v>View Company Online</v>
      </c>
    </row>
    <row r="8264" spans="1:18" hidden="1" x14ac:dyDescent="0.3">
      <c r="A8264" s="9" t="s">
        <v>24001</v>
      </c>
      <c r="B8264" s="9" t="s">
        <v>17722</v>
      </c>
      <c r="C8264" s="11" t="s">
        <v>28</v>
      </c>
      <c r="D8264" s="9" t="s">
        <v>17723</v>
      </c>
      <c r="E8264" s="11" t="s">
        <v>28</v>
      </c>
      <c r="F8264" s="10" t="s">
        <v>28</v>
      </c>
      <c r="G8264" s="10" t="s">
        <v>28</v>
      </c>
      <c r="H8264" s="10" t="s">
        <v>28</v>
      </c>
      <c r="I8264" s="11" t="s">
        <v>28</v>
      </c>
      <c r="J8264" s="11" t="s">
        <v>28</v>
      </c>
      <c r="K8264" s="11" t="s">
        <v>28</v>
      </c>
      <c r="L8264" s="11" t="s">
        <v>28</v>
      </c>
      <c r="M8264" s="11" t="s">
        <v>28</v>
      </c>
      <c r="N8264" s="8">
        <v>43040</v>
      </c>
      <c r="O8264" s="9" t="s">
        <v>1285</v>
      </c>
      <c r="P8264" s="12" t="s">
        <v>24002</v>
      </c>
      <c r="Q8264" s="9" t="s">
        <v>119</v>
      </c>
      <c r="R8264" s="14" t="str">
        <f>HYPERLINK("https://my.pitchbook.com?c=103874-23T","View Company Online")</f>
        <v>View Company Online</v>
      </c>
    </row>
    <row r="8265" spans="1:18" hidden="1" x14ac:dyDescent="0.3">
      <c r="A8265" s="15" t="s">
        <v>24003</v>
      </c>
      <c r="B8265" s="15" t="s">
        <v>13289</v>
      </c>
      <c r="C8265" s="18" t="s">
        <v>28</v>
      </c>
      <c r="D8265" s="15" t="s">
        <v>13290</v>
      </c>
      <c r="E8265" s="18" t="s">
        <v>28</v>
      </c>
      <c r="F8265" s="19" t="s">
        <v>28</v>
      </c>
      <c r="G8265" s="19" t="s">
        <v>28</v>
      </c>
      <c r="H8265" s="19" t="s">
        <v>28</v>
      </c>
      <c r="I8265" s="18" t="s">
        <v>28</v>
      </c>
      <c r="J8265" s="18" t="s">
        <v>28</v>
      </c>
      <c r="K8265" s="18" t="s">
        <v>28</v>
      </c>
      <c r="L8265" s="18" t="s">
        <v>28</v>
      </c>
      <c r="M8265" s="18" t="s">
        <v>28</v>
      </c>
      <c r="N8265" s="17">
        <v>43040</v>
      </c>
      <c r="O8265" s="15" t="s">
        <v>73</v>
      </c>
      <c r="P8265" s="16" t="s">
        <v>7022</v>
      </c>
      <c r="Q8265" s="15" t="s">
        <v>5628</v>
      </c>
      <c r="R8265" s="13" t="str">
        <f>HYPERLINK("https://my.pitchbook.com?c=107906-23T","View Company Online")</f>
        <v>View Company Online</v>
      </c>
    </row>
    <row r="8266" spans="1:18" hidden="1" x14ac:dyDescent="0.3">
      <c r="A8266" s="9" t="s">
        <v>24004</v>
      </c>
      <c r="B8266" s="9" t="s">
        <v>24005</v>
      </c>
      <c r="C8266" s="11" t="s">
        <v>28</v>
      </c>
      <c r="D8266" s="9" t="s">
        <v>24006</v>
      </c>
      <c r="E8266" s="11" t="s">
        <v>28</v>
      </c>
      <c r="F8266" s="10" t="s">
        <v>28</v>
      </c>
      <c r="G8266" s="10" t="s">
        <v>28</v>
      </c>
      <c r="H8266" s="10" t="s">
        <v>28</v>
      </c>
      <c r="I8266" s="11" t="s">
        <v>28</v>
      </c>
      <c r="J8266" s="11" t="s">
        <v>28</v>
      </c>
      <c r="K8266" s="11" t="s">
        <v>28</v>
      </c>
      <c r="L8266" s="11" t="s">
        <v>28</v>
      </c>
      <c r="M8266" s="11" t="s">
        <v>28</v>
      </c>
      <c r="N8266" s="8">
        <v>43040</v>
      </c>
      <c r="O8266" s="9" t="s">
        <v>30</v>
      </c>
      <c r="P8266" s="12" t="s">
        <v>23997</v>
      </c>
      <c r="Q8266" s="9" t="s">
        <v>245</v>
      </c>
      <c r="R8266" s="14" t="str">
        <f>HYPERLINK("https://my.pitchbook.com?c=223803-19T","View Company Online")</f>
        <v>View Company Online</v>
      </c>
    </row>
    <row r="8267" spans="1:18" hidden="1" x14ac:dyDescent="0.3">
      <c r="A8267" s="15" t="s">
        <v>24007</v>
      </c>
      <c r="B8267" s="15" t="s">
        <v>16115</v>
      </c>
      <c r="C8267" s="18" t="s">
        <v>28</v>
      </c>
      <c r="D8267" s="15" t="s">
        <v>16116</v>
      </c>
      <c r="E8267" s="18" t="s">
        <v>28</v>
      </c>
      <c r="F8267" s="19" t="s">
        <v>28</v>
      </c>
      <c r="G8267" s="19" t="s">
        <v>28</v>
      </c>
      <c r="H8267" s="19" t="s">
        <v>28</v>
      </c>
      <c r="I8267" s="18" t="s">
        <v>28</v>
      </c>
      <c r="J8267" s="18" t="s">
        <v>28</v>
      </c>
      <c r="K8267" s="18" t="s">
        <v>28</v>
      </c>
      <c r="L8267" s="18" t="s">
        <v>28</v>
      </c>
      <c r="M8267" s="18" t="s">
        <v>28</v>
      </c>
      <c r="N8267" s="17">
        <v>43040</v>
      </c>
      <c r="O8267" s="15" t="s">
        <v>99</v>
      </c>
      <c r="P8267" s="16" t="s">
        <v>24008</v>
      </c>
      <c r="Q8267" s="15" t="s">
        <v>583</v>
      </c>
      <c r="R8267" s="13" t="str">
        <f>HYPERLINK("https://my.pitchbook.com?c=133978-69T","View Company Online")</f>
        <v>View Company Online</v>
      </c>
    </row>
    <row r="8268" spans="1:18" hidden="1" x14ac:dyDescent="0.3">
      <c r="A8268" s="9" t="s">
        <v>24009</v>
      </c>
      <c r="B8268" s="9" t="s">
        <v>24010</v>
      </c>
      <c r="C8268" s="11" t="s">
        <v>28</v>
      </c>
      <c r="D8268" s="9" t="s">
        <v>24011</v>
      </c>
      <c r="E8268" s="11" t="s">
        <v>28</v>
      </c>
      <c r="F8268" s="10" t="s">
        <v>28</v>
      </c>
      <c r="G8268" s="10">
        <v>0.2</v>
      </c>
      <c r="H8268" s="10">
        <v>2.86</v>
      </c>
      <c r="I8268" s="11" t="s">
        <v>28</v>
      </c>
      <c r="J8268" s="11" t="s">
        <v>28</v>
      </c>
      <c r="K8268" s="11" t="s">
        <v>28</v>
      </c>
      <c r="L8268" s="11" t="s">
        <v>28</v>
      </c>
      <c r="M8268" s="11" t="s">
        <v>28</v>
      </c>
      <c r="N8268" s="8">
        <v>43040</v>
      </c>
      <c r="O8268" s="9" t="s">
        <v>52</v>
      </c>
      <c r="P8268" s="12" t="s">
        <v>2915</v>
      </c>
      <c r="Q8268" s="9" t="s">
        <v>37</v>
      </c>
      <c r="R8268" s="14" t="str">
        <f>HYPERLINK("https://my.pitchbook.com?c=125624-35T","View Company Online")</f>
        <v>View Company Online</v>
      </c>
    </row>
    <row r="8269" spans="1:18" hidden="1" x14ac:dyDescent="0.3">
      <c r="A8269" s="15" t="s">
        <v>24012</v>
      </c>
      <c r="B8269" s="15" t="s">
        <v>24013</v>
      </c>
      <c r="C8269" s="18" t="s">
        <v>28</v>
      </c>
      <c r="D8269" s="15" t="s">
        <v>24014</v>
      </c>
      <c r="E8269" s="18" t="s">
        <v>28</v>
      </c>
      <c r="F8269" s="19" t="s">
        <v>28</v>
      </c>
      <c r="G8269" s="19" t="s">
        <v>28</v>
      </c>
      <c r="H8269" s="19" t="s">
        <v>28</v>
      </c>
      <c r="I8269" s="18" t="s">
        <v>28</v>
      </c>
      <c r="J8269" s="18" t="s">
        <v>28</v>
      </c>
      <c r="K8269" s="18" t="s">
        <v>28</v>
      </c>
      <c r="L8269" s="18" t="s">
        <v>28</v>
      </c>
      <c r="M8269" s="18" t="s">
        <v>28</v>
      </c>
      <c r="N8269" s="17">
        <v>43040</v>
      </c>
      <c r="O8269" s="15" t="s">
        <v>73</v>
      </c>
      <c r="P8269" s="16" t="s">
        <v>23995</v>
      </c>
      <c r="Q8269" s="15" t="s">
        <v>75</v>
      </c>
      <c r="R8269" s="13" t="str">
        <f>HYPERLINK("https://my.pitchbook.com?c=56637-01T","View Company Online")</f>
        <v>View Company Online</v>
      </c>
    </row>
    <row r="8270" spans="1:18" hidden="1" x14ac:dyDescent="0.3">
      <c r="A8270" s="9" t="s">
        <v>24015</v>
      </c>
      <c r="B8270" s="9" t="s">
        <v>18252</v>
      </c>
      <c r="C8270" s="11" t="s">
        <v>28</v>
      </c>
      <c r="D8270" s="9" t="s">
        <v>18253</v>
      </c>
      <c r="E8270" s="11" t="s">
        <v>28</v>
      </c>
      <c r="F8270" s="10" t="s">
        <v>28</v>
      </c>
      <c r="G8270" s="10" t="s">
        <v>28</v>
      </c>
      <c r="H8270" s="10" t="s">
        <v>28</v>
      </c>
      <c r="I8270" s="11" t="s">
        <v>28</v>
      </c>
      <c r="J8270" s="11" t="s">
        <v>28</v>
      </c>
      <c r="K8270" s="11" t="s">
        <v>28</v>
      </c>
      <c r="L8270" s="11" t="s">
        <v>28</v>
      </c>
      <c r="M8270" s="11" t="s">
        <v>28</v>
      </c>
      <c r="N8270" s="8">
        <v>43040</v>
      </c>
      <c r="O8270" s="9" t="s">
        <v>52</v>
      </c>
      <c r="P8270" s="12" t="s">
        <v>4500</v>
      </c>
      <c r="Q8270" s="9" t="s">
        <v>371</v>
      </c>
      <c r="R8270" s="14" t="str">
        <f>HYPERLINK("https://my.pitchbook.com?c=127863-37T","View Company Online")</f>
        <v>View Company Online</v>
      </c>
    </row>
    <row r="8271" spans="1:18" hidden="1" x14ac:dyDescent="0.3">
      <c r="A8271" s="15" t="s">
        <v>24016</v>
      </c>
      <c r="B8271" s="15" t="s">
        <v>24017</v>
      </c>
      <c r="C8271" s="18" t="s">
        <v>28</v>
      </c>
      <c r="D8271" s="15" t="s">
        <v>24018</v>
      </c>
      <c r="E8271" s="18" t="s">
        <v>28</v>
      </c>
      <c r="F8271" s="19">
        <v>6</v>
      </c>
      <c r="G8271" s="19">
        <v>6</v>
      </c>
      <c r="H8271" s="19">
        <v>6</v>
      </c>
      <c r="I8271" s="18" t="s">
        <v>28</v>
      </c>
      <c r="J8271" s="18" t="s">
        <v>28</v>
      </c>
      <c r="K8271" s="18" t="s">
        <v>28</v>
      </c>
      <c r="L8271" s="18" t="s">
        <v>28</v>
      </c>
      <c r="M8271" s="18" t="s">
        <v>28</v>
      </c>
      <c r="N8271" s="17">
        <v>43040</v>
      </c>
      <c r="O8271" s="15" t="s">
        <v>30</v>
      </c>
      <c r="P8271" s="16" t="s">
        <v>20557</v>
      </c>
      <c r="Q8271" s="15" t="s">
        <v>43</v>
      </c>
      <c r="R8271" s="13" t="str">
        <f>HYPERLINK("https://my.pitchbook.com?c=126389-44T","View Company Online")</f>
        <v>View Company Online</v>
      </c>
    </row>
    <row r="8272" spans="1:18" hidden="1" x14ac:dyDescent="0.3">
      <c r="A8272" s="9" t="s">
        <v>24019</v>
      </c>
      <c r="B8272" s="9" t="s">
        <v>24020</v>
      </c>
      <c r="C8272" s="11" t="s">
        <v>28</v>
      </c>
      <c r="D8272" s="9" t="s">
        <v>24021</v>
      </c>
      <c r="E8272" s="11" t="s">
        <v>28</v>
      </c>
      <c r="F8272" s="10" t="s">
        <v>28</v>
      </c>
      <c r="G8272" s="10" t="s">
        <v>28</v>
      </c>
      <c r="H8272" s="10" t="s">
        <v>28</v>
      </c>
      <c r="I8272" s="11" t="s">
        <v>28</v>
      </c>
      <c r="J8272" s="11" t="s">
        <v>28</v>
      </c>
      <c r="K8272" s="11">
        <v>0.38</v>
      </c>
      <c r="L8272" s="11" t="s">
        <v>28</v>
      </c>
      <c r="M8272" s="11" t="s">
        <v>28</v>
      </c>
      <c r="N8272" s="8">
        <v>43040</v>
      </c>
      <c r="O8272" s="9" t="s">
        <v>73</v>
      </c>
      <c r="P8272" s="12" t="s">
        <v>24022</v>
      </c>
      <c r="Q8272" s="9" t="s">
        <v>616</v>
      </c>
      <c r="R8272" s="14" t="str">
        <f>HYPERLINK("https://my.pitchbook.com?c=115641-28T","View Company Online")</f>
        <v>View Company Online</v>
      </c>
    </row>
    <row r="8273" spans="1:18" hidden="1" x14ac:dyDescent="0.3">
      <c r="A8273" s="15" t="s">
        <v>24023</v>
      </c>
      <c r="B8273" s="15" t="s">
        <v>24024</v>
      </c>
      <c r="C8273" s="18" t="s">
        <v>28</v>
      </c>
      <c r="D8273" s="15" t="s">
        <v>24025</v>
      </c>
      <c r="E8273" s="18" t="s">
        <v>28</v>
      </c>
      <c r="F8273" s="19" t="s">
        <v>28</v>
      </c>
      <c r="G8273" s="19">
        <v>0.01</v>
      </c>
      <c r="H8273" s="19" t="s">
        <v>28</v>
      </c>
      <c r="I8273" s="18" t="s">
        <v>28</v>
      </c>
      <c r="J8273" s="18" t="s">
        <v>28</v>
      </c>
      <c r="K8273" s="18" t="s">
        <v>28</v>
      </c>
      <c r="L8273" s="18" t="s">
        <v>28</v>
      </c>
      <c r="M8273" s="18" t="s">
        <v>28</v>
      </c>
      <c r="N8273" s="17">
        <v>43039</v>
      </c>
      <c r="O8273" s="15" t="s">
        <v>52</v>
      </c>
      <c r="P8273" s="16" t="s">
        <v>408</v>
      </c>
      <c r="Q8273" s="15" t="s">
        <v>6392</v>
      </c>
      <c r="R8273" s="13" t="str">
        <f>HYPERLINK("https://my.pitchbook.com?c=252871-39T","View Company Online")</f>
        <v>View Company Online</v>
      </c>
    </row>
    <row r="8274" spans="1:18" hidden="1" x14ac:dyDescent="0.3">
      <c r="A8274" s="9" t="s">
        <v>24026</v>
      </c>
      <c r="B8274" s="9" t="s">
        <v>22697</v>
      </c>
      <c r="C8274" s="11" t="s">
        <v>28</v>
      </c>
      <c r="D8274" s="9" t="s">
        <v>22698</v>
      </c>
      <c r="E8274" s="11" t="s">
        <v>28</v>
      </c>
      <c r="F8274" s="10" t="s">
        <v>28</v>
      </c>
      <c r="G8274" s="10">
        <v>0.78</v>
      </c>
      <c r="H8274" s="10" t="s">
        <v>28</v>
      </c>
      <c r="I8274" s="11" t="s">
        <v>28</v>
      </c>
      <c r="J8274" s="11" t="s">
        <v>28</v>
      </c>
      <c r="K8274" s="11" t="s">
        <v>28</v>
      </c>
      <c r="L8274" s="11" t="s">
        <v>28</v>
      </c>
      <c r="M8274" s="11" t="s">
        <v>28</v>
      </c>
      <c r="N8274" s="8">
        <v>43039</v>
      </c>
      <c r="O8274" s="9" t="s">
        <v>93</v>
      </c>
      <c r="P8274" s="12" t="s">
        <v>23782</v>
      </c>
      <c r="Q8274" s="9" t="s">
        <v>75</v>
      </c>
      <c r="R8274" s="14" t="str">
        <f>HYPERLINK("https://my.pitchbook.com?c=246749-14T","View Company Online")</f>
        <v>View Company Online</v>
      </c>
    </row>
    <row r="8275" spans="1:18" hidden="1" x14ac:dyDescent="0.3">
      <c r="A8275" s="15" t="s">
        <v>24027</v>
      </c>
      <c r="B8275" s="15" t="s">
        <v>24028</v>
      </c>
      <c r="C8275" s="18" t="s">
        <v>28</v>
      </c>
      <c r="D8275" s="15" t="s">
        <v>24029</v>
      </c>
      <c r="E8275" s="18" t="s">
        <v>28</v>
      </c>
      <c r="F8275" s="19" t="s">
        <v>28</v>
      </c>
      <c r="G8275" s="19" t="s">
        <v>28</v>
      </c>
      <c r="H8275" s="19" t="s">
        <v>28</v>
      </c>
      <c r="I8275" s="18" t="s">
        <v>28</v>
      </c>
      <c r="J8275" s="18" t="s">
        <v>28</v>
      </c>
      <c r="K8275" s="18" t="s">
        <v>28</v>
      </c>
      <c r="L8275" s="18" t="s">
        <v>28</v>
      </c>
      <c r="M8275" s="18" t="s">
        <v>28</v>
      </c>
      <c r="N8275" s="17">
        <v>43039</v>
      </c>
      <c r="O8275" s="15" t="s">
        <v>30</v>
      </c>
      <c r="P8275" s="16" t="s">
        <v>24030</v>
      </c>
      <c r="Q8275" s="15" t="s">
        <v>3912</v>
      </c>
      <c r="R8275" s="13" t="str">
        <f>HYPERLINK("https://my.pitchbook.com?c=96558-22T","View Company Online")</f>
        <v>View Company Online</v>
      </c>
    </row>
    <row r="8276" spans="1:18" hidden="1" x14ac:dyDescent="0.3">
      <c r="A8276" s="9" t="s">
        <v>24031</v>
      </c>
      <c r="B8276" s="9" t="s">
        <v>16423</v>
      </c>
      <c r="C8276" s="11" t="s">
        <v>28</v>
      </c>
      <c r="D8276" s="9" t="s">
        <v>16424</v>
      </c>
      <c r="E8276" s="11" t="s">
        <v>28</v>
      </c>
      <c r="F8276" s="10" t="s">
        <v>28</v>
      </c>
      <c r="G8276" s="10" t="s">
        <v>28</v>
      </c>
      <c r="H8276" s="10" t="s">
        <v>28</v>
      </c>
      <c r="I8276" s="11" t="s">
        <v>28</v>
      </c>
      <c r="J8276" s="11" t="s">
        <v>28</v>
      </c>
      <c r="K8276" s="11">
        <v>150</v>
      </c>
      <c r="L8276" s="11" t="s">
        <v>28</v>
      </c>
      <c r="M8276" s="11" t="s">
        <v>28</v>
      </c>
      <c r="N8276" s="8">
        <v>43039</v>
      </c>
      <c r="O8276" s="9" t="s">
        <v>79</v>
      </c>
      <c r="P8276" s="12" t="s">
        <v>19170</v>
      </c>
      <c r="Q8276" s="9" t="s">
        <v>409</v>
      </c>
      <c r="R8276" s="14" t="str">
        <f>HYPERLINK("https://my.pitchbook.com?c=302210-20T","View Company Online")</f>
        <v>View Company Online</v>
      </c>
    </row>
    <row r="8277" spans="1:18" hidden="1" x14ac:dyDescent="0.3">
      <c r="A8277" s="15" t="s">
        <v>24032</v>
      </c>
      <c r="B8277" s="15" t="s">
        <v>13992</v>
      </c>
      <c r="C8277" s="18" t="s">
        <v>28</v>
      </c>
      <c r="D8277" s="15" t="s">
        <v>13993</v>
      </c>
      <c r="E8277" s="18" t="s">
        <v>28</v>
      </c>
      <c r="F8277" s="19" t="s">
        <v>28</v>
      </c>
      <c r="G8277" s="19">
        <v>0.78</v>
      </c>
      <c r="H8277" s="19" t="s">
        <v>28</v>
      </c>
      <c r="I8277" s="18" t="s">
        <v>28</v>
      </c>
      <c r="J8277" s="18" t="s">
        <v>28</v>
      </c>
      <c r="K8277" s="18" t="s">
        <v>28</v>
      </c>
      <c r="L8277" s="18" t="s">
        <v>28</v>
      </c>
      <c r="M8277" s="18" t="s">
        <v>28</v>
      </c>
      <c r="N8277" s="17">
        <v>43039</v>
      </c>
      <c r="O8277" s="15" t="s">
        <v>79</v>
      </c>
      <c r="P8277" s="16" t="s">
        <v>24033</v>
      </c>
      <c r="Q8277" s="15" t="s">
        <v>8035</v>
      </c>
      <c r="R8277" s="13" t="str">
        <f>HYPERLINK("https://my.pitchbook.com?c=94397-68T","View Company Online")</f>
        <v>View Company Online</v>
      </c>
    </row>
    <row r="8278" spans="1:18" hidden="1" x14ac:dyDescent="0.3">
      <c r="A8278" s="9" t="s">
        <v>24034</v>
      </c>
      <c r="B8278" s="9" t="s">
        <v>9691</v>
      </c>
      <c r="C8278" s="11" t="s">
        <v>28</v>
      </c>
      <c r="D8278" s="9" t="s">
        <v>9692</v>
      </c>
      <c r="E8278" s="11" t="s">
        <v>28</v>
      </c>
      <c r="F8278" s="10" t="s">
        <v>28</v>
      </c>
      <c r="G8278" s="10">
        <v>0.01</v>
      </c>
      <c r="H8278" s="10" t="s">
        <v>28</v>
      </c>
      <c r="I8278" s="11" t="s">
        <v>28</v>
      </c>
      <c r="J8278" s="11" t="s">
        <v>28</v>
      </c>
      <c r="K8278" s="11" t="s">
        <v>28</v>
      </c>
      <c r="L8278" s="11" t="s">
        <v>28</v>
      </c>
      <c r="M8278" s="11" t="s">
        <v>28</v>
      </c>
      <c r="N8278" s="8">
        <v>43038</v>
      </c>
      <c r="O8278" s="9" t="s">
        <v>52</v>
      </c>
      <c r="P8278" s="12" t="s">
        <v>24035</v>
      </c>
      <c r="Q8278" s="9" t="s">
        <v>119</v>
      </c>
      <c r="R8278" s="14" t="str">
        <f>HYPERLINK("https://my.pitchbook.com?c=111113-11T","View Company Online")</f>
        <v>View Company Online</v>
      </c>
    </row>
    <row r="8279" spans="1:18" hidden="1" x14ac:dyDescent="0.3">
      <c r="A8279" s="15" t="s">
        <v>24036</v>
      </c>
      <c r="B8279" s="15" t="s">
        <v>24037</v>
      </c>
      <c r="C8279" s="18" t="s">
        <v>28</v>
      </c>
      <c r="D8279" s="15" t="s">
        <v>24038</v>
      </c>
      <c r="E8279" s="18" t="s">
        <v>28</v>
      </c>
      <c r="F8279" s="19" t="s">
        <v>28</v>
      </c>
      <c r="G8279" s="19" t="s">
        <v>28</v>
      </c>
      <c r="H8279" s="19" t="s">
        <v>28</v>
      </c>
      <c r="I8279" s="18" t="s">
        <v>28</v>
      </c>
      <c r="J8279" s="18" t="s">
        <v>28</v>
      </c>
      <c r="K8279" s="18" t="s">
        <v>28</v>
      </c>
      <c r="L8279" s="18" t="s">
        <v>28</v>
      </c>
      <c r="M8279" s="18" t="s">
        <v>28</v>
      </c>
      <c r="N8279" s="17">
        <v>43038</v>
      </c>
      <c r="O8279" s="15" t="s">
        <v>41</v>
      </c>
      <c r="P8279" s="16" t="s">
        <v>24039</v>
      </c>
      <c r="Q8279" s="15" t="s">
        <v>900</v>
      </c>
      <c r="R8279" s="13" t="str">
        <f>HYPERLINK("https://my.pitchbook.com?c=96507-91T","View Company Online")</f>
        <v>View Company Online</v>
      </c>
    </row>
    <row r="8280" spans="1:18" hidden="1" x14ac:dyDescent="0.3">
      <c r="A8280" s="9" t="s">
        <v>24040</v>
      </c>
      <c r="B8280" s="9" t="s">
        <v>10365</v>
      </c>
      <c r="C8280" s="11" t="s">
        <v>28</v>
      </c>
      <c r="D8280" s="9" t="s">
        <v>10366</v>
      </c>
      <c r="E8280" s="11" t="s">
        <v>28</v>
      </c>
      <c r="F8280" s="10" t="s">
        <v>28</v>
      </c>
      <c r="G8280" s="10" t="s">
        <v>28</v>
      </c>
      <c r="H8280" s="10" t="s">
        <v>28</v>
      </c>
      <c r="I8280" s="11" t="s">
        <v>28</v>
      </c>
      <c r="J8280" s="11" t="s">
        <v>28</v>
      </c>
      <c r="K8280" s="11" t="s">
        <v>28</v>
      </c>
      <c r="L8280" s="11" t="s">
        <v>28</v>
      </c>
      <c r="M8280" s="11" t="s">
        <v>28</v>
      </c>
      <c r="N8280" s="8">
        <v>43035</v>
      </c>
      <c r="O8280" s="9" t="s">
        <v>52</v>
      </c>
      <c r="P8280" s="12" t="s">
        <v>24041</v>
      </c>
      <c r="Q8280" s="9" t="s">
        <v>75</v>
      </c>
      <c r="R8280" s="14" t="str">
        <f>HYPERLINK("https://my.pitchbook.com?c=125801-38T","View Company Online")</f>
        <v>View Company Online</v>
      </c>
    </row>
    <row r="8281" spans="1:18" hidden="1" x14ac:dyDescent="0.3">
      <c r="A8281" s="15" t="s">
        <v>24042</v>
      </c>
      <c r="B8281" s="15" t="s">
        <v>24043</v>
      </c>
      <c r="C8281" s="18" t="s">
        <v>28</v>
      </c>
      <c r="D8281" s="15" t="s">
        <v>24044</v>
      </c>
      <c r="E8281" s="18" t="s">
        <v>28</v>
      </c>
      <c r="F8281" s="19" t="s">
        <v>28</v>
      </c>
      <c r="G8281" s="19" t="s">
        <v>28</v>
      </c>
      <c r="H8281" s="19" t="s">
        <v>28</v>
      </c>
      <c r="I8281" s="18" t="s">
        <v>28</v>
      </c>
      <c r="J8281" s="18" t="s">
        <v>28</v>
      </c>
      <c r="K8281" s="18" t="s">
        <v>28</v>
      </c>
      <c r="L8281" s="18" t="s">
        <v>28</v>
      </c>
      <c r="M8281" s="18" t="s">
        <v>28</v>
      </c>
      <c r="N8281" s="17">
        <v>43035</v>
      </c>
      <c r="O8281" s="15" t="s">
        <v>30</v>
      </c>
      <c r="P8281" s="16" t="s">
        <v>24045</v>
      </c>
      <c r="Q8281" s="15" t="s">
        <v>268</v>
      </c>
      <c r="R8281" s="13" t="str">
        <f>HYPERLINK("https://my.pitchbook.com?c=112271-77T","View Company Online")</f>
        <v>View Company Online</v>
      </c>
    </row>
    <row r="8282" spans="1:18" hidden="1" x14ac:dyDescent="0.3">
      <c r="A8282" s="9" t="s">
        <v>24046</v>
      </c>
      <c r="B8282" s="9" t="s">
        <v>5787</v>
      </c>
      <c r="C8282" s="11" t="s">
        <v>28</v>
      </c>
      <c r="D8282" s="9" t="s">
        <v>5788</v>
      </c>
      <c r="E8282" s="11" t="s">
        <v>28</v>
      </c>
      <c r="F8282" s="10" t="s">
        <v>28</v>
      </c>
      <c r="G8282" s="10" t="s">
        <v>28</v>
      </c>
      <c r="H8282" s="10" t="s">
        <v>28</v>
      </c>
      <c r="I8282" s="11" t="s">
        <v>28</v>
      </c>
      <c r="J8282" s="11" t="s">
        <v>28</v>
      </c>
      <c r="K8282" s="11" t="s">
        <v>28</v>
      </c>
      <c r="L8282" s="11" t="s">
        <v>28</v>
      </c>
      <c r="M8282" s="11" t="s">
        <v>28</v>
      </c>
      <c r="N8282" s="8">
        <v>43034</v>
      </c>
      <c r="O8282" s="9" t="s">
        <v>58</v>
      </c>
      <c r="P8282" s="12" t="s">
        <v>24047</v>
      </c>
      <c r="Q8282" s="9" t="s">
        <v>226</v>
      </c>
      <c r="R8282" s="14" t="str">
        <f>HYPERLINK("https://my.pitchbook.com?c=248486-05T","View Company Online")</f>
        <v>View Company Online</v>
      </c>
    </row>
    <row r="8283" spans="1:18" hidden="1" x14ac:dyDescent="0.3">
      <c r="A8283" s="15" t="s">
        <v>24048</v>
      </c>
      <c r="B8283" s="15" t="s">
        <v>24049</v>
      </c>
      <c r="C8283" s="18" t="s">
        <v>28</v>
      </c>
      <c r="D8283" s="15" t="s">
        <v>24050</v>
      </c>
      <c r="E8283" s="18" t="s">
        <v>28</v>
      </c>
      <c r="F8283" s="19" t="s">
        <v>28</v>
      </c>
      <c r="G8283" s="19" t="s">
        <v>28</v>
      </c>
      <c r="H8283" s="19" t="s">
        <v>28</v>
      </c>
      <c r="I8283" s="18" t="s">
        <v>28</v>
      </c>
      <c r="J8283" s="18" t="s">
        <v>28</v>
      </c>
      <c r="K8283" s="18" t="s">
        <v>28</v>
      </c>
      <c r="L8283" s="18" t="s">
        <v>28</v>
      </c>
      <c r="M8283" s="18" t="s">
        <v>28</v>
      </c>
      <c r="N8283" s="17">
        <v>43034</v>
      </c>
      <c r="O8283" s="15" t="s">
        <v>52</v>
      </c>
      <c r="P8283" s="16" t="s">
        <v>24051</v>
      </c>
      <c r="Q8283" s="15" t="s">
        <v>75</v>
      </c>
      <c r="R8283" s="13" t="str">
        <f>HYPERLINK("https://my.pitchbook.com?c=98765-11T","View Company Online")</f>
        <v>View Company Online</v>
      </c>
    </row>
    <row r="8284" spans="1:18" x14ac:dyDescent="0.3">
      <c r="A8284" s="9" t="s">
        <v>24052</v>
      </c>
      <c r="B8284" s="9" t="s">
        <v>24053</v>
      </c>
      <c r="C8284" s="11">
        <v>2.98</v>
      </c>
      <c r="D8284" s="9" t="s">
        <v>24054</v>
      </c>
      <c r="E8284" s="11">
        <v>82.07</v>
      </c>
      <c r="F8284" s="10">
        <v>410.85</v>
      </c>
      <c r="G8284" s="10">
        <v>349.54</v>
      </c>
      <c r="H8284" s="10">
        <v>699.08</v>
      </c>
      <c r="I8284" s="11">
        <v>137.91</v>
      </c>
      <c r="J8284" s="11">
        <v>5.07</v>
      </c>
      <c r="K8284" s="11">
        <v>1086.9000000000001</v>
      </c>
      <c r="L8284" s="11">
        <v>0.64</v>
      </c>
      <c r="M8284" s="11">
        <v>51.45</v>
      </c>
      <c r="N8284" s="8">
        <v>43034</v>
      </c>
      <c r="O8284" s="9" t="s">
        <v>30</v>
      </c>
      <c r="P8284" s="12" t="s">
        <v>24055</v>
      </c>
      <c r="Q8284" s="9" t="s">
        <v>669</v>
      </c>
      <c r="R8284" s="14" t="str">
        <f>HYPERLINK("https://my.pitchbook.com?c=76744-36T","View Company Online")</f>
        <v>View Company Online</v>
      </c>
    </row>
    <row r="8285" spans="1:18" hidden="1" x14ac:dyDescent="0.3">
      <c r="A8285" s="15" t="s">
        <v>24056</v>
      </c>
      <c r="B8285" s="15" t="s">
        <v>24057</v>
      </c>
      <c r="C8285" s="18" t="s">
        <v>28</v>
      </c>
      <c r="D8285" s="15" t="s">
        <v>24058</v>
      </c>
      <c r="E8285" s="18" t="s">
        <v>28</v>
      </c>
      <c r="F8285" s="19">
        <v>1582.33</v>
      </c>
      <c r="G8285" s="19">
        <v>1580.75</v>
      </c>
      <c r="H8285" s="19">
        <v>1582.33</v>
      </c>
      <c r="I8285" s="18" t="s">
        <v>28</v>
      </c>
      <c r="J8285" s="18" t="s">
        <v>28</v>
      </c>
      <c r="K8285" s="18">
        <v>180.68</v>
      </c>
      <c r="L8285" s="18">
        <v>8.76</v>
      </c>
      <c r="M8285" s="18" t="s">
        <v>28</v>
      </c>
      <c r="N8285" s="17">
        <v>43034</v>
      </c>
      <c r="O8285" s="15" t="s">
        <v>30</v>
      </c>
      <c r="P8285" s="16" t="s">
        <v>24059</v>
      </c>
      <c r="Q8285" s="15" t="s">
        <v>136</v>
      </c>
      <c r="R8285" s="13" t="str">
        <f>HYPERLINK("https://my.pitchbook.com?c=84509-20T","View Company Online")</f>
        <v>View Company Online</v>
      </c>
    </row>
    <row r="8286" spans="1:18" hidden="1" x14ac:dyDescent="0.3">
      <c r="A8286" s="9" t="s">
        <v>24060</v>
      </c>
      <c r="B8286" s="9" t="s">
        <v>4404</v>
      </c>
      <c r="C8286" s="11" t="s">
        <v>28</v>
      </c>
      <c r="D8286" s="9" t="s">
        <v>4405</v>
      </c>
      <c r="E8286" s="11" t="s">
        <v>28</v>
      </c>
      <c r="F8286" s="10" t="s">
        <v>28</v>
      </c>
      <c r="G8286" s="10" t="s">
        <v>28</v>
      </c>
      <c r="H8286" s="10" t="s">
        <v>28</v>
      </c>
      <c r="I8286" s="11" t="s">
        <v>28</v>
      </c>
      <c r="J8286" s="11" t="s">
        <v>28</v>
      </c>
      <c r="K8286" s="11" t="s">
        <v>28</v>
      </c>
      <c r="L8286" s="11" t="s">
        <v>28</v>
      </c>
      <c r="M8286" s="11" t="s">
        <v>28</v>
      </c>
      <c r="N8286" s="8">
        <v>43033</v>
      </c>
      <c r="O8286" s="9" t="s">
        <v>58</v>
      </c>
      <c r="P8286" s="12" t="s">
        <v>24061</v>
      </c>
      <c r="Q8286" s="9" t="s">
        <v>54</v>
      </c>
      <c r="R8286" s="14" t="str">
        <f>HYPERLINK("https://my.pitchbook.com?c=96224-32T","View Company Online")</f>
        <v>View Company Online</v>
      </c>
    </row>
    <row r="8287" spans="1:18" hidden="1" x14ac:dyDescent="0.3">
      <c r="A8287" s="15" t="s">
        <v>24062</v>
      </c>
      <c r="B8287" s="15" t="s">
        <v>24063</v>
      </c>
      <c r="C8287" s="18" t="s">
        <v>28</v>
      </c>
      <c r="D8287" s="15" t="s">
        <v>24064</v>
      </c>
      <c r="E8287" s="18" t="s">
        <v>28</v>
      </c>
      <c r="F8287" s="19">
        <v>12.6</v>
      </c>
      <c r="G8287" s="19">
        <v>12.6</v>
      </c>
      <c r="H8287" s="19">
        <v>12.6</v>
      </c>
      <c r="I8287" s="18" t="s">
        <v>28</v>
      </c>
      <c r="J8287" s="18" t="s">
        <v>28</v>
      </c>
      <c r="K8287" s="18" t="s">
        <v>28</v>
      </c>
      <c r="L8287" s="18" t="s">
        <v>28</v>
      </c>
      <c r="M8287" s="18" t="s">
        <v>28</v>
      </c>
      <c r="N8287" s="17">
        <v>43033</v>
      </c>
      <c r="O8287" s="15" t="s">
        <v>41</v>
      </c>
      <c r="P8287" s="16" t="s">
        <v>24065</v>
      </c>
      <c r="Q8287" s="15" t="s">
        <v>307</v>
      </c>
      <c r="R8287" s="13" t="str">
        <f>HYPERLINK("https://my.pitchbook.com?c=96475-42T","View Company Online")</f>
        <v>View Company Online</v>
      </c>
    </row>
    <row r="8288" spans="1:18" hidden="1" x14ac:dyDescent="0.3">
      <c r="A8288" s="9" t="s">
        <v>24066</v>
      </c>
      <c r="B8288" s="9" t="s">
        <v>13357</v>
      </c>
      <c r="C8288" s="11" t="s">
        <v>28</v>
      </c>
      <c r="D8288" s="9" t="s">
        <v>13358</v>
      </c>
      <c r="E8288" s="11" t="s">
        <v>28</v>
      </c>
      <c r="F8288" s="10" t="s">
        <v>28</v>
      </c>
      <c r="G8288" s="10" t="s">
        <v>28</v>
      </c>
      <c r="H8288" s="10" t="s">
        <v>28</v>
      </c>
      <c r="I8288" s="11" t="s">
        <v>28</v>
      </c>
      <c r="J8288" s="11" t="s">
        <v>28</v>
      </c>
      <c r="K8288" s="11" t="s">
        <v>28</v>
      </c>
      <c r="L8288" s="11" t="s">
        <v>28</v>
      </c>
      <c r="M8288" s="11" t="s">
        <v>28</v>
      </c>
      <c r="N8288" s="8">
        <v>43033</v>
      </c>
      <c r="O8288" s="9" t="s">
        <v>93</v>
      </c>
      <c r="P8288" s="12" t="s">
        <v>24067</v>
      </c>
      <c r="Q8288" s="9" t="s">
        <v>109</v>
      </c>
      <c r="R8288" s="14" t="str">
        <f>HYPERLINK("https://my.pitchbook.com?c=96596-83T","View Company Online")</f>
        <v>View Company Online</v>
      </c>
    </row>
    <row r="8289" spans="1:18" hidden="1" x14ac:dyDescent="0.3">
      <c r="A8289" s="15" t="s">
        <v>24068</v>
      </c>
      <c r="B8289" s="15" t="s">
        <v>22478</v>
      </c>
      <c r="C8289" s="18" t="s">
        <v>28</v>
      </c>
      <c r="D8289" s="15" t="s">
        <v>22479</v>
      </c>
      <c r="E8289" s="18" t="s">
        <v>28</v>
      </c>
      <c r="F8289" s="19" t="s">
        <v>28</v>
      </c>
      <c r="G8289" s="19">
        <v>0.03</v>
      </c>
      <c r="H8289" s="19" t="s">
        <v>28</v>
      </c>
      <c r="I8289" s="18" t="s">
        <v>28</v>
      </c>
      <c r="J8289" s="18" t="s">
        <v>28</v>
      </c>
      <c r="K8289" s="18">
        <v>0.28000000000000003</v>
      </c>
      <c r="L8289" s="18" t="s">
        <v>28</v>
      </c>
      <c r="M8289" s="18" t="s">
        <v>28</v>
      </c>
      <c r="N8289" s="17">
        <v>43032</v>
      </c>
      <c r="O8289" s="15" t="s">
        <v>52</v>
      </c>
      <c r="P8289" s="16" t="s">
        <v>7022</v>
      </c>
      <c r="Q8289" s="15" t="s">
        <v>75</v>
      </c>
      <c r="R8289" s="13" t="str">
        <f>HYPERLINK("https://my.pitchbook.com?c=100668-70T","View Company Online")</f>
        <v>View Company Online</v>
      </c>
    </row>
    <row r="8290" spans="1:18" hidden="1" x14ac:dyDescent="0.3">
      <c r="A8290" s="9" t="s">
        <v>24069</v>
      </c>
      <c r="B8290" s="9" t="s">
        <v>24070</v>
      </c>
      <c r="C8290" s="11" t="s">
        <v>28</v>
      </c>
      <c r="D8290" s="9" t="s">
        <v>24071</v>
      </c>
      <c r="E8290" s="11" t="s">
        <v>28</v>
      </c>
      <c r="F8290" s="10" t="s">
        <v>28</v>
      </c>
      <c r="G8290" s="10" t="s">
        <v>28</v>
      </c>
      <c r="H8290" s="10" t="s">
        <v>28</v>
      </c>
      <c r="I8290" s="11" t="s">
        <v>28</v>
      </c>
      <c r="J8290" s="11" t="s">
        <v>28</v>
      </c>
      <c r="K8290" s="11" t="s">
        <v>28</v>
      </c>
      <c r="L8290" s="11" t="s">
        <v>28</v>
      </c>
      <c r="M8290" s="11" t="s">
        <v>28</v>
      </c>
      <c r="N8290" s="8">
        <v>43032</v>
      </c>
      <c r="O8290" s="9" t="s">
        <v>30</v>
      </c>
      <c r="P8290" s="12" t="s">
        <v>28</v>
      </c>
      <c r="Q8290" s="9" t="s">
        <v>1144</v>
      </c>
      <c r="R8290" s="14" t="str">
        <f>HYPERLINK("https://my.pitchbook.com?c=94767-13T","View Company Online")</f>
        <v>View Company Online</v>
      </c>
    </row>
    <row r="8291" spans="1:18" hidden="1" x14ac:dyDescent="0.3">
      <c r="A8291" s="15" t="s">
        <v>24072</v>
      </c>
      <c r="B8291" s="15" t="s">
        <v>24073</v>
      </c>
      <c r="C8291" s="18" t="s">
        <v>28</v>
      </c>
      <c r="D8291" s="15" t="s">
        <v>24074</v>
      </c>
      <c r="E8291" s="18" t="s">
        <v>28</v>
      </c>
      <c r="F8291" s="19" t="s">
        <v>28</v>
      </c>
      <c r="G8291" s="19" t="s">
        <v>28</v>
      </c>
      <c r="H8291" s="19" t="s">
        <v>28</v>
      </c>
      <c r="I8291" s="18" t="s">
        <v>28</v>
      </c>
      <c r="J8291" s="18" t="s">
        <v>28</v>
      </c>
      <c r="K8291" s="18" t="s">
        <v>28</v>
      </c>
      <c r="L8291" s="18" t="s">
        <v>28</v>
      </c>
      <c r="M8291" s="18" t="s">
        <v>28</v>
      </c>
      <c r="N8291" s="17">
        <v>43032</v>
      </c>
      <c r="O8291" s="15" t="s">
        <v>52</v>
      </c>
      <c r="P8291" s="16" t="s">
        <v>7022</v>
      </c>
      <c r="Q8291" s="15" t="s">
        <v>1191</v>
      </c>
      <c r="R8291" s="13" t="str">
        <f>HYPERLINK("https://my.pitchbook.com?c=100671-76T","View Company Online")</f>
        <v>View Company Online</v>
      </c>
    </row>
    <row r="8292" spans="1:18" hidden="1" x14ac:dyDescent="0.3">
      <c r="A8292" s="9" t="s">
        <v>24075</v>
      </c>
      <c r="B8292" s="9" t="s">
        <v>24076</v>
      </c>
      <c r="C8292" s="11" t="s">
        <v>28</v>
      </c>
      <c r="D8292" s="9" t="s">
        <v>24077</v>
      </c>
      <c r="E8292" s="11" t="s">
        <v>28</v>
      </c>
      <c r="F8292" s="10">
        <v>22.1</v>
      </c>
      <c r="G8292" s="10">
        <v>22.1</v>
      </c>
      <c r="H8292" s="10">
        <v>22.1</v>
      </c>
      <c r="I8292" s="11" t="s">
        <v>28</v>
      </c>
      <c r="J8292" s="11" t="s">
        <v>28</v>
      </c>
      <c r="K8292" s="11" t="s">
        <v>28</v>
      </c>
      <c r="L8292" s="11" t="s">
        <v>28</v>
      </c>
      <c r="M8292" s="11" t="s">
        <v>28</v>
      </c>
      <c r="N8292" s="8">
        <v>43031</v>
      </c>
      <c r="O8292" s="9" t="s">
        <v>30</v>
      </c>
      <c r="P8292" s="12" t="s">
        <v>24078</v>
      </c>
      <c r="Q8292" s="9" t="s">
        <v>307</v>
      </c>
      <c r="R8292" s="14" t="str">
        <f>HYPERLINK("https://my.pitchbook.com?c=96179-14T","View Company Online")</f>
        <v>View Company Online</v>
      </c>
    </row>
    <row r="8293" spans="1:18" hidden="1" x14ac:dyDescent="0.3">
      <c r="A8293" s="15" t="s">
        <v>24079</v>
      </c>
      <c r="B8293" s="15" t="s">
        <v>24080</v>
      </c>
      <c r="C8293" s="18" t="s">
        <v>28</v>
      </c>
      <c r="D8293" s="15" t="s">
        <v>24081</v>
      </c>
      <c r="E8293" s="18" t="s">
        <v>28</v>
      </c>
      <c r="F8293" s="19" t="s">
        <v>28</v>
      </c>
      <c r="G8293" s="19" t="s">
        <v>28</v>
      </c>
      <c r="H8293" s="19" t="s">
        <v>28</v>
      </c>
      <c r="I8293" s="18" t="s">
        <v>28</v>
      </c>
      <c r="J8293" s="18" t="s">
        <v>28</v>
      </c>
      <c r="K8293" s="18" t="s">
        <v>28</v>
      </c>
      <c r="L8293" s="18" t="s">
        <v>28</v>
      </c>
      <c r="M8293" s="18" t="s">
        <v>28</v>
      </c>
      <c r="N8293" s="17">
        <v>43028</v>
      </c>
      <c r="O8293" s="15" t="s">
        <v>73</v>
      </c>
      <c r="P8293" s="16" t="s">
        <v>24082</v>
      </c>
      <c r="Q8293" s="15" t="s">
        <v>566</v>
      </c>
      <c r="R8293" s="13" t="str">
        <f>HYPERLINK("https://my.pitchbook.com?c=200546-29T","View Company Online")</f>
        <v>View Company Online</v>
      </c>
    </row>
    <row r="8294" spans="1:18" hidden="1" x14ac:dyDescent="0.3">
      <c r="A8294" s="9" t="s">
        <v>24083</v>
      </c>
      <c r="B8294" s="9" t="s">
        <v>24084</v>
      </c>
      <c r="C8294" s="11" t="s">
        <v>28</v>
      </c>
      <c r="D8294" s="9" t="s">
        <v>24085</v>
      </c>
      <c r="E8294" s="11" t="s">
        <v>28</v>
      </c>
      <c r="F8294" s="10" t="s">
        <v>28</v>
      </c>
      <c r="G8294" s="10" t="s">
        <v>28</v>
      </c>
      <c r="H8294" s="10" t="s">
        <v>28</v>
      </c>
      <c r="I8294" s="11" t="s">
        <v>28</v>
      </c>
      <c r="J8294" s="11" t="s">
        <v>28</v>
      </c>
      <c r="K8294" s="11" t="s">
        <v>28</v>
      </c>
      <c r="L8294" s="11" t="s">
        <v>28</v>
      </c>
      <c r="M8294" s="11" t="s">
        <v>28</v>
      </c>
      <c r="N8294" s="8">
        <v>43028</v>
      </c>
      <c r="O8294" s="9" t="s">
        <v>52</v>
      </c>
      <c r="P8294" s="12" t="s">
        <v>24086</v>
      </c>
      <c r="Q8294" s="9" t="s">
        <v>249</v>
      </c>
      <c r="R8294" s="14" t="str">
        <f>HYPERLINK("https://my.pitchbook.com?c=158503-51T","View Company Online")</f>
        <v>View Company Online</v>
      </c>
    </row>
    <row r="8295" spans="1:18" hidden="1" x14ac:dyDescent="0.3">
      <c r="A8295" s="15" t="s">
        <v>24087</v>
      </c>
      <c r="B8295" s="15" t="s">
        <v>8460</v>
      </c>
      <c r="C8295" s="18" t="s">
        <v>28</v>
      </c>
      <c r="D8295" s="15" t="s">
        <v>8461</v>
      </c>
      <c r="E8295" s="18" t="s">
        <v>28</v>
      </c>
      <c r="F8295" s="19" t="s">
        <v>28</v>
      </c>
      <c r="G8295" s="19">
        <v>8.07</v>
      </c>
      <c r="H8295" s="19" t="s">
        <v>28</v>
      </c>
      <c r="I8295" s="18" t="s">
        <v>28</v>
      </c>
      <c r="J8295" s="18" t="s">
        <v>28</v>
      </c>
      <c r="K8295" s="18" t="s">
        <v>28</v>
      </c>
      <c r="L8295" s="18" t="s">
        <v>28</v>
      </c>
      <c r="M8295" s="18" t="s">
        <v>28</v>
      </c>
      <c r="N8295" s="17">
        <v>43026</v>
      </c>
      <c r="O8295" s="15" t="s">
        <v>73</v>
      </c>
      <c r="P8295" s="16" t="s">
        <v>24088</v>
      </c>
      <c r="Q8295" s="15" t="s">
        <v>75</v>
      </c>
      <c r="R8295" s="13" t="str">
        <f>HYPERLINK("https://my.pitchbook.com?c=93111-58T","View Company Online")</f>
        <v>View Company Online</v>
      </c>
    </row>
    <row r="8296" spans="1:18" hidden="1" x14ac:dyDescent="0.3">
      <c r="A8296" s="9" t="s">
        <v>24089</v>
      </c>
      <c r="B8296" s="9" t="s">
        <v>14560</v>
      </c>
      <c r="C8296" s="11" t="s">
        <v>28</v>
      </c>
      <c r="D8296" s="9" t="s">
        <v>14561</v>
      </c>
      <c r="E8296" s="11" t="s">
        <v>28</v>
      </c>
      <c r="F8296" s="10" t="s">
        <v>28</v>
      </c>
      <c r="G8296" s="10">
        <v>53</v>
      </c>
      <c r="H8296" s="10" t="s">
        <v>28</v>
      </c>
      <c r="I8296" s="11" t="s">
        <v>28</v>
      </c>
      <c r="J8296" s="11" t="s">
        <v>28</v>
      </c>
      <c r="K8296" s="11" t="s">
        <v>28</v>
      </c>
      <c r="L8296" s="11" t="s">
        <v>28</v>
      </c>
      <c r="M8296" s="11" t="s">
        <v>28</v>
      </c>
      <c r="N8296" s="8">
        <v>43026</v>
      </c>
      <c r="O8296" s="9" t="s">
        <v>79</v>
      </c>
      <c r="P8296" s="12" t="s">
        <v>24090</v>
      </c>
      <c r="Q8296" s="9" t="s">
        <v>37</v>
      </c>
      <c r="R8296" s="14" t="str">
        <f>HYPERLINK("https://my.pitchbook.com?c=95991-13T","View Company Online")</f>
        <v>View Company Online</v>
      </c>
    </row>
    <row r="8297" spans="1:18" hidden="1" x14ac:dyDescent="0.3">
      <c r="A8297" s="15" t="s">
        <v>24091</v>
      </c>
      <c r="B8297" s="15" t="s">
        <v>24092</v>
      </c>
      <c r="C8297" s="18" t="s">
        <v>28</v>
      </c>
      <c r="D8297" s="15" t="s">
        <v>24093</v>
      </c>
      <c r="E8297" s="18" t="s">
        <v>28</v>
      </c>
      <c r="F8297" s="19" t="s">
        <v>28</v>
      </c>
      <c r="G8297" s="19" t="s">
        <v>28</v>
      </c>
      <c r="H8297" s="19" t="s">
        <v>28</v>
      </c>
      <c r="I8297" s="18" t="s">
        <v>28</v>
      </c>
      <c r="J8297" s="18" t="s">
        <v>28</v>
      </c>
      <c r="K8297" s="18" t="s">
        <v>28</v>
      </c>
      <c r="L8297" s="18" t="s">
        <v>28</v>
      </c>
      <c r="M8297" s="18" t="s">
        <v>28</v>
      </c>
      <c r="N8297" s="17">
        <v>43026</v>
      </c>
      <c r="O8297" s="15" t="s">
        <v>30</v>
      </c>
      <c r="P8297" s="16" t="s">
        <v>28</v>
      </c>
      <c r="Q8297" s="15" t="s">
        <v>136</v>
      </c>
      <c r="R8297" s="13" t="str">
        <f>HYPERLINK("https://my.pitchbook.com?c=96660-28T","View Company Online")</f>
        <v>View Company Online</v>
      </c>
    </row>
    <row r="8298" spans="1:18" hidden="1" x14ac:dyDescent="0.3">
      <c r="A8298" s="9" t="s">
        <v>24094</v>
      </c>
      <c r="B8298" s="9" t="s">
        <v>24095</v>
      </c>
      <c r="C8298" s="11" t="s">
        <v>28</v>
      </c>
      <c r="D8298" s="9" t="s">
        <v>24096</v>
      </c>
      <c r="E8298" s="11" t="s">
        <v>28</v>
      </c>
      <c r="F8298" s="10" t="s">
        <v>28</v>
      </c>
      <c r="G8298" s="10" t="s">
        <v>28</v>
      </c>
      <c r="H8298" s="10" t="s">
        <v>28</v>
      </c>
      <c r="I8298" s="11" t="s">
        <v>28</v>
      </c>
      <c r="J8298" s="11" t="s">
        <v>28</v>
      </c>
      <c r="K8298" s="11" t="s">
        <v>28</v>
      </c>
      <c r="L8298" s="11" t="s">
        <v>28</v>
      </c>
      <c r="M8298" s="11" t="s">
        <v>28</v>
      </c>
      <c r="N8298" s="8">
        <v>43026</v>
      </c>
      <c r="O8298" s="9" t="s">
        <v>52</v>
      </c>
      <c r="P8298" s="12" t="s">
        <v>7022</v>
      </c>
      <c r="Q8298" s="9" t="s">
        <v>3912</v>
      </c>
      <c r="R8298" s="14" t="str">
        <f>HYPERLINK("https://my.pitchbook.com?c=123142-78T","View Company Online")</f>
        <v>View Company Online</v>
      </c>
    </row>
    <row r="8299" spans="1:18" hidden="1" x14ac:dyDescent="0.3">
      <c r="A8299" s="15" t="s">
        <v>24097</v>
      </c>
      <c r="B8299" s="15" t="s">
        <v>24098</v>
      </c>
      <c r="C8299" s="18" t="s">
        <v>28</v>
      </c>
      <c r="D8299" s="15" t="s">
        <v>24099</v>
      </c>
      <c r="E8299" s="18" t="s">
        <v>28</v>
      </c>
      <c r="F8299" s="19" t="s">
        <v>28</v>
      </c>
      <c r="G8299" s="19" t="s">
        <v>28</v>
      </c>
      <c r="H8299" s="19" t="s">
        <v>28</v>
      </c>
      <c r="I8299" s="18" t="s">
        <v>28</v>
      </c>
      <c r="J8299" s="18" t="s">
        <v>28</v>
      </c>
      <c r="K8299" s="18" t="s">
        <v>28</v>
      </c>
      <c r="L8299" s="18" t="s">
        <v>28</v>
      </c>
      <c r="M8299" s="18" t="s">
        <v>28</v>
      </c>
      <c r="N8299" s="17">
        <v>43025</v>
      </c>
      <c r="O8299" s="15" t="s">
        <v>73</v>
      </c>
      <c r="P8299" s="16" t="s">
        <v>24100</v>
      </c>
      <c r="Q8299" s="15" t="s">
        <v>245</v>
      </c>
      <c r="R8299" s="13" t="str">
        <f>HYPERLINK("https://my.pitchbook.com?c=216061-12T","View Company Online")</f>
        <v>View Company Online</v>
      </c>
    </row>
    <row r="8300" spans="1:18" hidden="1" x14ac:dyDescent="0.3">
      <c r="A8300" s="9" t="s">
        <v>24101</v>
      </c>
      <c r="B8300" s="9" t="s">
        <v>24102</v>
      </c>
      <c r="C8300" s="11" t="s">
        <v>28</v>
      </c>
      <c r="D8300" s="9" t="s">
        <v>24103</v>
      </c>
      <c r="E8300" s="11" t="s">
        <v>28</v>
      </c>
      <c r="F8300" s="10" t="s">
        <v>28</v>
      </c>
      <c r="G8300" s="10" t="s">
        <v>28</v>
      </c>
      <c r="H8300" s="10" t="s">
        <v>28</v>
      </c>
      <c r="I8300" s="11" t="s">
        <v>28</v>
      </c>
      <c r="J8300" s="11" t="s">
        <v>28</v>
      </c>
      <c r="K8300" s="11" t="s">
        <v>28</v>
      </c>
      <c r="L8300" s="11" t="s">
        <v>28</v>
      </c>
      <c r="M8300" s="11" t="s">
        <v>28</v>
      </c>
      <c r="N8300" s="8">
        <v>43024</v>
      </c>
      <c r="O8300" s="9" t="s">
        <v>173</v>
      </c>
      <c r="P8300" s="12" t="s">
        <v>28</v>
      </c>
      <c r="Q8300" s="9" t="s">
        <v>174</v>
      </c>
      <c r="R8300" s="14" t="str">
        <f>HYPERLINK("https://my.pitchbook.com?c=224070-31T","View Company Online")</f>
        <v>View Company Online</v>
      </c>
    </row>
    <row r="8301" spans="1:18" hidden="1" x14ac:dyDescent="0.3">
      <c r="A8301" s="15" t="s">
        <v>24104</v>
      </c>
      <c r="B8301" s="15" t="s">
        <v>21843</v>
      </c>
      <c r="C8301" s="18" t="s">
        <v>28</v>
      </c>
      <c r="D8301" s="15" t="s">
        <v>21844</v>
      </c>
      <c r="E8301" s="18" t="s">
        <v>28</v>
      </c>
      <c r="F8301" s="19" t="s">
        <v>28</v>
      </c>
      <c r="G8301" s="19" t="s">
        <v>28</v>
      </c>
      <c r="H8301" s="19" t="s">
        <v>28</v>
      </c>
      <c r="I8301" s="18" t="s">
        <v>28</v>
      </c>
      <c r="J8301" s="18" t="s">
        <v>28</v>
      </c>
      <c r="K8301" s="18" t="s">
        <v>28</v>
      </c>
      <c r="L8301" s="18" t="s">
        <v>28</v>
      </c>
      <c r="M8301" s="18" t="s">
        <v>28</v>
      </c>
      <c r="N8301" s="17">
        <v>43021</v>
      </c>
      <c r="O8301" s="15" t="s">
        <v>52</v>
      </c>
      <c r="P8301" s="16" t="s">
        <v>4589</v>
      </c>
      <c r="Q8301" s="15" t="s">
        <v>75</v>
      </c>
      <c r="R8301" s="13" t="str">
        <f>HYPERLINK("https://my.pitchbook.com?c=256167-46T","View Company Online")</f>
        <v>View Company Online</v>
      </c>
    </row>
    <row r="8302" spans="1:18" hidden="1" x14ac:dyDescent="0.3">
      <c r="A8302" s="9" t="s">
        <v>24105</v>
      </c>
      <c r="B8302" s="9" t="s">
        <v>24106</v>
      </c>
      <c r="C8302" s="11" t="s">
        <v>28</v>
      </c>
      <c r="D8302" s="9" t="s">
        <v>24107</v>
      </c>
      <c r="E8302" s="11" t="s">
        <v>28</v>
      </c>
      <c r="F8302" s="10" t="s">
        <v>28</v>
      </c>
      <c r="G8302" s="10">
        <v>0.05</v>
      </c>
      <c r="H8302" s="10">
        <v>0.48</v>
      </c>
      <c r="I8302" s="11" t="s">
        <v>28</v>
      </c>
      <c r="J8302" s="11" t="s">
        <v>28</v>
      </c>
      <c r="K8302" s="11" t="s">
        <v>28</v>
      </c>
      <c r="L8302" s="11" t="s">
        <v>28</v>
      </c>
      <c r="M8302" s="11" t="s">
        <v>28</v>
      </c>
      <c r="N8302" s="8">
        <v>43019</v>
      </c>
      <c r="O8302" s="9" t="s">
        <v>52</v>
      </c>
      <c r="P8302" s="12" t="s">
        <v>24108</v>
      </c>
      <c r="Q8302" s="9" t="s">
        <v>386</v>
      </c>
      <c r="R8302" s="14" t="str">
        <f>HYPERLINK("https://my.pitchbook.com?c=100661-77T","View Company Online")</f>
        <v>View Company Online</v>
      </c>
    </row>
    <row r="8303" spans="1:18" hidden="1" x14ac:dyDescent="0.3">
      <c r="A8303" s="15" t="s">
        <v>24109</v>
      </c>
      <c r="B8303" s="15" t="s">
        <v>24110</v>
      </c>
      <c r="C8303" s="18" t="s">
        <v>28</v>
      </c>
      <c r="D8303" s="15" t="s">
        <v>24111</v>
      </c>
      <c r="E8303" s="18" t="s">
        <v>28</v>
      </c>
      <c r="F8303" s="19" t="s">
        <v>28</v>
      </c>
      <c r="G8303" s="19" t="s">
        <v>28</v>
      </c>
      <c r="H8303" s="19" t="s">
        <v>28</v>
      </c>
      <c r="I8303" s="18" t="s">
        <v>28</v>
      </c>
      <c r="J8303" s="18" t="s">
        <v>28</v>
      </c>
      <c r="K8303" s="18">
        <v>93.86</v>
      </c>
      <c r="L8303" s="18" t="s">
        <v>28</v>
      </c>
      <c r="M8303" s="18" t="s">
        <v>28</v>
      </c>
      <c r="N8303" s="17">
        <v>43019</v>
      </c>
      <c r="O8303" s="15" t="s">
        <v>93</v>
      </c>
      <c r="P8303" s="16" t="s">
        <v>24112</v>
      </c>
      <c r="Q8303" s="15" t="s">
        <v>16253</v>
      </c>
      <c r="R8303" s="13" t="str">
        <f>HYPERLINK("https://my.pitchbook.com?c=121068-73T","View Company Online")</f>
        <v>View Company Online</v>
      </c>
    </row>
    <row r="8304" spans="1:18" hidden="1" x14ac:dyDescent="0.3">
      <c r="A8304" s="9" t="s">
        <v>24113</v>
      </c>
      <c r="B8304" s="9" t="s">
        <v>24114</v>
      </c>
      <c r="C8304" s="11" t="s">
        <v>28</v>
      </c>
      <c r="D8304" s="9" t="s">
        <v>24115</v>
      </c>
      <c r="E8304" s="11" t="s">
        <v>28</v>
      </c>
      <c r="F8304" s="10" t="s">
        <v>28</v>
      </c>
      <c r="G8304" s="10" t="s">
        <v>28</v>
      </c>
      <c r="H8304" s="10" t="s">
        <v>28</v>
      </c>
      <c r="I8304" s="11" t="s">
        <v>28</v>
      </c>
      <c r="J8304" s="11" t="s">
        <v>28</v>
      </c>
      <c r="K8304" s="11" t="s">
        <v>28</v>
      </c>
      <c r="L8304" s="11" t="s">
        <v>28</v>
      </c>
      <c r="M8304" s="11" t="s">
        <v>28</v>
      </c>
      <c r="N8304" s="8">
        <v>43019</v>
      </c>
      <c r="O8304" s="9" t="s">
        <v>41</v>
      </c>
      <c r="P8304" s="12" t="s">
        <v>24116</v>
      </c>
      <c r="Q8304" s="9" t="s">
        <v>1051</v>
      </c>
      <c r="R8304" s="14" t="str">
        <f>HYPERLINK("https://my.pitchbook.com?c=97753-60T","View Company Online")</f>
        <v>View Company Online</v>
      </c>
    </row>
    <row r="8305" spans="1:18" hidden="1" x14ac:dyDescent="0.3">
      <c r="A8305" s="15" t="s">
        <v>24117</v>
      </c>
      <c r="B8305" s="15" t="s">
        <v>22933</v>
      </c>
      <c r="C8305" s="18" t="s">
        <v>28</v>
      </c>
      <c r="D8305" s="15" t="s">
        <v>22934</v>
      </c>
      <c r="E8305" s="18" t="s">
        <v>28</v>
      </c>
      <c r="F8305" s="19" t="s">
        <v>28</v>
      </c>
      <c r="G8305" s="19" t="s">
        <v>28</v>
      </c>
      <c r="H8305" s="19" t="s">
        <v>28</v>
      </c>
      <c r="I8305" s="18" t="s">
        <v>28</v>
      </c>
      <c r="J8305" s="18" t="s">
        <v>28</v>
      </c>
      <c r="K8305" s="18" t="s">
        <v>28</v>
      </c>
      <c r="L8305" s="18" t="s">
        <v>28</v>
      </c>
      <c r="M8305" s="18" t="s">
        <v>28</v>
      </c>
      <c r="N8305" s="17">
        <v>43019</v>
      </c>
      <c r="O8305" s="15" t="s">
        <v>52</v>
      </c>
      <c r="P8305" s="16" t="s">
        <v>28</v>
      </c>
      <c r="Q8305" s="15" t="s">
        <v>75</v>
      </c>
      <c r="R8305" s="13" t="str">
        <f>HYPERLINK("https://my.pitchbook.com?c=125340-58T","View Company Online")</f>
        <v>View Company Online</v>
      </c>
    </row>
    <row r="8306" spans="1:18" hidden="1" x14ac:dyDescent="0.3">
      <c r="A8306" s="9" t="s">
        <v>24118</v>
      </c>
      <c r="B8306" s="9" t="s">
        <v>4222</v>
      </c>
      <c r="C8306" s="11" t="s">
        <v>28</v>
      </c>
      <c r="D8306" s="9" t="s">
        <v>4223</v>
      </c>
      <c r="E8306" s="11" t="s">
        <v>28</v>
      </c>
      <c r="F8306" s="10" t="s">
        <v>28</v>
      </c>
      <c r="G8306" s="10" t="s">
        <v>28</v>
      </c>
      <c r="H8306" s="10" t="s">
        <v>28</v>
      </c>
      <c r="I8306" s="11" t="s">
        <v>28</v>
      </c>
      <c r="J8306" s="11" t="s">
        <v>28</v>
      </c>
      <c r="K8306" s="11" t="s">
        <v>28</v>
      </c>
      <c r="L8306" s="11" t="s">
        <v>28</v>
      </c>
      <c r="M8306" s="11" t="s">
        <v>28</v>
      </c>
      <c r="N8306" s="8">
        <v>43018</v>
      </c>
      <c r="O8306" s="9" t="s">
        <v>73</v>
      </c>
      <c r="P8306" s="12" t="s">
        <v>24119</v>
      </c>
      <c r="Q8306" s="9" t="s">
        <v>75</v>
      </c>
      <c r="R8306" s="14" t="str">
        <f>HYPERLINK("https://my.pitchbook.com?c=109996-84T","View Company Online")</f>
        <v>View Company Online</v>
      </c>
    </row>
    <row r="8307" spans="1:18" hidden="1" x14ac:dyDescent="0.3">
      <c r="A8307" s="15" t="s">
        <v>24120</v>
      </c>
      <c r="B8307" s="15" t="s">
        <v>24121</v>
      </c>
      <c r="C8307" s="18" t="s">
        <v>28</v>
      </c>
      <c r="D8307" s="15" t="s">
        <v>24122</v>
      </c>
      <c r="E8307" s="18">
        <v>-4.8600000000000003</v>
      </c>
      <c r="F8307" s="19" t="s">
        <v>28</v>
      </c>
      <c r="G8307" s="19" t="s">
        <v>28</v>
      </c>
      <c r="H8307" s="19" t="s">
        <v>28</v>
      </c>
      <c r="I8307" s="18">
        <v>-4.8600000000000003</v>
      </c>
      <c r="J8307" s="18" t="s">
        <v>28</v>
      </c>
      <c r="K8307" s="18">
        <v>1.66</v>
      </c>
      <c r="L8307" s="18" t="s">
        <v>28</v>
      </c>
      <c r="M8307" s="18">
        <v>-5.05</v>
      </c>
      <c r="N8307" s="17">
        <v>43014</v>
      </c>
      <c r="O8307" s="15" t="s">
        <v>173</v>
      </c>
      <c r="P8307" s="16" t="s">
        <v>28</v>
      </c>
      <c r="Q8307" s="15" t="s">
        <v>114</v>
      </c>
      <c r="R8307" s="13" t="str">
        <f>HYPERLINK("https://my.pitchbook.com?c=224152-03T","View Company Online")</f>
        <v>View Company Online</v>
      </c>
    </row>
    <row r="8308" spans="1:18" hidden="1" x14ac:dyDescent="0.3">
      <c r="A8308" s="9" t="s">
        <v>24123</v>
      </c>
      <c r="B8308" s="9" t="s">
        <v>24124</v>
      </c>
      <c r="C8308" s="11" t="s">
        <v>28</v>
      </c>
      <c r="D8308" s="9" t="s">
        <v>24125</v>
      </c>
      <c r="E8308" s="11">
        <v>0.02</v>
      </c>
      <c r="F8308" s="10" t="s">
        <v>28</v>
      </c>
      <c r="G8308" s="10" t="s">
        <v>28</v>
      </c>
      <c r="H8308" s="10" t="s">
        <v>28</v>
      </c>
      <c r="I8308" s="11">
        <v>0.02</v>
      </c>
      <c r="J8308" s="11" t="s">
        <v>28</v>
      </c>
      <c r="K8308" s="11">
        <v>0.03</v>
      </c>
      <c r="L8308" s="11" t="s">
        <v>28</v>
      </c>
      <c r="M8308" s="11">
        <v>0.02</v>
      </c>
      <c r="N8308" s="8">
        <v>43014</v>
      </c>
      <c r="O8308" s="9" t="s">
        <v>173</v>
      </c>
      <c r="P8308" s="12" t="s">
        <v>28</v>
      </c>
      <c r="Q8308" s="9" t="s">
        <v>174</v>
      </c>
      <c r="R8308" s="14" t="str">
        <f>HYPERLINK("https://my.pitchbook.com?c=224325-82T","View Company Online")</f>
        <v>View Company Online</v>
      </c>
    </row>
    <row r="8309" spans="1:18" hidden="1" x14ac:dyDescent="0.3">
      <c r="A8309" s="15" t="s">
        <v>24126</v>
      </c>
      <c r="B8309" s="15" t="s">
        <v>24127</v>
      </c>
      <c r="C8309" s="18" t="s">
        <v>28</v>
      </c>
      <c r="D8309" s="15" t="s">
        <v>24128</v>
      </c>
      <c r="E8309" s="18">
        <v>-3.69</v>
      </c>
      <c r="F8309" s="19" t="s">
        <v>28</v>
      </c>
      <c r="G8309" s="19" t="s">
        <v>28</v>
      </c>
      <c r="H8309" s="19" t="s">
        <v>28</v>
      </c>
      <c r="I8309" s="18">
        <v>-3.69</v>
      </c>
      <c r="J8309" s="18" t="s">
        <v>28</v>
      </c>
      <c r="K8309" s="18">
        <v>0.2</v>
      </c>
      <c r="L8309" s="18" t="s">
        <v>28</v>
      </c>
      <c r="M8309" s="18">
        <v>-3.69</v>
      </c>
      <c r="N8309" s="17">
        <v>43014</v>
      </c>
      <c r="O8309" s="15" t="s">
        <v>173</v>
      </c>
      <c r="P8309" s="16" t="s">
        <v>28</v>
      </c>
      <c r="Q8309" s="15" t="s">
        <v>174</v>
      </c>
      <c r="R8309" s="13" t="str">
        <f>HYPERLINK("https://my.pitchbook.com?c=225330-58T","View Company Online")</f>
        <v>View Company Online</v>
      </c>
    </row>
    <row r="8310" spans="1:18" hidden="1" x14ac:dyDescent="0.3">
      <c r="A8310" s="9" t="s">
        <v>24129</v>
      </c>
      <c r="B8310" s="9" t="s">
        <v>24130</v>
      </c>
      <c r="C8310" s="11" t="s">
        <v>28</v>
      </c>
      <c r="D8310" s="9" t="s">
        <v>24131</v>
      </c>
      <c r="E8310" s="11">
        <v>16.829999999999998</v>
      </c>
      <c r="F8310" s="10" t="s">
        <v>28</v>
      </c>
      <c r="G8310" s="10" t="s">
        <v>28</v>
      </c>
      <c r="H8310" s="10" t="s">
        <v>28</v>
      </c>
      <c r="I8310" s="11" t="s">
        <v>28</v>
      </c>
      <c r="J8310" s="11" t="s">
        <v>28</v>
      </c>
      <c r="K8310" s="11">
        <v>276.95999999999998</v>
      </c>
      <c r="L8310" s="11" t="s">
        <v>28</v>
      </c>
      <c r="M8310" s="11">
        <v>7.1</v>
      </c>
      <c r="N8310" s="8">
        <v>43014</v>
      </c>
      <c r="O8310" s="9" t="s">
        <v>93</v>
      </c>
      <c r="P8310" s="12" t="s">
        <v>1612</v>
      </c>
      <c r="Q8310" s="9" t="s">
        <v>409</v>
      </c>
      <c r="R8310" s="14" t="str">
        <f>HYPERLINK("https://my.pitchbook.com?c=114198-13T","View Company Online")</f>
        <v>View Company Online</v>
      </c>
    </row>
    <row r="8311" spans="1:18" hidden="1" x14ac:dyDescent="0.3">
      <c r="A8311" s="15" t="s">
        <v>24132</v>
      </c>
      <c r="B8311" s="15" t="s">
        <v>24133</v>
      </c>
      <c r="C8311" s="18" t="s">
        <v>28</v>
      </c>
      <c r="D8311" s="15" t="s">
        <v>24134</v>
      </c>
      <c r="E8311" s="18" t="s">
        <v>28</v>
      </c>
      <c r="F8311" s="19">
        <v>9.08</v>
      </c>
      <c r="G8311" s="19">
        <v>9.08</v>
      </c>
      <c r="H8311" s="19">
        <v>9.08</v>
      </c>
      <c r="I8311" s="18" t="s">
        <v>28</v>
      </c>
      <c r="J8311" s="18" t="s">
        <v>28</v>
      </c>
      <c r="K8311" s="18" t="s">
        <v>28</v>
      </c>
      <c r="L8311" s="18" t="s">
        <v>28</v>
      </c>
      <c r="M8311" s="18" t="s">
        <v>28</v>
      </c>
      <c r="N8311" s="17">
        <v>43013</v>
      </c>
      <c r="O8311" s="15" t="s">
        <v>30</v>
      </c>
      <c r="P8311" s="16" t="s">
        <v>24135</v>
      </c>
      <c r="Q8311" s="15" t="s">
        <v>24136</v>
      </c>
      <c r="R8311" s="13" t="str">
        <f>HYPERLINK("https://my.pitchbook.com?c=95682-07T","View Company Online")</f>
        <v>View Company Online</v>
      </c>
    </row>
    <row r="8312" spans="1:18" hidden="1" x14ac:dyDescent="0.3">
      <c r="A8312" s="9" t="s">
        <v>24137</v>
      </c>
      <c r="B8312" s="9" t="s">
        <v>24138</v>
      </c>
      <c r="C8312" s="11" t="s">
        <v>28</v>
      </c>
      <c r="D8312" s="9" t="s">
        <v>24139</v>
      </c>
      <c r="E8312" s="11" t="s">
        <v>28</v>
      </c>
      <c r="F8312" s="10" t="s">
        <v>28</v>
      </c>
      <c r="G8312" s="10" t="s">
        <v>28</v>
      </c>
      <c r="H8312" s="10" t="s">
        <v>28</v>
      </c>
      <c r="I8312" s="11" t="s">
        <v>28</v>
      </c>
      <c r="J8312" s="11" t="s">
        <v>28</v>
      </c>
      <c r="K8312" s="11" t="s">
        <v>28</v>
      </c>
      <c r="L8312" s="11" t="s">
        <v>28</v>
      </c>
      <c r="M8312" s="11" t="s">
        <v>28</v>
      </c>
      <c r="N8312" s="8">
        <v>43013</v>
      </c>
      <c r="O8312" s="9" t="s">
        <v>41</v>
      </c>
      <c r="P8312" s="12" t="s">
        <v>24140</v>
      </c>
      <c r="Q8312" s="9" t="s">
        <v>1361</v>
      </c>
      <c r="R8312" s="14" t="str">
        <f>HYPERLINK("https://my.pitchbook.com?c=97289-83T","View Company Online")</f>
        <v>View Company Online</v>
      </c>
    </row>
    <row r="8313" spans="1:18" hidden="1" x14ac:dyDescent="0.3">
      <c r="A8313" s="15" t="s">
        <v>24141</v>
      </c>
      <c r="B8313" s="15" t="s">
        <v>24142</v>
      </c>
      <c r="C8313" s="18" t="s">
        <v>28</v>
      </c>
      <c r="D8313" s="15" t="s">
        <v>24143</v>
      </c>
      <c r="E8313" s="18" t="s">
        <v>28</v>
      </c>
      <c r="F8313" s="19" t="s">
        <v>28</v>
      </c>
      <c r="G8313" s="19" t="s">
        <v>28</v>
      </c>
      <c r="H8313" s="19" t="s">
        <v>28</v>
      </c>
      <c r="I8313" s="18" t="s">
        <v>28</v>
      </c>
      <c r="J8313" s="18" t="s">
        <v>28</v>
      </c>
      <c r="K8313" s="18" t="s">
        <v>28</v>
      </c>
      <c r="L8313" s="18" t="s">
        <v>28</v>
      </c>
      <c r="M8313" s="18" t="s">
        <v>28</v>
      </c>
      <c r="N8313" s="17">
        <v>43012</v>
      </c>
      <c r="O8313" s="15" t="s">
        <v>30</v>
      </c>
      <c r="P8313" s="16" t="s">
        <v>24144</v>
      </c>
      <c r="Q8313" s="15" t="s">
        <v>19850</v>
      </c>
      <c r="R8313" s="13" t="str">
        <f>HYPERLINK("https://my.pitchbook.com?c=91992-52T","View Company Online")</f>
        <v>View Company Online</v>
      </c>
    </row>
    <row r="8314" spans="1:18" hidden="1" x14ac:dyDescent="0.3">
      <c r="A8314" s="9" t="s">
        <v>24145</v>
      </c>
      <c r="B8314" s="9" t="s">
        <v>24146</v>
      </c>
      <c r="C8314" s="11" t="s">
        <v>28</v>
      </c>
      <c r="D8314" s="9" t="s">
        <v>24147</v>
      </c>
      <c r="E8314" s="11" t="s">
        <v>28</v>
      </c>
      <c r="F8314" s="10" t="s">
        <v>28</v>
      </c>
      <c r="G8314" s="10" t="s">
        <v>28</v>
      </c>
      <c r="H8314" s="10" t="s">
        <v>28</v>
      </c>
      <c r="I8314" s="11" t="s">
        <v>28</v>
      </c>
      <c r="J8314" s="11" t="s">
        <v>28</v>
      </c>
      <c r="K8314" s="11" t="s">
        <v>28</v>
      </c>
      <c r="L8314" s="11" t="s">
        <v>28</v>
      </c>
      <c r="M8314" s="11" t="s">
        <v>28</v>
      </c>
      <c r="N8314" s="8">
        <v>43012</v>
      </c>
      <c r="O8314" s="9" t="s">
        <v>379</v>
      </c>
      <c r="P8314" s="12" t="s">
        <v>7110</v>
      </c>
      <c r="Q8314" s="9" t="s">
        <v>5347</v>
      </c>
      <c r="R8314" s="14" t="str">
        <f>HYPERLINK("https://my.pitchbook.com?c=128712-07T","View Company Online")</f>
        <v>View Company Online</v>
      </c>
    </row>
    <row r="8315" spans="1:18" hidden="1" x14ac:dyDescent="0.3">
      <c r="A8315" s="15" t="s">
        <v>24148</v>
      </c>
      <c r="B8315" s="15" t="s">
        <v>24149</v>
      </c>
      <c r="C8315" s="18" t="s">
        <v>28</v>
      </c>
      <c r="D8315" s="15" t="s">
        <v>24150</v>
      </c>
      <c r="E8315" s="18" t="s">
        <v>28</v>
      </c>
      <c r="F8315" s="19" t="s">
        <v>28</v>
      </c>
      <c r="G8315" s="19">
        <v>0.32</v>
      </c>
      <c r="H8315" s="19" t="s">
        <v>28</v>
      </c>
      <c r="I8315" s="18" t="s">
        <v>28</v>
      </c>
      <c r="J8315" s="18" t="s">
        <v>28</v>
      </c>
      <c r="K8315" s="18" t="s">
        <v>28</v>
      </c>
      <c r="L8315" s="18" t="s">
        <v>28</v>
      </c>
      <c r="M8315" s="18" t="s">
        <v>28</v>
      </c>
      <c r="N8315" s="17">
        <v>43012</v>
      </c>
      <c r="O8315" s="15" t="s">
        <v>99</v>
      </c>
      <c r="P8315" s="16" t="s">
        <v>3734</v>
      </c>
      <c r="Q8315" s="15" t="s">
        <v>249</v>
      </c>
      <c r="R8315" s="13" t="str">
        <f>HYPERLINK("https://my.pitchbook.com?c=130862-26T","View Company Online")</f>
        <v>View Company Online</v>
      </c>
    </row>
    <row r="8316" spans="1:18" hidden="1" x14ac:dyDescent="0.3">
      <c r="A8316" s="9" t="s">
        <v>24151</v>
      </c>
      <c r="B8316" s="9" t="s">
        <v>24152</v>
      </c>
      <c r="C8316" s="11" t="s">
        <v>28</v>
      </c>
      <c r="D8316" s="9" t="s">
        <v>24153</v>
      </c>
      <c r="E8316" s="11" t="s">
        <v>28</v>
      </c>
      <c r="F8316" s="10" t="s">
        <v>28</v>
      </c>
      <c r="G8316" s="10" t="s">
        <v>28</v>
      </c>
      <c r="H8316" s="10" t="s">
        <v>28</v>
      </c>
      <c r="I8316" s="11" t="s">
        <v>28</v>
      </c>
      <c r="J8316" s="11" t="s">
        <v>28</v>
      </c>
      <c r="K8316" s="11" t="s">
        <v>28</v>
      </c>
      <c r="L8316" s="11" t="s">
        <v>28</v>
      </c>
      <c r="M8316" s="11" t="s">
        <v>28</v>
      </c>
      <c r="N8316" s="8">
        <v>43011</v>
      </c>
      <c r="O8316" s="9" t="s">
        <v>30</v>
      </c>
      <c r="P8316" s="12" t="s">
        <v>28</v>
      </c>
      <c r="Q8316" s="9" t="s">
        <v>362</v>
      </c>
      <c r="R8316" s="14" t="str">
        <f>HYPERLINK("https://my.pitchbook.com?c=95239-90T","View Company Online")</f>
        <v>View Company Online</v>
      </c>
    </row>
    <row r="8317" spans="1:18" hidden="1" x14ac:dyDescent="0.3">
      <c r="A8317" s="15" t="s">
        <v>24154</v>
      </c>
      <c r="B8317" s="15" t="s">
        <v>4013</v>
      </c>
      <c r="C8317" s="18" t="s">
        <v>28</v>
      </c>
      <c r="D8317" s="15" t="s">
        <v>4014</v>
      </c>
      <c r="E8317" s="18" t="s">
        <v>28</v>
      </c>
      <c r="F8317" s="19" t="s">
        <v>28</v>
      </c>
      <c r="G8317" s="19" t="s">
        <v>28</v>
      </c>
      <c r="H8317" s="19" t="s">
        <v>28</v>
      </c>
      <c r="I8317" s="18" t="s">
        <v>28</v>
      </c>
      <c r="J8317" s="18" t="s">
        <v>28</v>
      </c>
      <c r="K8317" s="18" t="s">
        <v>28</v>
      </c>
      <c r="L8317" s="18" t="s">
        <v>28</v>
      </c>
      <c r="M8317" s="18" t="s">
        <v>28</v>
      </c>
      <c r="N8317" s="17">
        <v>43009</v>
      </c>
      <c r="O8317" s="15" t="s">
        <v>73</v>
      </c>
      <c r="P8317" s="16" t="s">
        <v>611</v>
      </c>
      <c r="Q8317" s="15" t="s">
        <v>75</v>
      </c>
      <c r="R8317" s="13" t="str">
        <f>HYPERLINK("https://my.pitchbook.com?c=196166-44T","View Company Online")</f>
        <v>View Company Online</v>
      </c>
    </row>
    <row r="8318" spans="1:18" hidden="1" x14ac:dyDescent="0.3">
      <c r="A8318" s="9" t="s">
        <v>24155</v>
      </c>
      <c r="B8318" s="9" t="s">
        <v>13145</v>
      </c>
      <c r="C8318" s="11" t="s">
        <v>28</v>
      </c>
      <c r="D8318" s="9" t="s">
        <v>13146</v>
      </c>
      <c r="E8318" s="11" t="s">
        <v>28</v>
      </c>
      <c r="F8318" s="10" t="s">
        <v>28</v>
      </c>
      <c r="G8318" s="10">
        <v>0.35</v>
      </c>
      <c r="H8318" s="10" t="s">
        <v>28</v>
      </c>
      <c r="I8318" s="11" t="s">
        <v>28</v>
      </c>
      <c r="J8318" s="11" t="s">
        <v>28</v>
      </c>
      <c r="K8318" s="11" t="s">
        <v>28</v>
      </c>
      <c r="L8318" s="11" t="s">
        <v>28</v>
      </c>
      <c r="M8318" s="11" t="s">
        <v>28</v>
      </c>
      <c r="N8318" s="8">
        <v>43009</v>
      </c>
      <c r="O8318" s="9" t="s">
        <v>73</v>
      </c>
      <c r="P8318" s="12" t="s">
        <v>19147</v>
      </c>
      <c r="Q8318" s="9" t="s">
        <v>855</v>
      </c>
      <c r="R8318" s="14" t="str">
        <f>HYPERLINK("https://my.pitchbook.com?c=216055-27T","View Company Online")</f>
        <v>View Company Online</v>
      </c>
    </row>
    <row r="8319" spans="1:18" hidden="1" x14ac:dyDescent="0.3">
      <c r="A8319" s="15" t="s">
        <v>24156</v>
      </c>
      <c r="B8319" s="15" t="s">
        <v>24157</v>
      </c>
      <c r="C8319" s="18" t="s">
        <v>28</v>
      </c>
      <c r="D8319" s="15" t="s">
        <v>24158</v>
      </c>
      <c r="E8319" s="18" t="s">
        <v>28</v>
      </c>
      <c r="F8319" s="19" t="s">
        <v>28</v>
      </c>
      <c r="G8319" s="19" t="s">
        <v>28</v>
      </c>
      <c r="H8319" s="19" t="s">
        <v>28</v>
      </c>
      <c r="I8319" s="18" t="s">
        <v>28</v>
      </c>
      <c r="J8319" s="18" t="s">
        <v>28</v>
      </c>
      <c r="K8319" s="18" t="s">
        <v>28</v>
      </c>
      <c r="L8319" s="18" t="s">
        <v>28</v>
      </c>
      <c r="M8319" s="18" t="s">
        <v>28</v>
      </c>
      <c r="N8319" s="17">
        <v>43009</v>
      </c>
      <c r="O8319" s="15" t="s">
        <v>30</v>
      </c>
      <c r="P8319" s="16" t="s">
        <v>14313</v>
      </c>
      <c r="Q8319" s="15" t="s">
        <v>37</v>
      </c>
      <c r="R8319" s="13" t="str">
        <f>HYPERLINK("https://my.pitchbook.com?c=247046-23T","View Company Online")</f>
        <v>View Company Online</v>
      </c>
    </row>
    <row r="8320" spans="1:18" hidden="1" x14ac:dyDescent="0.3">
      <c r="A8320" s="9" t="s">
        <v>24159</v>
      </c>
      <c r="B8320" s="9" t="s">
        <v>13958</v>
      </c>
      <c r="C8320" s="11" t="s">
        <v>28</v>
      </c>
      <c r="D8320" s="9" t="s">
        <v>13959</v>
      </c>
      <c r="E8320" s="11" t="s">
        <v>28</v>
      </c>
      <c r="F8320" s="10" t="s">
        <v>28</v>
      </c>
      <c r="G8320" s="10">
        <v>0.05</v>
      </c>
      <c r="H8320" s="10">
        <v>0.48</v>
      </c>
      <c r="I8320" s="11" t="s">
        <v>28</v>
      </c>
      <c r="J8320" s="11" t="s">
        <v>28</v>
      </c>
      <c r="K8320" s="11" t="s">
        <v>28</v>
      </c>
      <c r="L8320" s="11" t="s">
        <v>28</v>
      </c>
      <c r="M8320" s="11" t="s">
        <v>28</v>
      </c>
      <c r="N8320" s="8">
        <v>43009</v>
      </c>
      <c r="O8320" s="9" t="s">
        <v>52</v>
      </c>
      <c r="P8320" s="12" t="s">
        <v>7022</v>
      </c>
      <c r="Q8320" s="9" t="s">
        <v>37</v>
      </c>
      <c r="R8320" s="14" t="str">
        <f>HYPERLINK("https://my.pitchbook.com?c=126503-92T","View Company Online")</f>
        <v>View Company Online</v>
      </c>
    </row>
    <row r="8321" spans="1:18" hidden="1" x14ac:dyDescent="0.3">
      <c r="A8321" s="15" t="s">
        <v>24160</v>
      </c>
      <c r="B8321" s="15" t="s">
        <v>20155</v>
      </c>
      <c r="C8321" s="18" t="s">
        <v>28</v>
      </c>
      <c r="D8321" s="15" t="s">
        <v>20156</v>
      </c>
      <c r="E8321" s="18" t="s">
        <v>28</v>
      </c>
      <c r="F8321" s="19" t="s">
        <v>28</v>
      </c>
      <c r="G8321" s="19">
        <v>0.01</v>
      </c>
      <c r="H8321" s="19" t="s">
        <v>28</v>
      </c>
      <c r="I8321" s="18" t="s">
        <v>28</v>
      </c>
      <c r="J8321" s="18" t="s">
        <v>28</v>
      </c>
      <c r="K8321" s="18" t="s">
        <v>28</v>
      </c>
      <c r="L8321" s="18" t="s">
        <v>28</v>
      </c>
      <c r="M8321" s="18" t="s">
        <v>28</v>
      </c>
      <c r="N8321" s="17">
        <v>43009</v>
      </c>
      <c r="O8321" s="15" t="s">
        <v>9098</v>
      </c>
      <c r="P8321" s="16" t="s">
        <v>28</v>
      </c>
      <c r="Q8321" s="15" t="s">
        <v>136</v>
      </c>
      <c r="R8321" s="13" t="str">
        <f>HYPERLINK("https://my.pitchbook.com?c=129513-61T","View Company Online")</f>
        <v>View Company Online</v>
      </c>
    </row>
    <row r="8322" spans="1:18" hidden="1" x14ac:dyDescent="0.3">
      <c r="A8322" s="9" t="s">
        <v>24161</v>
      </c>
      <c r="B8322" s="9" t="s">
        <v>18925</v>
      </c>
      <c r="C8322" s="11" t="s">
        <v>28</v>
      </c>
      <c r="D8322" s="9" t="s">
        <v>18926</v>
      </c>
      <c r="E8322" s="11" t="s">
        <v>28</v>
      </c>
      <c r="F8322" s="10" t="s">
        <v>28</v>
      </c>
      <c r="G8322" s="10" t="s">
        <v>28</v>
      </c>
      <c r="H8322" s="10" t="s">
        <v>28</v>
      </c>
      <c r="I8322" s="11" t="s">
        <v>28</v>
      </c>
      <c r="J8322" s="11" t="s">
        <v>28</v>
      </c>
      <c r="K8322" s="11" t="s">
        <v>28</v>
      </c>
      <c r="L8322" s="11" t="s">
        <v>28</v>
      </c>
      <c r="M8322" s="11" t="s">
        <v>28</v>
      </c>
      <c r="N8322" s="8">
        <v>43009</v>
      </c>
      <c r="O8322" s="9" t="s">
        <v>52</v>
      </c>
      <c r="P8322" s="12" t="s">
        <v>7022</v>
      </c>
      <c r="Q8322" s="9" t="s">
        <v>37</v>
      </c>
      <c r="R8322" s="14" t="str">
        <f>HYPERLINK("https://my.pitchbook.com?c=126505-36T","View Company Online")</f>
        <v>View Company Online</v>
      </c>
    </row>
    <row r="8323" spans="1:18" hidden="1" x14ac:dyDescent="0.3">
      <c r="A8323" s="15" t="s">
        <v>24162</v>
      </c>
      <c r="B8323" s="15" t="s">
        <v>21846</v>
      </c>
      <c r="C8323" s="18" t="s">
        <v>28</v>
      </c>
      <c r="D8323" s="15" t="s">
        <v>21847</v>
      </c>
      <c r="E8323" s="18" t="s">
        <v>28</v>
      </c>
      <c r="F8323" s="19" t="s">
        <v>28</v>
      </c>
      <c r="G8323" s="19" t="s">
        <v>28</v>
      </c>
      <c r="H8323" s="19" t="s">
        <v>28</v>
      </c>
      <c r="I8323" s="18" t="s">
        <v>28</v>
      </c>
      <c r="J8323" s="18" t="s">
        <v>28</v>
      </c>
      <c r="K8323" s="18" t="s">
        <v>28</v>
      </c>
      <c r="L8323" s="18" t="s">
        <v>28</v>
      </c>
      <c r="M8323" s="18" t="s">
        <v>28</v>
      </c>
      <c r="N8323" s="17">
        <v>43009</v>
      </c>
      <c r="O8323" s="15" t="s">
        <v>73</v>
      </c>
      <c r="P8323" s="16" t="s">
        <v>24163</v>
      </c>
      <c r="Q8323" s="15" t="s">
        <v>75</v>
      </c>
      <c r="R8323" s="13" t="str">
        <f>HYPERLINK("https://my.pitchbook.com?c=115638-94T","View Company Online")</f>
        <v>View Company Online</v>
      </c>
    </row>
    <row r="8324" spans="1:18" hidden="1" x14ac:dyDescent="0.3">
      <c r="A8324" s="9" t="s">
        <v>24164</v>
      </c>
      <c r="B8324" s="9" t="s">
        <v>11407</v>
      </c>
      <c r="C8324" s="11" t="s">
        <v>28</v>
      </c>
      <c r="D8324" s="9" t="s">
        <v>11408</v>
      </c>
      <c r="E8324" s="11" t="s">
        <v>28</v>
      </c>
      <c r="F8324" s="10" t="s">
        <v>28</v>
      </c>
      <c r="G8324" s="10">
        <v>0.6</v>
      </c>
      <c r="H8324" s="10">
        <v>1.59</v>
      </c>
      <c r="I8324" s="11" t="s">
        <v>28</v>
      </c>
      <c r="J8324" s="11" t="s">
        <v>28</v>
      </c>
      <c r="K8324" s="11" t="s">
        <v>28</v>
      </c>
      <c r="L8324" s="11" t="s">
        <v>28</v>
      </c>
      <c r="M8324" s="11" t="s">
        <v>28</v>
      </c>
      <c r="N8324" s="8">
        <v>43009</v>
      </c>
      <c r="O8324" s="9" t="s">
        <v>73</v>
      </c>
      <c r="P8324" s="12" t="s">
        <v>24165</v>
      </c>
      <c r="Q8324" s="9" t="s">
        <v>37</v>
      </c>
      <c r="R8324" s="14" t="str">
        <f>HYPERLINK("https://my.pitchbook.com?c=133414-93T","View Company Online")</f>
        <v>View Company Online</v>
      </c>
    </row>
    <row r="8325" spans="1:18" hidden="1" x14ac:dyDescent="0.3">
      <c r="A8325" s="15" t="s">
        <v>24166</v>
      </c>
      <c r="B8325" s="15" t="s">
        <v>15176</v>
      </c>
      <c r="C8325" s="18" t="s">
        <v>28</v>
      </c>
      <c r="D8325" s="15" t="s">
        <v>15177</v>
      </c>
      <c r="E8325" s="18" t="s">
        <v>28</v>
      </c>
      <c r="F8325" s="19" t="s">
        <v>28</v>
      </c>
      <c r="G8325" s="19">
        <v>0.8</v>
      </c>
      <c r="H8325" s="19" t="s">
        <v>28</v>
      </c>
      <c r="I8325" s="18" t="s">
        <v>28</v>
      </c>
      <c r="J8325" s="18" t="s">
        <v>28</v>
      </c>
      <c r="K8325" s="18" t="s">
        <v>28</v>
      </c>
      <c r="L8325" s="18" t="s">
        <v>28</v>
      </c>
      <c r="M8325" s="18" t="s">
        <v>28</v>
      </c>
      <c r="N8325" s="17">
        <v>43008</v>
      </c>
      <c r="O8325" s="15" t="s">
        <v>79</v>
      </c>
      <c r="P8325" s="16" t="s">
        <v>24167</v>
      </c>
      <c r="Q8325" s="15" t="s">
        <v>75</v>
      </c>
      <c r="R8325" s="13" t="str">
        <f>HYPERLINK("https://my.pitchbook.com?c=93526-66T","View Company Online")</f>
        <v>View Company Online</v>
      </c>
    </row>
    <row r="8326" spans="1:18" hidden="1" x14ac:dyDescent="0.3">
      <c r="A8326" s="9" t="s">
        <v>24168</v>
      </c>
      <c r="B8326" s="9" t="s">
        <v>24169</v>
      </c>
      <c r="C8326" s="11" t="s">
        <v>28</v>
      </c>
      <c r="D8326" s="9" t="s">
        <v>24170</v>
      </c>
      <c r="E8326" s="11" t="s">
        <v>28</v>
      </c>
      <c r="F8326" s="10" t="s">
        <v>28</v>
      </c>
      <c r="G8326" s="10" t="s">
        <v>28</v>
      </c>
      <c r="H8326" s="10" t="s">
        <v>28</v>
      </c>
      <c r="I8326" s="11" t="s">
        <v>28</v>
      </c>
      <c r="J8326" s="11" t="s">
        <v>28</v>
      </c>
      <c r="K8326" s="11" t="s">
        <v>28</v>
      </c>
      <c r="L8326" s="11" t="s">
        <v>28</v>
      </c>
      <c r="M8326" s="11" t="s">
        <v>28</v>
      </c>
      <c r="N8326" s="8">
        <v>43008</v>
      </c>
      <c r="O8326" s="9" t="s">
        <v>93</v>
      </c>
      <c r="P8326" s="12" t="s">
        <v>24171</v>
      </c>
      <c r="Q8326" s="9" t="s">
        <v>136</v>
      </c>
      <c r="R8326" s="14" t="str">
        <f>HYPERLINK("https://my.pitchbook.com?c=98745-31T","View Company Online")</f>
        <v>View Company Online</v>
      </c>
    </row>
    <row r="8327" spans="1:18" hidden="1" x14ac:dyDescent="0.3">
      <c r="A8327" s="15" t="s">
        <v>24172</v>
      </c>
      <c r="B8327" s="15" t="s">
        <v>7316</v>
      </c>
      <c r="C8327" s="18" t="s">
        <v>28</v>
      </c>
      <c r="D8327" s="15" t="s">
        <v>7317</v>
      </c>
      <c r="E8327" s="18" t="s">
        <v>28</v>
      </c>
      <c r="F8327" s="19" t="s">
        <v>28</v>
      </c>
      <c r="G8327" s="19">
        <v>0.04</v>
      </c>
      <c r="H8327" s="19" t="s">
        <v>28</v>
      </c>
      <c r="I8327" s="18" t="s">
        <v>28</v>
      </c>
      <c r="J8327" s="18" t="s">
        <v>28</v>
      </c>
      <c r="K8327" s="18" t="s">
        <v>28</v>
      </c>
      <c r="L8327" s="18" t="s">
        <v>28</v>
      </c>
      <c r="M8327" s="18" t="s">
        <v>28</v>
      </c>
      <c r="N8327" s="17">
        <v>43007</v>
      </c>
      <c r="O8327" s="15" t="s">
        <v>52</v>
      </c>
      <c r="P8327" s="16" t="s">
        <v>24173</v>
      </c>
      <c r="Q8327" s="15" t="s">
        <v>1793</v>
      </c>
      <c r="R8327" s="13" t="str">
        <f>HYPERLINK("https://my.pitchbook.com?c=241844-41T","View Company Online")</f>
        <v>View Company Online</v>
      </c>
    </row>
    <row r="8328" spans="1:18" hidden="1" x14ac:dyDescent="0.3">
      <c r="A8328" s="9" t="s">
        <v>24174</v>
      </c>
      <c r="B8328" s="9" t="s">
        <v>1444</v>
      </c>
      <c r="C8328" s="11" t="s">
        <v>28</v>
      </c>
      <c r="D8328" s="9" t="s">
        <v>1445</v>
      </c>
      <c r="E8328" s="11" t="s">
        <v>28</v>
      </c>
      <c r="F8328" s="10" t="s">
        <v>28</v>
      </c>
      <c r="G8328" s="10">
        <v>462.03</v>
      </c>
      <c r="H8328" s="10" t="s">
        <v>28</v>
      </c>
      <c r="I8328" s="11">
        <v>123.15</v>
      </c>
      <c r="J8328" s="11" t="s">
        <v>28</v>
      </c>
      <c r="K8328" s="11" t="s">
        <v>28</v>
      </c>
      <c r="L8328" s="11" t="s">
        <v>28</v>
      </c>
      <c r="M8328" s="11">
        <v>20.9</v>
      </c>
      <c r="N8328" s="8">
        <v>43007</v>
      </c>
      <c r="O8328" s="9" t="s">
        <v>173</v>
      </c>
      <c r="P8328" s="12" t="s">
        <v>28</v>
      </c>
      <c r="Q8328" s="9" t="s">
        <v>245</v>
      </c>
      <c r="R8328" s="14" t="str">
        <f>HYPERLINK("https://my.pitchbook.com?c=94366-72T","View Company Online")</f>
        <v>View Company Online</v>
      </c>
    </row>
    <row r="8329" spans="1:18" hidden="1" x14ac:dyDescent="0.3">
      <c r="A8329" s="15" t="s">
        <v>24175</v>
      </c>
      <c r="B8329" s="15" t="s">
        <v>8776</v>
      </c>
      <c r="C8329" s="18" t="s">
        <v>28</v>
      </c>
      <c r="D8329" s="15" t="s">
        <v>24176</v>
      </c>
      <c r="E8329" s="18">
        <v>131.11000000000001</v>
      </c>
      <c r="F8329" s="19" t="s">
        <v>28</v>
      </c>
      <c r="G8329" s="19">
        <v>419.94</v>
      </c>
      <c r="H8329" s="19" t="s">
        <v>28</v>
      </c>
      <c r="I8329" s="18">
        <v>157.83000000000001</v>
      </c>
      <c r="J8329" s="18" t="s">
        <v>28</v>
      </c>
      <c r="K8329" s="18">
        <v>1530.79</v>
      </c>
      <c r="L8329" s="18" t="s">
        <v>28</v>
      </c>
      <c r="M8329" s="18">
        <v>58.63</v>
      </c>
      <c r="N8329" s="17">
        <v>43006</v>
      </c>
      <c r="O8329" s="15" t="s">
        <v>173</v>
      </c>
      <c r="P8329" s="16" t="s">
        <v>28</v>
      </c>
      <c r="Q8329" s="15" t="s">
        <v>136</v>
      </c>
      <c r="R8329" s="13" t="str">
        <f>HYPERLINK("https://my.pitchbook.com?c=89270-56T","View Company Online")</f>
        <v>View Company Online</v>
      </c>
    </row>
    <row r="8330" spans="1:18" hidden="1" x14ac:dyDescent="0.3">
      <c r="A8330" s="9" t="s">
        <v>24177</v>
      </c>
      <c r="B8330" s="9" t="s">
        <v>8883</v>
      </c>
      <c r="C8330" s="11" t="s">
        <v>28</v>
      </c>
      <c r="D8330" s="9" t="s">
        <v>8884</v>
      </c>
      <c r="E8330" s="11" t="s">
        <v>28</v>
      </c>
      <c r="F8330" s="10" t="s">
        <v>28</v>
      </c>
      <c r="G8330" s="10">
        <v>1.59</v>
      </c>
      <c r="H8330" s="10" t="s">
        <v>28</v>
      </c>
      <c r="I8330" s="11" t="s">
        <v>28</v>
      </c>
      <c r="J8330" s="11" t="s">
        <v>28</v>
      </c>
      <c r="K8330" s="11" t="s">
        <v>28</v>
      </c>
      <c r="L8330" s="11" t="s">
        <v>28</v>
      </c>
      <c r="M8330" s="11" t="s">
        <v>28</v>
      </c>
      <c r="N8330" s="8">
        <v>43006</v>
      </c>
      <c r="O8330" s="9" t="s">
        <v>73</v>
      </c>
      <c r="P8330" s="12" t="s">
        <v>24178</v>
      </c>
      <c r="Q8330" s="9" t="s">
        <v>136</v>
      </c>
      <c r="R8330" s="14" t="str">
        <f>HYPERLINK("https://my.pitchbook.com?c=95179-96T","View Company Online")</f>
        <v>View Company Online</v>
      </c>
    </row>
    <row r="8331" spans="1:18" hidden="1" x14ac:dyDescent="0.3">
      <c r="A8331" s="15" t="s">
        <v>24179</v>
      </c>
      <c r="B8331" s="15" t="s">
        <v>24180</v>
      </c>
      <c r="C8331" s="18" t="s">
        <v>28</v>
      </c>
      <c r="D8331" s="15" t="s">
        <v>24181</v>
      </c>
      <c r="E8331" s="18" t="s">
        <v>28</v>
      </c>
      <c r="F8331" s="19" t="s">
        <v>28</v>
      </c>
      <c r="G8331" s="19" t="s">
        <v>28</v>
      </c>
      <c r="H8331" s="19" t="s">
        <v>28</v>
      </c>
      <c r="I8331" s="18" t="s">
        <v>28</v>
      </c>
      <c r="J8331" s="18" t="s">
        <v>28</v>
      </c>
      <c r="K8331" s="18" t="s">
        <v>28</v>
      </c>
      <c r="L8331" s="18" t="s">
        <v>28</v>
      </c>
      <c r="M8331" s="18" t="s">
        <v>28</v>
      </c>
      <c r="N8331" s="17">
        <v>43004</v>
      </c>
      <c r="O8331" s="15" t="s">
        <v>30</v>
      </c>
      <c r="P8331" s="16" t="s">
        <v>24182</v>
      </c>
      <c r="Q8331" s="15" t="s">
        <v>975</v>
      </c>
      <c r="R8331" s="13" t="str">
        <f>HYPERLINK("https://my.pitchbook.com?c=96120-91T","View Company Online")</f>
        <v>View Company Online</v>
      </c>
    </row>
    <row r="8332" spans="1:18" hidden="1" x14ac:dyDescent="0.3">
      <c r="A8332" s="9" t="s">
        <v>24183</v>
      </c>
      <c r="B8332" s="9" t="s">
        <v>22273</v>
      </c>
      <c r="C8332" s="11" t="s">
        <v>28</v>
      </c>
      <c r="D8332" s="9" t="s">
        <v>24184</v>
      </c>
      <c r="E8332" s="11">
        <v>10.59</v>
      </c>
      <c r="F8332" s="10" t="s">
        <v>28</v>
      </c>
      <c r="G8332" s="10" t="s">
        <v>28</v>
      </c>
      <c r="H8332" s="10" t="s">
        <v>28</v>
      </c>
      <c r="I8332" s="11">
        <v>10.59</v>
      </c>
      <c r="J8332" s="11" t="s">
        <v>28</v>
      </c>
      <c r="K8332" s="11">
        <v>9.18</v>
      </c>
      <c r="L8332" s="11" t="s">
        <v>28</v>
      </c>
      <c r="M8332" s="11">
        <v>3.92</v>
      </c>
      <c r="N8332" s="8">
        <v>43000</v>
      </c>
      <c r="O8332" s="9" t="s">
        <v>173</v>
      </c>
      <c r="P8332" s="12" t="s">
        <v>28</v>
      </c>
      <c r="Q8332" s="9" t="s">
        <v>174</v>
      </c>
      <c r="R8332" s="14" t="str">
        <f>HYPERLINK("https://my.pitchbook.com?c=227653-21T","View Company Online")</f>
        <v>View Company Online</v>
      </c>
    </row>
    <row r="8333" spans="1:18" hidden="1" x14ac:dyDescent="0.3">
      <c r="A8333" s="15" t="s">
        <v>24185</v>
      </c>
      <c r="B8333" s="15" t="s">
        <v>24186</v>
      </c>
      <c r="C8333" s="18" t="s">
        <v>28</v>
      </c>
      <c r="D8333" s="15" t="s">
        <v>24187</v>
      </c>
      <c r="E8333" s="18" t="s">
        <v>28</v>
      </c>
      <c r="F8333" s="19" t="s">
        <v>28</v>
      </c>
      <c r="G8333" s="19" t="s">
        <v>28</v>
      </c>
      <c r="H8333" s="19" t="s">
        <v>28</v>
      </c>
      <c r="I8333" s="18" t="s">
        <v>28</v>
      </c>
      <c r="J8333" s="18" t="s">
        <v>28</v>
      </c>
      <c r="K8333" s="18" t="s">
        <v>28</v>
      </c>
      <c r="L8333" s="18" t="s">
        <v>28</v>
      </c>
      <c r="M8333" s="18" t="s">
        <v>28</v>
      </c>
      <c r="N8333" s="17">
        <v>42999</v>
      </c>
      <c r="O8333" s="15" t="s">
        <v>974</v>
      </c>
      <c r="P8333" s="16" t="s">
        <v>28</v>
      </c>
      <c r="Q8333" s="15" t="s">
        <v>54</v>
      </c>
      <c r="R8333" s="13" t="str">
        <f>HYPERLINK("https://my.pitchbook.com?c=66316-15T","View Company Online")</f>
        <v>View Company Online</v>
      </c>
    </row>
    <row r="8334" spans="1:18" hidden="1" x14ac:dyDescent="0.3">
      <c r="A8334" s="9" t="s">
        <v>24188</v>
      </c>
      <c r="B8334" s="9" t="s">
        <v>24189</v>
      </c>
      <c r="C8334" s="11" t="s">
        <v>28</v>
      </c>
      <c r="D8334" s="9" t="s">
        <v>24190</v>
      </c>
      <c r="E8334" s="11" t="s">
        <v>28</v>
      </c>
      <c r="F8334" s="10" t="s">
        <v>28</v>
      </c>
      <c r="G8334" s="10" t="s">
        <v>28</v>
      </c>
      <c r="H8334" s="10" t="s">
        <v>28</v>
      </c>
      <c r="I8334" s="11" t="s">
        <v>28</v>
      </c>
      <c r="J8334" s="11" t="s">
        <v>28</v>
      </c>
      <c r="K8334" s="11" t="s">
        <v>28</v>
      </c>
      <c r="L8334" s="11" t="s">
        <v>28</v>
      </c>
      <c r="M8334" s="11" t="s">
        <v>28</v>
      </c>
      <c r="N8334" s="8">
        <v>42999</v>
      </c>
      <c r="O8334" s="9" t="s">
        <v>30</v>
      </c>
      <c r="P8334" s="12" t="s">
        <v>24191</v>
      </c>
      <c r="Q8334" s="9" t="s">
        <v>3048</v>
      </c>
      <c r="R8334" s="14" t="str">
        <f>HYPERLINK("https://my.pitchbook.com?c=94831-21T","View Company Online")</f>
        <v>View Company Online</v>
      </c>
    </row>
    <row r="8335" spans="1:18" hidden="1" x14ac:dyDescent="0.3">
      <c r="A8335" s="15" t="s">
        <v>24192</v>
      </c>
      <c r="B8335" s="15" t="s">
        <v>24193</v>
      </c>
      <c r="C8335" s="18" t="s">
        <v>28</v>
      </c>
      <c r="D8335" s="15" t="s">
        <v>24194</v>
      </c>
      <c r="E8335" s="18" t="s">
        <v>28</v>
      </c>
      <c r="F8335" s="19" t="s">
        <v>28</v>
      </c>
      <c r="G8335" s="19">
        <v>63.64</v>
      </c>
      <c r="H8335" s="19" t="s">
        <v>28</v>
      </c>
      <c r="I8335" s="18" t="s">
        <v>28</v>
      </c>
      <c r="J8335" s="18" t="s">
        <v>28</v>
      </c>
      <c r="K8335" s="18" t="s">
        <v>28</v>
      </c>
      <c r="L8335" s="18" t="s">
        <v>28</v>
      </c>
      <c r="M8335" s="18" t="s">
        <v>28</v>
      </c>
      <c r="N8335" s="17">
        <v>42999</v>
      </c>
      <c r="O8335" s="15" t="s">
        <v>93</v>
      </c>
      <c r="P8335" s="16" t="s">
        <v>24195</v>
      </c>
      <c r="Q8335" s="15" t="s">
        <v>226</v>
      </c>
      <c r="R8335" s="13" t="str">
        <f>HYPERLINK("https://my.pitchbook.com?c=245107-81T","View Company Online")</f>
        <v>View Company Online</v>
      </c>
    </row>
    <row r="8336" spans="1:18" x14ac:dyDescent="0.3">
      <c r="A8336" s="9" t="s">
        <v>24196</v>
      </c>
      <c r="B8336" s="9" t="s">
        <v>5129</v>
      </c>
      <c r="C8336" s="11">
        <v>6.46</v>
      </c>
      <c r="D8336" s="9" t="s">
        <v>5130</v>
      </c>
      <c r="E8336" s="11">
        <v>150.21</v>
      </c>
      <c r="F8336" s="10">
        <v>1167.6500000000001</v>
      </c>
      <c r="G8336" s="10">
        <v>1113.44</v>
      </c>
      <c r="H8336" s="10">
        <v>1294.69</v>
      </c>
      <c r="I8336" s="11">
        <v>180.69</v>
      </c>
      <c r="J8336" s="11">
        <v>7.17</v>
      </c>
      <c r="K8336" s="11">
        <v>1150.8</v>
      </c>
      <c r="L8336" s="11">
        <v>1.1299999999999999</v>
      </c>
      <c r="M8336" s="11">
        <v>132.36000000000001</v>
      </c>
      <c r="N8336" s="8">
        <v>42998</v>
      </c>
      <c r="O8336" s="9" t="s">
        <v>41</v>
      </c>
      <c r="P8336" s="12" t="s">
        <v>24197</v>
      </c>
      <c r="Q8336" s="9" t="s">
        <v>5132</v>
      </c>
      <c r="R8336" s="14" t="str">
        <f>HYPERLINK("https://my.pitchbook.com?c=88126-75T","View Company Online")</f>
        <v>View Company Online</v>
      </c>
    </row>
    <row r="8337" spans="1:18" hidden="1" x14ac:dyDescent="0.3">
      <c r="A8337" s="15" t="s">
        <v>24198</v>
      </c>
      <c r="B8337" s="15" t="s">
        <v>24199</v>
      </c>
      <c r="C8337" s="18" t="s">
        <v>28</v>
      </c>
      <c r="D8337" s="15" t="s">
        <v>24200</v>
      </c>
      <c r="E8337" s="18" t="s">
        <v>28</v>
      </c>
      <c r="F8337" s="19" t="s">
        <v>28</v>
      </c>
      <c r="G8337" s="19" t="s">
        <v>28</v>
      </c>
      <c r="H8337" s="19" t="s">
        <v>28</v>
      </c>
      <c r="I8337" s="18" t="s">
        <v>28</v>
      </c>
      <c r="J8337" s="18" t="s">
        <v>28</v>
      </c>
      <c r="K8337" s="18" t="s">
        <v>28</v>
      </c>
      <c r="L8337" s="18" t="s">
        <v>28</v>
      </c>
      <c r="M8337" s="18" t="s">
        <v>28</v>
      </c>
      <c r="N8337" s="17">
        <v>42998</v>
      </c>
      <c r="O8337" s="15" t="s">
        <v>41</v>
      </c>
      <c r="P8337" s="16" t="s">
        <v>2216</v>
      </c>
      <c r="Q8337" s="15" t="s">
        <v>69</v>
      </c>
      <c r="R8337" s="13" t="str">
        <f>HYPERLINK("https://my.pitchbook.com?c=101923-21T","View Company Online")</f>
        <v>View Company Online</v>
      </c>
    </row>
    <row r="8338" spans="1:18" hidden="1" x14ac:dyDescent="0.3">
      <c r="A8338" s="9" t="s">
        <v>24201</v>
      </c>
      <c r="B8338" s="9" t="s">
        <v>24202</v>
      </c>
      <c r="C8338" s="11" t="s">
        <v>28</v>
      </c>
      <c r="D8338" s="9" t="s">
        <v>24203</v>
      </c>
      <c r="E8338" s="11" t="s">
        <v>28</v>
      </c>
      <c r="F8338" s="10" t="s">
        <v>28</v>
      </c>
      <c r="G8338" s="10">
        <v>28.37</v>
      </c>
      <c r="H8338" s="10">
        <v>125.75</v>
      </c>
      <c r="I8338" s="11" t="s">
        <v>28</v>
      </c>
      <c r="J8338" s="11" t="s">
        <v>28</v>
      </c>
      <c r="K8338" s="11" t="s">
        <v>28</v>
      </c>
      <c r="L8338" s="11" t="s">
        <v>28</v>
      </c>
      <c r="M8338" s="11" t="s">
        <v>28</v>
      </c>
      <c r="N8338" s="8">
        <v>42998</v>
      </c>
      <c r="O8338" s="9" t="s">
        <v>93</v>
      </c>
      <c r="P8338" s="12" t="s">
        <v>24204</v>
      </c>
      <c r="Q8338" s="9" t="s">
        <v>136</v>
      </c>
      <c r="R8338" s="14" t="str">
        <f>HYPERLINK("https://my.pitchbook.com?c=97272-64T","View Company Online")</f>
        <v>View Company Online</v>
      </c>
    </row>
    <row r="8339" spans="1:18" hidden="1" x14ac:dyDescent="0.3">
      <c r="A8339" s="15" t="s">
        <v>24205</v>
      </c>
      <c r="B8339" s="15" t="s">
        <v>6212</v>
      </c>
      <c r="C8339" s="18" t="s">
        <v>28</v>
      </c>
      <c r="D8339" s="15" t="s">
        <v>6213</v>
      </c>
      <c r="E8339" s="18" t="s">
        <v>28</v>
      </c>
      <c r="F8339" s="19" t="s">
        <v>28</v>
      </c>
      <c r="G8339" s="19">
        <v>0.24</v>
      </c>
      <c r="H8339" s="19" t="s">
        <v>28</v>
      </c>
      <c r="I8339" s="18" t="s">
        <v>28</v>
      </c>
      <c r="J8339" s="18" t="s">
        <v>28</v>
      </c>
      <c r="K8339" s="18" t="s">
        <v>28</v>
      </c>
      <c r="L8339" s="18" t="s">
        <v>28</v>
      </c>
      <c r="M8339" s="18" t="s">
        <v>28</v>
      </c>
      <c r="N8339" s="17">
        <v>42997</v>
      </c>
      <c r="O8339" s="15" t="s">
        <v>99</v>
      </c>
      <c r="P8339" s="16" t="s">
        <v>24206</v>
      </c>
      <c r="Q8339" s="15" t="s">
        <v>414</v>
      </c>
      <c r="R8339" s="13" t="str">
        <f>HYPERLINK("https://my.pitchbook.com?c=121224-34T","View Company Online")</f>
        <v>View Company Online</v>
      </c>
    </row>
    <row r="8340" spans="1:18" hidden="1" x14ac:dyDescent="0.3">
      <c r="A8340" s="9" t="s">
        <v>24207</v>
      </c>
      <c r="B8340" s="9" t="s">
        <v>16643</v>
      </c>
      <c r="C8340" s="11" t="s">
        <v>28</v>
      </c>
      <c r="D8340" s="9" t="s">
        <v>16644</v>
      </c>
      <c r="E8340" s="11" t="s">
        <v>28</v>
      </c>
      <c r="F8340" s="10" t="s">
        <v>28</v>
      </c>
      <c r="G8340" s="10">
        <v>1.8</v>
      </c>
      <c r="H8340" s="10" t="s">
        <v>28</v>
      </c>
      <c r="I8340" s="11" t="s">
        <v>28</v>
      </c>
      <c r="J8340" s="11" t="s">
        <v>28</v>
      </c>
      <c r="K8340" s="11" t="s">
        <v>28</v>
      </c>
      <c r="L8340" s="11" t="s">
        <v>28</v>
      </c>
      <c r="M8340" s="11" t="s">
        <v>28</v>
      </c>
      <c r="N8340" s="8">
        <v>42996</v>
      </c>
      <c r="O8340" s="9" t="s">
        <v>73</v>
      </c>
      <c r="P8340" s="12" t="s">
        <v>1612</v>
      </c>
      <c r="Q8340" s="9" t="s">
        <v>37</v>
      </c>
      <c r="R8340" s="14" t="str">
        <f>HYPERLINK("https://my.pitchbook.com?c=94509-64T","View Company Online")</f>
        <v>View Company Online</v>
      </c>
    </row>
    <row r="8341" spans="1:18" hidden="1" x14ac:dyDescent="0.3">
      <c r="A8341" s="15" t="s">
        <v>24208</v>
      </c>
      <c r="B8341" s="15" t="s">
        <v>13036</v>
      </c>
      <c r="C8341" s="18" t="s">
        <v>28</v>
      </c>
      <c r="D8341" s="15" t="s">
        <v>13037</v>
      </c>
      <c r="E8341" s="18" t="s">
        <v>28</v>
      </c>
      <c r="F8341" s="19" t="s">
        <v>28</v>
      </c>
      <c r="G8341" s="19" t="s">
        <v>28</v>
      </c>
      <c r="H8341" s="19" t="s">
        <v>28</v>
      </c>
      <c r="I8341" s="18" t="s">
        <v>28</v>
      </c>
      <c r="J8341" s="18" t="s">
        <v>28</v>
      </c>
      <c r="K8341" s="18">
        <v>231.53</v>
      </c>
      <c r="L8341" s="18" t="s">
        <v>28</v>
      </c>
      <c r="M8341" s="18" t="s">
        <v>28</v>
      </c>
      <c r="N8341" s="17">
        <v>42995</v>
      </c>
      <c r="O8341" s="15" t="s">
        <v>93</v>
      </c>
      <c r="P8341" s="16" t="s">
        <v>24209</v>
      </c>
      <c r="Q8341" s="15" t="s">
        <v>169</v>
      </c>
      <c r="R8341" s="13" t="str">
        <f>HYPERLINK("https://my.pitchbook.com?c=97415-83T","View Company Online")</f>
        <v>View Company Online</v>
      </c>
    </row>
    <row r="8342" spans="1:18" hidden="1" x14ac:dyDescent="0.3">
      <c r="A8342" s="9" t="s">
        <v>24210</v>
      </c>
      <c r="B8342" s="9" t="s">
        <v>24211</v>
      </c>
      <c r="C8342" s="11" t="s">
        <v>28</v>
      </c>
      <c r="D8342" s="9" t="s">
        <v>24212</v>
      </c>
      <c r="E8342" s="11" t="s">
        <v>28</v>
      </c>
      <c r="F8342" s="10" t="s">
        <v>28</v>
      </c>
      <c r="G8342" s="10" t="s">
        <v>28</v>
      </c>
      <c r="H8342" s="10" t="s">
        <v>28</v>
      </c>
      <c r="I8342" s="11" t="s">
        <v>28</v>
      </c>
      <c r="J8342" s="11" t="s">
        <v>28</v>
      </c>
      <c r="K8342" s="11" t="s">
        <v>28</v>
      </c>
      <c r="L8342" s="11" t="s">
        <v>28</v>
      </c>
      <c r="M8342" s="11" t="s">
        <v>28</v>
      </c>
      <c r="N8342" s="8">
        <v>42993</v>
      </c>
      <c r="O8342" s="9" t="s">
        <v>41</v>
      </c>
      <c r="P8342" s="12" t="s">
        <v>21309</v>
      </c>
      <c r="Q8342" s="9" t="s">
        <v>316</v>
      </c>
      <c r="R8342" s="14" t="str">
        <f>HYPERLINK("https://my.pitchbook.com?c=277144-30T","View Company Online")</f>
        <v>View Company Online</v>
      </c>
    </row>
    <row r="8343" spans="1:18" hidden="1" x14ac:dyDescent="0.3">
      <c r="A8343" s="15" t="s">
        <v>24213</v>
      </c>
      <c r="B8343" s="15" t="s">
        <v>24214</v>
      </c>
      <c r="C8343" s="18" t="s">
        <v>28</v>
      </c>
      <c r="D8343" s="15" t="s">
        <v>24215</v>
      </c>
      <c r="E8343" s="18" t="s">
        <v>28</v>
      </c>
      <c r="F8343" s="19" t="s">
        <v>28</v>
      </c>
      <c r="G8343" s="19" t="s">
        <v>28</v>
      </c>
      <c r="H8343" s="19" t="s">
        <v>28</v>
      </c>
      <c r="I8343" s="18" t="s">
        <v>28</v>
      </c>
      <c r="J8343" s="18" t="s">
        <v>28</v>
      </c>
      <c r="K8343" s="18" t="s">
        <v>28</v>
      </c>
      <c r="L8343" s="18" t="s">
        <v>28</v>
      </c>
      <c r="M8343" s="18" t="s">
        <v>28</v>
      </c>
      <c r="N8343" s="17">
        <v>42992</v>
      </c>
      <c r="O8343" s="15" t="s">
        <v>173</v>
      </c>
      <c r="P8343" s="16" t="s">
        <v>28</v>
      </c>
      <c r="Q8343" s="15" t="s">
        <v>174</v>
      </c>
      <c r="R8343" s="13" t="str">
        <f>HYPERLINK("https://my.pitchbook.com?c=226398-34T","View Company Online")</f>
        <v>View Company Online</v>
      </c>
    </row>
    <row r="8344" spans="1:18" hidden="1" x14ac:dyDescent="0.3">
      <c r="A8344" s="9" t="s">
        <v>24216</v>
      </c>
      <c r="B8344" s="9" t="s">
        <v>2099</v>
      </c>
      <c r="C8344" s="11" t="s">
        <v>28</v>
      </c>
      <c r="D8344" s="9" t="s">
        <v>2100</v>
      </c>
      <c r="E8344" s="11" t="s">
        <v>28</v>
      </c>
      <c r="F8344" s="10" t="s">
        <v>28</v>
      </c>
      <c r="G8344" s="10">
        <v>0.01</v>
      </c>
      <c r="H8344" s="10" t="s">
        <v>28</v>
      </c>
      <c r="I8344" s="11" t="s">
        <v>28</v>
      </c>
      <c r="J8344" s="11" t="s">
        <v>28</v>
      </c>
      <c r="K8344" s="11" t="s">
        <v>28</v>
      </c>
      <c r="L8344" s="11" t="s">
        <v>28</v>
      </c>
      <c r="M8344" s="11" t="s">
        <v>28</v>
      </c>
      <c r="N8344" s="8">
        <v>42991</v>
      </c>
      <c r="O8344" s="9" t="s">
        <v>47</v>
      </c>
      <c r="P8344" s="12" t="s">
        <v>5620</v>
      </c>
      <c r="Q8344" s="9" t="s">
        <v>37</v>
      </c>
      <c r="R8344" s="14" t="str">
        <f>HYPERLINK("https://my.pitchbook.com?c=122626-45T","View Company Online")</f>
        <v>View Company Online</v>
      </c>
    </row>
    <row r="8345" spans="1:18" hidden="1" x14ac:dyDescent="0.3">
      <c r="A8345" s="15" t="s">
        <v>24217</v>
      </c>
      <c r="B8345" s="15" t="s">
        <v>22711</v>
      </c>
      <c r="C8345" s="18" t="s">
        <v>28</v>
      </c>
      <c r="D8345" s="15" t="s">
        <v>22712</v>
      </c>
      <c r="E8345" s="18" t="s">
        <v>28</v>
      </c>
      <c r="F8345" s="19" t="s">
        <v>28</v>
      </c>
      <c r="G8345" s="19" t="s">
        <v>28</v>
      </c>
      <c r="H8345" s="19" t="s">
        <v>28</v>
      </c>
      <c r="I8345" s="18" t="s">
        <v>28</v>
      </c>
      <c r="J8345" s="18" t="s">
        <v>28</v>
      </c>
      <c r="K8345" s="18" t="s">
        <v>28</v>
      </c>
      <c r="L8345" s="18" t="s">
        <v>28</v>
      </c>
      <c r="M8345" s="18" t="s">
        <v>28</v>
      </c>
      <c r="N8345" s="17">
        <v>42991</v>
      </c>
      <c r="O8345" s="15" t="s">
        <v>73</v>
      </c>
      <c r="P8345" s="16" t="s">
        <v>22713</v>
      </c>
      <c r="Q8345" s="15" t="s">
        <v>404</v>
      </c>
      <c r="R8345" s="13" t="str">
        <f>HYPERLINK("https://my.pitchbook.com?c=95523-49T","View Company Online")</f>
        <v>View Company Online</v>
      </c>
    </row>
    <row r="8346" spans="1:18" hidden="1" x14ac:dyDescent="0.3">
      <c r="A8346" s="9" t="s">
        <v>24218</v>
      </c>
      <c r="B8346" s="9" t="s">
        <v>24219</v>
      </c>
      <c r="C8346" s="11" t="s">
        <v>28</v>
      </c>
      <c r="D8346" s="9" t="s">
        <v>24220</v>
      </c>
      <c r="E8346" s="11" t="s">
        <v>28</v>
      </c>
      <c r="F8346" s="10" t="s">
        <v>28</v>
      </c>
      <c r="G8346" s="10" t="s">
        <v>28</v>
      </c>
      <c r="H8346" s="10" t="s">
        <v>28</v>
      </c>
      <c r="I8346" s="11" t="s">
        <v>28</v>
      </c>
      <c r="J8346" s="11" t="s">
        <v>28</v>
      </c>
      <c r="K8346" s="11" t="s">
        <v>28</v>
      </c>
      <c r="L8346" s="11" t="s">
        <v>28</v>
      </c>
      <c r="M8346" s="11" t="s">
        <v>28</v>
      </c>
      <c r="N8346" s="8">
        <v>42987</v>
      </c>
      <c r="O8346" s="9" t="s">
        <v>30</v>
      </c>
      <c r="P8346" s="12" t="s">
        <v>28</v>
      </c>
      <c r="Q8346" s="9" t="s">
        <v>299</v>
      </c>
      <c r="R8346" s="14" t="str">
        <f>HYPERLINK("https://my.pitchbook.com?c=98568-46T","View Company Online")</f>
        <v>View Company Online</v>
      </c>
    </row>
    <row r="8347" spans="1:18" hidden="1" x14ac:dyDescent="0.3">
      <c r="A8347" s="15" t="s">
        <v>24221</v>
      </c>
      <c r="B8347" s="15" t="s">
        <v>24222</v>
      </c>
      <c r="C8347" s="18" t="s">
        <v>28</v>
      </c>
      <c r="D8347" s="15" t="s">
        <v>24223</v>
      </c>
      <c r="E8347" s="18" t="s">
        <v>28</v>
      </c>
      <c r="F8347" s="19" t="s">
        <v>28</v>
      </c>
      <c r="G8347" s="19">
        <v>4.3499999999999996</v>
      </c>
      <c r="H8347" s="19" t="s">
        <v>28</v>
      </c>
      <c r="I8347" s="18" t="s">
        <v>28</v>
      </c>
      <c r="J8347" s="18" t="s">
        <v>28</v>
      </c>
      <c r="K8347" s="18" t="s">
        <v>28</v>
      </c>
      <c r="L8347" s="18" t="s">
        <v>28</v>
      </c>
      <c r="M8347" s="18" t="s">
        <v>28</v>
      </c>
      <c r="N8347" s="17">
        <v>42986</v>
      </c>
      <c r="O8347" s="15" t="s">
        <v>79</v>
      </c>
      <c r="P8347" s="16" t="s">
        <v>24224</v>
      </c>
      <c r="Q8347" s="15" t="s">
        <v>75</v>
      </c>
      <c r="R8347" s="13" t="str">
        <f>HYPERLINK("https://my.pitchbook.com?c=94159-63T","View Company Online")</f>
        <v>View Company Online</v>
      </c>
    </row>
    <row r="8348" spans="1:18" hidden="1" x14ac:dyDescent="0.3">
      <c r="A8348" s="9" t="s">
        <v>24225</v>
      </c>
      <c r="B8348" s="9" t="s">
        <v>24226</v>
      </c>
      <c r="C8348" s="11" t="s">
        <v>28</v>
      </c>
      <c r="D8348" s="9" t="s">
        <v>24227</v>
      </c>
      <c r="E8348" s="11" t="s">
        <v>28</v>
      </c>
      <c r="F8348" s="10">
        <v>1895.44</v>
      </c>
      <c r="G8348" s="10">
        <v>1895.44</v>
      </c>
      <c r="H8348" s="10">
        <v>1895.44</v>
      </c>
      <c r="I8348" s="11" t="s">
        <v>28</v>
      </c>
      <c r="J8348" s="11" t="s">
        <v>28</v>
      </c>
      <c r="K8348" s="11" t="s">
        <v>28</v>
      </c>
      <c r="L8348" s="11" t="s">
        <v>28</v>
      </c>
      <c r="M8348" s="11" t="s">
        <v>28</v>
      </c>
      <c r="N8348" s="8">
        <v>42985</v>
      </c>
      <c r="O8348" s="9" t="s">
        <v>30</v>
      </c>
      <c r="P8348" s="12" t="s">
        <v>24228</v>
      </c>
      <c r="Q8348" s="9" t="s">
        <v>8035</v>
      </c>
      <c r="R8348" s="14" t="str">
        <f>HYPERLINK("https://my.pitchbook.com?c=77726-26T","View Company Online")</f>
        <v>View Company Online</v>
      </c>
    </row>
    <row r="8349" spans="1:18" hidden="1" x14ac:dyDescent="0.3">
      <c r="A8349" s="15" t="s">
        <v>24229</v>
      </c>
      <c r="B8349" s="15" t="s">
        <v>15411</v>
      </c>
      <c r="C8349" s="18" t="s">
        <v>28</v>
      </c>
      <c r="D8349" s="15" t="s">
        <v>15412</v>
      </c>
      <c r="E8349" s="18">
        <v>34</v>
      </c>
      <c r="F8349" s="19" t="s">
        <v>28</v>
      </c>
      <c r="G8349" s="19" t="s">
        <v>28</v>
      </c>
      <c r="H8349" s="19" t="s">
        <v>28</v>
      </c>
      <c r="I8349" s="18">
        <v>38.99</v>
      </c>
      <c r="J8349" s="18" t="s">
        <v>28</v>
      </c>
      <c r="K8349" s="18">
        <v>370.64</v>
      </c>
      <c r="L8349" s="18" t="s">
        <v>28</v>
      </c>
      <c r="M8349" s="18">
        <v>25.7</v>
      </c>
      <c r="N8349" s="17">
        <v>42984</v>
      </c>
      <c r="O8349" s="15" t="s">
        <v>159</v>
      </c>
      <c r="P8349" s="16" t="s">
        <v>15413</v>
      </c>
      <c r="Q8349" s="15" t="s">
        <v>299</v>
      </c>
      <c r="R8349" s="13" t="str">
        <f>HYPERLINK("https://my.pitchbook.com?c=172920-79T","View Company Online")</f>
        <v>View Company Online</v>
      </c>
    </row>
    <row r="8350" spans="1:18" hidden="1" x14ac:dyDescent="0.3">
      <c r="A8350" s="9" t="s">
        <v>24230</v>
      </c>
      <c r="B8350" s="9" t="s">
        <v>24231</v>
      </c>
      <c r="C8350" s="11" t="s">
        <v>28</v>
      </c>
      <c r="D8350" s="9" t="s">
        <v>24232</v>
      </c>
      <c r="E8350" s="11" t="s">
        <v>28</v>
      </c>
      <c r="F8350" s="10" t="s">
        <v>28</v>
      </c>
      <c r="G8350" s="10" t="s">
        <v>28</v>
      </c>
      <c r="H8350" s="10" t="s">
        <v>28</v>
      </c>
      <c r="I8350" s="11" t="s">
        <v>28</v>
      </c>
      <c r="J8350" s="11" t="s">
        <v>28</v>
      </c>
      <c r="K8350" s="11" t="s">
        <v>28</v>
      </c>
      <c r="L8350" s="11" t="s">
        <v>28</v>
      </c>
      <c r="M8350" s="11" t="s">
        <v>28</v>
      </c>
      <c r="N8350" s="8">
        <v>42984</v>
      </c>
      <c r="O8350" s="9" t="s">
        <v>30</v>
      </c>
      <c r="P8350" s="12" t="s">
        <v>24233</v>
      </c>
      <c r="Q8350" s="9" t="s">
        <v>3912</v>
      </c>
      <c r="R8350" s="14" t="str">
        <f>HYPERLINK("https://my.pitchbook.com?c=101946-88T","View Company Online")</f>
        <v>View Company Online</v>
      </c>
    </row>
    <row r="8351" spans="1:18" hidden="1" x14ac:dyDescent="0.3">
      <c r="A8351" s="15" t="s">
        <v>24234</v>
      </c>
      <c r="B8351" s="15" t="s">
        <v>24235</v>
      </c>
      <c r="C8351" s="18" t="s">
        <v>28</v>
      </c>
      <c r="D8351" s="15" t="s">
        <v>24236</v>
      </c>
      <c r="E8351" s="18" t="s">
        <v>28</v>
      </c>
      <c r="F8351" s="19" t="s">
        <v>28</v>
      </c>
      <c r="G8351" s="19">
        <v>5.85</v>
      </c>
      <c r="H8351" s="19" t="s">
        <v>28</v>
      </c>
      <c r="I8351" s="18" t="s">
        <v>28</v>
      </c>
      <c r="J8351" s="18" t="s">
        <v>28</v>
      </c>
      <c r="K8351" s="18" t="s">
        <v>28</v>
      </c>
      <c r="L8351" s="18" t="s">
        <v>28</v>
      </c>
      <c r="M8351" s="18" t="s">
        <v>28</v>
      </c>
      <c r="N8351" s="17">
        <v>42983</v>
      </c>
      <c r="O8351" s="15" t="s">
        <v>93</v>
      </c>
      <c r="P8351" s="16" t="s">
        <v>24237</v>
      </c>
      <c r="Q8351" s="15" t="s">
        <v>69</v>
      </c>
      <c r="R8351" s="13" t="str">
        <f>HYPERLINK("https://my.pitchbook.com?c=94163-14T","View Company Online")</f>
        <v>View Company Online</v>
      </c>
    </row>
    <row r="8352" spans="1:18" hidden="1" x14ac:dyDescent="0.3">
      <c r="A8352" s="9" t="s">
        <v>24238</v>
      </c>
      <c r="B8352" s="9" t="s">
        <v>13424</v>
      </c>
      <c r="C8352" s="11" t="s">
        <v>28</v>
      </c>
      <c r="D8352" s="9" t="s">
        <v>13425</v>
      </c>
      <c r="E8352" s="11" t="s">
        <v>28</v>
      </c>
      <c r="F8352" s="10" t="s">
        <v>28</v>
      </c>
      <c r="G8352" s="10">
        <v>0.2</v>
      </c>
      <c r="H8352" s="10" t="s">
        <v>28</v>
      </c>
      <c r="I8352" s="11" t="s">
        <v>28</v>
      </c>
      <c r="J8352" s="11" t="s">
        <v>28</v>
      </c>
      <c r="K8352" s="11">
        <v>15.64</v>
      </c>
      <c r="L8352" s="11" t="s">
        <v>28</v>
      </c>
      <c r="M8352" s="11" t="s">
        <v>28</v>
      </c>
      <c r="N8352" s="8">
        <v>42983</v>
      </c>
      <c r="O8352" s="9" t="s">
        <v>99</v>
      </c>
      <c r="P8352" s="12" t="s">
        <v>140</v>
      </c>
      <c r="Q8352" s="9" t="s">
        <v>37</v>
      </c>
      <c r="R8352" s="14" t="str">
        <f>HYPERLINK("https://my.pitchbook.com?c=226832-50T","View Company Online")</f>
        <v>View Company Online</v>
      </c>
    </row>
    <row r="8353" spans="1:18" hidden="1" x14ac:dyDescent="0.3">
      <c r="A8353" s="15" t="s">
        <v>24239</v>
      </c>
      <c r="B8353" s="15" t="s">
        <v>24240</v>
      </c>
      <c r="C8353" s="18" t="s">
        <v>28</v>
      </c>
      <c r="D8353" s="15" t="s">
        <v>24241</v>
      </c>
      <c r="E8353" s="18" t="s">
        <v>28</v>
      </c>
      <c r="F8353" s="19">
        <v>1026.8699999999999</v>
      </c>
      <c r="G8353" s="19">
        <v>924.22</v>
      </c>
      <c r="H8353" s="19">
        <v>1026.8699999999999</v>
      </c>
      <c r="I8353" s="18" t="s">
        <v>28</v>
      </c>
      <c r="J8353" s="18" t="s">
        <v>28</v>
      </c>
      <c r="K8353" s="18" t="s">
        <v>28</v>
      </c>
      <c r="L8353" s="18" t="s">
        <v>28</v>
      </c>
      <c r="M8353" s="18" t="s">
        <v>28</v>
      </c>
      <c r="N8353" s="17">
        <v>42982</v>
      </c>
      <c r="O8353" s="15" t="s">
        <v>30</v>
      </c>
      <c r="P8353" s="16" t="s">
        <v>24242</v>
      </c>
      <c r="Q8353" s="15" t="s">
        <v>24243</v>
      </c>
      <c r="R8353" s="13" t="str">
        <f>HYPERLINK("https://my.pitchbook.com?c=86638-06T","View Company Online")</f>
        <v>View Company Online</v>
      </c>
    </row>
    <row r="8354" spans="1:18" hidden="1" x14ac:dyDescent="0.3">
      <c r="A8354" s="9" t="s">
        <v>24244</v>
      </c>
      <c r="B8354" s="9" t="s">
        <v>24245</v>
      </c>
      <c r="C8354" s="11" t="s">
        <v>28</v>
      </c>
      <c r="D8354" s="9" t="s">
        <v>24246</v>
      </c>
      <c r="E8354" s="11" t="s">
        <v>28</v>
      </c>
      <c r="F8354" s="10" t="s">
        <v>28</v>
      </c>
      <c r="G8354" s="10" t="s">
        <v>28</v>
      </c>
      <c r="H8354" s="10" t="s">
        <v>28</v>
      </c>
      <c r="I8354" s="11" t="s">
        <v>28</v>
      </c>
      <c r="J8354" s="11" t="s">
        <v>28</v>
      </c>
      <c r="K8354" s="11" t="s">
        <v>28</v>
      </c>
      <c r="L8354" s="11" t="s">
        <v>28</v>
      </c>
      <c r="M8354" s="11" t="s">
        <v>28</v>
      </c>
      <c r="N8354" s="8">
        <v>42979</v>
      </c>
      <c r="O8354" s="9" t="s">
        <v>73</v>
      </c>
      <c r="P8354" s="12" t="s">
        <v>28</v>
      </c>
      <c r="Q8354" s="9" t="s">
        <v>37</v>
      </c>
      <c r="R8354" s="14" t="str">
        <f>HYPERLINK("https://my.pitchbook.com?c=207571-96T","View Company Online")</f>
        <v>View Company Online</v>
      </c>
    </row>
    <row r="8355" spans="1:18" hidden="1" x14ac:dyDescent="0.3">
      <c r="A8355" s="15" t="s">
        <v>24247</v>
      </c>
      <c r="B8355" s="15" t="s">
        <v>20629</v>
      </c>
      <c r="C8355" s="18" t="s">
        <v>28</v>
      </c>
      <c r="D8355" s="15" t="s">
        <v>20630</v>
      </c>
      <c r="E8355" s="18" t="s">
        <v>28</v>
      </c>
      <c r="F8355" s="19" t="s">
        <v>28</v>
      </c>
      <c r="G8355" s="19">
        <v>0.84</v>
      </c>
      <c r="H8355" s="19" t="s">
        <v>28</v>
      </c>
      <c r="I8355" s="18" t="s">
        <v>28</v>
      </c>
      <c r="J8355" s="18" t="s">
        <v>28</v>
      </c>
      <c r="K8355" s="18" t="s">
        <v>28</v>
      </c>
      <c r="L8355" s="18" t="s">
        <v>28</v>
      </c>
      <c r="M8355" s="18" t="s">
        <v>28</v>
      </c>
      <c r="N8355" s="17">
        <v>42979</v>
      </c>
      <c r="O8355" s="15" t="s">
        <v>73</v>
      </c>
      <c r="P8355" s="16" t="s">
        <v>24248</v>
      </c>
      <c r="Q8355" s="15" t="s">
        <v>1179</v>
      </c>
      <c r="R8355" s="13" t="str">
        <f>HYPERLINK("https://my.pitchbook.com?c=141117-94T","View Company Online")</f>
        <v>View Company Online</v>
      </c>
    </row>
    <row r="8356" spans="1:18" hidden="1" x14ac:dyDescent="0.3">
      <c r="A8356" s="9" t="s">
        <v>24249</v>
      </c>
      <c r="B8356" s="9" t="s">
        <v>21625</v>
      </c>
      <c r="C8356" s="11" t="s">
        <v>28</v>
      </c>
      <c r="D8356" s="9" t="s">
        <v>21626</v>
      </c>
      <c r="E8356" s="11" t="s">
        <v>28</v>
      </c>
      <c r="F8356" s="10" t="s">
        <v>28</v>
      </c>
      <c r="G8356" s="10" t="s">
        <v>28</v>
      </c>
      <c r="H8356" s="10" t="s">
        <v>28</v>
      </c>
      <c r="I8356" s="11" t="s">
        <v>28</v>
      </c>
      <c r="J8356" s="11" t="s">
        <v>28</v>
      </c>
      <c r="K8356" s="11" t="s">
        <v>28</v>
      </c>
      <c r="L8356" s="11" t="s">
        <v>28</v>
      </c>
      <c r="M8356" s="11" t="s">
        <v>28</v>
      </c>
      <c r="N8356" s="8">
        <v>42979</v>
      </c>
      <c r="O8356" s="9" t="s">
        <v>99</v>
      </c>
      <c r="P8356" s="12" t="s">
        <v>24250</v>
      </c>
      <c r="Q8356" s="9" t="s">
        <v>566</v>
      </c>
      <c r="R8356" s="14" t="str">
        <f>HYPERLINK("https://my.pitchbook.com?c=137549-44T","View Company Online")</f>
        <v>View Company Online</v>
      </c>
    </row>
    <row r="8357" spans="1:18" hidden="1" x14ac:dyDescent="0.3">
      <c r="A8357" s="15" t="s">
        <v>24251</v>
      </c>
      <c r="B8357" s="15" t="s">
        <v>24252</v>
      </c>
      <c r="C8357" s="18" t="s">
        <v>28</v>
      </c>
      <c r="D8357" s="15" t="s">
        <v>24253</v>
      </c>
      <c r="E8357" s="18" t="s">
        <v>28</v>
      </c>
      <c r="F8357" s="19" t="s">
        <v>28</v>
      </c>
      <c r="G8357" s="19" t="s">
        <v>28</v>
      </c>
      <c r="H8357" s="19" t="s">
        <v>28</v>
      </c>
      <c r="I8357" s="18" t="s">
        <v>28</v>
      </c>
      <c r="J8357" s="18" t="s">
        <v>28</v>
      </c>
      <c r="K8357" s="18" t="s">
        <v>28</v>
      </c>
      <c r="L8357" s="18" t="s">
        <v>28</v>
      </c>
      <c r="M8357" s="18" t="s">
        <v>28</v>
      </c>
      <c r="N8357" s="17">
        <v>42979</v>
      </c>
      <c r="O8357" s="15" t="s">
        <v>41</v>
      </c>
      <c r="P8357" s="16" t="s">
        <v>24254</v>
      </c>
      <c r="Q8357" s="15" t="s">
        <v>43</v>
      </c>
      <c r="R8357" s="13" t="str">
        <f>HYPERLINK("https://my.pitchbook.com?c=115994-08T","View Company Online")</f>
        <v>View Company Online</v>
      </c>
    </row>
    <row r="8358" spans="1:18" hidden="1" x14ac:dyDescent="0.3">
      <c r="A8358" s="9" t="s">
        <v>24255</v>
      </c>
      <c r="B8358" s="9" t="s">
        <v>24256</v>
      </c>
      <c r="C8358" s="11" t="s">
        <v>28</v>
      </c>
      <c r="D8358" s="9" t="s">
        <v>24257</v>
      </c>
      <c r="E8358" s="11" t="s">
        <v>28</v>
      </c>
      <c r="F8358" s="10" t="s">
        <v>28</v>
      </c>
      <c r="G8358" s="10" t="s">
        <v>28</v>
      </c>
      <c r="H8358" s="10" t="s">
        <v>28</v>
      </c>
      <c r="I8358" s="11" t="s">
        <v>28</v>
      </c>
      <c r="J8358" s="11" t="s">
        <v>28</v>
      </c>
      <c r="K8358" s="11" t="s">
        <v>28</v>
      </c>
      <c r="L8358" s="11" t="s">
        <v>28</v>
      </c>
      <c r="M8358" s="11" t="s">
        <v>28</v>
      </c>
      <c r="N8358" s="8">
        <v>42979</v>
      </c>
      <c r="O8358" s="9" t="s">
        <v>30</v>
      </c>
      <c r="P8358" s="12" t="s">
        <v>24258</v>
      </c>
      <c r="Q8358" s="9" t="s">
        <v>136</v>
      </c>
      <c r="R8358" s="14" t="str">
        <f>HYPERLINK("https://my.pitchbook.com?c=112425-85T","View Company Online")</f>
        <v>View Company Online</v>
      </c>
    </row>
    <row r="8359" spans="1:18" hidden="1" x14ac:dyDescent="0.3">
      <c r="A8359" s="15" t="s">
        <v>24259</v>
      </c>
      <c r="B8359" s="15" t="s">
        <v>23255</v>
      </c>
      <c r="C8359" s="18" t="s">
        <v>28</v>
      </c>
      <c r="D8359" s="15" t="s">
        <v>23256</v>
      </c>
      <c r="E8359" s="18" t="s">
        <v>28</v>
      </c>
      <c r="F8359" s="19" t="s">
        <v>28</v>
      </c>
      <c r="G8359" s="19" t="s">
        <v>28</v>
      </c>
      <c r="H8359" s="19" t="s">
        <v>28</v>
      </c>
      <c r="I8359" s="18" t="s">
        <v>28</v>
      </c>
      <c r="J8359" s="18" t="s">
        <v>28</v>
      </c>
      <c r="K8359" s="18" t="s">
        <v>28</v>
      </c>
      <c r="L8359" s="18" t="s">
        <v>28</v>
      </c>
      <c r="M8359" s="18" t="s">
        <v>28</v>
      </c>
      <c r="N8359" s="17">
        <v>42979</v>
      </c>
      <c r="O8359" s="15" t="s">
        <v>73</v>
      </c>
      <c r="P8359" s="16" t="s">
        <v>24260</v>
      </c>
      <c r="Q8359" s="15" t="s">
        <v>3912</v>
      </c>
      <c r="R8359" s="13" t="str">
        <f>HYPERLINK("https://my.pitchbook.com?c=94166-65T","View Company Online")</f>
        <v>View Company Online</v>
      </c>
    </row>
    <row r="8360" spans="1:18" hidden="1" x14ac:dyDescent="0.3">
      <c r="A8360" s="9" t="s">
        <v>24261</v>
      </c>
      <c r="B8360" s="9" t="s">
        <v>5097</v>
      </c>
      <c r="C8360" s="11" t="s">
        <v>28</v>
      </c>
      <c r="D8360" s="9" t="s">
        <v>5098</v>
      </c>
      <c r="E8360" s="11" t="s">
        <v>28</v>
      </c>
      <c r="F8360" s="10" t="s">
        <v>28</v>
      </c>
      <c r="G8360" s="10" t="s">
        <v>28</v>
      </c>
      <c r="H8360" s="10" t="s">
        <v>28</v>
      </c>
      <c r="I8360" s="11" t="s">
        <v>28</v>
      </c>
      <c r="J8360" s="11" t="s">
        <v>28</v>
      </c>
      <c r="K8360" s="11" t="s">
        <v>28</v>
      </c>
      <c r="L8360" s="11" t="s">
        <v>28</v>
      </c>
      <c r="M8360" s="11" t="s">
        <v>28</v>
      </c>
      <c r="N8360" s="8">
        <v>42979</v>
      </c>
      <c r="O8360" s="9" t="s">
        <v>73</v>
      </c>
      <c r="P8360" s="12" t="s">
        <v>28</v>
      </c>
      <c r="Q8360" s="9" t="s">
        <v>37</v>
      </c>
      <c r="R8360" s="14" t="str">
        <f>HYPERLINK("https://my.pitchbook.com?c=253359-01T","View Company Online")</f>
        <v>View Company Online</v>
      </c>
    </row>
    <row r="8361" spans="1:18" hidden="1" x14ac:dyDescent="0.3">
      <c r="A8361" s="15" t="s">
        <v>24262</v>
      </c>
      <c r="B8361" s="15" t="s">
        <v>16679</v>
      </c>
      <c r="C8361" s="18" t="s">
        <v>28</v>
      </c>
      <c r="D8361" s="15" t="s">
        <v>16680</v>
      </c>
      <c r="E8361" s="18" t="s">
        <v>28</v>
      </c>
      <c r="F8361" s="19" t="s">
        <v>28</v>
      </c>
      <c r="G8361" s="19">
        <v>0.55000000000000004</v>
      </c>
      <c r="H8361" s="19" t="s">
        <v>28</v>
      </c>
      <c r="I8361" s="18" t="s">
        <v>28</v>
      </c>
      <c r="J8361" s="18" t="s">
        <v>28</v>
      </c>
      <c r="K8361" s="18" t="s">
        <v>28</v>
      </c>
      <c r="L8361" s="18" t="s">
        <v>28</v>
      </c>
      <c r="M8361" s="18" t="s">
        <v>28</v>
      </c>
      <c r="N8361" s="17">
        <v>42979</v>
      </c>
      <c r="O8361" s="15" t="s">
        <v>73</v>
      </c>
      <c r="P8361" s="16" t="s">
        <v>20549</v>
      </c>
      <c r="Q8361" s="15" t="s">
        <v>3912</v>
      </c>
      <c r="R8361" s="13" t="str">
        <f>HYPERLINK("https://my.pitchbook.com?c=100683-37T","View Company Online")</f>
        <v>View Company Online</v>
      </c>
    </row>
    <row r="8362" spans="1:18" hidden="1" x14ac:dyDescent="0.3">
      <c r="A8362" s="9" t="s">
        <v>24263</v>
      </c>
      <c r="B8362" s="9" t="s">
        <v>19050</v>
      </c>
      <c r="C8362" s="11" t="s">
        <v>28</v>
      </c>
      <c r="D8362" s="9" t="s">
        <v>19051</v>
      </c>
      <c r="E8362" s="11" t="s">
        <v>28</v>
      </c>
      <c r="F8362" s="10" t="s">
        <v>28</v>
      </c>
      <c r="G8362" s="10">
        <v>0.47</v>
      </c>
      <c r="H8362" s="10" t="s">
        <v>28</v>
      </c>
      <c r="I8362" s="11" t="s">
        <v>28</v>
      </c>
      <c r="J8362" s="11" t="s">
        <v>28</v>
      </c>
      <c r="K8362" s="11" t="s">
        <v>28</v>
      </c>
      <c r="L8362" s="11" t="s">
        <v>28</v>
      </c>
      <c r="M8362" s="11" t="s">
        <v>28</v>
      </c>
      <c r="N8362" s="8">
        <v>42979</v>
      </c>
      <c r="O8362" s="9" t="s">
        <v>73</v>
      </c>
      <c r="P8362" s="12" t="s">
        <v>24264</v>
      </c>
      <c r="Q8362" s="9" t="s">
        <v>85</v>
      </c>
      <c r="R8362" s="14" t="str">
        <f>HYPERLINK("https://my.pitchbook.com?c=111461-32T","View Company Online")</f>
        <v>View Company Online</v>
      </c>
    </row>
    <row r="8363" spans="1:18" hidden="1" x14ac:dyDescent="0.3">
      <c r="A8363" s="15" t="s">
        <v>24265</v>
      </c>
      <c r="B8363" s="15" t="s">
        <v>24266</v>
      </c>
      <c r="C8363" s="18" t="s">
        <v>28</v>
      </c>
      <c r="D8363" s="15" t="s">
        <v>24267</v>
      </c>
      <c r="E8363" s="18" t="s">
        <v>28</v>
      </c>
      <c r="F8363" s="19" t="s">
        <v>28</v>
      </c>
      <c r="G8363" s="19">
        <v>75</v>
      </c>
      <c r="H8363" s="19" t="s">
        <v>28</v>
      </c>
      <c r="I8363" s="18" t="s">
        <v>28</v>
      </c>
      <c r="J8363" s="18" t="s">
        <v>28</v>
      </c>
      <c r="K8363" s="18" t="s">
        <v>28</v>
      </c>
      <c r="L8363" s="18" t="s">
        <v>28</v>
      </c>
      <c r="M8363" s="18" t="s">
        <v>28</v>
      </c>
      <c r="N8363" s="17">
        <v>42978</v>
      </c>
      <c r="O8363" s="15" t="s">
        <v>93</v>
      </c>
      <c r="P8363" s="16" t="s">
        <v>24268</v>
      </c>
      <c r="Q8363" s="15" t="s">
        <v>692</v>
      </c>
      <c r="R8363" s="13" t="str">
        <f>HYPERLINK("https://my.pitchbook.com?c=93744-91T","View Company Online")</f>
        <v>View Company Online</v>
      </c>
    </row>
    <row r="8364" spans="1:18" hidden="1" x14ac:dyDescent="0.3">
      <c r="A8364" s="9" t="s">
        <v>24269</v>
      </c>
      <c r="B8364" s="9" t="s">
        <v>24270</v>
      </c>
      <c r="C8364" s="11" t="s">
        <v>28</v>
      </c>
      <c r="D8364" s="9" t="s">
        <v>24271</v>
      </c>
      <c r="E8364" s="11" t="s">
        <v>28</v>
      </c>
      <c r="F8364" s="10" t="s">
        <v>28</v>
      </c>
      <c r="G8364" s="10" t="s">
        <v>28</v>
      </c>
      <c r="H8364" s="10" t="s">
        <v>28</v>
      </c>
      <c r="I8364" s="11" t="s">
        <v>28</v>
      </c>
      <c r="J8364" s="11" t="s">
        <v>28</v>
      </c>
      <c r="K8364" s="11" t="s">
        <v>28</v>
      </c>
      <c r="L8364" s="11" t="s">
        <v>28</v>
      </c>
      <c r="M8364" s="11" t="s">
        <v>28</v>
      </c>
      <c r="N8364" s="8">
        <v>42978</v>
      </c>
      <c r="O8364" s="9" t="s">
        <v>30</v>
      </c>
      <c r="P8364" s="12" t="s">
        <v>24272</v>
      </c>
      <c r="Q8364" s="9" t="s">
        <v>105</v>
      </c>
      <c r="R8364" s="14" t="str">
        <f>HYPERLINK("https://my.pitchbook.com?c=191990-89T","View Company Online")</f>
        <v>View Company Online</v>
      </c>
    </row>
    <row r="8365" spans="1:18" hidden="1" x14ac:dyDescent="0.3">
      <c r="A8365" s="15" t="s">
        <v>24273</v>
      </c>
      <c r="B8365" s="15" t="s">
        <v>3013</v>
      </c>
      <c r="C8365" s="18" t="s">
        <v>28</v>
      </c>
      <c r="D8365" s="15" t="s">
        <v>3014</v>
      </c>
      <c r="E8365" s="18" t="s">
        <v>28</v>
      </c>
      <c r="F8365" s="19">
        <v>169.52</v>
      </c>
      <c r="G8365" s="19">
        <v>86.45</v>
      </c>
      <c r="H8365" s="19">
        <v>169.52</v>
      </c>
      <c r="I8365" s="18" t="s">
        <v>28</v>
      </c>
      <c r="J8365" s="18" t="s">
        <v>28</v>
      </c>
      <c r="K8365" s="18" t="s">
        <v>28</v>
      </c>
      <c r="L8365" s="18" t="s">
        <v>28</v>
      </c>
      <c r="M8365" s="18" t="s">
        <v>28</v>
      </c>
      <c r="N8365" s="17">
        <v>42978</v>
      </c>
      <c r="O8365" s="15" t="s">
        <v>30</v>
      </c>
      <c r="P8365" s="16" t="s">
        <v>11237</v>
      </c>
      <c r="Q8365" s="15" t="s">
        <v>2043</v>
      </c>
      <c r="R8365" s="13" t="str">
        <f>HYPERLINK("https://my.pitchbook.com?c=97132-96T","View Company Online")</f>
        <v>View Company Online</v>
      </c>
    </row>
    <row r="8366" spans="1:18" hidden="1" x14ac:dyDescent="0.3">
      <c r="A8366" s="9" t="s">
        <v>24274</v>
      </c>
      <c r="B8366" s="9" t="s">
        <v>19569</v>
      </c>
      <c r="C8366" s="11" t="s">
        <v>28</v>
      </c>
      <c r="D8366" s="9" t="s">
        <v>19570</v>
      </c>
      <c r="E8366" s="11" t="s">
        <v>28</v>
      </c>
      <c r="F8366" s="10" t="s">
        <v>28</v>
      </c>
      <c r="G8366" s="10">
        <v>0.79</v>
      </c>
      <c r="H8366" s="10" t="s">
        <v>28</v>
      </c>
      <c r="I8366" s="11" t="s">
        <v>28</v>
      </c>
      <c r="J8366" s="11" t="s">
        <v>28</v>
      </c>
      <c r="K8366" s="11" t="s">
        <v>28</v>
      </c>
      <c r="L8366" s="11" t="s">
        <v>28</v>
      </c>
      <c r="M8366" s="11" t="s">
        <v>28</v>
      </c>
      <c r="N8366" s="8">
        <v>42978</v>
      </c>
      <c r="O8366" s="9" t="s">
        <v>79</v>
      </c>
      <c r="P8366" s="12" t="s">
        <v>24275</v>
      </c>
      <c r="Q8366" s="9" t="s">
        <v>75</v>
      </c>
      <c r="R8366" s="14" t="str">
        <f>HYPERLINK("https://my.pitchbook.com?c=95562-37T","View Company Online")</f>
        <v>View Company Online</v>
      </c>
    </row>
    <row r="8367" spans="1:18" hidden="1" x14ac:dyDescent="0.3">
      <c r="A8367" s="15" t="s">
        <v>24276</v>
      </c>
      <c r="B8367" s="15" t="s">
        <v>17183</v>
      </c>
      <c r="C8367" s="18" t="s">
        <v>28</v>
      </c>
      <c r="D8367" s="15" t="s">
        <v>17184</v>
      </c>
      <c r="E8367" s="18">
        <v>111.56</v>
      </c>
      <c r="F8367" s="19" t="s">
        <v>28</v>
      </c>
      <c r="G8367" s="19" t="s">
        <v>28</v>
      </c>
      <c r="H8367" s="19" t="s">
        <v>28</v>
      </c>
      <c r="I8367" s="18" t="s">
        <v>28</v>
      </c>
      <c r="J8367" s="18" t="s">
        <v>28</v>
      </c>
      <c r="K8367" s="18">
        <v>849.86</v>
      </c>
      <c r="L8367" s="18" t="s">
        <v>28</v>
      </c>
      <c r="M8367" s="18">
        <v>40.799999999999997</v>
      </c>
      <c r="N8367" s="17">
        <v>42977</v>
      </c>
      <c r="O8367" s="15" t="s">
        <v>30</v>
      </c>
      <c r="P8367" s="16" t="s">
        <v>28</v>
      </c>
      <c r="Q8367" s="15" t="s">
        <v>348</v>
      </c>
      <c r="R8367" s="13" t="str">
        <f>HYPERLINK("https://my.pitchbook.com?c=93764-98T","View Company Online")</f>
        <v>View Company Online</v>
      </c>
    </row>
    <row r="8368" spans="1:18" hidden="1" x14ac:dyDescent="0.3">
      <c r="A8368" s="9" t="s">
        <v>24277</v>
      </c>
      <c r="B8368" s="9" t="s">
        <v>4976</v>
      </c>
      <c r="C8368" s="11" t="s">
        <v>28</v>
      </c>
      <c r="D8368" s="9" t="s">
        <v>4977</v>
      </c>
      <c r="E8368" s="11" t="s">
        <v>28</v>
      </c>
      <c r="F8368" s="10" t="s">
        <v>28</v>
      </c>
      <c r="G8368" s="10" t="s">
        <v>28</v>
      </c>
      <c r="H8368" s="10" t="s">
        <v>28</v>
      </c>
      <c r="I8368" s="11" t="s">
        <v>28</v>
      </c>
      <c r="J8368" s="11" t="s">
        <v>28</v>
      </c>
      <c r="K8368" s="11" t="s">
        <v>28</v>
      </c>
      <c r="L8368" s="11" t="s">
        <v>28</v>
      </c>
      <c r="M8368" s="11" t="s">
        <v>28</v>
      </c>
      <c r="N8368" s="8">
        <v>42977</v>
      </c>
      <c r="O8368" s="9" t="s">
        <v>52</v>
      </c>
      <c r="P8368" s="12" t="s">
        <v>16924</v>
      </c>
      <c r="Q8368" s="9" t="s">
        <v>75</v>
      </c>
      <c r="R8368" s="14" t="str">
        <f>HYPERLINK("https://my.pitchbook.com?c=284388-58T","View Company Online")</f>
        <v>View Company Online</v>
      </c>
    </row>
    <row r="8369" spans="1:18" hidden="1" x14ac:dyDescent="0.3">
      <c r="A8369" s="15" t="s">
        <v>24278</v>
      </c>
      <c r="B8369" s="15" t="s">
        <v>24279</v>
      </c>
      <c r="C8369" s="18" t="s">
        <v>28</v>
      </c>
      <c r="D8369" s="15" t="s">
        <v>24280</v>
      </c>
      <c r="E8369" s="18" t="s">
        <v>28</v>
      </c>
      <c r="F8369" s="19" t="s">
        <v>28</v>
      </c>
      <c r="G8369" s="19" t="s">
        <v>28</v>
      </c>
      <c r="H8369" s="19" t="s">
        <v>28</v>
      </c>
      <c r="I8369" s="18" t="s">
        <v>28</v>
      </c>
      <c r="J8369" s="18" t="s">
        <v>28</v>
      </c>
      <c r="K8369" s="18" t="s">
        <v>28</v>
      </c>
      <c r="L8369" s="18" t="s">
        <v>28</v>
      </c>
      <c r="M8369" s="18" t="s">
        <v>28</v>
      </c>
      <c r="N8369" s="17">
        <v>42976</v>
      </c>
      <c r="O8369" s="15" t="s">
        <v>73</v>
      </c>
      <c r="P8369" s="16" t="s">
        <v>11808</v>
      </c>
      <c r="Q8369" s="15" t="s">
        <v>75</v>
      </c>
      <c r="R8369" s="13" t="str">
        <f>HYPERLINK("https://my.pitchbook.com?c=133185-88T","View Company Online")</f>
        <v>View Company Online</v>
      </c>
    </row>
    <row r="8370" spans="1:18" hidden="1" x14ac:dyDescent="0.3">
      <c r="A8370" s="9" t="s">
        <v>24281</v>
      </c>
      <c r="B8370" s="9" t="s">
        <v>22193</v>
      </c>
      <c r="C8370" s="11" t="s">
        <v>28</v>
      </c>
      <c r="D8370" s="9" t="s">
        <v>22194</v>
      </c>
      <c r="E8370" s="11" t="s">
        <v>28</v>
      </c>
      <c r="F8370" s="10" t="s">
        <v>28</v>
      </c>
      <c r="G8370" s="10">
        <v>0.63</v>
      </c>
      <c r="H8370" s="10" t="s">
        <v>28</v>
      </c>
      <c r="I8370" s="11" t="s">
        <v>28</v>
      </c>
      <c r="J8370" s="11" t="s">
        <v>28</v>
      </c>
      <c r="K8370" s="11" t="s">
        <v>28</v>
      </c>
      <c r="L8370" s="11" t="s">
        <v>28</v>
      </c>
      <c r="M8370" s="11" t="s">
        <v>28</v>
      </c>
      <c r="N8370" s="8">
        <v>42976</v>
      </c>
      <c r="O8370" s="9" t="s">
        <v>73</v>
      </c>
      <c r="P8370" s="12" t="s">
        <v>11495</v>
      </c>
      <c r="Q8370" s="9" t="s">
        <v>75</v>
      </c>
      <c r="R8370" s="14" t="str">
        <f>HYPERLINK("https://my.pitchbook.com?c=94879-27T","View Company Online")</f>
        <v>View Company Online</v>
      </c>
    </row>
    <row r="8371" spans="1:18" hidden="1" x14ac:dyDescent="0.3">
      <c r="A8371" s="15" t="s">
        <v>24282</v>
      </c>
      <c r="B8371" s="15" t="s">
        <v>8839</v>
      </c>
      <c r="C8371" s="18" t="s">
        <v>28</v>
      </c>
      <c r="D8371" s="15" t="s">
        <v>8840</v>
      </c>
      <c r="E8371" s="18" t="s">
        <v>28</v>
      </c>
      <c r="F8371" s="19" t="s">
        <v>28</v>
      </c>
      <c r="G8371" s="19">
        <v>0.1</v>
      </c>
      <c r="H8371" s="19" t="s">
        <v>28</v>
      </c>
      <c r="I8371" s="18" t="s">
        <v>28</v>
      </c>
      <c r="J8371" s="18" t="s">
        <v>28</v>
      </c>
      <c r="K8371" s="18" t="s">
        <v>28</v>
      </c>
      <c r="L8371" s="18" t="s">
        <v>28</v>
      </c>
      <c r="M8371" s="18" t="s">
        <v>28</v>
      </c>
      <c r="N8371" s="17">
        <v>42976</v>
      </c>
      <c r="O8371" s="15" t="s">
        <v>79</v>
      </c>
      <c r="P8371" s="16" t="s">
        <v>10628</v>
      </c>
      <c r="Q8371" s="15" t="s">
        <v>386</v>
      </c>
      <c r="R8371" s="13" t="str">
        <f>HYPERLINK("https://my.pitchbook.com?c=170846-65T","View Company Online")</f>
        <v>View Company Online</v>
      </c>
    </row>
    <row r="8372" spans="1:18" hidden="1" x14ac:dyDescent="0.3">
      <c r="A8372" s="9" t="s">
        <v>24283</v>
      </c>
      <c r="B8372" s="9" t="s">
        <v>8090</v>
      </c>
      <c r="C8372" s="11" t="s">
        <v>28</v>
      </c>
      <c r="D8372" s="9" t="s">
        <v>8091</v>
      </c>
      <c r="E8372" s="11" t="s">
        <v>28</v>
      </c>
      <c r="F8372" s="10" t="s">
        <v>28</v>
      </c>
      <c r="G8372" s="10">
        <v>0.47</v>
      </c>
      <c r="H8372" s="10">
        <v>4.75</v>
      </c>
      <c r="I8372" s="11" t="s">
        <v>28</v>
      </c>
      <c r="J8372" s="11" t="s">
        <v>28</v>
      </c>
      <c r="K8372" s="11" t="s">
        <v>28</v>
      </c>
      <c r="L8372" s="11" t="s">
        <v>28</v>
      </c>
      <c r="M8372" s="11" t="s">
        <v>28</v>
      </c>
      <c r="N8372" s="8">
        <v>42975</v>
      </c>
      <c r="O8372" s="9" t="s">
        <v>73</v>
      </c>
      <c r="P8372" s="12" t="s">
        <v>24284</v>
      </c>
      <c r="Q8372" s="9" t="s">
        <v>95</v>
      </c>
      <c r="R8372" s="14" t="str">
        <f>HYPERLINK("https://my.pitchbook.com?c=133414-66T","View Company Online")</f>
        <v>View Company Online</v>
      </c>
    </row>
    <row r="8373" spans="1:18" hidden="1" x14ac:dyDescent="0.3">
      <c r="A8373" s="15" t="s">
        <v>24285</v>
      </c>
      <c r="B8373" s="15" t="s">
        <v>21374</v>
      </c>
      <c r="C8373" s="18" t="s">
        <v>28</v>
      </c>
      <c r="D8373" s="15" t="s">
        <v>21375</v>
      </c>
      <c r="E8373" s="18" t="s">
        <v>28</v>
      </c>
      <c r="F8373" s="19" t="s">
        <v>28</v>
      </c>
      <c r="G8373" s="19" t="s">
        <v>28</v>
      </c>
      <c r="H8373" s="19" t="s">
        <v>28</v>
      </c>
      <c r="I8373" s="18" t="s">
        <v>28</v>
      </c>
      <c r="J8373" s="18" t="s">
        <v>28</v>
      </c>
      <c r="K8373" s="18" t="s">
        <v>28</v>
      </c>
      <c r="L8373" s="18" t="s">
        <v>28</v>
      </c>
      <c r="M8373" s="18" t="s">
        <v>28</v>
      </c>
      <c r="N8373" s="17">
        <v>42975</v>
      </c>
      <c r="O8373" s="15" t="s">
        <v>52</v>
      </c>
      <c r="P8373" s="16" t="s">
        <v>4500</v>
      </c>
      <c r="Q8373" s="15" t="s">
        <v>1035</v>
      </c>
      <c r="R8373" s="13" t="str">
        <f>HYPERLINK("https://my.pitchbook.com?c=276753-70T","View Company Online")</f>
        <v>View Company Online</v>
      </c>
    </row>
    <row r="8374" spans="1:18" hidden="1" x14ac:dyDescent="0.3">
      <c r="A8374" s="9" t="s">
        <v>24286</v>
      </c>
      <c r="B8374" s="9" t="s">
        <v>18892</v>
      </c>
      <c r="C8374" s="11" t="s">
        <v>28</v>
      </c>
      <c r="D8374" s="9" t="s">
        <v>18893</v>
      </c>
      <c r="E8374" s="11" t="s">
        <v>28</v>
      </c>
      <c r="F8374" s="10" t="s">
        <v>28</v>
      </c>
      <c r="G8374" s="10">
        <v>0.05</v>
      </c>
      <c r="H8374" s="10" t="s">
        <v>28</v>
      </c>
      <c r="I8374" s="11" t="s">
        <v>28</v>
      </c>
      <c r="J8374" s="11" t="s">
        <v>28</v>
      </c>
      <c r="K8374" s="11">
        <v>0.31</v>
      </c>
      <c r="L8374" s="11" t="s">
        <v>28</v>
      </c>
      <c r="M8374" s="11" t="s">
        <v>28</v>
      </c>
      <c r="N8374" s="8">
        <v>42974</v>
      </c>
      <c r="O8374" s="9" t="s">
        <v>52</v>
      </c>
      <c r="P8374" s="12" t="s">
        <v>24287</v>
      </c>
      <c r="Q8374" s="9" t="s">
        <v>75</v>
      </c>
      <c r="R8374" s="14" t="str">
        <f>HYPERLINK("https://my.pitchbook.com?c=219878-92T","View Company Online")</f>
        <v>View Company Online</v>
      </c>
    </row>
    <row r="8375" spans="1:18" hidden="1" x14ac:dyDescent="0.3">
      <c r="A8375" s="15" t="s">
        <v>24288</v>
      </c>
      <c r="B8375" s="15" t="s">
        <v>22936</v>
      </c>
      <c r="C8375" s="18" t="s">
        <v>28</v>
      </c>
      <c r="D8375" s="15" t="s">
        <v>22937</v>
      </c>
      <c r="E8375" s="18" t="s">
        <v>28</v>
      </c>
      <c r="F8375" s="19" t="s">
        <v>28</v>
      </c>
      <c r="G8375" s="19" t="s">
        <v>28</v>
      </c>
      <c r="H8375" s="19" t="s">
        <v>28</v>
      </c>
      <c r="I8375" s="18" t="s">
        <v>28</v>
      </c>
      <c r="J8375" s="18" t="s">
        <v>28</v>
      </c>
      <c r="K8375" s="18" t="s">
        <v>28</v>
      </c>
      <c r="L8375" s="18" t="s">
        <v>28</v>
      </c>
      <c r="M8375" s="18" t="s">
        <v>28</v>
      </c>
      <c r="N8375" s="17">
        <v>42972</v>
      </c>
      <c r="O8375" s="15" t="s">
        <v>52</v>
      </c>
      <c r="P8375" s="16" t="s">
        <v>5620</v>
      </c>
      <c r="Q8375" s="15" t="s">
        <v>37</v>
      </c>
      <c r="R8375" s="13" t="str">
        <f>HYPERLINK("https://my.pitchbook.com?c=125280-01T","View Company Online")</f>
        <v>View Company Online</v>
      </c>
    </row>
    <row r="8376" spans="1:18" hidden="1" x14ac:dyDescent="0.3">
      <c r="A8376" s="9" t="s">
        <v>24289</v>
      </c>
      <c r="B8376" s="9" t="s">
        <v>4785</v>
      </c>
      <c r="C8376" s="11" t="s">
        <v>28</v>
      </c>
      <c r="D8376" s="9" t="s">
        <v>4786</v>
      </c>
      <c r="E8376" s="11" t="s">
        <v>28</v>
      </c>
      <c r="F8376" s="10">
        <v>356.66</v>
      </c>
      <c r="G8376" s="10">
        <v>321</v>
      </c>
      <c r="H8376" s="10">
        <v>356.66</v>
      </c>
      <c r="I8376" s="11" t="s">
        <v>28</v>
      </c>
      <c r="J8376" s="11" t="s">
        <v>28</v>
      </c>
      <c r="K8376" s="11" t="s">
        <v>28</v>
      </c>
      <c r="L8376" s="11" t="s">
        <v>28</v>
      </c>
      <c r="M8376" s="11" t="s">
        <v>28</v>
      </c>
      <c r="N8376" s="8">
        <v>42972</v>
      </c>
      <c r="O8376" s="9" t="s">
        <v>30</v>
      </c>
      <c r="P8376" s="12" t="s">
        <v>24290</v>
      </c>
      <c r="Q8376" s="9" t="s">
        <v>136</v>
      </c>
      <c r="R8376" s="14" t="str">
        <f>HYPERLINK("https://my.pitchbook.com?c=93407-77T","View Company Online")</f>
        <v>View Company Online</v>
      </c>
    </row>
    <row r="8377" spans="1:18" hidden="1" x14ac:dyDescent="0.3">
      <c r="A8377" s="15" t="s">
        <v>24291</v>
      </c>
      <c r="B8377" s="15" t="s">
        <v>24292</v>
      </c>
      <c r="C8377" s="18" t="s">
        <v>28</v>
      </c>
      <c r="D8377" s="15" t="s">
        <v>24293</v>
      </c>
      <c r="E8377" s="18" t="s">
        <v>28</v>
      </c>
      <c r="F8377" s="19" t="s">
        <v>28</v>
      </c>
      <c r="G8377" s="19" t="s">
        <v>28</v>
      </c>
      <c r="H8377" s="19" t="s">
        <v>28</v>
      </c>
      <c r="I8377" s="18" t="s">
        <v>28</v>
      </c>
      <c r="J8377" s="18" t="s">
        <v>28</v>
      </c>
      <c r="K8377" s="18" t="s">
        <v>28</v>
      </c>
      <c r="L8377" s="18" t="s">
        <v>28</v>
      </c>
      <c r="M8377" s="18" t="s">
        <v>28</v>
      </c>
      <c r="N8377" s="17">
        <v>42971</v>
      </c>
      <c r="O8377" s="15" t="s">
        <v>52</v>
      </c>
      <c r="P8377" s="16" t="s">
        <v>7022</v>
      </c>
      <c r="Q8377" s="15" t="s">
        <v>386</v>
      </c>
      <c r="R8377" s="13" t="str">
        <f>HYPERLINK("https://my.pitchbook.com?c=100734-40T","View Company Online")</f>
        <v>View Company Online</v>
      </c>
    </row>
    <row r="8378" spans="1:18" hidden="1" x14ac:dyDescent="0.3">
      <c r="A8378" s="9" t="s">
        <v>24294</v>
      </c>
      <c r="B8378" s="9" t="s">
        <v>11305</v>
      </c>
      <c r="C8378" s="11" t="s">
        <v>28</v>
      </c>
      <c r="D8378" s="9" t="s">
        <v>11306</v>
      </c>
      <c r="E8378" s="11" t="s">
        <v>28</v>
      </c>
      <c r="F8378" s="10" t="s">
        <v>28</v>
      </c>
      <c r="G8378" s="10">
        <v>0.46</v>
      </c>
      <c r="H8378" s="10" t="s">
        <v>28</v>
      </c>
      <c r="I8378" s="11" t="s">
        <v>28</v>
      </c>
      <c r="J8378" s="11" t="s">
        <v>28</v>
      </c>
      <c r="K8378" s="11" t="s">
        <v>28</v>
      </c>
      <c r="L8378" s="11" t="s">
        <v>28</v>
      </c>
      <c r="M8378" s="11" t="s">
        <v>28</v>
      </c>
      <c r="N8378" s="8">
        <v>42971</v>
      </c>
      <c r="O8378" s="9" t="s">
        <v>99</v>
      </c>
      <c r="P8378" s="12" t="s">
        <v>24295</v>
      </c>
      <c r="Q8378" s="9" t="s">
        <v>583</v>
      </c>
      <c r="R8378" s="14" t="str">
        <f>HYPERLINK("https://my.pitchbook.com?c=97558-39T","View Company Online")</f>
        <v>View Company Online</v>
      </c>
    </row>
    <row r="8379" spans="1:18" hidden="1" x14ac:dyDescent="0.3">
      <c r="A8379" s="15" t="s">
        <v>24296</v>
      </c>
      <c r="B8379" s="15" t="s">
        <v>24297</v>
      </c>
      <c r="C8379" s="18" t="s">
        <v>28</v>
      </c>
      <c r="D8379" s="15" t="s">
        <v>24298</v>
      </c>
      <c r="E8379" s="18">
        <v>98.8</v>
      </c>
      <c r="F8379" s="19" t="s">
        <v>28</v>
      </c>
      <c r="G8379" s="19" t="s">
        <v>28</v>
      </c>
      <c r="H8379" s="19" t="s">
        <v>28</v>
      </c>
      <c r="I8379" s="18">
        <v>152.74</v>
      </c>
      <c r="J8379" s="18" t="s">
        <v>28</v>
      </c>
      <c r="K8379" s="18">
        <v>1518.9</v>
      </c>
      <c r="L8379" s="18" t="s">
        <v>28</v>
      </c>
      <c r="M8379" s="18">
        <v>119.37</v>
      </c>
      <c r="N8379" s="17">
        <v>42971</v>
      </c>
      <c r="O8379" s="15" t="s">
        <v>30</v>
      </c>
      <c r="P8379" s="16" t="s">
        <v>24299</v>
      </c>
      <c r="Q8379" s="15" t="s">
        <v>348</v>
      </c>
      <c r="R8379" s="13" t="str">
        <f>HYPERLINK("https://my.pitchbook.com?c=90704-71T","View Company Online")</f>
        <v>View Company Online</v>
      </c>
    </row>
    <row r="8380" spans="1:18" hidden="1" x14ac:dyDescent="0.3">
      <c r="A8380" s="9" t="s">
        <v>24300</v>
      </c>
      <c r="B8380" s="9" t="s">
        <v>19695</v>
      </c>
      <c r="C8380" s="11" t="s">
        <v>28</v>
      </c>
      <c r="D8380" s="9" t="s">
        <v>19696</v>
      </c>
      <c r="E8380" s="11" t="s">
        <v>28</v>
      </c>
      <c r="F8380" s="10" t="s">
        <v>28</v>
      </c>
      <c r="G8380" s="10" t="s">
        <v>28</v>
      </c>
      <c r="H8380" s="10" t="s">
        <v>28</v>
      </c>
      <c r="I8380" s="11" t="s">
        <v>28</v>
      </c>
      <c r="J8380" s="11" t="s">
        <v>28</v>
      </c>
      <c r="K8380" s="11" t="s">
        <v>28</v>
      </c>
      <c r="L8380" s="11" t="s">
        <v>28</v>
      </c>
      <c r="M8380" s="11" t="s">
        <v>28</v>
      </c>
      <c r="N8380" s="8">
        <v>42971</v>
      </c>
      <c r="O8380" s="9" t="s">
        <v>30</v>
      </c>
      <c r="P8380" s="12" t="s">
        <v>28</v>
      </c>
      <c r="Q8380" s="9" t="s">
        <v>85</v>
      </c>
      <c r="R8380" s="14" t="str">
        <f>HYPERLINK("https://my.pitchbook.com?c=93299-86T","View Company Online")</f>
        <v>View Company Online</v>
      </c>
    </row>
    <row r="8381" spans="1:18" hidden="1" x14ac:dyDescent="0.3">
      <c r="A8381" s="15" t="s">
        <v>24301</v>
      </c>
      <c r="B8381" s="15" t="s">
        <v>6277</v>
      </c>
      <c r="C8381" s="18" t="s">
        <v>28</v>
      </c>
      <c r="D8381" s="15" t="s">
        <v>6278</v>
      </c>
      <c r="E8381" s="18" t="s">
        <v>28</v>
      </c>
      <c r="F8381" s="19" t="s">
        <v>28</v>
      </c>
      <c r="G8381" s="19" t="s">
        <v>28</v>
      </c>
      <c r="H8381" s="19" t="s">
        <v>28</v>
      </c>
      <c r="I8381" s="18" t="s">
        <v>28</v>
      </c>
      <c r="J8381" s="18" t="s">
        <v>28</v>
      </c>
      <c r="K8381" s="18" t="s">
        <v>28</v>
      </c>
      <c r="L8381" s="18" t="s">
        <v>28</v>
      </c>
      <c r="M8381" s="18" t="s">
        <v>28</v>
      </c>
      <c r="N8381" s="17">
        <v>42971</v>
      </c>
      <c r="O8381" s="15" t="s">
        <v>52</v>
      </c>
      <c r="P8381" s="16" t="s">
        <v>7022</v>
      </c>
      <c r="Q8381" s="15" t="s">
        <v>75</v>
      </c>
      <c r="R8381" s="13" t="str">
        <f>HYPERLINK("https://my.pitchbook.com?c=100717-84T","View Company Online")</f>
        <v>View Company Online</v>
      </c>
    </row>
    <row r="8382" spans="1:18" hidden="1" x14ac:dyDescent="0.3">
      <c r="A8382" s="9" t="s">
        <v>24302</v>
      </c>
      <c r="B8382" s="9" t="s">
        <v>14533</v>
      </c>
      <c r="C8382" s="11" t="s">
        <v>28</v>
      </c>
      <c r="D8382" s="9" t="s">
        <v>14534</v>
      </c>
      <c r="E8382" s="11" t="s">
        <v>28</v>
      </c>
      <c r="F8382" s="10" t="s">
        <v>28</v>
      </c>
      <c r="G8382" s="10">
        <v>1.43</v>
      </c>
      <c r="H8382" s="10" t="s">
        <v>28</v>
      </c>
      <c r="I8382" s="11" t="s">
        <v>28</v>
      </c>
      <c r="J8382" s="11" t="s">
        <v>28</v>
      </c>
      <c r="K8382" s="11" t="s">
        <v>28</v>
      </c>
      <c r="L8382" s="11" t="s">
        <v>28</v>
      </c>
      <c r="M8382" s="11" t="s">
        <v>28</v>
      </c>
      <c r="N8382" s="8">
        <v>42971</v>
      </c>
      <c r="O8382" s="9" t="s">
        <v>99</v>
      </c>
      <c r="P8382" s="12" t="s">
        <v>11495</v>
      </c>
      <c r="Q8382" s="9" t="s">
        <v>75</v>
      </c>
      <c r="R8382" s="14" t="str">
        <f>HYPERLINK("https://my.pitchbook.com?c=94870-00T","View Company Online")</f>
        <v>View Company Online</v>
      </c>
    </row>
    <row r="8383" spans="1:18" hidden="1" x14ac:dyDescent="0.3">
      <c r="A8383" s="15" t="s">
        <v>24303</v>
      </c>
      <c r="B8383" s="15" t="s">
        <v>24304</v>
      </c>
      <c r="C8383" s="18" t="s">
        <v>28</v>
      </c>
      <c r="D8383" s="15" t="s">
        <v>24305</v>
      </c>
      <c r="E8383" s="18" t="s">
        <v>28</v>
      </c>
      <c r="F8383" s="19" t="s">
        <v>28</v>
      </c>
      <c r="G8383" s="19" t="s">
        <v>28</v>
      </c>
      <c r="H8383" s="19" t="s">
        <v>28</v>
      </c>
      <c r="I8383" s="18" t="s">
        <v>28</v>
      </c>
      <c r="J8383" s="18" t="s">
        <v>28</v>
      </c>
      <c r="K8383" s="18" t="s">
        <v>28</v>
      </c>
      <c r="L8383" s="18" t="s">
        <v>28</v>
      </c>
      <c r="M8383" s="18" t="s">
        <v>28</v>
      </c>
      <c r="N8383" s="17">
        <v>42970</v>
      </c>
      <c r="O8383" s="15" t="s">
        <v>52</v>
      </c>
      <c r="P8383" s="16" t="s">
        <v>12362</v>
      </c>
      <c r="Q8383" s="15" t="s">
        <v>69</v>
      </c>
      <c r="R8383" s="13" t="str">
        <f>HYPERLINK("https://my.pitchbook.com?c=284396-05T","View Company Online")</f>
        <v>View Company Online</v>
      </c>
    </row>
    <row r="8384" spans="1:18" hidden="1" x14ac:dyDescent="0.3">
      <c r="A8384" s="9" t="s">
        <v>24306</v>
      </c>
      <c r="B8384" s="9" t="s">
        <v>15828</v>
      </c>
      <c r="C8384" s="11" t="s">
        <v>28</v>
      </c>
      <c r="D8384" s="9" t="s">
        <v>15829</v>
      </c>
      <c r="E8384" s="11" t="s">
        <v>28</v>
      </c>
      <c r="F8384" s="10" t="s">
        <v>28</v>
      </c>
      <c r="G8384" s="10" t="s">
        <v>28</v>
      </c>
      <c r="H8384" s="10" t="s">
        <v>28</v>
      </c>
      <c r="I8384" s="11" t="s">
        <v>28</v>
      </c>
      <c r="J8384" s="11" t="s">
        <v>28</v>
      </c>
      <c r="K8384" s="11" t="s">
        <v>28</v>
      </c>
      <c r="L8384" s="11" t="s">
        <v>28</v>
      </c>
      <c r="M8384" s="11" t="s">
        <v>28</v>
      </c>
      <c r="N8384" s="8">
        <v>42970</v>
      </c>
      <c r="O8384" s="9" t="s">
        <v>52</v>
      </c>
      <c r="P8384" s="12" t="s">
        <v>17549</v>
      </c>
      <c r="Q8384" s="9" t="s">
        <v>69</v>
      </c>
      <c r="R8384" s="14" t="str">
        <f>HYPERLINK("https://my.pitchbook.com?c=284396-41T","View Company Online")</f>
        <v>View Company Online</v>
      </c>
    </row>
    <row r="8385" spans="1:18" hidden="1" x14ac:dyDescent="0.3">
      <c r="A8385" s="15" t="s">
        <v>24307</v>
      </c>
      <c r="B8385" s="15" t="s">
        <v>7035</v>
      </c>
      <c r="C8385" s="18" t="s">
        <v>28</v>
      </c>
      <c r="D8385" s="15" t="s">
        <v>7036</v>
      </c>
      <c r="E8385" s="18" t="s">
        <v>28</v>
      </c>
      <c r="F8385" s="19" t="s">
        <v>28</v>
      </c>
      <c r="G8385" s="19">
        <v>0.12</v>
      </c>
      <c r="H8385" s="19">
        <v>1.71</v>
      </c>
      <c r="I8385" s="18" t="s">
        <v>28</v>
      </c>
      <c r="J8385" s="18" t="s">
        <v>28</v>
      </c>
      <c r="K8385" s="18" t="s">
        <v>28</v>
      </c>
      <c r="L8385" s="18" t="s">
        <v>28</v>
      </c>
      <c r="M8385" s="18" t="s">
        <v>28</v>
      </c>
      <c r="N8385" s="17">
        <v>42969</v>
      </c>
      <c r="O8385" s="15" t="s">
        <v>52</v>
      </c>
      <c r="P8385" s="16" t="s">
        <v>3944</v>
      </c>
      <c r="Q8385" s="15" t="s">
        <v>37</v>
      </c>
      <c r="R8385" s="13" t="str">
        <f>HYPERLINK("https://my.pitchbook.com?c=93191-95T","View Company Online")</f>
        <v>View Company Online</v>
      </c>
    </row>
    <row r="8386" spans="1:18" hidden="1" x14ac:dyDescent="0.3">
      <c r="A8386" s="9" t="s">
        <v>24308</v>
      </c>
      <c r="B8386" s="9" t="s">
        <v>24309</v>
      </c>
      <c r="C8386" s="11" t="s">
        <v>28</v>
      </c>
      <c r="D8386" s="9" t="s">
        <v>24310</v>
      </c>
      <c r="E8386" s="11" t="s">
        <v>28</v>
      </c>
      <c r="F8386" s="10">
        <v>103.3</v>
      </c>
      <c r="G8386" s="10">
        <v>103.3</v>
      </c>
      <c r="H8386" s="10">
        <v>103.3</v>
      </c>
      <c r="I8386" s="11" t="s">
        <v>28</v>
      </c>
      <c r="J8386" s="11" t="s">
        <v>28</v>
      </c>
      <c r="K8386" s="11" t="s">
        <v>28</v>
      </c>
      <c r="L8386" s="11" t="s">
        <v>28</v>
      </c>
      <c r="M8386" s="11" t="s">
        <v>28</v>
      </c>
      <c r="N8386" s="8">
        <v>42969</v>
      </c>
      <c r="O8386" s="9" t="s">
        <v>30</v>
      </c>
      <c r="P8386" s="12" t="s">
        <v>24311</v>
      </c>
      <c r="Q8386" s="9" t="s">
        <v>136</v>
      </c>
      <c r="R8386" s="14" t="str">
        <f>HYPERLINK("https://my.pitchbook.com?c=93259-45T","View Company Online")</f>
        <v>View Company Online</v>
      </c>
    </row>
    <row r="8387" spans="1:18" hidden="1" x14ac:dyDescent="0.3">
      <c r="A8387" s="15" t="s">
        <v>24312</v>
      </c>
      <c r="B8387" s="15" t="s">
        <v>24313</v>
      </c>
      <c r="C8387" s="18" t="s">
        <v>28</v>
      </c>
      <c r="D8387" s="15" t="s">
        <v>24314</v>
      </c>
      <c r="E8387" s="18" t="s">
        <v>28</v>
      </c>
      <c r="F8387" s="19">
        <v>356.6</v>
      </c>
      <c r="G8387" s="19">
        <v>214</v>
      </c>
      <c r="H8387" s="19">
        <v>356.6</v>
      </c>
      <c r="I8387" s="18" t="s">
        <v>28</v>
      </c>
      <c r="J8387" s="18" t="s">
        <v>28</v>
      </c>
      <c r="K8387" s="18" t="s">
        <v>28</v>
      </c>
      <c r="L8387" s="18" t="s">
        <v>28</v>
      </c>
      <c r="M8387" s="18" t="s">
        <v>28</v>
      </c>
      <c r="N8387" s="17">
        <v>42968</v>
      </c>
      <c r="O8387" s="15" t="s">
        <v>30</v>
      </c>
      <c r="P8387" s="16" t="s">
        <v>24315</v>
      </c>
      <c r="Q8387" s="15" t="s">
        <v>753</v>
      </c>
      <c r="R8387" s="13" t="str">
        <f>HYPERLINK("https://my.pitchbook.com?c=291902-50T","View Company Online")</f>
        <v>View Company Online</v>
      </c>
    </row>
    <row r="8388" spans="1:18" hidden="1" x14ac:dyDescent="0.3">
      <c r="A8388" s="9" t="s">
        <v>24316</v>
      </c>
      <c r="B8388" s="9" t="s">
        <v>15694</v>
      </c>
      <c r="C8388" s="11" t="s">
        <v>28</v>
      </c>
      <c r="D8388" s="9" t="s">
        <v>15695</v>
      </c>
      <c r="E8388" s="11" t="s">
        <v>28</v>
      </c>
      <c r="F8388" s="10" t="s">
        <v>28</v>
      </c>
      <c r="G8388" s="10" t="s">
        <v>28</v>
      </c>
      <c r="H8388" s="10" t="s">
        <v>28</v>
      </c>
      <c r="I8388" s="11" t="s">
        <v>28</v>
      </c>
      <c r="J8388" s="11" t="s">
        <v>28</v>
      </c>
      <c r="K8388" s="11" t="s">
        <v>28</v>
      </c>
      <c r="L8388" s="11" t="s">
        <v>28</v>
      </c>
      <c r="M8388" s="11" t="s">
        <v>28</v>
      </c>
      <c r="N8388" s="8">
        <v>42968</v>
      </c>
      <c r="O8388" s="9" t="s">
        <v>52</v>
      </c>
      <c r="P8388" s="12" t="s">
        <v>4500</v>
      </c>
      <c r="Q8388" s="9" t="s">
        <v>114</v>
      </c>
      <c r="R8388" s="14" t="str">
        <f>HYPERLINK("https://my.pitchbook.com?c=250960-96T","View Company Online")</f>
        <v>View Company Online</v>
      </c>
    </row>
    <row r="8389" spans="1:18" hidden="1" x14ac:dyDescent="0.3">
      <c r="A8389" s="15" t="s">
        <v>24317</v>
      </c>
      <c r="B8389" s="15" t="s">
        <v>24318</v>
      </c>
      <c r="C8389" s="18" t="s">
        <v>28</v>
      </c>
      <c r="D8389" s="15" t="s">
        <v>24319</v>
      </c>
      <c r="E8389" s="18" t="s">
        <v>28</v>
      </c>
      <c r="F8389" s="19" t="s">
        <v>28</v>
      </c>
      <c r="G8389" s="19" t="s">
        <v>28</v>
      </c>
      <c r="H8389" s="19" t="s">
        <v>28</v>
      </c>
      <c r="I8389" s="18" t="s">
        <v>28</v>
      </c>
      <c r="J8389" s="18" t="s">
        <v>28</v>
      </c>
      <c r="K8389" s="18" t="s">
        <v>28</v>
      </c>
      <c r="L8389" s="18" t="s">
        <v>28</v>
      </c>
      <c r="M8389" s="18" t="s">
        <v>28</v>
      </c>
      <c r="N8389" s="17">
        <v>42968</v>
      </c>
      <c r="O8389" s="15" t="s">
        <v>52</v>
      </c>
      <c r="P8389" s="16" t="s">
        <v>4500</v>
      </c>
      <c r="Q8389" s="15" t="s">
        <v>114</v>
      </c>
      <c r="R8389" s="13" t="str">
        <f>HYPERLINK("https://my.pitchbook.com?c=276119-02T","View Company Online")</f>
        <v>View Company Online</v>
      </c>
    </row>
    <row r="8390" spans="1:18" hidden="1" x14ac:dyDescent="0.3">
      <c r="A8390" s="9" t="s">
        <v>24320</v>
      </c>
      <c r="B8390" s="9" t="s">
        <v>24321</v>
      </c>
      <c r="C8390" s="11" t="s">
        <v>28</v>
      </c>
      <c r="D8390" s="9" t="s">
        <v>24322</v>
      </c>
      <c r="E8390" s="11" t="s">
        <v>28</v>
      </c>
      <c r="F8390" s="10" t="s">
        <v>28</v>
      </c>
      <c r="G8390" s="10" t="s">
        <v>28</v>
      </c>
      <c r="H8390" s="10" t="s">
        <v>28</v>
      </c>
      <c r="I8390" s="11" t="s">
        <v>28</v>
      </c>
      <c r="J8390" s="11" t="s">
        <v>28</v>
      </c>
      <c r="K8390" s="11" t="s">
        <v>28</v>
      </c>
      <c r="L8390" s="11" t="s">
        <v>28</v>
      </c>
      <c r="M8390" s="11" t="s">
        <v>28</v>
      </c>
      <c r="N8390" s="8">
        <v>42965</v>
      </c>
      <c r="O8390" s="9" t="s">
        <v>52</v>
      </c>
      <c r="P8390" s="12" t="s">
        <v>11539</v>
      </c>
      <c r="Q8390" s="9" t="s">
        <v>75</v>
      </c>
      <c r="R8390" s="14" t="str">
        <f>HYPERLINK("https://my.pitchbook.com?c=133037-56T","View Company Online")</f>
        <v>View Company Online</v>
      </c>
    </row>
    <row r="8391" spans="1:18" hidden="1" x14ac:dyDescent="0.3">
      <c r="A8391" s="15" t="s">
        <v>24323</v>
      </c>
      <c r="B8391" s="15" t="s">
        <v>1614</v>
      </c>
      <c r="C8391" s="18" t="s">
        <v>28</v>
      </c>
      <c r="D8391" s="15" t="s">
        <v>1615</v>
      </c>
      <c r="E8391" s="18" t="s">
        <v>28</v>
      </c>
      <c r="F8391" s="19" t="s">
        <v>28</v>
      </c>
      <c r="G8391" s="19">
        <v>0.19</v>
      </c>
      <c r="H8391" s="19" t="s">
        <v>28</v>
      </c>
      <c r="I8391" s="18" t="s">
        <v>28</v>
      </c>
      <c r="J8391" s="18" t="s">
        <v>28</v>
      </c>
      <c r="K8391" s="18" t="s">
        <v>28</v>
      </c>
      <c r="L8391" s="18" t="s">
        <v>28</v>
      </c>
      <c r="M8391" s="18" t="s">
        <v>28</v>
      </c>
      <c r="N8391" s="17">
        <v>42964</v>
      </c>
      <c r="O8391" s="15" t="s">
        <v>73</v>
      </c>
      <c r="P8391" s="16" t="s">
        <v>24324</v>
      </c>
      <c r="Q8391" s="15" t="s">
        <v>37</v>
      </c>
      <c r="R8391" s="13" t="str">
        <f>HYPERLINK("https://my.pitchbook.com?c=100719-73T","View Company Online")</f>
        <v>View Company Online</v>
      </c>
    </row>
    <row r="8392" spans="1:18" hidden="1" x14ac:dyDescent="0.3">
      <c r="A8392" s="9" t="s">
        <v>24325</v>
      </c>
      <c r="B8392" s="9" t="s">
        <v>1013</v>
      </c>
      <c r="C8392" s="11" t="s">
        <v>28</v>
      </c>
      <c r="D8392" s="9" t="s">
        <v>1014</v>
      </c>
      <c r="E8392" s="11" t="s">
        <v>28</v>
      </c>
      <c r="F8392" s="10" t="s">
        <v>28</v>
      </c>
      <c r="G8392" s="10" t="s">
        <v>28</v>
      </c>
      <c r="H8392" s="10" t="s">
        <v>28</v>
      </c>
      <c r="I8392" s="11" t="s">
        <v>28</v>
      </c>
      <c r="J8392" s="11" t="s">
        <v>28</v>
      </c>
      <c r="K8392" s="11" t="s">
        <v>28</v>
      </c>
      <c r="L8392" s="11" t="s">
        <v>28</v>
      </c>
      <c r="M8392" s="11" t="s">
        <v>28</v>
      </c>
      <c r="N8392" s="8">
        <v>42964</v>
      </c>
      <c r="O8392" s="9" t="s">
        <v>52</v>
      </c>
      <c r="P8392" s="12" t="s">
        <v>1792</v>
      </c>
      <c r="Q8392" s="9" t="s">
        <v>75</v>
      </c>
      <c r="R8392" s="14" t="str">
        <f>HYPERLINK("https://my.pitchbook.com?c=123100-21T","View Company Online")</f>
        <v>View Company Online</v>
      </c>
    </row>
    <row r="8393" spans="1:18" hidden="1" x14ac:dyDescent="0.3">
      <c r="A8393" s="15" t="s">
        <v>24326</v>
      </c>
      <c r="B8393" s="15" t="s">
        <v>15774</v>
      </c>
      <c r="C8393" s="18" t="s">
        <v>28</v>
      </c>
      <c r="D8393" s="15" t="s">
        <v>15775</v>
      </c>
      <c r="E8393" s="18" t="s">
        <v>28</v>
      </c>
      <c r="F8393" s="19" t="s">
        <v>28</v>
      </c>
      <c r="G8393" s="19" t="s">
        <v>28</v>
      </c>
      <c r="H8393" s="19" t="s">
        <v>28</v>
      </c>
      <c r="I8393" s="18" t="s">
        <v>28</v>
      </c>
      <c r="J8393" s="18" t="s">
        <v>28</v>
      </c>
      <c r="K8393" s="18" t="s">
        <v>28</v>
      </c>
      <c r="L8393" s="18" t="s">
        <v>28</v>
      </c>
      <c r="M8393" s="18" t="s">
        <v>28</v>
      </c>
      <c r="N8393" s="17">
        <v>42964</v>
      </c>
      <c r="O8393" s="15" t="s">
        <v>52</v>
      </c>
      <c r="P8393" s="16" t="s">
        <v>12362</v>
      </c>
      <c r="Q8393" s="15" t="s">
        <v>75</v>
      </c>
      <c r="R8393" s="13" t="str">
        <f>HYPERLINK("https://my.pitchbook.com?c=104457-70T","View Company Online")</f>
        <v>View Company Online</v>
      </c>
    </row>
    <row r="8394" spans="1:18" hidden="1" x14ac:dyDescent="0.3">
      <c r="A8394" s="9" t="s">
        <v>24327</v>
      </c>
      <c r="B8394" s="9" t="s">
        <v>24328</v>
      </c>
      <c r="C8394" s="11" t="s">
        <v>28</v>
      </c>
      <c r="D8394" s="9" t="s">
        <v>24329</v>
      </c>
      <c r="E8394" s="11" t="s">
        <v>28</v>
      </c>
      <c r="F8394" s="10" t="s">
        <v>28</v>
      </c>
      <c r="G8394" s="10">
        <v>220</v>
      </c>
      <c r="H8394" s="10">
        <v>220</v>
      </c>
      <c r="I8394" s="11" t="s">
        <v>28</v>
      </c>
      <c r="J8394" s="11" t="s">
        <v>28</v>
      </c>
      <c r="K8394" s="11" t="s">
        <v>28</v>
      </c>
      <c r="L8394" s="11" t="s">
        <v>28</v>
      </c>
      <c r="M8394" s="11" t="s">
        <v>28</v>
      </c>
      <c r="N8394" s="8">
        <v>42963</v>
      </c>
      <c r="O8394" s="9" t="s">
        <v>30</v>
      </c>
      <c r="P8394" s="12" t="s">
        <v>24330</v>
      </c>
      <c r="Q8394" s="9" t="s">
        <v>59</v>
      </c>
      <c r="R8394" s="14" t="str">
        <f>HYPERLINK("https://my.pitchbook.com?c=67835-08T","View Company Online")</f>
        <v>View Company Online</v>
      </c>
    </row>
    <row r="8395" spans="1:18" hidden="1" x14ac:dyDescent="0.3">
      <c r="A8395" s="15" t="s">
        <v>24331</v>
      </c>
      <c r="B8395" s="15" t="s">
        <v>24332</v>
      </c>
      <c r="C8395" s="18" t="s">
        <v>28</v>
      </c>
      <c r="D8395" s="15" t="s">
        <v>24333</v>
      </c>
      <c r="E8395" s="18" t="s">
        <v>28</v>
      </c>
      <c r="F8395" s="19">
        <v>760.6</v>
      </c>
      <c r="G8395" s="19">
        <v>380.3</v>
      </c>
      <c r="H8395" s="19">
        <v>760.6</v>
      </c>
      <c r="I8395" s="18" t="s">
        <v>28</v>
      </c>
      <c r="J8395" s="18" t="s">
        <v>28</v>
      </c>
      <c r="K8395" s="18" t="s">
        <v>28</v>
      </c>
      <c r="L8395" s="18" t="s">
        <v>28</v>
      </c>
      <c r="M8395" s="18" t="s">
        <v>28</v>
      </c>
      <c r="N8395" s="17">
        <v>42963</v>
      </c>
      <c r="O8395" s="15" t="s">
        <v>30</v>
      </c>
      <c r="P8395" s="16" t="s">
        <v>24334</v>
      </c>
      <c r="Q8395" s="15" t="s">
        <v>5347</v>
      </c>
      <c r="R8395" s="13" t="str">
        <f>HYPERLINK("https://my.pitchbook.com?c=90171-82T","View Company Online")</f>
        <v>View Company Online</v>
      </c>
    </row>
    <row r="8396" spans="1:18" hidden="1" x14ac:dyDescent="0.3">
      <c r="A8396" s="9" t="s">
        <v>24335</v>
      </c>
      <c r="B8396" s="9" t="s">
        <v>18751</v>
      </c>
      <c r="C8396" s="11" t="s">
        <v>28</v>
      </c>
      <c r="D8396" s="9" t="s">
        <v>18752</v>
      </c>
      <c r="E8396" s="11" t="s">
        <v>28</v>
      </c>
      <c r="F8396" s="10" t="s">
        <v>28</v>
      </c>
      <c r="G8396" s="10" t="s">
        <v>28</v>
      </c>
      <c r="H8396" s="10" t="s">
        <v>28</v>
      </c>
      <c r="I8396" s="11" t="s">
        <v>28</v>
      </c>
      <c r="J8396" s="11" t="s">
        <v>28</v>
      </c>
      <c r="K8396" s="11" t="s">
        <v>28</v>
      </c>
      <c r="L8396" s="11" t="s">
        <v>28</v>
      </c>
      <c r="M8396" s="11" t="s">
        <v>28</v>
      </c>
      <c r="N8396" s="8">
        <v>42963</v>
      </c>
      <c r="O8396" s="9" t="s">
        <v>52</v>
      </c>
      <c r="P8396" s="12" t="s">
        <v>24336</v>
      </c>
      <c r="Q8396" s="9" t="s">
        <v>4773</v>
      </c>
      <c r="R8396" s="14" t="str">
        <f>HYPERLINK("https://my.pitchbook.com?c=110577-52T","View Company Online")</f>
        <v>View Company Online</v>
      </c>
    </row>
    <row r="8397" spans="1:18" hidden="1" x14ac:dyDescent="0.3">
      <c r="A8397" s="15" t="s">
        <v>24337</v>
      </c>
      <c r="B8397" s="15" t="s">
        <v>1260</v>
      </c>
      <c r="C8397" s="18" t="s">
        <v>28</v>
      </c>
      <c r="D8397" s="15" t="s">
        <v>1261</v>
      </c>
      <c r="E8397" s="18" t="s">
        <v>28</v>
      </c>
      <c r="F8397" s="19" t="s">
        <v>28</v>
      </c>
      <c r="G8397" s="19">
        <v>1.58</v>
      </c>
      <c r="H8397" s="19" t="s">
        <v>28</v>
      </c>
      <c r="I8397" s="18" t="s">
        <v>28</v>
      </c>
      <c r="J8397" s="18" t="s">
        <v>28</v>
      </c>
      <c r="K8397" s="18" t="s">
        <v>28</v>
      </c>
      <c r="L8397" s="18" t="s">
        <v>28</v>
      </c>
      <c r="M8397" s="18" t="s">
        <v>28</v>
      </c>
      <c r="N8397" s="17">
        <v>42962</v>
      </c>
      <c r="O8397" s="15" t="s">
        <v>73</v>
      </c>
      <c r="P8397" s="16" t="s">
        <v>24338</v>
      </c>
      <c r="Q8397" s="15" t="s">
        <v>1263</v>
      </c>
      <c r="R8397" s="13" t="str">
        <f>HYPERLINK("https://my.pitchbook.com?c=136121-77T","View Company Online")</f>
        <v>View Company Online</v>
      </c>
    </row>
    <row r="8398" spans="1:18" hidden="1" x14ac:dyDescent="0.3">
      <c r="A8398" s="9" t="s">
        <v>24339</v>
      </c>
      <c r="B8398" s="9" t="s">
        <v>24340</v>
      </c>
      <c r="C8398" s="11" t="s">
        <v>28</v>
      </c>
      <c r="D8398" s="9" t="s">
        <v>24341</v>
      </c>
      <c r="E8398" s="11" t="s">
        <v>28</v>
      </c>
      <c r="F8398" s="10" t="s">
        <v>28</v>
      </c>
      <c r="G8398" s="10" t="s">
        <v>28</v>
      </c>
      <c r="H8398" s="10" t="s">
        <v>28</v>
      </c>
      <c r="I8398" s="11" t="s">
        <v>28</v>
      </c>
      <c r="J8398" s="11" t="s">
        <v>28</v>
      </c>
      <c r="K8398" s="11" t="s">
        <v>28</v>
      </c>
      <c r="L8398" s="11" t="s">
        <v>28</v>
      </c>
      <c r="M8398" s="11" t="s">
        <v>28</v>
      </c>
      <c r="N8398" s="8">
        <v>42962</v>
      </c>
      <c r="O8398" s="9" t="s">
        <v>41</v>
      </c>
      <c r="P8398" s="12" t="s">
        <v>24342</v>
      </c>
      <c r="Q8398" s="9" t="s">
        <v>1536</v>
      </c>
      <c r="R8398" s="14" t="str">
        <f>HYPERLINK("https://my.pitchbook.com?c=275035-87T","View Company Online")</f>
        <v>View Company Online</v>
      </c>
    </row>
    <row r="8399" spans="1:18" hidden="1" x14ac:dyDescent="0.3">
      <c r="A8399" s="15" t="s">
        <v>24343</v>
      </c>
      <c r="B8399" s="15" t="s">
        <v>24344</v>
      </c>
      <c r="C8399" s="18" t="s">
        <v>28</v>
      </c>
      <c r="D8399" s="15" t="s">
        <v>24345</v>
      </c>
      <c r="E8399" s="18" t="s">
        <v>28</v>
      </c>
      <c r="F8399" s="19" t="s">
        <v>28</v>
      </c>
      <c r="G8399" s="19" t="s">
        <v>28</v>
      </c>
      <c r="H8399" s="19" t="s">
        <v>28</v>
      </c>
      <c r="I8399" s="18" t="s">
        <v>28</v>
      </c>
      <c r="J8399" s="18" t="s">
        <v>28</v>
      </c>
      <c r="K8399" s="18" t="s">
        <v>28</v>
      </c>
      <c r="L8399" s="18" t="s">
        <v>28</v>
      </c>
      <c r="M8399" s="18" t="s">
        <v>28</v>
      </c>
      <c r="N8399" s="17">
        <v>42962</v>
      </c>
      <c r="O8399" s="15" t="s">
        <v>30</v>
      </c>
      <c r="P8399" s="16" t="s">
        <v>24346</v>
      </c>
      <c r="Q8399" s="15" t="s">
        <v>75</v>
      </c>
      <c r="R8399" s="13" t="str">
        <f>HYPERLINK("https://my.pitchbook.com?c=212312-98T","View Company Online")</f>
        <v>View Company Online</v>
      </c>
    </row>
    <row r="8400" spans="1:18" hidden="1" x14ac:dyDescent="0.3">
      <c r="A8400" s="9" t="s">
        <v>24347</v>
      </c>
      <c r="B8400" s="9" t="s">
        <v>24348</v>
      </c>
      <c r="C8400" s="11" t="s">
        <v>28</v>
      </c>
      <c r="D8400" s="9" t="s">
        <v>24349</v>
      </c>
      <c r="E8400" s="11" t="s">
        <v>28</v>
      </c>
      <c r="F8400" s="10" t="s">
        <v>28</v>
      </c>
      <c r="G8400" s="10">
        <v>1.36</v>
      </c>
      <c r="H8400" s="10" t="s">
        <v>28</v>
      </c>
      <c r="I8400" s="11" t="s">
        <v>28</v>
      </c>
      <c r="J8400" s="11" t="s">
        <v>28</v>
      </c>
      <c r="K8400" s="11" t="s">
        <v>28</v>
      </c>
      <c r="L8400" s="11" t="s">
        <v>28</v>
      </c>
      <c r="M8400" s="11" t="s">
        <v>28</v>
      </c>
      <c r="N8400" s="8">
        <v>42961</v>
      </c>
      <c r="O8400" s="9" t="s">
        <v>79</v>
      </c>
      <c r="P8400" s="12" t="s">
        <v>24350</v>
      </c>
      <c r="Q8400" s="9" t="s">
        <v>235</v>
      </c>
      <c r="R8400" s="14" t="str">
        <f>HYPERLINK("https://my.pitchbook.com?c=92600-56T","View Company Online")</f>
        <v>View Company Online</v>
      </c>
    </row>
    <row r="8401" spans="1:18" hidden="1" x14ac:dyDescent="0.3">
      <c r="A8401" s="15" t="s">
        <v>24351</v>
      </c>
      <c r="B8401" s="15" t="s">
        <v>24352</v>
      </c>
      <c r="C8401" s="18" t="s">
        <v>28</v>
      </c>
      <c r="D8401" s="15" t="s">
        <v>24353</v>
      </c>
      <c r="E8401" s="18" t="s">
        <v>28</v>
      </c>
      <c r="F8401" s="19">
        <v>1530</v>
      </c>
      <c r="G8401" s="19">
        <v>1530</v>
      </c>
      <c r="H8401" s="19">
        <v>1530</v>
      </c>
      <c r="I8401" s="18" t="s">
        <v>28</v>
      </c>
      <c r="J8401" s="18" t="s">
        <v>28</v>
      </c>
      <c r="K8401" s="18" t="s">
        <v>28</v>
      </c>
      <c r="L8401" s="18" t="s">
        <v>28</v>
      </c>
      <c r="M8401" s="18" t="s">
        <v>28</v>
      </c>
      <c r="N8401" s="17">
        <v>42961</v>
      </c>
      <c r="O8401" s="15" t="s">
        <v>30</v>
      </c>
      <c r="P8401" s="16" t="s">
        <v>63</v>
      </c>
      <c r="Q8401" s="15" t="s">
        <v>160</v>
      </c>
      <c r="R8401" s="13" t="str">
        <f>HYPERLINK("https://my.pitchbook.com?c=114452-47T","View Company Online")</f>
        <v>View Company Online</v>
      </c>
    </row>
    <row r="8402" spans="1:18" hidden="1" x14ac:dyDescent="0.3">
      <c r="A8402" s="9" t="s">
        <v>24354</v>
      </c>
      <c r="B8402" s="9" t="s">
        <v>9740</v>
      </c>
      <c r="C8402" s="11" t="s">
        <v>28</v>
      </c>
      <c r="D8402" s="9" t="s">
        <v>9741</v>
      </c>
      <c r="E8402" s="11" t="s">
        <v>28</v>
      </c>
      <c r="F8402" s="10" t="s">
        <v>28</v>
      </c>
      <c r="G8402" s="10">
        <v>0.47</v>
      </c>
      <c r="H8402" s="10" t="s">
        <v>28</v>
      </c>
      <c r="I8402" s="11" t="s">
        <v>28</v>
      </c>
      <c r="J8402" s="11" t="s">
        <v>28</v>
      </c>
      <c r="K8402" s="11" t="s">
        <v>28</v>
      </c>
      <c r="L8402" s="11" t="s">
        <v>28</v>
      </c>
      <c r="M8402" s="11" t="s">
        <v>28</v>
      </c>
      <c r="N8402" s="8">
        <v>42957</v>
      </c>
      <c r="O8402" s="9" t="s">
        <v>99</v>
      </c>
      <c r="P8402" s="12" t="s">
        <v>18465</v>
      </c>
      <c r="Q8402" s="9" t="s">
        <v>75</v>
      </c>
      <c r="R8402" s="14" t="str">
        <f>HYPERLINK("https://my.pitchbook.com?c=94335-67T","View Company Online")</f>
        <v>View Company Online</v>
      </c>
    </row>
    <row r="8403" spans="1:18" hidden="1" x14ac:dyDescent="0.3">
      <c r="A8403" s="15" t="s">
        <v>24355</v>
      </c>
      <c r="B8403" s="15" t="s">
        <v>24356</v>
      </c>
      <c r="C8403" s="18" t="s">
        <v>28</v>
      </c>
      <c r="D8403" s="15" t="s">
        <v>24357</v>
      </c>
      <c r="E8403" s="18" t="s">
        <v>28</v>
      </c>
      <c r="F8403" s="19" t="s">
        <v>28</v>
      </c>
      <c r="G8403" s="19">
        <v>4.1100000000000003</v>
      </c>
      <c r="H8403" s="19" t="s">
        <v>28</v>
      </c>
      <c r="I8403" s="18" t="s">
        <v>28</v>
      </c>
      <c r="J8403" s="18" t="s">
        <v>28</v>
      </c>
      <c r="K8403" s="18" t="s">
        <v>28</v>
      </c>
      <c r="L8403" s="18" t="s">
        <v>28</v>
      </c>
      <c r="M8403" s="18" t="s">
        <v>28</v>
      </c>
      <c r="N8403" s="17">
        <v>42957</v>
      </c>
      <c r="O8403" s="15" t="s">
        <v>79</v>
      </c>
      <c r="P8403" s="16" t="s">
        <v>21205</v>
      </c>
      <c r="Q8403" s="15" t="s">
        <v>245</v>
      </c>
      <c r="R8403" s="13" t="str">
        <f>HYPERLINK("https://my.pitchbook.com?c=210787-57T","View Company Online")</f>
        <v>View Company Online</v>
      </c>
    </row>
    <row r="8404" spans="1:18" hidden="1" x14ac:dyDescent="0.3">
      <c r="A8404" s="9" t="s">
        <v>24358</v>
      </c>
      <c r="B8404" s="9" t="s">
        <v>24359</v>
      </c>
      <c r="C8404" s="11" t="s">
        <v>28</v>
      </c>
      <c r="D8404" s="9" t="s">
        <v>24360</v>
      </c>
      <c r="E8404" s="11" t="s">
        <v>28</v>
      </c>
      <c r="F8404" s="10">
        <v>88.49</v>
      </c>
      <c r="G8404" s="10">
        <v>88.49</v>
      </c>
      <c r="H8404" s="10">
        <v>88.49</v>
      </c>
      <c r="I8404" s="11" t="s">
        <v>28</v>
      </c>
      <c r="J8404" s="11" t="s">
        <v>28</v>
      </c>
      <c r="K8404" s="11" t="s">
        <v>28</v>
      </c>
      <c r="L8404" s="11" t="s">
        <v>28</v>
      </c>
      <c r="M8404" s="11" t="s">
        <v>28</v>
      </c>
      <c r="N8404" s="8">
        <v>42955</v>
      </c>
      <c r="O8404" s="9" t="s">
        <v>30</v>
      </c>
      <c r="P8404" s="12" t="s">
        <v>24361</v>
      </c>
      <c r="Q8404" s="9" t="s">
        <v>669</v>
      </c>
      <c r="R8404" s="14" t="str">
        <f>HYPERLINK("https://my.pitchbook.com?c=96352-39T","View Company Online")</f>
        <v>View Company Online</v>
      </c>
    </row>
    <row r="8405" spans="1:18" hidden="1" x14ac:dyDescent="0.3">
      <c r="A8405" s="15" t="s">
        <v>24362</v>
      </c>
      <c r="B8405" s="15" t="s">
        <v>24363</v>
      </c>
      <c r="C8405" s="18" t="s">
        <v>28</v>
      </c>
      <c r="D8405" s="15" t="s">
        <v>24364</v>
      </c>
      <c r="E8405" s="18" t="s">
        <v>28</v>
      </c>
      <c r="F8405" s="19" t="s">
        <v>28</v>
      </c>
      <c r="G8405" s="19" t="s">
        <v>28</v>
      </c>
      <c r="H8405" s="19" t="s">
        <v>28</v>
      </c>
      <c r="I8405" s="18" t="s">
        <v>28</v>
      </c>
      <c r="J8405" s="18" t="s">
        <v>28</v>
      </c>
      <c r="K8405" s="18" t="s">
        <v>28</v>
      </c>
      <c r="L8405" s="18" t="s">
        <v>28</v>
      </c>
      <c r="M8405" s="18" t="s">
        <v>28</v>
      </c>
      <c r="N8405" s="17">
        <v>42955</v>
      </c>
      <c r="O8405" s="15" t="s">
        <v>30</v>
      </c>
      <c r="P8405" s="16" t="s">
        <v>24365</v>
      </c>
      <c r="Q8405" s="15" t="s">
        <v>245</v>
      </c>
      <c r="R8405" s="13" t="str">
        <f>HYPERLINK("https://my.pitchbook.com?c=92388-52T","View Company Online")</f>
        <v>View Company Online</v>
      </c>
    </row>
    <row r="8406" spans="1:18" hidden="1" x14ac:dyDescent="0.3">
      <c r="A8406" s="9" t="s">
        <v>24366</v>
      </c>
      <c r="B8406" s="9" t="s">
        <v>24367</v>
      </c>
      <c r="C8406" s="11" t="s">
        <v>28</v>
      </c>
      <c r="D8406" s="9" t="s">
        <v>24368</v>
      </c>
      <c r="E8406" s="11" t="s">
        <v>28</v>
      </c>
      <c r="F8406" s="10" t="s">
        <v>28</v>
      </c>
      <c r="G8406" s="10" t="s">
        <v>28</v>
      </c>
      <c r="H8406" s="10" t="s">
        <v>28</v>
      </c>
      <c r="I8406" s="11" t="s">
        <v>28</v>
      </c>
      <c r="J8406" s="11" t="s">
        <v>28</v>
      </c>
      <c r="K8406" s="11" t="s">
        <v>28</v>
      </c>
      <c r="L8406" s="11" t="s">
        <v>28</v>
      </c>
      <c r="M8406" s="11" t="s">
        <v>28</v>
      </c>
      <c r="N8406" s="8">
        <v>42955</v>
      </c>
      <c r="O8406" s="9" t="s">
        <v>41</v>
      </c>
      <c r="P8406" s="12" t="s">
        <v>24369</v>
      </c>
      <c r="Q8406" s="9" t="s">
        <v>959</v>
      </c>
      <c r="R8406" s="14" t="str">
        <f>HYPERLINK("https://my.pitchbook.com?c=92548-81T","View Company Online")</f>
        <v>View Company Online</v>
      </c>
    </row>
    <row r="8407" spans="1:18" hidden="1" x14ac:dyDescent="0.3">
      <c r="A8407" s="15" t="s">
        <v>24370</v>
      </c>
      <c r="B8407" s="15" t="s">
        <v>18354</v>
      </c>
      <c r="C8407" s="18" t="s">
        <v>28</v>
      </c>
      <c r="D8407" s="15" t="s">
        <v>18355</v>
      </c>
      <c r="E8407" s="18" t="s">
        <v>28</v>
      </c>
      <c r="F8407" s="19" t="s">
        <v>28</v>
      </c>
      <c r="G8407" s="19">
        <v>0.15</v>
      </c>
      <c r="H8407" s="19">
        <v>2.5</v>
      </c>
      <c r="I8407" s="18" t="s">
        <v>28</v>
      </c>
      <c r="J8407" s="18" t="s">
        <v>28</v>
      </c>
      <c r="K8407" s="18" t="s">
        <v>28</v>
      </c>
      <c r="L8407" s="18" t="s">
        <v>28</v>
      </c>
      <c r="M8407" s="18" t="s">
        <v>28</v>
      </c>
      <c r="N8407" s="17">
        <v>42955</v>
      </c>
      <c r="O8407" s="15" t="s">
        <v>52</v>
      </c>
      <c r="P8407" s="16" t="s">
        <v>24371</v>
      </c>
      <c r="Q8407" s="15" t="s">
        <v>75</v>
      </c>
      <c r="R8407" s="13" t="str">
        <f>HYPERLINK("https://my.pitchbook.com?c=92466-19T","View Company Online")</f>
        <v>View Company Online</v>
      </c>
    </row>
    <row r="8408" spans="1:18" hidden="1" x14ac:dyDescent="0.3">
      <c r="A8408" s="9" t="s">
        <v>24372</v>
      </c>
      <c r="B8408" s="9" t="s">
        <v>4641</v>
      </c>
      <c r="C8408" s="11" t="s">
        <v>28</v>
      </c>
      <c r="D8408" s="9" t="s">
        <v>4642</v>
      </c>
      <c r="E8408" s="11" t="s">
        <v>28</v>
      </c>
      <c r="F8408" s="10" t="s">
        <v>28</v>
      </c>
      <c r="G8408" s="10">
        <v>0.38</v>
      </c>
      <c r="H8408" s="10" t="s">
        <v>28</v>
      </c>
      <c r="I8408" s="11" t="s">
        <v>28</v>
      </c>
      <c r="J8408" s="11" t="s">
        <v>28</v>
      </c>
      <c r="K8408" s="11" t="s">
        <v>28</v>
      </c>
      <c r="L8408" s="11" t="s">
        <v>28</v>
      </c>
      <c r="M8408" s="11" t="s">
        <v>28</v>
      </c>
      <c r="N8408" s="8">
        <v>42955</v>
      </c>
      <c r="O8408" s="9" t="s">
        <v>73</v>
      </c>
      <c r="P8408" s="12" t="s">
        <v>24373</v>
      </c>
      <c r="Q8408" s="9" t="s">
        <v>37</v>
      </c>
      <c r="R8408" s="14" t="str">
        <f>HYPERLINK("https://my.pitchbook.com?c=105273-64T","View Company Online")</f>
        <v>View Company Online</v>
      </c>
    </row>
    <row r="8409" spans="1:18" hidden="1" x14ac:dyDescent="0.3">
      <c r="A8409" s="15" t="s">
        <v>24374</v>
      </c>
      <c r="B8409" s="15" t="s">
        <v>7035</v>
      </c>
      <c r="C8409" s="18" t="s">
        <v>28</v>
      </c>
      <c r="D8409" s="15" t="s">
        <v>7036</v>
      </c>
      <c r="E8409" s="18" t="s">
        <v>28</v>
      </c>
      <c r="F8409" s="19" t="s">
        <v>28</v>
      </c>
      <c r="G8409" s="19" t="s">
        <v>28</v>
      </c>
      <c r="H8409" s="19" t="s">
        <v>28</v>
      </c>
      <c r="I8409" s="18" t="s">
        <v>28</v>
      </c>
      <c r="J8409" s="18" t="s">
        <v>28</v>
      </c>
      <c r="K8409" s="18" t="s">
        <v>28</v>
      </c>
      <c r="L8409" s="18" t="s">
        <v>28</v>
      </c>
      <c r="M8409" s="18" t="s">
        <v>28</v>
      </c>
      <c r="N8409" s="17">
        <v>42953</v>
      </c>
      <c r="O8409" s="15" t="s">
        <v>99</v>
      </c>
      <c r="P8409" s="16" t="s">
        <v>24375</v>
      </c>
      <c r="Q8409" s="15" t="s">
        <v>37</v>
      </c>
      <c r="R8409" s="13" t="str">
        <f>HYPERLINK("https://my.pitchbook.com?c=95895-82T","View Company Online")</f>
        <v>View Company Online</v>
      </c>
    </row>
    <row r="8410" spans="1:18" hidden="1" x14ac:dyDescent="0.3">
      <c r="A8410" s="9" t="s">
        <v>24376</v>
      </c>
      <c r="B8410" s="9" t="s">
        <v>6541</v>
      </c>
      <c r="C8410" s="11" t="s">
        <v>28</v>
      </c>
      <c r="D8410" s="9" t="s">
        <v>6542</v>
      </c>
      <c r="E8410" s="11" t="s">
        <v>28</v>
      </c>
      <c r="F8410" s="10" t="s">
        <v>28</v>
      </c>
      <c r="G8410" s="10">
        <v>0.14000000000000001</v>
      </c>
      <c r="H8410" s="10" t="s">
        <v>28</v>
      </c>
      <c r="I8410" s="11" t="s">
        <v>28</v>
      </c>
      <c r="J8410" s="11" t="s">
        <v>28</v>
      </c>
      <c r="K8410" s="11" t="s">
        <v>28</v>
      </c>
      <c r="L8410" s="11" t="s">
        <v>28</v>
      </c>
      <c r="M8410" s="11" t="s">
        <v>28</v>
      </c>
      <c r="N8410" s="8">
        <v>42951</v>
      </c>
      <c r="O8410" s="9" t="s">
        <v>1639</v>
      </c>
      <c r="P8410" s="12" t="s">
        <v>17679</v>
      </c>
      <c r="Q8410" s="9" t="s">
        <v>75</v>
      </c>
      <c r="R8410" s="14" t="str">
        <f>HYPERLINK("https://my.pitchbook.com?c=122934-61T","View Company Online")</f>
        <v>View Company Online</v>
      </c>
    </row>
    <row r="8411" spans="1:18" hidden="1" x14ac:dyDescent="0.3">
      <c r="A8411" s="15" t="s">
        <v>24377</v>
      </c>
      <c r="B8411" s="15" t="s">
        <v>2553</v>
      </c>
      <c r="C8411" s="18" t="s">
        <v>28</v>
      </c>
      <c r="D8411" s="15" t="s">
        <v>2554</v>
      </c>
      <c r="E8411" s="18" t="s">
        <v>28</v>
      </c>
      <c r="F8411" s="19" t="s">
        <v>28</v>
      </c>
      <c r="G8411" s="19" t="s">
        <v>28</v>
      </c>
      <c r="H8411" s="19" t="s">
        <v>28</v>
      </c>
      <c r="I8411" s="18" t="s">
        <v>28</v>
      </c>
      <c r="J8411" s="18" t="s">
        <v>28</v>
      </c>
      <c r="K8411" s="18" t="s">
        <v>28</v>
      </c>
      <c r="L8411" s="18" t="s">
        <v>28</v>
      </c>
      <c r="M8411" s="18" t="s">
        <v>28</v>
      </c>
      <c r="N8411" s="17">
        <v>42951</v>
      </c>
      <c r="O8411" s="15" t="s">
        <v>52</v>
      </c>
      <c r="P8411" s="16" t="s">
        <v>2830</v>
      </c>
      <c r="Q8411" s="15" t="s">
        <v>245</v>
      </c>
      <c r="R8411" s="13" t="str">
        <f>HYPERLINK("https://my.pitchbook.com?c=258354-55T","View Company Online")</f>
        <v>View Company Online</v>
      </c>
    </row>
    <row r="8412" spans="1:18" hidden="1" x14ac:dyDescent="0.3">
      <c r="A8412" s="9" t="s">
        <v>24378</v>
      </c>
      <c r="B8412" s="9" t="s">
        <v>17160</v>
      </c>
      <c r="C8412" s="11" t="s">
        <v>28</v>
      </c>
      <c r="D8412" s="9" t="s">
        <v>17161</v>
      </c>
      <c r="E8412" s="11" t="s">
        <v>28</v>
      </c>
      <c r="F8412" s="10" t="s">
        <v>28</v>
      </c>
      <c r="G8412" s="10" t="s">
        <v>28</v>
      </c>
      <c r="H8412" s="10" t="s">
        <v>28</v>
      </c>
      <c r="I8412" s="11" t="s">
        <v>28</v>
      </c>
      <c r="J8412" s="11" t="s">
        <v>28</v>
      </c>
      <c r="K8412" s="11" t="s">
        <v>28</v>
      </c>
      <c r="L8412" s="11" t="s">
        <v>28</v>
      </c>
      <c r="M8412" s="11" t="s">
        <v>28</v>
      </c>
      <c r="N8412" s="8">
        <v>42951</v>
      </c>
      <c r="O8412" s="9" t="s">
        <v>52</v>
      </c>
      <c r="P8412" s="12" t="s">
        <v>22611</v>
      </c>
      <c r="Q8412" s="9" t="s">
        <v>75</v>
      </c>
      <c r="R8412" s="14" t="str">
        <f>HYPERLINK("https://my.pitchbook.com?c=100877-68T","View Company Online")</f>
        <v>View Company Online</v>
      </c>
    </row>
    <row r="8413" spans="1:18" hidden="1" x14ac:dyDescent="0.3">
      <c r="A8413" s="15" t="s">
        <v>24379</v>
      </c>
      <c r="B8413" s="15" t="s">
        <v>14899</v>
      </c>
      <c r="C8413" s="18" t="s">
        <v>28</v>
      </c>
      <c r="D8413" s="15" t="s">
        <v>14900</v>
      </c>
      <c r="E8413" s="18" t="s">
        <v>28</v>
      </c>
      <c r="F8413" s="19" t="s">
        <v>28</v>
      </c>
      <c r="G8413" s="19" t="s">
        <v>28</v>
      </c>
      <c r="H8413" s="19" t="s">
        <v>28</v>
      </c>
      <c r="I8413" s="18" t="s">
        <v>28</v>
      </c>
      <c r="J8413" s="18" t="s">
        <v>28</v>
      </c>
      <c r="K8413" s="18" t="s">
        <v>28</v>
      </c>
      <c r="L8413" s="18" t="s">
        <v>28</v>
      </c>
      <c r="M8413" s="18" t="s">
        <v>28</v>
      </c>
      <c r="N8413" s="17">
        <v>42951</v>
      </c>
      <c r="O8413" s="15" t="s">
        <v>52</v>
      </c>
      <c r="P8413" s="16" t="s">
        <v>22611</v>
      </c>
      <c r="Q8413" s="15" t="s">
        <v>245</v>
      </c>
      <c r="R8413" s="13" t="str">
        <f>HYPERLINK("https://my.pitchbook.com?c=100725-22T","View Company Online")</f>
        <v>View Company Online</v>
      </c>
    </row>
    <row r="8414" spans="1:18" hidden="1" x14ac:dyDescent="0.3">
      <c r="A8414" s="9" t="s">
        <v>24380</v>
      </c>
      <c r="B8414" s="9" t="s">
        <v>24381</v>
      </c>
      <c r="C8414" s="11" t="s">
        <v>28</v>
      </c>
      <c r="D8414" s="9" t="s">
        <v>24382</v>
      </c>
      <c r="E8414" s="11" t="s">
        <v>28</v>
      </c>
      <c r="F8414" s="10" t="s">
        <v>28</v>
      </c>
      <c r="G8414" s="10" t="s">
        <v>28</v>
      </c>
      <c r="H8414" s="10" t="s">
        <v>28</v>
      </c>
      <c r="I8414" s="11" t="s">
        <v>28</v>
      </c>
      <c r="J8414" s="11" t="s">
        <v>28</v>
      </c>
      <c r="K8414" s="11" t="s">
        <v>28</v>
      </c>
      <c r="L8414" s="11" t="s">
        <v>28</v>
      </c>
      <c r="M8414" s="11" t="s">
        <v>28</v>
      </c>
      <c r="N8414" s="8">
        <v>42951</v>
      </c>
      <c r="O8414" s="9" t="s">
        <v>173</v>
      </c>
      <c r="P8414" s="12" t="s">
        <v>28</v>
      </c>
      <c r="Q8414" s="9" t="s">
        <v>174</v>
      </c>
      <c r="R8414" s="14" t="str">
        <f>HYPERLINK("https://my.pitchbook.com?c=227440-09T","View Company Online")</f>
        <v>View Company Online</v>
      </c>
    </row>
    <row r="8415" spans="1:18" hidden="1" x14ac:dyDescent="0.3">
      <c r="A8415" s="15" t="s">
        <v>24383</v>
      </c>
      <c r="B8415" s="15" t="s">
        <v>24384</v>
      </c>
      <c r="C8415" s="18" t="s">
        <v>28</v>
      </c>
      <c r="D8415" s="15" t="s">
        <v>24385</v>
      </c>
      <c r="E8415" s="18" t="s">
        <v>28</v>
      </c>
      <c r="F8415" s="19" t="s">
        <v>28</v>
      </c>
      <c r="G8415" s="19" t="s">
        <v>28</v>
      </c>
      <c r="H8415" s="19" t="s">
        <v>28</v>
      </c>
      <c r="I8415" s="18" t="s">
        <v>28</v>
      </c>
      <c r="J8415" s="18" t="s">
        <v>28</v>
      </c>
      <c r="K8415" s="18" t="s">
        <v>28</v>
      </c>
      <c r="L8415" s="18" t="s">
        <v>28</v>
      </c>
      <c r="M8415" s="18" t="s">
        <v>28</v>
      </c>
      <c r="N8415" s="17">
        <v>42950</v>
      </c>
      <c r="O8415" s="15" t="s">
        <v>30</v>
      </c>
      <c r="P8415" s="16" t="s">
        <v>24386</v>
      </c>
      <c r="Q8415" s="15" t="s">
        <v>386</v>
      </c>
      <c r="R8415" s="13" t="str">
        <f>HYPERLINK("https://my.pitchbook.com?c=92246-41T","View Company Online")</f>
        <v>View Company Online</v>
      </c>
    </row>
    <row r="8416" spans="1:18" hidden="1" x14ac:dyDescent="0.3">
      <c r="A8416" s="9" t="s">
        <v>24387</v>
      </c>
      <c r="B8416" s="9" t="s">
        <v>8220</v>
      </c>
      <c r="C8416" s="11" t="s">
        <v>28</v>
      </c>
      <c r="D8416" s="9" t="s">
        <v>8221</v>
      </c>
      <c r="E8416" s="11" t="s">
        <v>28</v>
      </c>
      <c r="F8416" s="10" t="s">
        <v>28</v>
      </c>
      <c r="G8416" s="10" t="s">
        <v>28</v>
      </c>
      <c r="H8416" s="10" t="s">
        <v>28</v>
      </c>
      <c r="I8416" s="11" t="s">
        <v>28</v>
      </c>
      <c r="J8416" s="11" t="s">
        <v>28</v>
      </c>
      <c r="K8416" s="11" t="s">
        <v>28</v>
      </c>
      <c r="L8416" s="11" t="s">
        <v>28</v>
      </c>
      <c r="M8416" s="11" t="s">
        <v>28</v>
      </c>
      <c r="N8416" s="8">
        <v>42950</v>
      </c>
      <c r="O8416" s="9" t="s">
        <v>52</v>
      </c>
      <c r="P8416" s="12" t="s">
        <v>24388</v>
      </c>
      <c r="Q8416" s="9" t="s">
        <v>404</v>
      </c>
      <c r="R8416" s="14" t="str">
        <f>HYPERLINK("https://my.pitchbook.com?c=111149-56T","View Company Online")</f>
        <v>View Company Online</v>
      </c>
    </row>
    <row r="8417" spans="1:18" hidden="1" x14ac:dyDescent="0.3">
      <c r="A8417" s="15" t="s">
        <v>24389</v>
      </c>
      <c r="B8417" s="15" t="s">
        <v>24390</v>
      </c>
      <c r="C8417" s="18" t="s">
        <v>28</v>
      </c>
      <c r="D8417" s="15" t="s">
        <v>24391</v>
      </c>
      <c r="E8417" s="18" t="s">
        <v>28</v>
      </c>
      <c r="F8417" s="19" t="s">
        <v>28</v>
      </c>
      <c r="G8417" s="19">
        <v>1</v>
      </c>
      <c r="H8417" s="19" t="s">
        <v>28</v>
      </c>
      <c r="I8417" s="18" t="s">
        <v>28</v>
      </c>
      <c r="J8417" s="18" t="s">
        <v>28</v>
      </c>
      <c r="K8417" s="18" t="s">
        <v>28</v>
      </c>
      <c r="L8417" s="18" t="s">
        <v>28</v>
      </c>
      <c r="M8417" s="18" t="s">
        <v>28</v>
      </c>
      <c r="N8417" s="17">
        <v>42950</v>
      </c>
      <c r="O8417" s="15" t="s">
        <v>99</v>
      </c>
      <c r="P8417" s="16" t="s">
        <v>24392</v>
      </c>
      <c r="Q8417" s="15" t="s">
        <v>37</v>
      </c>
      <c r="R8417" s="13" t="str">
        <f>HYPERLINK("https://my.pitchbook.com?c=79150-96T","View Company Online")</f>
        <v>View Company Online</v>
      </c>
    </row>
    <row r="8418" spans="1:18" hidden="1" x14ac:dyDescent="0.3">
      <c r="A8418" s="9" t="s">
        <v>24393</v>
      </c>
      <c r="B8418" s="9" t="s">
        <v>22426</v>
      </c>
      <c r="C8418" s="11" t="s">
        <v>28</v>
      </c>
      <c r="D8418" s="9" t="s">
        <v>22427</v>
      </c>
      <c r="E8418" s="11" t="s">
        <v>28</v>
      </c>
      <c r="F8418" s="10">
        <v>679.69</v>
      </c>
      <c r="G8418" s="10">
        <v>679.69</v>
      </c>
      <c r="H8418" s="10">
        <v>679.69</v>
      </c>
      <c r="I8418" s="11" t="s">
        <v>28</v>
      </c>
      <c r="J8418" s="11" t="s">
        <v>28</v>
      </c>
      <c r="K8418" s="11" t="s">
        <v>28</v>
      </c>
      <c r="L8418" s="11" t="s">
        <v>28</v>
      </c>
      <c r="M8418" s="11" t="s">
        <v>28</v>
      </c>
      <c r="N8418" s="8">
        <v>42949</v>
      </c>
      <c r="O8418" s="9" t="s">
        <v>30</v>
      </c>
      <c r="P8418" s="12" t="s">
        <v>28</v>
      </c>
      <c r="Q8418" s="9" t="s">
        <v>193</v>
      </c>
      <c r="R8418" s="14" t="str">
        <f>HYPERLINK("https://my.pitchbook.com?c=71547-22T","View Company Online")</f>
        <v>View Company Online</v>
      </c>
    </row>
    <row r="8419" spans="1:18" hidden="1" x14ac:dyDescent="0.3">
      <c r="A8419" s="15" t="s">
        <v>24394</v>
      </c>
      <c r="B8419" s="15" t="s">
        <v>8368</v>
      </c>
      <c r="C8419" s="18" t="s">
        <v>28</v>
      </c>
      <c r="D8419" s="15" t="s">
        <v>8369</v>
      </c>
      <c r="E8419" s="18" t="s">
        <v>28</v>
      </c>
      <c r="F8419" s="19" t="s">
        <v>28</v>
      </c>
      <c r="G8419" s="19">
        <v>0.5</v>
      </c>
      <c r="H8419" s="19" t="s">
        <v>28</v>
      </c>
      <c r="I8419" s="18" t="s">
        <v>28</v>
      </c>
      <c r="J8419" s="18" t="s">
        <v>28</v>
      </c>
      <c r="K8419" s="18" t="s">
        <v>28</v>
      </c>
      <c r="L8419" s="18" t="s">
        <v>28</v>
      </c>
      <c r="M8419" s="18" t="s">
        <v>28</v>
      </c>
      <c r="N8419" s="17">
        <v>42949</v>
      </c>
      <c r="O8419" s="15" t="s">
        <v>99</v>
      </c>
      <c r="P8419" s="16" t="s">
        <v>24395</v>
      </c>
      <c r="Q8419" s="15" t="s">
        <v>37</v>
      </c>
      <c r="R8419" s="13" t="str">
        <f>HYPERLINK("https://my.pitchbook.com?c=110062-81T","View Company Online")</f>
        <v>View Company Online</v>
      </c>
    </row>
    <row r="8420" spans="1:18" hidden="1" x14ac:dyDescent="0.3">
      <c r="A8420" s="9" t="s">
        <v>24396</v>
      </c>
      <c r="B8420" s="9" t="s">
        <v>16631</v>
      </c>
      <c r="C8420" s="11" t="s">
        <v>28</v>
      </c>
      <c r="D8420" s="9" t="s">
        <v>16632</v>
      </c>
      <c r="E8420" s="11">
        <v>4.6100000000000003</v>
      </c>
      <c r="F8420" s="10" t="s">
        <v>28</v>
      </c>
      <c r="G8420" s="10" t="s">
        <v>28</v>
      </c>
      <c r="H8420" s="10" t="s">
        <v>28</v>
      </c>
      <c r="I8420" s="11">
        <v>10.39</v>
      </c>
      <c r="J8420" s="11" t="s">
        <v>28</v>
      </c>
      <c r="K8420" s="11">
        <v>90.66</v>
      </c>
      <c r="L8420" s="11" t="s">
        <v>28</v>
      </c>
      <c r="M8420" s="11">
        <v>0.97</v>
      </c>
      <c r="N8420" s="8">
        <v>42948</v>
      </c>
      <c r="O8420" s="9" t="s">
        <v>93</v>
      </c>
      <c r="P8420" s="12" t="s">
        <v>11280</v>
      </c>
      <c r="Q8420" s="9" t="s">
        <v>5347</v>
      </c>
      <c r="R8420" s="14" t="str">
        <f>HYPERLINK("https://my.pitchbook.com?c=104701-87T","View Company Online")</f>
        <v>View Company Online</v>
      </c>
    </row>
    <row r="8421" spans="1:18" hidden="1" x14ac:dyDescent="0.3">
      <c r="A8421" s="15" t="s">
        <v>24397</v>
      </c>
      <c r="B8421" s="15" t="s">
        <v>11583</v>
      </c>
      <c r="C8421" s="18" t="s">
        <v>28</v>
      </c>
      <c r="D8421" s="15" t="s">
        <v>11584</v>
      </c>
      <c r="E8421" s="18" t="s">
        <v>28</v>
      </c>
      <c r="F8421" s="19" t="s">
        <v>28</v>
      </c>
      <c r="G8421" s="19" t="s">
        <v>28</v>
      </c>
      <c r="H8421" s="19" t="s">
        <v>28</v>
      </c>
      <c r="I8421" s="18" t="s">
        <v>28</v>
      </c>
      <c r="J8421" s="18" t="s">
        <v>28</v>
      </c>
      <c r="K8421" s="18" t="s">
        <v>28</v>
      </c>
      <c r="L8421" s="18" t="s">
        <v>28</v>
      </c>
      <c r="M8421" s="18" t="s">
        <v>28</v>
      </c>
      <c r="N8421" s="17">
        <v>42948</v>
      </c>
      <c r="O8421" s="15" t="s">
        <v>99</v>
      </c>
      <c r="P8421" s="16" t="s">
        <v>24398</v>
      </c>
      <c r="Q8421" s="15" t="s">
        <v>37</v>
      </c>
      <c r="R8421" s="13" t="str">
        <f>HYPERLINK("https://my.pitchbook.com?c=77771-89T","View Company Online")</f>
        <v>View Company Online</v>
      </c>
    </row>
    <row r="8422" spans="1:18" hidden="1" x14ac:dyDescent="0.3">
      <c r="A8422" s="9" t="s">
        <v>24399</v>
      </c>
      <c r="B8422" s="9" t="s">
        <v>24400</v>
      </c>
      <c r="C8422" s="11" t="s">
        <v>28</v>
      </c>
      <c r="D8422" s="9" t="s">
        <v>24401</v>
      </c>
      <c r="E8422" s="11" t="s">
        <v>28</v>
      </c>
      <c r="F8422" s="10">
        <v>25.8</v>
      </c>
      <c r="G8422" s="10">
        <v>25.8</v>
      </c>
      <c r="H8422" s="10">
        <v>25.8</v>
      </c>
      <c r="I8422" s="11" t="s">
        <v>28</v>
      </c>
      <c r="J8422" s="11" t="s">
        <v>28</v>
      </c>
      <c r="K8422" s="11" t="s">
        <v>28</v>
      </c>
      <c r="L8422" s="11" t="s">
        <v>28</v>
      </c>
      <c r="M8422" s="11" t="s">
        <v>28</v>
      </c>
      <c r="N8422" s="8">
        <v>42948</v>
      </c>
      <c r="O8422" s="9" t="s">
        <v>30</v>
      </c>
      <c r="P8422" s="12" t="s">
        <v>24402</v>
      </c>
      <c r="Q8422" s="9" t="s">
        <v>1051</v>
      </c>
      <c r="R8422" s="14" t="str">
        <f>HYPERLINK("https://my.pitchbook.com?c=92301-49T","View Company Online")</f>
        <v>View Company Online</v>
      </c>
    </row>
    <row r="8423" spans="1:18" hidden="1" x14ac:dyDescent="0.3">
      <c r="A8423" s="15" t="s">
        <v>24403</v>
      </c>
      <c r="B8423" s="15" t="s">
        <v>13597</v>
      </c>
      <c r="C8423" s="18" t="s">
        <v>28</v>
      </c>
      <c r="D8423" s="15" t="s">
        <v>13598</v>
      </c>
      <c r="E8423" s="18" t="s">
        <v>28</v>
      </c>
      <c r="F8423" s="19" t="s">
        <v>28</v>
      </c>
      <c r="G8423" s="19">
        <v>0.25</v>
      </c>
      <c r="H8423" s="19">
        <v>1.67</v>
      </c>
      <c r="I8423" s="18" t="s">
        <v>28</v>
      </c>
      <c r="J8423" s="18" t="s">
        <v>28</v>
      </c>
      <c r="K8423" s="18">
        <v>0.11</v>
      </c>
      <c r="L8423" s="18">
        <v>15.59</v>
      </c>
      <c r="M8423" s="18" t="s">
        <v>28</v>
      </c>
      <c r="N8423" s="17">
        <v>42948</v>
      </c>
      <c r="O8423" s="15" t="s">
        <v>1639</v>
      </c>
      <c r="P8423" s="16" t="s">
        <v>28</v>
      </c>
      <c r="Q8423" s="15" t="s">
        <v>249</v>
      </c>
      <c r="R8423" s="13" t="str">
        <f>HYPERLINK("https://my.pitchbook.com?c=122938-66T","View Company Online")</f>
        <v>View Company Online</v>
      </c>
    </row>
    <row r="8424" spans="1:18" hidden="1" x14ac:dyDescent="0.3">
      <c r="A8424" s="9" t="s">
        <v>24404</v>
      </c>
      <c r="B8424" s="9" t="s">
        <v>15996</v>
      </c>
      <c r="C8424" s="11" t="s">
        <v>28</v>
      </c>
      <c r="D8424" s="9" t="s">
        <v>15997</v>
      </c>
      <c r="E8424" s="11" t="s">
        <v>28</v>
      </c>
      <c r="F8424" s="10" t="s">
        <v>28</v>
      </c>
      <c r="G8424" s="10" t="s">
        <v>28</v>
      </c>
      <c r="H8424" s="10" t="s">
        <v>28</v>
      </c>
      <c r="I8424" s="11" t="s">
        <v>28</v>
      </c>
      <c r="J8424" s="11" t="s">
        <v>28</v>
      </c>
      <c r="K8424" s="11" t="s">
        <v>28</v>
      </c>
      <c r="L8424" s="11" t="s">
        <v>28</v>
      </c>
      <c r="M8424" s="11" t="s">
        <v>28</v>
      </c>
      <c r="N8424" s="8">
        <v>42948</v>
      </c>
      <c r="O8424" s="9" t="s">
        <v>79</v>
      </c>
      <c r="P8424" s="12" t="s">
        <v>24405</v>
      </c>
      <c r="Q8424" s="9" t="s">
        <v>75</v>
      </c>
      <c r="R8424" s="14" t="str">
        <f>HYPERLINK("https://my.pitchbook.com?c=155446-12T","View Company Online")</f>
        <v>View Company Online</v>
      </c>
    </row>
    <row r="8425" spans="1:18" hidden="1" x14ac:dyDescent="0.3">
      <c r="A8425" s="15" t="s">
        <v>24406</v>
      </c>
      <c r="B8425" s="15" t="s">
        <v>24407</v>
      </c>
      <c r="C8425" s="18" t="s">
        <v>28</v>
      </c>
      <c r="D8425" s="15" t="s">
        <v>24408</v>
      </c>
      <c r="E8425" s="18" t="s">
        <v>28</v>
      </c>
      <c r="F8425" s="19" t="s">
        <v>28</v>
      </c>
      <c r="G8425" s="19" t="s">
        <v>28</v>
      </c>
      <c r="H8425" s="19" t="s">
        <v>28</v>
      </c>
      <c r="I8425" s="18" t="s">
        <v>28</v>
      </c>
      <c r="J8425" s="18" t="s">
        <v>28</v>
      </c>
      <c r="K8425" s="18" t="s">
        <v>28</v>
      </c>
      <c r="L8425" s="18" t="s">
        <v>28</v>
      </c>
      <c r="M8425" s="18" t="s">
        <v>28</v>
      </c>
      <c r="N8425" s="17">
        <v>42948</v>
      </c>
      <c r="O8425" s="15" t="s">
        <v>52</v>
      </c>
      <c r="P8425" s="16" t="s">
        <v>24409</v>
      </c>
      <c r="Q8425" s="15" t="s">
        <v>43</v>
      </c>
      <c r="R8425" s="13" t="str">
        <f>HYPERLINK("https://my.pitchbook.com?c=103909-06T","View Company Online")</f>
        <v>View Company Online</v>
      </c>
    </row>
    <row r="8426" spans="1:18" hidden="1" x14ac:dyDescent="0.3">
      <c r="A8426" s="9" t="s">
        <v>24410</v>
      </c>
      <c r="B8426" s="9" t="s">
        <v>24411</v>
      </c>
      <c r="C8426" s="11" t="s">
        <v>28</v>
      </c>
      <c r="D8426" s="9" t="s">
        <v>24412</v>
      </c>
      <c r="E8426" s="11" t="s">
        <v>28</v>
      </c>
      <c r="F8426" s="10">
        <v>1850</v>
      </c>
      <c r="G8426" s="10">
        <v>1850</v>
      </c>
      <c r="H8426" s="10">
        <v>1850</v>
      </c>
      <c r="I8426" s="11" t="s">
        <v>28</v>
      </c>
      <c r="J8426" s="11" t="s">
        <v>28</v>
      </c>
      <c r="K8426" s="11" t="s">
        <v>28</v>
      </c>
      <c r="L8426" s="11" t="s">
        <v>28</v>
      </c>
      <c r="M8426" s="11" t="s">
        <v>28</v>
      </c>
      <c r="N8426" s="8">
        <v>42948</v>
      </c>
      <c r="O8426" s="9" t="s">
        <v>30</v>
      </c>
      <c r="P8426" s="12" t="s">
        <v>63</v>
      </c>
      <c r="Q8426" s="9" t="s">
        <v>193</v>
      </c>
      <c r="R8426" s="14" t="str">
        <f>HYPERLINK("https://my.pitchbook.com?c=97118-74T","View Company Online")</f>
        <v>View Company Online</v>
      </c>
    </row>
    <row r="8427" spans="1:18" hidden="1" x14ac:dyDescent="0.3">
      <c r="A8427" s="15" t="s">
        <v>24413</v>
      </c>
      <c r="B8427" s="15" t="s">
        <v>17259</v>
      </c>
      <c r="C8427" s="18" t="s">
        <v>28</v>
      </c>
      <c r="D8427" s="15" t="s">
        <v>17928</v>
      </c>
      <c r="E8427" s="18" t="s">
        <v>28</v>
      </c>
      <c r="F8427" s="19" t="s">
        <v>28</v>
      </c>
      <c r="G8427" s="19">
        <v>264.08999999999997</v>
      </c>
      <c r="H8427" s="19" t="s">
        <v>28</v>
      </c>
      <c r="I8427" s="18" t="s">
        <v>28</v>
      </c>
      <c r="J8427" s="18" t="s">
        <v>28</v>
      </c>
      <c r="K8427" s="18" t="s">
        <v>28</v>
      </c>
      <c r="L8427" s="18" t="s">
        <v>28</v>
      </c>
      <c r="M8427" s="18" t="s">
        <v>28</v>
      </c>
      <c r="N8427" s="17">
        <v>42947</v>
      </c>
      <c r="O8427" s="15" t="s">
        <v>173</v>
      </c>
      <c r="P8427" s="16" t="s">
        <v>28</v>
      </c>
      <c r="Q8427" s="15" t="s">
        <v>226</v>
      </c>
      <c r="R8427" s="13" t="str">
        <f>HYPERLINK("https://my.pitchbook.com?c=89975-62T","View Company Online")</f>
        <v>View Company Online</v>
      </c>
    </row>
    <row r="8428" spans="1:18" hidden="1" x14ac:dyDescent="0.3">
      <c r="A8428" s="9" t="s">
        <v>24414</v>
      </c>
      <c r="B8428" s="9" t="s">
        <v>24415</v>
      </c>
      <c r="C8428" s="11" t="s">
        <v>28</v>
      </c>
      <c r="D8428" s="9" t="s">
        <v>24416</v>
      </c>
      <c r="E8428" s="11" t="s">
        <v>28</v>
      </c>
      <c r="F8428" s="10">
        <v>87.23</v>
      </c>
      <c r="G8428" s="10">
        <v>87.23</v>
      </c>
      <c r="H8428" s="10">
        <v>87.23</v>
      </c>
      <c r="I8428" s="11" t="s">
        <v>28</v>
      </c>
      <c r="J8428" s="11" t="s">
        <v>28</v>
      </c>
      <c r="K8428" s="11" t="s">
        <v>28</v>
      </c>
      <c r="L8428" s="11" t="s">
        <v>28</v>
      </c>
      <c r="M8428" s="11" t="s">
        <v>28</v>
      </c>
      <c r="N8428" s="8">
        <v>42944</v>
      </c>
      <c r="O8428" s="9" t="s">
        <v>30</v>
      </c>
      <c r="P8428" s="12" t="s">
        <v>24417</v>
      </c>
      <c r="Q8428" s="9" t="s">
        <v>1051</v>
      </c>
      <c r="R8428" s="14" t="str">
        <f>HYPERLINK("https://my.pitchbook.com?c=102176-56T","View Company Online")</f>
        <v>View Company Online</v>
      </c>
    </row>
    <row r="8429" spans="1:18" hidden="1" x14ac:dyDescent="0.3">
      <c r="A8429" s="15" t="s">
        <v>24418</v>
      </c>
      <c r="B8429" s="15" t="s">
        <v>24419</v>
      </c>
      <c r="C8429" s="18" t="s">
        <v>28</v>
      </c>
      <c r="D8429" s="15" t="s">
        <v>24420</v>
      </c>
      <c r="E8429" s="18" t="s">
        <v>28</v>
      </c>
      <c r="F8429" s="19" t="s">
        <v>28</v>
      </c>
      <c r="G8429" s="19" t="s">
        <v>28</v>
      </c>
      <c r="H8429" s="19" t="s">
        <v>28</v>
      </c>
      <c r="I8429" s="18" t="s">
        <v>28</v>
      </c>
      <c r="J8429" s="18" t="s">
        <v>28</v>
      </c>
      <c r="K8429" s="18">
        <v>31.29</v>
      </c>
      <c r="L8429" s="18" t="s">
        <v>28</v>
      </c>
      <c r="M8429" s="18" t="s">
        <v>28</v>
      </c>
      <c r="N8429" s="17">
        <v>42944</v>
      </c>
      <c r="O8429" s="15" t="s">
        <v>41</v>
      </c>
      <c r="P8429" s="16" t="s">
        <v>24421</v>
      </c>
      <c r="Q8429" s="15" t="s">
        <v>959</v>
      </c>
      <c r="R8429" s="13" t="str">
        <f>HYPERLINK("https://my.pitchbook.com?c=94695-49T","View Company Online")</f>
        <v>View Company Online</v>
      </c>
    </row>
    <row r="8430" spans="1:18" hidden="1" x14ac:dyDescent="0.3">
      <c r="A8430" s="9" t="s">
        <v>24422</v>
      </c>
      <c r="B8430" s="9" t="s">
        <v>2330</v>
      </c>
      <c r="C8430" s="11" t="s">
        <v>28</v>
      </c>
      <c r="D8430" s="9" t="s">
        <v>24423</v>
      </c>
      <c r="E8430" s="11">
        <v>215.62</v>
      </c>
      <c r="F8430" s="10" t="s">
        <v>28</v>
      </c>
      <c r="G8430" s="10" t="s">
        <v>28</v>
      </c>
      <c r="H8430" s="10" t="s">
        <v>28</v>
      </c>
      <c r="I8430" s="11">
        <v>277.32</v>
      </c>
      <c r="J8430" s="11" t="s">
        <v>28</v>
      </c>
      <c r="K8430" s="11">
        <v>1019.67</v>
      </c>
      <c r="L8430" s="11" t="s">
        <v>28</v>
      </c>
      <c r="M8430" s="11">
        <v>169.75</v>
      </c>
      <c r="N8430" s="8">
        <v>42944</v>
      </c>
      <c r="O8430" s="9" t="s">
        <v>159</v>
      </c>
      <c r="P8430" s="12" t="s">
        <v>24424</v>
      </c>
      <c r="Q8430" s="9" t="s">
        <v>43</v>
      </c>
      <c r="R8430" s="14" t="str">
        <f>HYPERLINK("https://my.pitchbook.com?c=93697-75T","View Company Online")</f>
        <v>View Company Online</v>
      </c>
    </row>
    <row r="8431" spans="1:18" hidden="1" x14ac:dyDescent="0.3">
      <c r="A8431" s="15" t="s">
        <v>24425</v>
      </c>
      <c r="B8431" s="15" t="s">
        <v>9351</v>
      </c>
      <c r="C8431" s="18" t="s">
        <v>28</v>
      </c>
      <c r="D8431" s="15" t="s">
        <v>9352</v>
      </c>
      <c r="E8431" s="18">
        <v>137.37</v>
      </c>
      <c r="F8431" s="19" t="s">
        <v>28</v>
      </c>
      <c r="G8431" s="19">
        <v>551</v>
      </c>
      <c r="H8431" s="19" t="s">
        <v>28</v>
      </c>
      <c r="I8431" s="18" t="s">
        <v>28</v>
      </c>
      <c r="J8431" s="18" t="s">
        <v>28</v>
      </c>
      <c r="K8431" s="18">
        <v>1273.05</v>
      </c>
      <c r="L8431" s="18" t="s">
        <v>28</v>
      </c>
      <c r="M8431" s="18">
        <v>275.61</v>
      </c>
      <c r="N8431" s="17">
        <v>42943</v>
      </c>
      <c r="O8431" s="15" t="s">
        <v>173</v>
      </c>
      <c r="P8431" s="16" t="s">
        <v>28</v>
      </c>
      <c r="Q8431" s="15" t="s">
        <v>9353</v>
      </c>
      <c r="R8431" s="13" t="str">
        <f>HYPERLINK("https://my.pitchbook.com?c=117740-44T","View Company Online")</f>
        <v>View Company Online</v>
      </c>
    </row>
    <row r="8432" spans="1:18" hidden="1" x14ac:dyDescent="0.3">
      <c r="A8432" s="9" t="s">
        <v>24426</v>
      </c>
      <c r="B8432" s="9" t="s">
        <v>24427</v>
      </c>
      <c r="C8432" s="11" t="s">
        <v>28</v>
      </c>
      <c r="D8432" s="9" t="s">
        <v>24428</v>
      </c>
      <c r="E8432" s="11" t="s">
        <v>28</v>
      </c>
      <c r="F8432" s="10" t="s">
        <v>28</v>
      </c>
      <c r="G8432" s="10" t="s">
        <v>28</v>
      </c>
      <c r="H8432" s="10" t="s">
        <v>28</v>
      </c>
      <c r="I8432" s="11" t="s">
        <v>28</v>
      </c>
      <c r="J8432" s="11" t="s">
        <v>28</v>
      </c>
      <c r="K8432" s="11" t="s">
        <v>28</v>
      </c>
      <c r="L8432" s="11" t="s">
        <v>28</v>
      </c>
      <c r="M8432" s="11" t="s">
        <v>28</v>
      </c>
      <c r="N8432" s="8">
        <v>42941</v>
      </c>
      <c r="O8432" s="9" t="s">
        <v>30</v>
      </c>
      <c r="P8432" s="12" t="s">
        <v>22078</v>
      </c>
      <c r="Q8432" s="9" t="s">
        <v>280</v>
      </c>
      <c r="R8432" s="14" t="str">
        <f>HYPERLINK("https://my.pitchbook.com?c=91627-30T","View Company Online")</f>
        <v>View Company Online</v>
      </c>
    </row>
    <row r="8433" spans="1:18" hidden="1" x14ac:dyDescent="0.3">
      <c r="A8433" s="15" t="s">
        <v>24429</v>
      </c>
      <c r="B8433" s="15" t="s">
        <v>24430</v>
      </c>
      <c r="C8433" s="18" t="s">
        <v>28</v>
      </c>
      <c r="D8433" s="15" t="s">
        <v>24431</v>
      </c>
      <c r="E8433" s="18" t="s">
        <v>28</v>
      </c>
      <c r="F8433" s="19" t="s">
        <v>28</v>
      </c>
      <c r="G8433" s="19" t="s">
        <v>28</v>
      </c>
      <c r="H8433" s="19" t="s">
        <v>28</v>
      </c>
      <c r="I8433" s="18" t="s">
        <v>28</v>
      </c>
      <c r="J8433" s="18" t="s">
        <v>28</v>
      </c>
      <c r="K8433" s="18" t="s">
        <v>28</v>
      </c>
      <c r="L8433" s="18" t="s">
        <v>28</v>
      </c>
      <c r="M8433" s="18" t="s">
        <v>28</v>
      </c>
      <c r="N8433" s="17">
        <v>42940</v>
      </c>
      <c r="O8433" s="15" t="s">
        <v>99</v>
      </c>
      <c r="P8433" s="16" t="s">
        <v>18465</v>
      </c>
      <c r="Q8433" s="15" t="s">
        <v>692</v>
      </c>
      <c r="R8433" s="13" t="str">
        <f>HYPERLINK("https://my.pitchbook.com?c=92602-36T","View Company Online")</f>
        <v>View Company Online</v>
      </c>
    </row>
    <row r="8434" spans="1:18" hidden="1" x14ac:dyDescent="0.3">
      <c r="A8434" s="9" t="s">
        <v>24432</v>
      </c>
      <c r="B8434" s="9" t="s">
        <v>13680</v>
      </c>
      <c r="C8434" s="11" t="s">
        <v>28</v>
      </c>
      <c r="D8434" s="9" t="s">
        <v>13681</v>
      </c>
      <c r="E8434" s="11" t="s">
        <v>28</v>
      </c>
      <c r="F8434" s="10" t="s">
        <v>28</v>
      </c>
      <c r="G8434" s="10">
        <v>30.93</v>
      </c>
      <c r="H8434" s="10" t="s">
        <v>28</v>
      </c>
      <c r="I8434" s="11" t="s">
        <v>28</v>
      </c>
      <c r="J8434" s="11" t="s">
        <v>28</v>
      </c>
      <c r="K8434" s="11" t="s">
        <v>28</v>
      </c>
      <c r="L8434" s="11" t="s">
        <v>28</v>
      </c>
      <c r="M8434" s="11" t="s">
        <v>28</v>
      </c>
      <c r="N8434" s="8">
        <v>42940</v>
      </c>
      <c r="O8434" s="9" t="s">
        <v>73</v>
      </c>
      <c r="P8434" s="12" t="s">
        <v>24433</v>
      </c>
      <c r="Q8434" s="9" t="s">
        <v>5347</v>
      </c>
      <c r="R8434" s="14" t="str">
        <f>HYPERLINK("https://my.pitchbook.com?c=130326-94T","View Company Online")</f>
        <v>View Company Online</v>
      </c>
    </row>
    <row r="8435" spans="1:18" hidden="1" x14ac:dyDescent="0.3">
      <c r="A8435" s="15" t="s">
        <v>24434</v>
      </c>
      <c r="B8435" s="15" t="s">
        <v>24010</v>
      </c>
      <c r="C8435" s="18" t="s">
        <v>28</v>
      </c>
      <c r="D8435" s="15" t="s">
        <v>24011</v>
      </c>
      <c r="E8435" s="18" t="s">
        <v>28</v>
      </c>
      <c r="F8435" s="19" t="s">
        <v>28</v>
      </c>
      <c r="G8435" s="19" t="s">
        <v>28</v>
      </c>
      <c r="H8435" s="19" t="s">
        <v>28</v>
      </c>
      <c r="I8435" s="18" t="s">
        <v>28</v>
      </c>
      <c r="J8435" s="18" t="s">
        <v>28</v>
      </c>
      <c r="K8435" s="18" t="s">
        <v>28</v>
      </c>
      <c r="L8435" s="18" t="s">
        <v>28</v>
      </c>
      <c r="M8435" s="18" t="s">
        <v>28</v>
      </c>
      <c r="N8435" s="17">
        <v>42940</v>
      </c>
      <c r="O8435" s="15" t="s">
        <v>52</v>
      </c>
      <c r="P8435" s="16" t="s">
        <v>1970</v>
      </c>
      <c r="Q8435" s="15" t="s">
        <v>37</v>
      </c>
      <c r="R8435" s="13" t="str">
        <f>HYPERLINK("https://my.pitchbook.com?c=125620-93T","View Company Online")</f>
        <v>View Company Online</v>
      </c>
    </row>
    <row r="8436" spans="1:18" hidden="1" x14ac:dyDescent="0.3">
      <c r="A8436" s="9" t="s">
        <v>24435</v>
      </c>
      <c r="B8436" s="9" t="s">
        <v>24436</v>
      </c>
      <c r="C8436" s="11" t="s">
        <v>28</v>
      </c>
      <c r="D8436" s="9" t="s">
        <v>24437</v>
      </c>
      <c r="E8436" s="11" t="s">
        <v>28</v>
      </c>
      <c r="F8436" s="10" t="s">
        <v>28</v>
      </c>
      <c r="G8436" s="10" t="s">
        <v>28</v>
      </c>
      <c r="H8436" s="10" t="s">
        <v>28</v>
      </c>
      <c r="I8436" s="11" t="s">
        <v>28</v>
      </c>
      <c r="J8436" s="11" t="s">
        <v>28</v>
      </c>
      <c r="K8436" s="11" t="s">
        <v>28</v>
      </c>
      <c r="L8436" s="11" t="s">
        <v>28</v>
      </c>
      <c r="M8436" s="11" t="s">
        <v>28</v>
      </c>
      <c r="N8436" s="8">
        <v>42940</v>
      </c>
      <c r="O8436" s="9" t="s">
        <v>30</v>
      </c>
      <c r="P8436" s="12" t="s">
        <v>24438</v>
      </c>
      <c r="Q8436" s="9" t="s">
        <v>75</v>
      </c>
      <c r="R8436" s="14" t="str">
        <f>HYPERLINK("https://my.pitchbook.com?c=103142-08T","View Company Online")</f>
        <v>View Company Online</v>
      </c>
    </row>
    <row r="8437" spans="1:18" hidden="1" x14ac:dyDescent="0.3">
      <c r="A8437" s="15" t="s">
        <v>24439</v>
      </c>
      <c r="B8437" s="15" t="s">
        <v>1988</v>
      </c>
      <c r="C8437" s="18" t="s">
        <v>28</v>
      </c>
      <c r="D8437" s="15" t="s">
        <v>1989</v>
      </c>
      <c r="E8437" s="18" t="s">
        <v>28</v>
      </c>
      <c r="F8437" s="19" t="s">
        <v>28</v>
      </c>
      <c r="G8437" s="19" t="s">
        <v>28</v>
      </c>
      <c r="H8437" s="19" t="s">
        <v>28</v>
      </c>
      <c r="I8437" s="18" t="s">
        <v>28</v>
      </c>
      <c r="J8437" s="18" t="s">
        <v>28</v>
      </c>
      <c r="K8437" s="18" t="s">
        <v>28</v>
      </c>
      <c r="L8437" s="18" t="s">
        <v>28</v>
      </c>
      <c r="M8437" s="18" t="s">
        <v>28</v>
      </c>
      <c r="N8437" s="17">
        <v>42940</v>
      </c>
      <c r="O8437" s="15" t="s">
        <v>79</v>
      </c>
      <c r="P8437" s="16" t="s">
        <v>24440</v>
      </c>
      <c r="Q8437" s="15" t="s">
        <v>75</v>
      </c>
      <c r="R8437" s="13" t="str">
        <f>HYPERLINK("https://my.pitchbook.com?c=86744-71T","View Company Online")</f>
        <v>View Company Online</v>
      </c>
    </row>
    <row r="8438" spans="1:18" hidden="1" x14ac:dyDescent="0.3">
      <c r="A8438" s="9" t="s">
        <v>24441</v>
      </c>
      <c r="B8438" s="9" t="s">
        <v>20539</v>
      </c>
      <c r="C8438" s="11" t="s">
        <v>28</v>
      </c>
      <c r="D8438" s="9" t="s">
        <v>20540</v>
      </c>
      <c r="E8438" s="11" t="s">
        <v>28</v>
      </c>
      <c r="F8438" s="10" t="s">
        <v>28</v>
      </c>
      <c r="G8438" s="10">
        <v>0.3</v>
      </c>
      <c r="H8438" s="10" t="s">
        <v>28</v>
      </c>
      <c r="I8438" s="11" t="s">
        <v>28</v>
      </c>
      <c r="J8438" s="11" t="s">
        <v>28</v>
      </c>
      <c r="K8438" s="11" t="s">
        <v>28</v>
      </c>
      <c r="L8438" s="11" t="s">
        <v>28</v>
      </c>
      <c r="M8438" s="11" t="s">
        <v>28</v>
      </c>
      <c r="N8438" s="8">
        <v>42937</v>
      </c>
      <c r="O8438" s="9" t="s">
        <v>99</v>
      </c>
      <c r="P8438" s="12" t="s">
        <v>140</v>
      </c>
      <c r="Q8438" s="9" t="s">
        <v>696</v>
      </c>
      <c r="R8438" s="14" t="str">
        <f>HYPERLINK("https://my.pitchbook.com?c=93111-76T","View Company Online")</f>
        <v>View Company Online</v>
      </c>
    </row>
    <row r="8439" spans="1:18" hidden="1" x14ac:dyDescent="0.3">
      <c r="A8439" s="15" t="s">
        <v>24442</v>
      </c>
      <c r="B8439" s="15" t="s">
        <v>1315</v>
      </c>
      <c r="C8439" s="18" t="s">
        <v>28</v>
      </c>
      <c r="D8439" s="15" t="s">
        <v>1316</v>
      </c>
      <c r="E8439" s="18">
        <v>27.24</v>
      </c>
      <c r="F8439" s="19" t="s">
        <v>28</v>
      </c>
      <c r="G8439" s="19">
        <v>126.14</v>
      </c>
      <c r="H8439" s="19">
        <v>149.81</v>
      </c>
      <c r="I8439" s="18">
        <v>41.47</v>
      </c>
      <c r="J8439" s="18">
        <v>3.61</v>
      </c>
      <c r="K8439" s="18">
        <v>160.12</v>
      </c>
      <c r="L8439" s="18">
        <v>0.94</v>
      </c>
      <c r="M8439" s="18">
        <v>-16.670000000000002</v>
      </c>
      <c r="N8439" s="17">
        <v>42937</v>
      </c>
      <c r="O8439" s="15" t="s">
        <v>9098</v>
      </c>
      <c r="P8439" s="16" t="s">
        <v>24443</v>
      </c>
      <c r="Q8439" s="15" t="s">
        <v>1088</v>
      </c>
      <c r="R8439" s="13" t="str">
        <f>HYPERLINK("https://my.pitchbook.com?c=110092-06T","View Company Online")</f>
        <v>View Company Online</v>
      </c>
    </row>
    <row r="8440" spans="1:18" hidden="1" x14ac:dyDescent="0.3">
      <c r="A8440" s="9" t="s">
        <v>24444</v>
      </c>
      <c r="B8440" s="9" t="s">
        <v>24445</v>
      </c>
      <c r="C8440" s="11" t="s">
        <v>28</v>
      </c>
      <c r="D8440" s="9" t="s">
        <v>24446</v>
      </c>
      <c r="E8440" s="11">
        <v>-43.91</v>
      </c>
      <c r="F8440" s="10" t="s">
        <v>28</v>
      </c>
      <c r="G8440" s="10">
        <v>20.309999999999999</v>
      </c>
      <c r="H8440" s="10">
        <v>406.11</v>
      </c>
      <c r="I8440" s="11">
        <v>-2.5</v>
      </c>
      <c r="J8440" s="11">
        <v>-162.37</v>
      </c>
      <c r="K8440" s="11">
        <v>1051.5</v>
      </c>
      <c r="L8440" s="11">
        <v>0.39</v>
      </c>
      <c r="M8440" s="11">
        <v>-65.540000000000006</v>
      </c>
      <c r="N8440" s="8">
        <v>42937</v>
      </c>
      <c r="O8440" s="9" t="s">
        <v>159</v>
      </c>
      <c r="P8440" s="12" t="s">
        <v>24447</v>
      </c>
      <c r="Q8440" s="9" t="s">
        <v>470</v>
      </c>
      <c r="R8440" s="14" t="str">
        <f>HYPERLINK("https://my.pitchbook.com?c=212357-35T","View Company Online")</f>
        <v>View Company Online</v>
      </c>
    </row>
    <row r="8441" spans="1:18" hidden="1" x14ac:dyDescent="0.3">
      <c r="A8441" s="15" t="s">
        <v>24448</v>
      </c>
      <c r="B8441" s="15" t="s">
        <v>24449</v>
      </c>
      <c r="C8441" s="18" t="s">
        <v>28</v>
      </c>
      <c r="D8441" s="15" t="s">
        <v>24450</v>
      </c>
      <c r="E8441" s="18" t="s">
        <v>28</v>
      </c>
      <c r="F8441" s="19" t="s">
        <v>28</v>
      </c>
      <c r="G8441" s="19">
        <v>1368.7</v>
      </c>
      <c r="H8441" s="19">
        <v>9212.3799999999992</v>
      </c>
      <c r="I8441" s="18" t="s">
        <v>28</v>
      </c>
      <c r="J8441" s="18" t="s">
        <v>28</v>
      </c>
      <c r="K8441" s="18" t="s">
        <v>28</v>
      </c>
      <c r="L8441" s="18" t="s">
        <v>28</v>
      </c>
      <c r="M8441" s="18" t="s">
        <v>28</v>
      </c>
      <c r="N8441" s="17">
        <v>42936</v>
      </c>
      <c r="O8441" s="15" t="s">
        <v>173</v>
      </c>
      <c r="P8441" s="16" t="s">
        <v>28</v>
      </c>
      <c r="Q8441" s="15" t="s">
        <v>409</v>
      </c>
      <c r="R8441" s="13" t="str">
        <f>HYPERLINK("https://my.pitchbook.com?c=91609-03T","View Company Online")</f>
        <v>View Company Online</v>
      </c>
    </row>
    <row r="8442" spans="1:18" hidden="1" x14ac:dyDescent="0.3">
      <c r="A8442" s="9" t="s">
        <v>24451</v>
      </c>
      <c r="B8442" s="9" t="s">
        <v>24452</v>
      </c>
      <c r="C8442" s="11" t="s">
        <v>28</v>
      </c>
      <c r="D8442" s="9" t="s">
        <v>24453</v>
      </c>
      <c r="E8442" s="11" t="s">
        <v>28</v>
      </c>
      <c r="F8442" s="10" t="s">
        <v>28</v>
      </c>
      <c r="G8442" s="10" t="s">
        <v>28</v>
      </c>
      <c r="H8442" s="10" t="s">
        <v>28</v>
      </c>
      <c r="I8442" s="11" t="s">
        <v>28</v>
      </c>
      <c r="J8442" s="11" t="s">
        <v>28</v>
      </c>
      <c r="K8442" s="11" t="s">
        <v>28</v>
      </c>
      <c r="L8442" s="11" t="s">
        <v>28</v>
      </c>
      <c r="M8442" s="11" t="s">
        <v>28</v>
      </c>
      <c r="N8442" s="8">
        <v>42935</v>
      </c>
      <c r="O8442" s="9" t="s">
        <v>30</v>
      </c>
      <c r="P8442" s="12" t="s">
        <v>24454</v>
      </c>
      <c r="Q8442" s="9" t="s">
        <v>109</v>
      </c>
      <c r="R8442" s="14" t="str">
        <f>HYPERLINK("https://my.pitchbook.com?c=90903-88T","View Company Online")</f>
        <v>View Company Online</v>
      </c>
    </row>
    <row r="8443" spans="1:18" hidden="1" x14ac:dyDescent="0.3">
      <c r="A8443" s="15" t="s">
        <v>24455</v>
      </c>
      <c r="B8443" s="15" t="s">
        <v>24456</v>
      </c>
      <c r="C8443" s="18" t="s">
        <v>28</v>
      </c>
      <c r="D8443" s="15" t="s">
        <v>24457</v>
      </c>
      <c r="E8443" s="18" t="s">
        <v>28</v>
      </c>
      <c r="F8443" s="19" t="s">
        <v>28</v>
      </c>
      <c r="G8443" s="19" t="s">
        <v>28</v>
      </c>
      <c r="H8443" s="19" t="s">
        <v>28</v>
      </c>
      <c r="I8443" s="18" t="s">
        <v>28</v>
      </c>
      <c r="J8443" s="18" t="s">
        <v>28</v>
      </c>
      <c r="K8443" s="18" t="s">
        <v>28</v>
      </c>
      <c r="L8443" s="18" t="s">
        <v>28</v>
      </c>
      <c r="M8443" s="18" t="s">
        <v>28</v>
      </c>
      <c r="N8443" s="17">
        <v>42935</v>
      </c>
      <c r="O8443" s="15" t="s">
        <v>30</v>
      </c>
      <c r="P8443" s="16" t="s">
        <v>24458</v>
      </c>
      <c r="Q8443" s="15" t="s">
        <v>409</v>
      </c>
      <c r="R8443" s="13" t="str">
        <f>HYPERLINK("https://my.pitchbook.com?c=86060-17T","View Company Online")</f>
        <v>View Company Online</v>
      </c>
    </row>
    <row r="8444" spans="1:18" hidden="1" x14ac:dyDescent="0.3">
      <c r="A8444" s="9" t="s">
        <v>24459</v>
      </c>
      <c r="B8444" s="9" t="s">
        <v>9740</v>
      </c>
      <c r="C8444" s="11" t="s">
        <v>28</v>
      </c>
      <c r="D8444" s="9" t="s">
        <v>9741</v>
      </c>
      <c r="E8444" s="11" t="s">
        <v>28</v>
      </c>
      <c r="F8444" s="10" t="s">
        <v>28</v>
      </c>
      <c r="G8444" s="10" t="s">
        <v>28</v>
      </c>
      <c r="H8444" s="10" t="s">
        <v>28</v>
      </c>
      <c r="I8444" s="11" t="s">
        <v>28</v>
      </c>
      <c r="J8444" s="11" t="s">
        <v>28</v>
      </c>
      <c r="K8444" s="11" t="s">
        <v>28</v>
      </c>
      <c r="L8444" s="11" t="s">
        <v>28</v>
      </c>
      <c r="M8444" s="11" t="s">
        <v>28</v>
      </c>
      <c r="N8444" s="8">
        <v>42934</v>
      </c>
      <c r="O8444" s="9" t="s">
        <v>52</v>
      </c>
      <c r="P8444" s="12" t="s">
        <v>24460</v>
      </c>
      <c r="Q8444" s="9" t="s">
        <v>75</v>
      </c>
      <c r="R8444" s="14" t="str">
        <f>HYPERLINK("https://my.pitchbook.com?c=94350-34T","View Company Online")</f>
        <v>View Company Online</v>
      </c>
    </row>
    <row r="8445" spans="1:18" hidden="1" x14ac:dyDescent="0.3">
      <c r="A8445" s="15" t="s">
        <v>24461</v>
      </c>
      <c r="B8445" s="15" t="s">
        <v>19691</v>
      </c>
      <c r="C8445" s="18" t="s">
        <v>28</v>
      </c>
      <c r="D8445" s="15" t="s">
        <v>19692</v>
      </c>
      <c r="E8445" s="18">
        <v>-1.49</v>
      </c>
      <c r="F8445" s="19" t="s">
        <v>28</v>
      </c>
      <c r="G8445" s="19" t="s">
        <v>28</v>
      </c>
      <c r="H8445" s="19" t="s">
        <v>28</v>
      </c>
      <c r="I8445" s="18">
        <v>-1.49</v>
      </c>
      <c r="J8445" s="18" t="s">
        <v>28</v>
      </c>
      <c r="K8445" s="18">
        <v>63.42</v>
      </c>
      <c r="L8445" s="18" t="s">
        <v>28</v>
      </c>
      <c r="M8445" s="18">
        <v>-2.71</v>
      </c>
      <c r="N8445" s="17">
        <v>42934</v>
      </c>
      <c r="O8445" s="15" t="s">
        <v>93</v>
      </c>
      <c r="P8445" s="16" t="s">
        <v>17150</v>
      </c>
      <c r="Q8445" s="15" t="s">
        <v>2043</v>
      </c>
      <c r="R8445" s="13" t="str">
        <f>HYPERLINK("https://my.pitchbook.com?c=107946-73T","View Company Online")</f>
        <v>View Company Online</v>
      </c>
    </row>
    <row r="8446" spans="1:18" hidden="1" x14ac:dyDescent="0.3">
      <c r="A8446" s="9" t="s">
        <v>24462</v>
      </c>
      <c r="B8446" s="9" t="s">
        <v>3037</v>
      </c>
      <c r="C8446" s="11" t="s">
        <v>28</v>
      </c>
      <c r="D8446" s="9" t="s">
        <v>3038</v>
      </c>
      <c r="E8446" s="11" t="s">
        <v>28</v>
      </c>
      <c r="F8446" s="10" t="s">
        <v>28</v>
      </c>
      <c r="G8446" s="10" t="s">
        <v>28</v>
      </c>
      <c r="H8446" s="10" t="s">
        <v>28</v>
      </c>
      <c r="I8446" s="11" t="s">
        <v>28</v>
      </c>
      <c r="J8446" s="11" t="s">
        <v>28</v>
      </c>
      <c r="K8446" s="11" t="s">
        <v>28</v>
      </c>
      <c r="L8446" s="11" t="s">
        <v>28</v>
      </c>
      <c r="M8446" s="11" t="s">
        <v>28</v>
      </c>
      <c r="N8446" s="8">
        <v>42933</v>
      </c>
      <c r="O8446" s="9" t="s">
        <v>52</v>
      </c>
      <c r="P8446" s="12" t="s">
        <v>1880</v>
      </c>
      <c r="Q8446" s="9" t="s">
        <v>95</v>
      </c>
      <c r="R8446" s="14" t="str">
        <f>HYPERLINK("https://my.pitchbook.com?c=110070-55T","View Company Online")</f>
        <v>View Company Online</v>
      </c>
    </row>
    <row r="8447" spans="1:18" hidden="1" x14ac:dyDescent="0.3">
      <c r="A8447" s="15" t="s">
        <v>24463</v>
      </c>
      <c r="B8447" s="15" t="s">
        <v>12704</v>
      </c>
      <c r="C8447" s="18" t="s">
        <v>28</v>
      </c>
      <c r="D8447" s="15" t="s">
        <v>12705</v>
      </c>
      <c r="E8447" s="18" t="s">
        <v>28</v>
      </c>
      <c r="F8447" s="19" t="s">
        <v>28</v>
      </c>
      <c r="G8447" s="19" t="s">
        <v>28</v>
      </c>
      <c r="H8447" s="19" t="s">
        <v>28</v>
      </c>
      <c r="I8447" s="18" t="s">
        <v>28</v>
      </c>
      <c r="J8447" s="18" t="s">
        <v>28</v>
      </c>
      <c r="K8447" s="18" t="s">
        <v>28</v>
      </c>
      <c r="L8447" s="18" t="s">
        <v>28</v>
      </c>
      <c r="M8447" s="18" t="s">
        <v>28</v>
      </c>
      <c r="N8447" s="17">
        <v>42933</v>
      </c>
      <c r="O8447" s="15" t="s">
        <v>52</v>
      </c>
      <c r="P8447" s="16" t="s">
        <v>1880</v>
      </c>
      <c r="Q8447" s="15" t="s">
        <v>75</v>
      </c>
      <c r="R8447" s="13" t="str">
        <f>HYPERLINK("https://my.pitchbook.com?c=97389-28T","View Company Online")</f>
        <v>View Company Online</v>
      </c>
    </row>
    <row r="8448" spans="1:18" hidden="1" x14ac:dyDescent="0.3">
      <c r="A8448" s="9" t="s">
        <v>24464</v>
      </c>
      <c r="B8448" s="9" t="s">
        <v>13838</v>
      </c>
      <c r="C8448" s="11" t="s">
        <v>28</v>
      </c>
      <c r="D8448" s="9" t="s">
        <v>13839</v>
      </c>
      <c r="E8448" s="11" t="s">
        <v>28</v>
      </c>
      <c r="F8448" s="10" t="s">
        <v>28</v>
      </c>
      <c r="G8448" s="10">
        <v>0.08</v>
      </c>
      <c r="H8448" s="10" t="s">
        <v>28</v>
      </c>
      <c r="I8448" s="11" t="s">
        <v>28</v>
      </c>
      <c r="J8448" s="11" t="s">
        <v>28</v>
      </c>
      <c r="K8448" s="11" t="s">
        <v>28</v>
      </c>
      <c r="L8448" s="11" t="s">
        <v>28</v>
      </c>
      <c r="M8448" s="11" t="s">
        <v>28</v>
      </c>
      <c r="N8448" s="8">
        <v>42931</v>
      </c>
      <c r="O8448" s="9" t="s">
        <v>99</v>
      </c>
      <c r="P8448" s="12" t="s">
        <v>28</v>
      </c>
      <c r="Q8448" s="9" t="s">
        <v>583</v>
      </c>
      <c r="R8448" s="14" t="str">
        <f>HYPERLINK("https://my.pitchbook.com?c=208535-68T","View Company Online")</f>
        <v>View Company Online</v>
      </c>
    </row>
    <row r="8449" spans="1:18" hidden="1" x14ac:dyDescent="0.3">
      <c r="A8449" s="15" t="s">
        <v>24465</v>
      </c>
      <c r="B8449" s="15" t="s">
        <v>24466</v>
      </c>
      <c r="C8449" s="18" t="s">
        <v>28</v>
      </c>
      <c r="D8449" s="15" t="s">
        <v>24467</v>
      </c>
      <c r="E8449" s="18">
        <v>242.5</v>
      </c>
      <c r="F8449" s="19" t="s">
        <v>28</v>
      </c>
      <c r="G8449" s="19" t="s">
        <v>28</v>
      </c>
      <c r="H8449" s="19" t="s">
        <v>28</v>
      </c>
      <c r="I8449" s="18">
        <v>242.5</v>
      </c>
      <c r="J8449" s="18" t="s">
        <v>28</v>
      </c>
      <c r="K8449" s="18">
        <v>83.88</v>
      </c>
      <c r="L8449" s="18" t="s">
        <v>28</v>
      </c>
      <c r="M8449" s="18">
        <v>182.69</v>
      </c>
      <c r="N8449" s="17">
        <v>42930</v>
      </c>
      <c r="O8449" s="15" t="s">
        <v>173</v>
      </c>
      <c r="P8449" s="16" t="s">
        <v>28</v>
      </c>
      <c r="Q8449" s="15" t="s">
        <v>240</v>
      </c>
      <c r="R8449" s="13" t="str">
        <f>HYPERLINK("https://my.pitchbook.com?c=209154-25T","View Company Online")</f>
        <v>View Company Online</v>
      </c>
    </row>
    <row r="8450" spans="1:18" hidden="1" x14ac:dyDescent="0.3">
      <c r="A8450" s="9" t="s">
        <v>24468</v>
      </c>
      <c r="B8450" s="9" t="s">
        <v>24469</v>
      </c>
      <c r="C8450" s="11" t="s">
        <v>28</v>
      </c>
      <c r="D8450" s="9" t="s">
        <v>24470</v>
      </c>
      <c r="E8450" s="11" t="s">
        <v>28</v>
      </c>
      <c r="F8450" s="10" t="s">
        <v>28</v>
      </c>
      <c r="G8450" s="10" t="s">
        <v>28</v>
      </c>
      <c r="H8450" s="10" t="s">
        <v>28</v>
      </c>
      <c r="I8450" s="11" t="s">
        <v>28</v>
      </c>
      <c r="J8450" s="11" t="s">
        <v>28</v>
      </c>
      <c r="K8450" s="11" t="s">
        <v>28</v>
      </c>
      <c r="L8450" s="11" t="s">
        <v>28</v>
      </c>
      <c r="M8450" s="11" t="s">
        <v>28</v>
      </c>
      <c r="N8450" s="8">
        <v>42930</v>
      </c>
      <c r="O8450" s="9" t="s">
        <v>30</v>
      </c>
      <c r="P8450" s="12" t="s">
        <v>24471</v>
      </c>
      <c r="Q8450" s="9" t="s">
        <v>85</v>
      </c>
      <c r="R8450" s="14" t="str">
        <f>HYPERLINK("https://my.pitchbook.com?c=268383-97T","View Company Online")</f>
        <v>View Company Online</v>
      </c>
    </row>
    <row r="8451" spans="1:18" hidden="1" x14ac:dyDescent="0.3">
      <c r="A8451" s="15" t="s">
        <v>24472</v>
      </c>
      <c r="B8451" s="15" t="s">
        <v>24473</v>
      </c>
      <c r="C8451" s="18" t="s">
        <v>28</v>
      </c>
      <c r="D8451" s="15" t="s">
        <v>24474</v>
      </c>
      <c r="E8451" s="18" t="s">
        <v>28</v>
      </c>
      <c r="F8451" s="19">
        <v>140.1</v>
      </c>
      <c r="G8451" s="19">
        <v>140.1</v>
      </c>
      <c r="H8451" s="19">
        <v>140.1</v>
      </c>
      <c r="I8451" s="18" t="s">
        <v>28</v>
      </c>
      <c r="J8451" s="18" t="s">
        <v>28</v>
      </c>
      <c r="K8451" s="18" t="s">
        <v>28</v>
      </c>
      <c r="L8451" s="18" t="s">
        <v>28</v>
      </c>
      <c r="M8451" s="18" t="s">
        <v>28</v>
      </c>
      <c r="N8451" s="17">
        <v>42930</v>
      </c>
      <c r="O8451" s="15" t="s">
        <v>41</v>
      </c>
      <c r="P8451" s="16" t="s">
        <v>22120</v>
      </c>
      <c r="Q8451" s="15" t="s">
        <v>1361</v>
      </c>
      <c r="R8451" s="13" t="str">
        <f>HYPERLINK("https://my.pitchbook.com?c=96688-45T","View Company Online")</f>
        <v>View Company Online</v>
      </c>
    </row>
    <row r="8452" spans="1:18" hidden="1" x14ac:dyDescent="0.3">
      <c r="A8452" s="9" t="s">
        <v>24475</v>
      </c>
      <c r="B8452" s="9" t="s">
        <v>24476</v>
      </c>
      <c r="C8452" s="11" t="s">
        <v>28</v>
      </c>
      <c r="D8452" s="9" t="s">
        <v>24477</v>
      </c>
      <c r="E8452" s="11" t="s">
        <v>28</v>
      </c>
      <c r="F8452" s="10" t="s">
        <v>28</v>
      </c>
      <c r="G8452" s="10">
        <v>0.06</v>
      </c>
      <c r="H8452" s="10">
        <v>0.61</v>
      </c>
      <c r="I8452" s="11" t="s">
        <v>28</v>
      </c>
      <c r="J8452" s="11" t="s">
        <v>28</v>
      </c>
      <c r="K8452" s="11" t="s">
        <v>28</v>
      </c>
      <c r="L8452" s="11" t="s">
        <v>28</v>
      </c>
      <c r="M8452" s="11" t="s">
        <v>28</v>
      </c>
      <c r="N8452" s="8">
        <v>42929</v>
      </c>
      <c r="O8452" s="9" t="s">
        <v>379</v>
      </c>
      <c r="P8452" s="12" t="s">
        <v>24478</v>
      </c>
      <c r="Q8452" s="9" t="s">
        <v>1191</v>
      </c>
      <c r="R8452" s="14" t="str">
        <f>HYPERLINK("https://my.pitchbook.com?c=137279-17T","View Company Online")</f>
        <v>View Company Online</v>
      </c>
    </row>
    <row r="8453" spans="1:18" hidden="1" x14ac:dyDescent="0.3">
      <c r="A8453" s="15" t="s">
        <v>24479</v>
      </c>
      <c r="B8453" s="15" t="s">
        <v>5142</v>
      </c>
      <c r="C8453" s="18" t="s">
        <v>28</v>
      </c>
      <c r="D8453" s="15" t="s">
        <v>5143</v>
      </c>
      <c r="E8453" s="18" t="s">
        <v>28</v>
      </c>
      <c r="F8453" s="19" t="s">
        <v>28</v>
      </c>
      <c r="G8453" s="19" t="s">
        <v>28</v>
      </c>
      <c r="H8453" s="19" t="s">
        <v>28</v>
      </c>
      <c r="I8453" s="18" t="s">
        <v>28</v>
      </c>
      <c r="J8453" s="18" t="s">
        <v>28</v>
      </c>
      <c r="K8453" s="18" t="s">
        <v>28</v>
      </c>
      <c r="L8453" s="18" t="s">
        <v>28</v>
      </c>
      <c r="M8453" s="18" t="s">
        <v>28</v>
      </c>
      <c r="N8453" s="17">
        <v>42929</v>
      </c>
      <c r="O8453" s="15" t="s">
        <v>52</v>
      </c>
      <c r="P8453" s="16" t="s">
        <v>6257</v>
      </c>
      <c r="Q8453" s="15" t="s">
        <v>583</v>
      </c>
      <c r="R8453" s="13" t="str">
        <f>HYPERLINK("https://my.pitchbook.com?c=260470-18T","View Company Online")</f>
        <v>View Company Online</v>
      </c>
    </row>
    <row r="8454" spans="1:18" hidden="1" x14ac:dyDescent="0.3">
      <c r="A8454" s="9" t="s">
        <v>24480</v>
      </c>
      <c r="B8454" s="9" t="s">
        <v>24481</v>
      </c>
      <c r="C8454" s="11" t="s">
        <v>28</v>
      </c>
      <c r="D8454" s="9" t="s">
        <v>24482</v>
      </c>
      <c r="E8454" s="11" t="s">
        <v>28</v>
      </c>
      <c r="F8454" s="10" t="s">
        <v>28</v>
      </c>
      <c r="G8454" s="10" t="s">
        <v>28</v>
      </c>
      <c r="H8454" s="10" t="s">
        <v>28</v>
      </c>
      <c r="I8454" s="11" t="s">
        <v>28</v>
      </c>
      <c r="J8454" s="11" t="s">
        <v>28</v>
      </c>
      <c r="K8454" s="11" t="s">
        <v>28</v>
      </c>
      <c r="L8454" s="11" t="s">
        <v>28</v>
      </c>
      <c r="M8454" s="11" t="s">
        <v>28</v>
      </c>
      <c r="N8454" s="8">
        <v>42928</v>
      </c>
      <c r="O8454" s="9" t="s">
        <v>30</v>
      </c>
      <c r="P8454" s="12" t="s">
        <v>24483</v>
      </c>
      <c r="Q8454" s="9" t="s">
        <v>95</v>
      </c>
      <c r="R8454" s="14" t="str">
        <f>HYPERLINK("https://my.pitchbook.com?c=90533-44T","View Company Online")</f>
        <v>View Company Online</v>
      </c>
    </row>
    <row r="8455" spans="1:18" hidden="1" x14ac:dyDescent="0.3">
      <c r="A8455" s="15" t="s">
        <v>24484</v>
      </c>
      <c r="B8455" s="15" t="s">
        <v>12669</v>
      </c>
      <c r="C8455" s="18" t="s">
        <v>28</v>
      </c>
      <c r="D8455" s="15" t="s">
        <v>12670</v>
      </c>
      <c r="E8455" s="18" t="s">
        <v>28</v>
      </c>
      <c r="F8455" s="19" t="s">
        <v>28</v>
      </c>
      <c r="G8455" s="19" t="s">
        <v>28</v>
      </c>
      <c r="H8455" s="19" t="s">
        <v>28</v>
      </c>
      <c r="I8455" s="18" t="s">
        <v>28</v>
      </c>
      <c r="J8455" s="18" t="s">
        <v>28</v>
      </c>
      <c r="K8455" s="18">
        <v>0.38</v>
      </c>
      <c r="L8455" s="18" t="s">
        <v>28</v>
      </c>
      <c r="M8455" s="18">
        <v>0.12</v>
      </c>
      <c r="N8455" s="17">
        <v>42928</v>
      </c>
      <c r="O8455" s="15" t="s">
        <v>52</v>
      </c>
      <c r="P8455" s="16" t="s">
        <v>3682</v>
      </c>
      <c r="Q8455" s="15" t="s">
        <v>75</v>
      </c>
      <c r="R8455" s="13" t="str">
        <f>HYPERLINK("https://my.pitchbook.com?c=300244-24T","View Company Online")</f>
        <v>View Company Online</v>
      </c>
    </row>
    <row r="8456" spans="1:18" hidden="1" x14ac:dyDescent="0.3">
      <c r="A8456" s="9" t="s">
        <v>24485</v>
      </c>
      <c r="B8456" s="9" t="s">
        <v>1447</v>
      </c>
      <c r="C8456" s="11" t="s">
        <v>28</v>
      </c>
      <c r="D8456" s="9" t="s">
        <v>1448</v>
      </c>
      <c r="E8456" s="11" t="s">
        <v>28</v>
      </c>
      <c r="F8456" s="10" t="s">
        <v>28</v>
      </c>
      <c r="G8456" s="10">
        <v>0.09</v>
      </c>
      <c r="H8456" s="10" t="s">
        <v>28</v>
      </c>
      <c r="I8456" s="11" t="s">
        <v>28</v>
      </c>
      <c r="J8456" s="11" t="s">
        <v>28</v>
      </c>
      <c r="K8456" s="11" t="s">
        <v>28</v>
      </c>
      <c r="L8456" s="11" t="s">
        <v>28</v>
      </c>
      <c r="M8456" s="11" t="s">
        <v>28</v>
      </c>
      <c r="N8456" s="8">
        <v>42927</v>
      </c>
      <c r="O8456" s="9" t="s">
        <v>99</v>
      </c>
      <c r="P8456" s="12" t="s">
        <v>7384</v>
      </c>
      <c r="Q8456" s="9" t="s">
        <v>75</v>
      </c>
      <c r="R8456" s="14" t="str">
        <f>HYPERLINK("https://my.pitchbook.com?c=98022-52T","View Company Online")</f>
        <v>View Company Online</v>
      </c>
    </row>
    <row r="8457" spans="1:18" hidden="1" x14ac:dyDescent="0.3">
      <c r="A8457" s="15" t="s">
        <v>24486</v>
      </c>
      <c r="B8457" s="15" t="s">
        <v>1108</v>
      </c>
      <c r="C8457" s="18" t="s">
        <v>28</v>
      </c>
      <c r="D8457" s="15" t="s">
        <v>1109</v>
      </c>
      <c r="E8457" s="18" t="s">
        <v>28</v>
      </c>
      <c r="F8457" s="19" t="s">
        <v>28</v>
      </c>
      <c r="G8457" s="19">
        <v>0.78</v>
      </c>
      <c r="H8457" s="19" t="s">
        <v>28</v>
      </c>
      <c r="I8457" s="18" t="s">
        <v>28</v>
      </c>
      <c r="J8457" s="18" t="s">
        <v>28</v>
      </c>
      <c r="K8457" s="18" t="s">
        <v>28</v>
      </c>
      <c r="L8457" s="18" t="s">
        <v>28</v>
      </c>
      <c r="M8457" s="18" t="s">
        <v>28</v>
      </c>
      <c r="N8457" s="17">
        <v>42926</v>
      </c>
      <c r="O8457" s="15" t="s">
        <v>79</v>
      </c>
      <c r="P8457" s="16" t="s">
        <v>11808</v>
      </c>
      <c r="Q8457" s="15" t="s">
        <v>419</v>
      </c>
      <c r="R8457" s="13" t="str">
        <f>HYPERLINK("https://my.pitchbook.com?c=91908-28T","View Company Online")</f>
        <v>View Company Online</v>
      </c>
    </row>
    <row r="8458" spans="1:18" hidden="1" x14ac:dyDescent="0.3">
      <c r="A8458" s="9" t="s">
        <v>24487</v>
      </c>
      <c r="B8458" s="9" t="s">
        <v>11191</v>
      </c>
      <c r="C8458" s="11" t="s">
        <v>28</v>
      </c>
      <c r="D8458" s="9" t="s">
        <v>11192</v>
      </c>
      <c r="E8458" s="11" t="s">
        <v>28</v>
      </c>
      <c r="F8458" s="10" t="s">
        <v>28</v>
      </c>
      <c r="G8458" s="10" t="s">
        <v>28</v>
      </c>
      <c r="H8458" s="10" t="s">
        <v>28</v>
      </c>
      <c r="I8458" s="11" t="s">
        <v>28</v>
      </c>
      <c r="J8458" s="11" t="s">
        <v>28</v>
      </c>
      <c r="K8458" s="11" t="s">
        <v>28</v>
      </c>
      <c r="L8458" s="11" t="s">
        <v>28</v>
      </c>
      <c r="M8458" s="11" t="s">
        <v>28</v>
      </c>
      <c r="N8458" s="8">
        <v>42926</v>
      </c>
      <c r="O8458" s="9" t="s">
        <v>99</v>
      </c>
      <c r="P8458" s="12" t="s">
        <v>24488</v>
      </c>
      <c r="Q8458" s="9" t="s">
        <v>75</v>
      </c>
      <c r="R8458" s="14" t="str">
        <f>HYPERLINK("https://my.pitchbook.com?c=183319-39T","View Company Online")</f>
        <v>View Company Online</v>
      </c>
    </row>
    <row r="8459" spans="1:18" hidden="1" x14ac:dyDescent="0.3">
      <c r="A8459" s="15" t="s">
        <v>24489</v>
      </c>
      <c r="B8459" s="15" t="s">
        <v>17696</v>
      </c>
      <c r="C8459" s="18" t="s">
        <v>28</v>
      </c>
      <c r="D8459" s="15" t="s">
        <v>17697</v>
      </c>
      <c r="E8459" s="18" t="s">
        <v>28</v>
      </c>
      <c r="F8459" s="19" t="s">
        <v>28</v>
      </c>
      <c r="G8459" s="19" t="s">
        <v>28</v>
      </c>
      <c r="H8459" s="19" t="s">
        <v>28</v>
      </c>
      <c r="I8459" s="18" t="s">
        <v>28</v>
      </c>
      <c r="J8459" s="18" t="s">
        <v>28</v>
      </c>
      <c r="K8459" s="18" t="s">
        <v>28</v>
      </c>
      <c r="L8459" s="18" t="s">
        <v>28</v>
      </c>
      <c r="M8459" s="18" t="s">
        <v>28</v>
      </c>
      <c r="N8459" s="17">
        <v>42923</v>
      </c>
      <c r="O8459" s="15" t="s">
        <v>52</v>
      </c>
      <c r="P8459" s="16" t="s">
        <v>16809</v>
      </c>
      <c r="Q8459" s="15" t="s">
        <v>75</v>
      </c>
      <c r="R8459" s="13" t="str">
        <f>HYPERLINK("https://my.pitchbook.com?c=95414-68T","View Company Online")</f>
        <v>View Company Online</v>
      </c>
    </row>
    <row r="8460" spans="1:18" hidden="1" x14ac:dyDescent="0.3">
      <c r="A8460" s="9" t="s">
        <v>24490</v>
      </c>
      <c r="B8460" s="9" t="s">
        <v>24491</v>
      </c>
      <c r="C8460" s="11" t="s">
        <v>28</v>
      </c>
      <c r="D8460" s="9" t="s">
        <v>24492</v>
      </c>
      <c r="E8460" s="11" t="s">
        <v>28</v>
      </c>
      <c r="F8460" s="10" t="s">
        <v>28</v>
      </c>
      <c r="G8460" s="10">
        <v>0.23</v>
      </c>
      <c r="H8460" s="10">
        <v>4.04</v>
      </c>
      <c r="I8460" s="11" t="s">
        <v>28</v>
      </c>
      <c r="J8460" s="11" t="s">
        <v>28</v>
      </c>
      <c r="K8460" s="11" t="s">
        <v>28</v>
      </c>
      <c r="L8460" s="11" t="s">
        <v>28</v>
      </c>
      <c r="M8460" s="11" t="s">
        <v>28</v>
      </c>
      <c r="N8460" s="8">
        <v>42923</v>
      </c>
      <c r="O8460" s="9" t="s">
        <v>58</v>
      </c>
      <c r="P8460" s="12" t="s">
        <v>24493</v>
      </c>
      <c r="Q8460" s="9" t="s">
        <v>85</v>
      </c>
      <c r="R8460" s="14" t="str">
        <f>HYPERLINK("https://my.pitchbook.com?c=93568-96T","View Company Online")</f>
        <v>View Company Online</v>
      </c>
    </row>
    <row r="8461" spans="1:18" hidden="1" x14ac:dyDescent="0.3">
      <c r="A8461" s="15" t="s">
        <v>24494</v>
      </c>
      <c r="B8461" s="15" t="s">
        <v>8728</v>
      </c>
      <c r="C8461" s="18" t="s">
        <v>28</v>
      </c>
      <c r="D8461" s="15" t="s">
        <v>8729</v>
      </c>
      <c r="E8461" s="18" t="s">
        <v>28</v>
      </c>
      <c r="F8461" s="19" t="s">
        <v>28</v>
      </c>
      <c r="G8461" s="19">
        <v>0.04</v>
      </c>
      <c r="H8461" s="19" t="s">
        <v>28</v>
      </c>
      <c r="I8461" s="18" t="s">
        <v>28</v>
      </c>
      <c r="J8461" s="18" t="s">
        <v>28</v>
      </c>
      <c r="K8461" s="18" t="s">
        <v>28</v>
      </c>
      <c r="L8461" s="18" t="s">
        <v>28</v>
      </c>
      <c r="M8461" s="18" t="s">
        <v>28</v>
      </c>
      <c r="N8461" s="17">
        <v>42922</v>
      </c>
      <c r="O8461" s="15" t="s">
        <v>52</v>
      </c>
      <c r="P8461" s="16" t="s">
        <v>24495</v>
      </c>
      <c r="Q8461" s="15" t="s">
        <v>37</v>
      </c>
      <c r="R8461" s="13" t="str">
        <f>HYPERLINK("https://my.pitchbook.com?c=102892-87T","View Company Online")</f>
        <v>View Company Online</v>
      </c>
    </row>
    <row r="8462" spans="1:18" hidden="1" x14ac:dyDescent="0.3">
      <c r="A8462" s="9" t="s">
        <v>24496</v>
      </c>
      <c r="B8462" s="9" t="s">
        <v>24497</v>
      </c>
      <c r="C8462" s="11" t="s">
        <v>28</v>
      </c>
      <c r="D8462" s="9" t="s">
        <v>24498</v>
      </c>
      <c r="E8462" s="11" t="s">
        <v>28</v>
      </c>
      <c r="F8462" s="10">
        <v>123.81</v>
      </c>
      <c r="G8462" s="10">
        <v>123.81</v>
      </c>
      <c r="H8462" s="10">
        <v>123.81</v>
      </c>
      <c r="I8462" s="11" t="s">
        <v>28</v>
      </c>
      <c r="J8462" s="11" t="s">
        <v>28</v>
      </c>
      <c r="K8462" s="11">
        <v>18.95</v>
      </c>
      <c r="L8462" s="11">
        <v>6.53</v>
      </c>
      <c r="M8462" s="11" t="s">
        <v>28</v>
      </c>
      <c r="N8462" s="8">
        <v>42922</v>
      </c>
      <c r="O8462" s="9" t="s">
        <v>30</v>
      </c>
      <c r="P8462" s="12" t="s">
        <v>24499</v>
      </c>
      <c r="Q8462" s="9" t="s">
        <v>409</v>
      </c>
      <c r="R8462" s="14" t="str">
        <f>HYPERLINK("https://my.pitchbook.com?c=81689-59T","View Company Online")</f>
        <v>View Company Online</v>
      </c>
    </row>
    <row r="8463" spans="1:18" hidden="1" x14ac:dyDescent="0.3">
      <c r="A8463" s="15" t="s">
        <v>24500</v>
      </c>
      <c r="B8463" s="15" t="s">
        <v>24501</v>
      </c>
      <c r="C8463" s="18" t="s">
        <v>28</v>
      </c>
      <c r="D8463" s="15" t="s">
        <v>24502</v>
      </c>
      <c r="E8463" s="18" t="s">
        <v>28</v>
      </c>
      <c r="F8463" s="19" t="s">
        <v>28</v>
      </c>
      <c r="G8463" s="19" t="s">
        <v>28</v>
      </c>
      <c r="H8463" s="19" t="s">
        <v>28</v>
      </c>
      <c r="I8463" s="18" t="s">
        <v>28</v>
      </c>
      <c r="J8463" s="18" t="s">
        <v>28</v>
      </c>
      <c r="K8463" s="18" t="s">
        <v>28</v>
      </c>
      <c r="L8463" s="18" t="s">
        <v>28</v>
      </c>
      <c r="M8463" s="18" t="s">
        <v>28</v>
      </c>
      <c r="N8463" s="17">
        <v>42922</v>
      </c>
      <c r="O8463" s="15" t="s">
        <v>173</v>
      </c>
      <c r="P8463" s="16" t="s">
        <v>28</v>
      </c>
      <c r="Q8463" s="15" t="s">
        <v>174</v>
      </c>
      <c r="R8463" s="13" t="str">
        <f>HYPERLINK("https://my.pitchbook.com?c=225818-74T","View Company Online")</f>
        <v>View Company Online</v>
      </c>
    </row>
    <row r="8464" spans="1:18" hidden="1" x14ac:dyDescent="0.3">
      <c r="A8464" s="9" t="s">
        <v>24503</v>
      </c>
      <c r="B8464" s="9" t="s">
        <v>24504</v>
      </c>
      <c r="C8464" s="11" t="s">
        <v>28</v>
      </c>
      <c r="D8464" s="9" t="s">
        <v>24505</v>
      </c>
      <c r="E8464" s="11" t="s">
        <v>28</v>
      </c>
      <c r="F8464" s="10" t="s">
        <v>28</v>
      </c>
      <c r="G8464" s="10" t="s">
        <v>28</v>
      </c>
      <c r="H8464" s="10" t="s">
        <v>28</v>
      </c>
      <c r="I8464" s="11" t="s">
        <v>28</v>
      </c>
      <c r="J8464" s="11" t="s">
        <v>28</v>
      </c>
      <c r="K8464" s="11" t="s">
        <v>28</v>
      </c>
      <c r="L8464" s="11" t="s">
        <v>28</v>
      </c>
      <c r="M8464" s="11" t="s">
        <v>28</v>
      </c>
      <c r="N8464" s="8">
        <v>42921</v>
      </c>
      <c r="O8464" s="9" t="s">
        <v>30</v>
      </c>
      <c r="P8464" s="12" t="s">
        <v>24506</v>
      </c>
      <c r="Q8464" s="9" t="s">
        <v>4602</v>
      </c>
      <c r="R8464" s="14" t="str">
        <f>HYPERLINK("https://my.pitchbook.com?c=90249-49T","View Company Online")</f>
        <v>View Company Online</v>
      </c>
    </row>
    <row r="8465" spans="1:18" hidden="1" x14ac:dyDescent="0.3">
      <c r="A8465" s="15" t="s">
        <v>24507</v>
      </c>
      <c r="B8465" s="15" t="s">
        <v>24508</v>
      </c>
      <c r="C8465" s="18" t="s">
        <v>28</v>
      </c>
      <c r="D8465" s="15" t="s">
        <v>24509</v>
      </c>
      <c r="E8465" s="18" t="s">
        <v>28</v>
      </c>
      <c r="F8465" s="19">
        <v>9.1199999999999992</v>
      </c>
      <c r="G8465" s="19">
        <v>9.1199999999999992</v>
      </c>
      <c r="H8465" s="19">
        <v>9.1199999999999992</v>
      </c>
      <c r="I8465" s="18" t="s">
        <v>28</v>
      </c>
      <c r="J8465" s="18" t="s">
        <v>28</v>
      </c>
      <c r="K8465" s="18">
        <v>2.5</v>
      </c>
      <c r="L8465" s="18">
        <v>3.64</v>
      </c>
      <c r="M8465" s="18" t="s">
        <v>28</v>
      </c>
      <c r="N8465" s="17">
        <v>42920</v>
      </c>
      <c r="O8465" s="15" t="s">
        <v>30</v>
      </c>
      <c r="P8465" s="16" t="s">
        <v>24510</v>
      </c>
      <c r="Q8465" s="15" t="s">
        <v>75</v>
      </c>
      <c r="R8465" s="13" t="str">
        <f>HYPERLINK("https://my.pitchbook.com?c=90262-18T","View Company Online")</f>
        <v>View Company Online</v>
      </c>
    </row>
    <row r="8466" spans="1:18" hidden="1" x14ac:dyDescent="0.3">
      <c r="A8466" s="9" t="s">
        <v>24511</v>
      </c>
      <c r="B8466" s="9" t="s">
        <v>24512</v>
      </c>
      <c r="C8466" s="11" t="s">
        <v>28</v>
      </c>
      <c r="D8466" s="9" t="s">
        <v>24513</v>
      </c>
      <c r="E8466" s="11" t="s">
        <v>28</v>
      </c>
      <c r="F8466" s="10" t="s">
        <v>28</v>
      </c>
      <c r="G8466" s="10" t="s">
        <v>28</v>
      </c>
      <c r="H8466" s="10" t="s">
        <v>28</v>
      </c>
      <c r="I8466" s="11" t="s">
        <v>28</v>
      </c>
      <c r="J8466" s="11" t="s">
        <v>28</v>
      </c>
      <c r="K8466" s="11" t="s">
        <v>28</v>
      </c>
      <c r="L8466" s="11" t="s">
        <v>28</v>
      </c>
      <c r="M8466" s="11" t="s">
        <v>28</v>
      </c>
      <c r="N8466" s="8">
        <v>42920</v>
      </c>
      <c r="O8466" s="9" t="s">
        <v>173</v>
      </c>
      <c r="P8466" s="12" t="s">
        <v>28</v>
      </c>
      <c r="Q8466" s="9" t="s">
        <v>240</v>
      </c>
      <c r="R8466" s="14" t="str">
        <f>HYPERLINK("https://my.pitchbook.com?c=224856-82T","View Company Online")</f>
        <v>View Company Online</v>
      </c>
    </row>
    <row r="8467" spans="1:18" hidden="1" x14ac:dyDescent="0.3">
      <c r="A8467" s="15" t="s">
        <v>24514</v>
      </c>
      <c r="B8467" s="15" t="s">
        <v>4981</v>
      </c>
      <c r="C8467" s="18" t="s">
        <v>28</v>
      </c>
      <c r="D8467" s="15" t="s">
        <v>4982</v>
      </c>
      <c r="E8467" s="18" t="s">
        <v>28</v>
      </c>
      <c r="F8467" s="19" t="s">
        <v>28</v>
      </c>
      <c r="G8467" s="19" t="s">
        <v>28</v>
      </c>
      <c r="H8467" s="19" t="s">
        <v>28</v>
      </c>
      <c r="I8467" s="18" t="s">
        <v>28</v>
      </c>
      <c r="J8467" s="18" t="s">
        <v>28</v>
      </c>
      <c r="K8467" s="18" t="s">
        <v>28</v>
      </c>
      <c r="L8467" s="18" t="s">
        <v>28</v>
      </c>
      <c r="M8467" s="18" t="s">
        <v>28</v>
      </c>
      <c r="N8467" s="17">
        <v>42920</v>
      </c>
      <c r="O8467" s="15" t="s">
        <v>52</v>
      </c>
      <c r="P8467" s="16" t="s">
        <v>21790</v>
      </c>
      <c r="Q8467" s="15" t="s">
        <v>1336</v>
      </c>
      <c r="R8467" s="13" t="str">
        <f>HYPERLINK("https://my.pitchbook.com?c=122376-97T","View Company Online")</f>
        <v>View Company Online</v>
      </c>
    </row>
    <row r="8468" spans="1:18" hidden="1" x14ac:dyDescent="0.3">
      <c r="A8468" s="9" t="s">
        <v>24515</v>
      </c>
      <c r="B8468" s="9" t="s">
        <v>24516</v>
      </c>
      <c r="C8468" s="11" t="s">
        <v>28</v>
      </c>
      <c r="D8468" s="9" t="s">
        <v>24517</v>
      </c>
      <c r="E8468" s="11" t="s">
        <v>28</v>
      </c>
      <c r="F8468" s="10" t="s">
        <v>28</v>
      </c>
      <c r="G8468" s="10" t="s">
        <v>28</v>
      </c>
      <c r="H8468" s="10" t="s">
        <v>28</v>
      </c>
      <c r="I8468" s="11" t="s">
        <v>28</v>
      </c>
      <c r="J8468" s="11" t="s">
        <v>28</v>
      </c>
      <c r="K8468" s="11" t="s">
        <v>28</v>
      </c>
      <c r="L8468" s="11" t="s">
        <v>28</v>
      </c>
      <c r="M8468" s="11" t="s">
        <v>28</v>
      </c>
      <c r="N8468" s="8">
        <v>42920</v>
      </c>
      <c r="O8468" s="9" t="s">
        <v>30</v>
      </c>
      <c r="P8468" s="12" t="s">
        <v>24518</v>
      </c>
      <c r="Q8468" s="9" t="s">
        <v>880</v>
      </c>
      <c r="R8468" s="14" t="str">
        <f>HYPERLINK("https://my.pitchbook.com?c=90105-67T","View Company Online")</f>
        <v>View Company Online</v>
      </c>
    </row>
    <row r="8469" spans="1:18" hidden="1" x14ac:dyDescent="0.3">
      <c r="A8469" s="15" t="s">
        <v>24519</v>
      </c>
      <c r="B8469" s="15" t="s">
        <v>24520</v>
      </c>
      <c r="C8469" s="18" t="s">
        <v>28</v>
      </c>
      <c r="D8469" s="15" t="s">
        <v>24521</v>
      </c>
      <c r="E8469" s="18" t="s">
        <v>28</v>
      </c>
      <c r="F8469" s="19" t="s">
        <v>28</v>
      </c>
      <c r="G8469" s="19">
        <v>0.05</v>
      </c>
      <c r="H8469" s="19">
        <v>0.46</v>
      </c>
      <c r="I8469" s="18" t="s">
        <v>28</v>
      </c>
      <c r="J8469" s="18" t="s">
        <v>28</v>
      </c>
      <c r="K8469" s="18" t="s">
        <v>28</v>
      </c>
      <c r="L8469" s="18" t="s">
        <v>28</v>
      </c>
      <c r="M8469" s="18" t="s">
        <v>28</v>
      </c>
      <c r="N8469" s="17">
        <v>42919</v>
      </c>
      <c r="O8469" s="15" t="s">
        <v>52</v>
      </c>
      <c r="P8469" s="16" t="s">
        <v>24108</v>
      </c>
      <c r="Q8469" s="15" t="s">
        <v>1035</v>
      </c>
      <c r="R8469" s="13" t="str">
        <f>HYPERLINK("https://my.pitchbook.com?c=113154-40T","View Company Online")</f>
        <v>View Company Online</v>
      </c>
    </row>
    <row r="8470" spans="1:18" hidden="1" x14ac:dyDescent="0.3">
      <c r="A8470" s="9" t="s">
        <v>24522</v>
      </c>
      <c r="B8470" s="9" t="s">
        <v>2972</v>
      </c>
      <c r="C8470" s="11" t="s">
        <v>28</v>
      </c>
      <c r="D8470" s="9" t="s">
        <v>2973</v>
      </c>
      <c r="E8470" s="11" t="s">
        <v>28</v>
      </c>
      <c r="F8470" s="10" t="s">
        <v>28</v>
      </c>
      <c r="G8470" s="10" t="s">
        <v>28</v>
      </c>
      <c r="H8470" s="10" t="s">
        <v>28</v>
      </c>
      <c r="I8470" s="11" t="s">
        <v>28</v>
      </c>
      <c r="J8470" s="11" t="s">
        <v>28</v>
      </c>
      <c r="K8470" s="11" t="s">
        <v>28</v>
      </c>
      <c r="L8470" s="11" t="s">
        <v>28</v>
      </c>
      <c r="M8470" s="11" t="s">
        <v>28</v>
      </c>
      <c r="N8470" s="8">
        <v>42919</v>
      </c>
      <c r="O8470" s="9" t="s">
        <v>52</v>
      </c>
      <c r="P8470" s="12" t="s">
        <v>24108</v>
      </c>
      <c r="Q8470" s="9" t="s">
        <v>119</v>
      </c>
      <c r="R8470" s="14" t="str">
        <f>HYPERLINK("https://my.pitchbook.com?c=97632-19T","View Company Online")</f>
        <v>View Company Online</v>
      </c>
    </row>
    <row r="8471" spans="1:18" hidden="1" x14ac:dyDescent="0.3">
      <c r="A8471" s="15" t="s">
        <v>24523</v>
      </c>
      <c r="B8471" s="15" t="s">
        <v>24524</v>
      </c>
      <c r="C8471" s="18" t="s">
        <v>28</v>
      </c>
      <c r="D8471" s="15" t="s">
        <v>24525</v>
      </c>
      <c r="E8471" s="18" t="s">
        <v>28</v>
      </c>
      <c r="F8471" s="19" t="s">
        <v>28</v>
      </c>
      <c r="G8471" s="19" t="s">
        <v>28</v>
      </c>
      <c r="H8471" s="19" t="s">
        <v>28</v>
      </c>
      <c r="I8471" s="18" t="s">
        <v>28</v>
      </c>
      <c r="J8471" s="18" t="s">
        <v>28</v>
      </c>
      <c r="K8471" s="18" t="s">
        <v>28</v>
      </c>
      <c r="L8471" s="18" t="s">
        <v>28</v>
      </c>
      <c r="M8471" s="18" t="s">
        <v>28</v>
      </c>
      <c r="N8471" s="17">
        <v>42919</v>
      </c>
      <c r="O8471" s="15" t="s">
        <v>30</v>
      </c>
      <c r="P8471" s="16" t="s">
        <v>24526</v>
      </c>
      <c r="Q8471" s="15" t="s">
        <v>607</v>
      </c>
      <c r="R8471" s="13" t="str">
        <f>HYPERLINK("https://my.pitchbook.com?c=224337-07T","View Company Online")</f>
        <v>View Company Online</v>
      </c>
    </row>
    <row r="8472" spans="1:18" hidden="1" x14ac:dyDescent="0.3">
      <c r="A8472" s="9" t="s">
        <v>24527</v>
      </c>
      <c r="B8472" s="9" t="s">
        <v>2165</v>
      </c>
      <c r="C8472" s="11" t="s">
        <v>28</v>
      </c>
      <c r="D8472" s="9" t="s">
        <v>2166</v>
      </c>
      <c r="E8472" s="11" t="s">
        <v>28</v>
      </c>
      <c r="F8472" s="10" t="s">
        <v>28</v>
      </c>
      <c r="G8472" s="10" t="s">
        <v>28</v>
      </c>
      <c r="H8472" s="10" t="s">
        <v>28</v>
      </c>
      <c r="I8472" s="11" t="s">
        <v>28</v>
      </c>
      <c r="J8472" s="11" t="s">
        <v>28</v>
      </c>
      <c r="K8472" s="11" t="s">
        <v>28</v>
      </c>
      <c r="L8472" s="11" t="s">
        <v>28</v>
      </c>
      <c r="M8472" s="11" t="s">
        <v>28</v>
      </c>
      <c r="N8472" s="8">
        <v>42919</v>
      </c>
      <c r="O8472" s="9" t="s">
        <v>30</v>
      </c>
      <c r="P8472" s="12" t="s">
        <v>19144</v>
      </c>
      <c r="Q8472" s="9" t="s">
        <v>2168</v>
      </c>
      <c r="R8472" s="14" t="str">
        <f>HYPERLINK("https://my.pitchbook.com?c=121588-93T","View Company Online")</f>
        <v>View Company Online</v>
      </c>
    </row>
    <row r="8473" spans="1:18" hidden="1" x14ac:dyDescent="0.3">
      <c r="A8473" s="15" t="s">
        <v>24528</v>
      </c>
      <c r="B8473" s="15" t="s">
        <v>18453</v>
      </c>
      <c r="C8473" s="18" t="s">
        <v>28</v>
      </c>
      <c r="D8473" s="15" t="s">
        <v>24529</v>
      </c>
      <c r="E8473" s="18" t="s">
        <v>28</v>
      </c>
      <c r="F8473" s="19" t="s">
        <v>28</v>
      </c>
      <c r="G8473" s="19" t="s">
        <v>28</v>
      </c>
      <c r="H8473" s="19" t="s">
        <v>28</v>
      </c>
      <c r="I8473" s="18" t="s">
        <v>28</v>
      </c>
      <c r="J8473" s="18" t="s">
        <v>28</v>
      </c>
      <c r="K8473" s="18" t="s">
        <v>28</v>
      </c>
      <c r="L8473" s="18" t="s">
        <v>28</v>
      </c>
      <c r="M8473" s="18" t="s">
        <v>28</v>
      </c>
      <c r="N8473" s="17">
        <v>42917</v>
      </c>
      <c r="O8473" s="15" t="s">
        <v>93</v>
      </c>
      <c r="P8473" s="16" t="s">
        <v>15061</v>
      </c>
      <c r="Q8473" s="15" t="s">
        <v>114</v>
      </c>
      <c r="R8473" s="13" t="str">
        <f>HYPERLINK("https://my.pitchbook.com?c=267922-54T","View Company Online")</f>
        <v>View Company Online</v>
      </c>
    </row>
    <row r="8474" spans="1:18" hidden="1" x14ac:dyDescent="0.3">
      <c r="A8474" s="9" t="s">
        <v>24530</v>
      </c>
      <c r="B8474" s="9" t="s">
        <v>22227</v>
      </c>
      <c r="C8474" s="11" t="s">
        <v>28</v>
      </c>
      <c r="D8474" s="9" t="s">
        <v>22228</v>
      </c>
      <c r="E8474" s="11" t="s">
        <v>28</v>
      </c>
      <c r="F8474" s="10" t="s">
        <v>28</v>
      </c>
      <c r="G8474" s="10" t="s">
        <v>28</v>
      </c>
      <c r="H8474" s="10" t="s">
        <v>28</v>
      </c>
      <c r="I8474" s="11" t="s">
        <v>28</v>
      </c>
      <c r="J8474" s="11" t="s">
        <v>28</v>
      </c>
      <c r="K8474" s="11" t="s">
        <v>28</v>
      </c>
      <c r="L8474" s="11" t="s">
        <v>28</v>
      </c>
      <c r="M8474" s="11" t="s">
        <v>28</v>
      </c>
      <c r="N8474" s="8">
        <v>42917</v>
      </c>
      <c r="O8474" s="9" t="s">
        <v>73</v>
      </c>
      <c r="P8474" s="12" t="s">
        <v>22297</v>
      </c>
      <c r="Q8474" s="9" t="s">
        <v>37</v>
      </c>
      <c r="R8474" s="14" t="str">
        <f>HYPERLINK("https://my.pitchbook.com?c=91832-50T","View Company Online")</f>
        <v>View Company Online</v>
      </c>
    </row>
    <row r="8475" spans="1:18" hidden="1" x14ac:dyDescent="0.3">
      <c r="A8475" s="15" t="s">
        <v>24531</v>
      </c>
      <c r="B8475" s="15" t="s">
        <v>18451</v>
      </c>
      <c r="C8475" s="18" t="s">
        <v>28</v>
      </c>
      <c r="D8475" s="15" t="s">
        <v>18452</v>
      </c>
      <c r="E8475" s="18" t="s">
        <v>28</v>
      </c>
      <c r="F8475" s="19" t="s">
        <v>28</v>
      </c>
      <c r="G8475" s="19" t="s">
        <v>28</v>
      </c>
      <c r="H8475" s="19" t="s">
        <v>28</v>
      </c>
      <c r="I8475" s="18" t="s">
        <v>28</v>
      </c>
      <c r="J8475" s="18" t="s">
        <v>28</v>
      </c>
      <c r="K8475" s="18" t="s">
        <v>28</v>
      </c>
      <c r="L8475" s="18" t="s">
        <v>28</v>
      </c>
      <c r="M8475" s="18" t="s">
        <v>28</v>
      </c>
      <c r="N8475" s="17">
        <v>42917</v>
      </c>
      <c r="O8475" s="15" t="s">
        <v>93</v>
      </c>
      <c r="P8475" s="16" t="s">
        <v>24532</v>
      </c>
      <c r="Q8475" s="15" t="s">
        <v>114</v>
      </c>
      <c r="R8475" s="13" t="str">
        <f>HYPERLINK("https://my.pitchbook.com?c=108244-90T","View Company Online")</f>
        <v>View Company Online</v>
      </c>
    </row>
    <row r="8476" spans="1:18" hidden="1" x14ac:dyDescent="0.3">
      <c r="A8476" s="9" t="s">
        <v>24533</v>
      </c>
      <c r="B8476" s="9" t="s">
        <v>4931</v>
      </c>
      <c r="C8476" s="11" t="s">
        <v>28</v>
      </c>
      <c r="D8476" s="9" t="s">
        <v>4932</v>
      </c>
      <c r="E8476" s="11" t="s">
        <v>28</v>
      </c>
      <c r="F8476" s="10" t="s">
        <v>28</v>
      </c>
      <c r="G8476" s="10" t="s">
        <v>28</v>
      </c>
      <c r="H8476" s="10" t="s">
        <v>28</v>
      </c>
      <c r="I8476" s="11" t="s">
        <v>28</v>
      </c>
      <c r="J8476" s="11" t="s">
        <v>28</v>
      </c>
      <c r="K8476" s="11" t="s">
        <v>28</v>
      </c>
      <c r="L8476" s="11" t="s">
        <v>28</v>
      </c>
      <c r="M8476" s="11" t="s">
        <v>28</v>
      </c>
      <c r="N8476" s="8">
        <v>42917</v>
      </c>
      <c r="O8476" s="9" t="s">
        <v>73</v>
      </c>
      <c r="P8476" s="12" t="s">
        <v>15636</v>
      </c>
      <c r="Q8476" s="9" t="s">
        <v>75</v>
      </c>
      <c r="R8476" s="14" t="str">
        <f>HYPERLINK("https://my.pitchbook.com?c=99238-51T","View Company Online")</f>
        <v>View Company Online</v>
      </c>
    </row>
    <row r="8477" spans="1:18" hidden="1" x14ac:dyDescent="0.3">
      <c r="A8477" s="15" t="s">
        <v>24534</v>
      </c>
      <c r="B8477" s="15" t="s">
        <v>24010</v>
      </c>
      <c r="C8477" s="18" t="s">
        <v>28</v>
      </c>
      <c r="D8477" s="15" t="s">
        <v>24011</v>
      </c>
      <c r="E8477" s="18" t="s">
        <v>28</v>
      </c>
      <c r="F8477" s="19" t="s">
        <v>28</v>
      </c>
      <c r="G8477" s="19" t="s">
        <v>28</v>
      </c>
      <c r="H8477" s="19" t="s">
        <v>28</v>
      </c>
      <c r="I8477" s="18" t="s">
        <v>28</v>
      </c>
      <c r="J8477" s="18" t="s">
        <v>28</v>
      </c>
      <c r="K8477" s="18" t="s">
        <v>28</v>
      </c>
      <c r="L8477" s="18" t="s">
        <v>28</v>
      </c>
      <c r="M8477" s="18" t="s">
        <v>28</v>
      </c>
      <c r="N8477" s="17">
        <v>42917</v>
      </c>
      <c r="O8477" s="15" t="s">
        <v>52</v>
      </c>
      <c r="P8477" s="16" t="s">
        <v>23911</v>
      </c>
      <c r="Q8477" s="15" t="s">
        <v>37</v>
      </c>
      <c r="R8477" s="13" t="str">
        <f>HYPERLINK("https://my.pitchbook.com?c=125622-82T","View Company Online")</f>
        <v>View Company Online</v>
      </c>
    </row>
    <row r="8478" spans="1:18" hidden="1" x14ac:dyDescent="0.3">
      <c r="A8478" s="9" t="s">
        <v>24535</v>
      </c>
      <c r="B8478" s="9" t="s">
        <v>24536</v>
      </c>
      <c r="C8478" s="11" t="s">
        <v>28</v>
      </c>
      <c r="D8478" s="9" t="s">
        <v>24537</v>
      </c>
      <c r="E8478" s="11" t="s">
        <v>28</v>
      </c>
      <c r="F8478" s="10" t="s">
        <v>28</v>
      </c>
      <c r="G8478" s="10" t="s">
        <v>28</v>
      </c>
      <c r="H8478" s="10" t="s">
        <v>28</v>
      </c>
      <c r="I8478" s="11" t="s">
        <v>28</v>
      </c>
      <c r="J8478" s="11" t="s">
        <v>28</v>
      </c>
      <c r="K8478" s="11" t="s">
        <v>28</v>
      </c>
      <c r="L8478" s="11" t="s">
        <v>28</v>
      </c>
      <c r="M8478" s="11" t="s">
        <v>28</v>
      </c>
      <c r="N8478" s="8">
        <v>42917</v>
      </c>
      <c r="O8478" s="9" t="s">
        <v>30</v>
      </c>
      <c r="P8478" s="12" t="s">
        <v>3710</v>
      </c>
      <c r="Q8478" s="9" t="s">
        <v>470</v>
      </c>
      <c r="R8478" s="14" t="str">
        <f>HYPERLINK("https://my.pitchbook.com?c=211726-09T","View Company Online")</f>
        <v>View Company Online</v>
      </c>
    </row>
    <row r="8479" spans="1:18" hidden="1" x14ac:dyDescent="0.3">
      <c r="A8479" s="15" t="s">
        <v>24538</v>
      </c>
      <c r="B8479" s="15" t="s">
        <v>24539</v>
      </c>
      <c r="C8479" s="18" t="s">
        <v>28</v>
      </c>
      <c r="D8479" s="15" t="s">
        <v>24540</v>
      </c>
      <c r="E8479" s="18" t="s">
        <v>28</v>
      </c>
      <c r="F8479" s="19" t="s">
        <v>28</v>
      </c>
      <c r="G8479" s="19" t="s">
        <v>28</v>
      </c>
      <c r="H8479" s="19" t="s">
        <v>28</v>
      </c>
      <c r="I8479" s="18" t="s">
        <v>28</v>
      </c>
      <c r="J8479" s="18" t="s">
        <v>28</v>
      </c>
      <c r="K8479" s="18" t="s">
        <v>28</v>
      </c>
      <c r="L8479" s="18" t="s">
        <v>28</v>
      </c>
      <c r="M8479" s="18" t="s">
        <v>28</v>
      </c>
      <c r="N8479" s="17">
        <v>42917</v>
      </c>
      <c r="O8479" s="15" t="s">
        <v>73</v>
      </c>
      <c r="P8479" s="16" t="s">
        <v>19147</v>
      </c>
      <c r="Q8479" s="15" t="s">
        <v>37</v>
      </c>
      <c r="R8479" s="13" t="str">
        <f>HYPERLINK("https://my.pitchbook.com?c=216056-62T","View Company Online")</f>
        <v>View Company Online</v>
      </c>
    </row>
    <row r="8480" spans="1:18" hidden="1" x14ac:dyDescent="0.3">
      <c r="A8480" s="9" t="s">
        <v>24541</v>
      </c>
      <c r="B8480" s="9" t="s">
        <v>24542</v>
      </c>
      <c r="C8480" s="11" t="s">
        <v>28</v>
      </c>
      <c r="D8480" s="9" t="s">
        <v>24543</v>
      </c>
      <c r="E8480" s="11" t="s">
        <v>28</v>
      </c>
      <c r="F8480" s="10" t="s">
        <v>28</v>
      </c>
      <c r="G8480" s="10" t="s">
        <v>28</v>
      </c>
      <c r="H8480" s="10" t="s">
        <v>28</v>
      </c>
      <c r="I8480" s="11" t="s">
        <v>28</v>
      </c>
      <c r="J8480" s="11" t="s">
        <v>28</v>
      </c>
      <c r="K8480" s="11" t="s">
        <v>28</v>
      </c>
      <c r="L8480" s="11" t="s">
        <v>28</v>
      </c>
      <c r="M8480" s="11" t="s">
        <v>28</v>
      </c>
      <c r="N8480" s="8">
        <v>42916</v>
      </c>
      <c r="O8480" s="9" t="s">
        <v>30</v>
      </c>
      <c r="P8480" s="12" t="s">
        <v>2239</v>
      </c>
      <c r="Q8480" s="9" t="s">
        <v>43</v>
      </c>
      <c r="R8480" s="14" t="str">
        <f>HYPERLINK("https://my.pitchbook.com?c=257057-74T","View Company Online")</f>
        <v>View Company Online</v>
      </c>
    </row>
    <row r="8481" spans="1:18" hidden="1" x14ac:dyDescent="0.3">
      <c r="A8481" s="15" t="s">
        <v>24544</v>
      </c>
      <c r="B8481" s="15" t="s">
        <v>24545</v>
      </c>
      <c r="C8481" s="18" t="s">
        <v>28</v>
      </c>
      <c r="D8481" s="15" t="s">
        <v>24546</v>
      </c>
      <c r="E8481" s="18" t="s">
        <v>28</v>
      </c>
      <c r="F8481" s="19">
        <v>47</v>
      </c>
      <c r="G8481" s="19">
        <v>47</v>
      </c>
      <c r="H8481" s="19">
        <v>47</v>
      </c>
      <c r="I8481" s="18" t="s">
        <v>28</v>
      </c>
      <c r="J8481" s="18" t="s">
        <v>28</v>
      </c>
      <c r="K8481" s="18" t="s">
        <v>28</v>
      </c>
      <c r="L8481" s="18" t="s">
        <v>28</v>
      </c>
      <c r="M8481" s="18" t="s">
        <v>28</v>
      </c>
      <c r="N8481" s="17">
        <v>42916</v>
      </c>
      <c r="O8481" s="15" t="s">
        <v>30</v>
      </c>
      <c r="P8481" s="16" t="s">
        <v>24547</v>
      </c>
      <c r="Q8481" s="15" t="s">
        <v>268</v>
      </c>
      <c r="R8481" s="13" t="str">
        <f>HYPERLINK("https://my.pitchbook.com?c=81951-94T","View Company Online")</f>
        <v>View Company Online</v>
      </c>
    </row>
    <row r="8482" spans="1:18" hidden="1" x14ac:dyDescent="0.3">
      <c r="A8482" s="9" t="s">
        <v>24548</v>
      </c>
      <c r="B8482" s="9" t="s">
        <v>2679</v>
      </c>
      <c r="C8482" s="11" t="s">
        <v>28</v>
      </c>
      <c r="D8482" s="9" t="s">
        <v>17437</v>
      </c>
      <c r="E8482" s="11">
        <v>-5.13</v>
      </c>
      <c r="F8482" s="10" t="s">
        <v>28</v>
      </c>
      <c r="G8482" s="10" t="s">
        <v>28</v>
      </c>
      <c r="H8482" s="10" t="s">
        <v>28</v>
      </c>
      <c r="I8482" s="11">
        <v>-5</v>
      </c>
      <c r="J8482" s="11" t="s">
        <v>28</v>
      </c>
      <c r="K8482" s="11">
        <v>8.11</v>
      </c>
      <c r="L8482" s="11" t="s">
        <v>28</v>
      </c>
      <c r="M8482" s="11">
        <v>-5.0999999999999996</v>
      </c>
      <c r="N8482" s="8">
        <v>42916</v>
      </c>
      <c r="O8482" s="9" t="s">
        <v>79</v>
      </c>
      <c r="P8482" s="12" t="s">
        <v>24549</v>
      </c>
      <c r="Q8482" s="9" t="s">
        <v>37</v>
      </c>
      <c r="R8482" s="14" t="str">
        <f>HYPERLINK("https://my.pitchbook.com?c=103383-19T","View Company Online")</f>
        <v>View Company Online</v>
      </c>
    </row>
    <row r="8483" spans="1:18" hidden="1" x14ac:dyDescent="0.3">
      <c r="A8483" s="15" t="s">
        <v>24550</v>
      </c>
      <c r="B8483" s="15" t="s">
        <v>6047</v>
      </c>
      <c r="C8483" s="18" t="s">
        <v>28</v>
      </c>
      <c r="D8483" s="15" t="s">
        <v>6048</v>
      </c>
      <c r="E8483" s="18" t="s">
        <v>28</v>
      </c>
      <c r="F8483" s="19" t="s">
        <v>28</v>
      </c>
      <c r="G8483" s="19">
        <v>100</v>
      </c>
      <c r="H8483" s="19" t="s">
        <v>28</v>
      </c>
      <c r="I8483" s="18" t="s">
        <v>28</v>
      </c>
      <c r="J8483" s="18" t="s">
        <v>28</v>
      </c>
      <c r="K8483" s="18" t="s">
        <v>28</v>
      </c>
      <c r="L8483" s="18" t="s">
        <v>28</v>
      </c>
      <c r="M8483" s="18" t="s">
        <v>28</v>
      </c>
      <c r="N8483" s="17">
        <v>42916</v>
      </c>
      <c r="O8483" s="15" t="s">
        <v>93</v>
      </c>
      <c r="P8483" s="16" t="s">
        <v>2216</v>
      </c>
      <c r="Q8483" s="15" t="s">
        <v>880</v>
      </c>
      <c r="R8483" s="13" t="str">
        <f>HYPERLINK("https://my.pitchbook.com?c=106057-81T","View Company Online")</f>
        <v>View Company Online</v>
      </c>
    </row>
    <row r="8484" spans="1:18" hidden="1" x14ac:dyDescent="0.3">
      <c r="A8484" s="9" t="s">
        <v>24551</v>
      </c>
      <c r="B8484" s="9" t="s">
        <v>24552</v>
      </c>
      <c r="C8484" s="11" t="s">
        <v>28</v>
      </c>
      <c r="D8484" s="9" t="s">
        <v>24553</v>
      </c>
      <c r="E8484" s="11" t="s">
        <v>28</v>
      </c>
      <c r="F8484" s="10">
        <v>3</v>
      </c>
      <c r="G8484" s="10">
        <v>3</v>
      </c>
      <c r="H8484" s="10">
        <v>3</v>
      </c>
      <c r="I8484" s="11" t="s">
        <v>28</v>
      </c>
      <c r="J8484" s="11" t="s">
        <v>28</v>
      </c>
      <c r="K8484" s="11" t="s">
        <v>28</v>
      </c>
      <c r="L8484" s="11" t="s">
        <v>28</v>
      </c>
      <c r="M8484" s="11" t="s">
        <v>28</v>
      </c>
      <c r="N8484" s="8">
        <v>42915</v>
      </c>
      <c r="O8484" s="9" t="s">
        <v>30</v>
      </c>
      <c r="P8484" s="12" t="s">
        <v>28</v>
      </c>
      <c r="Q8484" s="9" t="s">
        <v>348</v>
      </c>
      <c r="R8484" s="14" t="str">
        <f>HYPERLINK("https://my.pitchbook.com?c=93846-97T","View Company Online")</f>
        <v>View Company Online</v>
      </c>
    </row>
    <row r="8485" spans="1:18" hidden="1" x14ac:dyDescent="0.3">
      <c r="A8485" s="15" t="s">
        <v>24554</v>
      </c>
      <c r="B8485" s="15" t="s">
        <v>11510</v>
      </c>
      <c r="C8485" s="18" t="s">
        <v>28</v>
      </c>
      <c r="D8485" s="15" t="s">
        <v>11511</v>
      </c>
      <c r="E8485" s="18" t="s">
        <v>28</v>
      </c>
      <c r="F8485" s="19" t="s">
        <v>28</v>
      </c>
      <c r="G8485" s="19">
        <v>0.5</v>
      </c>
      <c r="H8485" s="19" t="s">
        <v>28</v>
      </c>
      <c r="I8485" s="18" t="s">
        <v>28</v>
      </c>
      <c r="J8485" s="18" t="s">
        <v>28</v>
      </c>
      <c r="K8485" s="18" t="s">
        <v>28</v>
      </c>
      <c r="L8485" s="18" t="s">
        <v>28</v>
      </c>
      <c r="M8485" s="18" t="s">
        <v>28</v>
      </c>
      <c r="N8485" s="17">
        <v>42914</v>
      </c>
      <c r="O8485" s="15" t="s">
        <v>99</v>
      </c>
      <c r="P8485" s="16" t="s">
        <v>24555</v>
      </c>
      <c r="Q8485" s="15" t="s">
        <v>75</v>
      </c>
      <c r="R8485" s="13" t="str">
        <f>HYPERLINK("https://my.pitchbook.com?c=93125-71T","View Company Online")</f>
        <v>View Company Online</v>
      </c>
    </row>
    <row r="8486" spans="1:18" x14ac:dyDescent="0.3">
      <c r="A8486" s="9" t="s">
        <v>24556</v>
      </c>
      <c r="B8486" s="9" t="s">
        <v>2330</v>
      </c>
      <c r="C8486" s="11">
        <v>9.91</v>
      </c>
      <c r="D8486" s="9" t="s">
        <v>24423</v>
      </c>
      <c r="E8486" s="11">
        <v>153.21</v>
      </c>
      <c r="F8486" s="10">
        <v>2090.4499999999998</v>
      </c>
      <c r="G8486" s="10">
        <v>1792.82</v>
      </c>
      <c r="H8486" s="10">
        <v>2229.88</v>
      </c>
      <c r="I8486" s="11">
        <v>210.86</v>
      </c>
      <c r="J8486" s="11">
        <v>10.58</v>
      </c>
      <c r="K8486" s="11">
        <v>974.06</v>
      </c>
      <c r="L8486" s="11">
        <v>2.29</v>
      </c>
      <c r="M8486" s="11">
        <v>109.69</v>
      </c>
      <c r="N8486" s="8">
        <v>42914</v>
      </c>
      <c r="O8486" s="9" t="s">
        <v>30</v>
      </c>
      <c r="P8486" s="12" t="s">
        <v>28</v>
      </c>
      <c r="Q8486" s="9" t="s">
        <v>43</v>
      </c>
      <c r="R8486" s="14" t="str">
        <f>HYPERLINK("https://my.pitchbook.com?c=74585-08T","View Company Online")</f>
        <v>View Company Online</v>
      </c>
    </row>
    <row r="8487" spans="1:18" hidden="1" x14ac:dyDescent="0.3">
      <c r="A8487" s="15" t="s">
        <v>24557</v>
      </c>
      <c r="B8487" s="15" t="s">
        <v>7601</v>
      </c>
      <c r="C8487" s="18" t="s">
        <v>28</v>
      </c>
      <c r="D8487" s="15" t="s">
        <v>7602</v>
      </c>
      <c r="E8487" s="18" t="s">
        <v>28</v>
      </c>
      <c r="F8487" s="19" t="s">
        <v>28</v>
      </c>
      <c r="G8487" s="19">
        <v>0.3</v>
      </c>
      <c r="H8487" s="19" t="s">
        <v>28</v>
      </c>
      <c r="I8487" s="18" t="s">
        <v>28</v>
      </c>
      <c r="J8487" s="18" t="s">
        <v>28</v>
      </c>
      <c r="K8487" s="18">
        <v>0.57999999999999996</v>
      </c>
      <c r="L8487" s="18" t="s">
        <v>28</v>
      </c>
      <c r="M8487" s="18" t="s">
        <v>28</v>
      </c>
      <c r="N8487" s="17">
        <v>42912</v>
      </c>
      <c r="O8487" s="15" t="s">
        <v>73</v>
      </c>
      <c r="P8487" s="16" t="s">
        <v>21284</v>
      </c>
      <c r="Q8487" s="15" t="s">
        <v>75</v>
      </c>
      <c r="R8487" s="13" t="str">
        <f>HYPERLINK("https://my.pitchbook.com?c=133008-13T","View Company Online")</f>
        <v>View Company Online</v>
      </c>
    </row>
    <row r="8488" spans="1:18" hidden="1" x14ac:dyDescent="0.3">
      <c r="A8488" s="9" t="s">
        <v>24558</v>
      </c>
      <c r="B8488" s="9" t="s">
        <v>18595</v>
      </c>
      <c r="C8488" s="11" t="s">
        <v>28</v>
      </c>
      <c r="D8488" s="9" t="s">
        <v>18596</v>
      </c>
      <c r="E8488" s="11" t="s">
        <v>28</v>
      </c>
      <c r="F8488" s="10">
        <v>41.97</v>
      </c>
      <c r="G8488" s="10">
        <v>33.57</v>
      </c>
      <c r="H8488" s="10">
        <v>41.97</v>
      </c>
      <c r="I8488" s="11" t="s">
        <v>28</v>
      </c>
      <c r="J8488" s="11" t="s">
        <v>28</v>
      </c>
      <c r="K8488" s="11">
        <v>22.24</v>
      </c>
      <c r="L8488" s="11">
        <v>1.89</v>
      </c>
      <c r="M8488" s="11" t="s">
        <v>28</v>
      </c>
      <c r="N8488" s="8">
        <v>42911</v>
      </c>
      <c r="O8488" s="9" t="s">
        <v>30</v>
      </c>
      <c r="P8488" s="12" t="s">
        <v>18597</v>
      </c>
      <c r="Q8488" s="9" t="s">
        <v>136</v>
      </c>
      <c r="R8488" s="14" t="str">
        <f>HYPERLINK("https://my.pitchbook.com?c=89662-06T","View Company Online")</f>
        <v>View Company Online</v>
      </c>
    </row>
    <row r="8489" spans="1:18" hidden="1" x14ac:dyDescent="0.3">
      <c r="A8489" s="15" t="s">
        <v>24559</v>
      </c>
      <c r="B8489" s="15" t="s">
        <v>8637</v>
      </c>
      <c r="C8489" s="18" t="s">
        <v>28</v>
      </c>
      <c r="D8489" s="15" t="s">
        <v>8638</v>
      </c>
      <c r="E8489" s="18" t="s">
        <v>28</v>
      </c>
      <c r="F8489" s="19" t="s">
        <v>28</v>
      </c>
      <c r="G8489" s="19">
        <v>16</v>
      </c>
      <c r="H8489" s="19" t="s">
        <v>28</v>
      </c>
      <c r="I8489" s="18" t="s">
        <v>28</v>
      </c>
      <c r="J8489" s="18" t="s">
        <v>28</v>
      </c>
      <c r="K8489" s="18" t="s">
        <v>28</v>
      </c>
      <c r="L8489" s="18" t="s">
        <v>28</v>
      </c>
      <c r="M8489" s="18" t="s">
        <v>28</v>
      </c>
      <c r="N8489" s="17">
        <v>42909</v>
      </c>
      <c r="O8489" s="15" t="s">
        <v>79</v>
      </c>
      <c r="P8489" s="16" t="s">
        <v>24560</v>
      </c>
      <c r="Q8489" s="15" t="s">
        <v>119</v>
      </c>
      <c r="R8489" s="13" t="str">
        <f>HYPERLINK("https://my.pitchbook.com?c=79741-63T","View Company Online")</f>
        <v>View Company Online</v>
      </c>
    </row>
    <row r="8490" spans="1:18" x14ac:dyDescent="0.3">
      <c r="A8490" s="9" t="s">
        <v>24561</v>
      </c>
      <c r="B8490" s="9" t="s">
        <v>13300</v>
      </c>
      <c r="C8490" s="11" t="s">
        <v>28</v>
      </c>
      <c r="D8490" s="9" t="s">
        <v>13301</v>
      </c>
      <c r="E8490" s="11" t="s">
        <v>28</v>
      </c>
      <c r="F8490" s="10" t="s">
        <v>28</v>
      </c>
      <c r="G8490" s="10">
        <v>91.71</v>
      </c>
      <c r="H8490" s="10">
        <v>338.77</v>
      </c>
      <c r="I8490" s="11">
        <v>23.03</v>
      </c>
      <c r="J8490" s="11">
        <v>14.71</v>
      </c>
      <c r="K8490" s="11">
        <v>143.94999999999999</v>
      </c>
      <c r="L8490" s="11">
        <v>2.35</v>
      </c>
      <c r="M8490" s="11" t="s">
        <v>28</v>
      </c>
      <c r="N8490" s="8">
        <v>42909</v>
      </c>
      <c r="O8490" s="9" t="s">
        <v>93</v>
      </c>
      <c r="P8490" s="12" t="s">
        <v>4006</v>
      </c>
      <c r="Q8490" s="9" t="s">
        <v>43</v>
      </c>
      <c r="R8490" s="14" t="str">
        <f>HYPERLINK("https://my.pitchbook.com?c=95889-88T","View Company Online")</f>
        <v>View Company Online</v>
      </c>
    </row>
    <row r="8491" spans="1:18" hidden="1" x14ac:dyDescent="0.3">
      <c r="A8491" s="15" t="s">
        <v>24562</v>
      </c>
      <c r="B8491" s="15" t="s">
        <v>18532</v>
      </c>
      <c r="C8491" s="18" t="s">
        <v>28</v>
      </c>
      <c r="D8491" s="15" t="s">
        <v>18533</v>
      </c>
      <c r="E8491" s="18" t="s">
        <v>28</v>
      </c>
      <c r="F8491" s="19" t="s">
        <v>28</v>
      </c>
      <c r="G8491" s="19">
        <v>11.81</v>
      </c>
      <c r="H8491" s="19" t="s">
        <v>28</v>
      </c>
      <c r="I8491" s="18" t="s">
        <v>28</v>
      </c>
      <c r="J8491" s="18" t="s">
        <v>28</v>
      </c>
      <c r="K8491" s="18" t="s">
        <v>28</v>
      </c>
      <c r="L8491" s="18" t="s">
        <v>28</v>
      </c>
      <c r="M8491" s="18" t="s">
        <v>28</v>
      </c>
      <c r="N8491" s="17">
        <v>42908</v>
      </c>
      <c r="O8491" s="15" t="s">
        <v>79</v>
      </c>
      <c r="P8491" s="16" t="s">
        <v>16566</v>
      </c>
      <c r="Q8491" s="15" t="s">
        <v>1336</v>
      </c>
      <c r="R8491" s="13" t="str">
        <f>HYPERLINK("https://my.pitchbook.com?c=66254-86T","View Company Online")</f>
        <v>View Company Online</v>
      </c>
    </row>
    <row r="8492" spans="1:18" hidden="1" x14ac:dyDescent="0.3">
      <c r="A8492" s="9" t="s">
        <v>24563</v>
      </c>
      <c r="B8492" s="9" t="s">
        <v>7465</v>
      </c>
      <c r="C8492" s="11" t="s">
        <v>28</v>
      </c>
      <c r="D8492" s="9" t="s">
        <v>7466</v>
      </c>
      <c r="E8492" s="11" t="s">
        <v>28</v>
      </c>
      <c r="F8492" s="10" t="s">
        <v>28</v>
      </c>
      <c r="G8492" s="10" t="s">
        <v>28</v>
      </c>
      <c r="H8492" s="10" t="s">
        <v>28</v>
      </c>
      <c r="I8492" s="11" t="s">
        <v>28</v>
      </c>
      <c r="J8492" s="11" t="s">
        <v>28</v>
      </c>
      <c r="K8492" s="11" t="s">
        <v>28</v>
      </c>
      <c r="L8492" s="11" t="s">
        <v>28</v>
      </c>
      <c r="M8492" s="11" t="s">
        <v>28</v>
      </c>
      <c r="N8492" s="8">
        <v>42908</v>
      </c>
      <c r="O8492" s="9" t="s">
        <v>379</v>
      </c>
      <c r="P8492" s="12" t="s">
        <v>24564</v>
      </c>
      <c r="Q8492" s="9" t="s">
        <v>1191</v>
      </c>
      <c r="R8492" s="14" t="str">
        <f>HYPERLINK("https://my.pitchbook.com?c=214881-58T","View Company Online")</f>
        <v>View Company Online</v>
      </c>
    </row>
    <row r="8493" spans="1:18" hidden="1" x14ac:dyDescent="0.3">
      <c r="A8493" s="15" t="s">
        <v>24565</v>
      </c>
      <c r="B8493" s="15" t="s">
        <v>24566</v>
      </c>
      <c r="C8493" s="18" t="s">
        <v>28</v>
      </c>
      <c r="D8493" s="15" t="s">
        <v>24567</v>
      </c>
      <c r="E8493" s="18" t="s">
        <v>28</v>
      </c>
      <c r="F8493" s="19" t="s">
        <v>28</v>
      </c>
      <c r="G8493" s="19" t="s">
        <v>28</v>
      </c>
      <c r="H8493" s="19" t="s">
        <v>28</v>
      </c>
      <c r="I8493" s="18" t="s">
        <v>28</v>
      </c>
      <c r="J8493" s="18" t="s">
        <v>28</v>
      </c>
      <c r="K8493" s="18" t="s">
        <v>28</v>
      </c>
      <c r="L8493" s="18" t="s">
        <v>28</v>
      </c>
      <c r="M8493" s="18" t="s">
        <v>28</v>
      </c>
      <c r="N8493" s="17">
        <v>42908</v>
      </c>
      <c r="O8493" s="15" t="s">
        <v>30</v>
      </c>
      <c r="P8493" s="16" t="s">
        <v>24568</v>
      </c>
      <c r="Q8493" s="15" t="s">
        <v>75</v>
      </c>
      <c r="R8493" s="13" t="str">
        <f>HYPERLINK("https://my.pitchbook.com?c=94518-91T","View Company Online")</f>
        <v>View Company Online</v>
      </c>
    </row>
    <row r="8494" spans="1:18" hidden="1" x14ac:dyDescent="0.3">
      <c r="A8494" s="9" t="s">
        <v>24569</v>
      </c>
      <c r="B8494" s="9" t="s">
        <v>24570</v>
      </c>
      <c r="C8494" s="11" t="s">
        <v>28</v>
      </c>
      <c r="D8494" s="9" t="s">
        <v>24571</v>
      </c>
      <c r="E8494" s="11" t="s">
        <v>28</v>
      </c>
      <c r="F8494" s="10" t="s">
        <v>28</v>
      </c>
      <c r="G8494" s="10" t="s">
        <v>28</v>
      </c>
      <c r="H8494" s="10" t="s">
        <v>28</v>
      </c>
      <c r="I8494" s="11" t="s">
        <v>28</v>
      </c>
      <c r="J8494" s="11" t="s">
        <v>28</v>
      </c>
      <c r="K8494" s="11" t="s">
        <v>28</v>
      </c>
      <c r="L8494" s="11" t="s">
        <v>28</v>
      </c>
      <c r="M8494" s="11" t="s">
        <v>28</v>
      </c>
      <c r="N8494" s="8">
        <v>42908</v>
      </c>
      <c r="O8494" s="9" t="s">
        <v>30</v>
      </c>
      <c r="P8494" s="12" t="s">
        <v>14320</v>
      </c>
      <c r="Q8494" s="9" t="s">
        <v>9051</v>
      </c>
      <c r="R8494" s="14" t="str">
        <f>HYPERLINK("https://my.pitchbook.com?c=293949-10T","View Company Online")</f>
        <v>View Company Online</v>
      </c>
    </row>
    <row r="8495" spans="1:18" hidden="1" x14ac:dyDescent="0.3">
      <c r="A8495" s="15" t="s">
        <v>24572</v>
      </c>
      <c r="B8495" s="15" t="s">
        <v>24573</v>
      </c>
      <c r="C8495" s="18" t="s">
        <v>28</v>
      </c>
      <c r="D8495" s="15" t="s">
        <v>24574</v>
      </c>
      <c r="E8495" s="18" t="s">
        <v>28</v>
      </c>
      <c r="F8495" s="19" t="s">
        <v>28</v>
      </c>
      <c r="G8495" s="19" t="s">
        <v>28</v>
      </c>
      <c r="H8495" s="19" t="s">
        <v>28</v>
      </c>
      <c r="I8495" s="18" t="s">
        <v>28</v>
      </c>
      <c r="J8495" s="18" t="s">
        <v>28</v>
      </c>
      <c r="K8495" s="18" t="s">
        <v>28</v>
      </c>
      <c r="L8495" s="18" t="s">
        <v>28</v>
      </c>
      <c r="M8495" s="18" t="s">
        <v>28</v>
      </c>
      <c r="N8495" s="17">
        <v>42907</v>
      </c>
      <c r="O8495" s="15" t="s">
        <v>30</v>
      </c>
      <c r="P8495" s="16" t="s">
        <v>24575</v>
      </c>
      <c r="Q8495" s="15" t="s">
        <v>105</v>
      </c>
      <c r="R8495" s="13" t="str">
        <f>HYPERLINK("https://my.pitchbook.com?c=110269-90T","View Company Online")</f>
        <v>View Company Online</v>
      </c>
    </row>
    <row r="8496" spans="1:18" hidden="1" x14ac:dyDescent="0.3">
      <c r="A8496" s="9" t="s">
        <v>24576</v>
      </c>
      <c r="B8496" s="9" t="s">
        <v>6051</v>
      </c>
      <c r="C8496" s="11" t="s">
        <v>28</v>
      </c>
      <c r="D8496" s="9" t="s">
        <v>6052</v>
      </c>
      <c r="E8496" s="11" t="s">
        <v>28</v>
      </c>
      <c r="F8496" s="10" t="s">
        <v>28</v>
      </c>
      <c r="G8496" s="10" t="s">
        <v>28</v>
      </c>
      <c r="H8496" s="10" t="s">
        <v>28</v>
      </c>
      <c r="I8496" s="11" t="s">
        <v>28</v>
      </c>
      <c r="J8496" s="11" t="s">
        <v>28</v>
      </c>
      <c r="K8496" s="11" t="s">
        <v>28</v>
      </c>
      <c r="L8496" s="11" t="s">
        <v>28</v>
      </c>
      <c r="M8496" s="11" t="s">
        <v>28</v>
      </c>
      <c r="N8496" s="8">
        <v>42907</v>
      </c>
      <c r="O8496" s="9" t="s">
        <v>73</v>
      </c>
      <c r="P8496" s="12" t="s">
        <v>24577</v>
      </c>
      <c r="Q8496" s="9" t="s">
        <v>409</v>
      </c>
      <c r="R8496" s="14" t="str">
        <f>HYPERLINK("https://my.pitchbook.com?c=224168-95T","View Company Online")</f>
        <v>View Company Online</v>
      </c>
    </row>
    <row r="8497" spans="1:18" hidden="1" x14ac:dyDescent="0.3">
      <c r="A8497" s="15" t="s">
        <v>24578</v>
      </c>
      <c r="B8497" s="15" t="s">
        <v>24579</v>
      </c>
      <c r="C8497" s="18" t="s">
        <v>28</v>
      </c>
      <c r="D8497" s="15" t="s">
        <v>24580</v>
      </c>
      <c r="E8497" s="18" t="s">
        <v>28</v>
      </c>
      <c r="F8497" s="19" t="s">
        <v>28</v>
      </c>
      <c r="G8497" s="19" t="s">
        <v>28</v>
      </c>
      <c r="H8497" s="19" t="s">
        <v>28</v>
      </c>
      <c r="I8497" s="18" t="s">
        <v>28</v>
      </c>
      <c r="J8497" s="18" t="s">
        <v>28</v>
      </c>
      <c r="K8497" s="18" t="s">
        <v>28</v>
      </c>
      <c r="L8497" s="18" t="s">
        <v>28</v>
      </c>
      <c r="M8497" s="18" t="s">
        <v>28</v>
      </c>
      <c r="N8497" s="17">
        <v>42906</v>
      </c>
      <c r="O8497" s="15" t="s">
        <v>30</v>
      </c>
      <c r="P8497" s="16" t="s">
        <v>28</v>
      </c>
      <c r="Q8497" s="15" t="s">
        <v>240</v>
      </c>
      <c r="R8497" s="13" t="str">
        <f>HYPERLINK("https://my.pitchbook.com?c=101971-18T","View Company Online")</f>
        <v>View Company Online</v>
      </c>
    </row>
    <row r="8498" spans="1:18" hidden="1" x14ac:dyDescent="0.3">
      <c r="A8498" s="9" t="s">
        <v>24581</v>
      </c>
      <c r="B8498" s="9" t="s">
        <v>24582</v>
      </c>
      <c r="C8498" s="11" t="s">
        <v>28</v>
      </c>
      <c r="D8498" s="9" t="s">
        <v>24583</v>
      </c>
      <c r="E8498" s="11" t="s">
        <v>28</v>
      </c>
      <c r="F8498" s="10" t="s">
        <v>28</v>
      </c>
      <c r="G8498" s="10">
        <v>0.02</v>
      </c>
      <c r="H8498" s="10" t="s">
        <v>28</v>
      </c>
      <c r="I8498" s="11" t="s">
        <v>28</v>
      </c>
      <c r="J8498" s="11" t="s">
        <v>28</v>
      </c>
      <c r="K8498" s="11" t="s">
        <v>28</v>
      </c>
      <c r="L8498" s="11" t="s">
        <v>28</v>
      </c>
      <c r="M8498" s="11" t="s">
        <v>28</v>
      </c>
      <c r="N8498" s="8">
        <v>42906</v>
      </c>
      <c r="O8498" s="9" t="s">
        <v>52</v>
      </c>
      <c r="P8498" s="12" t="s">
        <v>15600</v>
      </c>
      <c r="Q8498" s="9" t="s">
        <v>386</v>
      </c>
      <c r="R8498" s="14" t="str">
        <f>HYPERLINK("https://my.pitchbook.com?c=105837-85T","View Company Online")</f>
        <v>View Company Online</v>
      </c>
    </row>
    <row r="8499" spans="1:18" hidden="1" x14ac:dyDescent="0.3">
      <c r="A8499" s="15" t="s">
        <v>24584</v>
      </c>
      <c r="B8499" s="15" t="s">
        <v>24585</v>
      </c>
      <c r="C8499" s="18" t="s">
        <v>28</v>
      </c>
      <c r="D8499" s="15" t="s">
        <v>24586</v>
      </c>
      <c r="E8499" s="18" t="s">
        <v>28</v>
      </c>
      <c r="F8499" s="19">
        <v>5</v>
      </c>
      <c r="G8499" s="19">
        <v>5</v>
      </c>
      <c r="H8499" s="19">
        <v>5</v>
      </c>
      <c r="I8499" s="18" t="s">
        <v>28</v>
      </c>
      <c r="J8499" s="18" t="s">
        <v>28</v>
      </c>
      <c r="K8499" s="18" t="s">
        <v>28</v>
      </c>
      <c r="L8499" s="18" t="s">
        <v>28</v>
      </c>
      <c r="M8499" s="18" t="s">
        <v>28</v>
      </c>
      <c r="N8499" s="17">
        <v>42906</v>
      </c>
      <c r="O8499" s="15" t="s">
        <v>30</v>
      </c>
      <c r="P8499" s="16" t="s">
        <v>24587</v>
      </c>
      <c r="Q8499" s="15" t="s">
        <v>43</v>
      </c>
      <c r="R8499" s="13" t="str">
        <f>HYPERLINK("https://my.pitchbook.com?c=90180-28T","View Company Online")</f>
        <v>View Company Online</v>
      </c>
    </row>
    <row r="8500" spans="1:18" hidden="1" x14ac:dyDescent="0.3">
      <c r="A8500" s="9" t="s">
        <v>24588</v>
      </c>
      <c r="B8500" s="9" t="s">
        <v>17696</v>
      </c>
      <c r="C8500" s="11" t="s">
        <v>28</v>
      </c>
      <c r="D8500" s="9" t="s">
        <v>17697</v>
      </c>
      <c r="E8500" s="11" t="s">
        <v>28</v>
      </c>
      <c r="F8500" s="10" t="s">
        <v>28</v>
      </c>
      <c r="G8500" s="10">
        <v>0.02</v>
      </c>
      <c r="H8500" s="10" t="s">
        <v>28</v>
      </c>
      <c r="I8500" s="11" t="s">
        <v>28</v>
      </c>
      <c r="J8500" s="11" t="s">
        <v>28</v>
      </c>
      <c r="K8500" s="11" t="s">
        <v>28</v>
      </c>
      <c r="L8500" s="11" t="s">
        <v>28</v>
      </c>
      <c r="M8500" s="11" t="s">
        <v>28</v>
      </c>
      <c r="N8500" s="8">
        <v>42905</v>
      </c>
      <c r="O8500" s="9" t="s">
        <v>73</v>
      </c>
      <c r="P8500" s="12" t="s">
        <v>24589</v>
      </c>
      <c r="Q8500" s="9" t="s">
        <v>75</v>
      </c>
      <c r="R8500" s="14" t="str">
        <f>HYPERLINK("https://my.pitchbook.com?c=92968-03T","View Company Online")</f>
        <v>View Company Online</v>
      </c>
    </row>
    <row r="8501" spans="1:18" hidden="1" x14ac:dyDescent="0.3">
      <c r="A8501" s="15" t="s">
        <v>24590</v>
      </c>
      <c r="B8501" s="15" t="s">
        <v>24591</v>
      </c>
      <c r="C8501" s="18" t="s">
        <v>28</v>
      </c>
      <c r="D8501" s="15" t="s">
        <v>24592</v>
      </c>
      <c r="E8501" s="18" t="s">
        <v>28</v>
      </c>
      <c r="F8501" s="19" t="s">
        <v>28</v>
      </c>
      <c r="G8501" s="19">
        <v>1.1599999999999999</v>
      </c>
      <c r="H8501" s="19" t="s">
        <v>28</v>
      </c>
      <c r="I8501" s="18" t="s">
        <v>28</v>
      </c>
      <c r="J8501" s="18" t="s">
        <v>28</v>
      </c>
      <c r="K8501" s="18" t="s">
        <v>28</v>
      </c>
      <c r="L8501" s="18" t="s">
        <v>28</v>
      </c>
      <c r="M8501" s="18" t="s">
        <v>28</v>
      </c>
      <c r="N8501" s="17">
        <v>42905</v>
      </c>
      <c r="O8501" s="15" t="s">
        <v>79</v>
      </c>
      <c r="P8501" s="16" t="s">
        <v>11808</v>
      </c>
      <c r="Q8501" s="15" t="s">
        <v>1088</v>
      </c>
      <c r="R8501" s="13" t="str">
        <f>HYPERLINK("https://my.pitchbook.com?c=89386-84T","View Company Online")</f>
        <v>View Company Online</v>
      </c>
    </row>
    <row r="8502" spans="1:18" hidden="1" x14ac:dyDescent="0.3">
      <c r="A8502" s="9" t="s">
        <v>24593</v>
      </c>
      <c r="B8502" s="9" t="s">
        <v>24594</v>
      </c>
      <c r="C8502" s="11" t="s">
        <v>28</v>
      </c>
      <c r="D8502" s="9" t="s">
        <v>24595</v>
      </c>
      <c r="E8502" s="11" t="s">
        <v>28</v>
      </c>
      <c r="F8502" s="10">
        <v>797.08</v>
      </c>
      <c r="G8502" s="10">
        <v>398.54</v>
      </c>
      <c r="H8502" s="10">
        <v>797.08</v>
      </c>
      <c r="I8502" s="11" t="s">
        <v>28</v>
      </c>
      <c r="J8502" s="11" t="s">
        <v>28</v>
      </c>
      <c r="K8502" s="11" t="s">
        <v>28</v>
      </c>
      <c r="L8502" s="11" t="s">
        <v>28</v>
      </c>
      <c r="M8502" s="11" t="s">
        <v>28</v>
      </c>
      <c r="N8502" s="8">
        <v>42905</v>
      </c>
      <c r="O8502" s="9" t="s">
        <v>30</v>
      </c>
      <c r="P8502" s="12" t="s">
        <v>24596</v>
      </c>
      <c r="Q8502" s="9" t="s">
        <v>5347</v>
      </c>
      <c r="R8502" s="14" t="str">
        <f>HYPERLINK("https://my.pitchbook.com?c=85535-65T","View Company Online")</f>
        <v>View Company Online</v>
      </c>
    </row>
    <row r="8503" spans="1:18" hidden="1" x14ac:dyDescent="0.3">
      <c r="A8503" s="15" t="s">
        <v>24597</v>
      </c>
      <c r="B8503" s="15" t="s">
        <v>24598</v>
      </c>
      <c r="C8503" s="18" t="s">
        <v>28</v>
      </c>
      <c r="D8503" s="15" t="s">
        <v>24599</v>
      </c>
      <c r="E8503" s="18" t="s">
        <v>28</v>
      </c>
      <c r="F8503" s="19" t="s">
        <v>28</v>
      </c>
      <c r="G8503" s="19" t="s">
        <v>28</v>
      </c>
      <c r="H8503" s="19" t="s">
        <v>28</v>
      </c>
      <c r="I8503" s="18" t="s">
        <v>28</v>
      </c>
      <c r="J8503" s="18" t="s">
        <v>28</v>
      </c>
      <c r="K8503" s="18" t="s">
        <v>28</v>
      </c>
      <c r="L8503" s="18" t="s">
        <v>28</v>
      </c>
      <c r="M8503" s="18" t="s">
        <v>28</v>
      </c>
      <c r="N8503" s="17">
        <v>42902</v>
      </c>
      <c r="O8503" s="15" t="s">
        <v>58</v>
      </c>
      <c r="P8503" s="16" t="s">
        <v>24600</v>
      </c>
      <c r="Q8503" s="15" t="s">
        <v>1068</v>
      </c>
      <c r="R8503" s="13" t="str">
        <f>HYPERLINK("https://my.pitchbook.com?c=114806-17T","View Company Online")</f>
        <v>View Company Online</v>
      </c>
    </row>
    <row r="8504" spans="1:18" hidden="1" x14ac:dyDescent="0.3">
      <c r="A8504" s="9" t="s">
        <v>24601</v>
      </c>
      <c r="B8504" s="9" t="s">
        <v>24602</v>
      </c>
      <c r="C8504" s="11" t="s">
        <v>28</v>
      </c>
      <c r="D8504" s="9" t="s">
        <v>24603</v>
      </c>
      <c r="E8504" s="11" t="s">
        <v>28</v>
      </c>
      <c r="F8504" s="10" t="s">
        <v>28</v>
      </c>
      <c r="G8504" s="10" t="s">
        <v>28</v>
      </c>
      <c r="H8504" s="10" t="s">
        <v>28</v>
      </c>
      <c r="I8504" s="11" t="s">
        <v>28</v>
      </c>
      <c r="J8504" s="11" t="s">
        <v>28</v>
      </c>
      <c r="K8504" s="11" t="s">
        <v>28</v>
      </c>
      <c r="L8504" s="11" t="s">
        <v>28</v>
      </c>
      <c r="M8504" s="11" t="s">
        <v>28</v>
      </c>
      <c r="N8504" s="8">
        <v>42900</v>
      </c>
      <c r="O8504" s="9" t="s">
        <v>173</v>
      </c>
      <c r="P8504" s="12" t="s">
        <v>28</v>
      </c>
      <c r="Q8504" s="9" t="s">
        <v>174</v>
      </c>
      <c r="R8504" s="14" t="str">
        <f>HYPERLINK("https://my.pitchbook.com?c=223843-69T","View Company Online")</f>
        <v>View Company Online</v>
      </c>
    </row>
    <row r="8505" spans="1:18" hidden="1" x14ac:dyDescent="0.3">
      <c r="A8505" s="15" t="s">
        <v>24604</v>
      </c>
      <c r="B8505" s="15" t="s">
        <v>24605</v>
      </c>
      <c r="C8505" s="18" t="s">
        <v>28</v>
      </c>
      <c r="D8505" s="15" t="s">
        <v>24606</v>
      </c>
      <c r="E8505" s="18" t="s">
        <v>28</v>
      </c>
      <c r="F8505" s="19" t="s">
        <v>28</v>
      </c>
      <c r="G8505" s="19" t="s">
        <v>28</v>
      </c>
      <c r="H8505" s="19" t="s">
        <v>28</v>
      </c>
      <c r="I8505" s="18" t="s">
        <v>28</v>
      </c>
      <c r="J8505" s="18" t="s">
        <v>28</v>
      </c>
      <c r="K8505" s="18" t="s">
        <v>28</v>
      </c>
      <c r="L8505" s="18" t="s">
        <v>28</v>
      </c>
      <c r="M8505" s="18" t="s">
        <v>28</v>
      </c>
      <c r="N8505" s="17">
        <v>42900</v>
      </c>
      <c r="O8505" s="15" t="s">
        <v>41</v>
      </c>
      <c r="P8505" s="16" t="s">
        <v>24607</v>
      </c>
      <c r="Q8505" s="15" t="s">
        <v>249</v>
      </c>
      <c r="R8505" s="13" t="str">
        <f>HYPERLINK("https://my.pitchbook.com?c=89442-10T","View Company Online")</f>
        <v>View Company Online</v>
      </c>
    </row>
    <row r="8506" spans="1:18" hidden="1" x14ac:dyDescent="0.3">
      <c r="A8506" s="9" t="s">
        <v>24608</v>
      </c>
      <c r="B8506" s="9" t="s">
        <v>1553</v>
      </c>
      <c r="C8506" s="11" t="s">
        <v>28</v>
      </c>
      <c r="D8506" s="9" t="s">
        <v>1554</v>
      </c>
      <c r="E8506" s="11" t="s">
        <v>28</v>
      </c>
      <c r="F8506" s="10" t="s">
        <v>28</v>
      </c>
      <c r="G8506" s="10" t="s">
        <v>28</v>
      </c>
      <c r="H8506" s="10" t="s">
        <v>28</v>
      </c>
      <c r="I8506" s="11" t="s">
        <v>28</v>
      </c>
      <c r="J8506" s="11" t="s">
        <v>28</v>
      </c>
      <c r="K8506" s="11" t="s">
        <v>28</v>
      </c>
      <c r="L8506" s="11" t="s">
        <v>28</v>
      </c>
      <c r="M8506" s="11" t="s">
        <v>28</v>
      </c>
      <c r="N8506" s="8">
        <v>42899</v>
      </c>
      <c r="O8506" s="9" t="s">
        <v>73</v>
      </c>
      <c r="P8506" s="12" t="s">
        <v>20846</v>
      </c>
      <c r="Q8506" s="9" t="s">
        <v>43</v>
      </c>
      <c r="R8506" s="14" t="str">
        <f>HYPERLINK("https://my.pitchbook.com?c=115631-20T","View Company Online")</f>
        <v>View Company Online</v>
      </c>
    </row>
    <row r="8507" spans="1:18" hidden="1" x14ac:dyDescent="0.3">
      <c r="A8507" s="15" t="s">
        <v>24609</v>
      </c>
      <c r="B8507" s="15" t="s">
        <v>24010</v>
      </c>
      <c r="C8507" s="18" t="s">
        <v>28</v>
      </c>
      <c r="D8507" s="15" t="s">
        <v>24011</v>
      </c>
      <c r="E8507" s="18" t="s">
        <v>28</v>
      </c>
      <c r="F8507" s="19" t="s">
        <v>28</v>
      </c>
      <c r="G8507" s="19" t="s">
        <v>28</v>
      </c>
      <c r="H8507" s="19" t="s">
        <v>28</v>
      </c>
      <c r="I8507" s="18" t="s">
        <v>28</v>
      </c>
      <c r="J8507" s="18" t="s">
        <v>28</v>
      </c>
      <c r="K8507" s="18" t="s">
        <v>28</v>
      </c>
      <c r="L8507" s="18" t="s">
        <v>28</v>
      </c>
      <c r="M8507" s="18" t="s">
        <v>28</v>
      </c>
      <c r="N8507" s="17">
        <v>42898</v>
      </c>
      <c r="O8507" s="15" t="s">
        <v>73</v>
      </c>
      <c r="P8507" s="16" t="s">
        <v>611</v>
      </c>
      <c r="Q8507" s="15" t="s">
        <v>37</v>
      </c>
      <c r="R8507" s="13" t="str">
        <f>HYPERLINK("https://my.pitchbook.com?c=125621-38T","View Company Online")</f>
        <v>View Company Online</v>
      </c>
    </row>
    <row r="8508" spans="1:18" hidden="1" x14ac:dyDescent="0.3">
      <c r="A8508" s="9" t="s">
        <v>24610</v>
      </c>
      <c r="B8508" s="9" t="s">
        <v>2205</v>
      </c>
      <c r="C8508" s="11" t="s">
        <v>28</v>
      </c>
      <c r="D8508" s="9" t="s">
        <v>2206</v>
      </c>
      <c r="E8508" s="11" t="s">
        <v>28</v>
      </c>
      <c r="F8508" s="10" t="s">
        <v>28</v>
      </c>
      <c r="G8508" s="10">
        <v>0.68</v>
      </c>
      <c r="H8508" s="10" t="s">
        <v>28</v>
      </c>
      <c r="I8508" s="11" t="s">
        <v>28</v>
      </c>
      <c r="J8508" s="11" t="s">
        <v>28</v>
      </c>
      <c r="K8508" s="11" t="s">
        <v>28</v>
      </c>
      <c r="L8508" s="11" t="s">
        <v>28</v>
      </c>
      <c r="M8508" s="11" t="s">
        <v>28</v>
      </c>
      <c r="N8508" s="8">
        <v>42895</v>
      </c>
      <c r="O8508" s="9" t="s">
        <v>73</v>
      </c>
      <c r="P8508" s="12" t="s">
        <v>22713</v>
      </c>
      <c r="Q8508" s="9" t="s">
        <v>75</v>
      </c>
      <c r="R8508" s="14" t="str">
        <f>HYPERLINK("https://my.pitchbook.com?c=90746-47T","View Company Online")</f>
        <v>View Company Online</v>
      </c>
    </row>
    <row r="8509" spans="1:18" hidden="1" x14ac:dyDescent="0.3">
      <c r="A8509" s="15" t="s">
        <v>24611</v>
      </c>
      <c r="B8509" s="15" t="s">
        <v>24612</v>
      </c>
      <c r="C8509" s="18" t="s">
        <v>28</v>
      </c>
      <c r="D8509" s="15" t="s">
        <v>24613</v>
      </c>
      <c r="E8509" s="18" t="s">
        <v>28</v>
      </c>
      <c r="F8509" s="19" t="s">
        <v>28</v>
      </c>
      <c r="G8509" s="19" t="s">
        <v>28</v>
      </c>
      <c r="H8509" s="19" t="s">
        <v>28</v>
      </c>
      <c r="I8509" s="18" t="s">
        <v>28</v>
      </c>
      <c r="J8509" s="18" t="s">
        <v>28</v>
      </c>
      <c r="K8509" s="18">
        <v>287.89999999999998</v>
      </c>
      <c r="L8509" s="18" t="s">
        <v>28</v>
      </c>
      <c r="M8509" s="18" t="s">
        <v>28</v>
      </c>
      <c r="N8509" s="17">
        <v>42893</v>
      </c>
      <c r="O8509" s="15" t="s">
        <v>41</v>
      </c>
      <c r="P8509" s="16" t="s">
        <v>24614</v>
      </c>
      <c r="Q8509" s="15" t="s">
        <v>900</v>
      </c>
      <c r="R8509" s="13" t="str">
        <f>HYPERLINK("https://my.pitchbook.com?c=99115-48T","View Company Online")</f>
        <v>View Company Online</v>
      </c>
    </row>
    <row r="8510" spans="1:18" hidden="1" x14ac:dyDescent="0.3">
      <c r="A8510" s="9" t="s">
        <v>24615</v>
      </c>
      <c r="B8510" s="9" t="s">
        <v>24616</v>
      </c>
      <c r="C8510" s="11" t="s">
        <v>28</v>
      </c>
      <c r="D8510" s="9" t="s">
        <v>24617</v>
      </c>
      <c r="E8510" s="11">
        <v>265.8</v>
      </c>
      <c r="F8510" s="10" t="s">
        <v>28</v>
      </c>
      <c r="G8510" s="10" t="s">
        <v>28</v>
      </c>
      <c r="H8510" s="10" t="s">
        <v>28</v>
      </c>
      <c r="I8510" s="11">
        <v>269.06</v>
      </c>
      <c r="J8510" s="11" t="s">
        <v>28</v>
      </c>
      <c r="K8510" s="11">
        <v>497.8</v>
      </c>
      <c r="L8510" s="11" t="s">
        <v>28</v>
      </c>
      <c r="M8510" s="11">
        <v>177.86</v>
      </c>
      <c r="N8510" s="8">
        <v>42892</v>
      </c>
      <c r="O8510" s="9" t="s">
        <v>30</v>
      </c>
      <c r="P8510" s="12" t="s">
        <v>10956</v>
      </c>
      <c r="Q8510" s="9" t="s">
        <v>566</v>
      </c>
      <c r="R8510" s="14" t="str">
        <f>HYPERLINK("https://my.pitchbook.com?c=117782-38T","View Company Online")</f>
        <v>View Company Online</v>
      </c>
    </row>
    <row r="8511" spans="1:18" hidden="1" x14ac:dyDescent="0.3">
      <c r="A8511" s="15" t="s">
        <v>24618</v>
      </c>
      <c r="B8511" s="15" t="s">
        <v>22299</v>
      </c>
      <c r="C8511" s="18" t="s">
        <v>28</v>
      </c>
      <c r="D8511" s="15" t="s">
        <v>22300</v>
      </c>
      <c r="E8511" s="18" t="s">
        <v>28</v>
      </c>
      <c r="F8511" s="19" t="s">
        <v>28</v>
      </c>
      <c r="G8511" s="19" t="s">
        <v>28</v>
      </c>
      <c r="H8511" s="19" t="s">
        <v>28</v>
      </c>
      <c r="I8511" s="18" t="s">
        <v>28</v>
      </c>
      <c r="J8511" s="18" t="s">
        <v>28</v>
      </c>
      <c r="K8511" s="18" t="s">
        <v>28</v>
      </c>
      <c r="L8511" s="18" t="s">
        <v>28</v>
      </c>
      <c r="M8511" s="18" t="s">
        <v>28</v>
      </c>
      <c r="N8511" s="17">
        <v>42891</v>
      </c>
      <c r="O8511" s="15" t="s">
        <v>93</v>
      </c>
      <c r="P8511" s="16" t="s">
        <v>24619</v>
      </c>
      <c r="Q8511" s="15" t="s">
        <v>880</v>
      </c>
      <c r="R8511" s="13" t="str">
        <f>HYPERLINK("https://my.pitchbook.com?c=88672-33T","View Company Online")</f>
        <v>View Company Online</v>
      </c>
    </row>
    <row r="8512" spans="1:18" hidden="1" x14ac:dyDescent="0.3">
      <c r="A8512" s="9" t="s">
        <v>24620</v>
      </c>
      <c r="B8512" s="9" t="s">
        <v>24621</v>
      </c>
      <c r="C8512" s="11" t="s">
        <v>28</v>
      </c>
      <c r="D8512" s="9" t="s">
        <v>24622</v>
      </c>
      <c r="E8512" s="11" t="s">
        <v>28</v>
      </c>
      <c r="F8512" s="10" t="s">
        <v>28</v>
      </c>
      <c r="G8512" s="10">
        <v>34.229999999999997</v>
      </c>
      <c r="H8512" s="10">
        <v>171.14</v>
      </c>
      <c r="I8512" s="11" t="s">
        <v>28</v>
      </c>
      <c r="J8512" s="11" t="s">
        <v>28</v>
      </c>
      <c r="K8512" s="11">
        <v>195.23</v>
      </c>
      <c r="L8512" s="11">
        <v>0.88</v>
      </c>
      <c r="M8512" s="11" t="s">
        <v>28</v>
      </c>
      <c r="N8512" s="8">
        <v>42888</v>
      </c>
      <c r="O8512" s="9" t="s">
        <v>93</v>
      </c>
      <c r="P8512" s="12" t="s">
        <v>24067</v>
      </c>
      <c r="Q8512" s="9" t="s">
        <v>136</v>
      </c>
      <c r="R8512" s="14" t="str">
        <f>HYPERLINK("https://my.pitchbook.com?c=91485-19T","View Company Online")</f>
        <v>View Company Online</v>
      </c>
    </row>
    <row r="8513" spans="1:18" hidden="1" x14ac:dyDescent="0.3">
      <c r="A8513" s="15" t="s">
        <v>24623</v>
      </c>
      <c r="B8513" s="15" t="s">
        <v>14386</v>
      </c>
      <c r="C8513" s="18" t="s">
        <v>28</v>
      </c>
      <c r="D8513" s="15" t="s">
        <v>14387</v>
      </c>
      <c r="E8513" s="18" t="s">
        <v>28</v>
      </c>
      <c r="F8513" s="19" t="s">
        <v>28</v>
      </c>
      <c r="G8513" s="19">
        <v>2.2999999999999998</v>
      </c>
      <c r="H8513" s="19" t="s">
        <v>28</v>
      </c>
      <c r="I8513" s="18" t="s">
        <v>28</v>
      </c>
      <c r="J8513" s="18" t="s">
        <v>28</v>
      </c>
      <c r="K8513" s="18" t="s">
        <v>28</v>
      </c>
      <c r="L8513" s="18" t="s">
        <v>28</v>
      </c>
      <c r="M8513" s="18" t="s">
        <v>28</v>
      </c>
      <c r="N8513" s="17">
        <v>42888</v>
      </c>
      <c r="O8513" s="15" t="s">
        <v>73</v>
      </c>
      <c r="P8513" s="16" t="s">
        <v>24624</v>
      </c>
      <c r="Q8513" s="15" t="s">
        <v>414</v>
      </c>
      <c r="R8513" s="13" t="str">
        <f>HYPERLINK("https://my.pitchbook.com?c=92595-97T","View Company Online")</f>
        <v>View Company Online</v>
      </c>
    </row>
    <row r="8514" spans="1:18" hidden="1" x14ac:dyDescent="0.3">
      <c r="A8514" s="9" t="s">
        <v>24625</v>
      </c>
      <c r="B8514" s="9" t="s">
        <v>13922</v>
      </c>
      <c r="C8514" s="11" t="s">
        <v>28</v>
      </c>
      <c r="D8514" s="9" t="s">
        <v>13923</v>
      </c>
      <c r="E8514" s="11" t="s">
        <v>28</v>
      </c>
      <c r="F8514" s="10" t="s">
        <v>28</v>
      </c>
      <c r="G8514" s="10">
        <v>2.5</v>
      </c>
      <c r="H8514" s="10" t="s">
        <v>28</v>
      </c>
      <c r="I8514" s="11" t="s">
        <v>28</v>
      </c>
      <c r="J8514" s="11" t="s">
        <v>28</v>
      </c>
      <c r="K8514" s="11" t="s">
        <v>28</v>
      </c>
      <c r="L8514" s="11" t="s">
        <v>28</v>
      </c>
      <c r="M8514" s="11" t="s">
        <v>28</v>
      </c>
      <c r="N8514" s="8">
        <v>42887</v>
      </c>
      <c r="O8514" s="9" t="s">
        <v>99</v>
      </c>
      <c r="P8514" s="12" t="s">
        <v>24626</v>
      </c>
      <c r="Q8514" s="9" t="s">
        <v>75</v>
      </c>
      <c r="R8514" s="14" t="str">
        <f>HYPERLINK("https://my.pitchbook.com?c=94429-99T","View Company Online")</f>
        <v>View Company Online</v>
      </c>
    </row>
    <row r="8515" spans="1:18" hidden="1" x14ac:dyDescent="0.3">
      <c r="A8515" s="15" t="s">
        <v>24627</v>
      </c>
      <c r="B8515" s="15" t="s">
        <v>24628</v>
      </c>
      <c r="C8515" s="18" t="s">
        <v>28</v>
      </c>
      <c r="D8515" s="15" t="s">
        <v>24629</v>
      </c>
      <c r="E8515" s="18" t="s">
        <v>28</v>
      </c>
      <c r="F8515" s="19" t="s">
        <v>28</v>
      </c>
      <c r="G8515" s="19" t="s">
        <v>28</v>
      </c>
      <c r="H8515" s="19" t="s">
        <v>28</v>
      </c>
      <c r="I8515" s="18" t="s">
        <v>28</v>
      </c>
      <c r="J8515" s="18" t="s">
        <v>28</v>
      </c>
      <c r="K8515" s="18" t="s">
        <v>28</v>
      </c>
      <c r="L8515" s="18" t="s">
        <v>28</v>
      </c>
      <c r="M8515" s="18" t="s">
        <v>28</v>
      </c>
      <c r="N8515" s="17">
        <v>42887</v>
      </c>
      <c r="O8515" s="15" t="s">
        <v>73</v>
      </c>
      <c r="P8515" s="16" t="s">
        <v>24630</v>
      </c>
      <c r="Q8515" s="15" t="s">
        <v>1793</v>
      </c>
      <c r="R8515" s="13" t="str">
        <f>HYPERLINK("https://my.pitchbook.com?c=119768-41T","View Company Online")</f>
        <v>View Company Online</v>
      </c>
    </row>
    <row r="8516" spans="1:18" hidden="1" x14ac:dyDescent="0.3">
      <c r="A8516" s="9" t="s">
        <v>24631</v>
      </c>
      <c r="B8516" s="9" t="s">
        <v>14379</v>
      </c>
      <c r="C8516" s="11" t="s">
        <v>28</v>
      </c>
      <c r="D8516" s="9" t="s">
        <v>14380</v>
      </c>
      <c r="E8516" s="11" t="s">
        <v>28</v>
      </c>
      <c r="F8516" s="10" t="s">
        <v>28</v>
      </c>
      <c r="G8516" s="10" t="s">
        <v>28</v>
      </c>
      <c r="H8516" s="10" t="s">
        <v>28</v>
      </c>
      <c r="I8516" s="11" t="s">
        <v>28</v>
      </c>
      <c r="J8516" s="11" t="s">
        <v>28</v>
      </c>
      <c r="K8516" s="11" t="s">
        <v>28</v>
      </c>
      <c r="L8516" s="11" t="s">
        <v>28</v>
      </c>
      <c r="M8516" s="11" t="s">
        <v>28</v>
      </c>
      <c r="N8516" s="8">
        <v>42887</v>
      </c>
      <c r="O8516" s="9" t="s">
        <v>73</v>
      </c>
      <c r="P8516" s="12" t="s">
        <v>24632</v>
      </c>
      <c r="Q8516" s="9" t="s">
        <v>119</v>
      </c>
      <c r="R8516" s="14" t="str">
        <f>HYPERLINK("https://my.pitchbook.com?c=299642-50T","View Company Online")</f>
        <v>View Company Online</v>
      </c>
    </row>
    <row r="8517" spans="1:18" hidden="1" x14ac:dyDescent="0.3">
      <c r="A8517" s="15" t="s">
        <v>24633</v>
      </c>
      <c r="B8517" s="15" t="s">
        <v>24634</v>
      </c>
      <c r="C8517" s="18" t="s">
        <v>28</v>
      </c>
      <c r="D8517" s="15" t="s">
        <v>24635</v>
      </c>
      <c r="E8517" s="18" t="s">
        <v>28</v>
      </c>
      <c r="F8517" s="19" t="s">
        <v>28</v>
      </c>
      <c r="G8517" s="19" t="s">
        <v>28</v>
      </c>
      <c r="H8517" s="19" t="s">
        <v>28</v>
      </c>
      <c r="I8517" s="18" t="s">
        <v>28</v>
      </c>
      <c r="J8517" s="18" t="s">
        <v>28</v>
      </c>
      <c r="K8517" s="18" t="s">
        <v>28</v>
      </c>
      <c r="L8517" s="18" t="s">
        <v>28</v>
      </c>
      <c r="M8517" s="18" t="s">
        <v>28</v>
      </c>
      <c r="N8517" s="17">
        <v>42887</v>
      </c>
      <c r="O8517" s="15" t="s">
        <v>30</v>
      </c>
      <c r="P8517" s="16" t="s">
        <v>24636</v>
      </c>
      <c r="Q8517" s="15" t="s">
        <v>6356</v>
      </c>
      <c r="R8517" s="13" t="str">
        <f>HYPERLINK("https://my.pitchbook.com?c=91366-66T","View Company Online")</f>
        <v>View Company Online</v>
      </c>
    </row>
    <row r="8518" spans="1:18" hidden="1" x14ac:dyDescent="0.3">
      <c r="A8518" s="9" t="s">
        <v>24637</v>
      </c>
      <c r="B8518" s="9" t="s">
        <v>24638</v>
      </c>
      <c r="C8518" s="11" t="s">
        <v>28</v>
      </c>
      <c r="D8518" s="9" t="s">
        <v>24639</v>
      </c>
      <c r="E8518" s="11" t="s">
        <v>28</v>
      </c>
      <c r="F8518" s="10" t="s">
        <v>28</v>
      </c>
      <c r="G8518" s="10" t="s">
        <v>28</v>
      </c>
      <c r="H8518" s="10" t="s">
        <v>28</v>
      </c>
      <c r="I8518" s="11" t="s">
        <v>28</v>
      </c>
      <c r="J8518" s="11" t="s">
        <v>28</v>
      </c>
      <c r="K8518" s="11" t="s">
        <v>28</v>
      </c>
      <c r="L8518" s="11" t="s">
        <v>28</v>
      </c>
      <c r="M8518" s="11" t="s">
        <v>28</v>
      </c>
      <c r="N8518" s="8">
        <v>42887</v>
      </c>
      <c r="O8518" s="9" t="s">
        <v>30</v>
      </c>
      <c r="P8518" s="12" t="s">
        <v>24640</v>
      </c>
      <c r="Q8518" s="9" t="s">
        <v>85</v>
      </c>
      <c r="R8518" s="14" t="str">
        <f>HYPERLINK("https://my.pitchbook.com?c=207347-95T","View Company Online")</f>
        <v>View Company Online</v>
      </c>
    </row>
    <row r="8519" spans="1:18" hidden="1" x14ac:dyDescent="0.3">
      <c r="A8519" s="15" t="s">
        <v>24641</v>
      </c>
      <c r="B8519" s="15" t="s">
        <v>20202</v>
      </c>
      <c r="C8519" s="18" t="s">
        <v>28</v>
      </c>
      <c r="D8519" s="15" t="s">
        <v>20203</v>
      </c>
      <c r="E8519" s="18" t="s">
        <v>28</v>
      </c>
      <c r="F8519" s="19" t="s">
        <v>28</v>
      </c>
      <c r="G8519" s="19" t="s">
        <v>28</v>
      </c>
      <c r="H8519" s="19" t="s">
        <v>28</v>
      </c>
      <c r="I8519" s="18" t="s">
        <v>28</v>
      </c>
      <c r="J8519" s="18" t="s">
        <v>28</v>
      </c>
      <c r="K8519" s="18" t="s">
        <v>28</v>
      </c>
      <c r="L8519" s="18" t="s">
        <v>28</v>
      </c>
      <c r="M8519" s="18" t="s">
        <v>28</v>
      </c>
      <c r="N8519" s="17">
        <v>42887</v>
      </c>
      <c r="O8519" s="15" t="s">
        <v>79</v>
      </c>
      <c r="P8519" s="16" t="s">
        <v>24642</v>
      </c>
      <c r="Q8519" s="15" t="s">
        <v>95</v>
      </c>
      <c r="R8519" s="13" t="str">
        <f>HYPERLINK("https://my.pitchbook.com?c=124731-55T","View Company Online")</f>
        <v>View Company Online</v>
      </c>
    </row>
    <row r="8520" spans="1:18" hidden="1" x14ac:dyDescent="0.3">
      <c r="A8520" s="9" t="s">
        <v>24643</v>
      </c>
      <c r="B8520" s="9" t="s">
        <v>24644</v>
      </c>
      <c r="C8520" s="11" t="s">
        <v>28</v>
      </c>
      <c r="D8520" s="9" t="s">
        <v>24645</v>
      </c>
      <c r="E8520" s="11" t="s">
        <v>28</v>
      </c>
      <c r="F8520" s="10" t="s">
        <v>28</v>
      </c>
      <c r="G8520" s="10" t="s">
        <v>28</v>
      </c>
      <c r="H8520" s="10" t="s">
        <v>28</v>
      </c>
      <c r="I8520" s="11" t="s">
        <v>28</v>
      </c>
      <c r="J8520" s="11" t="s">
        <v>28</v>
      </c>
      <c r="K8520" s="11" t="s">
        <v>28</v>
      </c>
      <c r="L8520" s="11" t="s">
        <v>28</v>
      </c>
      <c r="M8520" s="11" t="s">
        <v>28</v>
      </c>
      <c r="N8520" s="8">
        <v>42887</v>
      </c>
      <c r="O8520" s="9" t="s">
        <v>30</v>
      </c>
      <c r="P8520" s="12" t="s">
        <v>24646</v>
      </c>
      <c r="Q8520" s="9" t="s">
        <v>975</v>
      </c>
      <c r="R8520" s="14" t="str">
        <f>HYPERLINK("https://my.pitchbook.com?c=86445-46T","View Company Online")</f>
        <v>View Company Online</v>
      </c>
    </row>
    <row r="8521" spans="1:18" hidden="1" x14ac:dyDescent="0.3">
      <c r="A8521" s="15" t="s">
        <v>24647</v>
      </c>
      <c r="B8521" s="15" t="s">
        <v>4870</v>
      </c>
      <c r="C8521" s="18" t="s">
        <v>28</v>
      </c>
      <c r="D8521" s="15" t="s">
        <v>4871</v>
      </c>
      <c r="E8521" s="18" t="s">
        <v>28</v>
      </c>
      <c r="F8521" s="19" t="s">
        <v>28</v>
      </c>
      <c r="G8521" s="19">
        <v>15.57</v>
      </c>
      <c r="H8521" s="19">
        <v>62.28</v>
      </c>
      <c r="I8521" s="18" t="s">
        <v>28</v>
      </c>
      <c r="J8521" s="18" t="s">
        <v>28</v>
      </c>
      <c r="K8521" s="18" t="s">
        <v>28</v>
      </c>
      <c r="L8521" s="18" t="s">
        <v>28</v>
      </c>
      <c r="M8521" s="18" t="s">
        <v>28</v>
      </c>
      <c r="N8521" s="17">
        <v>42887</v>
      </c>
      <c r="O8521" s="15" t="s">
        <v>58</v>
      </c>
      <c r="P8521" s="16" t="s">
        <v>24648</v>
      </c>
      <c r="Q8521" s="15" t="s">
        <v>424</v>
      </c>
      <c r="R8521" s="13" t="str">
        <f>HYPERLINK("https://my.pitchbook.com?c=125613-19T","View Company Online")</f>
        <v>View Company Online</v>
      </c>
    </row>
    <row r="8522" spans="1:18" hidden="1" x14ac:dyDescent="0.3">
      <c r="A8522" s="9" t="s">
        <v>24649</v>
      </c>
      <c r="B8522" s="9" t="s">
        <v>19028</v>
      </c>
      <c r="C8522" s="11" t="s">
        <v>28</v>
      </c>
      <c r="D8522" s="9" t="s">
        <v>19029</v>
      </c>
      <c r="E8522" s="11" t="s">
        <v>28</v>
      </c>
      <c r="F8522" s="10" t="s">
        <v>28</v>
      </c>
      <c r="G8522" s="10">
        <v>4.4000000000000004</v>
      </c>
      <c r="H8522" s="10" t="s">
        <v>28</v>
      </c>
      <c r="I8522" s="11" t="s">
        <v>28</v>
      </c>
      <c r="J8522" s="11" t="s">
        <v>28</v>
      </c>
      <c r="K8522" s="11" t="s">
        <v>28</v>
      </c>
      <c r="L8522" s="11" t="s">
        <v>28</v>
      </c>
      <c r="M8522" s="11" t="s">
        <v>28</v>
      </c>
      <c r="N8522" s="8">
        <v>42887</v>
      </c>
      <c r="O8522" s="9" t="s">
        <v>93</v>
      </c>
      <c r="P8522" s="12" t="s">
        <v>22713</v>
      </c>
      <c r="Q8522" s="9" t="s">
        <v>1007</v>
      </c>
      <c r="R8522" s="14" t="str">
        <f>HYPERLINK("https://my.pitchbook.com?c=284198-95T","View Company Online")</f>
        <v>View Company Online</v>
      </c>
    </row>
    <row r="8523" spans="1:18" hidden="1" x14ac:dyDescent="0.3">
      <c r="A8523" s="15" t="s">
        <v>24650</v>
      </c>
      <c r="B8523" s="15" t="s">
        <v>14213</v>
      </c>
      <c r="C8523" s="18" t="s">
        <v>28</v>
      </c>
      <c r="D8523" s="15" t="s">
        <v>14214</v>
      </c>
      <c r="E8523" s="18" t="s">
        <v>28</v>
      </c>
      <c r="F8523" s="19" t="s">
        <v>28</v>
      </c>
      <c r="G8523" s="19">
        <v>0.15</v>
      </c>
      <c r="H8523" s="19" t="s">
        <v>28</v>
      </c>
      <c r="I8523" s="18" t="s">
        <v>28</v>
      </c>
      <c r="J8523" s="18" t="s">
        <v>28</v>
      </c>
      <c r="K8523" s="18" t="s">
        <v>28</v>
      </c>
      <c r="L8523" s="18" t="s">
        <v>28</v>
      </c>
      <c r="M8523" s="18" t="s">
        <v>28</v>
      </c>
      <c r="N8523" s="17">
        <v>42887</v>
      </c>
      <c r="O8523" s="15" t="s">
        <v>99</v>
      </c>
      <c r="P8523" s="16" t="s">
        <v>28</v>
      </c>
      <c r="Q8523" s="15" t="s">
        <v>75</v>
      </c>
      <c r="R8523" s="13" t="str">
        <f>HYPERLINK("https://my.pitchbook.com?c=125978-59T","View Company Online")</f>
        <v>View Company Online</v>
      </c>
    </row>
    <row r="8524" spans="1:18" hidden="1" x14ac:dyDescent="0.3">
      <c r="A8524" s="9" t="s">
        <v>24651</v>
      </c>
      <c r="B8524" s="9" t="s">
        <v>15725</v>
      </c>
      <c r="C8524" s="11" t="s">
        <v>28</v>
      </c>
      <c r="D8524" s="9" t="s">
        <v>15726</v>
      </c>
      <c r="E8524" s="11" t="s">
        <v>28</v>
      </c>
      <c r="F8524" s="10" t="s">
        <v>28</v>
      </c>
      <c r="G8524" s="10" t="s">
        <v>28</v>
      </c>
      <c r="H8524" s="10" t="s">
        <v>28</v>
      </c>
      <c r="I8524" s="11" t="s">
        <v>28</v>
      </c>
      <c r="J8524" s="11" t="s">
        <v>28</v>
      </c>
      <c r="K8524" s="11" t="s">
        <v>28</v>
      </c>
      <c r="L8524" s="11" t="s">
        <v>28</v>
      </c>
      <c r="M8524" s="11" t="s">
        <v>28</v>
      </c>
      <c r="N8524" s="8">
        <v>42887</v>
      </c>
      <c r="O8524" s="9" t="s">
        <v>30</v>
      </c>
      <c r="P8524" s="12" t="s">
        <v>24652</v>
      </c>
      <c r="Q8524" s="9" t="s">
        <v>114</v>
      </c>
      <c r="R8524" s="14" t="str">
        <f>HYPERLINK("https://my.pitchbook.com?c=88064-02T","View Company Online")</f>
        <v>View Company Online</v>
      </c>
    </row>
    <row r="8525" spans="1:18" hidden="1" x14ac:dyDescent="0.3">
      <c r="A8525" s="15" t="s">
        <v>24653</v>
      </c>
      <c r="B8525" s="15" t="s">
        <v>24654</v>
      </c>
      <c r="C8525" s="18" t="s">
        <v>28</v>
      </c>
      <c r="D8525" s="15" t="s">
        <v>24655</v>
      </c>
      <c r="E8525" s="18" t="s">
        <v>28</v>
      </c>
      <c r="F8525" s="19">
        <v>143.72</v>
      </c>
      <c r="G8525" s="19">
        <v>93.42</v>
      </c>
      <c r="H8525" s="19">
        <v>143.72</v>
      </c>
      <c r="I8525" s="18" t="s">
        <v>28</v>
      </c>
      <c r="J8525" s="18" t="s">
        <v>28</v>
      </c>
      <c r="K8525" s="18">
        <v>86.37</v>
      </c>
      <c r="L8525" s="18">
        <v>1.66</v>
      </c>
      <c r="M8525" s="18" t="s">
        <v>28</v>
      </c>
      <c r="N8525" s="17">
        <v>42887</v>
      </c>
      <c r="O8525" s="15" t="s">
        <v>41</v>
      </c>
      <c r="P8525" s="16" t="s">
        <v>24656</v>
      </c>
      <c r="Q8525" s="15" t="s">
        <v>2181</v>
      </c>
      <c r="R8525" s="13" t="str">
        <f>HYPERLINK("https://my.pitchbook.com?c=96958-00T","View Company Online")</f>
        <v>View Company Online</v>
      </c>
    </row>
    <row r="8526" spans="1:18" hidden="1" x14ac:dyDescent="0.3">
      <c r="A8526" s="9" t="s">
        <v>24657</v>
      </c>
      <c r="B8526" s="9" t="s">
        <v>24658</v>
      </c>
      <c r="C8526" s="11" t="s">
        <v>28</v>
      </c>
      <c r="D8526" s="9" t="s">
        <v>24659</v>
      </c>
      <c r="E8526" s="11" t="s">
        <v>28</v>
      </c>
      <c r="F8526" s="10">
        <v>657.15</v>
      </c>
      <c r="G8526" s="10">
        <v>657.15</v>
      </c>
      <c r="H8526" s="10">
        <v>657.15</v>
      </c>
      <c r="I8526" s="11" t="s">
        <v>28</v>
      </c>
      <c r="J8526" s="11" t="s">
        <v>28</v>
      </c>
      <c r="K8526" s="11" t="s">
        <v>28</v>
      </c>
      <c r="L8526" s="11" t="s">
        <v>28</v>
      </c>
      <c r="M8526" s="11" t="s">
        <v>28</v>
      </c>
      <c r="N8526" s="8">
        <v>42886</v>
      </c>
      <c r="O8526" s="9" t="s">
        <v>30</v>
      </c>
      <c r="P8526" s="12" t="s">
        <v>24660</v>
      </c>
      <c r="Q8526" s="9" t="s">
        <v>105</v>
      </c>
      <c r="R8526" s="14" t="str">
        <f>HYPERLINK("https://my.pitchbook.com?c=81310-87T","View Company Online")</f>
        <v>View Company Online</v>
      </c>
    </row>
    <row r="8527" spans="1:18" hidden="1" x14ac:dyDescent="0.3">
      <c r="A8527" s="15" t="s">
        <v>24661</v>
      </c>
      <c r="B8527" s="15" t="s">
        <v>12583</v>
      </c>
      <c r="C8527" s="18" t="s">
        <v>28</v>
      </c>
      <c r="D8527" s="15" t="s">
        <v>12584</v>
      </c>
      <c r="E8527" s="18" t="s">
        <v>28</v>
      </c>
      <c r="F8527" s="19" t="s">
        <v>28</v>
      </c>
      <c r="G8527" s="19" t="s">
        <v>28</v>
      </c>
      <c r="H8527" s="19" t="s">
        <v>28</v>
      </c>
      <c r="I8527" s="18" t="s">
        <v>28</v>
      </c>
      <c r="J8527" s="18" t="s">
        <v>28</v>
      </c>
      <c r="K8527" s="18" t="s">
        <v>28</v>
      </c>
      <c r="L8527" s="18" t="s">
        <v>28</v>
      </c>
      <c r="M8527" s="18" t="s">
        <v>28</v>
      </c>
      <c r="N8527" s="17">
        <v>42885</v>
      </c>
      <c r="O8527" s="15" t="s">
        <v>30</v>
      </c>
      <c r="P8527" s="16" t="s">
        <v>28</v>
      </c>
      <c r="Q8527" s="15" t="s">
        <v>75</v>
      </c>
      <c r="R8527" s="13" t="str">
        <f>HYPERLINK("https://my.pitchbook.com?c=146237-50T","View Company Online")</f>
        <v>View Company Online</v>
      </c>
    </row>
    <row r="8528" spans="1:18" hidden="1" x14ac:dyDescent="0.3">
      <c r="A8528" s="9" t="s">
        <v>24662</v>
      </c>
      <c r="B8528" s="9" t="s">
        <v>24663</v>
      </c>
      <c r="C8528" s="11" t="s">
        <v>28</v>
      </c>
      <c r="D8528" s="9" t="s">
        <v>24664</v>
      </c>
      <c r="E8528" s="11" t="s">
        <v>28</v>
      </c>
      <c r="F8528" s="10">
        <v>0.56999999999999995</v>
      </c>
      <c r="G8528" s="10">
        <v>0.56999999999999995</v>
      </c>
      <c r="H8528" s="10">
        <v>0.56999999999999995</v>
      </c>
      <c r="I8528" s="11" t="s">
        <v>28</v>
      </c>
      <c r="J8528" s="11" t="s">
        <v>28</v>
      </c>
      <c r="K8528" s="11">
        <v>1.75</v>
      </c>
      <c r="L8528" s="11">
        <v>0.33</v>
      </c>
      <c r="M8528" s="11" t="s">
        <v>28</v>
      </c>
      <c r="N8528" s="8">
        <v>42885</v>
      </c>
      <c r="O8528" s="9" t="s">
        <v>30</v>
      </c>
      <c r="P8528" s="12" t="s">
        <v>24665</v>
      </c>
      <c r="Q8528" s="9" t="s">
        <v>75</v>
      </c>
      <c r="R8528" s="14" t="str">
        <f>HYPERLINK("https://my.pitchbook.com?c=88453-90T","View Company Online")</f>
        <v>View Company Online</v>
      </c>
    </row>
    <row r="8529" spans="1:18" hidden="1" x14ac:dyDescent="0.3">
      <c r="A8529" s="15" t="s">
        <v>24666</v>
      </c>
      <c r="B8529" s="15" t="s">
        <v>24667</v>
      </c>
      <c r="C8529" s="18" t="s">
        <v>28</v>
      </c>
      <c r="D8529" s="15" t="s">
        <v>24668</v>
      </c>
      <c r="E8529" s="18" t="s">
        <v>28</v>
      </c>
      <c r="F8529" s="19" t="s">
        <v>28</v>
      </c>
      <c r="G8529" s="19" t="s">
        <v>28</v>
      </c>
      <c r="H8529" s="19" t="s">
        <v>28</v>
      </c>
      <c r="I8529" s="18" t="s">
        <v>28</v>
      </c>
      <c r="J8529" s="18" t="s">
        <v>28</v>
      </c>
      <c r="K8529" s="18" t="s">
        <v>28</v>
      </c>
      <c r="L8529" s="18" t="s">
        <v>28</v>
      </c>
      <c r="M8529" s="18" t="s">
        <v>28</v>
      </c>
      <c r="N8529" s="17">
        <v>42884</v>
      </c>
      <c r="O8529" s="15" t="s">
        <v>52</v>
      </c>
      <c r="P8529" s="16" t="s">
        <v>24669</v>
      </c>
      <c r="Q8529" s="15" t="s">
        <v>136</v>
      </c>
      <c r="R8529" s="13" t="str">
        <f>HYPERLINK("https://my.pitchbook.com?c=99434-98T","View Company Online")</f>
        <v>View Company Online</v>
      </c>
    </row>
    <row r="8530" spans="1:18" hidden="1" x14ac:dyDescent="0.3">
      <c r="A8530" s="9" t="s">
        <v>24670</v>
      </c>
      <c r="B8530" s="9" t="s">
        <v>13039</v>
      </c>
      <c r="C8530" s="11" t="s">
        <v>28</v>
      </c>
      <c r="D8530" s="9" t="s">
        <v>13040</v>
      </c>
      <c r="E8530" s="11" t="s">
        <v>28</v>
      </c>
      <c r="F8530" s="10" t="s">
        <v>28</v>
      </c>
      <c r="G8530" s="10">
        <v>0.25</v>
      </c>
      <c r="H8530" s="10" t="s">
        <v>28</v>
      </c>
      <c r="I8530" s="11" t="s">
        <v>28</v>
      </c>
      <c r="J8530" s="11" t="s">
        <v>28</v>
      </c>
      <c r="K8530" s="11" t="s">
        <v>28</v>
      </c>
      <c r="L8530" s="11" t="s">
        <v>28</v>
      </c>
      <c r="M8530" s="11" t="s">
        <v>28</v>
      </c>
      <c r="N8530" s="8">
        <v>42881</v>
      </c>
      <c r="O8530" s="9" t="s">
        <v>99</v>
      </c>
      <c r="P8530" s="12" t="s">
        <v>140</v>
      </c>
      <c r="Q8530" s="9" t="s">
        <v>1336</v>
      </c>
      <c r="R8530" s="14" t="str">
        <f>HYPERLINK("https://my.pitchbook.com?c=93127-78T","View Company Online")</f>
        <v>View Company Online</v>
      </c>
    </row>
    <row r="8531" spans="1:18" hidden="1" x14ac:dyDescent="0.3">
      <c r="A8531" s="15" t="s">
        <v>24671</v>
      </c>
      <c r="B8531" s="15" t="s">
        <v>24672</v>
      </c>
      <c r="C8531" s="18" t="s">
        <v>28</v>
      </c>
      <c r="D8531" s="15" t="s">
        <v>24673</v>
      </c>
      <c r="E8531" s="18" t="s">
        <v>28</v>
      </c>
      <c r="F8531" s="19" t="s">
        <v>28</v>
      </c>
      <c r="G8531" s="19">
        <v>0.06</v>
      </c>
      <c r="H8531" s="19">
        <v>0.89</v>
      </c>
      <c r="I8531" s="18" t="s">
        <v>28</v>
      </c>
      <c r="J8531" s="18" t="s">
        <v>28</v>
      </c>
      <c r="K8531" s="18" t="s">
        <v>28</v>
      </c>
      <c r="L8531" s="18" t="s">
        <v>28</v>
      </c>
      <c r="M8531" s="18" t="s">
        <v>28</v>
      </c>
      <c r="N8531" s="17">
        <v>42880</v>
      </c>
      <c r="O8531" s="15" t="s">
        <v>52</v>
      </c>
      <c r="P8531" s="16" t="s">
        <v>2915</v>
      </c>
      <c r="Q8531" s="15" t="s">
        <v>54</v>
      </c>
      <c r="R8531" s="13" t="str">
        <f>HYPERLINK("https://my.pitchbook.com?c=122662-27T","View Company Online")</f>
        <v>View Company Online</v>
      </c>
    </row>
    <row r="8532" spans="1:18" hidden="1" x14ac:dyDescent="0.3">
      <c r="A8532" s="9" t="s">
        <v>24674</v>
      </c>
      <c r="B8532" s="9" t="s">
        <v>24675</v>
      </c>
      <c r="C8532" s="11" t="s">
        <v>28</v>
      </c>
      <c r="D8532" s="9" t="s">
        <v>24676</v>
      </c>
      <c r="E8532" s="11" t="s">
        <v>28</v>
      </c>
      <c r="F8532" s="10" t="s">
        <v>28</v>
      </c>
      <c r="G8532" s="10">
        <v>0.2</v>
      </c>
      <c r="H8532" s="10">
        <v>2.86</v>
      </c>
      <c r="I8532" s="11" t="s">
        <v>28</v>
      </c>
      <c r="J8532" s="11" t="s">
        <v>28</v>
      </c>
      <c r="K8532" s="11" t="s">
        <v>28</v>
      </c>
      <c r="L8532" s="11" t="s">
        <v>28</v>
      </c>
      <c r="M8532" s="11" t="s">
        <v>28</v>
      </c>
      <c r="N8532" s="8">
        <v>42880</v>
      </c>
      <c r="O8532" s="9" t="s">
        <v>52</v>
      </c>
      <c r="P8532" s="12" t="s">
        <v>2915</v>
      </c>
      <c r="Q8532" s="9" t="s">
        <v>75</v>
      </c>
      <c r="R8532" s="14" t="str">
        <f>HYPERLINK("https://my.pitchbook.com?c=129734-29T","View Company Online")</f>
        <v>View Company Online</v>
      </c>
    </row>
    <row r="8533" spans="1:18" hidden="1" x14ac:dyDescent="0.3">
      <c r="A8533" s="15" t="s">
        <v>24677</v>
      </c>
      <c r="B8533" s="15" t="s">
        <v>23531</v>
      </c>
      <c r="C8533" s="18" t="s">
        <v>28</v>
      </c>
      <c r="D8533" s="15" t="s">
        <v>23532</v>
      </c>
      <c r="E8533" s="18" t="s">
        <v>28</v>
      </c>
      <c r="F8533" s="19" t="s">
        <v>28</v>
      </c>
      <c r="G8533" s="19">
        <v>100</v>
      </c>
      <c r="H8533" s="19" t="s">
        <v>28</v>
      </c>
      <c r="I8533" s="18" t="s">
        <v>28</v>
      </c>
      <c r="J8533" s="18" t="s">
        <v>28</v>
      </c>
      <c r="K8533" s="18" t="s">
        <v>28</v>
      </c>
      <c r="L8533" s="18" t="s">
        <v>28</v>
      </c>
      <c r="M8533" s="18" t="s">
        <v>28</v>
      </c>
      <c r="N8533" s="17">
        <v>42879</v>
      </c>
      <c r="O8533" s="15" t="s">
        <v>79</v>
      </c>
      <c r="P8533" s="16" t="s">
        <v>24678</v>
      </c>
      <c r="Q8533" s="15" t="s">
        <v>85</v>
      </c>
      <c r="R8533" s="13" t="str">
        <f>HYPERLINK("https://my.pitchbook.com?c=80758-63T","View Company Online")</f>
        <v>View Company Online</v>
      </c>
    </row>
    <row r="8534" spans="1:18" hidden="1" x14ac:dyDescent="0.3">
      <c r="A8534" s="9" t="s">
        <v>24679</v>
      </c>
      <c r="B8534" s="9" t="s">
        <v>6541</v>
      </c>
      <c r="C8534" s="11" t="s">
        <v>28</v>
      </c>
      <c r="D8534" s="9" t="s">
        <v>6542</v>
      </c>
      <c r="E8534" s="11" t="s">
        <v>28</v>
      </c>
      <c r="F8534" s="10" t="s">
        <v>28</v>
      </c>
      <c r="G8534" s="10" t="s">
        <v>28</v>
      </c>
      <c r="H8534" s="10" t="s">
        <v>28</v>
      </c>
      <c r="I8534" s="11" t="s">
        <v>28</v>
      </c>
      <c r="J8534" s="11" t="s">
        <v>28</v>
      </c>
      <c r="K8534" s="11" t="s">
        <v>28</v>
      </c>
      <c r="L8534" s="11" t="s">
        <v>28</v>
      </c>
      <c r="M8534" s="11" t="s">
        <v>28</v>
      </c>
      <c r="N8534" s="8">
        <v>42879</v>
      </c>
      <c r="O8534" s="9" t="s">
        <v>99</v>
      </c>
      <c r="P8534" s="12" t="s">
        <v>11716</v>
      </c>
      <c r="Q8534" s="9" t="s">
        <v>75</v>
      </c>
      <c r="R8534" s="14" t="str">
        <f>HYPERLINK("https://my.pitchbook.com?c=207977-41T","View Company Online")</f>
        <v>View Company Online</v>
      </c>
    </row>
    <row r="8535" spans="1:18" hidden="1" x14ac:dyDescent="0.3">
      <c r="A8535" s="15" t="s">
        <v>24680</v>
      </c>
      <c r="B8535" s="15" t="s">
        <v>24681</v>
      </c>
      <c r="C8535" s="18" t="s">
        <v>28</v>
      </c>
      <c r="D8535" s="15" t="s">
        <v>24682</v>
      </c>
      <c r="E8535" s="18" t="s">
        <v>28</v>
      </c>
      <c r="F8535" s="19">
        <v>783.17</v>
      </c>
      <c r="G8535" s="19">
        <v>783.17</v>
      </c>
      <c r="H8535" s="19">
        <v>783.17</v>
      </c>
      <c r="I8535" s="18" t="s">
        <v>28</v>
      </c>
      <c r="J8535" s="18" t="s">
        <v>28</v>
      </c>
      <c r="K8535" s="18" t="s">
        <v>28</v>
      </c>
      <c r="L8535" s="18" t="s">
        <v>28</v>
      </c>
      <c r="M8535" s="18" t="s">
        <v>28</v>
      </c>
      <c r="N8535" s="17">
        <v>42879</v>
      </c>
      <c r="O8535" s="15" t="s">
        <v>41</v>
      </c>
      <c r="P8535" s="16" t="s">
        <v>19755</v>
      </c>
      <c r="Q8535" s="15" t="s">
        <v>226</v>
      </c>
      <c r="R8535" s="13" t="str">
        <f>HYPERLINK("https://my.pitchbook.com?c=88293-61T","View Company Online")</f>
        <v>View Company Online</v>
      </c>
    </row>
    <row r="8536" spans="1:18" hidden="1" x14ac:dyDescent="0.3">
      <c r="A8536" s="9" t="s">
        <v>24683</v>
      </c>
      <c r="B8536" s="9" t="s">
        <v>966</v>
      </c>
      <c r="C8536" s="11" t="s">
        <v>28</v>
      </c>
      <c r="D8536" s="9" t="s">
        <v>18709</v>
      </c>
      <c r="E8536" s="11" t="s">
        <v>28</v>
      </c>
      <c r="F8536" s="10" t="s">
        <v>28</v>
      </c>
      <c r="G8536" s="10" t="s">
        <v>28</v>
      </c>
      <c r="H8536" s="10" t="s">
        <v>28</v>
      </c>
      <c r="I8536" s="11" t="s">
        <v>28</v>
      </c>
      <c r="J8536" s="11" t="s">
        <v>28</v>
      </c>
      <c r="K8536" s="11" t="s">
        <v>28</v>
      </c>
      <c r="L8536" s="11" t="s">
        <v>28</v>
      </c>
      <c r="M8536" s="11" t="s">
        <v>28</v>
      </c>
      <c r="N8536" s="8">
        <v>42879</v>
      </c>
      <c r="O8536" s="9" t="s">
        <v>52</v>
      </c>
      <c r="P8536" s="12" t="s">
        <v>15600</v>
      </c>
      <c r="Q8536" s="9" t="s">
        <v>75</v>
      </c>
      <c r="R8536" s="14" t="str">
        <f>HYPERLINK("https://my.pitchbook.com?c=137274-85T","View Company Online")</f>
        <v>View Company Online</v>
      </c>
    </row>
    <row r="8537" spans="1:18" hidden="1" x14ac:dyDescent="0.3">
      <c r="A8537" s="15" t="s">
        <v>24684</v>
      </c>
      <c r="B8537" s="15" t="s">
        <v>24685</v>
      </c>
      <c r="C8537" s="18" t="s">
        <v>28</v>
      </c>
      <c r="D8537" s="15" t="s">
        <v>24686</v>
      </c>
      <c r="E8537" s="18" t="s">
        <v>28</v>
      </c>
      <c r="F8537" s="19" t="s">
        <v>28</v>
      </c>
      <c r="G8537" s="19" t="s">
        <v>28</v>
      </c>
      <c r="H8537" s="19" t="s">
        <v>28</v>
      </c>
      <c r="I8537" s="18" t="s">
        <v>28</v>
      </c>
      <c r="J8537" s="18" t="s">
        <v>28</v>
      </c>
      <c r="K8537" s="18" t="s">
        <v>28</v>
      </c>
      <c r="L8537" s="18" t="s">
        <v>28</v>
      </c>
      <c r="M8537" s="18" t="s">
        <v>28</v>
      </c>
      <c r="N8537" s="17">
        <v>42878</v>
      </c>
      <c r="O8537" s="15" t="s">
        <v>73</v>
      </c>
      <c r="P8537" s="16" t="s">
        <v>7108</v>
      </c>
      <c r="Q8537" s="15" t="s">
        <v>75</v>
      </c>
      <c r="R8537" s="13" t="str">
        <f>HYPERLINK("https://my.pitchbook.com?c=215282-17T","View Company Online")</f>
        <v>View Company Online</v>
      </c>
    </row>
    <row r="8538" spans="1:18" hidden="1" x14ac:dyDescent="0.3">
      <c r="A8538" s="9" t="s">
        <v>24687</v>
      </c>
      <c r="B8538" s="9" t="s">
        <v>24688</v>
      </c>
      <c r="C8538" s="11" t="s">
        <v>28</v>
      </c>
      <c r="D8538" s="9" t="s">
        <v>24689</v>
      </c>
      <c r="E8538" s="11" t="s">
        <v>28</v>
      </c>
      <c r="F8538" s="10" t="s">
        <v>28</v>
      </c>
      <c r="G8538" s="10" t="s">
        <v>28</v>
      </c>
      <c r="H8538" s="10" t="s">
        <v>28</v>
      </c>
      <c r="I8538" s="11" t="s">
        <v>28</v>
      </c>
      <c r="J8538" s="11" t="s">
        <v>28</v>
      </c>
      <c r="K8538" s="11" t="s">
        <v>28</v>
      </c>
      <c r="L8538" s="11" t="s">
        <v>28</v>
      </c>
      <c r="M8538" s="11" t="s">
        <v>28</v>
      </c>
      <c r="N8538" s="8">
        <v>42874</v>
      </c>
      <c r="O8538" s="9" t="s">
        <v>30</v>
      </c>
      <c r="P8538" s="12" t="s">
        <v>17231</v>
      </c>
      <c r="Q8538" s="9" t="s">
        <v>1007</v>
      </c>
      <c r="R8538" s="14" t="str">
        <f>HYPERLINK("https://my.pitchbook.com?c=216239-59T","View Company Online")</f>
        <v>View Company Online</v>
      </c>
    </row>
    <row r="8539" spans="1:18" hidden="1" x14ac:dyDescent="0.3">
      <c r="A8539" s="15" t="s">
        <v>24690</v>
      </c>
      <c r="B8539" s="15" t="s">
        <v>19638</v>
      </c>
      <c r="C8539" s="18" t="s">
        <v>28</v>
      </c>
      <c r="D8539" s="15" t="s">
        <v>19639</v>
      </c>
      <c r="E8539" s="18" t="s">
        <v>28</v>
      </c>
      <c r="F8539" s="19" t="s">
        <v>28</v>
      </c>
      <c r="G8539" s="19" t="s">
        <v>28</v>
      </c>
      <c r="H8539" s="19" t="s">
        <v>28</v>
      </c>
      <c r="I8539" s="18" t="s">
        <v>28</v>
      </c>
      <c r="J8539" s="18" t="s">
        <v>28</v>
      </c>
      <c r="K8539" s="18" t="s">
        <v>28</v>
      </c>
      <c r="L8539" s="18" t="s">
        <v>28</v>
      </c>
      <c r="M8539" s="18" t="s">
        <v>28</v>
      </c>
      <c r="N8539" s="17">
        <v>42873</v>
      </c>
      <c r="O8539" s="15" t="s">
        <v>52</v>
      </c>
      <c r="P8539" s="16" t="s">
        <v>2830</v>
      </c>
      <c r="Q8539" s="15" t="s">
        <v>37</v>
      </c>
      <c r="R8539" s="13" t="str">
        <f>HYPERLINK("https://my.pitchbook.com?c=262518-04T","View Company Online")</f>
        <v>View Company Online</v>
      </c>
    </row>
    <row r="8540" spans="1:18" hidden="1" x14ac:dyDescent="0.3">
      <c r="A8540" s="9" t="s">
        <v>24691</v>
      </c>
      <c r="B8540" s="9" t="s">
        <v>9232</v>
      </c>
      <c r="C8540" s="11" t="s">
        <v>28</v>
      </c>
      <c r="D8540" s="9" t="s">
        <v>9233</v>
      </c>
      <c r="E8540" s="11" t="s">
        <v>28</v>
      </c>
      <c r="F8540" s="10" t="s">
        <v>28</v>
      </c>
      <c r="G8540" s="10" t="s">
        <v>28</v>
      </c>
      <c r="H8540" s="10" t="s">
        <v>28</v>
      </c>
      <c r="I8540" s="11" t="s">
        <v>28</v>
      </c>
      <c r="J8540" s="11" t="s">
        <v>28</v>
      </c>
      <c r="K8540" s="11" t="s">
        <v>28</v>
      </c>
      <c r="L8540" s="11" t="s">
        <v>28</v>
      </c>
      <c r="M8540" s="11" t="s">
        <v>28</v>
      </c>
      <c r="N8540" s="8">
        <v>42872</v>
      </c>
      <c r="O8540" s="9" t="s">
        <v>52</v>
      </c>
      <c r="P8540" s="12" t="s">
        <v>28</v>
      </c>
      <c r="Q8540" s="9" t="s">
        <v>75</v>
      </c>
      <c r="R8540" s="14" t="str">
        <f>HYPERLINK("https://my.pitchbook.com?c=195913-90T","View Company Online")</f>
        <v>View Company Online</v>
      </c>
    </row>
    <row r="8541" spans="1:18" hidden="1" x14ac:dyDescent="0.3">
      <c r="A8541" s="15" t="s">
        <v>24692</v>
      </c>
      <c r="B8541" s="15" t="s">
        <v>18892</v>
      </c>
      <c r="C8541" s="18" t="s">
        <v>28</v>
      </c>
      <c r="D8541" s="15" t="s">
        <v>18893</v>
      </c>
      <c r="E8541" s="18" t="s">
        <v>28</v>
      </c>
      <c r="F8541" s="19" t="s">
        <v>28</v>
      </c>
      <c r="G8541" s="19" t="s">
        <v>28</v>
      </c>
      <c r="H8541" s="19" t="s">
        <v>28</v>
      </c>
      <c r="I8541" s="18" t="s">
        <v>28</v>
      </c>
      <c r="J8541" s="18" t="s">
        <v>28</v>
      </c>
      <c r="K8541" s="18" t="s">
        <v>28</v>
      </c>
      <c r="L8541" s="18" t="s">
        <v>28</v>
      </c>
      <c r="M8541" s="18" t="s">
        <v>28</v>
      </c>
      <c r="N8541" s="17">
        <v>42872</v>
      </c>
      <c r="O8541" s="15" t="s">
        <v>52</v>
      </c>
      <c r="P8541" s="16" t="s">
        <v>28</v>
      </c>
      <c r="Q8541" s="15" t="s">
        <v>75</v>
      </c>
      <c r="R8541" s="13" t="str">
        <f>HYPERLINK("https://my.pitchbook.com?c=159638-50T","View Company Online")</f>
        <v>View Company Online</v>
      </c>
    </row>
    <row r="8542" spans="1:18" hidden="1" x14ac:dyDescent="0.3">
      <c r="A8542" s="9" t="s">
        <v>24693</v>
      </c>
      <c r="B8542" s="9" t="s">
        <v>24694</v>
      </c>
      <c r="C8542" s="11" t="s">
        <v>28</v>
      </c>
      <c r="D8542" s="9" t="s">
        <v>24695</v>
      </c>
      <c r="E8542" s="11" t="s">
        <v>28</v>
      </c>
      <c r="F8542" s="10" t="s">
        <v>28</v>
      </c>
      <c r="G8542" s="10" t="s">
        <v>28</v>
      </c>
      <c r="H8542" s="10" t="s">
        <v>28</v>
      </c>
      <c r="I8542" s="11" t="s">
        <v>28</v>
      </c>
      <c r="J8542" s="11" t="s">
        <v>28</v>
      </c>
      <c r="K8542" s="11" t="s">
        <v>28</v>
      </c>
      <c r="L8542" s="11" t="s">
        <v>28</v>
      </c>
      <c r="M8542" s="11" t="s">
        <v>28</v>
      </c>
      <c r="N8542" s="8">
        <v>42872</v>
      </c>
      <c r="O8542" s="9" t="s">
        <v>173</v>
      </c>
      <c r="P8542" s="12" t="s">
        <v>28</v>
      </c>
      <c r="Q8542" s="9" t="s">
        <v>240</v>
      </c>
      <c r="R8542" s="14" t="str">
        <f>HYPERLINK("https://my.pitchbook.com?c=225820-45T","View Company Online")</f>
        <v>View Company Online</v>
      </c>
    </row>
    <row r="8543" spans="1:18" hidden="1" x14ac:dyDescent="0.3">
      <c r="A8543" s="15" t="s">
        <v>24696</v>
      </c>
      <c r="B8543" s="15" t="s">
        <v>24697</v>
      </c>
      <c r="C8543" s="18" t="s">
        <v>28</v>
      </c>
      <c r="D8543" s="15" t="s">
        <v>24698</v>
      </c>
      <c r="E8543" s="18" t="s">
        <v>28</v>
      </c>
      <c r="F8543" s="19" t="s">
        <v>28</v>
      </c>
      <c r="G8543" s="19" t="s">
        <v>28</v>
      </c>
      <c r="H8543" s="19" t="s">
        <v>28</v>
      </c>
      <c r="I8543" s="18" t="s">
        <v>28</v>
      </c>
      <c r="J8543" s="18" t="s">
        <v>28</v>
      </c>
      <c r="K8543" s="18" t="s">
        <v>28</v>
      </c>
      <c r="L8543" s="18" t="s">
        <v>28</v>
      </c>
      <c r="M8543" s="18" t="s">
        <v>28</v>
      </c>
      <c r="N8543" s="17">
        <v>42872</v>
      </c>
      <c r="O8543" s="15" t="s">
        <v>73</v>
      </c>
      <c r="P8543" s="16" t="s">
        <v>24699</v>
      </c>
      <c r="Q8543" s="15" t="s">
        <v>75</v>
      </c>
      <c r="R8543" s="13" t="str">
        <f>HYPERLINK("https://my.pitchbook.com?c=132151-42T","View Company Online")</f>
        <v>View Company Online</v>
      </c>
    </row>
    <row r="8544" spans="1:18" hidden="1" x14ac:dyDescent="0.3">
      <c r="A8544" s="9" t="s">
        <v>24700</v>
      </c>
      <c r="B8544" s="9" t="s">
        <v>24701</v>
      </c>
      <c r="C8544" s="11" t="s">
        <v>28</v>
      </c>
      <c r="D8544" s="9" t="s">
        <v>24702</v>
      </c>
      <c r="E8544" s="11" t="s">
        <v>28</v>
      </c>
      <c r="F8544" s="10" t="s">
        <v>28</v>
      </c>
      <c r="G8544" s="10" t="s">
        <v>28</v>
      </c>
      <c r="H8544" s="10" t="s">
        <v>28</v>
      </c>
      <c r="I8544" s="11" t="s">
        <v>28</v>
      </c>
      <c r="J8544" s="11" t="s">
        <v>28</v>
      </c>
      <c r="K8544" s="11" t="s">
        <v>28</v>
      </c>
      <c r="L8544" s="11" t="s">
        <v>28</v>
      </c>
      <c r="M8544" s="11" t="s">
        <v>28</v>
      </c>
      <c r="N8544" s="8">
        <v>42871</v>
      </c>
      <c r="O8544" s="9" t="s">
        <v>41</v>
      </c>
      <c r="P8544" s="12" t="s">
        <v>24703</v>
      </c>
      <c r="Q8544" s="9" t="s">
        <v>183</v>
      </c>
      <c r="R8544" s="14" t="str">
        <f>HYPERLINK("https://my.pitchbook.com?c=88035-67T","View Company Online")</f>
        <v>View Company Online</v>
      </c>
    </row>
    <row r="8545" spans="1:18" hidden="1" x14ac:dyDescent="0.3">
      <c r="A8545" s="15" t="s">
        <v>24704</v>
      </c>
      <c r="B8545" s="15" t="s">
        <v>24705</v>
      </c>
      <c r="C8545" s="18" t="s">
        <v>28</v>
      </c>
      <c r="D8545" s="15" t="s">
        <v>24706</v>
      </c>
      <c r="E8545" s="18" t="s">
        <v>28</v>
      </c>
      <c r="F8545" s="19" t="s">
        <v>28</v>
      </c>
      <c r="G8545" s="19">
        <v>0.2</v>
      </c>
      <c r="H8545" s="19">
        <v>2.86</v>
      </c>
      <c r="I8545" s="18" t="s">
        <v>28</v>
      </c>
      <c r="J8545" s="18" t="s">
        <v>28</v>
      </c>
      <c r="K8545" s="18" t="s">
        <v>28</v>
      </c>
      <c r="L8545" s="18" t="s">
        <v>28</v>
      </c>
      <c r="M8545" s="18" t="s">
        <v>28</v>
      </c>
      <c r="N8545" s="17">
        <v>42871</v>
      </c>
      <c r="O8545" s="15" t="s">
        <v>52</v>
      </c>
      <c r="P8545" s="16" t="s">
        <v>24707</v>
      </c>
      <c r="Q8545" s="15" t="s">
        <v>37</v>
      </c>
      <c r="R8545" s="13" t="str">
        <f>HYPERLINK("https://my.pitchbook.com?c=125700-04T","View Company Online")</f>
        <v>View Company Online</v>
      </c>
    </row>
    <row r="8546" spans="1:18" hidden="1" x14ac:dyDescent="0.3">
      <c r="A8546" s="9" t="s">
        <v>24708</v>
      </c>
      <c r="B8546" s="9" t="s">
        <v>6766</v>
      </c>
      <c r="C8546" s="11" t="s">
        <v>28</v>
      </c>
      <c r="D8546" s="9" t="s">
        <v>6767</v>
      </c>
      <c r="E8546" s="11" t="s">
        <v>28</v>
      </c>
      <c r="F8546" s="10" t="s">
        <v>28</v>
      </c>
      <c r="G8546" s="10">
        <v>0.33</v>
      </c>
      <c r="H8546" s="10" t="s">
        <v>28</v>
      </c>
      <c r="I8546" s="11" t="s">
        <v>28</v>
      </c>
      <c r="J8546" s="11" t="s">
        <v>28</v>
      </c>
      <c r="K8546" s="11" t="s">
        <v>28</v>
      </c>
      <c r="L8546" s="11" t="s">
        <v>28</v>
      </c>
      <c r="M8546" s="11" t="s">
        <v>28</v>
      </c>
      <c r="N8546" s="8">
        <v>42871</v>
      </c>
      <c r="O8546" s="9" t="s">
        <v>99</v>
      </c>
      <c r="P8546" s="12" t="s">
        <v>24709</v>
      </c>
      <c r="Q8546" s="9" t="s">
        <v>419</v>
      </c>
      <c r="R8546" s="14" t="str">
        <f>HYPERLINK("https://my.pitchbook.com?c=93112-30T","View Company Online")</f>
        <v>View Company Online</v>
      </c>
    </row>
    <row r="8547" spans="1:18" hidden="1" x14ac:dyDescent="0.3">
      <c r="A8547" s="15" t="s">
        <v>24710</v>
      </c>
      <c r="B8547" s="15" t="s">
        <v>14564</v>
      </c>
      <c r="C8547" s="18" t="s">
        <v>28</v>
      </c>
      <c r="D8547" s="15" t="s">
        <v>14565</v>
      </c>
      <c r="E8547" s="18" t="s">
        <v>28</v>
      </c>
      <c r="F8547" s="19" t="s">
        <v>28</v>
      </c>
      <c r="G8547" s="19" t="s">
        <v>28</v>
      </c>
      <c r="H8547" s="19" t="s">
        <v>28</v>
      </c>
      <c r="I8547" s="18" t="s">
        <v>28</v>
      </c>
      <c r="J8547" s="18" t="s">
        <v>28</v>
      </c>
      <c r="K8547" s="18" t="s">
        <v>28</v>
      </c>
      <c r="L8547" s="18" t="s">
        <v>28</v>
      </c>
      <c r="M8547" s="18" t="s">
        <v>28</v>
      </c>
      <c r="N8547" s="17">
        <v>42871</v>
      </c>
      <c r="O8547" s="15" t="s">
        <v>93</v>
      </c>
      <c r="P8547" s="16" t="s">
        <v>24711</v>
      </c>
      <c r="Q8547" s="15" t="s">
        <v>6142</v>
      </c>
      <c r="R8547" s="13" t="str">
        <f>HYPERLINK("https://my.pitchbook.com?c=174558-07T","View Company Online")</f>
        <v>View Company Online</v>
      </c>
    </row>
    <row r="8548" spans="1:18" hidden="1" x14ac:dyDescent="0.3">
      <c r="A8548" s="9" t="s">
        <v>24712</v>
      </c>
      <c r="B8548" s="9" t="s">
        <v>21068</v>
      </c>
      <c r="C8548" s="11" t="s">
        <v>28</v>
      </c>
      <c r="D8548" s="9" t="s">
        <v>21069</v>
      </c>
      <c r="E8548" s="11" t="s">
        <v>28</v>
      </c>
      <c r="F8548" s="10" t="s">
        <v>28</v>
      </c>
      <c r="G8548" s="10">
        <v>6.33</v>
      </c>
      <c r="H8548" s="10" t="s">
        <v>28</v>
      </c>
      <c r="I8548" s="11" t="s">
        <v>28</v>
      </c>
      <c r="J8548" s="11" t="s">
        <v>28</v>
      </c>
      <c r="K8548" s="11" t="s">
        <v>28</v>
      </c>
      <c r="L8548" s="11" t="s">
        <v>28</v>
      </c>
      <c r="M8548" s="11" t="s">
        <v>28</v>
      </c>
      <c r="N8548" s="8">
        <v>42870</v>
      </c>
      <c r="O8548" s="9" t="s">
        <v>79</v>
      </c>
      <c r="P8548" s="12" t="s">
        <v>24713</v>
      </c>
      <c r="Q8548" s="9" t="s">
        <v>37</v>
      </c>
      <c r="R8548" s="14" t="str">
        <f>HYPERLINK("https://my.pitchbook.com?c=87811-66T","View Company Online")</f>
        <v>View Company Online</v>
      </c>
    </row>
    <row r="8549" spans="1:18" hidden="1" x14ac:dyDescent="0.3">
      <c r="A8549" s="15" t="s">
        <v>24714</v>
      </c>
      <c r="B8549" s="15" t="s">
        <v>24715</v>
      </c>
      <c r="C8549" s="18" t="s">
        <v>28</v>
      </c>
      <c r="D8549" s="15" t="s">
        <v>24716</v>
      </c>
      <c r="E8549" s="18" t="s">
        <v>28</v>
      </c>
      <c r="F8549" s="19">
        <v>1.2</v>
      </c>
      <c r="G8549" s="19">
        <v>1.2</v>
      </c>
      <c r="H8549" s="19">
        <v>1.2</v>
      </c>
      <c r="I8549" s="18" t="s">
        <v>28</v>
      </c>
      <c r="J8549" s="18" t="s">
        <v>28</v>
      </c>
      <c r="K8549" s="18" t="s">
        <v>28</v>
      </c>
      <c r="L8549" s="18" t="s">
        <v>28</v>
      </c>
      <c r="M8549" s="18" t="s">
        <v>28</v>
      </c>
      <c r="N8549" s="17">
        <v>42867</v>
      </c>
      <c r="O8549" s="15" t="s">
        <v>30</v>
      </c>
      <c r="P8549" s="16" t="s">
        <v>24717</v>
      </c>
      <c r="Q8549" s="15" t="s">
        <v>583</v>
      </c>
      <c r="R8549" s="13" t="str">
        <f>HYPERLINK("https://my.pitchbook.com?c=90741-97T","View Company Online")</f>
        <v>View Company Online</v>
      </c>
    </row>
    <row r="8550" spans="1:18" hidden="1" x14ac:dyDescent="0.3">
      <c r="A8550" s="9" t="s">
        <v>24718</v>
      </c>
      <c r="B8550" s="9" t="s">
        <v>24719</v>
      </c>
      <c r="C8550" s="11" t="s">
        <v>28</v>
      </c>
      <c r="D8550" s="9" t="s">
        <v>24720</v>
      </c>
      <c r="E8550" s="11" t="s">
        <v>28</v>
      </c>
      <c r="F8550" s="10" t="s">
        <v>28</v>
      </c>
      <c r="G8550" s="10">
        <v>0.03</v>
      </c>
      <c r="H8550" s="10" t="s">
        <v>28</v>
      </c>
      <c r="I8550" s="11" t="s">
        <v>28</v>
      </c>
      <c r="J8550" s="11" t="s">
        <v>28</v>
      </c>
      <c r="K8550" s="11" t="s">
        <v>28</v>
      </c>
      <c r="L8550" s="11" t="s">
        <v>28</v>
      </c>
      <c r="M8550" s="11" t="s">
        <v>28</v>
      </c>
      <c r="N8550" s="8">
        <v>42866</v>
      </c>
      <c r="O8550" s="9" t="s">
        <v>52</v>
      </c>
      <c r="P8550" s="12" t="s">
        <v>16809</v>
      </c>
      <c r="Q8550" s="9" t="s">
        <v>740</v>
      </c>
      <c r="R8550" s="14" t="str">
        <f>HYPERLINK("https://my.pitchbook.com?c=125281-54T","View Company Online")</f>
        <v>View Company Online</v>
      </c>
    </row>
    <row r="8551" spans="1:18" hidden="1" x14ac:dyDescent="0.3">
      <c r="A8551" s="15" t="s">
        <v>24721</v>
      </c>
      <c r="B8551" s="15" t="s">
        <v>24722</v>
      </c>
      <c r="C8551" s="18" t="s">
        <v>28</v>
      </c>
      <c r="D8551" s="15" t="s">
        <v>24723</v>
      </c>
      <c r="E8551" s="18" t="s">
        <v>28</v>
      </c>
      <c r="F8551" s="19" t="s">
        <v>28</v>
      </c>
      <c r="G8551" s="19">
        <v>0.03</v>
      </c>
      <c r="H8551" s="19" t="s">
        <v>28</v>
      </c>
      <c r="I8551" s="18" t="s">
        <v>28</v>
      </c>
      <c r="J8551" s="18" t="s">
        <v>28</v>
      </c>
      <c r="K8551" s="18" t="s">
        <v>28</v>
      </c>
      <c r="L8551" s="18" t="s">
        <v>28</v>
      </c>
      <c r="M8551" s="18" t="s">
        <v>28</v>
      </c>
      <c r="N8551" s="17">
        <v>42866</v>
      </c>
      <c r="O8551" s="15" t="s">
        <v>52</v>
      </c>
      <c r="P8551" s="16" t="s">
        <v>16809</v>
      </c>
      <c r="Q8551" s="15" t="s">
        <v>583</v>
      </c>
      <c r="R8551" s="13" t="str">
        <f>HYPERLINK("https://my.pitchbook.com?c=125280-73T","View Company Online")</f>
        <v>View Company Online</v>
      </c>
    </row>
    <row r="8552" spans="1:18" hidden="1" x14ac:dyDescent="0.3">
      <c r="A8552" s="9" t="s">
        <v>24724</v>
      </c>
      <c r="B8552" s="9" t="s">
        <v>24725</v>
      </c>
      <c r="C8552" s="11" t="s">
        <v>28</v>
      </c>
      <c r="D8552" s="9" t="s">
        <v>24726</v>
      </c>
      <c r="E8552" s="11" t="s">
        <v>28</v>
      </c>
      <c r="F8552" s="10" t="s">
        <v>28</v>
      </c>
      <c r="G8552" s="10" t="s">
        <v>28</v>
      </c>
      <c r="H8552" s="10" t="s">
        <v>28</v>
      </c>
      <c r="I8552" s="11" t="s">
        <v>28</v>
      </c>
      <c r="J8552" s="11" t="s">
        <v>28</v>
      </c>
      <c r="K8552" s="11" t="s">
        <v>28</v>
      </c>
      <c r="L8552" s="11" t="s">
        <v>28</v>
      </c>
      <c r="M8552" s="11" t="s">
        <v>28</v>
      </c>
      <c r="N8552" s="8">
        <v>42865</v>
      </c>
      <c r="O8552" s="9" t="s">
        <v>30</v>
      </c>
      <c r="P8552" s="12" t="s">
        <v>24727</v>
      </c>
      <c r="Q8552" s="9" t="s">
        <v>24136</v>
      </c>
      <c r="R8552" s="14" t="str">
        <f>HYPERLINK("https://my.pitchbook.com?c=102096-19T","View Company Online")</f>
        <v>View Company Online</v>
      </c>
    </row>
    <row r="8553" spans="1:18" hidden="1" x14ac:dyDescent="0.3">
      <c r="A8553" s="15" t="s">
        <v>24728</v>
      </c>
      <c r="B8553" s="15" t="s">
        <v>19346</v>
      </c>
      <c r="C8553" s="18" t="s">
        <v>28</v>
      </c>
      <c r="D8553" s="15" t="s">
        <v>19347</v>
      </c>
      <c r="E8553" s="18" t="s">
        <v>28</v>
      </c>
      <c r="F8553" s="19" t="s">
        <v>28</v>
      </c>
      <c r="G8553" s="19">
        <v>0.09</v>
      </c>
      <c r="H8553" s="19">
        <v>0.47</v>
      </c>
      <c r="I8553" s="18" t="s">
        <v>28</v>
      </c>
      <c r="J8553" s="18" t="s">
        <v>28</v>
      </c>
      <c r="K8553" s="18" t="s">
        <v>28</v>
      </c>
      <c r="L8553" s="18" t="s">
        <v>28</v>
      </c>
      <c r="M8553" s="18" t="s">
        <v>28</v>
      </c>
      <c r="N8553" s="17">
        <v>42865</v>
      </c>
      <c r="O8553" s="15" t="s">
        <v>1639</v>
      </c>
      <c r="P8553" s="16" t="s">
        <v>28</v>
      </c>
      <c r="Q8553" s="15" t="s">
        <v>371</v>
      </c>
      <c r="R8553" s="13" t="str">
        <f>HYPERLINK("https://my.pitchbook.com?c=122947-75T","View Company Online")</f>
        <v>View Company Online</v>
      </c>
    </row>
    <row r="8554" spans="1:18" hidden="1" x14ac:dyDescent="0.3">
      <c r="A8554" s="9" t="s">
        <v>24729</v>
      </c>
      <c r="B8554" s="9" t="s">
        <v>421</v>
      </c>
      <c r="C8554" s="11" t="s">
        <v>28</v>
      </c>
      <c r="D8554" s="9" t="s">
        <v>422</v>
      </c>
      <c r="E8554" s="11">
        <v>107.65</v>
      </c>
      <c r="F8554" s="10" t="s">
        <v>28</v>
      </c>
      <c r="G8554" s="10">
        <v>1266.6500000000001</v>
      </c>
      <c r="H8554" s="10">
        <v>3799.95</v>
      </c>
      <c r="I8554" s="11">
        <v>114.3</v>
      </c>
      <c r="J8554" s="11">
        <v>33.25</v>
      </c>
      <c r="K8554" s="11">
        <v>198.62</v>
      </c>
      <c r="L8554" s="11">
        <v>19.13</v>
      </c>
      <c r="M8554" s="11">
        <v>70.180000000000007</v>
      </c>
      <c r="N8554" s="8">
        <v>42865</v>
      </c>
      <c r="O8554" s="9" t="s">
        <v>173</v>
      </c>
      <c r="P8554" s="12" t="s">
        <v>28</v>
      </c>
      <c r="Q8554" s="9" t="s">
        <v>424</v>
      </c>
      <c r="R8554" s="14" t="str">
        <f>HYPERLINK("https://my.pitchbook.com?c=87519-97T","View Company Online")</f>
        <v>View Company Online</v>
      </c>
    </row>
    <row r="8555" spans="1:18" hidden="1" x14ac:dyDescent="0.3">
      <c r="A8555" s="15" t="s">
        <v>24730</v>
      </c>
      <c r="B8555" s="15" t="s">
        <v>24731</v>
      </c>
      <c r="C8555" s="18" t="s">
        <v>28</v>
      </c>
      <c r="D8555" s="15" t="s">
        <v>24732</v>
      </c>
      <c r="E8555" s="18" t="s">
        <v>28</v>
      </c>
      <c r="F8555" s="19" t="s">
        <v>28</v>
      </c>
      <c r="G8555" s="19" t="s">
        <v>28</v>
      </c>
      <c r="H8555" s="19" t="s">
        <v>28</v>
      </c>
      <c r="I8555" s="18" t="s">
        <v>28</v>
      </c>
      <c r="J8555" s="18" t="s">
        <v>28</v>
      </c>
      <c r="K8555" s="18" t="s">
        <v>28</v>
      </c>
      <c r="L8555" s="18" t="s">
        <v>28</v>
      </c>
      <c r="M8555" s="18" t="s">
        <v>28</v>
      </c>
      <c r="N8555" s="17">
        <v>42859</v>
      </c>
      <c r="O8555" s="15" t="s">
        <v>30</v>
      </c>
      <c r="P8555" s="16" t="s">
        <v>24733</v>
      </c>
      <c r="Q8555" s="15" t="s">
        <v>105</v>
      </c>
      <c r="R8555" s="13" t="str">
        <f>HYPERLINK("https://my.pitchbook.com?c=114187-42T","View Company Online")</f>
        <v>View Company Online</v>
      </c>
    </row>
    <row r="8556" spans="1:18" hidden="1" x14ac:dyDescent="0.3">
      <c r="A8556" s="9" t="s">
        <v>24734</v>
      </c>
      <c r="B8556" s="9" t="s">
        <v>15411</v>
      </c>
      <c r="C8556" s="11" t="s">
        <v>28</v>
      </c>
      <c r="D8556" s="9" t="s">
        <v>15412</v>
      </c>
      <c r="E8556" s="11">
        <v>29.19</v>
      </c>
      <c r="F8556" s="10" t="s">
        <v>28</v>
      </c>
      <c r="G8556" s="10">
        <v>209.58</v>
      </c>
      <c r="H8556" s="10">
        <v>539.83000000000004</v>
      </c>
      <c r="I8556" s="11">
        <v>34</v>
      </c>
      <c r="J8556" s="11">
        <v>15.88</v>
      </c>
      <c r="K8556" s="11">
        <v>346.72</v>
      </c>
      <c r="L8556" s="11">
        <v>1.56</v>
      </c>
      <c r="M8556" s="11">
        <v>21.48</v>
      </c>
      <c r="N8556" s="8">
        <v>42859</v>
      </c>
      <c r="O8556" s="9" t="s">
        <v>173</v>
      </c>
      <c r="P8556" s="12" t="s">
        <v>28</v>
      </c>
      <c r="Q8556" s="9" t="s">
        <v>299</v>
      </c>
      <c r="R8556" s="14" t="str">
        <f>HYPERLINK("https://my.pitchbook.com?c=79833-43T","View Company Online")</f>
        <v>View Company Online</v>
      </c>
    </row>
    <row r="8557" spans="1:18" hidden="1" x14ac:dyDescent="0.3">
      <c r="A8557" s="15" t="s">
        <v>24735</v>
      </c>
      <c r="B8557" s="15" t="s">
        <v>24736</v>
      </c>
      <c r="C8557" s="18" t="s">
        <v>28</v>
      </c>
      <c r="D8557" s="15" t="s">
        <v>24737</v>
      </c>
      <c r="E8557" s="18" t="s">
        <v>28</v>
      </c>
      <c r="F8557" s="19" t="s">
        <v>28</v>
      </c>
      <c r="G8557" s="19" t="s">
        <v>28</v>
      </c>
      <c r="H8557" s="19" t="s">
        <v>28</v>
      </c>
      <c r="I8557" s="18" t="s">
        <v>28</v>
      </c>
      <c r="J8557" s="18" t="s">
        <v>28</v>
      </c>
      <c r="K8557" s="18" t="s">
        <v>28</v>
      </c>
      <c r="L8557" s="18" t="s">
        <v>28</v>
      </c>
      <c r="M8557" s="18" t="s">
        <v>28</v>
      </c>
      <c r="N8557" s="17">
        <v>42859</v>
      </c>
      <c r="O8557" s="15" t="s">
        <v>173</v>
      </c>
      <c r="P8557" s="16" t="s">
        <v>28</v>
      </c>
      <c r="Q8557" s="15" t="s">
        <v>174</v>
      </c>
      <c r="R8557" s="13" t="str">
        <f>HYPERLINK("https://my.pitchbook.com?c=224160-13T","View Company Online")</f>
        <v>View Company Online</v>
      </c>
    </row>
    <row r="8558" spans="1:18" hidden="1" x14ac:dyDescent="0.3">
      <c r="A8558" s="9" t="s">
        <v>24738</v>
      </c>
      <c r="B8558" s="9" t="s">
        <v>24739</v>
      </c>
      <c r="C8558" s="11" t="s">
        <v>28</v>
      </c>
      <c r="D8558" s="9" t="s">
        <v>24740</v>
      </c>
      <c r="E8558" s="11" t="s">
        <v>28</v>
      </c>
      <c r="F8558" s="10" t="s">
        <v>28</v>
      </c>
      <c r="G8558" s="10" t="s">
        <v>28</v>
      </c>
      <c r="H8558" s="10" t="s">
        <v>28</v>
      </c>
      <c r="I8558" s="11" t="s">
        <v>28</v>
      </c>
      <c r="J8558" s="11" t="s">
        <v>28</v>
      </c>
      <c r="K8558" s="11">
        <v>5.84</v>
      </c>
      <c r="L8558" s="11" t="s">
        <v>28</v>
      </c>
      <c r="M8558" s="11" t="s">
        <v>28</v>
      </c>
      <c r="N8558" s="8">
        <v>42858</v>
      </c>
      <c r="O8558" s="9" t="s">
        <v>30</v>
      </c>
      <c r="P8558" s="12" t="s">
        <v>24741</v>
      </c>
      <c r="Q8558" s="9" t="s">
        <v>409</v>
      </c>
      <c r="R8558" s="14" t="str">
        <f>HYPERLINK("https://my.pitchbook.com?c=87194-71T","View Company Online")</f>
        <v>View Company Online</v>
      </c>
    </row>
    <row r="8559" spans="1:18" hidden="1" x14ac:dyDescent="0.3">
      <c r="A8559" s="15" t="s">
        <v>24742</v>
      </c>
      <c r="B8559" s="15" t="s">
        <v>24743</v>
      </c>
      <c r="C8559" s="18" t="s">
        <v>28</v>
      </c>
      <c r="D8559" s="15" t="s">
        <v>24744</v>
      </c>
      <c r="E8559" s="18" t="s">
        <v>28</v>
      </c>
      <c r="F8559" s="19" t="s">
        <v>28</v>
      </c>
      <c r="G8559" s="19" t="s">
        <v>28</v>
      </c>
      <c r="H8559" s="19" t="s">
        <v>28</v>
      </c>
      <c r="I8559" s="18" t="s">
        <v>28</v>
      </c>
      <c r="J8559" s="18" t="s">
        <v>28</v>
      </c>
      <c r="K8559" s="18" t="s">
        <v>28</v>
      </c>
      <c r="L8559" s="18" t="s">
        <v>28</v>
      </c>
      <c r="M8559" s="18" t="s">
        <v>28</v>
      </c>
      <c r="N8559" s="17">
        <v>42858</v>
      </c>
      <c r="O8559" s="15" t="s">
        <v>52</v>
      </c>
      <c r="P8559" s="16" t="s">
        <v>2830</v>
      </c>
      <c r="Q8559" s="15" t="s">
        <v>95</v>
      </c>
      <c r="R8559" s="13" t="str">
        <f>HYPERLINK("https://my.pitchbook.com?c=291918-97T","View Company Online")</f>
        <v>View Company Online</v>
      </c>
    </row>
    <row r="8560" spans="1:18" hidden="1" x14ac:dyDescent="0.3">
      <c r="A8560" s="9" t="s">
        <v>24745</v>
      </c>
      <c r="B8560" s="9" t="s">
        <v>24746</v>
      </c>
      <c r="C8560" s="11" t="s">
        <v>28</v>
      </c>
      <c r="D8560" s="9" t="s">
        <v>24747</v>
      </c>
      <c r="E8560" s="11" t="s">
        <v>28</v>
      </c>
      <c r="F8560" s="10" t="s">
        <v>28</v>
      </c>
      <c r="G8560" s="10">
        <v>5.69</v>
      </c>
      <c r="H8560" s="10">
        <v>9.49</v>
      </c>
      <c r="I8560" s="11" t="s">
        <v>28</v>
      </c>
      <c r="J8560" s="11" t="s">
        <v>28</v>
      </c>
      <c r="K8560" s="11">
        <v>11.06</v>
      </c>
      <c r="L8560" s="11">
        <v>0.86</v>
      </c>
      <c r="M8560" s="11" t="s">
        <v>28</v>
      </c>
      <c r="N8560" s="8">
        <v>42858</v>
      </c>
      <c r="O8560" s="9" t="s">
        <v>30</v>
      </c>
      <c r="P8560" s="12" t="s">
        <v>24748</v>
      </c>
      <c r="Q8560" s="9" t="s">
        <v>188</v>
      </c>
      <c r="R8560" s="14" t="str">
        <f>HYPERLINK("https://my.pitchbook.com?c=87220-54T","View Company Online")</f>
        <v>View Company Online</v>
      </c>
    </row>
    <row r="8561" spans="1:18" hidden="1" x14ac:dyDescent="0.3">
      <c r="A8561" s="15" t="s">
        <v>24749</v>
      </c>
      <c r="B8561" s="15" t="s">
        <v>24750</v>
      </c>
      <c r="C8561" s="18" t="s">
        <v>28</v>
      </c>
      <c r="D8561" s="15" t="s">
        <v>24751</v>
      </c>
      <c r="E8561" s="18" t="s">
        <v>28</v>
      </c>
      <c r="F8561" s="19">
        <v>5.74</v>
      </c>
      <c r="G8561" s="19">
        <v>2.92</v>
      </c>
      <c r="H8561" s="19">
        <v>5.74</v>
      </c>
      <c r="I8561" s="18" t="s">
        <v>28</v>
      </c>
      <c r="J8561" s="18" t="s">
        <v>28</v>
      </c>
      <c r="K8561" s="18" t="s">
        <v>28</v>
      </c>
      <c r="L8561" s="18" t="s">
        <v>28</v>
      </c>
      <c r="M8561" s="18" t="s">
        <v>28</v>
      </c>
      <c r="N8561" s="17">
        <v>42857</v>
      </c>
      <c r="O8561" s="15" t="s">
        <v>30</v>
      </c>
      <c r="P8561" s="16" t="s">
        <v>14313</v>
      </c>
      <c r="Q8561" s="15" t="s">
        <v>37</v>
      </c>
      <c r="R8561" s="13" t="str">
        <f>HYPERLINK("https://my.pitchbook.com?c=112363-48T","View Company Online")</f>
        <v>View Company Online</v>
      </c>
    </row>
    <row r="8562" spans="1:18" hidden="1" x14ac:dyDescent="0.3">
      <c r="A8562" s="9" t="s">
        <v>24752</v>
      </c>
      <c r="B8562" s="9" t="s">
        <v>20629</v>
      </c>
      <c r="C8562" s="11" t="s">
        <v>28</v>
      </c>
      <c r="D8562" s="9" t="s">
        <v>20630</v>
      </c>
      <c r="E8562" s="11" t="s">
        <v>28</v>
      </c>
      <c r="F8562" s="10" t="s">
        <v>28</v>
      </c>
      <c r="G8562" s="10">
        <v>1.4</v>
      </c>
      <c r="H8562" s="10" t="s">
        <v>28</v>
      </c>
      <c r="I8562" s="11" t="s">
        <v>28</v>
      </c>
      <c r="J8562" s="11" t="s">
        <v>28</v>
      </c>
      <c r="K8562" s="11" t="s">
        <v>28</v>
      </c>
      <c r="L8562" s="11" t="s">
        <v>28</v>
      </c>
      <c r="M8562" s="11" t="s">
        <v>28</v>
      </c>
      <c r="N8562" s="8">
        <v>42856</v>
      </c>
      <c r="O8562" s="9" t="s">
        <v>99</v>
      </c>
      <c r="P8562" s="12" t="s">
        <v>24753</v>
      </c>
      <c r="Q8562" s="9" t="s">
        <v>1179</v>
      </c>
      <c r="R8562" s="14" t="str">
        <f>HYPERLINK("https://my.pitchbook.com?c=76838-77T","View Company Online")</f>
        <v>View Company Online</v>
      </c>
    </row>
    <row r="8563" spans="1:18" hidden="1" x14ac:dyDescent="0.3">
      <c r="A8563" s="15" t="s">
        <v>24754</v>
      </c>
      <c r="B8563" s="15" t="s">
        <v>24755</v>
      </c>
      <c r="C8563" s="18" t="s">
        <v>28</v>
      </c>
      <c r="D8563" s="15" t="s">
        <v>24756</v>
      </c>
      <c r="E8563" s="18" t="s">
        <v>28</v>
      </c>
      <c r="F8563" s="19">
        <v>49.38</v>
      </c>
      <c r="G8563" s="19">
        <v>20</v>
      </c>
      <c r="H8563" s="19">
        <v>49.38</v>
      </c>
      <c r="I8563" s="18" t="s">
        <v>28</v>
      </c>
      <c r="J8563" s="18" t="s">
        <v>28</v>
      </c>
      <c r="K8563" s="18" t="s">
        <v>28</v>
      </c>
      <c r="L8563" s="18" t="s">
        <v>28</v>
      </c>
      <c r="M8563" s="18" t="s">
        <v>28</v>
      </c>
      <c r="N8563" s="17">
        <v>42856</v>
      </c>
      <c r="O8563" s="15" t="s">
        <v>30</v>
      </c>
      <c r="P8563" s="16" t="s">
        <v>24757</v>
      </c>
      <c r="Q8563" s="15" t="s">
        <v>517</v>
      </c>
      <c r="R8563" s="13" t="str">
        <f>HYPERLINK("https://my.pitchbook.com?c=83137-60T","View Company Online")</f>
        <v>View Company Online</v>
      </c>
    </row>
    <row r="8564" spans="1:18" hidden="1" x14ac:dyDescent="0.3">
      <c r="A8564" s="9" t="s">
        <v>24758</v>
      </c>
      <c r="B8564" s="9" t="s">
        <v>15430</v>
      </c>
      <c r="C8564" s="11" t="s">
        <v>28</v>
      </c>
      <c r="D8564" s="9" t="s">
        <v>15431</v>
      </c>
      <c r="E8564" s="11" t="s">
        <v>28</v>
      </c>
      <c r="F8564" s="10" t="s">
        <v>28</v>
      </c>
      <c r="G8564" s="10">
        <v>0.18</v>
      </c>
      <c r="H8564" s="10" t="s">
        <v>28</v>
      </c>
      <c r="I8564" s="11" t="s">
        <v>28</v>
      </c>
      <c r="J8564" s="11" t="s">
        <v>28</v>
      </c>
      <c r="K8564" s="11" t="s">
        <v>28</v>
      </c>
      <c r="L8564" s="11" t="s">
        <v>28</v>
      </c>
      <c r="M8564" s="11" t="s">
        <v>28</v>
      </c>
      <c r="N8564" s="8">
        <v>42856</v>
      </c>
      <c r="O8564" s="9" t="s">
        <v>99</v>
      </c>
      <c r="P8564" s="12" t="s">
        <v>28</v>
      </c>
      <c r="Q8564" s="9" t="s">
        <v>75</v>
      </c>
      <c r="R8564" s="14" t="str">
        <f>HYPERLINK("https://my.pitchbook.com?c=213395-23T","View Company Online")</f>
        <v>View Company Online</v>
      </c>
    </row>
    <row r="8565" spans="1:18" hidden="1" x14ac:dyDescent="0.3">
      <c r="A8565" s="15" t="s">
        <v>24759</v>
      </c>
      <c r="B8565" s="15" t="s">
        <v>17523</v>
      </c>
      <c r="C8565" s="18" t="s">
        <v>28</v>
      </c>
      <c r="D8565" s="15" t="s">
        <v>17524</v>
      </c>
      <c r="E8565" s="18" t="s">
        <v>28</v>
      </c>
      <c r="F8565" s="19" t="s">
        <v>28</v>
      </c>
      <c r="G8565" s="19" t="s">
        <v>28</v>
      </c>
      <c r="H8565" s="19" t="s">
        <v>28</v>
      </c>
      <c r="I8565" s="18" t="s">
        <v>28</v>
      </c>
      <c r="J8565" s="18" t="s">
        <v>28</v>
      </c>
      <c r="K8565" s="18" t="s">
        <v>28</v>
      </c>
      <c r="L8565" s="18" t="s">
        <v>28</v>
      </c>
      <c r="M8565" s="18" t="s">
        <v>28</v>
      </c>
      <c r="N8565" s="17">
        <v>42856</v>
      </c>
      <c r="O8565" s="15" t="s">
        <v>73</v>
      </c>
      <c r="P8565" s="16" t="s">
        <v>24760</v>
      </c>
      <c r="Q8565" s="15" t="s">
        <v>95</v>
      </c>
      <c r="R8565" s="13" t="str">
        <f>HYPERLINK("https://my.pitchbook.com?c=102499-48T","View Company Online")</f>
        <v>View Company Online</v>
      </c>
    </row>
    <row r="8566" spans="1:18" hidden="1" x14ac:dyDescent="0.3">
      <c r="A8566" s="9" t="s">
        <v>24761</v>
      </c>
      <c r="B8566" s="9" t="s">
        <v>24762</v>
      </c>
      <c r="C8566" s="11" t="s">
        <v>28</v>
      </c>
      <c r="D8566" s="9" t="s">
        <v>24763</v>
      </c>
      <c r="E8566" s="11" t="s">
        <v>28</v>
      </c>
      <c r="F8566" s="10" t="s">
        <v>28</v>
      </c>
      <c r="G8566" s="10">
        <v>11.13</v>
      </c>
      <c r="H8566" s="10" t="s">
        <v>28</v>
      </c>
      <c r="I8566" s="11" t="s">
        <v>28</v>
      </c>
      <c r="J8566" s="11" t="s">
        <v>28</v>
      </c>
      <c r="K8566" s="11" t="s">
        <v>28</v>
      </c>
      <c r="L8566" s="11" t="s">
        <v>28</v>
      </c>
      <c r="M8566" s="11" t="s">
        <v>28</v>
      </c>
      <c r="N8566" s="8">
        <v>42856</v>
      </c>
      <c r="O8566" s="9" t="s">
        <v>93</v>
      </c>
      <c r="P8566" s="12" t="s">
        <v>4280</v>
      </c>
      <c r="Q8566" s="9" t="s">
        <v>371</v>
      </c>
      <c r="R8566" s="14" t="str">
        <f>HYPERLINK("https://my.pitchbook.com?c=125157-25T","View Company Online")</f>
        <v>View Company Online</v>
      </c>
    </row>
    <row r="8567" spans="1:18" hidden="1" x14ac:dyDescent="0.3">
      <c r="A8567" s="15" t="s">
        <v>24764</v>
      </c>
      <c r="B8567" s="15" t="s">
        <v>21320</v>
      </c>
      <c r="C8567" s="18" t="s">
        <v>28</v>
      </c>
      <c r="D8567" s="15" t="s">
        <v>21321</v>
      </c>
      <c r="E8567" s="18" t="s">
        <v>28</v>
      </c>
      <c r="F8567" s="19" t="s">
        <v>28</v>
      </c>
      <c r="G8567" s="19" t="s">
        <v>28</v>
      </c>
      <c r="H8567" s="19" t="s">
        <v>28</v>
      </c>
      <c r="I8567" s="18" t="s">
        <v>28</v>
      </c>
      <c r="J8567" s="18" t="s">
        <v>28</v>
      </c>
      <c r="K8567" s="18" t="s">
        <v>28</v>
      </c>
      <c r="L8567" s="18" t="s">
        <v>28</v>
      </c>
      <c r="M8567" s="18" t="s">
        <v>28</v>
      </c>
      <c r="N8567" s="17">
        <v>42856</v>
      </c>
      <c r="O8567" s="15" t="s">
        <v>73</v>
      </c>
      <c r="P8567" s="16" t="s">
        <v>24765</v>
      </c>
      <c r="Q8567" s="15" t="s">
        <v>5347</v>
      </c>
      <c r="R8567" s="13" t="str">
        <f>HYPERLINK("https://my.pitchbook.com?c=111464-92T","View Company Online")</f>
        <v>View Company Online</v>
      </c>
    </row>
    <row r="8568" spans="1:18" hidden="1" x14ac:dyDescent="0.3">
      <c r="A8568" s="9" t="s">
        <v>24766</v>
      </c>
      <c r="B8568" s="9" t="s">
        <v>10365</v>
      </c>
      <c r="C8568" s="11" t="s">
        <v>28</v>
      </c>
      <c r="D8568" s="9" t="s">
        <v>10366</v>
      </c>
      <c r="E8568" s="11" t="s">
        <v>28</v>
      </c>
      <c r="F8568" s="10" t="s">
        <v>28</v>
      </c>
      <c r="G8568" s="10">
        <v>0.42</v>
      </c>
      <c r="H8568" s="10" t="s">
        <v>28</v>
      </c>
      <c r="I8568" s="11" t="s">
        <v>28</v>
      </c>
      <c r="J8568" s="11" t="s">
        <v>28</v>
      </c>
      <c r="K8568" s="11" t="s">
        <v>28</v>
      </c>
      <c r="L8568" s="11" t="s">
        <v>28</v>
      </c>
      <c r="M8568" s="11" t="s">
        <v>28</v>
      </c>
      <c r="N8568" s="8">
        <v>42856</v>
      </c>
      <c r="O8568" s="9" t="s">
        <v>73</v>
      </c>
      <c r="P8568" s="12" t="s">
        <v>24767</v>
      </c>
      <c r="Q8568" s="9" t="s">
        <v>75</v>
      </c>
      <c r="R8568" s="14" t="str">
        <f>HYPERLINK("https://my.pitchbook.com?c=215635-69T","View Company Online")</f>
        <v>View Company Online</v>
      </c>
    </row>
    <row r="8569" spans="1:18" hidden="1" x14ac:dyDescent="0.3">
      <c r="A8569" s="15" t="s">
        <v>24768</v>
      </c>
      <c r="B8569" s="15" t="s">
        <v>24769</v>
      </c>
      <c r="C8569" s="18" t="s">
        <v>28</v>
      </c>
      <c r="D8569" s="15" t="s">
        <v>24770</v>
      </c>
      <c r="E8569" s="18" t="s">
        <v>28</v>
      </c>
      <c r="F8569" s="19" t="s">
        <v>28</v>
      </c>
      <c r="G8569" s="19" t="s">
        <v>28</v>
      </c>
      <c r="H8569" s="19" t="s">
        <v>28</v>
      </c>
      <c r="I8569" s="18" t="s">
        <v>28</v>
      </c>
      <c r="J8569" s="18" t="s">
        <v>28</v>
      </c>
      <c r="K8569" s="18" t="s">
        <v>28</v>
      </c>
      <c r="L8569" s="18" t="s">
        <v>28</v>
      </c>
      <c r="M8569" s="18" t="s">
        <v>28</v>
      </c>
      <c r="N8569" s="17">
        <v>42856</v>
      </c>
      <c r="O8569" s="15" t="s">
        <v>73</v>
      </c>
      <c r="P8569" s="16" t="s">
        <v>24771</v>
      </c>
      <c r="Q8569" s="15" t="s">
        <v>740</v>
      </c>
      <c r="R8569" s="13" t="str">
        <f>HYPERLINK("https://my.pitchbook.com?c=36900-19T","View Company Online")</f>
        <v>View Company Online</v>
      </c>
    </row>
    <row r="8570" spans="1:18" hidden="1" x14ac:dyDescent="0.3">
      <c r="A8570" s="9" t="s">
        <v>24772</v>
      </c>
      <c r="B8570" s="9" t="s">
        <v>24773</v>
      </c>
      <c r="C8570" s="11" t="s">
        <v>28</v>
      </c>
      <c r="D8570" s="9" t="s">
        <v>24774</v>
      </c>
      <c r="E8570" s="11" t="s">
        <v>28</v>
      </c>
      <c r="F8570" s="10" t="s">
        <v>28</v>
      </c>
      <c r="G8570" s="10" t="s">
        <v>28</v>
      </c>
      <c r="H8570" s="10" t="s">
        <v>28</v>
      </c>
      <c r="I8570" s="11" t="s">
        <v>28</v>
      </c>
      <c r="J8570" s="11" t="s">
        <v>28</v>
      </c>
      <c r="K8570" s="11" t="s">
        <v>28</v>
      </c>
      <c r="L8570" s="11" t="s">
        <v>28</v>
      </c>
      <c r="M8570" s="11" t="s">
        <v>28</v>
      </c>
      <c r="N8570" s="8">
        <v>42856</v>
      </c>
      <c r="O8570" s="9" t="s">
        <v>93</v>
      </c>
      <c r="P8570" s="12" t="s">
        <v>24775</v>
      </c>
      <c r="Q8570" s="9" t="s">
        <v>371</v>
      </c>
      <c r="R8570" s="14" t="str">
        <f>HYPERLINK("https://my.pitchbook.com?c=289841-05T","View Company Online")</f>
        <v>View Company Online</v>
      </c>
    </row>
    <row r="8571" spans="1:18" hidden="1" x14ac:dyDescent="0.3">
      <c r="A8571" s="15" t="s">
        <v>24776</v>
      </c>
      <c r="B8571" s="15" t="s">
        <v>19047</v>
      </c>
      <c r="C8571" s="18" t="s">
        <v>28</v>
      </c>
      <c r="D8571" s="15" t="s">
        <v>19048</v>
      </c>
      <c r="E8571" s="18" t="s">
        <v>28</v>
      </c>
      <c r="F8571" s="19" t="s">
        <v>28</v>
      </c>
      <c r="G8571" s="19" t="s">
        <v>28</v>
      </c>
      <c r="H8571" s="19" t="s">
        <v>28</v>
      </c>
      <c r="I8571" s="18" t="s">
        <v>28</v>
      </c>
      <c r="J8571" s="18" t="s">
        <v>28</v>
      </c>
      <c r="K8571" s="18" t="s">
        <v>28</v>
      </c>
      <c r="L8571" s="18" t="s">
        <v>28</v>
      </c>
      <c r="M8571" s="18" t="s">
        <v>28</v>
      </c>
      <c r="N8571" s="17">
        <v>42856</v>
      </c>
      <c r="O8571" s="15" t="s">
        <v>30</v>
      </c>
      <c r="P8571" s="16" t="s">
        <v>13674</v>
      </c>
      <c r="Q8571" s="15" t="s">
        <v>37</v>
      </c>
      <c r="R8571" s="13" t="str">
        <f>HYPERLINK("https://my.pitchbook.com?c=155041-21T","View Company Online")</f>
        <v>View Company Online</v>
      </c>
    </row>
    <row r="8572" spans="1:18" hidden="1" x14ac:dyDescent="0.3">
      <c r="A8572" s="9" t="s">
        <v>24777</v>
      </c>
      <c r="B8572" s="9" t="s">
        <v>18751</v>
      </c>
      <c r="C8572" s="11" t="s">
        <v>28</v>
      </c>
      <c r="D8572" s="9" t="s">
        <v>18752</v>
      </c>
      <c r="E8572" s="11" t="s">
        <v>28</v>
      </c>
      <c r="F8572" s="10" t="s">
        <v>28</v>
      </c>
      <c r="G8572" s="10" t="s">
        <v>28</v>
      </c>
      <c r="H8572" s="10" t="s">
        <v>28</v>
      </c>
      <c r="I8572" s="11" t="s">
        <v>28</v>
      </c>
      <c r="J8572" s="11" t="s">
        <v>28</v>
      </c>
      <c r="K8572" s="11" t="s">
        <v>28</v>
      </c>
      <c r="L8572" s="11" t="s">
        <v>28</v>
      </c>
      <c r="M8572" s="11" t="s">
        <v>28</v>
      </c>
      <c r="N8572" s="8">
        <v>42856</v>
      </c>
      <c r="O8572" s="9" t="s">
        <v>52</v>
      </c>
      <c r="P8572" s="12" t="s">
        <v>24778</v>
      </c>
      <c r="Q8572" s="9" t="s">
        <v>4773</v>
      </c>
      <c r="R8572" s="14" t="str">
        <f>HYPERLINK("https://my.pitchbook.com?c=110579-05T","View Company Online")</f>
        <v>View Company Online</v>
      </c>
    </row>
    <row r="8573" spans="1:18" hidden="1" x14ac:dyDescent="0.3">
      <c r="A8573" s="15" t="s">
        <v>24779</v>
      </c>
      <c r="B8573" s="15" t="s">
        <v>215</v>
      </c>
      <c r="C8573" s="18" t="s">
        <v>28</v>
      </c>
      <c r="D8573" s="15" t="s">
        <v>216</v>
      </c>
      <c r="E8573" s="18" t="s">
        <v>28</v>
      </c>
      <c r="F8573" s="19" t="s">
        <v>28</v>
      </c>
      <c r="G8573" s="19">
        <v>0.18</v>
      </c>
      <c r="H8573" s="19" t="s">
        <v>28</v>
      </c>
      <c r="I8573" s="18" t="s">
        <v>28</v>
      </c>
      <c r="J8573" s="18" t="s">
        <v>28</v>
      </c>
      <c r="K8573" s="18" t="s">
        <v>28</v>
      </c>
      <c r="L8573" s="18" t="s">
        <v>28</v>
      </c>
      <c r="M8573" s="18" t="s">
        <v>28</v>
      </c>
      <c r="N8573" s="17">
        <v>42856</v>
      </c>
      <c r="O8573" s="15" t="s">
        <v>99</v>
      </c>
      <c r="P8573" s="16" t="s">
        <v>24780</v>
      </c>
      <c r="Q8573" s="15" t="s">
        <v>37</v>
      </c>
      <c r="R8573" s="13" t="str">
        <f>HYPERLINK("https://my.pitchbook.com?c=165824-83T","View Company Online")</f>
        <v>View Company Online</v>
      </c>
    </row>
    <row r="8574" spans="1:18" hidden="1" x14ac:dyDescent="0.3">
      <c r="A8574" s="9" t="s">
        <v>24781</v>
      </c>
      <c r="B8574" s="9" t="s">
        <v>20767</v>
      </c>
      <c r="C8574" s="11" t="s">
        <v>28</v>
      </c>
      <c r="D8574" s="9" t="s">
        <v>20768</v>
      </c>
      <c r="E8574" s="11" t="s">
        <v>28</v>
      </c>
      <c r="F8574" s="10" t="s">
        <v>28</v>
      </c>
      <c r="G8574" s="10" t="s">
        <v>28</v>
      </c>
      <c r="H8574" s="10" t="s">
        <v>28</v>
      </c>
      <c r="I8574" s="11" t="s">
        <v>28</v>
      </c>
      <c r="J8574" s="11" t="s">
        <v>28</v>
      </c>
      <c r="K8574" s="11">
        <v>143.94999999999999</v>
      </c>
      <c r="L8574" s="11" t="s">
        <v>28</v>
      </c>
      <c r="M8574" s="11" t="s">
        <v>28</v>
      </c>
      <c r="N8574" s="8">
        <v>42853</v>
      </c>
      <c r="O8574" s="9" t="s">
        <v>58</v>
      </c>
      <c r="P8574" s="12" t="s">
        <v>24782</v>
      </c>
      <c r="Q8574" s="9" t="s">
        <v>136</v>
      </c>
      <c r="R8574" s="14" t="str">
        <f>HYPERLINK("https://my.pitchbook.com?c=87013-72T","View Company Online")</f>
        <v>View Company Online</v>
      </c>
    </row>
    <row r="8575" spans="1:18" hidden="1" x14ac:dyDescent="0.3">
      <c r="A8575" s="15" t="s">
        <v>24783</v>
      </c>
      <c r="B8575" s="15" t="s">
        <v>8280</v>
      </c>
      <c r="C8575" s="18" t="s">
        <v>28</v>
      </c>
      <c r="D8575" s="15" t="s">
        <v>8281</v>
      </c>
      <c r="E8575" s="18" t="s">
        <v>28</v>
      </c>
      <c r="F8575" s="19">
        <v>1461.42</v>
      </c>
      <c r="G8575" s="19">
        <v>1023</v>
      </c>
      <c r="H8575" s="19">
        <v>1461.42</v>
      </c>
      <c r="I8575" s="18" t="s">
        <v>28</v>
      </c>
      <c r="J8575" s="18" t="s">
        <v>28</v>
      </c>
      <c r="K8575" s="18" t="s">
        <v>28</v>
      </c>
      <c r="L8575" s="18" t="s">
        <v>28</v>
      </c>
      <c r="M8575" s="18" t="s">
        <v>28</v>
      </c>
      <c r="N8575" s="17">
        <v>42850</v>
      </c>
      <c r="O8575" s="15" t="s">
        <v>41</v>
      </c>
      <c r="P8575" s="16" t="s">
        <v>24784</v>
      </c>
      <c r="Q8575" s="15" t="s">
        <v>1088</v>
      </c>
      <c r="R8575" s="13" t="str">
        <f>HYPERLINK("https://my.pitchbook.com?c=74395-00T","View Company Online")</f>
        <v>View Company Online</v>
      </c>
    </row>
    <row r="8576" spans="1:18" hidden="1" x14ac:dyDescent="0.3">
      <c r="A8576" s="9" t="s">
        <v>24785</v>
      </c>
      <c r="B8576" s="9" t="s">
        <v>22652</v>
      </c>
      <c r="C8576" s="11" t="s">
        <v>28</v>
      </c>
      <c r="D8576" s="9" t="s">
        <v>22653</v>
      </c>
      <c r="E8576" s="11" t="s">
        <v>28</v>
      </c>
      <c r="F8576" s="10" t="s">
        <v>28</v>
      </c>
      <c r="G8576" s="10" t="s">
        <v>28</v>
      </c>
      <c r="H8576" s="10" t="s">
        <v>28</v>
      </c>
      <c r="I8576" s="11" t="s">
        <v>28</v>
      </c>
      <c r="J8576" s="11" t="s">
        <v>28</v>
      </c>
      <c r="K8576" s="11" t="s">
        <v>28</v>
      </c>
      <c r="L8576" s="11" t="s">
        <v>28</v>
      </c>
      <c r="M8576" s="11" t="s">
        <v>28</v>
      </c>
      <c r="N8576" s="8">
        <v>42850</v>
      </c>
      <c r="O8576" s="9" t="s">
        <v>52</v>
      </c>
      <c r="P8576" s="12" t="s">
        <v>24786</v>
      </c>
      <c r="Q8576" s="9" t="s">
        <v>419</v>
      </c>
      <c r="R8576" s="14" t="str">
        <f>HYPERLINK("https://my.pitchbook.com?c=128837-44T","View Company Online")</f>
        <v>View Company Online</v>
      </c>
    </row>
    <row r="8577" spans="1:18" hidden="1" x14ac:dyDescent="0.3">
      <c r="A8577" s="15" t="s">
        <v>24787</v>
      </c>
      <c r="B8577" s="15" t="s">
        <v>13832</v>
      </c>
      <c r="C8577" s="18" t="s">
        <v>28</v>
      </c>
      <c r="D8577" s="15" t="s">
        <v>13833</v>
      </c>
      <c r="E8577" s="18" t="s">
        <v>28</v>
      </c>
      <c r="F8577" s="19" t="s">
        <v>28</v>
      </c>
      <c r="G8577" s="19">
        <v>0.82</v>
      </c>
      <c r="H8577" s="19" t="s">
        <v>28</v>
      </c>
      <c r="I8577" s="18" t="s">
        <v>28</v>
      </c>
      <c r="J8577" s="18" t="s">
        <v>28</v>
      </c>
      <c r="K8577" s="18" t="s">
        <v>28</v>
      </c>
      <c r="L8577" s="18" t="s">
        <v>28</v>
      </c>
      <c r="M8577" s="18" t="s">
        <v>28</v>
      </c>
      <c r="N8577" s="17">
        <v>42849</v>
      </c>
      <c r="O8577" s="15" t="s">
        <v>73</v>
      </c>
      <c r="P8577" s="16" t="s">
        <v>24788</v>
      </c>
      <c r="Q8577" s="15" t="s">
        <v>37</v>
      </c>
      <c r="R8577" s="13" t="str">
        <f>HYPERLINK("https://my.pitchbook.com?c=86882-32T","View Company Online")</f>
        <v>View Company Online</v>
      </c>
    </row>
    <row r="8578" spans="1:18" hidden="1" x14ac:dyDescent="0.3">
      <c r="A8578" s="9" t="s">
        <v>24789</v>
      </c>
      <c r="B8578" s="9" t="s">
        <v>24790</v>
      </c>
      <c r="C8578" s="11" t="s">
        <v>28</v>
      </c>
      <c r="D8578" s="9" t="s">
        <v>24791</v>
      </c>
      <c r="E8578" s="11" t="s">
        <v>28</v>
      </c>
      <c r="F8578" s="10">
        <v>150.38</v>
      </c>
      <c r="G8578" s="10">
        <v>127.83</v>
      </c>
      <c r="H8578" s="10">
        <v>150.38</v>
      </c>
      <c r="I8578" s="11" t="s">
        <v>28</v>
      </c>
      <c r="J8578" s="11" t="s">
        <v>28</v>
      </c>
      <c r="K8578" s="11" t="s">
        <v>28</v>
      </c>
      <c r="L8578" s="11" t="s">
        <v>28</v>
      </c>
      <c r="M8578" s="11" t="s">
        <v>28</v>
      </c>
      <c r="N8578" s="8">
        <v>42845</v>
      </c>
      <c r="O8578" s="9" t="s">
        <v>41</v>
      </c>
      <c r="P8578" s="12" t="s">
        <v>24792</v>
      </c>
      <c r="Q8578" s="9" t="s">
        <v>24136</v>
      </c>
      <c r="R8578" s="14" t="str">
        <f>HYPERLINK("https://my.pitchbook.com?c=92342-89T","View Company Online")</f>
        <v>View Company Online</v>
      </c>
    </row>
    <row r="8579" spans="1:18" hidden="1" x14ac:dyDescent="0.3">
      <c r="A8579" s="15" t="s">
        <v>24793</v>
      </c>
      <c r="B8579" s="15" t="s">
        <v>18380</v>
      </c>
      <c r="C8579" s="18" t="s">
        <v>28</v>
      </c>
      <c r="D8579" s="15" t="s">
        <v>18381</v>
      </c>
      <c r="E8579" s="18" t="s">
        <v>28</v>
      </c>
      <c r="F8579" s="19" t="s">
        <v>28</v>
      </c>
      <c r="G8579" s="19" t="s">
        <v>28</v>
      </c>
      <c r="H8579" s="19" t="s">
        <v>28</v>
      </c>
      <c r="I8579" s="18" t="s">
        <v>28</v>
      </c>
      <c r="J8579" s="18" t="s">
        <v>28</v>
      </c>
      <c r="K8579" s="18" t="s">
        <v>28</v>
      </c>
      <c r="L8579" s="18" t="s">
        <v>28</v>
      </c>
      <c r="M8579" s="18" t="s">
        <v>28</v>
      </c>
      <c r="N8579" s="17">
        <v>42845</v>
      </c>
      <c r="O8579" s="15" t="s">
        <v>73</v>
      </c>
      <c r="P8579" s="16" t="s">
        <v>11017</v>
      </c>
      <c r="Q8579" s="15" t="s">
        <v>3912</v>
      </c>
      <c r="R8579" s="13" t="str">
        <f>HYPERLINK("https://my.pitchbook.com?c=123192-28T","View Company Online")</f>
        <v>View Company Online</v>
      </c>
    </row>
    <row r="8580" spans="1:18" hidden="1" x14ac:dyDescent="0.3">
      <c r="A8580" s="9" t="s">
        <v>24794</v>
      </c>
      <c r="B8580" s="9" t="s">
        <v>24795</v>
      </c>
      <c r="C8580" s="11" t="s">
        <v>28</v>
      </c>
      <c r="D8580" s="9" t="s">
        <v>24796</v>
      </c>
      <c r="E8580" s="11" t="s">
        <v>28</v>
      </c>
      <c r="F8580" s="10" t="s">
        <v>28</v>
      </c>
      <c r="G8580" s="10" t="s">
        <v>28</v>
      </c>
      <c r="H8580" s="10" t="s">
        <v>28</v>
      </c>
      <c r="I8580" s="11" t="s">
        <v>28</v>
      </c>
      <c r="J8580" s="11" t="s">
        <v>28</v>
      </c>
      <c r="K8580" s="11" t="s">
        <v>28</v>
      </c>
      <c r="L8580" s="11" t="s">
        <v>28</v>
      </c>
      <c r="M8580" s="11" t="s">
        <v>28</v>
      </c>
      <c r="N8580" s="8">
        <v>42844</v>
      </c>
      <c r="O8580" s="9" t="s">
        <v>41</v>
      </c>
      <c r="P8580" s="12" t="s">
        <v>24797</v>
      </c>
      <c r="Q8580" s="9" t="s">
        <v>2181</v>
      </c>
      <c r="R8580" s="14" t="str">
        <f>HYPERLINK("https://my.pitchbook.com?c=111242-08T","View Company Online")</f>
        <v>View Company Online</v>
      </c>
    </row>
    <row r="8581" spans="1:18" hidden="1" x14ac:dyDescent="0.3">
      <c r="A8581" s="15" t="s">
        <v>24798</v>
      </c>
      <c r="B8581" s="15" t="s">
        <v>24799</v>
      </c>
      <c r="C8581" s="18" t="s">
        <v>28</v>
      </c>
      <c r="D8581" s="15" t="s">
        <v>24800</v>
      </c>
      <c r="E8581" s="18" t="s">
        <v>28</v>
      </c>
      <c r="F8581" s="19" t="s">
        <v>28</v>
      </c>
      <c r="G8581" s="19">
        <v>1.92</v>
      </c>
      <c r="H8581" s="19" t="s">
        <v>28</v>
      </c>
      <c r="I8581" s="18" t="s">
        <v>28</v>
      </c>
      <c r="J8581" s="18" t="s">
        <v>28</v>
      </c>
      <c r="K8581" s="18">
        <v>3.74</v>
      </c>
      <c r="L8581" s="18" t="s">
        <v>28</v>
      </c>
      <c r="M8581" s="18" t="s">
        <v>28</v>
      </c>
      <c r="N8581" s="17">
        <v>42844</v>
      </c>
      <c r="O8581" s="15" t="s">
        <v>79</v>
      </c>
      <c r="P8581" s="16" t="s">
        <v>11495</v>
      </c>
      <c r="Q8581" s="15" t="s">
        <v>371</v>
      </c>
      <c r="R8581" s="13" t="str">
        <f>HYPERLINK("https://my.pitchbook.com?c=181497-34T","View Company Online")</f>
        <v>View Company Online</v>
      </c>
    </row>
    <row r="8582" spans="1:18" hidden="1" x14ac:dyDescent="0.3">
      <c r="A8582" s="9" t="s">
        <v>24801</v>
      </c>
      <c r="B8582" s="9" t="s">
        <v>9909</v>
      </c>
      <c r="C8582" s="11" t="s">
        <v>28</v>
      </c>
      <c r="D8582" s="9" t="s">
        <v>9910</v>
      </c>
      <c r="E8582" s="11" t="s">
        <v>28</v>
      </c>
      <c r="F8582" s="10" t="s">
        <v>28</v>
      </c>
      <c r="G8582" s="10">
        <v>0.96</v>
      </c>
      <c r="H8582" s="10" t="s">
        <v>28</v>
      </c>
      <c r="I8582" s="11" t="s">
        <v>28</v>
      </c>
      <c r="J8582" s="11" t="s">
        <v>28</v>
      </c>
      <c r="K8582" s="11" t="s">
        <v>28</v>
      </c>
      <c r="L8582" s="11" t="s">
        <v>28</v>
      </c>
      <c r="M8582" s="11" t="s">
        <v>28</v>
      </c>
      <c r="N8582" s="8">
        <v>42843</v>
      </c>
      <c r="O8582" s="9" t="s">
        <v>99</v>
      </c>
      <c r="P8582" s="12" t="s">
        <v>24802</v>
      </c>
      <c r="Q8582" s="9" t="s">
        <v>75</v>
      </c>
      <c r="R8582" s="14" t="str">
        <f>HYPERLINK("https://my.pitchbook.com?c=86790-79T","View Company Online")</f>
        <v>View Company Online</v>
      </c>
    </row>
    <row r="8583" spans="1:18" hidden="1" x14ac:dyDescent="0.3">
      <c r="A8583" s="15" t="s">
        <v>24803</v>
      </c>
      <c r="B8583" s="15" t="s">
        <v>24804</v>
      </c>
      <c r="C8583" s="18" t="s">
        <v>28</v>
      </c>
      <c r="D8583" s="15" t="s">
        <v>24805</v>
      </c>
      <c r="E8583" s="18" t="s">
        <v>28</v>
      </c>
      <c r="F8583" s="19" t="s">
        <v>28</v>
      </c>
      <c r="G8583" s="19" t="s">
        <v>28</v>
      </c>
      <c r="H8583" s="19" t="s">
        <v>28</v>
      </c>
      <c r="I8583" s="18" t="s">
        <v>28</v>
      </c>
      <c r="J8583" s="18" t="s">
        <v>28</v>
      </c>
      <c r="K8583" s="18" t="s">
        <v>28</v>
      </c>
      <c r="L8583" s="18" t="s">
        <v>28</v>
      </c>
      <c r="M8583" s="18" t="s">
        <v>28</v>
      </c>
      <c r="N8583" s="17">
        <v>42843</v>
      </c>
      <c r="O8583" s="15" t="s">
        <v>30</v>
      </c>
      <c r="P8583" s="16" t="s">
        <v>24806</v>
      </c>
      <c r="Q8583" s="15" t="s">
        <v>5347</v>
      </c>
      <c r="R8583" s="13" t="str">
        <f>HYPERLINK("https://my.pitchbook.com?c=86494-15T","View Company Online")</f>
        <v>View Company Online</v>
      </c>
    </row>
    <row r="8584" spans="1:18" hidden="1" x14ac:dyDescent="0.3">
      <c r="A8584" s="9" t="s">
        <v>24807</v>
      </c>
      <c r="B8584" s="9" t="s">
        <v>24808</v>
      </c>
      <c r="C8584" s="11" t="s">
        <v>28</v>
      </c>
      <c r="D8584" s="9" t="s">
        <v>24809</v>
      </c>
      <c r="E8584" s="11" t="s">
        <v>28</v>
      </c>
      <c r="F8584" s="10" t="s">
        <v>28</v>
      </c>
      <c r="G8584" s="10" t="s">
        <v>28</v>
      </c>
      <c r="H8584" s="10" t="s">
        <v>28</v>
      </c>
      <c r="I8584" s="11" t="s">
        <v>28</v>
      </c>
      <c r="J8584" s="11" t="s">
        <v>28</v>
      </c>
      <c r="K8584" s="11" t="s">
        <v>28</v>
      </c>
      <c r="L8584" s="11" t="s">
        <v>28</v>
      </c>
      <c r="M8584" s="11" t="s">
        <v>28</v>
      </c>
      <c r="N8584" s="8">
        <v>42842</v>
      </c>
      <c r="O8584" s="9" t="s">
        <v>99</v>
      </c>
      <c r="P8584" s="12" t="s">
        <v>11017</v>
      </c>
      <c r="Q8584" s="9" t="s">
        <v>75</v>
      </c>
      <c r="R8584" s="14" t="str">
        <f>HYPERLINK("https://my.pitchbook.com?c=115640-11T","View Company Online")</f>
        <v>View Company Online</v>
      </c>
    </row>
    <row r="8585" spans="1:18" hidden="1" x14ac:dyDescent="0.3">
      <c r="A8585" s="15" t="s">
        <v>24810</v>
      </c>
      <c r="B8585" s="15" t="s">
        <v>24811</v>
      </c>
      <c r="C8585" s="18" t="s">
        <v>28</v>
      </c>
      <c r="D8585" s="15" t="s">
        <v>24812</v>
      </c>
      <c r="E8585" s="18" t="s">
        <v>28</v>
      </c>
      <c r="F8585" s="19" t="s">
        <v>28</v>
      </c>
      <c r="G8585" s="19" t="s">
        <v>28</v>
      </c>
      <c r="H8585" s="19" t="s">
        <v>28</v>
      </c>
      <c r="I8585" s="18" t="s">
        <v>28</v>
      </c>
      <c r="J8585" s="18" t="s">
        <v>28</v>
      </c>
      <c r="K8585" s="18" t="s">
        <v>28</v>
      </c>
      <c r="L8585" s="18" t="s">
        <v>28</v>
      </c>
      <c r="M8585" s="18" t="s">
        <v>28</v>
      </c>
      <c r="N8585" s="17">
        <v>42837</v>
      </c>
      <c r="O8585" s="15" t="s">
        <v>30</v>
      </c>
      <c r="P8585" s="16" t="s">
        <v>24813</v>
      </c>
      <c r="Q8585" s="15" t="s">
        <v>740</v>
      </c>
      <c r="R8585" s="13" t="str">
        <f>HYPERLINK("https://my.pitchbook.com?c=127532-62T","View Company Online")</f>
        <v>View Company Online</v>
      </c>
    </row>
    <row r="8586" spans="1:18" hidden="1" x14ac:dyDescent="0.3">
      <c r="A8586" s="9" t="s">
        <v>24814</v>
      </c>
      <c r="B8586" s="9" t="s">
        <v>5388</v>
      </c>
      <c r="C8586" s="11" t="s">
        <v>28</v>
      </c>
      <c r="D8586" s="9" t="s">
        <v>5389</v>
      </c>
      <c r="E8586" s="11" t="s">
        <v>28</v>
      </c>
      <c r="F8586" s="10" t="s">
        <v>28</v>
      </c>
      <c r="G8586" s="10" t="s">
        <v>28</v>
      </c>
      <c r="H8586" s="10" t="s">
        <v>28</v>
      </c>
      <c r="I8586" s="11" t="s">
        <v>28</v>
      </c>
      <c r="J8586" s="11" t="s">
        <v>28</v>
      </c>
      <c r="K8586" s="11" t="s">
        <v>28</v>
      </c>
      <c r="L8586" s="11" t="s">
        <v>28</v>
      </c>
      <c r="M8586" s="11" t="s">
        <v>28</v>
      </c>
      <c r="N8586" s="8">
        <v>42837</v>
      </c>
      <c r="O8586" s="9" t="s">
        <v>173</v>
      </c>
      <c r="P8586" s="12" t="s">
        <v>28</v>
      </c>
      <c r="Q8586" s="9" t="s">
        <v>774</v>
      </c>
      <c r="R8586" s="14" t="str">
        <f>HYPERLINK("https://my.pitchbook.com?c=153678-34T","View Company Online")</f>
        <v>View Company Online</v>
      </c>
    </row>
    <row r="8587" spans="1:18" hidden="1" x14ac:dyDescent="0.3">
      <c r="A8587" s="15" t="s">
        <v>24815</v>
      </c>
      <c r="B8587" s="15" t="s">
        <v>20783</v>
      </c>
      <c r="C8587" s="18" t="s">
        <v>28</v>
      </c>
      <c r="D8587" s="15" t="s">
        <v>20784</v>
      </c>
      <c r="E8587" s="18">
        <v>-5.46</v>
      </c>
      <c r="F8587" s="19" t="s">
        <v>28</v>
      </c>
      <c r="G8587" s="19">
        <v>148.5</v>
      </c>
      <c r="H8587" s="19">
        <v>556.65</v>
      </c>
      <c r="I8587" s="18">
        <v>4.24</v>
      </c>
      <c r="J8587" s="18">
        <v>131.22</v>
      </c>
      <c r="K8587" s="18">
        <v>525.92999999999995</v>
      </c>
      <c r="L8587" s="18">
        <v>1.06</v>
      </c>
      <c r="M8587" s="18">
        <v>-38.700000000000003</v>
      </c>
      <c r="N8587" s="17">
        <v>42837</v>
      </c>
      <c r="O8587" s="15" t="s">
        <v>173</v>
      </c>
      <c r="P8587" s="16" t="s">
        <v>28</v>
      </c>
      <c r="Q8587" s="15" t="s">
        <v>740</v>
      </c>
      <c r="R8587" s="13" t="str">
        <f>HYPERLINK("https://my.pitchbook.com?c=84985-12T","View Company Online")</f>
        <v>View Company Online</v>
      </c>
    </row>
    <row r="8588" spans="1:18" hidden="1" x14ac:dyDescent="0.3">
      <c r="A8588" s="9" t="s">
        <v>24816</v>
      </c>
      <c r="B8588" s="9" t="s">
        <v>24817</v>
      </c>
      <c r="C8588" s="11" t="s">
        <v>28</v>
      </c>
      <c r="D8588" s="9" t="s">
        <v>24818</v>
      </c>
      <c r="E8588" s="11">
        <v>219.51</v>
      </c>
      <c r="F8588" s="10" t="s">
        <v>28</v>
      </c>
      <c r="G8588" s="10">
        <v>574.35</v>
      </c>
      <c r="H8588" s="10">
        <v>6394.87</v>
      </c>
      <c r="I8588" s="11">
        <v>313.26</v>
      </c>
      <c r="J8588" s="11">
        <v>20.41</v>
      </c>
      <c r="K8588" s="11">
        <v>2087.23</v>
      </c>
      <c r="L8588" s="11">
        <v>3.06</v>
      </c>
      <c r="M8588" s="11">
        <v>-0.31</v>
      </c>
      <c r="N8588" s="8">
        <v>42836</v>
      </c>
      <c r="O8588" s="9" t="s">
        <v>173</v>
      </c>
      <c r="P8588" s="12" t="s">
        <v>28</v>
      </c>
      <c r="Q8588" s="9" t="s">
        <v>2168</v>
      </c>
      <c r="R8588" s="14" t="str">
        <f>HYPERLINK("https://my.pitchbook.com?c=82040-86T","View Company Online")</f>
        <v>View Company Online</v>
      </c>
    </row>
    <row r="8589" spans="1:18" hidden="1" x14ac:dyDescent="0.3">
      <c r="A8589" s="15" t="s">
        <v>24819</v>
      </c>
      <c r="B8589" s="15" t="s">
        <v>24820</v>
      </c>
      <c r="C8589" s="18" t="s">
        <v>28</v>
      </c>
      <c r="D8589" s="15" t="s">
        <v>24821</v>
      </c>
      <c r="E8589" s="18" t="s">
        <v>28</v>
      </c>
      <c r="F8589" s="19" t="s">
        <v>28</v>
      </c>
      <c r="G8589" s="19" t="s">
        <v>28</v>
      </c>
      <c r="H8589" s="19" t="s">
        <v>28</v>
      </c>
      <c r="I8589" s="18" t="s">
        <v>28</v>
      </c>
      <c r="J8589" s="18" t="s">
        <v>28</v>
      </c>
      <c r="K8589" s="18" t="s">
        <v>28</v>
      </c>
      <c r="L8589" s="18" t="s">
        <v>28</v>
      </c>
      <c r="M8589" s="18" t="s">
        <v>28</v>
      </c>
      <c r="N8589" s="17">
        <v>42836</v>
      </c>
      <c r="O8589" s="15" t="s">
        <v>30</v>
      </c>
      <c r="P8589" s="16" t="s">
        <v>24822</v>
      </c>
      <c r="Q8589" s="15" t="s">
        <v>75</v>
      </c>
      <c r="R8589" s="13" t="str">
        <f>HYPERLINK("https://my.pitchbook.com?c=213259-69T","View Company Online")</f>
        <v>View Company Online</v>
      </c>
    </row>
    <row r="8590" spans="1:18" hidden="1" x14ac:dyDescent="0.3">
      <c r="A8590" s="9" t="s">
        <v>24823</v>
      </c>
      <c r="B8590" s="9" t="s">
        <v>24824</v>
      </c>
      <c r="C8590" s="11" t="s">
        <v>28</v>
      </c>
      <c r="D8590" s="9" t="s">
        <v>24825</v>
      </c>
      <c r="E8590" s="11" t="s">
        <v>28</v>
      </c>
      <c r="F8590" s="10">
        <v>8.6999999999999993</v>
      </c>
      <c r="G8590" s="10">
        <v>8.6999999999999993</v>
      </c>
      <c r="H8590" s="10">
        <v>8.6999999999999993</v>
      </c>
      <c r="I8590" s="11" t="s">
        <v>28</v>
      </c>
      <c r="J8590" s="11" t="s">
        <v>28</v>
      </c>
      <c r="K8590" s="11" t="s">
        <v>28</v>
      </c>
      <c r="L8590" s="11" t="s">
        <v>28</v>
      </c>
      <c r="M8590" s="11" t="s">
        <v>28</v>
      </c>
      <c r="N8590" s="8">
        <v>42836</v>
      </c>
      <c r="O8590" s="9" t="s">
        <v>30</v>
      </c>
      <c r="P8590" s="12" t="s">
        <v>24826</v>
      </c>
      <c r="Q8590" s="9" t="s">
        <v>235</v>
      </c>
      <c r="R8590" s="14" t="str">
        <f>HYPERLINK("https://my.pitchbook.com?c=81547-75T","View Company Online")</f>
        <v>View Company Online</v>
      </c>
    </row>
    <row r="8591" spans="1:18" hidden="1" x14ac:dyDescent="0.3">
      <c r="A8591" s="15" t="s">
        <v>24827</v>
      </c>
      <c r="B8591" s="15" t="s">
        <v>5533</v>
      </c>
      <c r="C8591" s="18" t="s">
        <v>28</v>
      </c>
      <c r="D8591" s="15" t="s">
        <v>5534</v>
      </c>
      <c r="E8591" s="18" t="s">
        <v>28</v>
      </c>
      <c r="F8591" s="19" t="s">
        <v>28</v>
      </c>
      <c r="G8591" s="19">
        <v>11.38</v>
      </c>
      <c r="H8591" s="19">
        <v>24.38</v>
      </c>
      <c r="I8591" s="18" t="s">
        <v>28</v>
      </c>
      <c r="J8591" s="18" t="s">
        <v>28</v>
      </c>
      <c r="K8591" s="18" t="s">
        <v>28</v>
      </c>
      <c r="L8591" s="18" t="s">
        <v>28</v>
      </c>
      <c r="M8591" s="18" t="s">
        <v>28</v>
      </c>
      <c r="N8591" s="17">
        <v>42836</v>
      </c>
      <c r="O8591" s="15" t="s">
        <v>73</v>
      </c>
      <c r="P8591" s="16" t="s">
        <v>24828</v>
      </c>
      <c r="Q8591" s="15" t="s">
        <v>409</v>
      </c>
      <c r="R8591" s="13" t="str">
        <f>HYPERLINK("https://my.pitchbook.com?c=69276-88T","View Company Online")</f>
        <v>View Company Online</v>
      </c>
    </row>
    <row r="8592" spans="1:18" hidden="1" x14ac:dyDescent="0.3">
      <c r="A8592" s="9" t="s">
        <v>24829</v>
      </c>
      <c r="B8592" s="9" t="s">
        <v>19296</v>
      </c>
      <c r="C8592" s="11" t="s">
        <v>28</v>
      </c>
      <c r="D8592" s="9" t="s">
        <v>19297</v>
      </c>
      <c r="E8592" s="11" t="s">
        <v>28</v>
      </c>
      <c r="F8592" s="10" t="s">
        <v>28</v>
      </c>
      <c r="G8592" s="10">
        <v>0.08</v>
      </c>
      <c r="H8592" s="10" t="s">
        <v>28</v>
      </c>
      <c r="I8592" s="11" t="s">
        <v>28</v>
      </c>
      <c r="J8592" s="11" t="s">
        <v>28</v>
      </c>
      <c r="K8592" s="11" t="s">
        <v>28</v>
      </c>
      <c r="L8592" s="11" t="s">
        <v>28</v>
      </c>
      <c r="M8592" s="11" t="s">
        <v>28</v>
      </c>
      <c r="N8592" s="8">
        <v>42833</v>
      </c>
      <c r="O8592" s="9" t="s">
        <v>379</v>
      </c>
      <c r="P8592" s="12" t="s">
        <v>28</v>
      </c>
      <c r="Q8592" s="9" t="s">
        <v>95</v>
      </c>
      <c r="R8592" s="14" t="str">
        <f>HYPERLINK("https://my.pitchbook.com?c=125980-75T","View Company Online")</f>
        <v>View Company Online</v>
      </c>
    </row>
    <row r="8593" spans="1:18" hidden="1" x14ac:dyDescent="0.3">
      <c r="A8593" s="15" t="s">
        <v>24830</v>
      </c>
      <c r="B8593" s="15" t="s">
        <v>12812</v>
      </c>
      <c r="C8593" s="18" t="s">
        <v>28</v>
      </c>
      <c r="D8593" s="15" t="s">
        <v>12813</v>
      </c>
      <c r="E8593" s="18" t="s">
        <v>28</v>
      </c>
      <c r="F8593" s="19" t="s">
        <v>28</v>
      </c>
      <c r="G8593" s="19">
        <v>1.02</v>
      </c>
      <c r="H8593" s="19" t="s">
        <v>28</v>
      </c>
      <c r="I8593" s="18" t="s">
        <v>28</v>
      </c>
      <c r="J8593" s="18" t="s">
        <v>28</v>
      </c>
      <c r="K8593" s="18">
        <v>7.2</v>
      </c>
      <c r="L8593" s="18" t="s">
        <v>28</v>
      </c>
      <c r="M8593" s="18" t="s">
        <v>28</v>
      </c>
      <c r="N8593" s="17">
        <v>42832</v>
      </c>
      <c r="O8593" s="15" t="s">
        <v>73</v>
      </c>
      <c r="P8593" s="16" t="s">
        <v>7447</v>
      </c>
      <c r="Q8593" s="15" t="s">
        <v>419</v>
      </c>
      <c r="R8593" s="13" t="str">
        <f>HYPERLINK("https://my.pitchbook.com?c=188232-40T","View Company Online")</f>
        <v>View Company Online</v>
      </c>
    </row>
    <row r="8594" spans="1:18" hidden="1" x14ac:dyDescent="0.3">
      <c r="A8594" s="9" t="s">
        <v>24831</v>
      </c>
      <c r="B8594" s="9" t="s">
        <v>22888</v>
      </c>
      <c r="C8594" s="11" t="s">
        <v>28</v>
      </c>
      <c r="D8594" s="9" t="s">
        <v>22889</v>
      </c>
      <c r="E8594" s="11" t="s">
        <v>28</v>
      </c>
      <c r="F8594" s="10" t="s">
        <v>28</v>
      </c>
      <c r="G8594" s="10" t="s">
        <v>28</v>
      </c>
      <c r="H8594" s="10" t="s">
        <v>28</v>
      </c>
      <c r="I8594" s="11" t="s">
        <v>28</v>
      </c>
      <c r="J8594" s="11" t="s">
        <v>28</v>
      </c>
      <c r="K8594" s="11" t="s">
        <v>28</v>
      </c>
      <c r="L8594" s="11" t="s">
        <v>28</v>
      </c>
      <c r="M8594" s="11" t="s">
        <v>28</v>
      </c>
      <c r="N8594" s="8">
        <v>42831</v>
      </c>
      <c r="O8594" s="9" t="s">
        <v>379</v>
      </c>
      <c r="P8594" s="12" t="s">
        <v>24832</v>
      </c>
      <c r="Q8594" s="9" t="s">
        <v>75</v>
      </c>
      <c r="R8594" s="14" t="str">
        <f>HYPERLINK("https://my.pitchbook.com?c=110403-64T","View Company Online")</f>
        <v>View Company Online</v>
      </c>
    </row>
    <row r="8595" spans="1:18" hidden="1" x14ac:dyDescent="0.3">
      <c r="A8595" s="15" t="s">
        <v>24833</v>
      </c>
      <c r="B8595" s="15" t="s">
        <v>24834</v>
      </c>
      <c r="C8595" s="18" t="s">
        <v>28</v>
      </c>
      <c r="D8595" s="15" t="s">
        <v>24835</v>
      </c>
      <c r="E8595" s="18" t="s">
        <v>28</v>
      </c>
      <c r="F8595" s="19">
        <v>468.61</v>
      </c>
      <c r="G8595" s="19">
        <v>253</v>
      </c>
      <c r="H8595" s="19">
        <v>468.61</v>
      </c>
      <c r="I8595" s="18" t="s">
        <v>28</v>
      </c>
      <c r="J8595" s="18" t="s">
        <v>28</v>
      </c>
      <c r="K8595" s="18" t="s">
        <v>28</v>
      </c>
      <c r="L8595" s="18" t="s">
        <v>28</v>
      </c>
      <c r="M8595" s="18" t="s">
        <v>28</v>
      </c>
      <c r="N8595" s="17">
        <v>42830</v>
      </c>
      <c r="O8595" s="15" t="s">
        <v>30</v>
      </c>
      <c r="P8595" s="16" t="s">
        <v>24836</v>
      </c>
      <c r="Q8595" s="15" t="s">
        <v>1035</v>
      </c>
      <c r="R8595" s="13" t="str">
        <f>HYPERLINK("https://my.pitchbook.com?c=94993-57T","View Company Online")</f>
        <v>View Company Online</v>
      </c>
    </row>
    <row r="8596" spans="1:18" hidden="1" x14ac:dyDescent="0.3">
      <c r="A8596" s="9" t="s">
        <v>24837</v>
      </c>
      <c r="B8596" s="9" t="s">
        <v>4207</v>
      </c>
      <c r="C8596" s="11" t="s">
        <v>28</v>
      </c>
      <c r="D8596" s="9" t="s">
        <v>4208</v>
      </c>
      <c r="E8596" s="11" t="s">
        <v>28</v>
      </c>
      <c r="F8596" s="10" t="s">
        <v>28</v>
      </c>
      <c r="G8596" s="10">
        <v>0.16</v>
      </c>
      <c r="H8596" s="10" t="s">
        <v>28</v>
      </c>
      <c r="I8596" s="11" t="s">
        <v>28</v>
      </c>
      <c r="J8596" s="11" t="s">
        <v>28</v>
      </c>
      <c r="K8596" s="11" t="s">
        <v>28</v>
      </c>
      <c r="L8596" s="11" t="s">
        <v>28</v>
      </c>
      <c r="M8596" s="11" t="s">
        <v>28</v>
      </c>
      <c r="N8596" s="8">
        <v>42829</v>
      </c>
      <c r="O8596" s="9" t="s">
        <v>379</v>
      </c>
      <c r="P8596" s="12" t="s">
        <v>28</v>
      </c>
      <c r="Q8596" s="9" t="s">
        <v>43</v>
      </c>
      <c r="R8596" s="14" t="str">
        <f>HYPERLINK("https://my.pitchbook.com?c=86192-65T","View Company Online")</f>
        <v>View Company Online</v>
      </c>
    </row>
    <row r="8597" spans="1:18" hidden="1" x14ac:dyDescent="0.3">
      <c r="A8597" s="15" t="s">
        <v>24838</v>
      </c>
      <c r="B8597" s="15" t="s">
        <v>24839</v>
      </c>
      <c r="C8597" s="18" t="s">
        <v>28</v>
      </c>
      <c r="D8597" s="15" t="s">
        <v>24840</v>
      </c>
      <c r="E8597" s="18">
        <v>0.02</v>
      </c>
      <c r="F8597" s="19">
        <v>5777.78</v>
      </c>
      <c r="G8597" s="19">
        <v>5200</v>
      </c>
      <c r="H8597" s="19">
        <v>5777.78</v>
      </c>
      <c r="I8597" s="18" t="s">
        <v>28</v>
      </c>
      <c r="J8597" s="18" t="s">
        <v>28</v>
      </c>
      <c r="K8597" s="18">
        <v>0.22</v>
      </c>
      <c r="L8597" s="18">
        <v>26100.1</v>
      </c>
      <c r="M8597" s="18" t="s">
        <v>28</v>
      </c>
      <c r="N8597" s="17">
        <v>42829</v>
      </c>
      <c r="O8597" s="15" t="s">
        <v>41</v>
      </c>
      <c r="P8597" s="16" t="s">
        <v>24841</v>
      </c>
      <c r="Q8597" s="15" t="s">
        <v>1144</v>
      </c>
      <c r="R8597" s="13" t="str">
        <f>HYPERLINK("https://my.pitchbook.com?c=66949-21T","View Company Online")</f>
        <v>View Company Online</v>
      </c>
    </row>
    <row r="8598" spans="1:18" hidden="1" x14ac:dyDescent="0.3">
      <c r="A8598" s="9" t="s">
        <v>24842</v>
      </c>
      <c r="B8598" s="9" t="s">
        <v>24843</v>
      </c>
      <c r="C8598" s="11" t="s">
        <v>28</v>
      </c>
      <c r="D8598" s="9" t="s">
        <v>24844</v>
      </c>
      <c r="E8598" s="11" t="s">
        <v>28</v>
      </c>
      <c r="F8598" s="10" t="s">
        <v>28</v>
      </c>
      <c r="G8598" s="10" t="s">
        <v>28</v>
      </c>
      <c r="H8598" s="10" t="s">
        <v>28</v>
      </c>
      <c r="I8598" s="11" t="s">
        <v>28</v>
      </c>
      <c r="J8598" s="11" t="s">
        <v>28</v>
      </c>
      <c r="K8598" s="11" t="s">
        <v>28</v>
      </c>
      <c r="L8598" s="11" t="s">
        <v>28</v>
      </c>
      <c r="M8598" s="11" t="s">
        <v>28</v>
      </c>
      <c r="N8598" s="8">
        <v>42828</v>
      </c>
      <c r="O8598" s="9" t="s">
        <v>30</v>
      </c>
      <c r="P8598" s="12" t="s">
        <v>24845</v>
      </c>
      <c r="Q8598" s="9" t="s">
        <v>14060</v>
      </c>
      <c r="R8598" s="14" t="str">
        <f>HYPERLINK("https://my.pitchbook.com?c=99230-68T","View Company Online")</f>
        <v>View Company Online</v>
      </c>
    </row>
    <row r="8599" spans="1:18" hidden="1" x14ac:dyDescent="0.3">
      <c r="A8599" s="15" t="s">
        <v>24846</v>
      </c>
      <c r="B8599" s="15" t="s">
        <v>24847</v>
      </c>
      <c r="C8599" s="18" t="s">
        <v>28</v>
      </c>
      <c r="D8599" s="15" t="s">
        <v>24848</v>
      </c>
      <c r="E8599" s="18" t="s">
        <v>28</v>
      </c>
      <c r="F8599" s="19">
        <v>9.91</v>
      </c>
      <c r="G8599" s="19">
        <v>9.91</v>
      </c>
      <c r="H8599" s="19">
        <v>9.91</v>
      </c>
      <c r="I8599" s="18" t="s">
        <v>28</v>
      </c>
      <c r="J8599" s="18" t="s">
        <v>28</v>
      </c>
      <c r="K8599" s="18" t="s">
        <v>28</v>
      </c>
      <c r="L8599" s="18" t="s">
        <v>28</v>
      </c>
      <c r="M8599" s="18" t="s">
        <v>28</v>
      </c>
      <c r="N8599" s="17">
        <v>42828</v>
      </c>
      <c r="O8599" s="15" t="s">
        <v>30</v>
      </c>
      <c r="P8599" s="16" t="s">
        <v>24849</v>
      </c>
      <c r="Q8599" s="15" t="s">
        <v>245</v>
      </c>
      <c r="R8599" s="13" t="str">
        <f>HYPERLINK("https://my.pitchbook.com?c=219066-94T","View Company Online")</f>
        <v>View Company Online</v>
      </c>
    </row>
    <row r="8600" spans="1:18" hidden="1" x14ac:dyDescent="0.3">
      <c r="A8600" s="9" t="s">
        <v>24850</v>
      </c>
      <c r="B8600" s="9" t="s">
        <v>24851</v>
      </c>
      <c r="C8600" s="11" t="s">
        <v>28</v>
      </c>
      <c r="D8600" s="9" t="s">
        <v>24852</v>
      </c>
      <c r="E8600" s="11" t="s">
        <v>28</v>
      </c>
      <c r="F8600" s="10">
        <v>175.87</v>
      </c>
      <c r="G8600" s="10">
        <v>175.87</v>
      </c>
      <c r="H8600" s="10">
        <v>175.87</v>
      </c>
      <c r="I8600" s="11" t="s">
        <v>28</v>
      </c>
      <c r="J8600" s="11" t="s">
        <v>28</v>
      </c>
      <c r="K8600" s="11" t="s">
        <v>28</v>
      </c>
      <c r="L8600" s="11" t="s">
        <v>28</v>
      </c>
      <c r="M8600" s="11" t="s">
        <v>28</v>
      </c>
      <c r="N8600" s="8">
        <v>42828</v>
      </c>
      <c r="O8600" s="9" t="s">
        <v>41</v>
      </c>
      <c r="P8600" s="12" t="s">
        <v>24853</v>
      </c>
      <c r="Q8600" s="9" t="s">
        <v>900</v>
      </c>
      <c r="R8600" s="14" t="str">
        <f>HYPERLINK("https://my.pitchbook.com?c=77393-17T","View Company Online")</f>
        <v>View Company Online</v>
      </c>
    </row>
    <row r="8601" spans="1:18" hidden="1" x14ac:dyDescent="0.3">
      <c r="A8601" s="15" t="s">
        <v>24854</v>
      </c>
      <c r="B8601" s="15" t="s">
        <v>24855</v>
      </c>
      <c r="C8601" s="18" t="s">
        <v>28</v>
      </c>
      <c r="D8601" s="15" t="s">
        <v>24856</v>
      </c>
      <c r="E8601" s="18" t="s">
        <v>28</v>
      </c>
      <c r="F8601" s="19" t="s">
        <v>28</v>
      </c>
      <c r="G8601" s="19" t="s">
        <v>28</v>
      </c>
      <c r="H8601" s="19" t="s">
        <v>28</v>
      </c>
      <c r="I8601" s="18" t="s">
        <v>28</v>
      </c>
      <c r="J8601" s="18" t="s">
        <v>28</v>
      </c>
      <c r="K8601" s="18" t="s">
        <v>28</v>
      </c>
      <c r="L8601" s="18" t="s">
        <v>28</v>
      </c>
      <c r="M8601" s="18" t="s">
        <v>28</v>
      </c>
      <c r="N8601" s="17">
        <v>42826</v>
      </c>
      <c r="O8601" s="15" t="s">
        <v>73</v>
      </c>
      <c r="P8601" s="16" t="s">
        <v>611</v>
      </c>
      <c r="Q8601" s="15" t="s">
        <v>5132</v>
      </c>
      <c r="R8601" s="13" t="str">
        <f>HYPERLINK("https://my.pitchbook.com?c=196158-88T","View Company Online")</f>
        <v>View Company Online</v>
      </c>
    </row>
    <row r="8602" spans="1:18" hidden="1" x14ac:dyDescent="0.3">
      <c r="A8602" s="9" t="s">
        <v>24857</v>
      </c>
      <c r="B8602" s="9" t="s">
        <v>24858</v>
      </c>
      <c r="C8602" s="11" t="s">
        <v>28</v>
      </c>
      <c r="D8602" s="9" t="s">
        <v>24859</v>
      </c>
      <c r="E8602" s="11" t="s">
        <v>28</v>
      </c>
      <c r="F8602" s="10" t="s">
        <v>28</v>
      </c>
      <c r="G8602" s="10" t="s">
        <v>28</v>
      </c>
      <c r="H8602" s="10" t="s">
        <v>28</v>
      </c>
      <c r="I8602" s="11" t="s">
        <v>28</v>
      </c>
      <c r="J8602" s="11" t="s">
        <v>28</v>
      </c>
      <c r="K8602" s="11" t="s">
        <v>28</v>
      </c>
      <c r="L8602" s="11" t="s">
        <v>28</v>
      </c>
      <c r="M8602" s="11" t="s">
        <v>28</v>
      </c>
      <c r="N8602" s="8">
        <v>42826</v>
      </c>
      <c r="O8602" s="9" t="s">
        <v>30</v>
      </c>
      <c r="P8602" s="12" t="s">
        <v>24860</v>
      </c>
      <c r="Q8602" s="9" t="s">
        <v>226</v>
      </c>
      <c r="R8602" s="14" t="str">
        <f>HYPERLINK("https://my.pitchbook.com?c=171937-36T","View Company Online")</f>
        <v>View Company Online</v>
      </c>
    </row>
    <row r="8603" spans="1:18" hidden="1" x14ac:dyDescent="0.3">
      <c r="A8603" s="15" t="s">
        <v>24861</v>
      </c>
      <c r="B8603" s="15" t="s">
        <v>20686</v>
      </c>
      <c r="C8603" s="18" t="s">
        <v>28</v>
      </c>
      <c r="D8603" s="15" t="s">
        <v>20687</v>
      </c>
      <c r="E8603" s="18" t="s">
        <v>28</v>
      </c>
      <c r="F8603" s="19" t="s">
        <v>28</v>
      </c>
      <c r="G8603" s="19">
        <v>0.04</v>
      </c>
      <c r="H8603" s="19" t="s">
        <v>28</v>
      </c>
      <c r="I8603" s="18" t="s">
        <v>28</v>
      </c>
      <c r="J8603" s="18" t="s">
        <v>28</v>
      </c>
      <c r="K8603" s="18" t="s">
        <v>28</v>
      </c>
      <c r="L8603" s="18" t="s">
        <v>28</v>
      </c>
      <c r="M8603" s="18" t="s">
        <v>28</v>
      </c>
      <c r="N8603" s="17">
        <v>42826</v>
      </c>
      <c r="O8603" s="15" t="s">
        <v>379</v>
      </c>
      <c r="P8603" s="16" t="s">
        <v>28</v>
      </c>
      <c r="Q8603" s="15" t="s">
        <v>1643</v>
      </c>
      <c r="R8603" s="13" t="str">
        <f>HYPERLINK("https://my.pitchbook.com?c=137269-63T","View Company Online")</f>
        <v>View Company Online</v>
      </c>
    </row>
    <row r="8604" spans="1:18" hidden="1" x14ac:dyDescent="0.3">
      <c r="A8604" s="9" t="s">
        <v>24862</v>
      </c>
      <c r="B8604" s="9" t="s">
        <v>20189</v>
      </c>
      <c r="C8604" s="11" t="s">
        <v>28</v>
      </c>
      <c r="D8604" s="9" t="s">
        <v>20190</v>
      </c>
      <c r="E8604" s="11" t="s">
        <v>28</v>
      </c>
      <c r="F8604" s="10" t="s">
        <v>28</v>
      </c>
      <c r="G8604" s="10" t="s">
        <v>28</v>
      </c>
      <c r="H8604" s="10" t="s">
        <v>28</v>
      </c>
      <c r="I8604" s="11" t="s">
        <v>28</v>
      </c>
      <c r="J8604" s="11" t="s">
        <v>28</v>
      </c>
      <c r="K8604" s="11" t="s">
        <v>28</v>
      </c>
      <c r="L8604" s="11" t="s">
        <v>28</v>
      </c>
      <c r="M8604" s="11" t="s">
        <v>28</v>
      </c>
      <c r="N8604" s="8">
        <v>42826</v>
      </c>
      <c r="O8604" s="9" t="s">
        <v>47</v>
      </c>
      <c r="P8604" s="12" t="s">
        <v>13703</v>
      </c>
      <c r="Q8604" s="9" t="s">
        <v>8669</v>
      </c>
      <c r="R8604" s="14" t="str">
        <f>HYPERLINK("https://my.pitchbook.com?c=124886-44T","View Company Online")</f>
        <v>View Company Online</v>
      </c>
    </row>
    <row r="8605" spans="1:18" hidden="1" x14ac:dyDescent="0.3">
      <c r="A8605" s="15" t="s">
        <v>24863</v>
      </c>
      <c r="B8605" s="15" t="s">
        <v>1553</v>
      </c>
      <c r="C8605" s="18" t="s">
        <v>28</v>
      </c>
      <c r="D8605" s="15" t="s">
        <v>1554</v>
      </c>
      <c r="E8605" s="18" t="s">
        <v>28</v>
      </c>
      <c r="F8605" s="19" t="s">
        <v>28</v>
      </c>
      <c r="G8605" s="19">
        <v>0.16</v>
      </c>
      <c r="H8605" s="19" t="s">
        <v>28</v>
      </c>
      <c r="I8605" s="18" t="s">
        <v>28</v>
      </c>
      <c r="J8605" s="18" t="s">
        <v>28</v>
      </c>
      <c r="K8605" s="18" t="s">
        <v>28</v>
      </c>
      <c r="L8605" s="18" t="s">
        <v>28</v>
      </c>
      <c r="M8605" s="18" t="s">
        <v>28</v>
      </c>
      <c r="N8605" s="17">
        <v>42826</v>
      </c>
      <c r="O8605" s="15" t="s">
        <v>379</v>
      </c>
      <c r="P8605" s="16" t="s">
        <v>28</v>
      </c>
      <c r="Q8605" s="15" t="s">
        <v>43</v>
      </c>
      <c r="R8605" s="13" t="str">
        <f>HYPERLINK("https://my.pitchbook.com?c=115629-31T","View Company Online")</f>
        <v>View Company Online</v>
      </c>
    </row>
    <row r="8606" spans="1:18" hidden="1" x14ac:dyDescent="0.3">
      <c r="A8606" s="9" t="s">
        <v>24864</v>
      </c>
      <c r="B8606" s="9" t="s">
        <v>22224</v>
      </c>
      <c r="C8606" s="11" t="s">
        <v>28</v>
      </c>
      <c r="D8606" s="9" t="s">
        <v>22225</v>
      </c>
      <c r="E8606" s="11" t="s">
        <v>28</v>
      </c>
      <c r="F8606" s="10" t="s">
        <v>28</v>
      </c>
      <c r="G8606" s="10" t="s">
        <v>28</v>
      </c>
      <c r="H8606" s="10" t="s">
        <v>28</v>
      </c>
      <c r="I8606" s="11" t="s">
        <v>28</v>
      </c>
      <c r="J8606" s="11" t="s">
        <v>28</v>
      </c>
      <c r="K8606" s="11" t="s">
        <v>28</v>
      </c>
      <c r="L8606" s="11" t="s">
        <v>28</v>
      </c>
      <c r="M8606" s="11" t="s">
        <v>28</v>
      </c>
      <c r="N8606" s="8">
        <v>42826</v>
      </c>
      <c r="O8606" s="9" t="s">
        <v>99</v>
      </c>
      <c r="P8606" s="12" t="s">
        <v>611</v>
      </c>
      <c r="Q8606" s="9" t="s">
        <v>2916</v>
      </c>
      <c r="R8606" s="14" t="str">
        <f>HYPERLINK("https://my.pitchbook.com?c=120001-87T","View Company Online")</f>
        <v>View Company Online</v>
      </c>
    </row>
    <row r="8607" spans="1:18" hidden="1" x14ac:dyDescent="0.3">
      <c r="A8607" s="15" t="s">
        <v>24865</v>
      </c>
      <c r="B8607" s="15" t="s">
        <v>24866</v>
      </c>
      <c r="C8607" s="18" t="s">
        <v>28</v>
      </c>
      <c r="D8607" s="15" t="s">
        <v>24867</v>
      </c>
      <c r="E8607" s="18" t="s">
        <v>28</v>
      </c>
      <c r="F8607" s="19">
        <v>1300</v>
      </c>
      <c r="G8607" s="19">
        <v>1300</v>
      </c>
      <c r="H8607" s="19">
        <v>1300</v>
      </c>
      <c r="I8607" s="18" t="s">
        <v>28</v>
      </c>
      <c r="J8607" s="18" t="s">
        <v>28</v>
      </c>
      <c r="K8607" s="18" t="s">
        <v>28</v>
      </c>
      <c r="L8607" s="18" t="s">
        <v>28</v>
      </c>
      <c r="M8607" s="18" t="s">
        <v>28</v>
      </c>
      <c r="N8607" s="17">
        <v>42826</v>
      </c>
      <c r="O8607" s="15" t="s">
        <v>30</v>
      </c>
      <c r="P8607" s="16" t="s">
        <v>24868</v>
      </c>
      <c r="Q8607" s="15" t="s">
        <v>4901</v>
      </c>
      <c r="R8607" s="13" t="str">
        <f>HYPERLINK("https://my.pitchbook.com?c=99453-34T","View Company Online")</f>
        <v>View Company Online</v>
      </c>
    </row>
    <row r="8608" spans="1:18" hidden="1" x14ac:dyDescent="0.3">
      <c r="A8608" s="9" t="s">
        <v>24869</v>
      </c>
      <c r="B8608" s="9" t="s">
        <v>20908</v>
      </c>
      <c r="C8608" s="11" t="s">
        <v>28</v>
      </c>
      <c r="D8608" s="9" t="s">
        <v>20909</v>
      </c>
      <c r="E8608" s="11" t="s">
        <v>28</v>
      </c>
      <c r="F8608" s="10" t="s">
        <v>28</v>
      </c>
      <c r="G8608" s="10" t="s">
        <v>28</v>
      </c>
      <c r="H8608" s="10" t="s">
        <v>28</v>
      </c>
      <c r="I8608" s="11" t="s">
        <v>28</v>
      </c>
      <c r="J8608" s="11" t="s">
        <v>28</v>
      </c>
      <c r="K8608" s="11" t="s">
        <v>28</v>
      </c>
      <c r="L8608" s="11" t="s">
        <v>28</v>
      </c>
      <c r="M8608" s="11" t="s">
        <v>28</v>
      </c>
      <c r="N8608" s="8">
        <v>42826</v>
      </c>
      <c r="O8608" s="9" t="s">
        <v>52</v>
      </c>
      <c r="P8608" s="12" t="s">
        <v>1880</v>
      </c>
      <c r="Q8608" s="9" t="s">
        <v>249</v>
      </c>
      <c r="R8608" s="14" t="str">
        <f>HYPERLINK("https://my.pitchbook.com?c=256456-63T","View Company Online")</f>
        <v>View Company Online</v>
      </c>
    </row>
    <row r="8609" spans="1:18" hidden="1" x14ac:dyDescent="0.3">
      <c r="A8609" s="15" t="s">
        <v>24870</v>
      </c>
      <c r="B8609" s="15" t="s">
        <v>7491</v>
      </c>
      <c r="C8609" s="18" t="s">
        <v>28</v>
      </c>
      <c r="D8609" s="15" t="s">
        <v>7492</v>
      </c>
      <c r="E8609" s="18" t="s">
        <v>28</v>
      </c>
      <c r="F8609" s="19" t="s">
        <v>28</v>
      </c>
      <c r="G8609" s="19" t="s">
        <v>28</v>
      </c>
      <c r="H8609" s="19" t="s">
        <v>28</v>
      </c>
      <c r="I8609" s="18" t="s">
        <v>28</v>
      </c>
      <c r="J8609" s="18" t="s">
        <v>28</v>
      </c>
      <c r="K8609" s="18" t="s">
        <v>28</v>
      </c>
      <c r="L8609" s="18" t="s">
        <v>28</v>
      </c>
      <c r="M8609" s="18" t="s">
        <v>28</v>
      </c>
      <c r="N8609" s="17">
        <v>42826</v>
      </c>
      <c r="O8609" s="15" t="s">
        <v>79</v>
      </c>
      <c r="P8609" s="16" t="s">
        <v>24871</v>
      </c>
      <c r="Q8609" s="15" t="s">
        <v>75</v>
      </c>
      <c r="R8609" s="13" t="str">
        <f>HYPERLINK("https://my.pitchbook.com?c=125962-39T","View Company Online")</f>
        <v>View Company Online</v>
      </c>
    </row>
    <row r="8610" spans="1:18" hidden="1" x14ac:dyDescent="0.3">
      <c r="A8610" s="9" t="s">
        <v>24872</v>
      </c>
      <c r="B8610" s="9" t="s">
        <v>18751</v>
      </c>
      <c r="C8610" s="11" t="s">
        <v>28</v>
      </c>
      <c r="D8610" s="9" t="s">
        <v>18752</v>
      </c>
      <c r="E8610" s="11" t="s">
        <v>28</v>
      </c>
      <c r="F8610" s="10" t="s">
        <v>28</v>
      </c>
      <c r="G8610" s="10" t="s">
        <v>28</v>
      </c>
      <c r="H8610" s="10" t="s">
        <v>28</v>
      </c>
      <c r="I8610" s="11" t="s">
        <v>28</v>
      </c>
      <c r="J8610" s="11" t="s">
        <v>28</v>
      </c>
      <c r="K8610" s="11" t="s">
        <v>28</v>
      </c>
      <c r="L8610" s="11" t="s">
        <v>28</v>
      </c>
      <c r="M8610" s="11" t="s">
        <v>28</v>
      </c>
      <c r="N8610" s="8">
        <v>42826</v>
      </c>
      <c r="O8610" s="9" t="s">
        <v>52</v>
      </c>
      <c r="P8610" s="12" t="s">
        <v>21790</v>
      </c>
      <c r="Q8610" s="9" t="s">
        <v>4773</v>
      </c>
      <c r="R8610" s="14" t="str">
        <f>HYPERLINK("https://my.pitchbook.com?c=110574-91T","View Company Online")</f>
        <v>View Company Online</v>
      </c>
    </row>
    <row r="8611" spans="1:18" hidden="1" x14ac:dyDescent="0.3">
      <c r="A8611" s="15" t="s">
        <v>24873</v>
      </c>
      <c r="B8611" s="15" t="s">
        <v>24874</v>
      </c>
      <c r="C8611" s="18" t="s">
        <v>28</v>
      </c>
      <c r="D8611" s="15" t="s">
        <v>24875</v>
      </c>
      <c r="E8611" s="18" t="s">
        <v>28</v>
      </c>
      <c r="F8611" s="19" t="s">
        <v>28</v>
      </c>
      <c r="G8611" s="19" t="s">
        <v>28</v>
      </c>
      <c r="H8611" s="19" t="s">
        <v>28</v>
      </c>
      <c r="I8611" s="18" t="s">
        <v>28</v>
      </c>
      <c r="J8611" s="18" t="s">
        <v>28</v>
      </c>
      <c r="K8611" s="18" t="s">
        <v>28</v>
      </c>
      <c r="L8611" s="18" t="s">
        <v>28</v>
      </c>
      <c r="M8611" s="18" t="s">
        <v>28</v>
      </c>
      <c r="N8611" s="17">
        <v>42826</v>
      </c>
      <c r="O8611" s="15" t="s">
        <v>30</v>
      </c>
      <c r="P8611" s="16" t="s">
        <v>24876</v>
      </c>
      <c r="Q8611" s="15" t="s">
        <v>348</v>
      </c>
      <c r="R8611" s="13" t="str">
        <f>HYPERLINK("https://my.pitchbook.com?c=281130-67T","View Company Online")</f>
        <v>View Company Online</v>
      </c>
    </row>
    <row r="8612" spans="1:18" hidden="1" x14ac:dyDescent="0.3">
      <c r="A8612" s="9" t="s">
        <v>24877</v>
      </c>
      <c r="B8612" s="9" t="s">
        <v>24878</v>
      </c>
      <c r="C8612" s="11" t="s">
        <v>28</v>
      </c>
      <c r="D8612" s="9" t="s">
        <v>24879</v>
      </c>
      <c r="E8612" s="11" t="s">
        <v>28</v>
      </c>
      <c r="F8612" s="10">
        <v>227.37</v>
      </c>
      <c r="G8612" s="10">
        <v>227.37</v>
      </c>
      <c r="H8612" s="10">
        <v>227.37</v>
      </c>
      <c r="I8612" s="11" t="s">
        <v>28</v>
      </c>
      <c r="J8612" s="11" t="s">
        <v>28</v>
      </c>
      <c r="K8612" s="11" t="s">
        <v>28</v>
      </c>
      <c r="L8612" s="11" t="s">
        <v>28</v>
      </c>
      <c r="M8612" s="11" t="s">
        <v>28</v>
      </c>
      <c r="N8612" s="8">
        <v>42825</v>
      </c>
      <c r="O8612" s="9" t="s">
        <v>41</v>
      </c>
      <c r="P8612" s="12" t="s">
        <v>24880</v>
      </c>
      <c r="Q8612" s="9" t="s">
        <v>1361</v>
      </c>
      <c r="R8612" s="14" t="str">
        <f>HYPERLINK("https://my.pitchbook.com?c=79116-22T","View Company Online")</f>
        <v>View Company Online</v>
      </c>
    </row>
    <row r="8613" spans="1:18" hidden="1" x14ac:dyDescent="0.3">
      <c r="A8613" s="15" t="s">
        <v>24881</v>
      </c>
      <c r="B8613" s="15" t="s">
        <v>18654</v>
      </c>
      <c r="C8613" s="18" t="s">
        <v>28</v>
      </c>
      <c r="D8613" s="15" t="s">
        <v>18655</v>
      </c>
      <c r="E8613" s="18" t="s">
        <v>28</v>
      </c>
      <c r="F8613" s="19" t="s">
        <v>28</v>
      </c>
      <c r="G8613" s="19">
        <v>1.92</v>
      </c>
      <c r="H8613" s="19" t="s">
        <v>28</v>
      </c>
      <c r="I8613" s="18" t="s">
        <v>28</v>
      </c>
      <c r="J8613" s="18" t="s">
        <v>28</v>
      </c>
      <c r="K8613" s="18" t="s">
        <v>28</v>
      </c>
      <c r="L8613" s="18" t="s">
        <v>28</v>
      </c>
      <c r="M8613" s="18" t="s">
        <v>28</v>
      </c>
      <c r="N8613" s="17">
        <v>42825</v>
      </c>
      <c r="O8613" s="15" t="s">
        <v>79</v>
      </c>
      <c r="P8613" s="16" t="s">
        <v>24882</v>
      </c>
      <c r="Q8613" s="15" t="s">
        <v>75</v>
      </c>
      <c r="R8613" s="13" t="str">
        <f>HYPERLINK("https://my.pitchbook.com?c=105700-33T","View Company Online")</f>
        <v>View Company Online</v>
      </c>
    </row>
    <row r="8614" spans="1:18" hidden="1" x14ac:dyDescent="0.3">
      <c r="A8614" s="9" t="s">
        <v>24883</v>
      </c>
      <c r="B8614" s="9" t="s">
        <v>9036</v>
      </c>
      <c r="C8614" s="11" t="s">
        <v>28</v>
      </c>
      <c r="D8614" s="9" t="s">
        <v>9037</v>
      </c>
      <c r="E8614" s="11" t="s">
        <v>28</v>
      </c>
      <c r="F8614" s="10" t="s">
        <v>28</v>
      </c>
      <c r="G8614" s="10">
        <v>0.64</v>
      </c>
      <c r="H8614" s="10" t="s">
        <v>28</v>
      </c>
      <c r="I8614" s="11" t="s">
        <v>28</v>
      </c>
      <c r="J8614" s="11" t="s">
        <v>28</v>
      </c>
      <c r="K8614" s="11" t="s">
        <v>28</v>
      </c>
      <c r="L8614" s="11" t="s">
        <v>28</v>
      </c>
      <c r="M8614" s="11" t="s">
        <v>28</v>
      </c>
      <c r="N8614" s="8">
        <v>42825</v>
      </c>
      <c r="O8614" s="9" t="s">
        <v>79</v>
      </c>
      <c r="P8614" s="12" t="s">
        <v>11495</v>
      </c>
      <c r="Q8614" s="9" t="s">
        <v>75</v>
      </c>
      <c r="R8614" s="14" t="str">
        <f>HYPERLINK("https://my.pitchbook.com?c=92676-70T","View Company Online")</f>
        <v>View Company Online</v>
      </c>
    </row>
    <row r="8615" spans="1:18" hidden="1" x14ac:dyDescent="0.3">
      <c r="A8615" s="15" t="s">
        <v>24884</v>
      </c>
      <c r="B8615" s="15" t="s">
        <v>24885</v>
      </c>
      <c r="C8615" s="18" t="s">
        <v>28</v>
      </c>
      <c r="D8615" s="15" t="s">
        <v>24886</v>
      </c>
      <c r="E8615" s="18" t="s">
        <v>28</v>
      </c>
      <c r="F8615" s="19">
        <v>200</v>
      </c>
      <c r="G8615" s="19">
        <v>200</v>
      </c>
      <c r="H8615" s="19">
        <v>200</v>
      </c>
      <c r="I8615" s="18" t="s">
        <v>28</v>
      </c>
      <c r="J8615" s="18" t="s">
        <v>28</v>
      </c>
      <c r="K8615" s="18" t="s">
        <v>28</v>
      </c>
      <c r="L8615" s="18" t="s">
        <v>28</v>
      </c>
      <c r="M8615" s="18" t="s">
        <v>28</v>
      </c>
      <c r="N8615" s="17">
        <v>42825</v>
      </c>
      <c r="O8615" s="15" t="s">
        <v>30</v>
      </c>
      <c r="P8615" s="16" t="s">
        <v>24887</v>
      </c>
      <c r="Q8615" s="15" t="s">
        <v>1088</v>
      </c>
      <c r="R8615" s="13" t="str">
        <f>HYPERLINK("https://my.pitchbook.com?c=85780-90T","View Company Online")</f>
        <v>View Company Online</v>
      </c>
    </row>
    <row r="8616" spans="1:18" hidden="1" x14ac:dyDescent="0.3">
      <c r="A8616" s="9" t="s">
        <v>24888</v>
      </c>
      <c r="B8616" s="9" t="s">
        <v>24219</v>
      </c>
      <c r="C8616" s="11" t="s">
        <v>28</v>
      </c>
      <c r="D8616" s="9" t="s">
        <v>24220</v>
      </c>
      <c r="E8616" s="11" t="s">
        <v>28</v>
      </c>
      <c r="F8616" s="10" t="s">
        <v>28</v>
      </c>
      <c r="G8616" s="10">
        <v>148.4</v>
      </c>
      <c r="H8616" s="10" t="s">
        <v>28</v>
      </c>
      <c r="I8616" s="11" t="s">
        <v>28</v>
      </c>
      <c r="J8616" s="11" t="s">
        <v>28</v>
      </c>
      <c r="K8616" s="11" t="s">
        <v>28</v>
      </c>
      <c r="L8616" s="11" t="s">
        <v>28</v>
      </c>
      <c r="M8616" s="11" t="s">
        <v>28</v>
      </c>
      <c r="N8616" s="8">
        <v>42825</v>
      </c>
      <c r="O8616" s="9" t="s">
        <v>93</v>
      </c>
      <c r="P8616" s="12" t="s">
        <v>24889</v>
      </c>
      <c r="Q8616" s="9" t="s">
        <v>299</v>
      </c>
      <c r="R8616" s="14" t="str">
        <f>HYPERLINK("https://my.pitchbook.com?c=98569-54T","View Company Online")</f>
        <v>View Company Online</v>
      </c>
    </row>
    <row r="8617" spans="1:18" x14ac:dyDescent="0.3">
      <c r="A8617" s="15" t="s">
        <v>24890</v>
      </c>
      <c r="B8617" s="15" t="s">
        <v>24891</v>
      </c>
      <c r="C8617" s="18">
        <v>11.52</v>
      </c>
      <c r="D8617" s="15" t="s">
        <v>24892</v>
      </c>
      <c r="E8617" s="18">
        <v>269.89999999999998</v>
      </c>
      <c r="F8617" s="19">
        <v>3459.42</v>
      </c>
      <c r="G8617" s="19">
        <v>3839.15</v>
      </c>
      <c r="H8617" s="19">
        <v>3839.15</v>
      </c>
      <c r="I8617" s="18">
        <v>300.33999999999997</v>
      </c>
      <c r="J8617" s="18">
        <v>12.78</v>
      </c>
      <c r="K8617" s="18">
        <v>370.49</v>
      </c>
      <c r="L8617" s="18">
        <v>10.36</v>
      </c>
      <c r="M8617" s="18">
        <v>164.86</v>
      </c>
      <c r="N8617" s="17">
        <v>42823</v>
      </c>
      <c r="O8617" s="15" t="s">
        <v>30</v>
      </c>
      <c r="P8617" s="16" t="s">
        <v>24893</v>
      </c>
      <c r="Q8617" s="15" t="s">
        <v>832</v>
      </c>
      <c r="R8617" s="13" t="str">
        <f>HYPERLINK("https://my.pitchbook.com?c=62695-00T","View Company Online")</f>
        <v>View Company Online</v>
      </c>
    </row>
    <row r="8618" spans="1:18" hidden="1" x14ac:dyDescent="0.3">
      <c r="A8618" s="9" t="s">
        <v>24894</v>
      </c>
      <c r="B8618" s="9" t="s">
        <v>18751</v>
      </c>
      <c r="C8618" s="11" t="s">
        <v>28</v>
      </c>
      <c r="D8618" s="9" t="s">
        <v>18752</v>
      </c>
      <c r="E8618" s="11" t="s">
        <v>28</v>
      </c>
      <c r="F8618" s="10" t="s">
        <v>28</v>
      </c>
      <c r="G8618" s="10" t="s">
        <v>28</v>
      </c>
      <c r="H8618" s="10" t="s">
        <v>28</v>
      </c>
      <c r="I8618" s="11" t="s">
        <v>28</v>
      </c>
      <c r="J8618" s="11" t="s">
        <v>28</v>
      </c>
      <c r="K8618" s="11" t="s">
        <v>28</v>
      </c>
      <c r="L8618" s="11" t="s">
        <v>28</v>
      </c>
      <c r="M8618" s="11" t="s">
        <v>28</v>
      </c>
      <c r="N8618" s="8">
        <v>42822</v>
      </c>
      <c r="O8618" s="9" t="s">
        <v>30</v>
      </c>
      <c r="P8618" s="12" t="s">
        <v>28</v>
      </c>
      <c r="Q8618" s="9" t="s">
        <v>4773</v>
      </c>
      <c r="R8618" s="14" t="str">
        <f>HYPERLINK("https://my.pitchbook.com?c=110575-99T","View Company Online")</f>
        <v>View Company Online</v>
      </c>
    </row>
    <row r="8619" spans="1:18" hidden="1" x14ac:dyDescent="0.3">
      <c r="A8619" s="15" t="s">
        <v>24895</v>
      </c>
      <c r="B8619" s="15" t="s">
        <v>18479</v>
      </c>
      <c r="C8619" s="18" t="s">
        <v>28</v>
      </c>
      <c r="D8619" s="15" t="s">
        <v>18480</v>
      </c>
      <c r="E8619" s="18" t="s">
        <v>28</v>
      </c>
      <c r="F8619" s="19" t="s">
        <v>28</v>
      </c>
      <c r="G8619" s="19">
        <v>0.96</v>
      </c>
      <c r="H8619" s="19" t="s">
        <v>28</v>
      </c>
      <c r="I8619" s="18" t="s">
        <v>28</v>
      </c>
      <c r="J8619" s="18" t="s">
        <v>28</v>
      </c>
      <c r="K8619" s="18" t="s">
        <v>28</v>
      </c>
      <c r="L8619" s="18" t="s">
        <v>28</v>
      </c>
      <c r="M8619" s="18" t="s">
        <v>28</v>
      </c>
      <c r="N8619" s="17">
        <v>42822</v>
      </c>
      <c r="O8619" s="15" t="s">
        <v>73</v>
      </c>
      <c r="P8619" s="16" t="s">
        <v>11495</v>
      </c>
      <c r="Q8619" s="15" t="s">
        <v>75</v>
      </c>
      <c r="R8619" s="13" t="str">
        <f>HYPERLINK("https://my.pitchbook.com?c=140859-46T","View Company Online")</f>
        <v>View Company Online</v>
      </c>
    </row>
    <row r="8620" spans="1:18" hidden="1" x14ac:dyDescent="0.3">
      <c r="A8620" s="9" t="s">
        <v>24896</v>
      </c>
      <c r="B8620" s="9" t="s">
        <v>20111</v>
      </c>
      <c r="C8620" s="11" t="s">
        <v>28</v>
      </c>
      <c r="D8620" s="9" t="s">
        <v>20112</v>
      </c>
      <c r="E8620" s="11" t="s">
        <v>28</v>
      </c>
      <c r="F8620" s="10" t="s">
        <v>28</v>
      </c>
      <c r="G8620" s="10" t="s">
        <v>28</v>
      </c>
      <c r="H8620" s="10" t="s">
        <v>28</v>
      </c>
      <c r="I8620" s="11" t="s">
        <v>28</v>
      </c>
      <c r="J8620" s="11" t="s">
        <v>28</v>
      </c>
      <c r="K8620" s="11" t="s">
        <v>28</v>
      </c>
      <c r="L8620" s="11" t="s">
        <v>28</v>
      </c>
      <c r="M8620" s="11" t="s">
        <v>28</v>
      </c>
      <c r="N8620" s="8">
        <v>42821</v>
      </c>
      <c r="O8620" s="9" t="s">
        <v>73</v>
      </c>
      <c r="P8620" s="12" t="s">
        <v>24897</v>
      </c>
      <c r="Q8620" s="9" t="s">
        <v>75</v>
      </c>
      <c r="R8620" s="14" t="str">
        <f>HYPERLINK("https://my.pitchbook.com?c=111449-17T","View Company Online")</f>
        <v>View Company Online</v>
      </c>
    </row>
    <row r="8621" spans="1:18" hidden="1" x14ac:dyDescent="0.3">
      <c r="A8621" s="15" t="s">
        <v>24898</v>
      </c>
      <c r="B8621" s="15" t="s">
        <v>4699</v>
      </c>
      <c r="C8621" s="18" t="s">
        <v>28</v>
      </c>
      <c r="D8621" s="15" t="s">
        <v>4700</v>
      </c>
      <c r="E8621" s="18" t="s">
        <v>28</v>
      </c>
      <c r="F8621" s="19" t="s">
        <v>28</v>
      </c>
      <c r="G8621" s="19" t="s">
        <v>28</v>
      </c>
      <c r="H8621" s="19" t="s">
        <v>28</v>
      </c>
      <c r="I8621" s="18" t="s">
        <v>28</v>
      </c>
      <c r="J8621" s="18" t="s">
        <v>28</v>
      </c>
      <c r="K8621" s="18" t="s">
        <v>28</v>
      </c>
      <c r="L8621" s="18" t="s">
        <v>28</v>
      </c>
      <c r="M8621" s="18" t="s">
        <v>28</v>
      </c>
      <c r="N8621" s="17">
        <v>42818</v>
      </c>
      <c r="O8621" s="15" t="s">
        <v>93</v>
      </c>
      <c r="P8621" s="16" t="s">
        <v>24899</v>
      </c>
      <c r="Q8621" s="15" t="s">
        <v>75</v>
      </c>
      <c r="R8621" s="13" t="str">
        <f>HYPERLINK("https://my.pitchbook.com?c=117960-22T","View Company Online")</f>
        <v>View Company Online</v>
      </c>
    </row>
    <row r="8622" spans="1:18" hidden="1" x14ac:dyDescent="0.3">
      <c r="A8622" s="9" t="s">
        <v>24900</v>
      </c>
      <c r="B8622" s="9" t="s">
        <v>22152</v>
      </c>
      <c r="C8622" s="11" t="s">
        <v>28</v>
      </c>
      <c r="D8622" s="9" t="s">
        <v>22153</v>
      </c>
      <c r="E8622" s="11" t="s">
        <v>28</v>
      </c>
      <c r="F8622" s="10" t="s">
        <v>28</v>
      </c>
      <c r="G8622" s="10" t="s">
        <v>28</v>
      </c>
      <c r="H8622" s="10" t="s">
        <v>28</v>
      </c>
      <c r="I8622" s="11" t="s">
        <v>28</v>
      </c>
      <c r="J8622" s="11" t="s">
        <v>28</v>
      </c>
      <c r="K8622" s="11" t="s">
        <v>28</v>
      </c>
      <c r="L8622" s="11" t="s">
        <v>28</v>
      </c>
      <c r="M8622" s="11" t="s">
        <v>28</v>
      </c>
      <c r="N8622" s="8">
        <v>42818</v>
      </c>
      <c r="O8622" s="9" t="s">
        <v>52</v>
      </c>
      <c r="P8622" s="12" t="s">
        <v>24901</v>
      </c>
      <c r="Q8622" s="9" t="s">
        <v>37</v>
      </c>
      <c r="R8622" s="14" t="str">
        <f>HYPERLINK("https://my.pitchbook.com?c=98752-06T","View Company Online")</f>
        <v>View Company Online</v>
      </c>
    </row>
    <row r="8623" spans="1:18" hidden="1" x14ac:dyDescent="0.3">
      <c r="A8623" s="15" t="s">
        <v>24902</v>
      </c>
      <c r="B8623" s="15" t="s">
        <v>24903</v>
      </c>
      <c r="C8623" s="18" t="s">
        <v>28</v>
      </c>
      <c r="D8623" s="15" t="s">
        <v>24904</v>
      </c>
      <c r="E8623" s="18" t="s">
        <v>28</v>
      </c>
      <c r="F8623" s="19">
        <v>400</v>
      </c>
      <c r="G8623" s="19">
        <v>400</v>
      </c>
      <c r="H8623" s="19">
        <v>400</v>
      </c>
      <c r="I8623" s="18" t="s">
        <v>28</v>
      </c>
      <c r="J8623" s="18" t="s">
        <v>28</v>
      </c>
      <c r="K8623" s="18" t="s">
        <v>28</v>
      </c>
      <c r="L8623" s="18" t="s">
        <v>28</v>
      </c>
      <c r="M8623" s="18" t="s">
        <v>28</v>
      </c>
      <c r="N8623" s="17">
        <v>42816</v>
      </c>
      <c r="O8623" s="15" t="s">
        <v>30</v>
      </c>
      <c r="P8623" s="16" t="s">
        <v>28</v>
      </c>
      <c r="Q8623" s="15" t="s">
        <v>616</v>
      </c>
      <c r="R8623" s="13" t="str">
        <f>HYPERLINK("https://my.pitchbook.com?c=92056-87T","View Company Online")</f>
        <v>View Company Online</v>
      </c>
    </row>
    <row r="8624" spans="1:18" x14ac:dyDescent="0.3">
      <c r="A8624" s="9" t="s">
        <v>24905</v>
      </c>
      <c r="B8624" s="9" t="s">
        <v>24906</v>
      </c>
      <c r="C8624" s="11">
        <v>19.97</v>
      </c>
      <c r="D8624" s="9" t="s">
        <v>24907</v>
      </c>
      <c r="E8624" s="11" t="s">
        <v>28</v>
      </c>
      <c r="F8624" s="10">
        <v>71.400000000000006</v>
      </c>
      <c r="G8624" s="10">
        <v>56.41</v>
      </c>
      <c r="H8624" s="10">
        <v>71.400000000000006</v>
      </c>
      <c r="I8624" s="11">
        <v>3.58</v>
      </c>
      <c r="J8624" s="11">
        <v>19.97</v>
      </c>
      <c r="K8624" s="11" t="s">
        <v>28</v>
      </c>
      <c r="L8624" s="11" t="s">
        <v>28</v>
      </c>
      <c r="M8624" s="11">
        <v>9.4700000000000006</v>
      </c>
      <c r="N8624" s="8">
        <v>42814</v>
      </c>
      <c r="O8624" s="9" t="s">
        <v>30</v>
      </c>
      <c r="P8624" s="12" t="s">
        <v>17298</v>
      </c>
      <c r="Q8624" s="9" t="s">
        <v>85</v>
      </c>
      <c r="R8624" s="14" t="str">
        <f>HYPERLINK("https://my.pitchbook.com?c=85202-29T","View Company Online")</f>
        <v>View Company Online</v>
      </c>
    </row>
    <row r="8625" spans="1:18" hidden="1" x14ac:dyDescent="0.3">
      <c r="A8625" s="15" t="s">
        <v>24908</v>
      </c>
      <c r="B8625" s="15" t="s">
        <v>24909</v>
      </c>
      <c r="C8625" s="18" t="s">
        <v>28</v>
      </c>
      <c r="D8625" s="15" t="s">
        <v>24910</v>
      </c>
      <c r="E8625" s="18" t="s">
        <v>28</v>
      </c>
      <c r="F8625" s="19" t="s">
        <v>28</v>
      </c>
      <c r="G8625" s="19" t="s">
        <v>28</v>
      </c>
      <c r="H8625" s="19" t="s">
        <v>28</v>
      </c>
      <c r="I8625" s="18" t="s">
        <v>28</v>
      </c>
      <c r="J8625" s="18" t="s">
        <v>28</v>
      </c>
      <c r="K8625" s="18" t="s">
        <v>28</v>
      </c>
      <c r="L8625" s="18" t="s">
        <v>28</v>
      </c>
      <c r="M8625" s="18" t="s">
        <v>28</v>
      </c>
      <c r="N8625" s="17">
        <v>42814</v>
      </c>
      <c r="O8625" s="15" t="s">
        <v>30</v>
      </c>
      <c r="P8625" s="16" t="s">
        <v>7578</v>
      </c>
      <c r="Q8625" s="15" t="s">
        <v>268</v>
      </c>
      <c r="R8625" s="13" t="str">
        <f>HYPERLINK("https://my.pitchbook.com?c=87780-34T","View Company Online")</f>
        <v>View Company Online</v>
      </c>
    </row>
    <row r="8626" spans="1:18" hidden="1" x14ac:dyDescent="0.3">
      <c r="A8626" s="9" t="s">
        <v>24911</v>
      </c>
      <c r="B8626" s="9" t="s">
        <v>24912</v>
      </c>
      <c r="C8626" s="11" t="s">
        <v>28</v>
      </c>
      <c r="D8626" s="9" t="s">
        <v>24913</v>
      </c>
      <c r="E8626" s="11" t="s">
        <v>28</v>
      </c>
      <c r="F8626" s="10" t="s">
        <v>28</v>
      </c>
      <c r="G8626" s="10" t="s">
        <v>28</v>
      </c>
      <c r="H8626" s="10" t="s">
        <v>28</v>
      </c>
      <c r="I8626" s="11" t="s">
        <v>28</v>
      </c>
      <c r="J8626" s="11" t="s">
        <v>28</v>
      </c>
      <c r="K8626" s="11" t="s">
        <v>28</v>
      </c>
      <c r="L8626" s="11" t="s">
        <v>28</v>
      </c>
      <c r="M8626" s="11" t="s">
        <v>28</v>
      </c>
      <c r="N8626" s="8">
        <v>42814</v>
      </c>
      <c r="O8626" s="9" t="s">
        <v>30</v>
      </c>
      <c r="P8626" s="12" t="s">
        <v>24914</v>
      </c>
      <c r="Q8626" s="9" t="s">
        <v>285</v>
      </c>
      <c r="R8626" s="14" t="str">
        <f>HYPERLINK("https://my.pitchbook.com?c=137197-27T","View Company Online")</f>
        <v>View Company Online</v>
      </c>
    </row>
    <row r="8627" spans="1:18" hidden="1" x14ac:dyDescent="0.3">
      <c r="A8627" s="15" t="s">
        <v>24915</v>
      </c>
      <c r="B8627" s="15" t="s">
        <v>24916</v>
      </c>
      <c r="C8627" s="18" t="s">
        <v>28</v>
      </c>
      <c r="D8627" s="15" t="s">
        <v>24917</v>
      </c>
      <c r="E8627" s="18" t="s">
        <v>28</v>
      </c>
      <c r="F8627" s="19" t="s">
        <v>28</v>
      </c>
      <c r="G8627" s="19" t="s">
        <v>28</v>
      </c>
      <c r="H8627" s="19" t="s">
        <v>28</v>
      </c>
      <c r="I8627" s="18" t="s">
        <v>28</v>
      </c>
      <c r="J8627" s="18" t="s">
        <v>28</v>
      </c>
      <c r="K8627" s="18" t="s">
        <v>28</v>
      </c>
      <c r="L8627" s="18" t="s">
        <v>28</v>
      </c>
      <c r="M8627" s="18" t="s">
        <v>28</v>
      </c>
      <c r="N8627" s="17">
        <v>42811</v>
      </c>
      <c r="O8627" s="15" t="s">
        <v>30</v>
      </c>
      <c r="P8627" s="16" t="s">
        <v>24918</v>
      </c>
      <c r="Q8627" s="15" t="s">
        <v>43</v>
      </c>
      <c r="R8627" s="13" t="str">
        <f>HYPERLINK("https://my.pitchbook.com?c=109580-14T","View Company Online")</f>
        <v>View Company Online</v>
      </c>
    </row>
    <row r="8628" spans="1:18" hidden="1" x14ac:dyDescent="0.3">
      <c r="A8628" s="9" t="s">
        <v>24919</v>
      </c>
      <c r="B8628" s="9" t="s">
        <v>10224</v>
      </c>
      <c r="C8628" s="11" t="s">
        <v>28</v>
      </c>
      <c r="D8628" s="9" t="s">
        <v>10225</v>
      </c>
      <c r="E8628" s="11" t="s">
        <v>28</v>
      </c>
      <c r="F8628" s="10" t="s">
        <v>28</v>
      </c>
      <c r="G8628" s="10">
        <v>0.26</v>
      </c>
      <c r="H8628" s="10" t="s">
        <v>28</v>
      </c>
      <c r="I8628" s="11" t="s">
        <v>28</v>
      </c>
      <c r="J8628" s="11" t="s">
        <v>28</v>
      </c>
      <c r="K8628" s="11" t="s">
        <v>28</v>
      </c>
      <c r="L8628" s="11" t="s">
        <v>28</v>
      </c>
      <c r="M8628" s="11" t="s">
        <v>28</v>
      </c>
      <c r="N8628" s="8">
        <v>42810</v>
      </c>
      <c r="O8628" s="9" t="s">
        <v>73</v>
      </c>
      <c r="P8628" s="12" t="s">
        <v>10515</v>
      </c>
      <c r="Q8628" s="9" t="s">
        <v>37</v>
      </c>
      <c r="R8628" s="14" t="str">
        <f>HYPERLINK("https://my.pitchbook.com?c=122378-59T","View Company Online")</f>
        <v>View Company Online</v>
      </c>
    </row>
    <row r="8629" spans="1:18" hidden="1" x14ac:dyDescent="0.3">
      <c r="A8629" s="15" t="s">
        <v>24920</v>
      </c>
      <c r="B8629" s="15" t="s">
        <v>4890</v>
      </c>
      <c r="C8629" s="18" t="s">
        <v>28</v>
      </c>
      <c r="D8629" s="15" t="s">
        <v>4891</v>
      </c>
      <c r="E8629" s="18" t="s">
        <v>28</v>
      </c>
      <c r="F8629" s="19" t="s">
        <v>28</v>
      </c>
      <c r="G8629" s="19">
        <v>0.21</v>
      </c>
      <c r="H8629" s="19" t="s">
        <v>28</v>
      </c>
      <c r="I8629" s="18" t="s">
        <v>28</v>
      </c>
      <c r="J8629" s="18" t="s">
        <v>28</v>
      </c>
      <c r="K8629" s="18" t="s">
        <v>28</v>
      </c>
      <c r="L8629" s="18" t="s">
        <v>28</v>
      </c>
      <c r="M8629" s="18" t="s">
        <v>28</v>
      </c>
      <c r="N8629" s="17">
        <v>42810</v>
      </c>
      <c r="O8629" s="15" t="s">
        <v>99</v>
      </c>
      <c r="P8629" s="16" t="s">
        <v>19764</v>
      </c>
      <c r="Q8629" s="15" t="s">
        <v>75</v>
      </c>
      <c r="R8629" s="13" t="str">
        <f>HYPERLINK("https://my.pitchbook.com?c=85091-50T","View Company Online")</f>
        <v>View Company Online</v>
      </c>
    </row>
    <row r="8630" spans="1:18" hidden="1" x14ac:dyDescent="0.3">
      <c r="A8630" s="9" t="s">
        <v>24921</v>
      </c>
      <c r="B8630" s="9" t="s">
        <v>24922</v>
      </c>
      <c r="C8630" s="11" t="s">
        <v>28</v>
      </c>
      <c r="D8630" s="9" t="s">
        <v>24923</v>
      </c>
      <c r="E8630" s="11" t="s">
        <v>28</v>
      </c>
      <c r="F8630" s="10" t="s">
        <v>28</v>
      </c>
      <c r="G8630" s="10" t="s">
        <v>28</v>
      </c>
      <c r="H8630" s="10" t="s">
        <v>28</v>
      </c>
      <c r="I8630" s="11" t="s">
        <v>28</v>
      </c>
      <c r="J8630" s="11" t="s">
        <v>28</v>
      </c>
      <c r="K8630" s="11" t="s">
        <v>28</v>
      </c>
      <c r="L8630" s="11" t="s">
        <v>28</v>
      </c>
      <c r="M8630" s="11" t="s">
        <v>28</v>
      </c>
      <c r="N8630" s="8">
        <v>42809</v>
      </c>
      <c r="O8630" s="9" t="s">
        <v>1285</v>
      </c>
      <c r="P8630" s="12" t="s">
        <v>28</v>
      </c>
      <c r="Q8630" s="9" t="s">
        <v>414</v>
      </c>
      <c r="R8630" s="14" t="str">
        <f>HYPERLINK("https://my.pitchbook.com?c=134429-32T","View Company Online")</f>
        <v>View Company Online</v>
      </c>
    </row>
    <row r="8631" spans="1:18" hidden="1" x14ac:dyDescent="0.3">
      <c r="A8631" s="15" t="s">
        <v>24924</v>
      </c>
      <c r="B8631" s="15" t="s">
        <v>4371</v>
      </c>
      <c r="C8631" s="18" t="s">
        <v>28</v>
      </c>
      <c r="D8631" s="15" t="s">
        <v>4372</v>
      </c>
      <c r="E8631" s="18" t="s">
        <v>28</v>
      </c>
      <c r="F8631" s="19" t="s">
        <v>28</v>
      </c>
      <c r="G8631" s="19">
        <v>0.85</v>
      </c>
      <c r="H8631" s="19" t="s">
        <v>28</v>
      </c>
      <c r="I8631" s="18" t="s">
        <v>28</v>
      </c>
      <c r="J8631" s="18" t="s">
        <v>28</v>
      </c>
      <c r="K8631" s="18" t="s">
        <v>28</v>
      </c>
      <c r="L8631" s="18" t="s">
        <v>28</v>
      </c>
      <c r="M8631" s="18" t="s">
        <v>28</v>
      </c>
      <c r="N8631" s="17">
        <v>42808</v>
      </c>
      <c r="O8631" s="15" t="s">
        <v>73</v>
      </c>
      <c r="P8631" s="16" t="s">
        <v>24925</v>
      </c>
      <c r="Q8631" s="15" t="s">
        <v>4374</v>
      </c>
      <c r="R8631" s="13" t="str">
        <f>HYPERLINK("https://my.pitchbook.com?c=263335-06T","View Company Online")</f>
        <v>View Company Online</v>
      </c>
    </row>
    <row r="8632" spans="1:18" hidden="1" x14ac:dyDescent="0.3">
      <c r="A8632" s="9" t="s">
        <v>24926</v>
      </c>
      <c r="B8632" s="9" t="s">
        <v>24927</v>
      </c>
      <c r="C8632" s="11" t="s">
        <v>28</v>
      </c>
      <c r="D8632" s="9" t="s">
        <v>24928</v>
      </c>
      <c r="E8632" s="11" t="s">
        <v>28</v>
      </c>
      <c r="F8632" s="10" t="s">
        <v>28</v>
      </c>
      <c r="G8632" s="10" t="s">
        <v>28</v>
      </c>
      <c r="H8632" s="10" t="s">
        <v>28</v>
      </c>
      <c r="I8632" s="11" t="s">
        <v>28</v>
      </c>
      <c r="J8632" s="11" t="s">
        <v>28</v>
      </c>
      <c r="K8632" s="11" t="s">
        <v>28</v>
      </c>
      <c r="L8632" s="11" t="s">
        <v>28</v>
      </c>
      <c r="M8632" s="11" t="s">
        <v>28</v>
      </c>
      <c r="N8632" s="8">
        <v>42807</v>
      </c>
      <c r="O8632" s="9" t="s">
        <v>41</v>
      </c>
      <c r="P8632" s="12" t="s">
        <v>24929</v>
      </c>
      <c r="Q8632" s="9" t="s">
        <v>75</v>
      </c>
      <c r="R8632" s="14" t="str">
        <f>HYPERLINK("https://my.pitchbook.com?c=257067-91T","View Company Online")</f>
        <v>View Company Online</v>
      </c>
    </row>
    <row r="8633" spans="1:18" hidden="1" x14ac:dyDescent="0.3">
      <c r="A8633" s="15" t="s">
        <v>24930</v>
      </c>
      <c r="B8633" s="15" t="s">
        <v>24931</v>
      </c>
      <c r="C8633" s="18" t="s">
        <v>28</v>
      </c>
      <c r="D8633" s="15" t="s">
        <v>24932</v>
      </c>
      <c r="E8633" s="18" t="s">
        <v>28</v>
      </c>
      <c r="F8633" s="19">
        <v>5</v>
      </c>
      <c r="G8633" s="19">
        <v>5</v>
      </c>
      <c r="H8633" s="19">
        <v>5</v>
      </c>
      <c r="I8633" s="18" t="s">
        <v>28</v>
      </c>
      <c r="J8633" s="18" t="s">
        <v>28</v>
      </c>
      <c r="K8633" s="18" t="s">
        <v>28</v>
      </c>
      <c r="L8633" s="18" t="s">
        <v>28</v>
      </c>
      <c r="M8633" s="18" t="s">
        <v>28</v>
      </c>
      <c r="N8633" s="17">
        <v>42807</v>
      </c>
      <c r="O8633" s="15" t="s">
        <v>30</v>
      </c>
      <c r="P8633" s="16" t="s">
        <v>24933</v>
      </c>
      <c r="Q8633" s="15" t="s">
        <v>419</v>
      </c>
      <c r="R8633" s="13" t="str">
        <f>HYPERLINK("https://my.pitchbook.com?c=99649-54T","View Company Online")</f>
        <v>View Company Online</v>
      </c>
    </row>
    <row r="8634" spans="1:18" hidden="1" x14ac:dyDescent="0.3">
      <c r="A8634" s="9" t="s">
        <v>24934</v>
      </c>
      <c r="B8634" s="9" t="s">
        <v>24935</v>
      </c>
      <c r="C8634" s="11" t="s">
        <v>28</v>
      </c>
      <c r="D8634" s="9" t="s">
        <v>24936</v>
      </c>
      <c r="E8634" s="11" t="s">
        <v>28</v>
      </c>
      <c r="F8634" s="10">
        <v>154.75</v>
      </c>
      <c r="G8634" s="10">
        <v>154.75</v>
      </c>
      <c r="H8634" s="10">
        <v>154.75</v>
      </c>
      <c r="I8634" s="11" t="s">
        <v>28</v>
      </c>
      <c r="J8634" s="11" t="s">
        <v>28</v>
      </c>
      <c r="K8634" s="11" t="s">
        <v>28</v>
      </c>
      <c r="L8634" s="11" t="s">
        <v>28</v>
      </c>
      <c r="M8634" s="11" t="s">
        <v>28</v>
      </c>
      <c r="N8634" s="8">
        <v>42806</v>
      </c>
      <c r="O8634" s="9" t="s">
        <v>41</v>
      </c>
      <c r="P8634" s="12" t="s">
        <v>24937</v>
      </c>
      <c r="Q8634" s="9" t="s">
        <v>183</v>
      </c>
      <c r="R8634" s="14" t="str">
        <f>HYPERLINK("https://my.pitchbook.com?c=169229-44T","View Company Online")</f>
        <v>View Company Online</v>
      </c>
    </row>
    <row r="8635" spans="1:18" hidden="1" x14ac:dyDescent="0.3">
      <c r="A8635" s="15" t="s">
        <v>24938</v>
      </c>
      <c r="B8635" s="15" t="s">
        <v>24939</v>
      </c>
      <c r="C8635" s="18" t="s">
        <v>28</v>
      </c>
      <c r="D8635" s="15" t="s">
        <v>24940</v>
      </c>
      <c r="E8635" s="18" t="s">
        <v>28</v>
      </c>
      <c r="F8635" s="19" t="s">
        <v>28</v>
      </c>
      <c r="G8635" s="19">
        <v>0.95</v>
      </c>
      <c r="H8635" s="19" t="s">
        <v>28</v>
      </c>
      <c r="I8635" s="18" t="s">
        <v>28</v>
      </c>
      <c r="J8635" s="18" t="s">
        <v>28</v>
      </c>
      <c r="K8635" s="18" t="s">
        <v>28</v>
      </c>
      <c r="L8635" s="18" t="s">
        <v>28</v>
      </c>
      <c r="M8635" s="18" t="s">
        <v>28</v>
      </c>
      <c r="N8635" s="17">
        <v>42805</v>
      </c>
      <c r="O8635" s="15" t="s">
        <v>79</v>
      </c>
      <c r="P8635" s="16" t="s">
        <v>24941</v>
      </c>
      <c r="Q8635" s="15" t="s">
        <v>386</v>
      </c>
      <c r="R8635" s="13" t="str">
        <f>HYPERLINK("https://my.pitchbook.com?c=75945-52T","View Company Online")</f>
        <v>View Company Online</v>
      </c>
    </row>
    <row r="8636" spans="1:18" hidden="1" x14ac:dyDescent="0.3">
      <c r="A8636" s="9" t="s">
        <v>24942</v>
      </c>
      <c r="B8636" s="9" t="s">
        <v>20783</v>
      </c>
      <c r="C8636" s="11" t="s">
        <v>28</v>
      </c>
      <c r="D8636" s="9" t="s">
        <v>20784</v>
      </c>
      <c r="E8636" s="11">
        <v>-17.82</v>
      </c>
      <c r="F8636" s="10" t="s">
        <v>28</v>
      </c>
      <c r="G8636" s="10">
        <v>30</v>
      </c>
      <c r="H8636" s="10" t="s">
        <v>28</v>
      </c>
      <c r="I8636" s="11">
        <v>-8.9600000000000009</v>
      </c>
      <c r="J8636" s="11" t="s">
        <v>28</v>
      </c>
      <c r="K8636" s="11">
        <v>485.16</v>
      </c>
      <c r="L8636" s="11" t="s">
        <v>28</v>
      </c>
      <c r="M8636" s="11">
        <v>-43.49</v>
      </c>
      <c r="N8636" s="8">
        <v>42803</v>
      </c>
      <c r="O8636" s="9" t="s">
        <v>79</v>
      </c>
      <c r="P8636" s="12" t="s">
        <v>28</v>
      </c>
      <c r="Q8636" s="9" t="s">
        <v>740</v>
      </c>
      <c r="R8636" s="14" t="str">
        <f>HYPERLINK("https://my.pitchbook.com?c=84522-97T","View Company Online")</f>
        <v>View Company Online</v>
      </c>
    </row>
    <row r="8637" spans="1:18" hidden="1" x14ac:dyDescent="0.3">
      <c r="A8637" s="15" t="s">
        <v>24943</v>
      </c>
      <c r="B8637" s="15" t="s">
        <v>24944</v>
      </c>
      <c r="C8637" s="18" t="s">
        <v>28</v>
      </c>
      <c r="D8637" s="15" t="s">
        <v>24945</v>
      </c>
      <c r="E8637" s="18" t="s">
        <v>28</v>
      </c>
      <c r="F8637" s="19" t="s">
        <v>28</v>
      </c>
      <c r="G8637" s="19" t="s">
        <v>28</v>
      </c>
      <c r="H8637" s="19" t="s">
        <v>28</v>
      </c>
      <c r="I8637" s="18" t="s">
        <v>28</v>
      </c>
      <c r="J8637" s="18" t="s">
        <v>28</v>
      </c>
      <c r="K8637" s="18" t="s">
        <v>28</v>
      </c>
      <c r="L8637" s="18" t="s">
        <v>28</v>
      </c>
      <c r="M8637" s="18" t="s">
        <v>28</v>
      </c>
      <c r="N8637" s="17">
        <v>42803</v>
      </c>
      <c r="O8637" s="15" t="s">
        <v>52</v>
      </c>
      <c r="P8637" s="16" t="s">
        <v>2830</v>
      </c>
      <c r="Q8637" s="15" t="s">
        <v>75</v>
      </c>
      <c r="R8637" s="13" t="str">
        <f>HYPERLINK("https://my.pitchbook.com?c=292001-32T","View Company Online")</f>
        <v>View Company Online</v>
      </c>
    </row>
    <row r="8638" spans="1:18" hidden="1" x14ac:dyDescent="0.3">
      <c r="A8638" s="9" t="s">
        <v>24946</v>
      </c>
      <c r="B8638" s="9" t="s">
        <v>24947</v>
      </c>
      <c r="C8638" s="11" t="s">
        <v>28</v>
      </c>
      <c r="D8638" s="9" t="s">
        <v>24948</v>
      </c>
      <c r="E8638" s="11" t="s">
        <v>28</v>
      </c>
      <c r="F8638" s="10">
        <v>364.13</v>
      </c>
      <c r="G8638" s="10">
        <v>54.62</v>
      </c>
      <c r="H8638" s="10">
        <v>364.13</v>
      </c>
      <c r="I8638" s="11" t="s">
        <v>28</v>
      </c>
      <c r="J8638" s="11" t="s">
        <v>28</v>
      </c>
      <c r="K8638" s="11" t="s">
        <v>28</v>
      </c>
      <c r="L8638" s="11" t="s">
        <v>28</v>
      </c>
      <c r="M8638" s="11" t="s">
        <v>28</v>
      </c>
      <c r="N8638" s="8">
        <v>42803</v>
      </c>
      <c r="O8638" s="9" t="s">
        <v>30</v>
      </c>
      <c r="P8638" s="12" t="s">
        <v>6877</v>
      </c>
      <c r="Q8638" s="9" t="s">
        <v>6878</v>
      </c>
      <c r="R8638" s="14" t="str">
        <f>HYPERLINK("https://my.pitchbook.com?c=72608-14T","View Company Online")</f>
        <v>View Company Online</v>
      </c>
    </row>
    <row r="8639" spans="1:18" hidden="1" x14ac:dyDescent="0.3">
      <c r="A8639" s="15" t="s">
        <v>24949</v>
      </c>
      <c r="B8639" s="15" t="s">
        <v>17909</v>
      </c>
      <c r="C8639" s="18" t="s">
        <v>28</v>
      </c>
      <c r="D8639" s="15" t="s">
        <v>17910</v>
      </c>
      <c r="E8639" s="18" t="s">
        <v>28</v>
      </c>
      <c r="F8639" s="19">
        <v>64.25</v>
      </c>
      <c r="G8639" s="19">
        <v>64.25</v>
      </c>
      <c r="H8639" s="19">
        <v>64.25</v>
      </c>
      <c r="I8639" s="18" t="s">
        <v>28</v>
      </c>
      <c r="J8639" s="18" t="s">
        <v>28</v>
      </c>
      <c r="K8639" s="18" t="s">
        <v>28</v>
      </c>
      <c r="L8639" s="18" t="s">
        <v>28</v>
      </c>
      <c r="M8639" s="18" t="s">
        <v>28</v>
      </c>
      <c r="N8639" s="17">
        <v>42802</v>
      </c>
      <c r="O8639" s="15" t="s">
        <v>41</v>
      </c>
      <c r="P8639" s="16" t="s">
        <v>24950</v>
      </c>
      <c r="Q8639" s="15" t="s">
        <v>37</v>
      </c>
      <c r="R8639" s="13" t="str">
        <f>HYPERLINK("https://my.pitchbook.com?c=84375-01T","View Company Online")</f>
        <v>View Company Online</v>
      </c>
    </row>
    <row r="8640" spans="1:18" hidden="1" x14ac:dyDescent="0.3">
      <c r="A8640" s="9" t="s">
        <v>24951</v>
      </c>
      <c r="B8640" s="9" t="s">
        <v>22835</v>
      </c>
      <c r="C8640" s="11" t="s">
        <v>28</v>
      </c>
      <c r="D8640" s="9" t="s">
        <v>22836</v>
      </c>
      <c r="E8640" s="11" t="s">
        <v>28</v>
      </c>
      <c r="F8640" s="10" t="s">
        <v>28</v>
      </c>
      <c r="G8640" s="10" t="s">
        <v>28</v>
      </c>
      <c r="H8640" s="10" t="s">
        <v>28</v>
      </c>
      <c r="I8640" s="11" t="s">
        <v>28</v>
      </c>
      <c r="J8640" s="11" t="s">
        <v>28</v>
      </c>
      <c r="K8640" s="11" t="s">
        <v>28</v>
      </c>
      <c r="L8640" s="11" t="s">
        <v>28</v>
      </c>
      <c r="M8640" s="11" t="s">
        <v>28</v>
      </c>
      <c r="N8640" s="8">
        <v>42802</v>
      </c>
      <c r="O8640" s="9" t="s">
        <v>52</v>
      </c>
      <c r="P8640" s="12" t="s">
        <v>8138</v>
      </c>
      <c r="Q8640" s="9" t="s">
        <v>404</v>
      </c>
      <c r="R8640" s="14" t="str">
        <f>HYPERLINK("https://my.pitchbook.com?c=264410-65T","View Company Online")</f>
        <v>View Company Online</v>
      </c>
    </row>
    <row r="8641" spans="1:18" hidden="1" x14ac:dyDescent="0.3">
      <c r="A8641" s="15" t="s">
        <v>24952</v>
      </c>
      <c r="B8641" s="15" t="s">
        <v>21772</v>
      </c>
      <c r="C8641" s="18" t="s">
        <v>28</v>
      </c>
      <c r="D8641" s="15" t="s">
        <v>21773</v>
      </c>
      <c r="E8641" s="18" t="s">
        <v>28</v>
      </c>
      <c r="F8641" s="19" t="s">
        <v>28</v>
      </c>
      <c r="G8641" s="19">
        <v>0.48</v>
      </c>
      <c r="H8641" s="19" t="s">
        <v>28</v>
      </c>
      <c r="I8641" s="18" t="s">
        <v>28</v>
      </c>
      <c r="J8641" s="18" t="s">
        <v>28</v>
      </c>
      <c r="K8641" s="18" t="s">
        <v>28</v>
      </c>
      <c r="L8641" s="18" t="s">
        <v>28</v>
      </c>
      <c r="M8641" s="18" t="s">
        <v>28</v>
      </c>
      <c r="N8641" s="17">
        <v>42801</v>
      </c>
      <c r="O8641" s="15" t="s">
        <v>99</v>
      </c>
      <c r="P8641" s="16" t="s">
        <v>23804</v>
      </c>
      <c r="Q8641" s="15" t="s">
        <v>245</v>
      </c>
      <c r="R8641" s="13" t="str">
        <f>HYPERLINK("https://my.pitchbook.com?c=86171-95T","View Company Online")</f>
        <v>View Company Online</v>
      </c>
    </row>
    <row r="8642" spans="1:18" hidden="1" x14ac:dyDescent="0.3">
      <c r="A8642" s="9" t="s">
        <v>24953</v>
      </c>
      <c r="B8642" s="9" t="s">
        <v>9718</v>
      </c>
      <c r="C8642" s="11" t="s">
        <v>28</v>
      </c>
      <c r="D8642" s="9" t="s">
        <v>9719</v>
      </c>
      <c r="E8642" s="11" t="s">
        <v>28</v>
      </c>
      <c r="F8642" s="10">
        <v>321.42</v>
      </c>
      <c r="G8642" s="10">
        <v>321.42</v>
      </c>
      <c r="H8642" s="10">
        <v>321.42</v>
      </c>
      <c r="I8642" s="11" t="s">
        <v>28</v>
      </c>
      <c r="J8642" s="11" t="s">
        <v>28</v>
      </c>
      <c r="K8642" s="11">
        <v>345.49</v>
      </c>
      <c r="L8642" s="11">
        <v>0.93</v>
      </c>
      <c r="M8642" s="11" t="s">
        <v>28</v>
      </c>
      <c r="N8642" s="8">
        <v>42801</v>
      </c>
      <c r="O8642" s="9" t="s">
        <v>30</v>
      </c>
      <c r="P8642" s="12" t="s">
        <v>24954</v>
      </c>
      <c r="Q8642" s="9" t="s">
        <v>362</v>
      </c>
      <c r="R8642" s="14" t="str">
        <f>HYPERLINK("https://my.pitchbook.com?c=99394-66T","View Company Online")</f>
        <v>View Company Online</v>
      </c>
    </row>
    <row r="8643" spans="1:18" hidden="1" x14ac:dyDescent="0.3">
      <c r="A8643" s="15" t="s">
        <v>24955</v>
      </c>
      <c r="B8643" s="15" t="s">
        <v>24956</v>
      </c>
      <c r="C8643" s="18" t="s">
        <v>28</v>
      </c>
      <c r="D8643" s="15" t="s">
        <v>24957</v>
      </c>
      <c r="E8643" s="18" t="s">
        <v>28</v>
      </c>
      <c r="F8643" s="19" t="s">
        <v>28</v>
      </c>
      <c r="G8643" s="19">
        <v>0.01</v>
      </c>
      <c r="H8643" s="19" t="s">
        <v>28</v>
      </c>
      <c r="I8643" s="18" t="s">
        <v>28</v>
      </c>
      <c r="J8643" s="18" t="s">
        <v>28</v>
      </c>
      <c r="K8643" s="18" t="s">
        <v>28</v>
      </c>
      <c r="L8643" s="18" t="s">
        <v>28</v>
      </c>
      <c r="M8643" s="18" t="s">
        <v>28</v>
      </c>
      <c r="N8643" s="17">
        <v>42800</v>
      </c>
      <c r="O8643" s="15" t="s">
        <v>52</v>
      </c>
      <c r="P8643" s="16" t="s">
        <v>2830</v>
      </c>
      <c r="Q8643" s="15" t="s">
        <v>299</v>
      </c>
      <c r="R8643" s="13" t="str">
        <f>HYPERLINK("https://my.pitchbook.com?c=127612-81T","View Company Online")</f>
        <v>View Company Online</v>
      </c>
    </row>
    <row r="8644" spans="1:18" hidden="1" x14ac:dyDescent="0.3">
      <c r="A8644" s="9" t="s">
        <v>24958</v>
      </c>
      <c r="B8644" s="9" t="s">
        <v>24959</v>
      </c>
      <c r="C8644" s="11" t="s">
        <v>28</v>
      </c>
      <c r="D8644" s="9" t="s">
        <v>24960</v>
      </c>
      <c r="E8644" s="11" t="s">
        <v>28</v>
      </c>
      <c r="F8644" s="10" t="s">
        <v>28</v>
      </c>
      <c r="G8644" s="10" t="s">
        <v>28</v>
      </c>
      <c r="H8644" s="10" t="s">
        <v>28</v>
      </c>
      <c r="I8644" s="11" t="s">
        <v>28</v>
      </c>
      <c r="J8644" s="11" t="s">
        <v>28</v>
      </c>
      <c r="K8644" s="11" t="s">
        <v>28</v>
      </c>
      <c r="L8644" s="11" t="s">
        <v>28</v>
      </c>
      <c r="M8644" s="11" t="s">
        <v>28</v>
      </c>
      <c r="N8644" s="8">
        <v>42800</v>
      </c>
      <c r="O8644" s="9" t="s">
        <v>52</v>
      </c>
      <c r="P8644" s="12" t="s">
        <v>2830</v>
      </c>
      <c r="Q8644" s="9" t="s">
        <v>249</v>
      </c>
      <c r="R8644" s="14" t="str">
        <f>HYPERLINK("https://my.pitchbook.com?c=291945-52T","View Company Online")</f>
        <v>View Company Online</v>
      </c>
    </row>
    <row r="8645" spans="1:18" hidden="1" x14ac:dyDescent="0.3">
      <c r="A8645" s="15" t="s">
        <v>24961</v>
      </c>
      <c r="B8645" s="15" t="s">
        <v>10989</v>
      </c>
      <c r="C8645" s="18" t="s">
        <v>28</v>
      </c>
      <c r="D8645" s="15" t="s">
        <v>10990</v>
      </c>
      <c r="E8645" s="18" t="s">
        <v>28</v>
      </c>
      <c r="F8645" s="19" t="s">
        <v>28</v>
      </c>
      <c r="G8645" s="19" t="s">
        <v>28</v>
      </c>
      <c r="H8645" s="19" t="s">
        <v>28</v>
      </c>
      <c r="I8645" s="18" t="s">
        <v>28</v>
      </c>
      <c r="J8645" s="18" t="s">
        <v>28</v>
      </c>
      <c r="K8645" s="18" t="s">
        <v>28</v>
      </c>
      <c r="L8645" s="18" t="s">
        <v>28</v>
      </c>
      <c r="M8645" s="18" t="s">
        <v>28</v>
      </c>
      <c r="N8645" s="17">
        <v>42800</v>
      </c>
      <c r="O8645" s="15" t="s">
        <v>52</v>
      </c>
      <c r="P8645" s="16" t="s">
        <v>2830</v>
      </c>
      <c r="Q8645" s="15" t="s">
        <v>75</v>
      </c>
      <c r="R8645" s="13" t="str">
        <f>HYPERLINK("https://my.pitchbook.com?c=291953-80T","View Company Online")</f>
        <v>View Company Online</v>
      </c>
    </row>
    <row r="8646" spans="1:18" x14ac:dyDescent="0.3">
      <c r="A8646" s="9" t="s">
        <v>24962</v>
      </c>
      <c r="B8646" s="9" t="s">
        <v>24963</v>
      </c>
      <c r="C8646" s="11">
        <v>12.12</v>
      </c>
      <c r="D8646" s="9" t="s">
        <v>24964</v>
      </c>
      <c r="E8646" s="11" t="s">
        <v>28</v>
      </c>
      <c r="F8646" s="10">
        <v>64.569999999999993</v>
      </c>
      <c r="G8646" s="10">
        <v>64.569999999999993</v>
      </c>
      <c r="H8646" s="10">
        <v>64.569999999999993</v>
      </c>
      <c r="I8646" s="11">
        <v>5.33</v>
      </c>
      <c r="J8646" s="11">
        <v>12.12</v>
      </c>
      <c r="K8646" s="11">
        <v>46.06</v>
      </c>
      <c r="L8646" s="11">
        <v>1.4</v>
      </c>
      <c r="M8646" s="11" t="s">
        <v>28</v>
      </c>
      <c r="N8646" s="8">
        <v>42797</v>
      </c>
      <c r="O8646" s="9" t="s">
        <v>30</v>
      </c>
      <c r="P8646" s="12" t="s">
        <v>4868</v>
      </c>
      <c r="Q8646" s="9" t="s">
        <v>105</v>
      </c>
      <c r="R8646" s="14" t="str">
        <f>HYPERLINK("https://my.pitchbook.com?c=80661-34T","View Company Online")</f>
        <v>View Company Online</v>
      </c>
    </row>
    <row r="8647" spans="1:18" hidden="1" x14ac:dyDescent="0.3">
      <c r="A8647" s="15" t="s">
        <v>24965</v>
      </c>
      <c r="B8647" s="15" t="s">
        <v>24966</v>
      </c>
      <c r="C8647" s="18" t="s">
        <v>28</v>
      </c>
      <c r="D8647" s="15" t="s">
        <v>24967</v>
      </c>
      <c r="E8647" s="18" t="s">
        <v>28</v>
      </c>
      <c r="F8647" s="19" t="s">
        <v>28</v>
      </c>
      <c r="G8647" s="19" t="s">
        <v>28</v>
      </c>
      <c r="H8647" s="19" t="s">
        <v>28</v>
      </c>
      <c r="I8647" s="18" t="s">
        <v>28</v>
      </c>
      <c r="J8647" s="18" t="s">
        <v>28</v>
      </c>
      <c r="K8647" s="18">
        <v>46.06</v>
      </c>
      <c r="L8647" s="18" t="s">
        <v>28</v>
      </c>
      <c r="M8647" s="18" t="s">
        <v>28</v>
      </c>
      <c r="N8647" s="17">
        <v>42797</v>
      </c>
      <c r="O8647" s="15" t="s">
        <v>58</v>
      </c>
      <c r="P8647" s="16" t="s">
        <v>24968</v>
      </c>
      <c r="Q8647" s="15" t="s">
        <v>69</v>
      </c>
      <c r="R8647" s="13" t="str">
        <f>HYPERLINK("https://my.pitchbook.com?c=86822-65T","View Company Online")</f>
        <v>View Company Online</v>
      </c>
    </row>
    <row r="8648" spans="1:18" hidden="1" x14ac:dyDescent="0.3">
      <c r="A8648" s="9" t="s">
        <v>24969</v>
      </c>
      <c r="B8648" s="9" t="s">
        <v>24970</v>
      </c>
      <c r="C8648" s="11" t="s">
        <v>28</v>
      </c>
      <c r="D8648" s="9" t="s">
        <v>24971</v>
      </c>
      <c r="E8648" s="11" t="s">
        <v>28</v>
      </c>
      <c r="F8648" s="10" t="s">
        <v>28</v>
      </c>
      <c r="G8648" s="10" t="s">
        <v>28</v>
      </c>
      <c r="H8648" s="10" t="s">
        <v>28</v>
      </c>
      <c r="I8648" s="11" t="s">
        <v>28</v>
      </c>
      <c r="J8648" s="11" t="s">
        <v>28</v>
      </c>
      <c r="K8648" s="11" t="s">
        <v>28</v>
      </c>
      <c r="L8648" s="11" t="s">
        <v>28</v>
      </c>
      <c r="M8648" s="11" t="s">
        <v>28</v>
      </c>
      <c r="N8648" s="8">
        <v>42797</v>
      </c>
      <c r="O8648" s="9" t="s">
        <v>908</v>
      </c>
      <c r="P8648" s="12" t="s">
        <v>28</v>
      </c>
      <c r="Q8648" s="9" t="s">
        <v>169</v>
      </c>
      <c r="R8648" s="14" t="str">
        <f>HYPERLINK("https://my.pitchbook.com?c=84763-90T","View Company Online")</f>
        <v>View Company Online</v>
      </c>
    </row>
    <row r="8649" spans="1:18" hidden="1" x14ac:dyDescent="0.3">
      <c r="A8649" s="15" t="s">
        <v>24972</v>
      </c>
      <c r="B8649" s="15" t="s">
        <v>24973</v>
      </c>
      <c r="C8649" s="18" t="s">
        <v>28</v>
      </c>
      <c r="D8649" s="15" t="s">
        <v>24974</v>
      </c>
      <c r="E8649" s="18" t="s">
        <v>28</v>
      </c>
      <c r="F8649" s="19" t="s">
        <v>28</v>
      </c>
      <c r="G8649" s="19" t="s">
        <v>28</v>
      </c>
      <c r="H8649" s="19" t="s">
        <v>28</v>
      </c>
      <c r="I8649" s="18" t="s">
        <v>28</v>
      </c>
      <c r="J8649" s="18" t="s">
        <v>28</v>
      </c>
      <c r="K8649" s="18" t="s">
        <v>28</v>
      </c>
      <c r="L8649" s="18" t="s">
        <v>28</v>
      </c>
      <c r="M8649" s="18" t="s">
        <v>28</v>
      </c>
      <c r="N8649" s="17">
        <v>42797</v>
      </c>
      <c r="O8649" s="15" t="s">
        <v>30</v>
      </c>
      <c r="P8649" s="16" t="s">
        <v>20713</v>
      </c>
      <c r="Q8649" s="15" t="s">
        <v>75</v>
      </c>
      <c r="R8649" s="13" t="str">
        <f>HYPERLINK("https://my.pitchbook.com?c=84708-55T","View Company Online")</f>
        <v>View Company Online</v>
      </c>
    </row>
    <row r="8650" spans="1:18" hidden="1" x14ac:dyDescent="0.3">
      <c r="A8650" s="9" t="s">
        <v>24975</v>
      </c>
      <c r="B8650" s="9" t="s">
        <v>18560</v>
      </c>
      <c r="C8650" s="11" t="s">
        <v>28</v>
      </c>
      <c r="D8650" s="9" t="s">
        <v>18561</v>
      </c>
      <c r="E8650" s="11" t="s">
        <v>28</v>
      </c>
      <c r="F8650" s="10" t="s">
        <v>28</v>
      </c>
      <c r="G8650" s="10" t="s">
        <v>28</v>
      </c>
      <c r="H8650" s="10" t="s">
        <v>28</v>
      </c>
      <c r="I8650" s="11" t="s">
        <v>28</v>
      </c>
      <c r="J8650" s="11" t="s">
        <v>28</v>
      </c>
      <c r="K8650" s="11" t="s">
        <v>28</v>
      </c>
      <c r="L8650" s="11" t="s">
        <v>28</v>
      </c>
      <c r="M8650" s="11" t="s">
        <v>28</v>
      </c>
      <c r="N8650" s="8">
        <v>42796</v>
      </c>
      <c r="O8650" s="9" t="s">
        <v>52</v>
      </c>
      <c r="P8650" s="12" t="s">
        <v>24976</v>
      </c>
      <c r="Q8650" s="9" t="s">
        <v>249</v>
      </c>
      <c r="R8650" s="14" t="str">
        <f>HYPERLINK("https://my.pitchbook.com?c=284590-63T","View Company Online")</f>
        <v>View Company Online</v>
      </c>
    </row>
    <row r="8651" spans="1:18" hidden="1" x14ac:dyDescent="0.3">
      <c r="A8651" s="15" t="s">
        <v>24977</v>
      </c>
      <c r="B8651" s="15" t="s">
        <v>24978</v>
      </c>
      <c r="C8651" s="18" t="s">
        <v>28</v>
      </c>
      <c r="D8651" s="15" t="s">
        <v>24979</v>
      </c>
      <c r="E8651" s="18" t="s">
        <v>28</v>
      </c>
      <c r="F8651" s="19" t="s">
        <v>28</v>
      </c>
      <c r="G8651" s="19" t="s">
        <v>28</v>
      </c>
      <c r="H8651" s="19" t="s">
        <v>28</v>
      </c>
      <c r="I8651" s="18" t="s">
        <v>28</v>
      </c>
      <c r="J8651" s="18" t="s">
        <v>28</v>
      </c>
      <c r="K8651" s="18">
        <v>88.49</v>
      </c>
      <c r="L8651" s="18" t="s">
        <v>28</v>
      </c>
      <c r="M8651" s="18" t="s">
        <v>28</v>
      </c>
      <c r="N8651" s="17">
        <v>42796</v>
      </c>
      <c r="O8651" s="15" t="s">
        <v>30</v>
      </c>
      <c r="P8651" s="16" t="s">
        <v>24980</v>
      </c>
      <c r="Q8651" s="15" t="s">
        <v>900</v>
      </c>
      <c r="R8651" s="13" t="str">
        <f>HYPERLINK("https://my.pitchbook.com?c=82382-23T","View Company Online")</f>
        <v>View Company Online</v>
      </c>
    </row>
    <row r="8652" spans="1:18" hidden="1" x14ac:dyDescent="0.3">
      <c r="A8652" s="9" t="s">
        <v>24981</v>
      </c>
      <c r="B8652" s="9" t="s">
        <v>24982</v>
      </c>
      <c r="C8652" s="11" t="s">
        <v>28</v>
      </c>
      <c r="D8652" s="9" t="s">
        <v>24983</v>
      </c>
      <c r="E8652" s="11" t="s">
        <v>28</v>
      </c>
      <c r="F8652" s="10" t="s">
        <v>28</v>
      </c>
      <c r="G8652" s="10" t="s">
        <v>28</v>
      </c>
      <c r="H8652" s="10" t="s">
        <v>28</v>
      </c>
      <c r="I8652" s="11" t="s">
        <v>28</v>
      </c>
      <c r="J8652" s="11" t="s">
        <v>28</v>
      </c>
      <c r="K8652" s="11" t="s">
        <v>28</v>
      </c>
      <c r="L8652" s="11" t="s">
        <v>28</v>
      </c>
      <c r="M8652" s="11" t="s">
        <v>28</v>
      </c>
      <c r="N8652" s="8">
        <v>42795</v>
      </c>
      <c r="O8652" s="9" t="s">
        <v>73</v>
      </c>
      <c r="P8652" s="12" t="s">
        <v>11495</v>
      </c>
      <c r="Q8652" s="9" t="s">
        <v>95</v>
      </c>
      <c r="R8652" s="14" t="str">
        <f>HYPERLINK("https://my.pitchbook.com?c=34875-91T","View Company Online")</f>
        <v>View Company Online</v>
      </c>
    </row>
    <row r="8653" spans="1:18" hidden="1" x14ac:dyDescent="0.3">
      <c r="A8653" s="15" t="s">
        <v>24984</v>
      </c>
      <c r="B8653" s="15" t="s">
        <v>5129</v>
      </c>
      <c r="C8653" s="18" t="s">
        <v>28</v>
      </c>
      <c r="D8653" s="15" t="s">
        <v>5130</v>
      </c>
      <c r="E8653" s="18">
        <v>126.62</v>
      </c>
      <c r="F8653" s="19" t="s">
        <v>28</v>
      </c>
      <c r="G8653" s="19" t="s">
        <v>28</v>
      </c>
      <c r="H8653" s="19" t="s">
        <v>28</v>
      </c>
      <c r="I8653" s="18">
        <v>156.1</v>
      </c>
      <c r="J8653" s="18" t="s">
        <v>28</v>
      </c>
      <c r="K8653" s="18">
        <v>1167.28</v>
      </c>
      <c r="L8653" s="18" t="s">
        <v>28</v>
      </c>
      <c r="M8653" s="18">
        <v>104.1</v>
      </c>
      <c r="N8653" s="17">
        <v>42795</v>
      </c>
      <c r="O8653" s="15" t="s">
        <v>159</v>
      </c>
      <c r="P8653" s="16" t="s">
        <v>16862</v>
      </c>
      <c r="Q8653" s="15" t="s">
        <v>5132</v>
      </c>
      <c r="R8653" s="13" t="str">
        <f>HYPERLINK("https://my.pitchbook.com?c=181060-21T","View Company Online")</f>
        <v>View Company Online</v>
      </c>
    </row>
    <row r="8654" spans="1:18" hidden="1" x14ac:dyDescent="0.3">
      <c r="A8654" s="9" t="s">
        <v>24985</v>
      </c>
      <c r="B8654" s="9" t="s">
        <v>7096</v>
      </c>
      <c r="C8654" s="11" t="s">
        <v>28</v>
      </c>
      <c r="D8654" s="9" t="s">
        <v>7097</v>
      </c>
      <c r="E8654" s="11" t="s">
        <v>28</v>
      </c>
      <c r="F8654" s="10" t="s">
        <v>28</v>
      </c>
      <c r="G8654" s="10" t="s">
        <v>28</v>
      </c>
      <c r="H8654" s="10" t="s">
        <v>28</v>
      </c>
      <c r="I8654" s="11" t="s">
        <v>28</v>
      </c>
      <c r="J8654" s="11" t="s">
        <v>28</v>
      </c>
      <c r="K8654" s="11" t="s">
        <v>28</v>
      </c>
      <c r="L8654" s="11" t="s">
        <v>28</v>
      </c>
      <c r="M8654" s="11" t="s">
        <v>28</v>
      </c>
      <c r="N8654" s="8">
        <v>42795</v>
      </c>
      <c r="O8654" s="9" t="s">
        <v>73</v>
      </c>
      <c r="P8654" s="12" t="s">
        <v>24986</v>
      </c>
      <c r="Q8654" s="9" t="s">
        <v>75</v>
      </c>
      <c r="R8654" s="14" t="str">
        <f>HYPERLINK("https://my.pitchbook.com?c=215641-63T","View Company Online")</f>
        <v>View Company Online</v>
      </c>
    </row>
    <row r="8655" spans="1:18" hidden="1" x14ac:dyDescent="0.3">
      <c r="A8655" s="15" t="s">
        <v>24987</v>
      </c>
      <c r="B8655" s="15" t="s">
        <v>22049</v>
      </c>
      <c r="C8655" s="18" t="s">
        <v>28</v>
      </c>
      <c r="D8655" s="15" t="s">
        <v>22050</v>
      </c>
      <c r="E8655" s="18" t="s">
        <v>28</v>
      </c>
      <c r="F8655" s="19" t="s">
        <v>28</v>
      </c>
      <c r="G8655" s="19" t="s">
        <v>28</v>
      </c>
      <c r="H8655" s="19" t="s">
        <v>28</v>
      </c>
      <c r="I8655" s="18" t="s">
        <v>28</v>
      </c>
      <c r="J8655" s="18" t="s">
        <v>28</v>
      </c>
      <c r="K8655" s="18" t="s">
        <v>28</v>
      </c>
      <c r="L8655" s="18" t="s">
        <v>28</v>
      </c>
      <c r="M8655" s="18" t="s">
        <v>28</v>
      </c>
      <c r="N8655" s="17">
        <v>42795</v>
      </c>
      <c r="O8655" s="15" t="s">
        <v>52</v>
      </c>
      <c r="P8655" s="16" t="s">
        <v>24988</v>
      </c>
      <c r="Q8655" s="15" t="s">
        <v>404</v>
      </c>
      <c r="R8655" s="13" t="str">
        <f>HYPERLINK("https://my.pitchbook.com?c=111533-86T","View Company Online")</f>
        <v>View Company Online</v>
      </c>
    </row>
    <row r="8656" spans="1:18" hidden="1" x14ac:dyDescent="0.3">
      <c r="A8656" s="9" t="s">
        <v>24989</v>
      </c>
      <c r="B8656" s="9" t="s">
        <v>17490</v>
      </c>
      <c r="C8656" s="11" t="s">
        <v>28</v>
      </c>
      <c r="D8656" s="9" t="s">
        <v>17491</v>
      </c>
      <c r="E8656" s="11" t="s">
        <v>28</v>
      </c>
      <c r="F8656" s="10" t="s">
        <v>28</v>
      </c>
      <c r="G8656" s="10" t="s">
        <v>28</v>
      </c>
      <c r="H8656" s="10" t="s">
        <v>28</v>
      </c>
      <c r="I8656" s="11" t="s">
        <v>28</v>
      </c>
      <c r="J8656" s="11" t="s">
        <v>28</v>
      </c>
      <c r="K8656" s="11" t="s">
        <v>28</v>
      </c>
      <c r="L8656" s="11" t="s">
        <v>28</v>
      </c>
      <c r="M8656" s="11" t="s">
        <v>28</v>
      </c>
      <c r="N8656" s="8">
        <v>42795</v>
      </c>
      <c r="O8656" s="9" t="s">
        <v>52</v>
      </c>
      <c r="P8656" s="12" t="s">
        <v>7022</v>
      </c>
      <c r="Q8656" s="9" t="s">
        <v>566</v>
      </c>
      <c r="R8656" s="14" t="str">
        <f>HYPERLINK("https://my.pitchbook.com?c=125749-09T","View Company Online")</f>
        <v>View Company Online</v>
      </c>
    </row>
    <row r="8657" spans="1:18" hidden="1" x14ac:dyDescent="0.3">
      <c r="A8657" s="15" t="s">
        <v>24990</v>
      </c>
      <c r="B8657" s="15" t="s">
        <v>1032</v>
      </c>
      <c r="C8657" s="18" t="s">
        <v>28</v>
      </c>
      <c r="D8657" s="15" t="s">
        <v>1033</v>
      </c>
      <c r="E8657" s="18" t="s">
        <v>28</v>
      </c>
      <c r="F8657" s="19" t="s">
        <v>28</v>
      </c>
      <c r="G8657" s="19">
        <v>7.2</v>
      </c>
      <c r="H8657" s="19" t="s">
        <v>28</v>
      </c>
      <c r="I8657" s="18" t="s">
        <v>28</v>
      </c>
      <c r="J8657" s="18" t="s">
        <v>28</v>
      </c>
      <c r="K8657" s="18" t="s">
        <v>28</v>
      </c>
      <c r="L8657" s="18" t="s">
        <v>28</v>
      </c>
      <c r="M8657" s="18" t="s">
        <v>28</v>
      </c>
      <c r="N8657" s="17">
        <v>42795</v>
      </c>
      <c r="O8657" s="15" t="s">
        <v>79</v>
      </c>
      <c r="P8657" s="16" t="s">
        <v>28</v>
      </c>
      <c r="Q8657" s="15" t="s">
        <v>1035</v>
      </c>
      <c r="R8657" s="13" t="str">
        <f>HYPERLINK("https://my.pitchbook.com?c=100884-07T","View Company Online")</f>
        <v>View Company Online</v>
      </c>
    </row>
    <row r="8658" spans="1:18" hidden="1" x14ac:dyDescent="0.3">
      <c r="A8658" s="9" t="s">
        <v>24991</v>
      </c>
      <c r="B8658" s="9" t="s">
        <v>24992</v>
      </c>
      <c r="C8658" s="11" t="s">
        <v>28</v>
      </c>
      <c r="D8658" s="9" t="s">
        <v>24993</v>
      </c>
      <c r="E8658" s="11" t="s">
        <v>28</v>
      </c>
      <c r="F8658" s="10" t="s">
        <v>28</v>
      </c>
      <c r="G8658" s="10" t="s">
        <v>28</v>
      </c>
      <c r="H8658" s="10" t="s">
        <v>28</v>
      </c>
      <c r="I8658" s="11" t="s">
        <v>28</v>
      </c>
      <c r="J8658" s="11" t="s">
        <v>28</v>
      </c>
      <c r="K8658" s="11" t="s">
        <v>28</v>
      </c>
      <c r="L8658" s="11" t="s">
        <v>28</v>
      </c>
      <c r="M8658" s="11" t="s">
        <v>28</v>
      </c>
      <c r="N8658" s="8">
        <v>42795</v>
      </c>
      <c r="O8658" s="9" t="s">
        <v>30</v>
      </c>
      <c r="P8658" s="12" t="s">
        <v>24994</v>
      </c>
      <c r="Q8658" s="9" t="s">
        <v>75</v>
      </c>
      <c r="R8658" s="14" t="str">
        <f>HYPERLINK("https://my.pitchbook.com?c=202318-30T","View Company Online")</f>
        <v>View Company Online</v>
      </c>
    </row>
    <row r="8659" spans="1:18" hidden="1" x14ac:dyDescent="0.3">
      <c r="A8659" s="15" t="s">
        <v>24995</v>
      </c>
      <c r="B8659" s="15" t="s">
        <v>15575</v>
      </c>
      <c r="C8659" s="18" t="s">
        <v>28</v>
      </c>
      <c r="D8659" s="15" t="s">
        <v>15576</v>
      </c>
      <c r="E8659" s="18" t="s">
        <v>28</v>
      </c>
      <c r="F8659" s="19" t="s">
        <v>28</v>
      </c>
      <c r="G8659" s="19">
        <v>0.2</v>
      </c>
      <c r="H8659" s="19" t="s">
        <v>28</v>
      </c>
      <c r="I8659" s="18" t="s">
        <v>28</v>
      </c>
      <c r="J8659" s="18" t="s">
        <v>28</v>
      </c>
      <c r="K8659" s="18" t="s">
        <v>28</v>
      </c>
      <c r="L8659" s="18" t="s">
        <v>28</v>
      </c>
      <c r="M8659" s="18" t="s">
        <v>28</v>
      </c>
      <c r="N8659" s="17">
        <v>42795</v>
      </c>
      <c r="O8659" s="15" t="s">
        <v>379</v>
      </c>
      <c r="P8659" s="16" t="s">
        <v>28</v>
      </c>
      <c r="Q8659" s="15" t="s">
        <v>37</v>
      </c>
      <c r="R8659" s="13" t="str">
        <f>HYPERLINK("https://my.pitchbook.com?c=109752-94T","View Company Online")</f>
        <v>View Company Online</v>
      </c>
    </row>
    <row r="8660" spans="1:18" hidden="1" x14ac:dyDescent="0.3">
      <c r="A8660" s="9" t="s">
        <v>24996</v>
      </c>
      <c r="B8660" s="9" t="s">
        <v>24997</v>
      </c>
      <c r="C8660" s="11" t="s">
        <v>28</v>
      </c>
      <c r="D8660" s="9" t="s">
        <v>24998</v>
      </c>
      <c r="E8660" s="11" t="s">
        <v>28</v>
      </c>
      <c r="F8660" s="10" t="s">
        <v>28</v>
      </c>
      <c r="G8660" s="10" t="s">
        <v>28</v>
      </c>
      <c r="H8660" s="10" t="s">
        <v>28</v>
      </c>
      <c r="I8660" s="11" t="s">
        <v>28</v>
      </c>
      <c r="J8660" s="11" t="s">
        <v>28</v>
      </c>
      <c r="K8660" s="11" t="s">
        <v>28</v>
      </c>
      <c r="L8660" s="11" t="s">
        <v>28</v>
      </c>
      <c r="M8660" s="11" t="s">
        <v>28</v>
      </c>
      <c r="N8660" s="8">
        <v>42795</v>
      </c>
      <c r="O8660" s="9" t="s">
        <v>79</v>
      </c>
      <c r="P8660" s="12" t="s">
        <v>19683</v>
      </c>
      <c r="Q8660" s="9" t="s">
        <v>37</v>
      </c>
      <c r="R8660" s="14" t="str">
        <f>HYPERLINK("https://my.pitchbook.com?c=34874-92T","View Company Online")</f>
        <v>View Company Online</v>
      </c>
    </row>
    <row r="8661" spans="1:18" hidden="1" x14ac:dyDescent="0.3">
      <c r="A8661" s="15" t="s">
        <v>24999</v>
      </c>
      <c r="B8661" s="15" t="s">
        <v>1775</v>
      </c>
      <c r="C8661" s="18" t="s">
        <v>28</v>
      </c>
      <c r="D8661" s="15" t="s">
        <v>1776</v>
      </c>
      <c r="E8661" s="18" t="s">
        <v>28</v>
      </c>
      <c r="F8661" s="19" t="s">
        <v>28</v>
      </c>
      <c r="G8661" s="19">
        <v>0.03</v>
      </c>
      <c r="H8661" s="19" t="s">
        <v>28</v>
      </c>
      <c r="I8661" s="18" t="s">
        <v>28</v>
      </c>
      <c r="J8661" s="18" t="s">
        <v>28</v>
      </c>
      <c r="K8661" s="18" t="s">
        <v>28</v>
      </c>
      <c r="L8661" s="18" t="s">
        <v>28</v>
      </c>
      <c r="M8661" s="18" t="s">
        <v>28</v>
      </c>
      <c r="N8661" s="17">
        <v>42795</v>
      </c>
      <c r="O8661" s="15" t="s">
        <v>52</v>
      </c>
      <c r="P8661" s="16" t="s">
        <v>16809</v>
      </c>
      <c r="Q8661" s="15" t="s">
        <v>37</v>
      </c>
      <c r="R8661" s="13" t="str">
        <f>HYPERLINK("https://my.pitchbook.com?c=180036-64T","View Company Online")</f>
        <v>View Company Online</v>
      </c>
    </row>
    <row r="8662" spans="1:18" hidden="1" x14ac:dyDescent="0.3">
      <c r="A8662" s="9" t="s">
        <v>25000</v>
      </c>
      <c r="B8662" s="9" t="s">
        <v>9785</v>
      </c>
      <c r="C8662" s="11" t="s">
        <v>28</v>
      </c>
      <c r="D8662" s="9" t="s">
        <v>9786</v>
      </c>
      <c r="E8662" s="11" t="s">
        <v>28</v>
      </c>
      <c r="F8662" s="10" t="s">
        <v>28</v>
      </c>
      <c r="G8662" s="10">
        <v>1.1299999999999999</v>
      </c>
      <c r="H8662" s="10" t="s">
        <v>28</v>
      </c>
      <c r="I8662" s="11" t="s">
        <v>28</v>
      </c>
      <c r="J8662" s="11" t="s">
        <v>28</v>
      </c>
      <c r="K8662" s="11" t="s">
        <v>28</v>
      </c>
      <c r="L8662" s="11" t="s">
        <v>28</v>
      </c>
      <c r="M8662" s="11" t="s">
        <v>28</v>
      </c>
      <c r="N8662" s="8">
        <v>42795</v>
      </c>
      <c r="O8662" s="9" t="s">
        <v>99</v>
      </c>
      <c r="P8662" s="12" t="s">
        <v>25001</v>
      </c>
      <c r="Q8662" s="9" t="s">
        <v>75</v>
      </c>
      <c r="R8662" s="14" t="str">
        <f>HYPERLINK("https://my.pitchbook.com?c=86164-03T","View Company Online")</f>
        <v>View Company Online</v>
      </c>
    </row>
    <row r="8663" spans="1:18" hidden="1" x14ac:dyDescent="0.3">
      <c r="A8663" s="15" t="s">
        <v>25002</v>
      </c>
      <c r="B8663" s="15" t="s">
        <v>25003</v>
      </c>
      <c r="C8663" s="18" t="s">
        <v>28</v>
      </c>
      <c r="D8663" s="15" t="s">
        <v>25004</v>
      </c>
      <c r="E8663" s="18" t="s">
        <v>28</v>
      </c>
      <c r="F8663" s="19" t="s">
        <v>28</v>
      </c>
      <c r="G8663" s="19" t="s">
        <v>28</v>
      </c>
      <c r="H8663" s="19" t="s">
        <v>28</v>
      </c>
      <c r="I8663" s="18" t="s">
        <v>28</v>
      </c>
      <c r="J8663" s="18" t="s">
        <v>28</v>
      </c>
      <c r="K8663" s="18" t="s">
        <v>28</v>
      </c>
      <c r="L8663" s="18" t="s">
        <v>28</v>
      </c>
      <c r="M8663" s="18" t="s">
        <v>28</v>
      </c>
      <c r="N8663" s="17">
        <v>42795</v>
      </c>
      <c r="O8663" s="15" t="s">
        <v>41</v>
      </c>
      <c r="P8663" s="16" t="s">
        <v>25005</v>
      </c>
      <c r="Q8663" s="15" t="s">
        <v>183</v>
      </c>
      <c r="R8663" s="13" t="str">
        <f>HYPERLINK("https://my.pitchbook.com?c=127413-73T","View Company Online")</f>
        <v>View Company Online</v>
      </c>
    </row>
    <row r="8664" spans="1:18" hidden="1" x14ac:dyDescent="0.3">
      <c r="A8664" s="9" t="s">
        <v>25006</v>
      </c>
      <c r="B8664" s="9" t="s">
        <v>21334</v>
      </c>
      <c r="C8664" s="11" t="s">
        <v>28</v>
      </c>
      <c r="D8664" s="9" t="s">
        <v>21335</v>
      </c>
      <c r="E8664" s="11" t="s">
        <v>28</v>
      </c>
      <c r="F8664" s="10" t="s">
        <v>28</v>
      </c>
      <c r="G8664" s="10" t="s">
        <v>28</v>
      </c>
      <c r="H8664" s="10" t="s">
        <v>28</v>
      </c>
      <c r="I8664" s="11" t="s">
        <v>28</v>
      </c>
      <c r="J8664" s="11" t="s">
        <v>28</v>
      </c>
      <c r="K8664" s="11" t="s">
        <v>28</v>
      </c>
      <c r="L8664" s="11" t="s">
        <v>28</v>
      </c>
      <c r="M8664" s="11" t="s">
        <v>28</v>
      </c>
      <c r="N8664" s="8">
        <v>42795</v>
      </c>
      <c r="O8664" s="9" t="s">
        <v>73</v>
      </c>
      <c r="P8664" s="12" t="s">
        <v>611</v>
      </c>
      <c r="Q8664" s="9" t="s">
        <v>263</v>
      </c>
      <c r="R8664" s="14" t="str">
        <f>HYPERLINK("https://my.pitchbook.com?c=120010-87T","View Company Online")</f>
        <v>View Company Online</v>
      </c>
    </row>
    <row r="8665" spans="1:18" hidden="1" x14ac:dyDescent="0.3">
      <c r="A8665" s="15" t="s">
        <v>25007</v>
      </c>
      <c r="B8665" s="15" t="s">
        <v>25008</v>
      </c>
      <c r="C8665" s="18" t="s">
        <v>28</v>
      </c>
      <c r="D8665" s="15" t="s">
        <v>25009</v>
      </c>
      <c r="E8665" s="18" t="s">
        <v>28</v>
      </c>
      <c r="F8665" s="19" t="s">
        <v>28</v>
      </c>
      <c r="G8665" s="19" t="s">
        <v>28</v>
      </c>
      <c r="H8665" s="19" t="s">
        <v>28</v>
      </c>
      <c r="I8665" s="18" t="s">
        <v>28</v>
      </c>
      <c r="J8665" s="18" t="s">
        <v>28</v>
      </c>
      <c r="K8665" s="18" t="s">
        <v>28</v>
      </c>
      <c r="L8665" s="18" t="s">
        <v>28</v>
      </c>
      <c r="M8665" s="18" t="s">
        <v>28</v>
      </c>
      <c r="N8665" s="17">
        <v>42795</v>
      </c>
      <c r="O8665" s="15" t="s">
        <v>73</v>
      </c>
      <c r="P8665" s="16" t="s">
        <v>20022</v>
      </c>
      <c r="Q8665" s="15" t="s">
        <v>95</v>
      </c>
      <c r="R8665" s="13" t="str">
        <f>HYPERLINK("https://my.pitchbook.com?c=111403-27T","View Company Online")</f>
        <v>View Company Online</v>
      </c>
    </row>
    <row r="8666" spans="1:18" hidden="1" x14ac:dyDescent="0.3">
      <c r="A8666" s="9" t="s">
        <v>25010</v>
      </c>
      <c r="B8666" s="9" t="s">
        <v>25011</v>
      </c>
      <c r="C8666" s="11" t="s">
        <v>28</v>
      </c>
      <c r="D8666" s="9" t="s">
        <v>25012</v>
      </c>
      <c r="E8666" s="11" t="s">
        <v>28</v>
      </c>
      <c r="F8666" s="10" t="s">
        <v>28</v>
      </c>
      <c r="G8666" s="10" t="s">
        <v>28</v>
      </c>
      <c r="H8666" s="10" t="s">
        <v>28</v>
      </c>
      <c r="I8666" s="11" t="s">
        <v>28</v>
      </c>
      <c r="J8666" s="11" t="s">
        <v>28</v>
      </c>
      <c r="K8666" s="11" t="s">
        <v>28</v>
      </c>
      <c r="L8666" s="11" t="s">
        <v>28</v>
      </c>
      <c r="M8666" s="11" t="s">
        <v>28</v>
      </c>
      <c r="N8666" s="8">
        <v>42794</v>
      </c>
      <c r="O8666" s="9" t="s">
        <v>30</v>
      </c>
      <c r="P8666" s="12" t="s">
        <v>25013</v>
      </c>
      <c r="Q8666" s="9" t="s">
        <v>15521</v>
      </c>
      <c r="R8666" s="14" t="str">
        <f>HYPERLINK("https://my.pitchbook.com?c=83830-87T","View Company Online")</f>
        <v>View Company Online</v>
      </c>
    </row>
    <row r="8667" spans="1:18" hidden="1" x14ac:dyDescent="0.3">
      <c r="A8667" s="15" t="s">
        <v>25014</v>
      </c>
      <c r="B8667" s="15" t="s">
        <v>25015</v>
      </c>
      <c r="C8667" s="18" t="s">
        <v>28</v>
      </c>
      <c r="D8667" s="15" t="s">
        <v>25016</v>
      </c>
      <c r="E8667" s="18" t="s">
        <v>28</v>
      </c>
      <c r="F8667" s="19">
        <v>208.7</v>
      </c>
      <c r="G8667" s="19">
        <v>104.35</v>
      </c>
      <c r="H8667" s="19">
        <v>208.7</v>
      </c>
      <c r="I8667" s="18" t="s">
        <v>28</v>
      </c>
      <c r="J8667" s="18" t="s">
        <v>28</v>
      </c>
      <c r="K8667" s="18" t="s">
        <v>28</v>
      </c>
      <c r="L8667" s="18" t="s">
        <v>28</v>
      </c>
      <c r="M8667" s="18" t="s">
        <v>28</v>
      </c>
      <c r="N8667" s="17">
        <v>42794</v>
      </c>
      <c r="O8667" s="15" t="s">
        <v>30</v>
      </c>
      <c r="P8667" s="16" t="s">
        <v>25017</v>
      </c>
      <c r="Q8667" s="15" t="s">
        <v>2043</v>
      </c>
      <c r="R8667" s="13" t="str">
        <f>HYPERLINK("https://my.pitchbook.com?c=127678-42T","View Company Online")</f>
        <v>View Company Online</v>
      </c>
    </row>
    <row r="8668" spans="1:18" hidden="1" x14ac:dyDescent="0.3">
      <c r="A8668" s="9" t="s">
        <v>25018</v>
      </c>
      <c r="B8668" s="9" t="s">
        <v>20848</v>
      </c>
      <c r="C8668" s="11" t="s">
        <v>28</v>
      </c>
      <c r="D8668" s="9" t="s">
        <v>20849</v>
      </c>
      <c r="E8668" s="11" t="s">
        <v>28</v>
      </c>
      <c r="F8668" s="10" t="s">
        <v>28</v>
      </c>
      <c r="G8668" s="10" t="s">
        <v>28</v>
      </c>
      <c r="H8668" s="10" t="s">
        <v>28</v>
      </c>
      <c r="I8668" s="11" t="s">
        <v>28</v>
      </c>
      <c r="J8668" s="11" t="s">
        <v>28</v>
      </c>
      <c r="K8668" s="11" t="s">
        <v>28</v>
      </c>
      <c r="L8668" s="11" t="s">
        <v>28</v>
      </c>
      <c r="M8668" s="11" t="s">
        <v>28</v>
      </c>
      <c r="N8668" s="8">
        <v>42788</v>
      </c>
      <c r="O8668" s="9" t="s">
        <v>73</v>
      </c>
      <c r="P8668" s="12" t="s">
        <v>20846</v>
      </c>
      <c r="Q8668" s="9" t="s">
        <v>75</v>
      </c>
      <c r="R8668" s="14" t="str">
        <f>HYPERLINK("https://my.pitchbook.com?c=125947-18T","View Company Online")</f>
        <v>View Company Online</v>
      </c>
    </row>
    <row r="8669" spans="1:18" hidden="1" x14ac:dyDescent="0.3">
      <c r="A8669" s="15" t="s">
        <v>25019</v>
      </c>
      <c r="B8669" s="15" t="s">
        <v>10005</v>
      </c>
      <c r="C8669" s="18" t="s">
        <v>28</v>
      </c>
      <c r="D8669" s="15" t="s">
        <v>10006</v>
      </c>
      <c r="E8669" s="18" t="s">
        <v>28</v>
      </c>
      <c r="F8669" s="19" t="s">
        <v>28</v>
      </c>
      <c r="G8669" s="19">
        <v>19</v>
      </c>
      <c r="H8669" s="19" t="s">
        <v>28</v>
      </c>
      <c r="I8669" s="18" t="s">
        <v>28</v>
      </c>
      <c r="J8669" s="18" t="s">
        <v>28</v>
      </c>
      <c r="K8669" s="18" t="s">
        <v>28</v>
      </c>
      <c r="L8669" s="18" t="s">
        <v>28</v>
      </c>
      <c r="M8669" s="18" t="s">
        <v>28</v>
      </c>
      <c r="N8669" s="17">
        <v>42787</v>
      </c>
      <c r="O8669" s="15" t="s">
        <v>79</v>
      </c>
      <c r="P8669" s="16" t="s">
        <v>25020</v>
      </c>
      <c r="Q8669" s="15" t="s">
        <v>696</v>
      </c>
      <c r="R8669" s="13" t="str">
        <f>HYPERLINK("https://my.pitchbook.com?c=82812-16T","View Company Online")</f>
        <v>View Company Online</v>
      </c>
    </row>
    <row r="8670" spans="1:18" hidden="1" x14ac:dyDescent="0.3">
      <c r="A8670" s="9" t="s">
        <v>25021</v>
      </c>
      <c r="B8670" s="9" t="s">
        <v>25022</v>
      </c>
      <c r="C8670" s="11" t="s">
        <v>28</v>
      </c>
      <c r="D8670" s="9" t="s">
        <v>25023</v>
      </c>
      <c r="E8670" s="11" t="s">
        <v>28</v>
      </c>
      <c r="F8670" s="10" t="s">
        <v>28</v>
      </c>
      <c r="G8670" s="10">
        <v>1</v>
      </c>
      <c r="H8670" s="10" t="s">
        <v>28</v>
      </c>
      <c r="I8670" s="11" t="s">
        <v>28</v>
      </c>
      <c r="J8670" s="11" t="s">
        <v>28</v>
      </c>
      <c r="K8670" s="11" t="s">
        <v>28</v>
      </c>
      <c r="L8670" s="11" t="s">
        <v>28</v>
      </c>
      <c r="M8670" s="11" t="s">
        <v>28</v>
      </c>
      <c r="N8670" s="8">
        <v>42783</v>
      </c>
      <c r="O8670" s="9" t="s">
        <v>58</v>
      </c>
      <c r="P8670" s="12" t="s">
        <v>25024</v>
      </c>
      <c r="Q8670" s="9" t="s">
        <v>419</v>
      </c>
      <c r="R8670" s="14" t="str">
        <f>HYPERLINK("https://my.pitchbook.com?c=82578-34T","View Company Online")</f>
        <v>View Company Online</v>
      </c>
    </row>
    <row r="8671" spans="1:18" hidden="1" x14ac:dyDescent="0.3">
      <c r="A8671" s="15" t="s">
        <v>25025</v>
      </c>
      <c r="B8671" s="15" t="s">
        <v>8228</v>
      </c>
      <c r="C8671" s="18" t="s">
        <v>28</v>
      </c>
      <c r="D8671" s="15" t="s">
        <v>8229</v>
      </c>
      <c r="E8671" s="18" t="s">
        <v>28</v>
      </c>
      <c r="F8671" s="19" t="s">
        <v>28</v>
      </c>
      <c r="G8671" s="19">
        <v>0.05</v>
      </c>
      <c r="H8671" s="19" t="s">
        <v>28</v>
      </c>
      <c r="I8671" s="18" t="s">
        <v>28</v>
      </c>
      <c r="J8671" s="18" t="s">
        <v>28</v>
      </c>
      <c r="K8671" s="18" t="s">
        <v>28</v>
      </c>
      <c r="L8671" s="18" t="s">
        <v>28</v>
      </c>
      <c r="M8671" s="18" t="s">
        <v>28</v>
      </c>
      <c r="N8671" s="17">
        <v>42783</v>
      </c>
      <c r="O8671" s="15" t="s">
        <v>52</v>
      </c>
      <c r="P8671" s="16" t="s">
        <v>2442</v>
      </c>
      <c r="Q8671" s="15" t="s">
        <v>75</v>
      </c>
      <c r="R8671" s="13" t="str">
        <f>HYPERLINK("https://my.pitchbook.com?c=109669-69T","View Company Online")</f>
        <v>View Company Online</v>
      </c>
    </row>
    <row r="8672" spans="1:18" hidden="1" x14ac:dyDescent="0.3">
      <c r="A8672" s="9" t="s">
        <v>25026</v>
      </c>
      <c r="B8672" s="9" t="s">
        <v>18428</v>
      </c>
      <c r="C8672" s="11" t="s">
        <v>28</v>
      </c>
      <c r="D8672" s="9" t="s">
        <v>18429</v>
      </c>
      <c r="E8672" s="11" t="s">
        <v>28</v>
      </c>
      <c r="F8672" s="10" t="s">
        <v>28</v>
      </c>
      <c r="G8672" s="10">
        <v>0.54</v>
      </c>
      <c r="H8672" s="10" t="s">
        <v>28</v>
      </c>
      <c r="I8672" s="11" t="s">
        <v>28</v>
      </c>
      <c r="J8672" s="11" t="s">
        <v>28</v>
      </c>
      <c r="K8672" s="11" t="s">
        <v>28</v>
      </c>
      <c r="L8672" s="11" t="s">
        <v>28</v>
      </c>
      <c r="M8672" s="11" t="s">
        <v>28</v>
      </c>
      <c r="N8672" s="8">
        <v>42783</v>
      </c>
      <c r="O8672" s="9" t="s">
        <v>99</v>
      </c>
      <c r="P8672" s="12" t="s">
        <v>25027</v>
      </c>
      <c r="Q8672" s="9" t="s">
        <v>37</v>
      </c>
      <c r="R8672" s="14" t="str">
        <f>HYPERLINK("https://my.pitchbook.com?c=88338-70T","View Company Online")</f>
        <v>View Company Online</v>
      </c>
    </row>
    <row r="8673" spans="1:18" hidden="1" x14ac:dyDescent="0.3">
      <c r="A8673" s="15" t="s">
        <v>25028</v>
      </c>
      <c r="B8673" s="15" t="s">
        <v>18247</v>
      </c>
      <c r="C8673" s="18" t="s">
        <v>28</v>
      </c>
      <c r="D8673" s="15" t="s">
        <v>18248</v>
      </c>
      <c r="E8673" s="18" t="s">
        <v>28</v>
      </c>
      <c r="F8673" s="19" t="s">
        <v>28</v>
      </c>
      <c r="G8673" s="19">
        <v>0.05</v>
      </c>
      <c r="H8673" s="19" t="s">
        <v>28</v>
      </c>
      <c r="I8673" s="18" t="s">
        <v>28</v>
      </c>
      <c r="J8673" s="18" t="s">
        <v>28</v>
      </c>
      <c r="K8673" s="18" t="s">
        <v>28</v>
      </c>
      <c r="L8673" s="18" t="s">
        <v>28</v>
      </c>
      <c r="M8673" s="18" t="s">
        <v>28</v>
      </c>
      <c r="N8673" s="17">
        <v>42783</v>
      </c>
      <c r="O8673" s="15" t="s">
        <v>52</v>
      </c>
      <c r="P8673" s="16" t="s">
        <v>25029</v>
      </c>
      <c r="Q8673" s="15" t="s">
        <v>85</v>
      </c>
      <c r="R8673" s="13" t="str">
        <f>HYPERLINK("https://my.pitchbook.com?c=167449-15T","View Company Online")</f>
        <v>View Company Online</v>
      </c>
    </row>
    <row r="8674" spans="1:18" hidden="1" x14ac:dyDescent="0.3">
      <c r="A8674" s="9" t="s">
        <v>25030</v>
      </c>
      <c r="B8674" s="9" t="s">
        <v>25031</v>
      </c>
      <c r="C8674" s="11" t="s">
        <v>28</v>
      </c>
      <c r="D8674" s="9" t="s">
        <v>25032</v>
      </c>
      <c r="E8674" s="11" t="s">
        <v>28</v>
      </c>
      <c r="F8674" s="10" t="s">
        <v>28</v>
      </c>
      <c r="G8674" s="10" t="s">
        <v>28</v>
      </c>
      <c r="H8674" s="10" t="s">
        <v>28</v>
      </c>
      <c r="I8674" s="11" t="s">
        <v>28</v>
      </c>
      <c r="J8674" s="11" t="s">
        <v>28</v>
      </c>
      <c r="K8674" s="11" t="s">
        <v>28</v>
      </c>
      <c r="L8674" s="11" t="s">
        <v>28</v>
      </c>
      <c r="M8674" s="11" t="s">
        <v>28</v>
      </c>
      <c r="N8674" s="8">
        <v>42782</v>
      </c>
      <c r="O8674" s="9" t="s">
        <v>30</v>
      </c>
      <c r="P8674" s="12" t="s">
        <v>25033</v>
      </c>
      <c r="Q8674" s="9" t="s">
        <v>740</v>
      </c>
      <c r="R8674" s="14" t="str">
        <f>HYPERLINK("https://my.pitchbook.com?c=100878-13T","View Company Online")</f>
        <v>View Company Online</v>
      </c>
    </row>
    <row r="8675" spans="1:18" hidden="1" x14ac:dyDescent="0.3">
      <c r="A8675" s="15" t="s">
        <v>25034</v>
      </c>
      <c r="B8675" s="15" t="s">
        <v>24582</v>
      </c>
      <c r="C8675" s="18" t="s">
        <v>28</v>
      </c>
      <c r="D8675" s="15" t="s">
        <v>24583</v>
      </c>
      <c r="E8675" s="18" t="s">
        <v>28</v>
      </c>
      <c r="F8675" s="19" t="s">
        <v>28</v>
      </c>
      <c r="G8675" s="19" t="s">
        <v>28</v>
      </c>
      <c r="H8675" s="19" t="s">
        <v>28</v>
      </c>
      <c r="I8675" s="18" t="s">
        <v>28</v>
      </c>
      <c r="J8675" s="18" t="s">
        <v>28</v>
      </c>
      <c r="K8675" s="18" t="s">
        <v>28</v>
      </c>
      <c r="L8675" s="18" t="s">
        <v>28</v>
      </c>
      <c r="M8675" s="18" t="s">
        <v>28</v>
      </c>
      <c r="N8675" s="17">
        <v>42781</v>
      </c>
      <c r="O8675" s="15" t="s">
        <v>52</v>
      </c>
      <c r="P8675" s="16" t="s">
        <v>2830</v>
      </c>
      <c r="Q8675" s="15" t="s">
        <v>386</v>
      </c>
      <c r="R8675" s="13" t="str">
        <f>HYPERLINK("https://my.pitchbook.com?c=105838-30T","View Company Online")</f>
        <v>View Company Online</v>
      </c>
    </row>
    <row r="8676" spans="1:18" hidden="1" x14ac:dyDescent="0.3">
      <c r="A8676" s="9" t="s">
        <v>25035</v>
      </c>
      <c r="B8676" s="9" t="s">
        <v>23224</v>
      </c>
      <c r="C8676" s="11" t="s">
        <v>28</v>
      </c>
      <c r="D8676" s="9" t="s">
        <v>23225</v>
      </c>
      <c r="E8676" s="11">
        <v>3.45</v>
      </c>
      <c r="F8676" s="10" t="s">
        <v>28</v>
      </c>
      <c r="G8676" s="10">
        <v>1.1200000000000001</v>
      </c>
      <c r="H8676" s="10">
        <v>15.22</v>
      </c>
      <c r="I8676" s="11">
        <v>3.46</v>
      </c>
      <c r="J8676" s="11">
        <v>4.4000000000000004</v>
      </c>
      <c r="K8676" s="11">
        <v>0</v>
      </c>
      <c r="L8676" s="11" t="s">
        <v>28</v>
      </c>
      <c r="M8676" s="11">
        <v>4.43</v>
      </c>
      <c r="N8676" s="8">
        <v>42781</v>
      </c>
      <c r="O8676" s="9" t="s">
        <v>159</v>
      </c>
      <c r="P8676" s="12" t="s">
        <v>25036</v>
      </c>
      <c r="Q8676" s="9" t="s">
        <v>975</v>
      </c>
      <c r="R8676" s="14" t="str">
        <f>HYPERLINK("https://my.pitchbook.com?c=82446-13T","View Company Online")</f>
        <v>View Company Online</v>
      </c>
    </row>
    <row r="8677" spans="1:18" hidden="1" x14ac:dyDescent="0.3">
      <c r="A8677" s="15" t="s">
        <v>25037</v>
      </c>
      <c r="B8677" s="15" t="s">
        <v>9177</v>
      </c>
      <c r="C8677" s="18" t="s">
        <v>28</v>
      </c>
      <c r="D8677" s="15" t="s">
        <v>9178</v>
      </c>
      <c r="E8677" s="18" t="s">
        <v>28</v>
      </c>
      <c r="F8677" s="19">
        <v>671.94</v>
      </c>
      <c r="G8677" s="19">
        <v>637</v>
      </c>
      <c r="H8677" s="19">
        <v>671.94</v>
      </c>
      <c r="I8677" s="18" t="s">
        <v>28</v>
      </c>
      <c r="J8677" s="18" t="s">
        <v>28</v>
      </c>
      <c r="K8677" s="18" t="s">
        <v>28</v>
      </c>
      <c r="L8677" s="18" t="s">
        <v>28</v>
      </c>
      <c r="M8677" s="18" t="s">
        <v>28</v>
      </c>
      <c r="N8677" s="17">
        <v>42780</v>
      </c>
      <c r="O8677" s="15" t="s">
        <v>30</v>
      </c>
      <c r="P8677" s="16" t="s">
        <v>22746</v>
      </c>
      <c r="Q8677" s="15" t="s">
        <v>348</v>
      </c>
      <c r="R8677" s="13" t="str">
        <f>HYPERLINK("https://my.pitchbook.com?c=65876-59T","View Company Online")</f>
        <v>View Company Online</v>
      </c>
    </row>
    <row r="8678" spans="1:18" hidden="1" x14ac:dyDescent="0.3">
      <c r="A8678" s="9" t="s">
        <v>25038</v>
      </c>
      <c r="B8678" s="9" t="s">
        <v>25039</v>
      </c>
      <c r="C8678" s="11" t="s">
        <v>28</v>
      </c>
      <c r="D8678" s="9" t="s">
        <v>25040</v>
      </c>
      <c r="E8678" s="11" t="s">
        <v>28</v>
      </c>
      <c r="F8678" s="10" t="s">
        <v>28</v>
      </c>
      <c r="G8678" s="10" t="s">
        <v>28</v>
      </c>
      <c r="H8678" s="10" t="s">
        <v>28</v>
      </c>
      <c r="I8678" s="11" t="s">
        <v>28</v>
      </c>
      <c r="J8678" s="11" t="s">
        <v>28</v>
      </c>
      <c r="K8678" s="11" t="s">
        <v>28</v>
      </c>
      <c r="L8678" s="11" t="s">
        <v>28</v>
      </c>
      <c r="M8678" s="11" t="s">
        <v>28</v>
      </c>
      <c r="N8678" s="8">
        <v>42780</v>
      </c>
      <c r="O8678" s="9" t="s">
        <v>52</v>
      </c>
      <c r="P8678" s="12" t="s">
        <v>2830</v>
      </c>
      <c r="Q8678" s="9" t="s">
        <v>607</v>
      </c>
      <c r="R8678" s="14" t="str">
        <f>HYPERLINK("https://my.pitchbook.com?c=292187-62T","View Company Online")</f>
        <v>View Company Online</v>
      </c>
    </row>
    <row r="8679" spans="1:18" hidden="1" x14ac:dyDescent="0.3">
      <c r="A8679" s="15" t="s">
        <v>25041</v>
      </c>
      <c r="B8679" s="15" t="s">
        <v>25042</v>
      </c>
      <c r="C8679" s="18" t="s">
        <v>28</v>
      </c>
      <c r="D8679" s="15" t="s">
        <v>25043</v>
      </c>
      <c r="E8679" s="18" t="s">
        <v>28</v>
      </c>
      <c r="F8679" s="19" t="s">
        <v>28</v>
      </c>
      <c r="G8679" s="19" t="s">
        <v>28</v>
      </c>
      <c r="H8679" s="19" t="s">
        <v>28</v>
      </c>
      <c r="I8679" s="18" t="s">
        <v>28</v>
      </c>
      <c r="J8679" s="18" t="s">
        <v>28</v>
      </c>
      <c r="K8679" s="18" t="s">
        <v>28</v>
      </c>
      <c r="L8679" s="18" t="s">
        <v>28</v>
      </c>
      <c r="M8679" s="18" t="s">
        <v>28</v>
      </c>
      <c r="N8679" s="17">
        <v>42780</v>
      </c>
      <c r="O8679" s="15" t="s">
        <v>52</v>
      </c>
      <c r="P8679" s="16" t="s">
        <v>2830</v>
      </c>
      <c r="Q8679" s="15" t="s">
        <v>75</v>
      </c>
      <c r="R8679" s="13" t="str">
        <f>HYPERLINK("https://my.pitchbook.com?c=266374-36T","View Company Online")</f>
        <v>View Company Online</v>
      </c>
    </row>
    <row r="8680" spans="1:18" hidden="1" x14ac:dyDescent="0.3">
      <c r="A8680" s="9" t="s">
        <v>25044</v>
      </c>
      <c r="B8680" s="9" t="s">
        <v>24705</v>
      </c>
      <c r="C8680" s="11" t="s">
        <v>28</v>
      </c>
      <c r="D8680" s="9" t="s">
        <v>24706</v>
      </c>
      <c r="E8680" s="11" t="s">
        <v>28</v>
      </c>
      <c r="F8680" s="10" t="s">
        <v>28</v>
      </c>
      <c r="G8680" s="10" t="s">
        <v>28</v>
      </c>
      <c r="H8680" s="10" t="s">
        <v>28</v>
      </c>
      <c r="I8680" s="11" t="s">
        <v>28</v>
      </c>
      <c r="J8680" s="11" t="s">
        <v>28</v>
      </c>
      <c r="K8680" s="11" t="s">
        <v>28</v>
      </c>
      <c r="L8680" s="11" t="s">
        <v>28</v>
      </c>
      <c r="M8680" s="11" t="s">
        <v>28</v>
      </c>
      <c r="N8680" s="8">
        <v>42780</v>
      </c>
      <c r="O8680" s="9" t="s">
        <v>52</v>
      </c>
      <c r="P8680" s="12" t="s">
        <v>1970</v>
      </c>
      <c r="Q8680" s="9" t="s">
        <v>37</v>
      </c>
      <c r="R8680" s="14" t="str">
        <f>HYPERLINK("https://my.pitchbook.com?c=125701-75T","View Company Online")</f>
        <v>View Company Online</v>
      </c>
    </row>
    <row r="8681" spans="1:18" hidden="1" x14ac:dyDescent="0.3">
      <c r="A8681" s="15" t="s">
        <v>25045</v>
      </c>
      <c r="B8681" s="15" t="s">
        <v>22787</v>
      </c>
      <c r="C8681" s="18" t="s">
        <v>28</v>
      </c>
      <c r="D8681" s="15" t="s">
        <v>22788</v>
      </c>
      <c r="E8681" s="18" t="s">
        <v>28</v>
      </c>
      <c r="F8681" s="19" t="s">
        <v>28</v>
      </c>
      <c r="G8681" s="19" t="s">
        <v>28</v>
      </c>
      <c r="H8681" s="19" t="s">
        <v>28</v>
      </c>
      <c r="I8681" s="18" t="s">
        <v>28</v>
      </c>
      <c r="J8681" s="18" t="s">
        <v>28</v>
      </c>
      <c r="K8681" s="18" t="s">
        <v>28</v>
      </c>
      <c r="L8681" s="18" t="s">
        <v>28</v>
      </c>
      <c r="M8681" s="18" t="s">
        <v>28</v>
      </c>
      <c r="N8681" s="17">
        <v>42780</v>
      </c>
      <c r="O8681" s="15" t="s">
        <v>52</v>
      </c>
      <c r="P8681" s="16" t="s">
        <v>2830</v>
      </c>
      <c r="Q8681" s="15" t="s">
        <v>522</v>
      </c>
      <c r="R8681" s="13" t="str">
        <f>HYPERLINK("https://my.pitchbook.com?c=264299-68T","View Company Online")</f>
        <v>View Company Online</v>
      </c>
    </row>
    <row r="8682" spans="1:18" hidden="1" x14ac:dyDescent="0.3">
      <c r="A8682" s="9" t="s">
        <v>25046</v>
      </c>
      <c r="B8682" s="9" t="s">
        <v>9694</v>
      </c>
      <c r="C8682" s="11" t="s">
        <v>28</v>
      </c>
      <c r="D8682" s="9" t="s">
        <v>9695</v>
      </c>
      <c r="E8682" s="11" t="s">
        <v>28</v>
      </c>
      <c r="F8682" s="10" t="s">
        <v>28</v>
      </c>
      <c r="G8682" s="10" t="s">
        <v>28</v>
      </c>
      <c r="H8682" s="10" t="s">
        <v>28</v>
      </c>
      <c r="I8682" s="11" t="s">
        <v>28</v>
      </c>
      <c r="J8682" s="11" t="s">
        <v>28</v>
      </c>
      <c r="K8682" s="11" t="s">
        <v>28</v>
      </c>
      <c r="L8682" s="11" t="s">
        <v>28</v>
      </c>
      <c r="M8682" s="11" t="s">
        <v>28</v>
      </c>
      <c r="N8682" s="8">
        <v>42780</v>
      </c>
      <c r="O8682" s="9" t="s">
        <v>52</v>
      </c>
      <c r="P8682" s="12" t="s">
        <v>2830</v>
      </c>
      <c r="Q8682" s="9" t="s">
        <v>75</v>
      </c>
      <c r="R8682" s="14" t="str">
        <f>HYPERLINK("https://my.pitchbook.com?c=264303-55T","View Company Online")</f>
        <v>View Company Online</v>
      </c>
    </row>
    <row r="8683" spans="1:18" hidden="1" x14ac:dyDescent="0.3">
      <c r="A8683" s="15" t="s">
        <v>25047</v>
      </c>
      <c r="B8683" s="15" t="s">
        <v>25048</v>
      </c>
      <c r="C8683" s="18" t="s">
        <v>28</v>
      </c>
      <c r="D8683" s="15" t="s">
        <v>25049</v>
      </c>
      <c r="E8683" s="18" t="s">
        <v>28</v>
      </c>
      <c r="F8683" s="19" t="s">
        <v>28</v>
      </c>
      <c r="G8683" s="19" t="s">
        <v>28</v>
      </c>
      <c r="H8683" s="19" t="s">
        <v>28</v>
      </c>
      <c r="I8683" s="18" t="s">
        <v>28</v>
      </c>
      <c r="J8683" s="18" t="s">
        <v>28</v>
      </c>
      <c r="K8683" s="18" t="s">
        <v>28</v>
      </c>
      <c r="L8683" s="18" t="s">
        <v>28</v>
      </c>
      <c r="M8683" s="18" t="s">
        <v>28</v>
      </c>
      <c r="N8683" s="17">
        <v>42780</v>
      </c>
      <c r="O8683" s="15" t="s">
        <v>52</v>
      </c>
      <c r="P8683" s="16" t="s">
        <v>2830</v>
      </c>
      <c r="Q8683" s="15" t="s">
        <v>855</v>
      </c>
      <c r="R8683" s="13" t="str">
        <f>HYPERLINK("https://my.pitchbook.com?c=266614-84T","View Company Online")</f>
        <v>View Company Online</v>
      </c>
    </row>
    <row r="8684" spans="1:18" hidden="1" x14ac:dyDescent="0.3">
      <c r="A8684" s="9" t="s">
        <v>25050</v>
      </c>
      <c r="B8684" s="9" t="s">
        <v>21769</v>
      </c>
      <c r="C8684" s="11" t="s">
        <v>28</v>
      </c>
      <c r="D8684" s="9" t="s">
        <v>21770</v>
      </c>
      <c r="E8684" s="11" t="s">
        <v>28</v>
      </c>
      <c r="F8684" s="10" t="s">
        <v>28</v>
      </c>
      <c r="G8684" s="10" t="s">
        <v>28</v>
      </c>
      <c r="H8684" s="10" t="s">
        <v>28</v>
      </c>
      <c r="I8684" s="11" t="s">
        <v>28</v>
      </c>
      <c r="J8684" s="11" t="s">
        <v>28</v>
      </c>
      <c r="K8684" s="11" t="s">
        <v>28</v>
      </c>
      <c r="L8684" s="11" t="s">
        <v>28</v>
      </c>
      <c r="M8684" s="11" t="s">
        <v>28</v>
      </c>
      <c r="N8684" s="8">
        <v>42780</v>
      </c>
      <c r="O8684" s="9" t="s">
        <v>52</v>
      </c>
      <c r="P8684" s="12" t="s">
        <v>2830</v>
      </c>
      <c r="Q8684" s="9" t="s">
        <v>1088</v>
      </c>
      <c r="R8684" s="14" t="str">
        <f>HYPERLINK("https://my.pitchbook.com?c=265691-26T","View Company Online")</f>
        <v>View Company Online</v>
      </c>
    </row>
    <row r="8685" spans="1:18" hidden="1" x14ac:dyDescent="0.3">
      <c r="A8685" s="15" t="s">
        <v>25051</v>
      </c>
      <c r="B8685" s="15" t="s">
        <v>25052</v>
      </c>
      <c r="C8685" s="18" t="s">
        <v>28</v>
      </c>
      <c r="D8685" s="15" t="s">
        <v>25053</v>
      </c>
      <c r="E8685" s="18" t="s">
        <v>28</v>
      </c>
      <c r="F8685" s="19" t="s">
        <v>28</v>
      </c>
      <c r="G8685" s="19" t="s">
        <v>28</v>
      </c>
      <c r="H8685" s="19" t="s">
        <v>28</v>
      </c>
      <c r="I8685" s="18" t="s">
        <v>28</v>
      </c>
      <c r="J8685" s="18" t="s">
        <v>28</v>
      </c>
      <c r="K8685" s="18" t="s">
        <v>28</v>
      </c>
      <c r="L8685" s="18" t="s">
        <v>28</v>
      </c>
      <c r="M8685" s="18" t="s">
        <v>28</v>
      </c>
      <c r="N8685" s="17">
        <v>42780</v>
      </c>
      <c r="O8685" s="15" t="s">
        <v>52</v>
      </c>
      <c r="P8685" s="16" t="s">
        <v>2830</v>
      </c>
      <c r="Q8685" s="15" t="s">
        <v>75</v>
      </c>
      <c r="R8685" s="13" t="str">
        <f>HYPERLINK("https://my.pitchbook.com?c=291936-07T","View Company Online")</f>
        <v>View Company Online</v>
      </c>
    </row>
    <row r="8686" spans="1:18" hidden="1" x14ac:dyDescent="0.3">
      <c r="A8686" s="9" t="s">
        <v>25054</v>
      </c>
      <c r="B8686" s="9" t="s">
        <v>25055</v>
      </c>
      <c r="C8686" s="11" t="s">
        <v>28</v>
      </c>
      <c r="D8686" s="9" t="s">
        <v>25056</v>
      </c>
      <c r="E8686" s="11" t="s">
        <v>28</v>
      </c>
      <c r="F8686" s="10" t="s">
        <v>28</v>
      </c>
      <c r="G8686" s="10" t="s">
        <v>28</v>
      </c>
      <c r="H8686" s="10" t="s">
        <v>28</v>
      </c>
      <c r="I8686" s="11" t="s">
        <v>28</v>
      </c>
      <c r="J8686" s="11" t="s">
        <v>28</v>
      </c>
      <c r="K8686" s="11" t="s">
        <v>28</v>
      </c>
      <c r="L8686" s="11" t="s">
        <v>28</v>
      </c>
      <c r="M8686" s="11" t="s">
        <v>28</v>
      </c>
      <c r="N8686" s="8">
        <v>42779</v>
      </c>
      <c r="O8686" s="9" t="s">
        <v>173</v>
      </c>
      <c r="P8686" s="12" t="s">
        <v>28</v>
      </c>
      <c r="Q8686" s="9" t="s">
        <v>174</v>
      </c>
      <c r="R8686" s="14" t="str">
        <f>HYPERLINK("https://my.pitchbook.com?c=251369-29T","View Company Online")</f>
        <v>View Company Online</v>
      </c>
    </row>
    <row r="8687" spans="1:18" hidden="1" x14ac:dyDescent="0.3">
      <c r="A8687" s="15" t="s">
        <v>25057</v>
      </c>
      <c r="B8687" s="15" t="s">
        <v>23211</v>
      </c>
      <c r="C8687" s="18" t="s">
        <v>28</v>
      </c>
      <c r="D8687" s="15" t="s">
        <v>23212</v>
      </c>
      <c r="E8687" s="18" t="s">
        <v>28</v>
      </c>
      <c r="F8687" s="19" t="s">
        <v>28</v>
      </c>
      <c r="G8687" s="19" t="s">
        <v>28</v>
      </c>
      <c r="H8687" s="19" t="s">
        <v>28</v>
      </c>
      <c r="I8687" s="18">
        <v>97.05</v>
      </c>
      <c r="J8687" s="18" t="s">
        <v>28</v>
      </c>
      <c r="K8687" s="18">
        <v>340.82</v>
      </c>
      <c r="L8687" s="18" t="s">
        <v>28</v>
      </c>
      <c r="M8687" s="18">
        <v>6.85</v>
      </c>
      <c r="N8687" s="17">
        <v>42776</v>
      </c>
      <c r="O8687" s="15" t="s">
        <v>173</v>
      </c>
      <c r="P8687" s="16" t="s">
        <v>28</v>
      </c>
      <c r="Q8687" s="15" t="s">
        <v>959</v>
      </c>
      <c r="R8687" s="13" t="str">
        <f>HYPERLINK("https://my.pitchbook.com?c=79153-93T","View Company Online")</f>
        <v>View Company Online</v>
      </c>
    </row>
    <row r="8688" spans="1:18" hidden="1" x14ac:dyDescent="0.3">
      <c r="A8688" s="9" t="s">
        <v>25058</v>
      </c>
      <c r="B8688" s="9" t="s">
        <v>25059</v>
      </c>
      <c r="C8688" s="11" t="s">
        <v>28</v>
      </c>
      <c r="D8688" s="9" t="s">
        <v>25060</v>
      </c>
      <c r="E8688" s="11">
        <v>55.91</v>
      </c>
      <c r="F8688" s="10" t="s">
        <v>28</v>
      </c>
      <c r="G8688" s="10">
        <v>203.31</v>
      </c>
      <c r="H8688" s="10" t="s">
        <v>28</v>
      </c>
      <c r="I8688" s="11">
        <v>76.62</v>
      </c>
      <c r="J8688" s="11" t="s">
        <v>28</v>
      </c>
      <c r="K8688" s="11">
        <v>527.04</v>
      </c>
      <c r="L8688" s="11" t="s">
        <v>28</v>
      </c>
      <c r="M8688" s="11">
        <v>11.43</v>
      </c>
      <c r="N8688" s="8">
        <v>42774</v>
      </c>
      <c r="O8688" s="9" t="s">
        <v>173</v>
      </c>
      <c r="P8688" s="12" t="s">
        <v>28</v>
      </c>
      <c r="Q8688" s="9" t="s">
        <v>959</v>
      </c>
      <c r="R8688" s="14" t="str">
        <f>HYPERLINK("https://my.pitchbook.com?c=176626-54T","View Company Online")</f>
        <v>View Company Online</v>
      </c>
    </row>
    <row r="8689" spans="1:18" hidden="1" x14ac:dyDescent="0.3">
      <c r="A8689" s="15" t="s">
        <v>25061</v>
      </c>
      <c r="B8689" s="15" t="s">
        <v>20426</v>
      </c>
      <c r="C8689" s="18" t="s">
        <v>28</v>
      </c>
      <c r="D8689" s="15" t="s">
        <v>20427</v>
      </c>
      <c r="E8689" s="18" t="s">
        <v>28</v>
      </c>
      <c r="F8689" s="19" t="s">
        <v>28</v>
      </c>
      <c r="G8689" s="19">
        <v>0.15</v>
      </c>
      <c r="H8689" s="19">
        <v>2.5</v>
      </c>
      <c r="I8689" s="18" t="s">
        <v>28</v>
      </c>
      <c r="J8689" s="18" t="s">
        <v>28</v>
      </c>
      <c r="K8689" s="18" t="s">
        <v>28</v>
      </c>
      <c r="L8689" s="18" t="s">
        <v>28</v>
      </c>
      <c r="M8689" s="18" t="s">
        <v>28</v>
      </c>
      <c r="N8689" s="17">
        <v>42774</v>
      </c>
      <c r="O8689" s="15" t="s">
        <v>52</v>
      </c>
      <c r="P8689" s="16" t="s">
        <v>10628</v>
      </c>
      <c r="Q8689" s="15" t="s">
        <v>522</v>
      </c>
      <c r="R8689" s="13" t="str">
        <f>HYPERLINK("https://my.pitchbook.com?c=82338-13T","View Company Online")</f>
        <v>View Company Online</v>
      </c>
    </row>
    <row r="8690" spans="1:18" hidden="1" x14ac:dyDescent="0.3">
      <c r="A8690" s="9" t="s">
        <v>25062</v>
      </c>
      <c r="B8690" s="9" t="s">
        <v>15694</v>
      </c>
      <c r="C8690" s="11" t="s">
        <v>28</v>
      </c>
      <c r="D8690" s="9" t="s">
        <v>15695</v>
      </c>
      <c r="E8690" s="11" t="s">
        <v>28</v>
      </c>
      <c r="F8690" s="10" t="s">
        <v>28</v>
      </c>
      <c r="G8690" s="10" t="s">
        <v>28</v>
      </c>
      <c r="H8690" s="10" t="s">
        <v>28</v>
      </c>
      <c r="I8690" s="11" t="s">
        <v>28</v>
      </c>
      <c r="J8690" s="11" t="s">
        <v>28</v>
      </c>
      <c r="K8690" s="11" t="s">
        <v>28</v>
      </c>
      <c r="L8690" s="11" t="s">
        <v>28</v>
      </c>
      <c r="M8690" s="11" t="s">
        <v>28</v>
      </c>
      <c r="N8690" s="8">
        <v>42773</v>
      </c>
      <c r="O8690" s="9" t="s">
        <v>52</v>
      </c>
      <c r="P8690" s="12" t="s">
        <v>25063</v>
      </c>
      <c r="Q8690" s="9" t="s">
        <v>114</v>
      </c>
      <c r="R8690" s="14" t="str">
        <f>HYPERLINK("https://my.pitchbook.com?c=122940-46T","View Company Online")</f>
        <v>View Company Online</v>
      </c>
    </row>
    <row r="8691" spans="1:18" hidden="1" x14ac:dyDescent="0.3">
      <c r="A8691" s="15" t="s">
        <v>25064</v>
      </c>
      <c r="B8691" s="15" t="s">
        <v>25065</v>
      </c>
      <c r="C8691" s="18" t="s">
        <v>28</v>
      </c>
      <c r="D8691" s="15" t="s">
        <v>25066</v>
      </c>
      <c r="E8691" s="18" t="s">
        <v>28</v>
      </c>
      <c r="F8691" s="19" t="s">
        <v>28</v>
      </c>
      <c r="G8691" s="19" t="s">
        <v>28</v>
      </c>
      <c r="H8691" s="19" t="s">
        <v>28</v>
      </c>
      <c r="I8691" s="18" t="s">
        <v>28</v>
      </c>
      <c r="J8691" s="18" t="s">
        <v>28</v>
      </c>
      <c r="K8691" s="18" t="s">
        <v>28</v>
      </c>
      <c r="L8691" s="18" t="s">
        <v>28</v>
      </c>
      <c r="M8691" s="18" t="s">
        <v>28</v>
      </c>
      <c r="N8691" s="17">
        <v>42772</v>
      </c>
      <c r="O8691" s="15" t="s">
        <v>93</v>
      </c>
      <c r="P8691" s="16" t="s">
        <v>25067</v>
      </c>
      <c r="Q8691" s="15" t="s">
        <v>316</v>
      </c>
      <c r="R8691" s="13" t="str">
        <f>HYPERLINK("https://my.pitchbook.com?c=93727-27T","View Company Online")</f>
        <v>View Company Online</v>
      </c>
    </row>
    <row r="8692" spans="1:18" hidden="1" x14ac:dyDescent="0.3">
      <c r="A8692" s="9" t="s">
        <v>25068</v>
      </c>
      <c r="B8692" s="9" t="s">
        <v>22888</v>
      </c>
      <c r="C8692" s="11" t="s">
        <v>28</v>
      </c>
      <c r="D8692" s="9" t="s">
        <v>22889</v>
      </c>
      <c r="E8692" s="11" t="s">
        <v>28</v>
      </c>
      <c r="F8692" s="10" t="s">
        <v>28</v>
      </c>
      <c r="G8692" s="10" t="s">
        <v>28</v>
      </c>
      <c r="H8692" s="10" t="s">
        <v>28</v>
      </c>
      <c r="I8692" s="11" t="s">
        <v>28</v>
      </c>
      <c r="J8692" s="11" t="s">
        <v>28</v>
      </c>
      <c r="K8692" s="11" t="s">
        <v>28</v>
      </c>
      <c r="L8692" s="11" t="s">
        <v>28</v>
      </c>
      <c r="M8692" s="11" t="s">
        <v>28</v>
      </c>
      <c r="N8692" s="8">
        <v>42771</v>
      </c>
      <c r="O8692" s="9" t="s">
        <v>99</v>
      </c>
      <c r="P8692" s="12" t="s">
        <v>3430</v>
      </c>
      <c r="Q8692" s="9" t="s">
        <v>75</v>
      </c>
      <c r="R8692" s="14" t="str">
        <f>HYPERLINK("https://my.pitchbook.com?c=212271-22T","View Company Online")</f>
        <v>View Company Online</v>
      </c>
    </row>
    <row r="8693" spans="1:18" hidden="1" x14ac:dyDescent="0.3">
      <c r="A8693" s="15" t="s">
        <v>25069</v>
      </c>
      <c r="B8693" s="15" t="s">
        <v>25070</v>
      </c>
      <c r="C8693" s="18" t="s">
        <v>28</v>
      </c>
      <c r="D8693" s="15" t="s">
        <v>25071</v>
      </c>
      <c r="E8693" s="18" t="s">
        <v>28</v>
      </c>
      <c r="F8693" s="19" t="s">
        <v>28</v>
      </c>
      <c r="G8693" s="19">
        <v>1.1000000000000001</v>
      </c>
      <c r="H8693" s="19" t="s">
        <v>28</v>
      </c>
      <c r="I8693" s="18" t="s">
        <v>28</v>
      </c>
      <c r="J8693" s="18" t="s">
        <v>28</v>
      </c>
      <c r="K8693" s="18" t="s">
        <v>28</v>
      </c>
      <c r="L8693" s="18" t="s">
        <v>28</v>
      </c>
      <c r="M8693" s="18" t="s">
        <v>28</v>
      </c>
      <c r="N8693" s="17">
        <v>42769</v>
      </c>
      <c r="O8693" s="15" t="s">
        <v>73</v>
      </c>
      <c r="P8693" s="16" t="s">
        <v>25072</v>
      </c>
      <c r="Q8693" s="15" t="s">
        <v>75</v>
      </c>
      <c r="R8693" s="13" t="str">
        <f>HYPERLINK("https://my.pitchbook.com?c=86168-17T","View Company Online")</f>
        <v>View Company Online</v>
      </c>
    </row>
    <row r="8694" spans="1:18" hidden="1" x14ac:dyDescent="0.3">
      <c r="A8694" s="9" t="s">
        <v>25073</v>
      </c>
      <c r="B8694" s="9" t="s">
        <v>25074</v>
      </c>
      <c r="C8694" s="11" t="s">
        <v>28</v>
      </c>
      <c r="D8694" s="9" t="s">
        <v>25075</v>
      </c>
      <c r="E8694" s="11" t="s">
        <v>28</v>
      </c>
      <c r="F8694" s="10" t="s">
        <v>28</v>
      </c>
      <c r="G8694" s="10">
        <v>0.31</v>
      </c>
      <c r="H8694" s="10" t="s">
        <v>28</v>
      </c>
      <c r="I8694" s="11" t="s">
        <v>28</v>
      </c>
      <c r="J8694" s="11" t="s">
        <v>28</v>
      </c>
      <c r="K8694" s="11" t="s">
        <v>28</v>
      </c>
      <c r="L8694" s="11" t="s">
        <v>28</v>
      </c>
      <c r="M8694" s="11" t="s">
        <v>28</v>
      </c>
      <c r="N8694" s="8">
        <v>42769</v>
      </c>
      <c r="O8694" s="9" t="s">
        <v>379</v>
      </c>
      <c r="P8694" s="12" t="s">
        <v>25076</v>
      </c>
      <c r="Q8694" s="9" t="s">
        <v>740</v>
      </c>
      <c r="R8694" s="14" t="str">
        <f>HYPERLINK("https://my.pitchbook.com?c=123139-18T","View Company Online")</f>
        <v>View Company Online</v>
      </c>
    </row>
    <row r="8695" spans="1:18" hidden="1" x14ac:dyDescent="0.3">
      <c r="A8695" s="15" t="s">
        <v>25077</v>
      </c>
      <c r="B8695" s="15" t="s">
        <v>25078</v>
      </c>
      <c r="C8695" s="18" t="s">
        <v>28</v>
      </c>
      <c r="D8695" s="15" t="s">
        <v>25079</v>
      </c>
      <c r="E8695" s="18" t="s">
        <v>28</v>
      </c>
      <c r="F8695" s="19" t="s">
        <v>28</v>
      </c>
      <c r="G8695" s="19" t="s">
        <v>28</v>
      </c>
      <c r="H8695" s="19" t="s">
        <v>28</v>
      </c>
      <c r="I8695" s="18" t="s">
        <v>28</v>
      </c>
      <c r="J8695" s="18" t="s">
        <v>28</v>
      </c>
      <c r="K8695" s="18" t="s">
        <v>28</v>
      </c>
      <c r="L8695" s="18" t="s">
        <v>28</v>
      </c>
      <c r="M8695" s="18" t="s">
        <v>28</v>
      </c>
      <c r="N8695" s="17">
        <v>42768</v>
      </c>
      <c r="O8695" s="15" t="s">
        <v>30</v>
      </c>
      <c r="P8695" s="16" t="s">
        <v>22078</v>
      </c>
      <c r="Q8695" s="15" t="s">
        <v>280</v>
      </c>
      <c r="R8695" s="13" t="str">
        <f>HYPERLINK("https://my.pitchbook.com?c=82418-14T","View Company Online")</f>
        <v>View Company Online</v>
      </c>
    </row>
    <row r="8696" spans="1:18" hidden="1" x14ac:dyDescent="0.3">
      <c r="A8696" s="9" t="s">
        <v>25080</v>
      </c>
      <c r="B8696" s="9" t="s">
        <v>25081</v>
      </c>
      <c r="C8696" s="11" t="s">
        <v>28</v>
      </c>
      <c r="D8696" s="9" t="s">
        <v>25082</v>
      </c>
      <c r="E8696" s="11" t="s">
        <v>28</v>
      </c>
      <c r="F8696" s="10" t="s">
        <v>28</v>
      </c>
      <c r="G8696" s="10" t="s">
        <v>28</v>
      </c>
      <c r="H8696" s="10" t="s">
        <v>28</v>
      </c>
      <c r="I8696" s="11" t="s">
        <v>28</v>
      </c>
      <c r="J8696" s="11" t="s">
        <v>28</v>
      </c>
      <c r="K8696" s="11" t="s">
        <v>28</v>
      </c>
      <c r="L8696" s="11" t="s">
        <v>28</v>
      </c>
      <c r="M8696" s="11" t="s">
        <v>28</v>
      </c>
      <c r="N8696" s="8">
        <v>42768</v>
      </c>
      <c r="O8696" s="9" t="s">
        <v>79</v>
      </c>
      <c r="P8696" s="12" t="s">
        <v>25083</v>
      </c>
      <c r="Q8696" s="9" t="s">
        <v>37</v>
      </c>
      <c r="R8696" s="14" t="str">
        <f>HYPERLINK("https://my.pitchbook.com?c=106015-33T","View Company Online")</f>
        <v>View Company Online</v>
      </c>
    </row>
    <row r="8697" spans="1:18" hidden="1" x14ac:dyDescent="0.3">
      <c r="A8697" s="15" t="s">
        <v>25084</v>
      </c>
      <c r="B8697" s="15" t="s">
        <v>1013</v>
      </c>
      <c r="C8697" s="18" t="s">
        <v>28</v>
      </c>
      <c r="D8697" s="15" t="s">
        <v>1014</v>
      </c>
      <c r="E8697" s="18" t="s">
        <v>28</v>
      </c>
      <c r="F8697" s="19" t="s">
        <v>28</v>
      </c>
      <c r="G8697" s="19" t="s">
        <v>28</v>
      </c>
      <c r="H8697" s="19" t="s">
        <v>28</v>
      </c>
      <c r="I8697" s="18" t="s">
        <v>28</v>
      </c>
      <c r="J8697" s="18" t="s">
        <v>28</v>
      </c>
      <c r="K8697" s="18" t="s">
        <v>28</v>
      </c>
      <c r="L8697" s="18" t="s">
        <v>28</v>
      </c>
      <c r="M8697" s="18" t="s">
        <v>28</v>
      </c>
      <c r="N8697" s="17">
        <v>42768</v>
      </c>
      <c r="O8697" s="15" t="s">
        <v>52</v>
      </c>
      <c r="P8697" s="16" t="s">
        <v>15600</v>
      </c>
      <c r="Q8697" s="15" t="s">
        <v>75</v>
      </c>
      <c r="R8697" s="13" t="str">
        <f>HYPERLINK("https://my.pitchbook.com?c=123103-36T","View Company Online")</f>
        <v>View Company Online</v>
      </c>
    </row>
    <row r="8698" spans="1:18" hidden="1" x14ac:dyDescent="0.3">
      <c r="A8698" s="9" t="s">
        <v>25085</v>
      </c>
      <c r="B8698" s="9" t="s">
        <v>9435</v>
      </c>
      <c r="C8698" s="11" t="s">
        <v>28</v>
      </c>
      <c r="D8698" s="9" t="s">
        <v>9436</v>
      </c>
      <c r="E8698" s="11" t="s">
        <v>28</v>
      </c>
      <c r="F8698" s="10" t="s">
        <v>28</v>
      </c>
      <c r="G8698" s="10" t="s">
        <v>28</v>
      </c>
      <c r="H8698" s="10" t="s">
        <v>28</v>
      </c>
      <c r="I8698" s="11" t="s">
        <v>28</v>
      </c>
      <c r="J8698" s="11" t="s">
        <v>28</v>
      </c>
      <c r="K8698" s="11" t="s">
        <v>28</v>
      </c>
      <c r="L8698" s="11" t="s">
        <v>28</v>
      </c>
      <c r="M8698" s="11" t="s">
        <v>28</v>
      </c>
      <c r="N8698" s="8">
        <v>42768</v>
      </c>
      <c r="O8698" s="9" t="s">
        <v>41</v>
      </c>
      <c r="P8698" s="12" t="s">
        <v>28</v>
      </c>
      <c r="Q8698" s="9" t="s">
        <v>774</v>
      </c>
      <c r="R8698" s="14" t="str">
        <f>HYPERLINK("https://my.pitchbook.com?c=69346-45T","View Company Online")</f>
        <v>View Company Online</v>
      </c>
    </row>
    <row r="8699" spans="1:18" hidden="1" x14ac:dyDescent="0.3">
      <c r="A8699" s="15" t="s">
        <v>25086</v>
      </c>
      <c r="B8699" s="15" t="s">
        <v>8826</v>
      </c>
      <c r="C8699" s="18" t="s">
        <v>28</v>
      </c>
      <c r="D8699" s="15" t="s">
        <v>8827</v>
      </c>
      <c r="E8699" s="18" t="s">
        <v>28</v>
      </c>
      <c r="F8699" s="19" t="s">
        <v>28</v>
      </c>
      <c r="G8699" s="19">
        <v>313.33999999999997</v>
      </c>
      <c r="H8699" s="19">
        <v>614.39</v>
      </c>
      <c r="I8699" s="18" t="s">
        <v>28</v>
      </c>
      <c r="J8699" s="18" t="s">
        <v>28</v>
      </c>
      <c r="K8699" s="18" t="s">
        <v>28</v>
      </c>
      <c r="L8699" s="18" t="s">
        <v>28</v>
      </c>
      <c r="M8699" s="18" t="s">
        <v>28</v>
      </c>
      <c r="N8699" s="17">
        <v>42768</v>
      </c>
      <c r="O8699" s="15" t="s">
        <v>30</v>
      </c>
      <c r="P8699" s="16" t="s">
        <v>28</v>
      </c>
      <c r="Q8699" s="15" t="s">
        <v>774</v>
      </c>
      <c r="R8699" s="13" t="str">
        <f>HYPERLINK("https://my.pitchbook.com?c=69218-56T","View Company Online")</f>
        <v>View Company Online</v>
      </c>
    </row>
    <row r="8700" spans="1:18" hidden="1" x14ac:dyDescent="0.3">
      <c r="A8700" s="9" t="s">
        <v>25087</v>
      </c>
      <c r="B8700" s="9" t="s">
        <v>25088</v>
      </c>
      <c r="C8700" s="11" t="s">
        <v>28</v>
      </c>
      <c r="D8700" s="9" t="s">
        <v>25089</v>
      </c>
      <c r="E8700" s="11" t="s">
        <v>28</v>
      </c>
      <c r="F8700" s="10" t="s">
        <v>28</v>
      </c>
      <c r="G8700" s="10">
        <v>0.02</v>
      </c>
      <c r="H8700" s="10" t="s">
        <v>28</v>
      </c>
      <c r="I8700" s="11" t="s">
        <v>28</v>
      </c>
      <c r="J8700" s="11" t="s">
        <v>28</v>
      </c>
      <c r="K8700" s="11" t="s">
        <v>28</v>
      </c>
      <c r="L8700" s="11" t="s">
        <v>28</v>
      </c>
      <c r="M8700" s="11" t="s">
        <v>28</v>
      </c>
      <c r="N8700" s="8">
        <v>42767</v>
      </c>
      <c r="O8700" s="9" t="s">
        <v>52</v>
      </c>
      <c r="P8700" s="12" t="s">
        <v>25090</v>
      </c>
      <c r="Q8700" s="9" t="s">
        <v>75</v>
      </c>
      <c r="R8700" s="14" t="str">
        <f>HYPERLINK("https://my.pitchbook.com?c=85533-13T","View Company Online")</f>
        <v>View Company Online</v>
      </c>
    </row>
    <row r="8701" spans="1:18" hidden="1" x14ac:dyDescent="0.3">
      <c r="A8701" s="15" t="s">
        <v>25091</v>
      </c>
      <c r="B8701" s="15" t="s">
        <v>15786</v>
      </c>
      <c r="C8701" s="18" t="s">
        <v>28</v>
      </c>
      <c r="D8701" s="15" t="s">
        <v>15787</v>
      </c>
      <c r="E8701" s="18" t="s">
        <v>28</v>
      </c>
      <c r="F8701" s="19" t="s">
        <v>28</v>
      </c>
      <c r="G8701" s="19">
        <v>0.31</v>
      </c>
      <c r="H8701" s="19" t="s">
        <v>28</v>
      </c>
      <c r="I8701" s="18" t="s">
        <v>28</v>
      </c>
      <c r="J8701" s="18" t="s">
        <v>28</v>
      </c>
      <c r="K8701" s="18" t="s">
        <v>28</v>
      </c>
      <c r="L8701" s="18" t="s">
        <v>28</v>
      </c>
      <c r="M8701" s="18" t="s">
        <v>28</v>
      </c>
      <c r="N8701" s="17">
        <v>42767</v>
      </c>
      <c r="O8701" s="15" t="s">
        <v>99</v>
      </c>
      <c r="P8701" s="16" t="s">
        <v>25092</v>
      </c>
      <c r="Q8701" s="15" t="s">
        <v>5628</v>
      </c>
      <c r="R8701" s="13" t="str">
        <f>HYPERLINK("https://my.pitchbook.com?c=160504-03T","View Company Online")</f>
        <v>View Company Online</v>
      </c>
    </row>
    <row r="8702" spans="1:18" hidden="1" x14ac:dyDescent="0.3">
      <c r="A8702" s="9" t="s">
        <v>25093</v>
      </c>
      <c r="B8702" s="9" t="s">
        <v>25094</v>
      </c>
      <c r="C8702" s="11" t="s">
        <v>28</v>
      </c>
      <c r="D8702" s="9" t="s">
        <v>25095</v>
      </c>
      <c r="E8702" s="11" t="s">
        <v>28</v>
      </c>
      <c r="F8702" s="10" t="s">
        <v>28</v>
      </c>
      <c r="G8702" s="10" t="s">
        <v>28</v>
      </c>
      <c r="H8702" s="10" t="s">
        <v>28</v>
      </c>
      <c r="I8702" s="11" t="s">
        <v>28</v>
      </c>
      <c r="J8702" s="11" t="s">
        <v>28</v>
      </c>
      <c r="K8702" s="11" t="s">
        <v>28</v>
      </c>
      <c r="L8702" s="11" t="s">
        <v>28</v>
      </c>
      <c r="M8702" s="11" t="s">
        <v>28</v>
      </c>
      <c r="N8702" s="8">
        <v>42767</v>
      </c>
      <c r="O8702" s="9" t="s">
        <v>58</v>
      </c>
      <c r="P8702" s="12" t="s">
        <v>9664</v>
      </c>
      <c r="Q8702" s="9" t="s">
        <v>114</v>
      </c>
      <c r="R8702" s="14" t="str">
        <f>HYPERLINK("https://my.pitchbook.com?c=259965-55T","View Company Online")</f>
        <v>View Company Online</v>
      </c>
    </row>
    <row r="8703" spans="1:18" hidden="1" x14ac:dyDescent="0.3">
      <c r="A8703" s="15" t="s">
        <v>25096</v>
      </c>
      <c r="B8703" s="15" t="s">
        <v>25097</v>
      </c>
      <c r="C8703" s="18" t="s">
        <v>28</v>
      </c>
      <c r="D8703" s="15" t="s">
        <v>25098</v>
      </c>
      <c r="E8703" s="18" t="s">
        <v>28</v>
      </c>
      <c r="F8703" s="19" t="s">
        <v>28</v>
      </c>
      <c r="G8703" s="19" t="s">
        <v>28</v>
      </c>
      <c r="H8703" s="19" t="s">
        <v>28</v>
      </c>
      <c r="I8703" s="18" t="s">
        <v>28</v>
      </c>
      <c r="J8703" s="18" t="s">
        <v>28</v>
      </c>
      <c r="K8703" s="18" t="s">
        <v>28</v>
      </c>
      <c r="L8703" s="18" t="s">
        <v>28</v>
      </c>
      <c r="M8703" s="18" t="s">
        <v>28</v>
      </c>
      <c r="N8703" s="17">
        <v>42767</v>
      </c>
      <c r="O8703" s="15" t="s">
        <v>73</v>
      </c>
      <c r="P8703" s="16" t="s">
        <v>611</v>
      </c>
      <c r="Q8703" s="15" t="s">
        <v>855</v>
      </c>
      <c r="R8703" s="13" t="str">
        <f>HYPERLINK("https://my.pitchbook.com?c=115650-19T","View Company Online")</f>
        <v>View Company Online</v>
      </c>
    </row>
    <row r="8704" spans="1:18" hidden="1" x14ac:dyDescent="0.3">
      <c r="A8704" s="9" t="s">
        <v>25099</v>
      </c>
      <c r="B8704" s="9" t="s">
        <v>9232</v>
      </c>
      <c r="C8704" s="11" t="s">
        <v>28</v>
      </c>
      <c r="D8704" s="9" t="s">
        <v>9233</v>
      </c>
      <c r="E8704" s="11" t="s">
        <v>28</v>
      </c>
      <c r="F8704" s="10" t="s">
        <v>28</v>
      </c>
      <c r="G8704" s="10" t="s">
        <v>28</v>
      </c>
      <c r="H8704" s="10" t="s">
        <v>28</v>
      </c>
      <c r="I8704" s="11" t="s">
        <v>28</v>
      </c>
      <c r="J8704" s="11" t="s">
        <v>28</v>
      </c>
      <c r="K8704" s="11" t="s">
        <v>28</v>
      </c>
      <c r="L8704" s="11" t="s">
        <v>28</v>
      </c>
      <c r="M8704" s="11" t="s">
        <v>28</v>
      </c>
      <c r="N8704" s="8">
        <v>42767</v>
      </c>
      <c r="O8704" s="9" t="s">
        <v>73</v>
      </c>
      <c r="P8704" s="12" t="s">
        <v>25100</v>
      </c>
      <c r="Q8704" s="9" t="s">
        <v>75</v>
      </c>
      <c r="R8704" s="14" t="str">
        <f>HYPERLINK("https://my.pitchbook.com?c=93221-47T","View Company Online")</f>
        <v>View Company Online</v>
      </c>
    </row>
    <row r="8705" spans="1:18" hidden="1" x14ac:dyDescent="0.3">
      <c r="A8705" s="15" t="s">
        <v>25101</v>
      </c>
      <c r="B8705" s="15" t="s">
        <v>25102</v>
      </c>
      <c r="C8705" s="18" t="s">
        <v>28</v>
      </c>
      <c r="D8705" s="15" t="s">
        <v>25103</v>
      </c>
      <c r="E8705" s="18" t="s">
        <v>28</v>
      </c>
      <c r="F8705" s="19" t="s">
        <v>28</v>
      </c>
      <c r="G8705" s="19" t="s">
        <v>28</v>
      </c>
      <c r="H8705" s="19" t="s">
        <v>28</v>
      </c>
      <c r="I8705" s="18" t="s">
        <v>28</v>
      </c>
      <c r="J8705" s="18" t="s">
        <v>28</v>
      </c>
      <c r="K8705" s="18" t="s">
        <v>28</v>
      </c>
      <c r="L8705" s="18" t="s">
        <v>28</v>
      </c>
      <c r="M8705" s="18" t="s">
        <v>28</v>
      </c>
      <c r="N8705" s="17">
        <v>42767</v>
      </c>
      <c r="O8705" s="15" t="s">
        <v>41</v>
      </c>
      <c r="P8705" s="16" t="s">
        <v>28</v>
      </c>
      <c r="Q8705" s="15" t="s">
        <v>449</v>
      </c>
      <c r="R8705" s="13" t="str">
        <f>HYPERLINK("https://my.pitchbook.com?c=223910-56T","View Company Online")</f>
        <v>View Company Online</v>
      </c>
    </row>
    <row r="8706" spans="1:18" hidden="1" x14ac:dyDescent="0.3">
      <c r="A8706" s="9" t="s">
        <v>25104</v>
      </c>
      <c r="B8706" s="9" t="s">
        <v>16272</v>
      </c>
      <c r="C8706" s="11" t="s">
        <v>28</v>
      </c>
      <c r="D8706" s="9" t="s">
        <v>16273</v>
      </c>
      <c r="E8706" s="11" t="s">
        <v>28</v>
      </c>
      <c r="F8706" s="10" t="s">
        <v>28</v>
      </c>
      <c r="G8706" s="10">
        <v>26</v>
      </c>
      <c r="H8706" s="10" t="s">
        <v>28</v>
      </c>
      <c r="I8706" s="11" t="s">
        <v>28</v>
      </c>
      <c r="J8706" s="11" t="s">
        <v>28</v>
      </c>
      <c r="K8706" s="11" t="s">
        <v>28</v>
      </c>
      <c r="L8706" s="11" t="s">
        <v>28</v>
      </c>
      <c r="M8706" s="11" t="s">
        <v>28</v>
      </c>
      <c r="N8706" s="8">
        <v>42767</v>
      </c>
      <c r="O8706" s="9" t="s">
        <v>79</v>
      </c>
      <c r="P8706" s="12" t="s">
        <v>25105</v>
      </c>
      <c r="Q8706" s="9" t="s">
        <v>5347</v>
      </c>
      <c r="R8706" s="14" t="str">
        <f>HYPERLINK("https://my.pitchbook.com?c=206348-86T","View Company Online")</f>
        <v>View Company Online</v>
      </c>
    </row>
    <row r="8707" spans="1:18" hidden="1" x14ac:dyDescent="0.3">
      <c r="A8707" s="15" t="s">
        <v>25106</v>
      </c>
      <c r="B8707" s="15" t="s">
        <v>25107</v>
      </c>
      <c r="C8707" s="18" t="s">
        <v>28</v>
      </c>
      <c r="D8707" s="15" t="s">
        <v>25108</v>
      </c>
      <c r="E8707" s="18" t="s">
        <v>28</v>
      </c>
      <c r="F8707" s="19" t="s">
        <v>28</v>
      </c>
      <c r="G8707" s="19" t="s">
        <v>28</v>
      </c>
      <c r="H8707" s="19" t="s">
        <v>28</v>
      </c>
      <c r="I8707" s="18" t="s">
        <v>28</v>
      </c>
      <c r="J8707" s="18" t="s">
        <v>28</v>
      </c>
      <c r="K8707" s="18" t="s">
        <v>28</v>
      </c>
      <c r="L8707" s="18" t="s">
        <v>28</v>
      </c>
      <c r="M8707" s="18" t="s">
        <v>28</v>
      </c>
      <c r="N8707" s="17">
        <v>42767</v>
      </c>
      <c r="O8707" s="15" t="s">
        <v>73</v>
      </c>
      <c r="P8707" s="16" t="s">
        <v>16556</v>
      </c>
      <c r="Q8707" s="15" t="s">
        <v>114</v>
      </c>
      <c r="R8707" s="13" t="str">
        <f>HYPERLINK("https://my.pitchbook.com?c=190295-02T","View Company Online")</f>
        <v>View Company Online</v>
      </c>
    </row>
    <row r="8708" spans="1:18" hidden="1" x14ac:dyDescent="0.3">
      <c r="A8708" s="9" t="s">
        <v>25109</v>
      </c>
      <c r="B8708" s="9" t="s">
        <v>985</v>
      </c>
      <c r="C8708" s="11" t="s">
        <v>28</v>
      </c>
      <c r="D8708" s="9" t="s">
        <v>986</v>
      </c>
      <c r="E8708" s="11" t="s">
        <v>28</v>
      </c>
      <c r="F8708" s="10" t="s">
        <v>28</v>
      </c>
      <c r="G8708" s="10">
        <v>1.53</v>
      </c>
      <c r="H8708" s="10" t="s">
        <v>28</v>
      </c>
      <c r="I8708" s="11" t="s">
        <v>28</v>
      </c>
      <c r="J8708" s="11" t="s">
        <v>28</v>
      </c>
      <c r="K8708" s="11">
        <v>29.65</v>
      </c>
      <c r="L8708" s="11" t="s">
        <v>28</v>
      </c>
      <c r="M8708" s="11" t="s">
        <v>28</v>
      </c>
      <c r="N8708" s="8">
        <v>42766</v>
      </c>
      <c r="O8708" s="9" t="s">
        <v>79</v>
      </c>
      <c r="P8708" s="12" t="s">
        <v>25110</v>
      </c>
      <c r="Q8708" s="9" t="s">
        <v>37</v>
      </c>
      <c r="R8708" s="14" t="str">
        <f>HYPERLINK("https://my.pitchbook.com?c=82615-33T","View Company Online")</f>
        <v>View Company Online</v>
      </c>
    </row>
    <row r="8709" spans="1:18" hidden="1" x14ac:dyDescent="0.3">
      <c r="A8709" s="15" t="s">
        <v>25111</v>
      </c>
      <c r="B8709" s="15" t="s">
        <v>23717</v>
      </c>
      <c r="C8709" s="18" t="s">
        <v>28</v>
      </c>
      <c r="D8709" s="15" t="s">
        <v>23718</v>
      </c>
      <c r="E8709" s="18" t="s">
        <v>28</v>
      </c>
      <c r="F8709" s="19" t="s">
        <v>28</v>
      </c>
      <c r="G8709" s="19" t="s">
        <v>28</v>
      </c>
      <c r="H8709" s="19" t="s">
        <v>28</v>
      </c>
      <c r="I8709" s="18" t="s">
        <v>28</v>
      </c>
      <c r="J8709" s="18" t="s">
        <v>28</v>
      </c>
      <c r="K8709" s="18" t="s">
        <v>28</v>
      </c>
      <c r="L8709" s="18" t="s">
        <v>28</v>
      </c>
      <c r="M8709" s="18" t="s">
        <v>28</v>
      </c>
      <c r="N8709" s="17">
        <v>42766</v>
      </c>
      <c r="O8709" s="15" t="s">
        <v>52</v>
      </c>
      <c r="P8709" s="16" t="s">
        <v>25112</v>
      </c>
      <c r="Q8709" s="15" t="s">
        <v>774</v>
      </c>
      <c r="R8709" s="13" t="str">
        <f>HYPERLINK("https://my.pitchbook.com?c=155458-45T","View Company Online")</f>
        <v>View Company Online</v>
      </c>
    </row>
    <row r="8710" spans="1:18" hidden="1" x14ac:dyDescent="0.3">
      <c r="A8710" s="9" t="s">
        <v>25113</v>
      </c>
      <c r="B8710" s="9" t="s">
        <v>17535</v>
      </c>
      <c r="C8710" s="11" t="s">
        <v>28</v>
      </c>
      <c r="D8710" s="9" t="s">
        <v>17536</v>
      </c>
      <c r="E8710" s="11" t="s">
        <v>28</v>
      </c>
      <c r="F8710" s="10" t="s">
        <v>28</v>
      </c>
      <c r="G8710" s="10" t="s">
        <v>28</v>
      </c>
      <c r="H8710" s="10" t="s">
        <v>28</v>
      </c>
      <c r="I8710" s="11" t="s">
        <v>28</v>
      </c>
      <c r="J8710" s="11" t="s">
        <v>28</v>
      </c>
      <c r="K8710" s="11" t="s">
        <v>28</v>
      </c>
      <c r="L8710" s="11" t="s">
        <v>28</v>
      </c>
      <c r="M8710" s="11" t="s">
        <v>28</v>
      </c>
      <c r="N8710" s="8">
        <v>42765</v>
      </c>
      <c r="O8710" s="9" t="s">
        <v>52</v>
      </c>
      <c r="P8710" s="12" t="s">
        <v>1880</v>
      </c>
      <c r="Q8710" s="9" t="s">
        <v>95</v>
      </c>
      <c r="R8710" s="14" t="str">
        <f>HYPERLINK("https://my.pitchbook.com?c=99741-88T","View Company Online")</f>
        <v>View Company Online</v>
      </c>
    </row>
    <row r="8711" spans="1:18" hidden="1" x14ac:dyDescent="0.3">
      <c r="A8711" s="15" t="s">
        <v>25114</v>
      </c>
      <c r="B8711" s="15" t="s">
        <v>8637</v>
      </c>
      <c r="C8711" s="18" t="s">
        <v>28</v>
      </c>
      <c r="D8711" s="15" t="s">
        <v>8638</v>
      </c>
      <c r="E8711" s="18" t="s">
        <v>28</v>
      </c>
      <c r="F8711" s="19" t="s">
        <v>28</v>
      </c>
      <c r="G8711" s="19" t="s">
        <v>28</v>
      </c>
      <c r="H8711" s="19" t="s">
        <v>28</v>
      </c>
      <c r="I8711" s="18" t="s">
        <v>28</v>
      </c>
      <c r="J8711" s="18" t="s">
        <v>28</v>
      </c>
      <c r="K8711" s="18" t="s">
        <v>28</v>
      </c>
      <c r="L8711" s="18" t="s">
        <v>28</v>
      </c>
      <c r="M8711" s="18" t="s">
        <v>28</v>
      </c>
      <c r="N8711" s="17">
        <v>42765</v>
      </c>
      <c r="O8711" s="15" t="s">
        <v>52</v>
      </c>
      <c r="P8711" s="16" t="s">
        <v>1880</v>
      </c>
      <c r="Q8711" s="15" t="s">
        <v>119</v>
      </c>
      <c r="R8711" s="13" t="str">
        <f>HYPERLINK("https://my.pitchbook.com?c=110047-24T","View Company Online")</f>
        <v>View Company Online</v>
      </c>
    </row>
    <row r="8712" spans="1:18" hidden="1" x14ac:dyDescent="0.3">
      <c r="A8712" s="9" t="s">
        <v>25115</v>
      </c>
      <c r="B8712" s="9" t="s">
        <v>20298</v>
      </c>
      <c r="C8712" s="11" t="s">
        <v>28</v>
      </c>
      <c r="D8712" s="9" t="s">
        <v>20299</v>
      </c>
      <c r="E8712" s="11" t="s">
        <v>28</v>
      </c>
      <c r="F8712" s="10" t="s">
        <v>28</v>
      </c>
      <c r="G8712" s="10">
        <v>0.05</v>
      </c>
      <c r="H8712" s="10" t="s">
        <v>28</v>
      </c>
      <c r="I8712" s="11" t="s">
        <v>28</v>
      </c>
      <c r="J8712" s="11" t="s">
        <v>28</v>
      </c>
      <c r="K8712" s="11" t="s">
        <v>28</v>
      </c>
      <c r="L8712" s="11" t="s">
        <v>28</v>
      </c>
      <c r="M8712" s="11" t="s">
        <v>28</v>
      </c>
      <c r="N8712" s="8">
        <v>42765</v>
      </c>
      <c r="O8712" s="9" t="s">
        <v>52</v>
      </c>
      <c r="P8712" s="12" t="s">
        <v>1880</v>
      </c>
      <c r="Q8712" s="9" t="s">
        <v>386</v>
      </c>
      <c r="R8712" s="14" t="str">
        <f>HYPERLINK("https://my.pitchbook.com?c=107811-28T","View Company Online")</f>
        <v>View Company Online</v>
      </c>
    </row>
    <row r="8713" spans="1:18" hidden="1" x14ac:dyDescent="0.3">
      <c r="A8713" s="15" t="s">
        <v>25116</v>
      </c>
      <c r="B8713" s="15" t="s">
        <v>14287</v>
      </c>
      <c r="C8713" s="18" t="s">
        <v>28</v>
      </c>
      <c r="D8713" s="15" t="s">
        <v>14288</v>
      </c>
      <c r="E8713" s="18" t="s">
        <v>28</v>
      </c>
      <c r="F8713" s="19" t="s">
        <v>28</v>
      </c>
      <c r="G8713" s="19" t="s">
        <v>28</v>
      </c>
      <c r="H8713" s="19" t="s">
        <v>28</v>
      </c>
      <c r="I8713" s="18" t="s">
        <v>28</v>
      </c>
      <c r="J8713" s="18" t="s">
        <v>28</v>
      </c>
      <c r="K8713" s="18" t="s">
        <v>28</v>
      </c>
      <c r="L8713" s="18" t="s">
        <v>28</v>
      </c>
      <c r="M8713" s="18" t="s">
        <v>28</v>
      </c>
      <c r="N8713" s="17">
        <v>42765</v>
      </c>
      <c r="O8713" s="15" t="s">
        <v>52</v>
      </c>
      <c r="P8713" s="16" t="s">
        <v>1880</v>
      </c>
      <c r="Q8713" s="15" t="s">
        <v>75</v>
      </c>
      <c r="R8713" s="13" t="str">
        <f>HYPERLINK("https://my.pitchbook.com?c=110046-97T","View Company Online")</f>
        <v>View Company Online</v>
      </c>
    </row>
    <row r="8714" spans="1:18" hidden="1" x14ac:dyDescent="0.3">
      <c r="A8714" s="9" t="s">
        <v>25117</v>
      </c>
      <c r="B8714" s="9" t="s">
        <v>16436</v>
      </c>
      <c r="C8714" s="11" t="s">
        <v>28</v>
      </c>
      <c r="D8714" s="9" t="s">
        <v>16437</v>
      </c>
      <c r="E8714" s="11" t="s">
        <v>28</v>
      </c>
      <c r="F8714" s="10" t="s">
        <v>28</v>
      </c>
      <c r="G8714" s="10">
        <v>0.05</v>
      </c>
      <c r="H8714" s="10" t="s">
        <v>28</v>
      </c>
      <c r="I8714" s="11" t="s">
        <v>28</v>
      </c>
      <c r="J8714" s="11" t="s">
        <v>28</v>
      </c>
      <c r="K8714" s="11" t="s">
        <v>28</v>
      </c>
      <c r="L8714" s="11" t="s">
        <v>28</v>
      </c>
      <c r="M8714" s="11" t="s">
        <v>28</v>
      </c>
      <c r="N8714" s="8">
        <v>42765</v>
      </c>
      <c r="O8714" s="9" t="s">
        <v>52</v>
      </c>
      <c r="P8714" s="12" t="s">
        <v>1880</v>
      </c>
      <c r="Q8714" s="9" t="s">
        <v>37</v>
      </c>
      <c r="R8714" s="14" t="str">
        <f>HYPERLINK("https://my.pitchbook.com?c=107746-03T","View Company Online")</f>
        <v>View Company Online</v>
      </c>
    </row>
    <row r="8715" spans="1:18" hidden="1" x14ac:dyDescent="0.3">
      <c r="A8715" s="15" t="s">
        <v>25118</v>
      </c>
      <c r="B8715" s="15" t="s">
        <v>25119</v>
      </c>
      <c r="C8715" s="18" t="s">
        <v>28</v>
      </c>
      <c r="D8715" s="15" t="s">
        <v>25120</v>
      </c>
      <c r="E8715" s="18" t="s">
        <v>28</v>
      </c>
      <c r="F8715" s="19" t="s">
        <v>28</v>
      </c>
      <c r="G8715" s="19" t="s">
        <v>28</v>
      </c>
      <c r="H8715" s="19" t="s">
        <v>28</v>
      </c>
      <c r="I8715" s="18" t="s">
        <v>28</v>
      </c>
      <c r="J8715" s="18" t="s">
        <v>28</v>
      </c>
      <c r="K8715" s="18" t="s">
        <v>28</v>
      </c>
      <c r="L8715" s="18" t="s">
        <v>28</v>
      </c>
      <c r="M8715" s="18" t="s">
        <v>28</v>
      </c>
      <c r="N8715" s="17">
        <v>42765</v>
      </c>
      <c r="O8715" s="15" t="s">
        <v>30</v>
      </c>
      <c r="P8715" s="16" t="s">
        <v>25121</v>
      </c>
      <c r="Q8715" s="15" t="s">
        <v>43</v>
      </c>
      <c r="R8715" s="13" t="str">
        <f>HYPERLINK("https://my.pitchbook.com?c=81901-36T","View Company Online")</f>
        <v>View Company Online</v>
      </c>
    </row>
    <row r="8716" spans="1:18" hidden="1" x14ac:dyDescent="0.3">
      <c r="A8716" s="9" t="s">
        <v>25122</v>
      </c>
      <c r="B8716" s="9" t="s">
        <v>14553</v>
      </c>
      <c r="C8716" s="11" t="s">
        <v>28</v>
      </c>
      <c r="D8716" s="9" t="s">
        <v>14554</v>
      </c>
      <c r="E8716" s="11" t="s">
        <v>28</v>
      </c>
      <c r="F8716" s="10" t="s">
        <v>28</v>
      </c>
      <c r="G8716" s="10">
        <v>0.78</v>
      </c>
      <c r="H8716" s="10" t="s">
        <v>28</v>
      </c>
      <c r="I8716" s="11" t="s">
        <v>28</v>
      </c>
      <c r="J8716" s="11" t="s">
        <v>28</v>
      </c>
      <c r="K8716" s="11" t="s">
        <v>28</v>
      </c>
      <c r="L8716" s="11" t="s">
        <v>28</v>
      </c>
      <c r="M8716" s="11" t="s">
        <v>28</v>
      </c>
      <c r="N8716" s="8">
        <v>42765</v>
      </c>
      <c r="O8716" s="9" t="s">
        <v>99</v>
      </c>
      <c r="P8716" s="12" t="s">
        <v>25123</v>
      </c>
      <c r="Q8716" s="9" t="s">
        <v>85</v>
      </c>
      <c r="R8716" s="14" t="str">
        <f>HYPERLINK("https://my.pitchbook.com?c=93127-87T","View Company Online")</f>
        <v>View Company Online</v>
      </c>
    </row>
    <row r="8717" spans="1:18" hidden="1" x14ac:dyDescent="0.3">
      <c r="A8717" s="15" t="s">
        <v>25124</v>
      </c>
      <c r="B8717" s="15" t="s">
        <v>25125</v>
      </c>
      <c r="C8717" s="18" t="s">
        <v>28</v>
      </c>
      <c r="D8717" s="15" t="s">
        <v>25126</v>
      </c>
      <c r="E8717" s="18" t="s">
        <v>28</v>
      </c>
      <c r="F8717" s="19" t="s">
        <v>28</v>
      </c>
      <c r="G8717" s="19" t="s">
        <v>28</v>
      </c>
      <c r="H8717" s="19" t="s">
        <v>28</v>
      </c>
      <c r="I8717" s="18" t="s">
        <v>28</v>
      </c>
      <c r="J8717" s="18" t="s">
        <v>28</v>
      </c>
      <c r="K8717" s="18" t="s">
        <v>28</v>
      </c>
      <c r="L8717" s="18" t="s">
        <v>28</v>
      </c>
      <c r="M8717" s="18" t="s">
        <v>28</v>
      </c>
      <c r="N8717" s="17">
        <v>42765</v>
      </c>
      <c r="O8717" s="15" t="s">
        <v>52</v>
      </c>
      <c r="P8717" s="16" t="s">
        <v>1880</v>
      </c>
      <c r="Q8717" s="15" t="s">
        <v>740</v>
      </c>
      <c r="R8717" s="13" t="str">
        <f>HYPERLINK("https://my.pitchbook.com?c=110045-62T","View Company Online")</f>
        <v>View Company Online</v>
      </c>
    </row>
    <row r="8718" spans="1:18" hidden="1" x14ac:dyDescent="0.3">
      <c r="A8718" s="9" t="s">
        <v>25127</v>
      </c>
      <c r="B8718" s="9" t="s">
        <v>1085</v>
      </c>
      <c r="C8718" s="11" t="s">
        <v>28</v>
      </c>
      <c r="D8718" s="9" t="s">
        <v>1086</v>
      </c>
      <c r="E8718" s="11" t="s">
        <v>28</v>
      </c>
      <c r="F8718" s="10">
        <v>297.86</v>
      </c>
      <c r="G8718" s="10">
        <v>189.74</v>
      </c>
      <c r="H8718" s="10">
        <v>297.86</v>
      </c>
      <c r="I8718" s="11" t="s">
        <v>28</v>
      </c>
      <c r="J8718" s="11" t="s">
        <v>28</v>
      </c>
      <c r="K8718" s="11" t="s">
        <v>28</v>
      </c>
      <c r="L8718" s="11" t="s">
        <v>28</v>
      </c>
      <c r="M8718" s="11" t="s">
        <v>28</v>
      </c>
      <c r="N8718" s="8">
        <v>42762</v>
      </c>
      <c r="O8718" s="9" t="s">
        <v>30</v>
      </c>
      <c r="P8718" s="12" t="s">
        <v>25128</v>
      </c>
      <c r="Q8718" s="9" t="s">
        <v>1088</v>
      </c>
      <c r="R8718" s="14" t="str">
        <f>HYPERLINK("https://my.pitchbook.com?c=81737-74T","View Company Online")</f>
        <v>View Company Online</v>
      </c>
    </row>
    <row r="8719" spans="1:18" hidden="1" x14ac:dyDescent="0.3">
      <c r="A8719" s="15" t="s">
        <v>25129</v>
      </c>
      <c r="B8719" s="15" t="s">
        <v>25130</v>
      </c>
      <c r="C8719" s="18" t="s">
        <v>28</v>
      </c>
      <c r="D8719" s="15" t="s">
        <v>25131</v>
      </c>
      <c r="E8719" s="18" t="s">
        <v>28</v>
      </c>
      <c r="F8719" s="19" t="s">
        <v>28</v>
      </c>
      <c r="G8719" s="19" t="s">
        <v>28</v>
      </c>
      <c r="H8719" s="19" t="s">
        <v>28</v>
      </c>
      <c r="I8719" s="18" t="s">
        <v>28</v>
      </c>
      <c r="J8719" s="18" t="s">
        <v>28</v>
      </c>
      <c r="K8719" s="18" t="s">
        <v>28</v>
      </c>
      <c r="L8719" s="18" t="s">
        <v>28</v>
      </c>
      <c r="M8719" s="18" t="s">
        <v>28</v>
      </c>
      <c r="N8719" s="17">
        <v>42762</v>
      </c>
      <c r="O8719" s="15" t="s">
        <v>30</v>
      </c>
      <c r="P8719" s="16" t="s">
        <v>25132</v>
      </c>
      <c r="Q8719" s="15" t="s">
        <v>119</v>
      </c>
      <c r="R8719" s="13" t="str">
        <f>HYPERLINK("https://my.pitchbook.com?c=110323-36T","View Company Online")</f>
        <v>View Company Online</v>
      </c>
    </row>
    <row r="8720" spans="1:18" hidden="1" x14ac:dyDescent="0.3">
      <c r="A8720" s="9" t="s">
        <v>25133</v>
      </c>
      <c r="B8720" s="9" t="s">
        <v>25134</v>
      </c>
      <c r="C8720" s="11" t="s">
        <v>28</v>
      </c>
      <c r="D8720" s="9" t="s">
        <v>25135</v>
      </c>
      <c r="E8720" s="11" t="s">
        <v>28</v>
      </c>
      <c r="F8720" s="10" t="s">
        <v>28</v>
      </c>
      <c r="G8720" s="10" t="s">
        <v>28</v>
      </c>
      <c r="H8720" s="10" t="s">
        <v>28</v>
      </c>
      <c r="I8720" s="11" t="s">
        <v>28</v>
      </c>
      <c r="J8720" s="11" t="s">
        <v>28</v>
      </c>
      <c r="K8720" s="11" t="s">
        <v>28</v>
      </c>
      <c r="L8720" s="11" t="s">
        <v>28</v>
      </c>
      <c r="M8720" s="11" t="s">
        <v>28</v>
      </c>
      <c r="N8720" s="8">
        <v>42758</v>
      </c>
      <c r="O8720" s="9" t="s">
        <v>58</v>
      </c>
      <c r="P8720" s="12" t="s">
        <v>25136</v>
      </c>
      <c r="Q8720" s="9" t="s">
        <v>12903</v>
      </c>
      <c r="R8720" s="14" t="str">
        <f>HYPERLINK("https://my.pitchbook.com?c=97587-10T","View Company Online")</f>
        <v>View Company Online</v>
      </c>
    </row>
    <row r="8721" spans="1:18" hidden="1" x14ac:dyDescent="0.3">
      <c r="A8721" s="15" t="s">
        <v>25137</v>
      </c>
      <c r="B8721" s="15" t="s">
        <v>2909</v>
      </c>
      <c r="C8721" s="18" t="s">
        <v>28</v>
      </c>
      <c r="D8721" s="15" t="s">
        <v>2910</v>
      </c>
      <c r="E8721" s="18" t="s">
        <v>28</v>
      </c>
      <c r="F8721" s="19" t="s">
        <v>28</v>
      </c>
      <c r="G8721" s="19" t="s">
        <v>28</v>
      </c>
      <c r="H8721" s="19" t="s">
        <v>28</v>
      </c>
      <c r="I8721" s="18" t="s">
        <v>28</v>
      </c>
      <c r="J8721" s="18" t="s">
        <v>28</v>
      </c>
      <c r="K8721" s="18" t="s">
        <v>28</v>
      </c>
      <c r="L8721" s="18" t="s">
        <v>28</v>
      </c>
      <c r="M8721" s="18" t="s">
        <v>28</v>
      </c>
      <c r="N8721" s="17">
        <v>42758</v>
      </c>
      <c r="O8721" s="15" t="s">
        <v>30</v>
      </c>
      <c r="P8721" s="16" t="s">
        <v>25138</v>
      </c>
      <c r="Q8721" s="15" t="s">
        <v>105</v>
      </c>
      <c r="R8721" s="13" t="str">
        <f>HYPERLINK("https://my.pitchbook.com?c=84933-55T","View Company Online")</f>
        <v>View Company Online</v>
      </c>
    </row>
    <row r="8722" spans="1:18" x14ac:dyDescent="0.3">
      <c r="A8722" s="9" t="s">
        <v>25139</v>
      </c>
      <c r="B8722" s="9" t="s">
        <v>25140</v>
      </c>
      <c r="C8722" s="11">
        <v>6.6</v>
      </c>
      <c r="D8722" s="9" t="s">
        <v>25141</v>
      </c>
      <c r="E8722" s="11">
        <v>829.17</v>
      </c>
      <c r="F8722" s="10">
        <v>7925.71</v>
      </c>
      <c r="G8722" s="10">
        <v>5375.49</v>
      </c>
      <c r="H8722" s="10">
        <v>9838.01</v>
      </c>
      <c r="I8722" s="11">
        <v>1200.9000000000001</v>
      </c>
      <c r="J8722" s="11">
        <v>8.19</v>
      </c>
      <c r="K8722" s="11">
        <v>5502.46</v>
      </c>
      <c r="L8722" s="11">
        <v>1.79</v>
      </c>
      <c r="M8722" s="11">
        <v>259.37</v>
      </c>
      <c r="N8722" s="8">
        <v>42758</v>
      </c>
      <c r="O8722" s="9" t="s">
        <v>30</v>
      </c>
      <c r="P8722" s="12" t="s">
        <v>25142</v>
      </c>
      <c r="Q8722" s="9" t="s">
        <v>348</v>
      </c>
      <c r="R8722" s="14" t="str">
        <f>HYPERLINK("https://my.pitchbook.com?c=72461-35T","View Company Online")</f>
        <v>View Company Online</v>
      </c>
    </row>
    <row r="8723" spans="1:18" hidden="1" x14ac:dyDescent="0.3">
      <c r="A8723" s="15" t="s">
        <v>25143</v>
      </c>
      <c r="B8723" s="15" t="s">
        <v>25144</v>
      </c>
      <c r="C8723" s="18" t="s">
        <v>28</v>
      </c>
      <c r="D8723" s="15" t="s">
        <v>25145</v>
      </c>
      <c r="E8723" s="18" t="s">
        <v>28</v>
      </c>
      <c r="F8723" s="19" t="s">
        <v>28</v>
      </c>
      <c r="G8723" s="19" t="s">
        <v>28</v>
      </c>
      <c r="H8723" s="19" t="s">
        <v>28</v>
      </c>
      <c r="I8723" s="18" t="s">
        <v>28</v>
      </c>
      <c r="J8723" s="18" t="s">
        <v>28</v>
      </c>
      <c r="K8723" s="18">
        <v>24</v>
      </c>
      <c r="L8723" s="18" t="s">
        <v>28</v>
      </c>
      <c r="M8723" s="18" t="s">
        <v>28</v>
      </c>
      <c r="N8723" s="17">
        <v>42758</v>
      </c>
      <c r="O8723" s="15" t="s">
        <v>30</v>
      </c>
      <c r="P8723" s="16" t="s">
        <v>23507</v>
      </c>
      <c r="Q8723" s="15" t="s">
        <v>15521</v>
      </c>
      <c r="R8723" s="13" t="str">
        <f>HYPERLINK("https://my.pitchbook.com?c=84193-84T","View Company Online")</f>
        <v>View Company Online</v>
      </c>
    </row>
    <row r="8724" spans="1:18" hidden="1" x14ac:dyDescent="0.3">
      <c r="A8724" s="9" t="s">
        <v>25146</v>
      </c>
      <c r="B8724" s="9" t="s">
        <v>25147</v>
      </c>
      <c r="C8724" s="11" t="s">
        <v>28</v>
      </c>
      <c r="D8724" s="9" t="s">
        <v>25148</v>
      </c>
      <c r="E8724" s="11" t="s">
        <v>28</v>
      </c>
      <c r="F8724" s="10" t="s">
        <v>28</v>
      </c>
      <c r="G8724" s="10" t="s">
        <v>28</v>
      </c>
      <c r="H8724" s="10" t="s">
        <v>28</v>
      </c>
      <c r="I8724" s="11" t="s">
        <v>28</v>
      </c>
      <c r="J8724" s="11" t="s">
        <v>28</v>
      </c>
      <c r="K8724" s="11" t="s">
        <v>28</v>
      </c>
      <c r="L8724" s="11" t="s">
        <v>28</v>
      </c>
      <c r="M8724" s="11" t="s">
        <v>28</v>
      </c>
      <c r="N8724" s="8">
        <v>42756</v>
      </c>
      <c r="O8724" s="9" t="s">
        <v>41</v>
      </c>
      <c r="P8724" s="12" t="s">
        <v>25149</v>
      </c>
      <c r="Q8724" s="9" t="s">
        <v>1361</v>
      </c>
      <c r="R8724" s="14" t="str">
        <f>HYPERLINK("https://my.pitchbook.com?c=89390-89T","View Company Online")</f>
        <v>View Company Online</v>
      </c>
    </row>
    <row r="8725" spans="1:18" hidden="1" x14ac:dyDescent="0.3">
      <c r="A8725" s="15" t="s">
        <v>25150</v>
      </c>
      <c r="B8725" s="15" t="s">
        <v>25151</v>
      </c>
      <c r="C8725" s="18" t="s">
        <v>28</v>
      </c>
      <c r="D8725" s="15" t="s">
        <v>25152</v>
      </c>
      <c r="E8725" s="18" t="s">
        <v>28</v>
      </c>
      <c r="F8725" s="19" t="s">
        <v>28</v>
      </c>
      <c r="G8725" s="19" t="s">
        <v>28</v>
      </c>
      <c r="H8725" s="19" t="s">
        <v>28</v>
      </c>
      <c r="I8725" s="18" t="s">
        <v>28</v>
      </c>
      <c r="J8725" s="18" t="s">
        <v>28</v>
      </c>
      <c r="K8725" s="18" t="s">
        <v>28</v>
      </c>
      <c r="L8725" s="18" t="s">
        <v>28</v>
      </c>
      <c r="M8725" s="18" t="s">
        <v>28</v>
      </c>
      <c r="N8725" s="17">
        <v>42754</v>
      </c>
      <c r="O8725" s="15" t="s">
        <v>73</v>
      </c>
      <c r="P8725" s="16" t="s">
        <v>611</v>
      </c>
      <c r="Q8725" s="15" t="s">
        <v>75</v>
      </c>
      <c r="R8725" s="13" t="str">
        <f>HYPERLINK("https://my.pitchbook.com?c=123194-62T","View Company Online")</f>
        <v>View Company Online</v>
      </c>
    </row>
    <row r="8726" spans="1:18" hidden="1" x14ac:dyDescent="0.3">
      <c r="A8726" s="9" t="s">
        <v>25153</v>
      </c>
      <c r="B8726" s="9" t="s">
        <v>25154</v>
      </c>
      <c r="C8726" s="11" t="s">
        <v>28</v>
      </c>
      <c r="D8726" s="9" t="s">
        <v>25155</v>
      </c>
      <c r="E8726" s="11" t="s">
        <v>28</v>
      </c>
      <c r="F8726" s="10" t="s">
        <v>28</v>
      </c>
      <c r="G8726" s="10" t="s">
        <v>28</v>
      </c>
      <c r="H8726" s="10" t="s">
        <v>28</v>
      </c>
      <c r="I8726" s="11" t="s">
        <v>28</v>
      </c>
      <c r="J8726" s="11" t="s">
        <v>28</v>
      </c>
      <c r="K8726" s="11" t="s">
        <v>28</v>
      </c>
      <c r="L8726" s="11" t="s">
        <v>28</v>
      </c>
      <c r="M8726" s="11" t="s">
        <v>28</v>
      </c>
      <c r="N8726" s="8">
        <v>42752</v>
      </c>
      <c r="O8726" s="9" t="s">
        <v>30</v>
      </c>
      <c r="P8726" s="12" t="s">
        <v>25156</v>
      </c>
      <c r="Q8726" s="9" t="s">
        <v>1088</v>
      </c>
      <c r="R8726" s="14" t="str">
        <f>HYPERLINK("https://my.pitchbook.com?c=81271-00T","View Company Online")</f>
        <v>View Company Online</v>
      </c>
    </row>
    <row r="8727" spans="1:18" hidden="1" x14ac:dyDescent="0.3">
      <c r="A8727" s="15" t="s">
        <v>25157</v>
      </c>
      <c r="B8727" s="15" t="s">
        <v>25158</v>
      </c>
      <c r="C8727" s="18" t="s">
        <v>28</v>
      </c>
      <c r="D8727" s="15" t="s">
        <v>25159</v>
      </c>
      <c r="E8727" s="18" t="s">
        <v>28</v>
      </c>
      <c r="F8727" s="19" t="s">
        <v>28</v>
      </c>
      <c r="G8727" s="19" t="s">
        <v>28</v>
      </c>
      <c r="H8727" s="19" t="s">
        <v>28</v>
      </c>
      <c r="I8727" s="18" t="s">
        <v>28</v>
      </c>
      <c r="J8727" s="18" t="s">
        <v>28</v>
      </c>
      <c r="K8727" s="18">
        <v>116.89</v>
      </c>
      <c r="L8727" s="18" t="s">
        <v>28</v>
      </c>
      <c r="M8727" s="18" t="s">
        <v>28</v>
      </c>
      <c r="N8727" s="17">
        <v>42752</v>
      </c>
      <c r="O8727" s="15" t="s">
        <v>30</v>
      </c>
      <c r="P8727" s="16" t="s">
        <v>25160</v>
      </c>
      <c r="Q8727" s="15" t="s">
        <v>5347</v>
      </c>
      <c r="R8727" s="13" t="str">
        <f>HYPERLINK("https://my.pitchbook.com?c=100089-37T","View Company Online")</f>
        <v>View Company Online</v>
      </c>
    </row>
    <row r="8728" spans="1:18" hidden="1" x14ac:dyDescent="0.3">
      <c r="A8728" s="9" t="s">
        <v>25161</v>
      </c>
      <c r="B8728" s="9" t="s">
        <v>25162</v>
      </c>
      <c r="C8728" s="11" t="s">
        <v>28</v>
      </c>
      <c r="D8728" s="9" t="s">
        <v>25163</v>
      </c>
      <c r="E8728" s="11" t="s">
        <v>28</v>
      </c>
      <c r="F8728" s="10" t="s">
        <v>28</v>
      </c>
      <c r="G8728" s="10" t="s">
        <v>28</v>
      </c>
      <c r="H8728" s="10" t="s">
        <v>28</v>
      </c>
      <c r="I8728" s="11" t="s">
        <v>28</v>
      </c>
      <c r="J8728" s="11" t="s">
        <v>28</v>
      </c>
      <c r="K8728" s="11" t="s">
        <v>28</v>
      </c>
      <c r="L8728" s="11" t="s">
        <v>28</v>
      </c>
      <c r="M8728" s="11" t="s">
        <v>28</v>
      </c>
      <c r="N8728" s="8">
        <v>42751</v>
      </c>
      <c r="O8728" s="9" t="s">
        <v>52</v>
      </c>
      <c r="P8728" s="12" t="s">
        <v>1792</v>
      </c>
      <c r="Q8728" s="9" t="s">
        <v>583</v>
      </c>
      <c r="R8728" s="14" t="str">
        <f>HYPERLINK("https://my.pitchbook.com?c=228432-16T","View Company Online")</f>
        <v>View Company Online</v>
      </c>
    </row>
    <row r="8729" spans="1:18" hidden="1" x14ac:dyDescent="0.3">
      <c r="A8729" s="15" t="s">
        <v>25164</v>
      </c>
      <c r="B8729" s="15" t="s">
        <v>7035</v>
      </c>
      <c r="C8729" s="18" t="s">
        <v>28</v>
      </c>
      <c r="D8729" s="15" t="s">
        <v>7036</v>
      </c>
      <c r="E8729" s="18" t="s">
        <v>28</v>
      </c>
      <c r="F8729" s="19" t="s">
        <v>28</v>
      </c>
      <c r="G8729" s="19" t="s">
        <v>28</v>
      </c>
      <c r="H8729" s="19" t="s">
        <v>28</v>
      </c>
      <c r="I8729" s="18" t="s">
        <v>28</v>
      </c>
      <c r="J8729" s="18" t="s">
        <v>28</v>
      </c>
      <c r="K8729" s="18" t="s">
        <v>28</v>
      </c>
      <c r="L8729" s="18" t="s">
        <v>28</v>
      </c>
      <c r="M8729" s="18" t="s">
        <v>28</v>
      </c>
      <c r="N8729" s="17">
        <v>42749</v>
      </c>
      <c r="O8729" s="15" t="s">
        <v>52</v>
      </c>
      <c r="P8729" s="16" t="s">
        <v>21790</v>
      </c>
      <c r="Q8729" s="15" t="s">
        <v>37</v>
      </c>
      <c r="R8729" s="13" t="str">
        <f>HYPERLINK("https://my.pitchbook.com?c=106422-94T","View Company Online")</f>
        <v>View Company Online</v>
      </c>
    </row>
    <row r="8730" spans="1:18" hidden="1" x14ac:dyDescent="0.3">
      <c r="A8730" s="9" t="s">
        <v>25165</v>
      </c>
      <c r="B8730" s="9" t="s">
        <v>21997</v>
      </c>
      <c r="C8730" s="11" t="s">
        <v>28</v>
      </c>
      <c r="D8730" s="9" t="s">
        <v>21998</v>
      </c>
      <c r="E8730" s="11" t="s">
        <v>28</v>
      </c>
      <c r="F8730" s="10" t="s">
        <v>28</v>
      </c>
      <c r="G8730" s="10" t="s">
        <v>28</v>
      </c>
      <c r="H8730" s="10" t="s">
        <v>28</v>
      </c>
      <c r="I8730" s="11" t="s">
        <v>28</v>
      </c>
      <c r="J8730" s="11" t="s">
        <v>28</v>
      </c>
      <c r="K8730" s="11" t="s">
        <v>28</v>
      </c>
      <c r="L8730" s="11" t="s">
        <v>28</v>
      </c>
      <c r="M8730" s="11" t="s">
        <v>28</v>
      </c>
      <c r="N8730" s="8">
        <v>42749</v>
      </c>
      <c r="O8730" s="9" t="s">
        <v>52</v>
      </c>
      <c r="P8730" s="12" t="s">
        <v>25166</v>
      </c>
      <c r="Q8730" s="9" t="s">
        <v>404</v>
      </c>
      <c r="R8730" s="14" t="str">
        <f>HYPERLINK("https://my.pitchbook.com?c=127524-07T","View Company Online")</f>
        <v>View Company Online</v>
      </c>
    </row>
    <row r="8731" spans="1:18" hidden="1" x14ac:dyDescent="0.3">
      <c r="A8731" s="15" t="s">
        <v>25167</v>
      </c>
      <c r="B8731" s="15" t="s">
        <v>25168</v>
      </c>
      <c r="C8731" s="18" t="s">
        <v>28</v>
      </c>
      <c r="D8731" s="15" t="s">
        <v>25169</v>
      </c>
      <c r="E8731" s="18" t="s">
        <v>28</v>
      </c>
      <c r="F8731" s="19" t="s">
        <v>28</v>
      </c>
      <c r="G8731" s="19">
        <v>0.92</v>
      </c>
      <c r="H8731" s="19" t="s">
        <v>28</v>
      </c>
      <c r="I8731" s="18" t="s">
        <v>28</v>
      </c>
      <c r="J8731" s="18" t="s">
        <v>28</v>
      </c>
      <c r="K8731" s="18" t="s">
        <v>28</v>
      </c>
      <c r="L8731" s="18" t="s">
        <v>28</v>
      </c>
      <c r="M8731" s="18" t="s">
        <v>28</v>
      </c>
      <c r="N8731" s="17">
        <v>42748</v>
      </c>
      <c r="O8731" s="15" t="s">
        <v>73</v>
      </c>
      <c r="P8731" s="16" t="s">
        <v>25170</v>
      </c>
      <c r="Q8731" s="15" t="s">
        <v>75</v>
      </c>
      <c r="R8731" s="13" t="str">
        <f>HYPERLINK("https://my.pitchbook.com?c=133197-31T","View Company Online")</f>
        <v>View Company Online</v>
      </c>
    </row>
    <row r="8732" spans="1:18" hidden="1" x14ac:dyDescent="0.3">
      <c r="A8732" s="9" t="s">
        <v>25171</v>
      </c>
      <c r="B8732" s="9" t="s">
        <v>25172</v>
      </c>
      <c r="C8732" s="11" t="s">
        <v>28</v>
      </c>
      <c r="D8732" s="9" t="s">
        <v>25173</v>
      </c>
      <c r="E8732" s="11" t="s">
        <v>28</v>
      </c>
      <c r="F8732" s="10">
        <v>187</v>
      </c>
      <c r="G8732" s="10">
        <v>187</v>
      </c>
      <c r="H8732" s="10">
        <v>187</v>
      </c>
      <c r="I8732" s="11" t="s">
        <v>28</v>
      </c>
      <c r="J8732" s="11" t="s">
        <v>28</v>
      </c>
      <c r="K8732" s="11" t="s">
        <v>28</v>
      </c>
      <c r="L8732" s="11" t="s">
        <v>28</v>
      </c>
      <c r="M8732" s="11" t="s">
        <v>28</v>
      </c>
      <c r="N8732" s="8">
        <v>42746</v>
      </c>
      <c r="O8732" s="9" t="s">
        <v>41</v>
      </c>
      <c r="P8732" s="12" t="s">
        <v>25174</v>
      </c>
      <c r="Q8732" s="9" t="s">
        <v>95</v>
      </c>
      <c r="R8732" s="14" t="str">
        <f>HYPERLINK("https://my.pitchbook.com?c=107959-33T","View Company Online")</f>
        <v>View Company Online</v>
      </c>
    </row>
    <row r="8733" spans="1:18" hidden="1" x14ac:dyDescent="0.3">
      <c r="A8733" s="15" t="s">
        <v>25175</v>
      </c>
      <c r="B8733" s="15" t="s">
        <v>25176</v>
      </c>
      <c r="C8733" s="18" t="s">
        <v>28</v>
      </c>
      <c r="D8733" s="15" t="s">
        <v>25177</v>
      </c>
      <c r="E8733" s="18" t="s">
        <v>28</v>
      </c>
      <c r="F8733" s="19" t="s">
        <v>28</v>
      </c>
      <c r="G8733" s="19" t="s">
        <v>28</v>
      </c>
      <c r="H8733" s="19" t="s">
        <v>28</v>
      </c>
      <c r="I8733" s="18" t="s">
        <v>28</v>
      </c>
      <c r="J8733" s="18" t="s">
        <v>28</v>
      </c>
      <c r="K8733" s="18" t="s">
        <v>28</v>
      </c>
      <c r="L8733" s="18" t="s">
        <v>28</v>
      </c>
      <c r="M8733" s="18" t="s">
        <v>28</v>
      </c>
      <c r="N8733" s="17">
        <v>42744</v>
      </c>
      <c r="O8733" s="15" t="s">
        <v>173</v>
      </c>
      <c r="P8733" s="16" t="s">
        <v>28</v>
      </c>
      <c r="Q8733" s="15" t="s">
        <v>174</v>
      </c>
      <c r="R8733" s="13" t="str">
        <f>HYPERLINK("https://my.pitchbook.com?c=224698-69T","View Company Online")</f>
        <v>View Company Online</v>
      </c>
    </row>
    <row r="8734" spans="1:18" hidden="1" x14ac:dyDescent="0.3">
      <c r="A8734" s="9" t="s">
        <v>25178</v>
      </c>
      <c r="B8734" s="9" t="s">
        <v>3533</v>
      </c>
      <c r="C8734" s="11" t="s">
        <v>28</v>
      </c>
      <c r="D8734" s="9" t="s">
        <v>3534</v>
      </c>
      <c r="E8734" s="11" t="s">
        <v>28</v>
      </c>
      <c r="F8734" s="10" t="s">
        <v>28</v>
      </c>
      <c r="G8734" s="10">
        <v>0.05</v>
      </c>
      <c r="H8734" s="10" t="s">
        <v>28</v>
      </c>
      <c r="I8734" s="11" t="s">
        <v>28</v>
      </c>
      <c r="J8734" s="11" t="s">
        <v>28</v>
      </c>
      <c r="K8734" s="11" t="s">
        <v>28</v>
      </c>
      <c r="L8734" s="11" t="s">
        <v>28</v>
      </c>
      <c r="M8734" s="11" t="s">
        <v>28</v>
      </c>
      <c r="N8734" s="8">
        <v>42744</v>
      </c>
      <c r="O8734" s="9" t="s">
        <v>99</v>
      </c>
      <c r="P8734" s="12" t="s">
        <v>28</v>
      </c>
      <c r="Q8734" s="9" t="s">
        <v>75</v>
      </c>
      <c r="R8734" s="14" t="str">
        <f>HYPERLINK("https://my.pitchbook.com?c=213604-48T","View Company Online")</f>
        <v>View Company Online</v>
      </c>
    </row>
    <row r="8735" spans="1:18" x14ac:dyDescent="0.3">
      <c r="A8735" s="15" t="s">
        <v>25179</v>
      </c>
      <c r="B8735" s="15" t="s">
        <v>864</v>
      </c>
      <c r="C8735" s="18" t="s">
        <v>28</v>
      </c>
      <c r="D8735" s="15" t="s">
        <v>865</v>
      </c>
      <c r="E8735" s="18">
        <v>-3438.85</v>
      </c>
      <c r="F8735" s="19">
        <v>41.46</v>
      </c>
      <c r="G8735" s="19">
        <v>2400</v>
      </c>
      <c r="H8735" s="19">
        <v>2400</v>
      </c>
      <c r="I8735" s="18">
        <v>-1622</v>
      </c>
      <c r="J8735" s="18">
        <v>-1.48</v>
      </c>
      <c r="K8735" s="18">
        <v>7484.5</v>
      </c>
      <c r="L8735" s="18">
        <v>0.32</v>
      </c>
      <c r="M8735" s="18">
        <v>-4463.1400000000003</v>
      </c>
      <c r="N8735" s="17">
        <v>42744</v>
      </c>
      <c r="O8735" s="15" t="s">
        <v>41</v>
      </c>
      <c r="P8735" s="16" t="s">
        <v>25180</v>
      </c>
      <c r="Q8735" s="15" t="s">
        <v>692</v>
      </c>
      <c r="R8735" s="13" t="str">
        <f>HYPERLINK("https://my.pitchbook.com?c=77678-92T","View Company Online")</f>
        <v>View Company Online</v>
      </c>
    </row>
    <row r="8736" spans="1:18" hidden="1" x14ac:dyDescent="0.3">
      <c r="A8736" s="9" t="s">
        <v>25181</v>
      </c>
      <c r="B8736" s="9" t="s">
        <v>25182</v>
      </c>
      <c r="C8736" s="11" t="s">
        <v>28</v>
      </c>
      <c r="D8736" s="9" t="s">
        <v>25183</v>
      </c>
      <c r="E8736" s="11" t="s">
        <v>28</v>
      </c>
      <c r="F8736" s="10" t="s">
        <v>28</v>
      </c>
      <c r="G8736" s="10" t="s">
        <v>28</v>
      </c>
      <c r="H8736" s="10" t="s">
        <v>28</v>
      </c>
      <c r="I8736" s="11" t="s">
        <v>28</v>
      </c>
      <c r="J8736" s="11" t="s">
        <v>28</v>
      </c>
      <c r="K8736" s="11" t="s">
        <v>28</v>
      </c>
      <c r="L8736" s="11" t="s">
        <v>28</v>
      </c>
      <c r="M8736" s="11" t="s">
        <v>28</v>
      </c>
      <c r="N8736" s="8">
        <v>42741</v>
      </c>
      <c r="O8736" s="9" t="s">
        <v>30</v>
      </c>
      <c r="P8736" s="12" t="s">
        <v>25184</v>
      </c>
      <c r="Q8736" s="9" t="s">
        <v>696</v>
      </c>
      <c r="R8736" s="14" t="str">
        <f>HYPERLINK("https://my.pitchbook.com?c=94563-82T","View Company Online")</f>
        <v>View Company Online</v>
      </c>
    </row>
    <row r="8737" spans="1:18" hidden="1" x14ac:dyDescent="0.3">
      <c r="A8737" s="15" t="s">
        <v>25185</v>
      </c>
      <c r="B8737" s="15" t="s">
        <v>23402</v>
      </c>
      <c r="C8737" s="18" t="s">
        <v>28</v>
      </c>
      <c r="D8737" s="15" t="s">
        <v>23403</v>
      </c>
      <c r="E8737" s="18" t="s">
        <v>28</v>
      </c>
      <c r="F8737" s="19" t="s">
        <v>28</v>
      </c>
      <c r="G8737" s="19">
        <v>3.57</v>
      </c>
      <c r="H8737" s="19" t="s">
        <v>28</v>
      </c>
      <c r="I8737" s="18" t="s">
        <v>28</v>
      </c>
      <c r="J8737" s="18" t="s">
        <v>28</v>
      </c>
      <c r="K8737" s="18" t="s">
        <v>28</v>
      </c>
      <c r="L8737" s="18" t="s">
        <v>28</v>
      </c>
      <c r="M8737" s="18" t="s">
        <v>28</v>
      </c>
      <c r="N8737" s="17">
        <v>42741</v>
      </c>
      <c r="O8737" s="15" t="s">
        <v>79</v>
      </c>
      <c r="P8737" s="16" t="s">
        <v>25186</v>
      </c>
      <c r="Q8737" s="15" t="s">
        <v>1179</v>
      </c>
      <c r="R8737" s="13" t="str">
        <f>HYPERLINK("https://my.pitchbook.com?c=104707-00T","View Company Online")</f>
        <v>View Company Online</v>
      </c>
    </row>
    <row r="8738" spans="1:18" hidden="1" x14ac:dyDescent="0.3">
      <c r="A8738" s="9" t="s">
        <v>25187</v>
      </c>
      <c r="B8738" s="9" t="s">
        <v>14853</v>
      </c>
      <c r="C8738" s="11" t="s">
        <v>28</v>
      </c>
      <c r="D8738" s="9" t="s">
        <v>14854</v>
      </c>
      <c r="E8738" s="11" t="s">
        <v>28</v>
      </c>
      <c r="F8738" s="10" t="s">
        <v>28</v>
      </c>
      <c r="G8738" s="10" t="s">
        <v>28</v>
      </c>
      <c r="H8738" s="10" t="s">
        <v>28</v>
      </c>
      <c r="I8738" s="11" t="s">
        <v>28</v>
      </c>
      <c r="J8738" s="11" t="s">
        <v>28</v>
      </c>
      <c r="K8738" s="11" t="s">
        <v>28</v>
      </c>
      <c r="L8738" s="11" t="s">
        <v>28</v>
      </c>
      <c r="M8738" s="11" t="s">
        <v>28</v>
      </c>
      <c r="N8738" s="8">
        <v>42739</v>
      </c>
      <c r="O8738" s="9" t="s">
        <v>41</v>
      </c>
      <c r="P8738" s="12" t="s">
        <v>20359</v>
      </c>
      <c r="Q8738" s="9" t="s">
        <v>616</v>
      </c>
      <c r="R8738" s="14" t="str">
        <f>HYPERLINK("https://my.pitchbook.com?c=80775-19T","View Company Online")</f>
        <v>View Company Online</v>
      </c>
    </row>
    <row r="8739" spans="1:18" hidden="1" x14ac:dyDescent="0.3">
      <c r="A8739" s="15" t="s">
        <v>25188</v>
      </c>
      <c r="B8739" s="15" t="s">
        <v>25189</v>
      </c>
      <c r="C8739" s="18" t="s">
        <v>28</v>
      </c>
      <c r="D8739" s="15" t="s">
        <v>25190</v>
      </c>
      <c r="E8739" s="18" t="s">
        <v>28</v>
      </c>
      <c r="F8739" s="19" t="s">
        <v>28</v>
      </c>
      <c r="G8739" s="19" t="s">
        <v>28</v>
      </c>
      <c r="H8739" s="19" t="s">
        <v>28</v>
      </c>
      <c r="I8739" s="18" t="s">
        <v>28</v>
      </c>
      <c r="J8739" s="18" t="s">
        <v>28</v>
      </c>
      <c r="K8739" s="18" t="s">
        <v>28</v>
      </c>
      <c r="L8739" s="18" t="s">
        <v>28</v>
      </c>
      <c r="M8739" s="18" t="s">
        <v>28</v>
      </c>
      <c r="N8739" s="17">
        <v>42738</v>
      </c>
      <c r="O8739" s="15" t="s">
        <v>173</v>
      </c>
      <c r="P8739" s="16" t="s">
        <v>28</v>
      </c>
      <c r="Q8739" s="15" t="s">
        <v>240</v>
      </c>
      <c r="R8739" s="13" t="str">
        <f>HYPERLINK("https://my.pitchbook.com?c=224553-70T","View Company Online")</f>
        <v>View Company Online</v>
      </c>
    </row>
    <row r="8740" spans="1:18" hidden="1" x14ac:dyDescent="0.3">
      <c r="A8740" s="9" t="s">
        <v>25191</v>
      </c>
      <c r="B8740" s="9" t="s">
        <v>7535</v>
      </c>
      <c r="C8740" s="11" t="s">
        <v>28</v>
      </c>
      <c r="D8740" s="9" t="s">
        <v>7536</v>
      </c>
      <c r="E8740" s="11" t="s">
        <v>28</v>
      </c>
      <c r="F8740" s="10" t="s">
        <v>28</v>
      </c>
      <c r="G8740" s="10">
        <v>7</v>
      </c>
      <c r="H8740" s="10" t="s">
        <v>28</v>
      </c>
      <c r="I8740" s="11" t="s">
        <v>28</v>
      </c>
      <c r="J8740" s="11" t="s">
        <v>28</v>
      </c>
      <c r="K8740" s="11" t="s">
        <v>28</v>
      </c>
      <c r="L8740" s="11" t="s">
        <v>28</v>
      </c>
      <c r="M8740" s="11" t="s">
        <v>28</v>
      </c>
      <c r="N8740" s="8">
        <v>42737</v>
      </c>
      <c r="O8740" s="9" t="s">
        <v>79</v>
      </c>
      <c r="P8740" s="12" t="s">
        <v>25192</v>
      </c>
      <c r="Q8740" s="9" t="s">
        <v>43</v>
      </c>
      <c r="R8740" s="14" t="str">
        <f>HYPERLINK("https://my.pitchbook.com?c=56046-25T","View Company Online")</f>
        <v>View Company Online</v>
      </c>
    </row>
    <row r="8741" spans="1:18" hidden="1" x14ac:dyDescent="0.3">
      <c r="A8741" s="15" t="s">
        <v>25193</v>
      </c>
      <c r="B8741" s="15" t="s">
        <v>21341</v>
      </c>
      <c r="C8741" s="18" t="s">
        <v>28</v>
      </c>
      <c r="D8741" s="15" t="s">
        <v>21342</v>
      </c>
      <c r="E8741" s="18" t="s">
        <v>28</v>
      </c>
      <c r="F8741" s="19" t="s">
        <v>28</v>
      </c>
      <c r="G8741" s="19" t="s">
        <v>28</v>
      </c>
      <c r="H8741" s="19" t="s">
        <v>28</v>
      </c>
      <c r="I8741" s="18" t="s">
        <v>28</v>
      </c>
      <c r="J8741" s="18" t="s">
        <v>28</v>
      </c>
      <c r="K8741" s="18" t="s">
        <v>28</v>
      </c>
      <c r="L8741" s="18" t="s">
        <v>28</v>
      </c>
      <c r="M8741" s="18" t="s">
        <v>28</v>
      </c>
      <c r="N8741" s="17">
        <v>42736</v>
      </c>
      <c r="O8741" s="15" t="s">
        <v>58</v>
      </c>
      <c r="P8741" s="16" t="s">
        <v>21343</v>
      </c>
      <c r="Q8741" s="15" t="s">
        <v>1853</v>
      </c>
      <c r="R8741" s="13" t="str">
        <f>HYPERLINK("https://my.pitchbook.com?c=213478-93T","View Company Online")</f>
        <v>View Company Online</v>
      </c>
    </row>
    <row r="8742" spans="1:18" hidden="1" x14ac:dyDescent="0.3">
      <c r="A8742" s="9" t="s">
        <v>25194</v>
      </c>
      <c r="B8742" s="9" t="s">
        <v>23531</v>
      </c>
      <c r="C8742" s="11" t="s">
        <v>28</v>
      </c>
      <c r="D8742" s="9" t="s">
        <v>23532</v>
      </c>
      <c r="E8742" s="11" t="s">
        <v>28</v>
      </c>
      <c r="F8742" s="10" t="s">
        <v>28</v>
      </c>
      <c r="G8742" s="10">
        <v>100</v>
      </c>
      <c r="H8742" s="10" t="s">
        <v>28</v>
      </c>
      <c r="I8742" s="11" t="s">
        <v>28</v>
      </c>
      <c r="J8742" s="11" t="s">
        <v>28</v>
      </c>
      <c r="K8742" s="11" t="s">
        <v>28</v>
      </c>
      <c r="L8742" s="11" t="s">
        <v>28</v>
      </c>
      <c r="M8742" s="11" t="s">
        <v>28</v>
      </c>
      <c r="N8742" s="8">
        <v>42736</v>
      </c>
      <c r="O8742" s="9" t="s">
        <v>79</v>
      </c>
      <c r="P8742" s="12" t="s">
        <v>25195</v>
      </c>
      <c r="Q8742" s="9" t="s">
        <v>85</v>
      </c>
      <c r="R8742" s="14" t="str">
        <f>HYPERLINK("https://my.pitchbook.com?c=99574-12T","View Company Online")</f>
        <v>View Company Online</v>
      </c>
    </row>
    <row r="8743" spans="1:18" hidden="1" x14ac:dyDescent="0.3">
      <c r="A8743" s="15" t="s">
        <v>25196</v>
      </c>
      <c r="B8743" s="15" t="s">
        <v>25197</v>
      </c>
      <c r="C8743" s="18" t="s">
        <v>28</v>
      </c>
      <c r="D8743" s="15" t="s">
        <v>25198</v>
      </c>
      <c r="E8743" s="18" t="s">
        <v>28</v>
      </c>
      <c r="F8743" s="19" t="s">
        <v>28</v>
      </c>
      <c r="G8743" s="19" t="s">
        <v>28</v>
      </c>
      <c r="H8743" s="19" t="s">
        <v>28</v>
      </c>
      <c r="I8743" s="18" t="s">
        <v>28</v>
      </c>
      <c r="J8743" s="18" t="s">
        <v>28</v>
      </c>
      <c r="K8743" s="18" t="s">
        <v>28</v>
      </c>
      <c r="L8743" s="18" t="s">
        <v>28</v>
      </c>
      <c r="M8743" s="18" t="s">
        <v>28</v>
      </c>
      <c r="N8743" s="17">
        <v>42736</v>
      </c>
      <c r="O8743" s="15" t="s">
        <v>52</v>
      </c>
      <c r="P8743" s="16" t="s">
        <v>408</v>
      </c>
      <c r="Q8743" s="15" t="s">
        <v>409</v>
      </c>
      <c r="R8743" s="13" t="str">
        <f>HYPERLINK("https://my.pitchbook.com?c=279250-93T","View Company Online")</f>
        <v>View Company Online</v>
      </c>
    </row>
    <row r="8744" spans="1:18" hidden="1" x14ac:dyDescent="0.3">
      <c r="A8744" s="9" t="s">
        <v>25199</v>
      </c>
      <c r="B8744" s="9" t="s">
        <v>15558</v>
      </c>
      <c r="C8744" s="11" t="s">
        <v>28</v>
      </c>
      <c r="D8744" s="9" t="s">
        <v>15559</v>
      </c>
      <c r="E8744" s="11" t="s">
        <v>28</v>
      </c>
      <c r="F8744" s="10" t="s">
        <v>28</v>
      </c>
      <c r="G8744" s="10">
        <v>6.28</v>
      </c>
      <c r="H8744" s="10" t="s">
        <v>28</v>
      </c>
      <c r="I8744" s="11" t="s">
        <v>28</v>
      </c>
      <c r="J8744" s="11" t="s">
        <v>28</v>
      </c>
      <c r="K8744" s="11" t="s">
        <v>28</v>
      </c>
      <c r="L8744" s="11" t="s">
        <v>28</v>
      </c>
      <c r="M8744" s="11" t="s">
        <v>28</v>
      </c>
      <c r="N8744" s="8">
        <v>42736</v>
      </c>
      <c r="O8744" s="9" t="s">
        <v>93</v>
      </c>
      <c r="P8744" s="12" t="s">
        <v>25200</v>
      </c>
      <c r="Q8744" s="9" t="s">
        <v>114</v>
      </c>
      <c r="R8744" s="14" t="str">
        <f>HYPERLINK("https://my.pitchbook.com?c=128857-96T","View Company Online")</f>
        <v>View Company Online</v>
      </c>
    </row>
    <row r="8745" spans="1:18" hidden="1" x14ac:dyDescent="0.3">
      <c r="A8745" s="15" t="s">
        <v>25201</v>
      </c>
      <c r="B8745" s="15" t="s">
        <v>14849</v>
      </c>
      <c r="C8745" s="18" t="s">
        <v>28</v>
      </c>
      <c r="D8745" s="15" t="s">
        <v>14850</v>
      </c>
      <c r="E8745" s="18" t="s">
        <v>28</v>
      </c>
      <c r="F8745" s="19" t="s">
        <v>28</v>
      </c>
      <c r="G8745" s="19" t="s">
        <v>28</v>
      </c>
      <c r="H8745" s="19" t="s">
        <v>28</v>
      </c>
      <c r="I8745" s="18" t="s">
        <v>28</v>
      </c>
      <c r="J8745" s="18" t="s">
        <v>28</v>
      </c>
      <c r="K8745" s="18" t="s">
        <v>28</v>
      </c>
      <c r="L8745" s="18" t="s">
        <v>28</v>
      </c>
      <c r="M8745" s="18" t="s">
        <v>28</v>
      </c>
      <c r="N8745" s="17">
        <v>42736</v>
      </c>
      <c r="O8745" s="15" t="s">
        <v>52</v>
      </c>
      <c r="P8745" s="16" t="s">
        <v>1970</v>
      </c>
      <c r="Q8745" s="15" t="s">
        <v>75</v>
      </c>
      <c r="R8745" s="13" t="str">
        <f>HYPERLINK("https://my.pitchbook.com?c=127514-80T","View Company Online")</f>
        <v>View Company Online</v>
      </c>
    </row>
    <row r="8746" spans="1:18" hidden="1" x14ac:dyDescent="0.3">
      <c r="A8746" s="9" t="s">
        <v>25202</v>
      </c>
      <c r="B8746" s="9" t="s">
        <v>25203</v>
      </c>
      <c r="C8746" s="11" t="s">
        <v>28</v>
      </c>
      <c r="D8746" s="9" t="s">
        <v>25204</v>
      </c>
      <c r="E8746" s="11" t="s">
        <v>28</v>
      </c>
      <c r="F8746" s="10" t="s">
        <v>28</v>
      </c>
      <c r="G8746" s="10">
        <v>14</v>
      </c>
      <c r="H8746" s="10" t="s">
        <v>28</v>
      </c>
      <c r="I8746" s="11" t="s">
        <v>28</v>
      </c>
      <c r="J8746" s="11" t="s">
        <v>28</v>
      </c>
      <c r="K8746" s="11" t="s">
        <v>28</v>
      </c>
      <c r="L8746" s="11" t="s">
        <v>28</v>
      </c>
      <c r="M8746" s="11" t="s">
        <v>28</v>
      </c>
      <c r="N8746" s="8">
        <v>42736</v>
      </c>
      <c r="O8746" s="9" t="s">
        <v>79</v>
      </c>
      <c r="P8746" s="12" t="s">
        <v>23577</v>
      </c>
      <c r="Q8746" s="9" t="s">
        <v>371</v>
      </c>
      <c r="R8746" s="14" t="str">
        <f>HYPERLINK("https://my.pitchbook.com?c=215942-59T","View Company Online")</f>
        <v>View Company Online</v>
      </c>
    </row>
    <row r="8747" spans="1:18" hidden="1" x14ac:dyDescent="0.3">
      <c r="A8747" s="15" t="s">
        <v>25205</v>
      </c>
      <c r="B8747" s="15" t="s">
        <v>25206</v>
      </c>
      <c r="C8747" s="18" t="s">
        <v>28</v>
      </c>
      <c r="D8747" s="15" t="s">
        <v>25207</v>
      </c>
      <c r="E8747" s="18" t="s">
        <v>28</v>
      </c>
      <c r="F8747" s="19" t="s">
        <v>28</v>
      </c>
      <c r="G8747" s="19">
        <v>0.3</v>
      </c>
      <c r="H8747" s="19">
        <v>7.15</v>
      </c>
      <c r="I8747" s="18" t="s">
        <v>28</v>
      </c>
      <c r="J8747" s="18" t="s">
        <v>28</v>
      </c>
      <c r="K8747" s="18" t="s">
        <v>28</v>
      </c>
      <c r="L8747" s="18" t="s">
        <v>28</v>
      </c>
      <c r="M8747" s="18" t="s">
        <v>28</v>
      </c>
      <c r="N8747" s="17">
        <v>42736</v>
      </c>
      <c r="O8747" s="15" t="s">
        <v>79</v>
      </c>
      <c r="P8747" s="16" t="s">
        <v>25208</v>
      </c>
      <c r="Q8747" s="15" t="s">
        <v>95</v>
      </c>
      <c r="R8747" s="13" t="str">
        <f>HYPERLINK("https://my.pitchbook.com?c=133415-56T","View Company Online")</f>
        <v>View Company Online</v>
      </c>
    </row>
    <row r="8748" spans="1:18" hidden="1" x14ac:dyDescent="0.3">
      <c r="A8748" s="9" t="s">
        <v>25209</v>
      </c>
      <c r="B8748" s="9" t="s">
        <v>25210</v>
      </c>
      <c r="C8748" s="11" t="s">
        <v>28</v>
      </c>
      <c r="D8748" s="9" t="s">
        <v>25211</v>
      </c>
      <c r="E8748" s="11" t="s">
        <v>28</v>
      </c>
      <c r="F8748" s="10" t="s">
        <v>28</v>
      </c>
      <c r="G8748" s="10" t="s">
        <v>28</v>
      </c>
      <c r="H8748" s="10" t="s">
        <v>28</v>
      </c>
      <c r="I8748" s="11" t="s">
        <v>28</v>
      </c>
      <c r="J8748" s="11" t="s">
        <v>28</v>
      </c>
      <c r="K8748" s="11" t="s">
        <v>28</v>
      </c>
      <c r="L8748" s="11" t="s">
        <v>28</v>
      </c>
      <c r="M8748" s="11" t="s">
        <v>28</v>
      </c>
      <c r="N8748" s="8">
        <v>42736</v>
      </c>
      <c r="O8748" s="9" t="s">
        <v>52</v>
      </c>
      <c r="P8748" s="12" t="s">
        <v>2830</v>
      </c>
      <c r="Q8748" s="9" t="s">
        <v>855</v>
      </c>
      <c r="R8748" s="14" t="str">
        <f>HYPERLINK("https://my.pitchbook.com?c=292178-89T","View Company Online")</f>
        <v>View Company Online</v>
      </c>
    </row>
    <row r="8749" spans="1:18" hidden="1" x14ac:dyDescent="0.3">
      <c r="A8749" s="15" t="s">
        <v>25212</v>
      </c>
      <c r="B8749" s="15" t="s">
        <v>25213</v>
      </c>
      <c r="C8749" s="18" t="s">
        <v>28</v>
      </c>
      <c r="D8749" s="15" t="s">
        <v>25214</v>
      </c>
      <c r="E8749" s="18" t="s">
        <v>28</v>
      </c>
      <c r="F8749" s="19" t="s">
        <v>28</v>
      </c>
      <c r="G8749" s="19" t="s">
        <v>28</v>
      </c>
      <c r="H8749" s="19" t="s">
        <v>28</v>
      </c>
      <c r="I8749" s="18" t="s">
        <v>28</v>
      </c>
      <c r="J8749" s="18" t="s">
        <v>28</v>
      </c>
      <c r="K8749" s="18" t="s">
        <v>28</v>
      </c>
      <c r="L8749" s="18" t="s">
        <v>28</v>
      </c>
      <c r="M8749" s="18" t="s">
        <v>28</v>
      </c>
      <c r="N8749" s="17">
        <v>42736</v>
      </c>
      <c r="O8749" s="15" t="s">
        <v>52</v>
      </c>
      <c r="P8749" s="16" t="s">
        <v>2830</v>
      </c>
      <c r="Q8749" s="15" t="s">
        <v>307</v>
      </c>
      <c r="R8749" s="13" t="str">
        <f>HYPERLINK("https://my.pitchbook.com?c=292177-63T","View Company Online")</f>
        <v>View Company Online</v>
      </c>
    </row>
    <row r="8750" spans="1:18" hidden="1" x14ac:dyDescent="0.3">
      <c r="A8750" s="9" t="s">
        <v>25215</v>
      </c>
      <c r="B8750" s="9" t="s">
        <v>25216</v>
      </c>
      <c r="C8750" s="11" t="s">
        <v>28</v>
      </c>
      <c r="D8750" s="9" t="s">
        <v>25217</v>
      </c>
      <c r="E8750" s="11" t="s">
        <v>28</v>
      </c>
      <c r="F8750" s="10" t="s">
        <v>28</v>
      </c>
      <c r="G8750" s="10" t="s">
        <v>28</v>
      </c>
      <c r="H8750" s="10" t="s">
        <v>28</v>
      </c>
      <c r="I8750" s="11" t="s">
        <v>28</v>
      </c>
      <c r="J8750" s="11" t="s">
        <v>28</v>
      </c>
      <c r="K8750" s="11" t="s">
        <v>28</v>
      </c>
      <c r="L8750" s="11" t="s">
        <v>28</v>
      </c>
      <c r="M8750" s="11" t="s">
        <v>28</v>
      </c>
      <c r="N8750" s="8">
        <v>42736</v>
      </c>
      <c r="O8750" s="9" t="s">
        <v>30</v>
      </c>
      <c r="P8750" s="12" t="s">
        <v>9712</v>
      </c>
      <c r="Q8750" s="9" t="s">
        <v>414</v>
      </c>
      <c r="R8750" s="14" t="str">
        <f>HYPERLINK("https://my.pitchbook.com?c=209545-93T","View Company Online")</f>
        <v>View Company Online</v>
      </c>
    </row>
    <row r="8751" spans="1:18" hidden="1" x14ac:dyDescent="0.3">
      <c r="A8751" s="15" t="s">
        <v>25218</v>
      </c>
      <c r="B8751" s="15" t="s">
        <v>11298</v>
      </c>
      <c r="C8751" s="18" t="s">
        <v>28</v>
      </c>
      <c r="D8751" s="15" t="s">
        <v>11299</v>
      </c>
      <c r="E8751" s="18" t="s">
        <v>28</v>
      </c>
      <c r="F8751" s="19" t="s">
        <v>28</v>
      </c>
      <c r="G8751" s="19" t="s">
        <v>28</v>
      </c>
      <c r="H8751" s="19" t="s">
        <v>28</v>
      </c>
      <c r="I8751" s="18" t="s">
        <v>28</v>
      </c>
      <c r="J8751" s="18" t="s">
        <v>28</v>
      </c>
      <c r="K8751" s="18" t="s">
        <v>28</v>
      </c>
      <c r="L8751" s="18" t="s">
        <v>28</v>
      </c>
      <c r="M8751" s="18" t="s">
        <v>28</v>
      </c>
      <c r="N8751" s="17">
        <v>42736</v>
      </c>
      <c r="O8751" s="15" t="s">
        <v>52</v>
      </c>
      <c r="P8751" s="16" t="s">
        <v>7022</v>
      </c>
      <c r="Q8751" s="15" t="s">
        <v>249</v>
      </c>
      <c r="R8751" s="13" t="str">
        <f>HYPERLINK("https://my.pitchbook.com?c=100659-61T","View Company Online")</f>
        <v>View Company Online</v>
      </c>
    </row>
    <row r="8752" spans="1:18" hidden="1" x14ac:dyDescent="0.3">
      <c r="A8752" s="9" t="s">
        <v>25219</v>
      </c>
      <c r="B8752" s="9" t="s">
        <v>11298</v>
      </c>
      <c r="C8752" s="11" t="s">
        <v>28</v>
      </c>
      <c r="D8752" s="9" t="s">
        <v>11299</v>
      </c>
      <c r="E8752" s="11" t="s">
        <v>28</v>
      </c>
      <c r="F8752" s="10" t="s">
        <v>28</v>
      </c>
      <c r="G8752" s="10">
        <v>0.06</v>
      </c>
      <c r="H8752" s="10" t="s">
        <v>28</v>
      </c>
      <c r="I8752" s="11" t="s">
        <v>28</v>
      </c>
      <c r="J8752" s="11" t="s">
        <v>28</v>
      </c>
      <c r="K8752" s="11" t="s">
        <v>28</v>
      </c>
      <c r="L8752" s="11" t="s">
        <v>28</v>
      </c>
      <c r="M8752" s="11" t="s">
        <v>28</v>
      </c>
      <c r="N8752" s="8">
        <v>42736</v>
      </c>
      <c r="O8752" s="9" t="s">
        <v>47</v>
      </c>
      <c r="P8752" s="12" t="s">
        <v>7823</v>
      </c>
      <c r="Q8752" s="9" t="s">
        <v>249</v>
      </c>
      <c r="R8752" s="14" t="str">
        <f>HYPERLINK("https://my.pitchbook.com?c=100660-78T","View Company Online")</f>
        <v>View Company Online</v>
      </c>
    </row>
    <row r="8753" spans="1:18" hidden="1" x14ac:dyDescent="0.3">
      <c r="A8753" s="15" t="s">
        <v>25220</v>
      </c>
      <c r="B8753" s="15" t="s">
        <v>5651</v>
      </c>
      <c r="C8753" s="18" t="s">
        <v>28</v>
      </c>
      <c r="D8753" s="15" t="s">
        <v>5652</v>
      </c>
      <c r="E8753" s="18" t="s">
        <v>28</v>
      </c>
      <c r="F8753" s="19" t="s">
        <v>28</v>
      </c>
      <c r="G8753" s="19">
        <v>8.9700000000000006</v>
      </c>
      <c r="H8753" s="19" t="s">
        <v>28</v>
      </c>
      <c r="I8753" s="18" t="s">
        <v>28</v>
      </c>
      <c r="J8753" s="18" t="s">
        <v>28</v>
      </c>
      <c r="K8753" s="18" t="s">
        <v>28</v>
      </c>
      <c r="L8753" s="18" t="s">
        <v>28</v>
      </c>
      <c r="M8753" s="18" t="s">
        <v>28</v>
      </c>
      <c r="N8753" s="17">
        <v>42736</v>
      </c>
      <c r="O8753" s="15" t="s">
        <v>73</v>
      </c>
      <c r="P8753" s="16" t="s">
        <v>1399</v>
      </c>
      <c r="Q8753" s="15" t="s">
        <v>226</v>
      </c>
      <c r="R8753" s="13" t="str">
        <f>HYPERLINK("https://my.pitchbook.com?c=273403-09T","View Company Online")</f>
        <v>View Company Online</v>
      </c>
    </row>
    <row r="8754" spans="1:18" hidden="1" x14ac:dyDescent="0.3">
      <c r="A8754" s="9" t="s">
        <v>25221</v>
      </c>
      <c r="B8754" s="9" t="s">
        <v>25222</v>
      </c>
      <c r="C8754" s="11" t="s">
        <v>28</v>
      </c>
      <c r="D8754" s="9" t="s">
        <v>25223</v>
      </c>
      <c r="E8754" s="11" t="s">
        <v>28</v>
      </c>
      <c r="F8754" s="10" t="s">
        <v>28</v>
      </c>
      <c r="G8754" s="10" t="s">
        <v>28</v>
      </c>
      <c r="H8754" s="10" t="s">
        <v>28</v>
      </c>
      <c r="I8754" s="11" t="s">
        <v>28</v>
      </c>
      <c r="J8754" s="11" t="s">
        <v>28</v>
      </c>
      <c r="K8754" s="11" t="s">
        <v>28</v>
      </c>
      <c r="L8754" s="11" t="s">
        <v>28</v>
      </c>
      <c r="M8754" s="11" t="s">
        <v>28</v>
      </c>
      <c r="N8754" s="8">
        <v>42736</v>
      </c>
      <c r="O8754" s="9" t="s">
        <v>30</v>
      </c>
      <c r="P8754" s="12" t="s">
        <v>5134</v>
      </c>
      <c r="Q8754" s="9" t="s">
        <v>7449</v>
      </c>
      <c r="R8754" s="14" t="str">
        <f>HYPERLINK("https://my.pitchbook.com?c=213518-71T","View Company Online")</f>
        <v>View Company Online</v>
      </c>
    </row>
    <row r="8755" spans="1:18" hidden="1" x14ac:dyDescent="0.3">
      <c r="A8755" s="15" t="s">
        <v>25224</v>
      </c>
      <c r="B8755" s="15" t="s">
        <v>25225</v>
      </c>
      <c r="C8755" s="18" t="s">
        <v>28</v>
      </c>
      <c r="D8755" s="15" t="s">
        <v>25226</v>
      </c>
      <c r="E8755" s="18" t="s">
        <v>28</v>
      </c>
      <c r="F8755" s="19" t="s">
        <v>28</v>
      </c>
      <c r="G8755" s="19" t="s">
        <v>28</v>
      </c>
      <c r="H8755" s="19" t="s">
        <v>28</v>
      </c>
      <c r="I8755" s="18" t="s">
        <v>28</v>
      </c>
      <c r="J8755" s="18" t="s">
        <v>28</v>
      </c>
      <c r="K8755" s="18" t="s">
        <v>28</v>
      </c>
      <c r="L8755" s="18" t="s">
        <v>28</v>
      </c>
      <c r="M8755" s="18" t="s">
        <v>28</v>
      </c>
      <c r="N8755" s="17">
        <v>42736</v>
      </c>
      <c r="O8755" s="15" t="s">
        <v>93</v>
      </c>
      <c r="P8755" s="16" t="s">
        <v>25227</v>
      </c>
      <c r="Q8755" s="15" t="s">
        <v>75</v>
      </c>
      <c r="R8755" s="13" t="str">
        <f>HYPERLINK("https://my.pitchbook.com?c=207282-16T","View Company Online")</f>
        <v>View Company Online</v>
      </c>
    </row>
    <row r="8756" spans="1:18" hidden="1" x14ac:dyDescent="0.3">
      <c r="A8756" s="9" t="s">
        <v>25228</v>
      </c>
      <c r="B8756" s="9" t="s">
        <v>7106</v>
      </c>
      <c r="C8756" s="11" t="s">
        <v>28</v>
      </c>
      <c r="D8756" s="9" t="s">
        <v>7107</v>
      </c>
      <c r="E8756" s="11" t="s">
        <v>28</v>
      </c>
      <c r="F8756" s="10" t="s">
        <v>28</v>
      </c>
      <c r="G8756" s="10" t="s">
        <v>28</v>
      </c>
      <c r="H8756" s="10" t="s">
        <v>28</v>
      </c>
      <c r="I8756" s="11" t="s">
        <v>28</v>
      </c>
      <c r="J8756" s="11" t="s">
        <v>28</v>
      </c>
      <c r="K8756" s="11" t="s">
        <v>28</v>
      </c>
      <c r="L8756" s="11" t="s">
        <v>28</v>
      </c>
      <c r="M8756" s="11" t="s">
        <v>28</v>
      </c>
      <c r="N8756" s="8">
        <v>42736</v>
      </c>
      <c r="O8756" s="9" t="s">
        <v>52</v>
      </c>
      <c r="P8756" s="12" t="s">
        <v>16928</v>
      </c>
      <c r="Q8756" s="9" t="s">
        <v>37</v>
      </c>
      <c r="R8756" s="14" t="str">
        <f>HYPERLINK("https://my.pitchbook.com?c=284434-57T","View Company Online")</f>
        <v>View Company Online</v>
      </c>
    </row>
    <row r="8757" spans="1:18" hidden="1" x14ac:dyDescent="0.3">
      <c r="A8757" s="15" t="s">
        <v>25229</v>
      </c>
      <c r="B8757" s="15" t="s">
        <v>13841</v>
      </c>
      <c r="C8757" s="18" t="s">
        <v>28</v>
      </c>
      <c r="D8757" s="15" t="s">
        <v>13842</v>
      </c>
      <c r="E8757" s="18" t="s">
        <v>28</v>
      </c>
      <c r="F8757" s="19" t="s">
        <v>28</v>
      </c>
      <c r="G8757" s="19">
        <v>1.79</v>
      </c>
      <c r="H8757" s="19" t="s">
        <v>28</v>
      </c>
      <c r="I8757" s="18" t="s">
        <v>28</v>
      </c>
      <c r="J8757" s="18" t="s">
        <v>28</v>
      </c>
      <c r="K8757" s="18" t="s">
        <v>28</v>
      </c>
      <c r="L8757" s="18" t="s">
        <v>28</v>
      </c>
      <c r="M8757" s="18" t="s">
        <v>28</v>
      </c>
      <c r="N8757" s="17">
        <v>42736</v>
      </c>
      <c r="O8757" s="15" t="s">
        <v>73</v>
      </c>
      <c r="P8757" s="16" t="s">
        <v>1612</v>
      </c>
      <c r="Q8757" s="15" t="s">
        <v>37</v>
      </c>
      <c r="R8757" s="13" t="str">
        <f>HYPERLINK("https://my.pitchbook.com?c=201136-42T","View Company Online")</f>
        <v>View Company Online</v>
      </c>
    </row>
    <row r="8758" spans="1:18" hidden="1" x14ac:dyDescent="0.3">
      <c r="A8758" s="9" t="s">
        <v>25230</v>
      </c>
      <c r="B8758" s="9" t="s">
        <v>5185</v>
      </c>
      <c r="C8758" s="11" t="s">
        <v>28</v>
      </c>
      <c r="D8758" s="9" t="s">
        <v>5186</v>
      </c>
      <c r="E8758" s="11" t="s">
        <v>28</v>
      </c>
      <c r="F8758" s="10" t="s">
        <v>28</v>
      </c>
      <c r="G8758" s="10">
        <v>0.01</v>
      </c>
      <c r="H8758" s="10" t="s">
        <v>28</v>
      </c>
      <c r="I8758" s="11" t="s">
        <v>28</v>
      </c>
      <c r="J8758" s="11" t="s">
        <v>28</v>
      </c>
      <c r="K8758" s="11" t="s">
        <v>28</v>
      </c>
      <c r="L8758" s="11" t="s">
        <v>28</v>
      </c>
      <c r="M8758" s="11" t="s">
        <v>28</v>
      </c>
      <c r="N8758" s="8">
        <v>42736</v>
      </c>
      <c r="O8758" s="9" t="s">
        <v>9098</v>
      </c>
      <c r="P8758" s="12" t="s">
        <v>28</v>
      </c>
      <c r="Q8758" s="9" t="s">
        <v>263</v>
      </c>
      <c r="R8758" s="14" t="str">
        <f>HYPERLINK("https://my.pitchbook.com?c=284254-12T","View Company Online")</f>
        <v>View Company Online</v>
      </c>
    </row>
    <row r="8759" spans="1:18" hidden="1" x14ac:dyDescent="0.3">
      <c r="A8759" s="15" t="s">
        <v>25231</v>
      </c>
      <c r="B8759" s="15" t="s">
        <v>25232</v>
      </c>
      <c r="C8759" s="18" t="s">
        <v>28</v>
      </c>
      <c r="D8759" s="15" t="s">
        <v>25233</v>
      </c>
      <c r="E8759" s="18" t="s">
        <v>28</v>
      </c>
      <c r="F8759" s="19" t="s">
        <v>28</v>
      </c>
      <c r="G8759" s="19" t="s">
        <v>28</v>
      </c>
      <c r="H8759" s="19" t="s">
        <v>28</v>
      </c>
      <c r="I8759" s="18" t="s">
        <v>28</v>
      </c>
      <c r="J8759" s="18" t="s">
        <v>28</v>
      </c>
      <c r="K8759" s="18" t="s">
        <v>28</v>
      </c>
      <c r="L8759" s="18" t="s">
        <v>28</v>
      </c>
      <c r="M8759" s="18" t="s">
        <v>28</v>
      </c>
      <c r="N8759" s="17">
        <v>42736</v>
      </c>
      <c r="O8759" s="15" t="s">
        <v>52</v>
      </c>
      <c r="P8759" s="16" t="s">
        <v>2830</v>
      </c>
      <c r="Q8759" s="15" t="s">
        <v>522</v>
      </c>
      <c r="R8759" s="13" t="str">
        <f>HYPERLINK("https://my.pitchbook.com?c=292182-13T","View Company Online")</f>
        <v>View Company Online</v>
      </c>
    </row>
    <row r="8760" spans="1:18" hidden="1" x14ac:dyDescent="0.3">
      <c r="A8760" s="9" t="s">
        <v>25234</v>
      </c>
      <c r="B8760" s="9" t="s">
        <v>16062</v>
      </c>
      <c r="C8760" s="11" t="s">
        <v>28</v>
      </c>
      <c r="D8760" s="9" t="s">
        <v>16063</v>
      </c>
      <c r="E8760" s="11" t="s">
        <v>28</v>
      </c>
      <c r="F8760" s="10" t="s">
        <v>28</v>
      </c>
      <c r="G8760" s="10" t="s">
        <v>28</v>
      </c>
      <c r="H8760" s="10" t="s">
        <v>28</v>
      </c>
      <c r="I8760" s="11" t="s">
        <v>28</v>
      </c>
      <c r="J8760" s="11" t="s">
        <v>28</v>
      </c>
      <c r="K8760" s="11" t="s">
        <v>28</v>
      </c>
      <c r="L8760" s="11" t="s">
        <v>28</v>
      </c>
      <c r="M8760" s="11" t="s">
        <v>28</v>
      </c>
      <c r="N8760" s="8">
        <v>42736</v>
      </c>
      <c r="O8760" s="9" t="s">
        <v>79</v>
      </c>
      <c r="P8760" s="12" t="s">
        <v>25235</v>
      </c>
      <c r="Q8760" s="9" t="s">
        <v>3973</v>
      </c>
      <c r="R8760" s="14" t="str">
        <f>HYPERLINK("https://my.pitchbook.com?c=130553-83T","View Company Online")</f>
        <v>View Company Online</v>
      </c>
    </row>
    <row r="8761" spans="1:18" hidden="1" x14ac:dyDescent="0.3">
      <c r="A8761" s="15" t="s">
        <v>25236</v>
      </c>
      <c r="B8761" s="15" t="s">
        <v>5549</v>
      </c>
      <c r="C8761" s="18" t="s">
        <v>28</v>
      </c>
      <c r="D8761" s="15" t="s">
        <v>5550</v>
      </c>
      <c r="E8761" s="18" t="s">
        <v>28</v>
      </c>
      <c r="F8761" s="19" t="s">
        <v>28</v>
      </c>
      <c r="G8761" s="19">
        <v>0.35</v>
      </c>
      <c r="H8761" s="19" t="s">
        <v>28</v>
      </c>
      <c r="I8761" s="18" t="s">
        <v>28</v>
      </c>
      <c r="J8761" s="18" t="s">
        <v>28</v>
      </c>
      <c r="K8761" s="18" t="s">
        <v>28</v>
      </c>
      <c r="L8761" s="18" t="s">
        <v>28</v>
      </c>
      <c r="M8761" s="18" t="s">
        <v>28</v>
      </c>
      <c r="N8761" s="17">
        <v>42736</v>
      </c>
      <c r="O8761" s="15" t="s">
        <v>47</v>
      </c>
      <c r="P8761" s="16" t="s">
        <v>13703</v>
      </c>
      <c r="Q8761" s="15" t="s">
        <v>404</v>
      </c>
      <c r="R8761" s="13" t="str">
        <f>HYPERLINK("https://my.pitchbook.com?c=125597-08T","View Company Online")</f>
        <v>View Company Online</v>
      </c>
    </row>
    <row r="8762" spans="1:18" hidden="1" x14ac:dyDescent="0.3">
      <c r="A8762" s="9" t="s">
        <v>25237</v>
      </c>
      <c r="B8762" s="9" t="s">
        <v>22628</v>
      </c>
      <c r="C8762" s="11" t="s">
        <v>28</v>
      </c>
      <c r="D8762" s="9" t="s">
        <v>22629</v>
      </c>
      <c r="E8762" s="11" t="s">
        <v>28</v>
      </c>
      <c r="F8762" s="10" t="s">
        <v>28</v>
      </c>
      <c r="G8762" s="10" t="s">
        <v>28</v>
      </c>
      <c r="H8762" s="10" t="s">
        <v>28</v>
      </c>
      <c r="I8762" s="11" t="s">
        <v>28</v>
      </c>
      <c r="J8762" s="11" t="s">
        <v>28</v>
      </c>
      <c r="K8762" s="11" t="s">
        <v>28</v>
      </c>
      <c r="L8762" s="11" t="s">
        <v>28</v>
      </c>
      <c r="M8762" s="11" t="s">
        <v>28</v>
      </c>
      <c r="N8762" s="8">
        <v>42736</v>
      </c>
      <c r="O8762" s="9" t="s">
        <v>52</v>
      </c>
      <c r="P8762" s="12" t="s">
        <v>1970</v>
      </c>
      <c r="Q8762" s="9" t="s">
        <v>386</v>
      </c>
      <c r="R8762" s="14" t="str">
        <f>HYPERLINK("https://my.pitchbook.com?c=119995-93T","View Company Online")</f>
        <v>View Company Online</v>
      </c>
    </row>
    <row r="8763" spans="1:18" hidden="1" x14ac:dyDescent="0.3">
      <c r="A8763" s="15" t="s">
        <v>25238</v>
      </c>
      <c r="B8763" s="15" t="s">
        <v>25239</v>
      </c>
      <c r="C8763" s="18" t="s">
        <v>28</v>
      </c>
      <c r="D8763" s="15" t="s">
        <v>25240</v>
      </c>
      <c r="E8763" s="18" t="s">
        <v>28</v>
      </c>
      <c r="F8763" s="19" t="s">
        <v>28</v>
      </c>
      <c r="G8763" s="19" t="s">
        <v>28</v>
      </c>
      <c r="H8763" s="19" t="s">
        <v>28</v>
      </c>
      <c r="I8763" s="18" t="s">
        <v>28</v>
      </c>
      <c r="J8763" s="18" t="s">
        <v>28</v>
      </c>
      <c r="K8763" s="18" t="s">
        <v>28</v>
      </c>
      <c r="L8763" s="18" t="s">
        <v>28</v>
      </c>
      <c r="M8763" s="18" t="s">
        <v>28</v>
      </c>
      <c r="N8763" s="17">
        <v>42736</v>
      </c>
      <c r="O8763" s="15" t="s">
        <v>52</v>
      </c>
      <c r="P8763" s="16" t="s">
        <v>2442</v>
      </c>
      <c r="Q8763" s="15" t="s">
        <v>37</v>
      </c>
      <c r="R8763" s="13" t="str">
        <f>HYPERLINK("https://my.pitchbook.com?c=266764-51T","View Company Online")</f>
        <v>View Company Online</v>
      </c>
    </row>
    <row r="8764" spans="1:18" hidden="1" x14ac:dyDescent="0.3">
      <c r="A8764" s="9" t="s">
        <v>25241</v>
      </c>
      <c r="B8764" s="9" t="s">
        <v>25242</v>
      </c>
      <c r="C8764" s="11" t="s">
        <v>28</v>
      </c>
      <c r="D8764" s="9" t="s">
        <v>25243</v>
      </c>
      <c r="E8764" s="11" t="s">
        <v>28</v>
      </c>
      <c r="F8764" s="10" t="s">
        <v>28</v>
      </c>
      <c r="G8764" s="10" t="s">
        <v>28</v>
      </c>
      <c r="H8764" s="10" t="s">
        <v>28</v>
      </c>
      <c r="I8764" s="11" t="s">
        <v>28</v>
      </c>
      <c r="J8764" s="11" t="s">
        <v>28</v>
      </c>
      <c r="K8764" s="11" t="s">
        <v>28</v>
      </c>
      <c r="L8764" s="11" t="s">
        <v>28</v>
      </c>
      <c r="M8764" s="11" t="s">
        <v>28</v>
      </c>
      <c r="N8764" s="8">
        <v>42736</v>
      </c>
      <c r="O8764" s="9" t="s">
        <v>79</v>
      </c>
      <c r="P8764" s="12" t="s">
        <v>3811</v>
      </c>
      <c r="Q8764" s="9" t="s">
        <v>5628</v>
      </c>
      <c r="R8764" s="14" t="str">
        <f>HYPERLINK("https://my.pitchbook.com?c=156125-26T","View Company Online")</f>
        <v>View Company Online</v>
      </c>
    </row>
    <row r="8765" spans="1:18" hidden="1" x14ac:dyDescent="0.3">
      <c r="A8765" s="15" t="s">
        <v>25244</v>
      </c>
      <c r="B8765" s="15" t="s">
        <v>25245</v>
      </c>
      <c r="C8765" s="18" t="s">
        <v>28</v>
      </c>
      <c r="D8765" s="15" t="s">
        <v>25246</v>
      </c>
      <c r="E8765" s="18" t="s">
        <v>28</v>
      </c>
      <c r="F8765" s="19" t="s">
        <v>28</v>
      </c>
      <c r="G8765" s="19" t="s">
        <v>28</v>
      </c>
      <c r="H8765" s="19" t="s">
        <v>28</v>
      </c>
      <c r="I8765" s="18" t="s">
        <v>28</v>
      </c>
      <c r="J8765" s="18" t="s">
        <v>28</v>
      </c>
      <c r="K8765" s="18" t="s">
        <v>28</v>
      </c>
      <c r="L8765" s="18" t="s">
        <v>28</v>
      </c>
      <c r="M8765" s="18" t="s">
        <v>28</v>
      </c>
      <c r="N8765" s="17">
        <v>42736</v>
      </c>
      <c r="O8765" s="15" t="s">
        <v>93</v>
      </c>
      <c r="P8765" s="16" t="s">
        <v>11929</v>
      </c>
      <c r="Q8765" s="15" t="s">
        <v>75</v>
      </c>
      <c r="R8765" s="13" t="str">
        <f>HYPERLINK("https://my.pitchbook.com?c=110007-73T","View Company Online")</f>
        <v>View Company Online</v>
      </c>
    </row>
    <row r="8766" spans="1:18" hidden="1" x14ac:dyDescent="0.3">
      <c r="A8766" s="9" t="s">
        <v>25247</v>
      </c>
      <c r="B8766" s="9" t="s">
        <v>25094</v>
      </c>
      <c r="C8766" s="11" t="s">
        <v>28</v>
      </c>
      <c r="D8766" s="9" t="s">
        <v>25095</v>
      </c>
      <c r="E8766" s="11" t="s">
        <v>28</v>
      </c>
      <c r="F8766" s="10" t="s">
        <v>28</v>
      </c>
      <c r="G8766" s="10" t="s">
        <v>28</v>
      </c>
      <c r="H8766" s="10" t="s">
        <v>28</v>
      </c>
      <c r="I8766" s="11" t="s">
        <v>28</v>
      </c>
      <c r="J8766" s="11" t="s">
        <v>28</v>
      </c>
      <c r="K8766" s="11" t="s">
        <v>28</v>
      </c>
      <c r="L8766" s="11" t="s">
        <v>28</v>
      </c>
      <c r="M8766" s="11" t="s">
        <v>28</v>
      </c>
      <c r="N8766" s="8">
        <v>42736</v>
      </c>
      <c r="O8766" s="9" t="s">
        <v>52</v>
      </c>
      <c r="P8766" s="12" t="s">
        <v>2442</v>
      </c>
      <c r="Q8766" s="9" t="s">
        <v>114</v>
      </c>
      <c r="R8766" s="14" t="str">
        <f>HYPERLINK("https://my.pitchbook.com?c=259823-08T","View Company Online")</f>
        <v>View Company Online</v>
      </c>
    </row>
    <row r="8767" spans="1:18" hidden="1" x14ac:dyDescent="0.3">
      <c r="A8767" s="15" t="s">
        <v>25248</v>
      </c>
      <c r="B8767" s="15" t="s">
        <v>25094</v>
      </c>
      <c r="C8767" s="18" t="s">
        <v>28</v>
      </c>
      <c r="D8767" s="15" t="s">
        <v>25095</v>
      </c>
      <c r="E8767" s="18" t="s">
        <v>28</v>
      </c>
      <c r="F8767" s="19" t="s">
        <v>28</v>
      </c>
      <c r="G8767" s="19" t="s">
        <v>28</v>
      </c>
      <c r="H8767" s="19" t="s">
        <v>28</v>
      </c>
      <c r="I8767" s="18" t="s">
        <v>28</v>
      </c>
      <c r="J8767" s="18" t="s">
        <v>28</v>
      </c>
      <c r="K8767" s="18" t="s">
        <v>28</v>
      </c>
      <c r="L8767" s="18" t="s">
        <v>28</v>
      </c>
      <c r="M8767" s="18" t="s">
        <v>28</v>
      </c>
      <c r="N8767" s="17">
        <v>42736</v>
      </c>
      <c r="O8767" s="15" t="s">
        <v>52</v>
      </c>
      <c r="P8767" s="16" t="s">
        <v>21562</v>
      </c>
      <c r="Q8767" s="15" t="s">
        <v>114</v>
      </c>
      <c r="R8767" s="13" t="str">
        <f>HYPERLINK("https://my.pitchbook.com?c=259964-47T","View Company Online")</f>
        <v>View Company Online</v>
      </c>
    </row>
    <row r="8768" spans="1:18" hidden="1" x14ac:dyDescent="0.3">
      <c r="A8768" s="9" t="s">
        <v>25249</v>
      </c>
      <c r="B8768" s="9" t="s">
        <v>25094</v>
      </c>
      <c r="C8768" s="11" t="s">
        <v>28</v>
      </c>
      <c r="D8768" s="9" t="s">
        <v>25095</v>
      </c>
      <c r="E8768" s="11" t="s">
        <v>28</v>
      </c>
      <c r="F8768" s="10" t="s">
        <v>28</v>
      </c>
      <c r="G8768" s="10" t="s">
        <v>28</v>
      </c>
      <c r="H8768" s="10" t="s">
        <v>28</v>
      </c>
      <c r="I8768" s="11" t="s">
        <v>28</v>
      </c>
      <c r="J8768" s="11" t="s">
        <v>28</v>
      </c>
      <c r="K8768" s="11" t="s">
        <v>28</v>
      </c>
      <c r="L8768" s="11" t="s">
        <v>28</v>
      </c>
      <c r="M8768" s="11" t="s">
        <v>28</v>
      </c>
      <c r="N8768" s="8">
        <v>42736</v>
      </c>
      <c r="O8768" s="9" t="s">
        <v>52</v>
      </c>
      <c r="P8768" s="12" t="s">
        <v>2235</v>
      </c>
      <c r="Q8768" s="9" t="s">
        <v>114</v>
      </c>
      <c r="R8768" s="14" t="str">
        <f>HYPERLINK("https://my.pitchbook.com?c=259968-61T","View Company Online")</f>
        <v>View Company Online</v>
      </c>
    </row>
    <row r="8769" spans="1:18" hidden="1" x14ac:dyDescent="0.3">
      <c r="A8769" s="15" t="s">
        <v>25250</v>
      </c>
      <c r="B8769" s="15" t="s">
        <v>25251</v>
      </c>
      <c r="C8769" s="18" t="s">
        <v>28</v>
      </c>
      <c r="D8769" s="15" t="s">
        <v>25252</v>
      </c>
      <c r="E8769" s="18" t="s">
        <v>28</v>
      </c>
      <c r="F8769" s="19" t="s">
        <v>28</v>
      </c>
      <c r="G8769" s="19" t="s">
        <v>28</v>
      </c>
      <c r="H8769" s="19" t="s">
        <v>28</v>
      </c>
      <c r="I8769" s="18" t="s">
        <v>28</v>
      </c>
      <c r="J8769" s="18" t="s">
        <v>28</v>
      </c>
      <c r="K8769" s="18" t="s">
        <v>28</v>
      </c>
      <c r="L8769" s="18" t="s">
        <v>28</v>
      </c>
      <c r="M8769" s="18" t="s">
        <v>28</v>
      </c>
      <c r="N8769" s="17">
        <v>42736</v>
      </c>
      <c r="O8769" s="15" t="s">
        <v>41</v>
      </c>
      <c r="P8769" s="16" t="s">
        <v>5831</v>
      </c>
      <c r="Q8769" s="15" t="s">
        <v>381</v>
      </c>
      <c r="R8769" s="13" t="str">
        <f>HYPERLINK("https://my.pitchbook.com?c=292579-93T","View Company Online")</f>
        <v>View Company Online</v>
      </c>
    </row>
    <row r="8770" spans="1:18" hidden="1" x14ac:dyDescent="0.3">
      <c r="A8770" s="9" t="s">
        <v>25253</v>
      </c>
      <c r="B8770" s="9" t="s">
        <v>17456</v>
      </c>
      <c r="C8770" s="11" t="s">
        <v>28</v>
      </c>
      <c r="D8770" s="9" t="s">
        <v>17457</v>
      </c>
      <c r="E8770" s="11" t="s">
        <v>28</v>
      </c>
      <c r="F8770" s="10" t="s">
        <v>28</v>
      </c>
      <c r="G8770" s="10">
        <v>0.01</v>
      </c>
      <c r="H8770" s="10" t="s">
        <v>28</v>
      </c>
      <c r="I8770" s="11" t="s">
        <v>28</v>
      </c>
      <c r="J8770" s="11" t="s">
        <v>28</v>
      </c>
      <c r="K8770" s="11" t="s">
        <v>28</v>
      </c>
      <c r="L8770" s="11" t="s">
        <v>28</v>
      </c>
      <c r="M8770" s="11" t="s">
        <v>28</v>
      </c>
      <c r="N8770" s="8">
        <v>42736</v>
      </c>
      <c r="O8770" s="9" t="s">
        <v>379</v>
      </c>
      <c r="P8770" s="12" t="s">
        <v>28</v>
      </c>
      <c r="Q8770" s="9" t="s">
        <v>75</v>
      </c>
      <c r="R8770" s="14" t="str">
        <f>HYPERLINK("https://my.pitchbook.com?c=183565-72T","View Company Online")</f>
        <v>View Company Online</v>
      </c>
    </row>
    <row r="8771" spans="1:18" hidden="1" x14ac:dyDescent="0.3">
      <c r="A8771" s="15" t="s">
        <v>25254</v>
      </c>
      <c r="B8771" s="15" t="s">
        <v>16771</v>
      </c>
      <c r="C8771" s="18" t="s">
        <v>28</v>
      </c>
      <c r="D8771" s="15" t="s">
        <v>16772</v>
      </c>
      <c r="E8771" s="18" t="s">
        <v>28</v>
      </c>
      <c r="F8771" s="19" t="s">
        <v>28</v>
      </c>
      <c r="G8771" s="19">
        <v>0.01</v>
      </c>
      <c r="H8771" s="19" t="s">
        <v>28</v>
      </c>
      <c r="I8771" s="18" t="s">
        <v>28</v>
      </c>
      <c r="J8771" s="18" t="s">
        <v>28</v>
      </c>
      <c r="K8771" s="18" t="s">
        <v>28</v>
      </c>
      <c r="L8771" s="18" t="s">
        <v>28</v>
      </c>
      <c r="M8771" s="18" t="s">
        <v>28</v>
      </c>
      <c r="N8771" s="17">
        <v>42736</v>
      </c>
      <c r="O8771" s="15" t="s">
        <v>1639</v>
      </c>
      <c r="P8771" s="16" t="s">
        <v>28</v>
      </c>
      <c r="Q8771" s="15" t="s">
        <v>566</v>
      </c>
      <c r="R8771" s="13" t="str">
        <f>HYPERLINK("https://my.pitchbook.com?c=248772-52T","View Company Online")</f>
        <v>View Company Online</v>
      </c>
    </row>
    <row r="8772" spans="1:18" hidden="1" x14ac:dyDescent="0.3">
      <c r="A8772" s="9" t="s">
        <v>25255</v>
      </c>
      <c r="B8772" s="9" t="s">
        <v>4664</v>
      </c>
      <c r="C8772" s="11" t="s">
        <v>28</v>
      </c>
      <c r="D8772" s="9" t="s">
        <v>4665</v>
      </c>
      <c r="E8772" s="11" t="s">
        <v>28</v>
      </c>
      <c r="F8772" s="10" t="s">
        <v>28</v>
      </c>
      <c r="G8772" s="10">
        <v>0.2</v>
      </c>
      <c r="H8772" s="10">
        <v>2.86</v>
      </c>
      <c r="I8772" s="11" t="s">
        <v>28</v>
      </c>
      <c r="J8772" s="11" t="s">
        <v>28</v>
      </c>
      <c r="K8772" s="11" t="s">
        <v>28</v>
      </c>
      <c r="L8772" s="11" t="s">
        <v>28</v>
      </c>
      <c r="M8772" s="11" t="s">
        <v>28</v>
      </c>
      <c r="N8772" s="8">
        <v>42736</v>
      </c>
      <c r="O8772" s="9" t="s">
        <v>52</v>
      </c>
      <c r="P8772" s="12" t="s">
        <v>2915</v>
      </c>
      <c r="Q8772" s="9" t="s">
        <v>37</v>
      </c>
      <c r="R8772" s="14" t="str">
        <f>HYPERLINK("https://my.pitchbook.com?c=125272-27T","View Company Online")</f>
        <v>View Company Online</v>
      </c>
    </row>
    <row r="8773" spans="1:18" hidden="1" x14ac:dyDescent="0.3">
      <c r="A8773" s="15" t="s">
        <v>25256</v>
      </c>
      <c r="B8773" s="15" t="s">
        <v>25257</v>
      </c>
      <c r="C8773" s="18" t="s">
        <v>28</v>
      </c>
      <c r="D8773" s="15" t="s">
        <v>25258</v>
      </c>
      <c r="E8773" s="18" t="s">
        <v>28</v>
      </c>
      <c r="F8773" s="19" t="s">
        <v>28</v>
      </c>
      <c r="G8773" s="19" t="s">
        <v>28</v>
      </c>
      <c r="H8773" s="19" t="s">
        <v>28</v>
      </c>
      <c r="I8773" s="18" t="s">
        <v>28</v>
      </c>
      <c r="J8773" s="18" t="s">
        <v>28</v>
      </c>
      <c r="K8773" s="18" t="s">
        <v>28</v>
      </c>
      <c r="L8773" s="18" t="s">
        <v>28</v>
      </c>
      <c r="M8773" s="18" t="s">
        <v>28</v>
      </c>
      <c r="N8773" s="17">
        <v>42736</v>
      </c>
      <c r="O8773" s="15" t="s">
        <v>30</v>
      </c>
      <c r="P8773" s="16" t="s">
        <v>25259</v>
      </c>
      <c r="Q8773" s="15" t="s">
        <v>409</v>
      </c>
      <c r="R8773" s="13" t="str">
        <f>HYPERLINK("https://my.pitchbook.com?c=290275-30T","View Company Online")</f>
        <v>View Company Online</v>
      </c>
    </row>
    <row r="8774" spans="1:18" hidden="1" x14ac:dyDescent="0.3">
      <c r="A8774" s="9" t="s">
        <v>25260</v>
      </c>
      <c r="B8774" s="9" t="s">
        <v>25261</v>
      </c>
      <c r="C8774" s="11" t="s">
        <v>28</v>
      </c>
      <c r="D8774" s="9" t="s">
        <v>25262</v>
      </c>
      <c r="E8774" s="11" t="s">
        <v>28</v>
      </c>
      <c r="F8774" s="10" t="s">
        <v>28</v>
      </c>
      <c r="G8774" s="10">
        <v>6.1</v>
      </c>
      <c r="H8774" s="10">
        <v>17.48</v>
      </c>
      <c r="I8774" s="11" t="s">
        <v>28</v>
      </c>
      <c r="J8774" s="11" t="s">
        <v>28</v>
      </c>
      <c r="K8774" s="11" t="s">
        <v>28</v>
      </c>
      <c r="L8774" s="11" t="s">
        <v>28</v>
      </c>
      <c r="M8774" s="11" t="s">
        <v>28</v>
      </c>
      <c r="N8774" s="8">
        <v>42736</v>
      </c>
      <c r="O8774" s="9" t="s">
        <v>58</v>
      </c>
      <c r="P8774" s="12" t="s">
        <v>25263</v>
      </c>
      <c r="Q8774" s="9" t="s">
        <v>85</v>
      </c>
      <c r="R8774" s="14" t="str">
        <f>HYPERLINK("https://my.pitchbook.com?c=106630-30T","View Company Online")</f>
        <v>View Company Online</v>
      </c>
    </row>
    <row r="8775" spans="1:18" hidden="1" x14ac:dyDescent="0.3">
      <c r="A8775" s="15" t="s">
        <v>25264</v>
      </c>
      <c r="B8775" s="15" t="s">
        <v>25265</v>
      </c>
      <c r="C8775" s="18" t="s">
        <v>28</v>
      </c>
      <c r="D8775" s="15" t="s">
        <v>25266</v>
      </c>
      <c r="E8775" s="18" t="s">
        <v>28</v>
      </c>
      <c r="F8775" s="19" t="s">
        <v>28</v>
      </c>
      <c r="G8775" s="19">
        <v>0.03</v>
      </c>
      <c r="H8775" s="19" t="s">
        <v>28</v>
      </c>
      <c r="I8775" s="18" t="s">
        <v>28</v>
      </c>
      <c r="J8775" s="18" t="s">
        <v>28</v>
      </c>
      <c r="K8775" s="18" t="s">
        <v>28</v>
      </c>
      <c r="L8775" s="18" t="s">
        <v>28</v>
      </c>
      <c r="M8775" s="18" t="s">
        <v>28</v>
      </c>
      <c r="N8775" s="17">
        <v>42736</v>
      </c>
      <c r="O8775" s="15" t="s">
        <v>52</v>
      </c>
      <c r="P8775" s="16" t="s">
        <v>25267</v>
      </c>
      <c r="Q8775" s="15" t="s">
        <v>386</v>
      </c>
      <c r="R8775" s="13" t="str">
        <f>HYPERLINK("https://my.pitchbook.com?c=121832-83T","View Company Online")</f>
        <v>View Company Online</v>
      </c>
    </row>
    <row r="8776" spans="1:18" hidden="1" x14ac:dyDescent="0.3">
      <c r="A8776" s="9" t="s">
        <v>25268</v>
      </c>
      <c r="B8776" s="9" t="s">
        <v>20690</v>
      </c>
      <c r="C8776" s="11" t="s">
        <v>28</v>
      </c>
      <c r="D8776" s="9" t="s">
        <v>20691</v>
      </c>
      <c r="E8776" s="11" t="s">
        <v>28</v>
      </c>
      <c r="F8776" s="10" t="s">
        <v>28</v>
      </c>
      <c r="G8776" s="10">
        <v>0.09</v>
      </c>
      <c r="H8776" s="10" t="s">
        <v>28</v>
      </c>
      <c r="I8776" s="11" t="s">
        <v>28</v>
      </c>
      <c r="J8776" s="11" t="s">
        <v>28</v>
      </c>
      <c r="K8776" s="11" t="s">
        <v>28</v>
      </c>
      <c r="L8776" s="11" t="s">
        <v>28</v>
      </c>
      <c r="M8776" s="11" t="s">
        <v>28</v>
      </c>
      <c r="N8776" s="8">
        <v>42736</v>
      </c>
      <c r="O8776" s="9" t="s">
        <v>9098</v>
      </c>
      <c r="P8776" s="12" t="s">
        <v>28</v>
      </c>
      <c r="Q8776" s="9" t="s">
        <v>75</v>
      </c>
      <c r="R8776" s="14" t="str">
        <f>HYPERLINK("https://my.pitchbook.com?c=124785-46T","View Company Online")</f>
        <v>View Company Online</v>
      </c>
    </row>
    <row r="8777" spans="1:18" hidden="1" x14ac:dyDescent="0.3">
      <c r="A8777" s="15" t="s">
        <v>25269</v>
      </c>
      <c r="B8777" s="15" t="s">
        <v>25270</v>
      </c>
      <c r="C8777" s="18" t="s">
        <v>28</v>
      </c>
      <c r="D8777" s="15" t="s">
        <v>25271</v>
      </c>
      <c r="E8777" s="18" t="s">
        <v>28</v>
      </c>
      <c r="F8777" s="19" t="s">
        <v>28</v>
      </c>
      <c r="G8777" s="19" t="s">
        <v>28</v>
      </c>
      <c r="H8777" s="19" t="s">
        <v>28</v>
      </c>
      <c r="I8777" s="18" t="s">
        <v>28</v>
      </c>
      <c r="J8777" s="18" t="s">
        <v>28</v>
      </c>
      <c r="K8777" s="18" t="s">
        <v>28</v>
      </c>
      <c r="L8777" s="18" t="s">
        <v>28</v>
      </c>
      <c r="M8777" s="18" t="s">
        <v>28</v>
      </c>
      <c r="N8777" s="17">
        <v>42736</v>
      </c>
      <c r="O8777" s="15" t="s">
        <v>52</v>
      </c>
      <c r="P8777" s="16" t="s">
        <v>2830</v>
      </c>
      <c r="Q8777" s="15" t="s">
        <v>114</v>
      </c>
      <c r="R8777" s="13" t="str">
        <f>HYPERLINK("https://my.pitchbook.com?c=292207-78T","View Company Online")</f>
        <v>View Company Online</v>
      </c>
    </row>
    <row r="8778" spans="1:18" hidden="1" x14ac:dyDescent="0.3">
      <c r="A8778" s="9" t="s">
        <v>25272</v>
      </c>
      <c r="B8778" s="9" t="s">
        <v>12302</v>
      </c>
      <c r="C8778" s="11" t="s">
        <v>28</v>
      </c>
      <c r="D8778" s="9" t="s">
        <v>12303</v>
      </c>
      <c r="E8778" s="11" t="s">
        <v>28</v>
      </c>
      <c r="F8778" s="10" t="s">
        <v>28</v>
      </c>
      <c r="G8778" s="10" t="s">
        <v>28</v>
      </c>
      <c r="H8778" s="10" t="s">
        <v>28</v>
      </c>
      <c r="I8778" s="11" t="s">
        <v>28</v>
      </c>
      <c r="J8778" s="11" t="s">
        <v>28</v>
      </c>
      <c r="K8778" s="11" t="s">
        <v>28</v>
      </c>
      <c r="L8778" s="11" t="s">
        <v>28</v>
      </c>
      <c r="M8778" s="11" t="s">
        <v>28</v>
      </c>
      <c r="N8778" s="8">
        <v>42736</v>
      </c>
      <c r="O8778" s="9" t="s">
        <v>52</v>
      </c>
      <c r="P8778" s="12" t="s">
        <v>6543</v>
      </c>
      <c r="Q8778" s="9" t="s">
        <v>404</v>
      </c>
      <c r="R8778" s="14" t="str">
        <f>HYPERLINK("https://my.pitchbook.com?c=243882-46T","View Company Online")</f>
        <v>View Company Online</v>
      </c>
    </row>
    <row r="8779" spans="1:18" hidden="1" x14ac:dyDescent="0.3">
      <c r="A8779" s="15" t="s">
        <v>25273</v>
      </c>
      <c r="B8779" s="15" t="s">
        <v>25274</v>
      </c>
      <c r="C8779" s="18" t="s">
        <v>28</v>
      </c>
      <c r="D8779" s="15" t="s">
        <v>25275</v>
      </c>
      <c r="E8779" s="18" t="s">
        <v>28</v>
      </c>
      <c r="F8779" s="19" t="s">
        <v>28</v>
      </c>
      <c r="G8779" s="19" t="s">
        <v>28</v>
      </c>
      <c r="H8779" s="19" t="s">
        <v>28</v>
      </c>
      <c r="I8779" s="18" t="s">
        <v>28</v>
      </c>
      <c r="J8779" s="18" t="s">
        <v>28</v>
      </c>
      <c r="K8779" s="18" t="s">
        <v>28</v>
      </c>
      <c r="L8779" s="18" t="s">
        <v>28</v>
      </c>
      <c r="M8779" s="18" t="s">
        <v>28</v>
      </c>
      <c r="N8779" s="17">
        <v>42736</v>
      </c>
      <c r="O8779" s="15" t="s">
        <v>30</v>
      </c>
      <c r="P8779" s="16" t="s">
        <v>25276</v>
      </c>
      <c r="Q8779" s="15" t="s">
        <v>105</v>
      </c>
      <c r="R8779" s="13" t="str">
        <f>HYPERLINK("https://my.pitchbook.com?c=252466-21T","View Company Online")</f>
        <v>View Company Online</v>
      </c>
    </row>
    <row r="8780" spans="1:18" hidden="1" x14ac:dyDescent="0.3">
      <c r="A8780" s="9" t="s">
        <v>25277</v>
      </c>
      <c r="B8780" s="9" t="s">
        <v>13036</v>
      </c>
      <c r="C8780" s="11" t="s">
        <v>28</v>
      </c>
      <c r="D8780" s="9" t="s">
        <v>13037</v>
      </c>
      <c r="E8780" s="11" t="s">
        <v>28</v>
      </c>
      <c r="F8780" s="10" t="s">
        <v>28</v>
      </c>
      <c r="G8780" s="10">
        <v>14.95</v>
      </c>
      <c r="H8780" s="10" t="s">
        <v>28</v>
      </c>
      <c r="I8780" s="11" t="s">
        <v>28</v>
      </c>
      <c r="J8780" s="11" t="s">
        <v>28</v>
      </c>
      <c r="K8780" s="11">
        <v>128.41</v>
      </c>
      <c r="L8780" s="11" t="s">
        <v>28</v>
      </c>
      <c r="M8780" s="11" t="s">
        <v>28</v>
      </c>
      <c r="N8780" s="8">
        <v>42736</v>
      </c>
      <c r="O8780" s="9" t="s">
        <v>79</v>
      </c>
      <c r="P8780" s="12" t="s">
        <v>20457</v>
      </c>
      <c r="Q8780" s="9" t="s">
        <v>169</v>
      </c>
      <c r="R8780" s="14" t="str">
        <f>HYPERLINK("https://my.pitchbook.com?c=97354-45T","View Company Online")</f>
        <v>View Company Online</v>
      </c>
    </row>
    <row r="8781" spans="1:18" hidden="1" x14ac:dyDescent="0.3">
      <c r="A8781" s="15" t="s">
        <v>25278</v>
      </c>
      <c r="B8781" s="15" t="s">
        <v>25279</v>
      </c>
      <c r="C8781" s="18" t="s">
        <v>28</v>
      </c>
      <c r="D8781" s="15" t="s">
        <v>25280</v>
      </c>
      <c r="E8781" s="18" t="s">
        <v>28</v>
      </c>
      <c r="F8781" s="19" t="s">
        <v>28</v>
      </c>
      <c r="G8781" s="19" t="s">
        <v>28</v>
      </c>
      <c r="H8781" s="19" t="s">
        <v>28</v>
      </c>
      <c r="I8781" s="18" t="s">
        <v>28</v>
      </c>
      <c r="J8781" s="18" t="s">
        <v>28</v>
      </c>
      <c r="K8781" s="18" t="s">
        <v>28</v>
      </c>
      <c r="L8781" s="18" t="s">
        <v>28</v>
      </c>
      <c r="M8781" s="18" t="s">
        <v>28</v>
      </c>
      <c r="N8781" s="17">
        <v>42736</v>
      </c>
      <c r="O8781" s="15" t="s">
        <v>30</v>
      </c>
      <c r="P8781" s="16" t="s">
        <v>25281</v>
      </c>
      <c r="Q8781" s="15" t="s">
        <v>19855</v>
      </c>
      <c r="R8781" s="13" t="str">
        <f>HYPERLINK("https://my.pitchbook.com?c=86615-38T","View Company Online")</f>
        <v>View Company Online</v>
      </c>
    </row>
    <row r="8782" spans="1:18" hidden="1" x14ac:dyDescent="0.3">
      <c r="A8782" s="9" t="s">
        <v>25282</v>
      </c>
      <c r="B8782" s="9" t="s">
        <v>11510</v>
      </c>
      <c r="C8782" s="11" t="s">
        <v>28</v>
      </c>
      <c r="D8782" s="9" t="s">
        <v>11511</v>
      </c>
      <c r="E8782" s="11" t="s">
        <v>28</v>
      </c>
      <c r="F8782" s="10" t="s">
        <v>28</v>
      </c>
      <c r="G8782" s="10" t="s">
        <v>28</v>
      </c>
      <c r="H8782" s="10" t="s">
        <v>28</v>
      </c>
      <c r="I8782" s="11" t="s">
        <v>28</v>
      </c>
      <c r="J8782" s="11" t="s">
        <v>28</v>
      </c>
      <c r="K8782" s="11" t="s">
        <v>28</v>
      </c>
      <c r="L8782" s="11" t="s">
        <v>28</v>
      </c>
      <c r="M8782" s="11" t="s">
        <v>28</v>
      </c>
      <c r="N8782" s="8">
        <v>42736</v>
      </c>
      <c r="O8782" s="9" t="s">
        <v>52</v>
      </c>
      <c r="P8782" s="12" t="s">
        <v>1880</v>
      </c>
      <c r="Q8782" s="9" t="s">
        <v>75</v>
      </c>
      <c r="R8782" s="14" t="str">
        <f>HYPERLINK("https://my.pitchbook.com?c=93140-20T","View Company Online")</f>
        <v>View Company Online</v>
      </c>
    </row>
    <row r="8783" spans="1:18" hidden="1" x14ac:dyDescent="0.3">
      <c r="A8783" s="15" t="s">
        <v>25283</v>
      </c>
      <c r="B8783" s="15" t="s">
        <v>514</v>
      </c>
      <c r="C8783" s="18" t="s">
        <v>28</v>
      </c>
      <c r="D8783" s="15" t="s">
        <v>515</v>
      </c>
      <c r="E8783" s="18" t="s">
        <v>28</v>
      </c>
      <c r="F8783" s="19" t="s">
        <v>28</v>
      </c>
      <c r="G8783" s="19" t="s">
        <v>28</v>
      </c>
      <c r="H8783" s="19" t="s">
        <v>28</v>
      </c>
      <c r="I8783" s="18" t="s">
        <v>28</v>
      </c>
      <c r="J8783" s="18" t="s">
        <v>28</v>
      </c>
      <c r="K8783" s="18" t="s">
        <v>28</v>
      </c>
      <c r="L8783" s="18" t="s">
        <v>28</v>
      </c>
      <c r="M8783" s="18" t="s">
        <v>28</v>
      </c>
      <c r="N8783" s="17">
        <v>42736</v>
      </c>
      <c r="O8783" s="15" t="s">
        <v>30</v>
      </c>
      <c r="P8783" s="16" t="s">
        <v>28</v>
      </c>
      <c r="Q8783" s="15" t="s">
        <v>517</v>
      </c>
      <c r="R8783" s="13" t="str">
        <f>HYPERLINK("https://my.pitchbook.com?c=277244-92T","View Company Online")</f>
        <v>View Company Online</v>
      </c>
    </row>
    <row r="8784" spans="1:18" hidden="1" x14ac:dyDescent="0.3">
      <c r="A8784" s="9" t="s">
        <v>25284</v>
      </c>
      <c r="B8784" s="9" t="s">
        <v>12905</v>
      </c>
      <c r="C8784" s="11" t="s">
        <v>28</v>
      </c>
      <c r="D8784" s="9" t="s">
        <v>12906</v>
      </c>
      <c r="E8784" s="11" t="s">
        <v>28</v>
      </c>
      <c r="F8784" s="10" t="s">
        <v>28</v>
      </c>
      <c r="G8784" s="10" t="s">
        <v>28</v>
      </c>
      <c r="H8784" s="10" t="s">
        <v>28</v>
      </c>
      <c r="I8784" s="11" t="s">
        <v>28</v>
      </c>
      <c r="J8784" s="11" t="s">
        <v>28</v>
      </c>
      <c r="K8784" s="11" t="s">
        <v>28</v>
      </c>
      <c r="L8784" s="11" t="s">
        <v>28</v>
      </c>
      <c r="M8784" s="11" t="s">
        <v>28</v>
      </c>
      <c r="N8784" s="8">
        <v>42736</v>
      </c>
      <c r="O8784" s="9" t="s">
        <v>52</v>
      </c>
      <c r="P8784" s="12" t="s">
        <v>8138</v>
      </c>
      <c r="Q8784" s="9" t="s">
        <v>249</v>
      </c>
      <c r="R8784" s="14" t="str">
        <f>HYPERLINK("https://my.pitchbook.com?c=262013-59T","View Company Online")</f>
        <v>View Company Online</v>
      </c>
    </row>
    <row r="8785" spans="1:18" hidden="1" x14ac:dyDescent="0.3">
      <c r="A8785" s="15" t="s">
        <v>25285</v>
      </c>
      <c r="B8785" s="15" t="s">
        <v>7231</v>
      </c>
      <c r="C8785" s="18" t="s">
        <v>28</v>
      </c>
      <c r="D8785" s="15" t="s">
        <v>7232</v>
      </c>
      <c r="E8785" s="18" t="s">
        <v>28</v>
      </c>
      <c r="F8785" s="19" t="s">
        <v>28</v>
      </c>
      <c r="G8785" s="19" t="s">
        <v>28</v>
      </c>
      <c r="H8785" s="19" t="s">
        <v>28</v>
      </c>
      <c r="I8785" s="18" t="s">
        <v>28</v>
      </c>
      <c r="J8785" s="18" t="s">
        <v>28</v>
      </c>
      <c r="K8785" s="18" t="s">
        <v>28</v>
      </c>
      <c r="L8785" s="18" t="s">
        <v>28</v>
      </c>
      <c r="M8785" s="18" t="s">
        <v>28</v>
      </c>
      <c r="N8785" s="17">
        <v>42736</v>
      </c>
      <c r="O8785" s="15" t="s">
        <v>52</v>
      </c>
      <c r="P8785" s="16" t="s">
        <v>1970</v>
      </c>
      <c r="Q8785" s="15" t="s">
        <v>114</v>
      </c>
      <c r="R8785" s="13" t="str">
        <f>HYPERLINK("https://my.pitchbook.com?c=111385-18T","View Company Online")</f>
        <v>View Company Online</v>
      </c>
    </row>
    <row r="8786" spans="1:18" hidden="1" x14ac:dyDescent="0.3">
      <c r="A8786" s="9" t="s">
        <v>25286</v>
      </c>
      <c r="B8786" s="9" t="s">
        <v>4038</v>
      </c>
      <c r="C8786" s="11" t="s">
        <v>28</v>
      </c>
      <c r="D8786" s="9" t="s">
        <v>4039</v>
      </c>
      <c r="E8786" s="11" t="s">
        <v>28</v>
      </c>
      <c r="F8786" s="10" t="s">
        <v>28</v>
      </c>
      <c r="G8786" s="10" t="s">
        <v>28</v>
      </c>
      <c r="H8786" s="10" t="s">
        <v>28</v>
      </c>
      <c r="I8786" s="11" t="s">
        <v>28</v>
      </c>
      <c r="J8786" s="11" t="s">
        <v>28</v>
      </c>
      <c r="K8786" s="11" t="s">
        <v>28</v>
      </c>
      <c r="L8786" s="11" t="s">
        <v>28</v>
      </c>
      <c r="M8786" s="11" t="s">
        <v>28</v>
      </c>
      <c r="N8786" s="8">
        <v>42736</v>
      </c>
      <c r="O8786" s="9" t="s">
        <v>52</v>
      </c>
      <c r="P8786" s="12" t="s">
        <v>2830</v>
      </c>
      <c r="Q8786" s="9" t="s">
        <v>37</v>
      </c>
      <c r="R8786" s="14" t="str">
        <f>HYPERLINK("https://my.pitchbook.com?c=264297-52T","View Company Online")</f>
        <v>View Company Online</v>
      </c>
    </row>
    <row r="8787" spans="1:18" hidden="1" x14ac:dyDescent="0.3">
      <c r="A8787" s="15" t="s">
        <v>25287</v>
      </c>
      <c r="B8787" s="15" t="s">
        <v>25288</v>
      </c>
      <c r="C8787" s="18" t="s">
        <v>28</v>
      </c>
      <c r="D8787" s="15" t="s">
        <v>25289</v>
      </c>
      <c r="E8787" s="18" t="s">
        <v>28</v>
      </c>
      <c r="F8787" s="19" t="s">
        <v>28</v>
      </c>
      <c r="G8787" s="19">
        <v>0.05</v>
      </c>
      <c r="H8787" s="19" t="s">
        <v>28</v>
      </c>
      <c r="I8787" s="18" t="s">
        <v>28</v>
      </c>
      <c r="J8787" s="18" t="s">
        <v>28</v>
      </c>
      <c r="K8787" s="18" t="s">
        <v>28</v>
      </c>
      <c r="L8787" s="18" t="s">
        <v>28</v>
      </c>
      <c r="M8787" s="18" t="s">
        <v>28</v>
      </c>
      <c r="N8787" s="17">
        <v>42736</v>
      </c>
      <c r="O8787" s="15" t="s">
        <v>52</v>
      </c>
      <c r="P8787" s="16" t="s">
        <v>25290</v>
      </c>
      <c r="Q8787" s="15" t="s">
        <v>37</v>
      </c>
      <c r="R8787" s="13" t="str">
        <f>HYPERLINK("https://my.pitchbook.com?c=124309-00T","View Company Online")</f>
        <v>View Company Online</v>
      </c>
    </row>
    <row r="8788" spans="1:18" hidden="1" x14ac:dyDescent="0.3">
      <c r="A8788" s="9" t="s">
        <v>25291</v>
      </c>
      <c r="B8788" s="9" t="s">
        <v>15085</v>
      </c>
      <c r="C8788" s="11" t="s">
        <v>28</v>
      </c>
      <c r="D8788" s="9" t="s">
        <v>15086</v>
      </c>
      <c r="E8788" s="11" t="s">
        <v>28</v>
      </c>
      <c r="F8788" s="10" t="s">
        <v>28</v>
      </c>
      <c r="G8788" s="10" t="s">
        <v>28</v>
      </c>
      <c r="H8788" s="10" t="s">
        <v>28</v>
      </c>
      <c r="I8788" s="11" t="s">
        <v>28</v>
      </c>
      <c r="J8788" s="11" t="s">
        <v>28</v>
      </c>
      <c r="K8788" s="11" t="s">
        <v>28</v>
      </c>
      <c r="L8788" s="11" t="s">
        <v>28</v>
      </c>
      <c r="M8788" s="11" t="s">
        <v>28</v>
      </c>
      <c r="N8788" s="8">
        <v>42736</v>
      </c>
      <c r="O8788" s="9" t="s">
        <v>93</v>
      </c>
      <c r="P8788" s="12" t="s">
        <v>25292</v>
      </c>
      <c r="Q8788" s="9" t="s">
        <v>1068</v>
      </c>
      <c r="R8788" s="14" t="str">
        <f>HYPERLINK("https://my.pitchbook.com?c=119834-38T","View Company Online")</f>
        <v>View Company Online</v>
      </c>
    </row>
    <row r="8789" spans="1:18" hidden="1" x14ac:dyDescent="0.3">
      <c r="A8789" s="15" t="s">
        <v>25293</v>
      </c>
      <c r="B8789" s="15" t="s">
        <v>12074</v>
      </c>
      <c r="C8789" s="18" t="s">
        <v>28</v>
      </c>
      <c r="D8789" s="15" t="s">
        <v>12075</v>
      </c>
      <c r="E8789" s="18" t="s">
        <v>28</v>
      </c>
      <c r="F8789" s="19" t="s">
        <v>28</v>
      </c>
      <c r="G8789" s="19" t="s">
        <v>28</v>
      </c>
      <c r="H8789" s="19" t="s">
        <v>28</v>
      </c>
      <c r="I8789" s="18" t="s">
        <v>28</v>
      </c>
      <c r="J8789" s="18" t="s">
        <v>28</v>
      </c>
      <c r="K8789" s="18" t="s">
        <v>28</v>
      </c>
      <c r="L8789" s="18" t="s">
        <v>28</v>
      </c>
      <c r="M8789" s="18" t="s">
        <v>28</v>
      </c>
      <c r="N8789" s="17">
        <v>42736</v>
      </c>
      <c r="O8789" s="15" t="s">
        <v>52</v>
      </c>
      <c r="P8789" s="16" t="s">
        <v>25294</v>
      </c>
      <c r="Q8789" s="15" t="s">
        <v>583</v>
      </c>
      <c r="R8789" s="13" t="str">
        <f>HYPERLINK("https://my.pitchbook.com?c=110613-61T","View Company Online")</f>
        <v>View Company Online</v>
      </c>
    </row>
    <row r="8790" spans="1:18" hidden="1" x14ac:dyDescent="0.3">
      <c r="A8790" s="9" t="s">
        <v>25295</v>
      </c>
      <c r="B8790" s="9" t="s">
        <v>25296</v>
      </c>
      <c r="C8790" s="11" t="s">
        <v>28</v>
      </c>
      <c r="D8790" s="9" t="s">
        <v>25297</v>
      </c>
      <c r="E8790" s="11" t="s">
        <v>28</v>
      </c>
      <c r="F8790" s="10" t="s">
        <v>28</v>
      </c>
      <c r="G8790" s="10" t="s">
        <v>28</v>
      </c>
      <c r="H8790" s="10" t="s">
        <v>28</v>
      </c>
      <c r="I8790" s="11" t="s">
        <v>28</v>
      </c>
      <c r="J8790" s="11" t="s">
        <v>28</v>
      </c>
      <c r="K8790" s="11" t="s">
        <v>28</v>
      </c>
      <c r="L8790" s="11" t="s">
        <v>28</v>
      </c>
      <c r="M8790" s="11" t="s">
        <v>28</v>
      </c>
      <c r="N8790" s="8">
        <v>42736</v>
      </c>
      <c r="O8790" s="9" t="s">
        <v>52</v>
      </c>
      <c r="P8790" s="12" t="s">
        <v>2442</v>
      </c>
      <c r="Q8790" s="9" t="s">
        <v>37</v>
      </c>
      <c r="R8790" s="14" t="str">
        <f>HYPERLINK("https://my.pitchbook.com?c=266772-43T","View Company Online")</f>
        <v>View Company Online</v>
      </c>
    </row>
    <row r="8791" spans="1:18" hidden="1" x14ac:dyDescent="0.3">
      <c r="A8791" s="15" t="s">
        <v>25298</v>
      </c>
      <c r="B8791" s="15" t="s">
        <v>9628</v>
      </c>
      <c r="C8791" s="18" t="s">
        <v>28</v>
      </c>
      <c r="D8791" s="15" t="s">
        <v>22519</v>
      </c>
      <c r="E8791" s="18" t="s">
        <v>28</v>
      </c>
      <c r="F8791" s="19" t="s">
        <v>28</v>
      </c>
      <c r="G8791" s="19" t="s">
        <v>28</v>
      </c>
      <c r="H8791" s="19" t="s">
        <v>28</v>
      </c>
      <c r="I8791" s="18" t="s">
        <v>28</v>
      </c>
      <c r="J8791" s="18" t="s">
        <v>28</v>
      </c>
      <c r="K8791" s="18" t="s">
        <v>28</v>
      </c>
      <c r="L8791" s="18" t="s">
        <v>28</v>
      </c>
      <c r="M8791" s="18" t="s">
        <v>28</v>
      </c>
      <c r="N8791" s="17">
        <v>42736</v>
      </c>
      <c r="O8791" s="15" t="s">
        <v>73</v>
      </c>
      <c r="P8791" s="16" t="s">
        <v>22026</v>
      </c>
      <c r="Q8791" s="15" t="s">
        <v>114</v>
      </c>
      <c r="R8791" s="13" t="str">
        <f>HYPERLINK("https://my.pitchbook.com?c=115539-94T","View Company Online")</f>
        <v>View Company Online</v>
      </c>
    </row>
    <row r="8792" spans="1:18" hidden="1" x14ac:dyDescent="0.3">
      <c r="A8792" s="9" t="s">
        <v>25299</v>
      </c>
      <c r="B8792" s="9" t="s">
        <v>25300</v>
      </c>
      <c r="C8792" s="11" t="s">
        <v>28</v>
      </c>
      <c r="D8792" s="9" t="s">
        <v>25301</v>
      </c>
      <c r="E8792" s="11" t="s">
        <v>28</v>
      </c>
      <c r="F8792" s="10" t="s">
        <v>28</v>
      </c>
      <c r="G8792" s="10" t="s">
        <v>28</v>
      </c>
      <c r="H8792" s="10" t="s">
        <v>28</v>
      </c>
      <c r="I8792" s="11" t="s">
        <v>28</v>
      </c>
      <c r="J8792" s="11" t="s">
        <v>28</v>
      </c>
      <c r="K8792" s="11" t="s">
        <v>28</v>
      </c>
      <c r="L8792" s="11" t="s">
        <v>28</v>
      </c>
      <c r="M8792" s="11" t="s">
        <v>28</v>
      </c>
      <c r="N8792" s="8">
        <v>42736</v>
      </c>
      <c r="O8792" s="9" t="s">
        <v>52</v>
      </c>
      <c r="P8792" s="12" t="s">
        <v>25302</v>
      </c>
      <c r="Q8792" s="9" t="s">
        <v>386</v>
      </c>
      <c r="R8792" s="14" t="str">
        <f>HYPERLINK("https://my.pitchbook.com?c=200712-16T","View Company Online")</f>
        <v>View Company Online</v>
      </c>
    </row>
    <row r="8793" spans="1:18" hidden="1" x14ac:dyDescent="0.3">
      <c r="A8793" s="15" t="s">
        <v>25303</v>
      </c>
      <c r="B8793" s="15" t="s">
        <v>25304</v>
      </c>
      <c r="C8793" s="18" t="s">
        <v>28</v>
      </c>
      <c r="D8793" s="15" t="s">
        <v>25305</v>
      </c>
      <c r="E8793" s="18" t="s">
        <v>28</v>
      </c>
      <c r="F8793" s="19" t="s">
        <v>28</v>
      </c>
      <c r="G8793" s="19" t="s">
        <v>28</v>
      </c>
      <c r="H8793" s="19" t="s">
        <v>28</v>
      </c>
      <c r="I8793" s="18" t="s">
        <v>28</v>
      </c>
      <c r="J8793" s="18" t="s">
        <v>28</v>
      </c>
      <c r="K8793" s="18" t="s">
        <v>28</v>
      </c>
      <c r="L8793" s="18" t="s">
        <v>28</v>
      </c>
      <c r="M8793" s="18" t="s">
        <v>28</v>
      </c>
      <c r="N8793" s="17">
        <v>42736</v>
      </c>
      <c r="O8793" s="15" t="s">
        <v>30</v>
      </c>
      <c r="P8793" s="16" t="s">
        <v>19704</v>
      </c>
      <c r="Q8793" s="15" t="s">
        <v>75</v>
      </c>
      <c r="R8793" s="13" t="str">
        <f>HYPERLINK("https://my.pitchbook.com?c=292651-66T","View Company Online")</f>
        <v>View Company Online</v>
      </c>
    </row>
    <row r="8794" spans="1:18" hidden="1" x14ac:dyDescent="0.3">
      <c r="A8794" s="9" t="s">
        <v>25306</v>
      </c>
      <c r="B8794" s="9" t="s">
        <v>2925</v>
      </c>
      <c r="C8794" s="11" t="s">
        <v>28</v>
      </c>
      <c r="D8794" s="9" t="s">
        <v>2926</v>
      </c>
      <c r="E8794" s="11" t="s">
        <v>28</v>
      </c>
      <c r="F8794" s="10" t="s">
        <v>28</v>
      </c>
      <c r="G8794" s="10" t="s">
        <v>28</v>
      </c>
      <c r="H8794" s="10" t="s">
        <v>28</v>
      </c>
      <c r="I8794" s="11" t="s">
        <v>28</v>
      </c>
      <c r="J8794" s="11" t="s">
        <v>28</v>
      </c>
      <c r="K8794" s="11" t="s">
        <v>28</v>
      </c>
      <c r="L8794" s="11" t="s">
        <v>28</v>
      </c>
      <c r="M8794" s="11" t="s">
        <v>28</v>
      </c>
      <c r="N8794" s="8">
        <v>42736</v>
      </c>
      <c r="O8794" s="9" t="s">
        <v>52</v>
      </c>
      <c r="P8794" s="12" t="s">
        <v>23358</v>
      </c>
      <c r="Q8794" s="9" t="s">
        <v>85</v>
      </c>
      <c r="R8794" s="14" t="str">
        <f>HYPERLINK("https://my.pitchbook.com?c=100331-83T","View Company Online")</f>
        <v>View Company Online</v>
      </c>
    </row>
    <row r="8795" spans="1:18" hidden="1" x14ac:dyDescent="0.3">
      <c r="A8795" s="15" t="s">
        <v>25307</v>
      </c>
      <c r="B8795" s="15" t="s">
        <v>2925</v>
      </c>
      <c r="C8795" s="18" t="s">
        <v>28</v>
      </c>
      <c r="D8795" s="15" t="s">
        <v>2926</v>
      </c>
      <c r="E8795" s="18" t="s">
        <v>28</v>
      </c>
      <c r="F8795" s="19" t="s">
        <v>28</v>
      </c>
      <c r="G8795" s="19">
        <v>0.01</v>
      </c>
      <c r="H8795" s="19" t="s">
        <v>28</v>
      </c>
      <c r="I8795" s="18" t="s">
        <v>28</v>
      </c>
      <c r="J8795" s="18" t="s">
        <v>28</v>
      </c>
      <c r="K8795" s="18" t="s">
        <v>28</v>
      </c>
      <c r="L8795" s="18" t="s">
        <v>28</v>
      </c>
      <c r="M8795" s="18" t="s">
        <v>28</v>
      </c>
      <c r="N8795" s="17">
        <v>42736</v>
      </c>
      <c r="O8795" s="15" t="s">
        <v>47</v>
      </c>
      <c r="P8795" s="16" t="s">
        <v>25308</v>
      </c>
      <c r="Q8795" s="15" t="s">
        <v>85</v>
      </c>
      <c r="R8795" s="13" t="str">
        <f>HYPERLINK("https://my.pitchbook.com?c=100332-82T","View Company Online")</f>
        <v>View Company Online</v>
      </c>
    </row>
    <row r="8796" spans="1:18" hidden="1" x14ac:dyDescent="0.3">
      <c r="A8796" s="9" t="s">
        <v>25309</v>
      </c>
      <c r="B8796" s="9" t="s">
        <v>22898</v>
      </c>
      <c r="C8796" s="11" t="s">
        <v>28</v>
      </c>
      <c r="D8796" s="9" t="s">
        <v>22899</v>
      </c>
      <c r="E8796" s="11" t="s">
        <v>28</v>
      </c>
      <c r="F8796" s="10" t="s">
        <v>28</v>
      </c>
      <c r="G8796" s="10" t="s">
        <v>28</v>
      </c>
      <c r="H8796" s="10" t="s">
        <v>28</v>
      </c>
      <c r="I8796" s="11" t="s">
        <v>28</v>
      </c>
      <c r="J8796" s="11" t="s">
        <v>28</v>
      </c>
      <c r="K8796" s="11" t="s">
        <v>28</v>
      </c>
      <c r="L8796" s="11" t="s">
        <v>28</v>
      </c>
      <c r="M8796" s="11" t="s">
        <v>28</v>
      </c>
      <c r="N8796" s="8">
        <v>42736</v>
      </c>
      <c r="O8796" s="9" t="s">
        <v>52</v>
      </c>
      <c r="P8796" s="12" t="s">
        <v>2442</v>
      </c>
      <c r="Q8796" s="9" t="s">
        <v>75</v>
      </c>
      <c r="R8796" s="14" t="str">
        <f>HYPERLINK("https://my.pitchbook.com?c=266766-94T","View Company Online")</f>
        <v>View Company Online</v>
      </c>
    </row>
    <row r="8797" spans="1:18" hidden="1" x14ac:dyDescent="0.3">
      <c r="A8797" s="15" t="s">
        <v>25310</v>
      </c>
      <c r="B8797" s="15" t="s">
        <v>4470</v>
      </c>
      <c r="C8797" s="18" t="s">
        <v>28</v>
      </c>
      <c r="D8797" s="15" t="s">
        <v>4471</v>
      </c>
      <c r="E8797" s="18" t="s">
        <v>28</v>
      </c>
      <c r="F8797" s="19" t="s">
        <v>28</v>
      </c>
      <c r="G8797" s="19" t="s">
        <v>28</v>
      </c>
      <c r="H8797" s="19" t="s">
        <v>28</v>
      </c>
      <c r="I8797" s="18" t="s">
        <v>28</v>
      </c>
      <c r="J8797" s="18" t="s">
        <v>28</v>
      </c>
      <c r="K8797" s="18" t="s">
        <v>28</v>
      </c>
      <c r="L8797" s="18" t="s">
        <v>28</v>
      </c>
      <c r="M8797" s="18" t="s">
        <v>28</v>
      </c>
      <c r="N8797" s="17">
        <v>42736</v>
      </c>
      <c r="O8797" s="15" t="s">
        <v>52</v>
      </c>
      <c r="P8797" s="16" t="s">
        <v>7022</v>
      </c>
      <c r="Q8797" s="15" t="s">
        <v>75</v>
      </c>
      <c r="R8797" s="13" t="str">
        <f>HYPERLINK("https://my.pitchbook.com?c=100723-06T","View Company Online")</f>
        <v>View Company Online</v>
      </c>
    </row>
    <row r="8798" spans="1:18" hidden="1" x14ac:dyDescent="0.3">
      <c r="A8798" s="9" t="s">
        <v>25311</v>
      </c>
      <c r="B8798" s="9" t="s">
        <v>2056</v>
      </c>
      <c r="C8798" s="11" t="s">
        <v>28</v>
      </c>
      <c r="D8798" s="9" t="s">
        <v>2057</v>
      </c>
      <c r="E8798" s="11" t="s">
        <v>28</v>
      </c>
      <c r="F8798" s="10" t="s">
        <v>28</v>
      </c>
      <c r="G8798" s="10" t="s">
        <v>28</v>
      </c>
      <c r="H8798" s="10" t="s">
        <v>28</v>
      </c>
      <c r="I8798" s="11" t="s">
        <v>28</v>
      </c>
      <c r="J8798" s="11" t="s">
        <v>28</v>
      </c>
      <c r="K8798" s="11" t="s">
        <v>28</v>
      </c>
      <c r="L8798" s="11" t="s">
        <v>28</v>
      </c>
      <c r="M8798" s="11" t="s">
        <v>28</v>
      </c>
      <c r="N8798" s="8">
        <v>42736</v>
      </c>
      <c r="O8798" s="9" t="s">
        <v>52</v>
      </c>
      <c r="P8798" s="12" t="s">
        <v>3375</v>
      </c>
      <c r="Q8798" s="9" t="s">
        <v>75</v>
      </c>
      <c r="R8798" s="14" t="str">
        <f>HYPERLINK("https://my.pitchbook.com?c=284420-53T","View Company Online")</f>
        <v>View Company Online</v>
      </c>
    </row>
    <row r="8799" spans="1:18" hidden="1" x14ac:dyDescent="0.3">
      <c r="A8799" s="15" t="s">
        <v>25312</v>
      </c>
      <c r="B8799" s="15" t="s">
        <v>25313</v>
      </c>
      <c r="C8799" s="18" t="s">
        <v>28</v>
      </c>
      <c r="D8799" s="15" t="s">
        <v>25314</v>
      </c>
      <c r="E8799" s="18" t="s">
        <v>28</v>
      </c>
      <c r="F8799" s="19" t="s">
        <v>28</v>
      </c>
      <c r="G8799" s="19" t="s">
        <v>28</v>
      </c>
      <c r="H8799" s="19" t="s">
        <v>28</v>
      </c>
      <c r="I8799" s="18" t="s">
        <v>28</v>
      </c>
      <c r="J8799" s="18" t="s">
        <v>28</v>
      </c>
      <c r="K8799" s="18" t="s">
        <v>28</v>
      </c>
      <c r="L8799" s="18" t="s">
        <v>28</v>
      </c>
      <c r="M8799" s="18" t="s">
        <v>28</v>
      </c>
      <c r="N8799" s="17">
        <v>42736</v>
      </c>
      <c r="O8799" s="15" t="s">
        <v>379</v>
      </c>
      <c r="P8799" s="16" t="s">
        <v>25315</v>
      </c>
      <c r="Q8799" s="15" t="s">
        <v>37</v>
      </c>
      <c r="R8799" s="13" t="str">
        <f>HYPERLINK("https://my.pitchbook.com?c=200287-18T","View Company Online")</f>
        <v>View Company Online</v>
      </c>
    </row>
    <row r="8800" spans="1:18" hidden="1" x14ac:dyDescent="0.3">
      <c r="A8800" s="9" t="s">
        <v>25316</v>
      </c>
      <c r="B8800" s="9" t="s">
        <v>15261</v>
      </c>
      <c r="C8800" s="11" t="s">
        <v>28</v>
      </c>
      <c r="D8800" s="9" t="s">
        <v>15262</v>
      </c>
      <c r="E8800" s="11" t="s">
        <v>28</v>
      </c>
      <c r="F8800" s="10" t="s">
        <v>28</v>
      </c>
      <c r="G8800" s="10" t="s">
        <v>28</v>
      </c>
      <c r="H8800" s="10" t="s">
        <v>28</v>
      </c>
      <c r="I8800" s="11" t="s">
        <v>28</v>
      </c>
      <c r="J8800" s="11" t="s">
        <v>28</v>
      </c>
      <c r="K8800" s="11" t="s">
        <v>28</v>
      </c>
      <c r="L8800" s="11" t="s">
        <v>28</v>
      </c>
      <c r="M8800" s="11" t="s">
        <v>28</v>
      </c>
      <c r="N8800" s="8">
        <v>42736</v>
      </c>
      <c r="O8800" s="9" t="s">
        <v>93</v>
      </c>
      <c r="P8800" s="12" t="s">
        <v>9551</v>
      </c>
      <c r="Q8800" s="9" t="s">
        <v>75</v>
      </c>
      <c r="R8800" s="14" t="str">
        <f>HYPERLINK("https://my.pitchbook.com?c=108257-41T","View Company Online")</f>
        <v>View Company Online</v>
      </c>
    </row>
    <row r="8801" spans="1:18" hidden="1" x14ac:dyDescent="0.3">
      <c r="A8801" s="15" t="s">
        <v>25317</v>
      </c>
      <c r="B8801" s="15" t="s">
        <v>21529</v>
      </c>
      <c r="C8801" s="18" t="s">
        <v>28</v>
      </c>
      <c r="D8801" s="15" t="s">
        <v>21530</v>
      </c>
      <c r="E8801" s="18" t="s">
        <v>28</v>
      </c>
      <c r="F8801" s="19" t="s">
        <v>28</v>
      </c>
      <c r="G8801" s="19" t="s">
        <v>28</v>
      </c>
      <c r="H8801" s="19" t="s">
        <v>28</v>
      </c>
      <c r="I8801" s="18" t="s">
        <v>28</v>
      </c>
      <c r="J8801" s="18" t="s">
        <v>28</v>
      </c>
      <c r="K8801" s="18" t="s">
        <v>28</v>
      </c>
      <c r="L8801" s="18" t="s">
        <v>28</v>
      </c>
      <c r="M8801" s="18" t="s">
        <v>28</v>
      </c>
      <c r="N8801" s="17">
        <v>42736</v>
      </c>
      <c r="O8801" s="15" t="s">
        <v>52</v>
      </c>
      <c r="P8801" s="16" t="s">
        <v>25318</v>
      </c>
      <c r="Q8801" s="15" t="s">
        <v>37</v>
      </c>
      <c r="R8801" s="13" t="str">
        <f>HYPERLINK("https://my.pitchbook.com?c=125341-12T","View Company Online")</f>
        <v>View Company Online</v>
      </c>
    </row>
    <row r="8802" spans="1:18" hidden="1" x14ac:dyDescent="0.3">
      <c r="A8802" s="9" t="s">
        <v>25319</v>
      </c>
      <c r="B8802" s="9" t="s">
        <v>591</v>
      </c>
      <c r="C8802" s="11" t="s">
        <v>28</v>
      </c>
      <c r="D8802" s="9" t="s">
        <v>15127</v>
      </c>
      <c r="E8802" s="11" t="s">
        <v>28</v>
      </c>
      <c r="F8802" s="10" t="s">
        <v>28</v>
      </c>
      <c r="G8802" s="10">
        <v>0.9</v>
      </c>
      <c r="H8802" s="10" t="s">
        <v>28</v>
      </c>
      <c r="I8802" s="11" t="s">
        <v>28</v>
      </c>
      <c r="J8802" s="11" t="s">
        <v>28</v>
      </c>
      <c r="K8802" s="11" t="s">
        <v>28</v>
      </c>
      <c r="L8802" s="11" t="s">
        <v>28</v>
      </c>
      <c r="M8802" s="11" t="s">
        <v>28</v>
      </c>
      <c r="N8802" s="8">
        <v>42736</v>
      </c>
      <c r="O8802" s="9" t="s">
        <v>379</v>
      </c>
      <c r="P8802" s="12" t="s">
        <v>28</v>
      </c>
      <c r="Q8802" s="9" t="s">
        <v>696</v>
      </c>
      <c r="R8802" s="14" t="str">
        <f>HYPERLINK("https://my.pitchbook.com?c=140639-23T","View Company Online")</f>
        <v>View Company Online</v>
      </c>
    </row>
    <row r="8803" spans="1:18" hidden="1" x14ac:dyDescent="0.3">
      <c r="A8803" s="15" t="s">
        <v>25320</v>
      </c>
      <c r="B8803" s="15" t="s">
        <v>25321</v>
      </c>
      <c r="C8803" s="18" t="s">
        <v>28</v>
      </c>
      <c r="D8803" s="15" t="s">
        <v>25322</v>
      </c>
      <c r="E8803" s="18" t="s">
        <v>28</v>
      </c>
      <c r="F8803" s="19" t="s">
        <v>28</v>
      </c>
      <c r="G8803" s="19" t="s">
        <v>28</v>
      </c>
      <c r="H8803" s="19" t="s">
        <v>28</v>
      </c>
      <c r="I8803" s="18" t="s">
        <v>28</v>
      </c>
      <c r="J8803" s="18" t="s">
        <v>28</v>
      </c>
      <c r="K8803" s="18" t="s">
        <v>28</v>
      </c>
      <c r="L8803" s="18" t="s">
        <v>28</v>
      </c>
      <c r="M8803" s="18" t="s">
        <v>28</v>
      </c>
      <c r="N8803" s="17">
        <v>42736</v>
      </c>
      <c r="O8803" s="15" t="s">
        <v>52</v>
      </c>
      <c r="P8803" s="16" t="s">
        <v>2830</v>
      </c>
      <c r="Q8803" s="15" t="s">
        <v>85</v>
      </c>
      <c r="R8803" s="13" t="str">
        <f>HYPERLINK("https://my.pitchbook.com?c=264301-84T","View Company Online")</f>
        <v>View Company Online</v>
      </c>
    </row>
    <row r="8804" spans="1:18" hidden="1" x14ac:dyDescent="0.3">
      <c r="A8804" s="9" t="s">
        <v>25323</v>
      </c>
      <c r="B8804" s="9" t="s">
        <v>25324</v>
      </c>
      <c r="C8804" s="11" t="s">
        <v>28</v>
      </c>
      <c r="D8804" s="9" t="s">
        <v>25325</v>
      </c>
      <c r="E8804" s="11" t="s">
        <v>28</v>
      </c>
      <c r="F8804" s="10" t="s">
        <v>28</v>
      </c>
      <c r="G8804" s="10" t="s">
        <v>28</v>
      </c>
      <c r="H8804" s="10" t="s">
        <v>28</v>
      </c>
      <c r="I8804" s="11" t="s">
        <v>28</v>
      </c>
      <c r="J8804" s="11" t="s">
        <v>28</v>
      </c>
      <c r="K8804" s="11" t="s">
        <v>28</v>
      </c>
      <c r="L8804" s="11" t="s">
        <v>28</v>
      </c>
      <c r="M8804" s="11" t="s">
        <v>28</v>
      </c>
      <c r="N8804" s="8">
        <v>42736</v>
      </c>
      <c r="O8804" s="9" t="s">
        <v>41</v>
      </c>
      <c r="P8804" s="12" t="s">
        <v>25326</v>
      </c>
      <c r="Q8804" s="9" t="s">
        <v>43</v>
      </c>
      <c r="R8804" s="14" t="str">
        <f>HYPERLINK("https://my.pitchbook.com?c=204591-07T","View Company Online")</f>
        <v>View Company Online</v>
      </c>
    </row>
    <row r="8805" spans="1:18" hidden="1" x14ac:dyDescent="0.3">
      <c r="A8805" s="15" t="s">
        <v>25327</v>
      </c>
      <c r="B8805" s="15" t="s">
        <v>19827</v>
      </c>
      <c r="C8805" s="18" t="s">
        <v>28</v>
      </c>
      <c r="D8805" s="15" t="s">
        <v>19828</v>
      </c>
      <c r="E8805" s="18" t="s">
        <v>28</v>
      </c>
      <c r="F8805" s="19" t="s">
        <v>28</v>
      </c>
      <c r="G8805" s="19">
        <v>0.02</v>
      </c>
      <c r="H8805" s="19" t="s">
        <v>28</v>
      </c>
      <c r="I8805" s="18" t="s">
        <v>28</v>
      </c>
      <c r="J8805" s="18" t="s">
        <v>28</v>
      </c>
      <c r="K8805" s="18" t="s">
        <v>28</v>
      </c>
      <c r="L8805" s="18" t="s">
        <v>28</v>
      </c>
      <c r="M8805" s="18" t="s">
        <v>28</v>
      </c>
      <c r="N8805" s="17">
        <v>42736</v>
      </c>
      <c r="O8805" s="15" t="s">
        <v>99</v>
      </c>
      <c r="P8805" s="16" t="s">
        <v>28</v>
      </c>
      <c r="Q8805" s="15" t="s">
        <v>607</v>
      </c>
      <c r="R8805" s="13" t="str">
        <f>HYPERLINK("https://my.pitchbook.com?c=215640-19T","View Company Online")</f>
        <v>View Company Online</v>
      </c>
    </row>
    <row r="8806" spans="1:18" hidden="1" x14ac:dyDescent="0.3">
      <c r="A8806" s="9" t="s">
        <v>25328</v>
      </c>
      <c r="B8806" s="9" t="s">
        <v>15708</v>
      </c>
      <c r="C8806" s="11" t="s">
        <v>28</v>
      </c>
      <c r="D8806" s="9" t="s">
        <v>25329</v>
      </c>
      <c r="E8806" s="11" t="s">
        <v>28</v>
      </c>
      <c r="F8806" s="10" t="s">
        <v>28</v>
      </c>
      <c r="G8806" s="10" t="s">
        <v>28</v>
      </c>
      <c r="H8806" s="10" t="s">
        <v>28</v>
      </c>
      <c r="I8806" s="11" t="s">
        <v>28</v>
      </c>
      <c r="J8806" s="11" t="s">
        <v>28</v>
      </c>
      <c r="K8806" s="11" t="s">
        <v>28</v>
      </c>
      <c r="L8806" s="11" t="s">
        <v>28</v>
      </c>
      <c r="M8806" s="11" t="s">
        <v>28</v>
      </c>
      <c r="N8806" s="8">
        <v>42736</v>
      </c>
      <c r="O8806" s="9" t="s">
        <v>30</v>
      </c>
      <c r="P8806" s="12" t="s">
        <v>28</v>
      </c>
      <c r="Q8806" s="9" t="s">
        <v>362</v>
      </c>
      <c r="R8806" s="14" t="str">
        <f>HYPERLINK("https://my.pitchbook.com?c=114189-49T","View Company Online")</f>
        <v>View Company Online</v>
      </c>
    </row>
    <row r="8807" spans="1:18" hidden="1" x14ac:dyDescent="0.3">
      <c r="A8807" s="15" t="s">
        <v>25330</v>
      </c>
      <c r="B8807" s="15" t="s">
        <v>4870</v>
      </c>
      <c r="C8807" s="18" t="s">
        <v>28</v>
      </c>
      <c r="D8807" s="15" t="s">
        <v>4871</v>
      </c>
      <c r="E8807" s="18" t="s">
        <v>28</v>
      </c>
      <c r="F8807" s="19" t="s">
        <v>28</v>
      </c>
      <c r="G8807" s="19" t="s">
        <v>28</v>
      </c>
      <c r="H8807" s="19" t="s">
        <v>28</v>
      </c>
      <c r="I8807" s="18" t="s">
        <v>28</v>
      </c>
      <c r="J8807" s="18" t="s">
        <v>28</v>
      </c>
      <c r="K8807" s="18" t="s">
        <v>28</v>
      </c>
      <c r="L8807" s="18" t="s">
        <v>28</v>
      </c>
      <c r="M8807" s="18" t="s">
        <v>28</v>
      </c>
      <c r="N8807" s="17">
        <v>42736</v>
      </c>
      <c r="O8807" s="15" t="s">
        <v>79</v>
      </c>
      <c r="P8807" s="16" t="s">
        <v>25331</v>
      </c>
      <c r="Q8807" s="15" t="s">
        <v>424</v>
      </c>
      <c r="R8807" s="13" t="str">
        <f>HYPERLINK("https://my.pitchbook.com?c=242350-30T","View Company Online")</f>
        <v>View Company Online</v>
      </c>
    </row>
    <row r="8808" spans="1:18" hidden="1" x14ac:dyDescent="0.3">
      <c r="A8808" s="9" t="s">
        <v>25332</v>
      </c>
      <c r="B8808" s="9" t="s">
        <v>8220</v>
      </c>
      <c r="C8808" s="11" t="s">
        <v>28</v>
      </c>
      <c r="D8808" s="9" t="s">
        <v>8221</v>
      </c>
      <c r="E8808" s="11" t="s">
        <v>28</v>
      </c>
      <c r="F8808" s="10" t="s">
        <v>28</v>
      </c>
      <c r="G8808" s="10" t="s">
        <v>28</v>
      </c>
      <c r="H8808" s="10" t="s">
        <v>28</v>
      </c>
      <c r="I8808" s="11" t="s">
        <v>28</v>
      </c>
      <c r="J8808" s="11" t="s">
        <v>28</v>
      </c>
      <c r="K8808" s="11" t="s">
        <v>28</v>
      </c>
      <c r="L8808" s="11" t="s">
        <v>28</v>
      </c>
      <c r="M8808" s="11" t="s">
        <v>28</v>
      </c>
      <c r="N8808" s="8">
        <v>42736</v>
      </c>
      <c r="O8808" s="9" t="s">
        <v>52</v>
      </c>
      <c r="P8808" s="12" t="s">
        <v>1970</v>
      </c>
      <c r="Q8808" s="9" t="s">
        <v>404</v>
      </c>
      <c r="R8808" s="14" t="str">
        <f>HYPERLINK("https://my.pitchbook.com?c=111150-46T","View Company Online")</f>
        <v>View Company Online</v>
      </c>
    </row>
    <row r="8809" spans="1:18" hidden="1" x14ac:dyDescent="0.3">
      <c r="A8809" s="15" t="s">
        <v>25333</v>
      </c>
      <c r="B8809" s="15" t="s">
        <v>8220</v>
      </c>
      <c r="C8809" s="18" t="s">
        <v>28</v>
      </c>
      <c r="D8809" s="15" t="s">
        <v>8221</v>
      </c>
      <c r="E8809" s="18" t="s">
        <v>28</v>
      </c>
      <c r="F8809" s="19" t="s">
        <v>28</v>
      </c>
      <c r="G8809" s="19">
        <v>0.04</v>
      </c>
      <c r="H8809" s="19">
        <v>0.45</v>
      </c>
      <c r="I8809" s="18" t="s">
        <v>28</v>
      </c>
      <c r="J8809" s="18" t="s">
        <v>28</v>
      </c>
      <c r="K8809" s="18" t="s">
        <v>28</v>
      </c>
      <c r="L8809" s="18" t="s">
        <v>28</v>
      </c>
      <c r="M8809" s="18" t="s">
        <v>28</v>
      </c>
      <c r="N8809" s="17">
        <v>42736</v>
      </c>
      <c r="O8809" s="15" t="s">
        <v>52</v>
      </c>
      <c r="P8809" s="16" t="s">
        <v>7022</v>
      </c>
      <c r="Q8809" s="15" t="s">
        <v>404</v>
      </c>
      <c r="R8809" s="13" t="str">
        <f>HYPERLINK("https://my.pitchbook.com?c=111150-82T","View Company Online")</f>
        <v>View Company Online</v>
      </c>
    </row>
    <row r="8810" spans="1:18" hidden="1" x14ac:dyDescent="0.3">
      <c r="A8810" s="9" t="s">
        <v>25334</v>
      </c>
      <c r="B8810" s="9" t="s">
        <v>25335</v>
      </c>
      <c r="C8810" s="11" t="s">
        <v>28</v>
      </c>
      <c r="D8810" s="9" t="s">
        <v>25336</v>
      </c>
      <c r="E8810" s="11" t="s">
        <v>28</v>
      </c>
      <c r="F8810" s="10" t="s">
        <v>28</v>
      </c>
      <c r="G8810" s="10" t="s">
        <v>28</v>
      </c>
      <c r="H8810" s="10" t="s">
        <v>28</v>
      </c>
      <c r="I8810" s="11" t="s">
        <v>28</v>
      </c>
      <c r="J8810" s="11" t="s">
        <v>28</v>
      </c>
      <c r="K8810" s="11" t="s">
        <v>28</v>
      </c>
      <c r="L8810" s="11" t="s">
        <v>28</v>
      </c>
      <c r="M8810" s="11" t="s">
        <v>28</v>
      </c>
      <c r="N8810" s="8">
        <v>42736</v>
      </c>
      <c r="O8810" s="9" t="s">
        <v>52</v>
      </c>
      <c r="P8810" s="12" t="s">
        <v>25337</v>
      </c>
      <c r="Q8810" s="9" t="s">
        <v>37</v>
      </c>
      <c r="R8810" s="14" t="str">
        <f>HYPERLINK("https://my.pitchbook.com?c=98732-26T","View Company Online")</f>
        <v>View Company Online</v>
      </c>
    </row>
    <row r="8811" spans="1:18" hidden="1" x14ac:dyDescent="0.3">
      <c r="A8811" s="15" t="s">
        <v>25338</v>
      </c>
      <c r="B8811" s="15" t="s">
        <v>25339</v>
      </c>
      <c r="C8811" s="18" t="s">
        <v>28</v>
      </c>
      <c r="D8811" s="15" t="s">
        <v>25340</v>
      </c>
      <c r="E8811" s="18" t="s">
        <v>28</v>
      </c>
      <c r="F8811" s="19" t="s">
        <v>28</v>
      </c>
      <c r="G8811" s="19" t="s">
        <v>28</v>
      </c>
      <c r="H8811" s="19" t="s">
        <v>28</v>
      </c>
      <c r="I8811" s="18" t="s">
        <v>28</v>
      </c>
      <c r="J8811" s="18" t="s">
        <v>28</v>
      </c>
      <c r="K8811" s="18" t="s">
        <v>28</v>
      </c>
      <c r="L8811" s="18" t="s">
        <v>28</v>
      </c>
      <c r="M8811" s="18" t="s">
        <v>28</v>
      </c>
      <c r="N8811" s="17">
        <v>42736</v>
      </c>
      <c r="O8811" s="15" t="s">
        <v>30</v>
      </c>
      <c r="P8811" s="16" t="s">
        <v>25341</v>
      </c>
      <c r="Q8811" s="15" t="s">
        <v>114</v>
      </c>
      <c r="R8811" s="13" t="str">
        <f>HYPERLINK("https://my.pitchbook.com?c=91647-19T","View Company Online")</f>
        <v>View Company Online</v>
      </c>
    </row>
    <row r="8812" spans="1:18" hidden="1" x14ac:dyDescent="0.3">
      <c r="A8812" s="9" t="s">
        <v>25342</v>
      </c>
      <c r="B8812" s="9" t="s">
        <v>25343</v>
      </c>
      <c r="C8812" s="11" t="s">
        <v>28</v>
      </c>
      <c r="D8812" s="9" t="s">
        <v>25344</v>
      </c>
      <c r="E8812" s="11" t="s">
        <v>28</v>
      </c>
      <c r="F8812" s="10" t="s">
        <v>28</v>
      </c>
      <c r="G8812" s="10" t="s">
        <v>28</v>
      </c>
      <c r="H8812" s="10" t="s">
        <v>28</v>
      </c>
      <c r="I8812" s="11" t="s">
        <v>28</v>
      </c>
      <c r="J8812" s="11" t="s">
        <v>28</v>
      </c>
      <c r="K8812" s="11" t="s">
        <v>28</v>
      </c>
      <c r="L8812" s="11" t="s">
        <v>28</v>
      </c>
      <c r="M8812" s="11" t="s">
        <v>28</v>
      </c>
      <c r="N8812" s="8">
        <v>42736</v>
      </c>
      <c r="O8812" s="9" t="s">
        <v>73</v>
      </c>
      <c r="P8812" s="12" t="s">
        <v>25345</v>
      </c>
      <c r="Q8812" s="9" t="s">
        <v>85</v>
      </c>
      <c r="R8812" s="14" t="str">
        <f>HYPERLINK("https://my.pitchbook.com?c=126133-48T","View Company Online")</f>
        <v>View Company Online</v>
      </c>
    </row>
    <row r="8813" spans="1:18" hidden="1" x14ac:dyDescent="0.3">
      <c r="A8813" s="15" t="s">
        <v>25346</v>
      </c>
      <c r="B8813" s="15" t="s">
        <v>19860</v>
      </c>
      <c r="C8813" s="18" t="s">
        <v>28</v>
      </c>
      <c r="D8813" s="15" t="s">
        <v>19861</v>
      </c>
      <c r="E8813" s="18" t="s">
        <v>28</v>
      </c>
      <c r="F8813" s="19" t="s">
        <v>28</v>
      </c>
      <c r="G8813" s="19" t="s">
        <v>28</v>
      </c>
      <c r="H8813" s="19" t="s">
        <v>28</v>
      </c>
      <c r="I8813" s="18" t="s">
        <v>28</v>
      </c>
      <c r="J8813" s="18" t="s">
        <v>28</v>
      </c>
      <c r="K8813" s="18" t="s">
        <v>28</v>
      </c>
      <c r="L8813" s="18" t="s">
        <v>28</v>
      </c>
      <c r="M8813" s="18" t="s">
        <v>28</v>
      </c>
      <c r="N8813" s="17">
        <v>42736</v>
      </c>
      <c r="O8813" s="15" t="s">
        <v>73</v>
      </c>
      <c r="P8813" s="16" t="s">
        <v>3811</v>
      </c>
      <c r="Q8813" s="15" t="s">
        <v>5347</v>
      </c>
      <c r="R8813" s="13" t="str">
        <f>HYPERLINK("https://my.pitchbook.com?c=140328-01T","View Company Online")</f>
        <v>View Company Online</v>
      </c>
    </row>
    <row r="8814" spans="1:18" hidden="1" x14ac:dyDescent="0.3">
      <c r="A8814" s="9" t="s">
        <v>25347</v>
      </c>
      <c r="B8814" s="9" t="s">
        <v>3933</v>
      </c>
      <c r="C8814" s="11" t="s">
        <v>28</v>
      </c>
      <c r="D8814" s="9" t="s">
        <v>3934</v>
      </c>
      <c r="E8814" s="11" t="s">
        <v>28</v>
      </c>
      <c r="F8814" s="10" t="s">
        <v>28</v>
      </c>
      <c r="G8814" s="10" t="s">
        <v>28</v>
      </c>
      <c r="H8814" s="10" t="s">
        <v>28</v>
      </c>
      <c r="I8814" s="11" t="s">
        <v>28</v>
      </c>
      <c r="J8814" s="11" t="s">
        <v>28</v>
      </c>
      <c r="K8814" s="11" t="s">
        <v>28</v>
      </c>
      <c r="L8814" s="11" t="s">
        <v>28</v>
      </c>
      <c r="M8814" s="11" t="s">
        <v>28</v>
      </c>
      <c r="N8814" s="8">
        <v>42736</v>
      </c>
      <c r="O8814" s="9" t="s">
        <v>52</v>
      </c>
      <c r="P8814" s="12" t="s">
        <v>25348</v>
      </c>
      <c r="Q8814" s="9" t="s">
        <v>381</v>
      </c>
      <c r="R8814" s="14" t="str">
        <f>HYPERLINK("https://my.pitchbook.com?c=286693-93T","View Company Online")</f>
        <v>View Company Online</v>
      </c>
    </row>
    <row r="8815" spans="1:18" hidden="1" x14ac:dyDescent="0.3">
      <c r="A8815" s="15" t="s">
        <v>25349</v>
      </c>
      <c r="B8815" s="15" t="s">
        <v>14284</v>
      </c>
      <c r="C8815" s="18" t="s">
        <v>28</v>
      </c>
      <c r="D8815" s="15" t="s">
        <v>14285</v>
      </c>
      <c r="E8815" s="18" t="s">
        <v>28</v>
      </c>
      <c r="F8815" s="19" t="s">
        <v>28</v>
      </c>
      <c r="G8815" s="19" t="s">
        <v>28</v>
      </c>
      <c r="H8815" s="19" t="s">
        <v>28</v>
      </c>
      <c r="I8815" s="18" t="s">
        <v>28</v>
      </c>
      <c r="J8815" s="18" t="s">
        <v>28</v>
      </c>
      <c r="K8815" s="18" t="s">
        <v>28</v>
      </c>
      <c r="L8815" s="18" t="s">
        <v>28</v>
      </c>
      <c r="M8815" s="18" t="s">
        <v>28</v>
      </c>
      <c r="N8815" s="17">
        <v>42736</v>
      </c>
      <c r="O8815" s="15" t="s">
        <v>52</v>
      </c>
      <c r="P8815" s="16" t="s">
        <v>6543</v>
      </c>
      <c r="Q8815" s="15" t="s">
        <v>75</v>
      </c>
      <c r="R8815" s="13" t="str">
        <f>HYPERLINK("https://my.pitchbook.com?c=103821-04T","View Company Online")</f>
        <v>View Company Online</v>
      </c>
    </row>
    <row r="8816" spans="1:18" hidden="1" x14ac:dyDescent="0.3">
      <c r="A8816" s="9" t="s">
        <v>25350</v>
      </c>
      <c r="B8816" s="9" t="s">
        <v>8075</v>
      </c>
      <c r="C8816" s="11" t="s">
        <v>28</v>
      </c>
      <c r="D8816" s="9" t="s">
        <v>8076</v>
      </c>
      <c r="E8816" s="11" t="s">
        <v>28</v>
      </c>
      <c r="F8816" s="10" t="s">
        <v>28</v>
      </c>
      <c r="G8816" s="10" t="s">
        <v>28</v>
      </c>
      <c r="H8816" s="10" t="s">
        <v>28</v>
      </c>
      <c r="I8816" s="11" t="s">
        <v>28</v>
      </c>
      <c r="J8816" s="11" t="s">
        <v>28</v>
      </c>
      <c r="K8816" s="11" t="s">
        <v>28</v>
      </c>
      <c r="L8816" s="11" t="s">
        <v>28</v>
      </c>
      <c r="M8816" s="11" t="s">
        <v>28</v>
      </c>
      <c r="N8816" s="8">
        <v>42736</v>
      </c>
      <c r="O8816" s="9" t="s">
        <v>52</v>
      </c>
      <c r="P8816" s="12" t="s">
        <v>1970</v>
      </c>
      <c r="Q8816" s="9" t="s">
        <v>43</v>
      </c>
      <c r="R8816" s="14" t="str">
        <f>HYPERLINK("https://my.pitchbook.com?c=295303-33T","View Company Online")</f>
        <v>View Company Online</v>
      </c>
    </row>
    <row r="8817" spans="1:18" hidden="1" x14ac:dyDescent="0.3">
      <c r="A8817" s="15" t="s">
        <v>25351</v>
      </c>
      <c r="B8817" s="15" t="s">
        <v>25352</v>
      </c>
      <c r="C8817" s="18" t="s">
        <v>28</v>
      </c>
      <c r="D8817" s="15" t="s">
        <v>25353</v>
      </c>
      <c r="E8817" s="18" t="s">
        <v>28</v>
      </c>
      <c r="F8817" s="19" t="s">
        <v>28</v>
      </c>
      <c r="G8817" s="19" t="s">
        <v>28</v>
      </c>
      <c r="H8817" s="19" t="s">
        <v>28</v>
      </c>
      <c r="I8817" s="18" t="s">
        <v>28</v>
      </c>
      <c r="J8817" s="18" t="s">
        <v>28</v>
      </c>
      <c r="K8817" s="18" t="s">
        <v>28</v>
      </c>
      <c r="L8817" s="18" t="s">
        <v>28</v>
      </c>
      <c r="M8817" s="18" t="s">
        <v>28</v>
      </c>
      <c r="N8817" s="17">
        <v>42736</v>
      </c>
      <c r="O8817" s="15" t="s">
        <v>41</v>
      </c>
      <c r="P8817" s="16" t="s">
        <v>25354</v>
      </c>
      <c r="Q8817" s="15" t="s">
        <v>3973</v>
      </c>
      <c r="R8817" s="13" t="str">
        <f>HYPERLINK("https://my.pitchbook.com?c=199506-97T","View Company Online")</f>
        <v>View Company Online</v>
      </c>
    </row>
    <row r="8818" spans="1:18" hidden="1" x14ac:dyDescent="0.3">
      <c r="A8818" s="9" t="s">
        <v>25355</v>
      </c>
      <c r="B8818" s="9" t="s">
        <v>15774</v>
      </c>
      <c r="C8818" s="11" t="s">
        <v>28</v>
      </c>
      <c r="D8818" s="9" t="s">
        <v>15775</v>
      </c>
      <c r="E8818" s="11" t="s">
        <v>28</v>
      </c>
      <c r="F8818" s="10" t="s">
        <v>28</v>
      </c>
      <c r="G8818" s="10" t="s">
        <v>28</v>
      </c>
      <c r="H8818" s="10" t="s">
        <v>28</v>
      </c>
      <c r="I8818" s="11" t="s">
        <v>28</v>
      </c>
      <c r="J8818" s="11" t="s">
        <v>28</v>
      </c>
      <c r="K8818" s="11" t="s">
        <v>28</v>
      </c>
      <c r="L8818" s="11" t="s">
        <v>28</v>
      </c>
      <c r="M8818" s="11" t="s">
        <v>28</v>
      </c>
      <c r="N8818" s="8">
        <v>42736</v>
      </c>
      <c r="O8818" s="9" t="s">
        <v>52</v>
      </c>
      <c r="P8818" s="12" t="s">
        <v>798</v>
      </c>
      <c r="Q8818" s="9" t="s">
        <v>75</v>
      </c>
      <c r="R8818" s="14" t="str">
        <f>HYPERLINK("https://my.pitchbook.com?c=298054-09T","View Company Online")</f>
        <v>View Company Online</v>
      </c>
    </row>
    <row r="8819" spans="1:18" hidden="1" x14ac:dyDescent="0.3">
      <c r="A8819" s="15" t="s">
        <v>25356</v>
      </c>
      <c r="B8819" s="15" t="s">
        <v>12708</v>
      </c>
      <c r="C8819" s="18" t="s">
        <v>28</v>
      </c>
      <c r="D8819" s="15" t="s">
        <v>12709</v>
      </c>
      <c r="E8819" s="18" t="s">
        <v>28</v>
      </c>
      <c r="F8819" s="19" t="s">
        <v>28</v>
      </c>
      <c r="G8819" s="19" t="s">
        <v>28</v>
      </c>
      <c r="H8819" s="19" t="s">
        <v>28</v>
      </c>
      <c r="I8819" s="18" t="s">
        <v>28</v>
      </c>
      <c r="J8819" s="18" t="s">
        <v>28</v>
      </c>
      <c r="K8819" s="18" t="s">
        <v>28</v>
      </c>
      <c r="L8819" s="18" t="s">
        <v>28</v>
      </c>
      <c r="M8819" s="18" t="s">
        <v>28</v>
      </c>
      <c r="N8819" s="17">
        <v>42736</v>
      </c>
      <c r="O8819" s="15" t="s">
        <v>52</v>
      </c>
      <c r="P8819" s="16" t="s">
        <v>25357</v>
      </c>
      <c r="Q8819" s="15" t="s">
        <v>37</v>
      </c>
      <c r="R8819" s="13" t="str">
        <f>HYPERLINK("https://my.pitchbook.com?c=113830-21T","View Company Online")</f>
        <v>View Company Online</v>
      </c>
    </row>
    <row r="8820" spans="1:18" hidden="1" x14ac:dyDescent="0.3">
      <c r="A8820" s="9" t="s">
        <v>25358</v>
      </c>
      <c r="B8820" s="9" t="s">
        <v>12708</v>
      </c>
      <c r="C8820" s="11" t="s">
        <v>28</v>
      </c>
      <c r="D8820" s="9" t="s">
        <v>12709</v>
      </c>
      <c r="E8820" s="11" t="s">
        <v>28</v>
      </c>
      <c r="F8820" s="10" t="s">
        <v>28</v>
      </c>
      <c r="G8820" s="10" t="s">
        <v>28</v>
      </c>
      <c r="H8820" s="10" t="s">
        <v>28</v>
      </c>
      <c r="I8820" s="11" t="s">
        <v>28</v>
      </c>
      <c r="J8820" s="11" t="s">
        <v>28</v>
      </c>
      <c r="K8820" s="11" t="s">
        <v>28</v>
      </c>
      <c r="L8820" s="11" t="s">
        <v>28</v>
      </c>
      <c r="M8820" s="11" t="s">
        <v>28</v>
      </c>
      <c r="N8820" s="8">
        <v>42736</v>
      </c>
      <c r="O8820" s="9" t="s">
        <v>99</v>
      </c>
      <c r="P8820" s="12" t="s">
        <v>25359</v>
      </c>
      <c r="Q8820" s="9" t="s">
        <v>37</v>
      </c>
      <c r="R8820" s="14" t="str">
        <f>HYPERLINK("https://my.pitchbook.com?c=174873-34T","View Company Online")</f>
        <v>View Company Online</v>
      </c>
    </row>
    <row r="8821" spans="1:18" hidden="1" x14ac:dyDescent="0.3">
      <c r="A8821" s="15" t="s">
        <v>25360</v>
      </c>
      <c r="B8821" s="15" t="s">
        <v>15288</v>
      </c>
      <c r="C8821" s="18" t="s">
        <v>28</v>
      </c>
      <c r="D8821" s="15" t="s">
        <v>15289</v>
      </c>
      <c r="E8821" s="18" t="s">
        <v>28</v>
      </c>
      <c r="F8821" s="19" t="s">
        <v>28</v>
      </c>
      <c r="G8821" s="19" t="s">
        <v>28</v>
      </c>
      <c r="H8821" s="19" t="s">
        <v>28</v>
      </c>
      <c r="I8821" s="18" t="s">
        <v>28</v>
      </c>
      <c r="J8821" s="18" t="s">
        <v>28</v>
      </c>
      <c r="K8821" s="18" t="s">
        <v>28</v>
      </c>
      <c r="L8821" s="18" t="s">
        <v>28</v>
      </c>
      <c r="M8821" s="18" t="s">
        <v>28</v>
      </c>
      <c r="N8821" s="17">
        <v>42736</v>
      </c>
      <c r="O8821" s="15" t="s">
        <v>99</v>
      </c>
      <c r="P8821" s="16" t="s">
        <v>25361</v>
      </c>
      <c r="Q8821" s="15" t="s">
        <v>409</v>
      </c>
      <c r="R8821" s="13" t="str">
        <f>HYPERLINK("https://my.pitchbook.com?c=123911-56T","View Company Online")</f>
        <v>View Company Online</v>
      </c>
    </row>
    <row r="8822" spans="1:18" hidden="1" x14ac:dyDescent="0.3">
      <c r="A8822" s="9" t="s">
        <v>25362</v>
      </c>
      <c r="B8822" s="9" t="s">
        <v>11864</v>
      </c>
      <c r="C8822" s="11" t="s">
        <v>28</v>
      </c>
      <c r="D8822" s="9" t="s">
        <v>11865</v>
      </c>
      <c r="E8822" s="11" t="s">
        <v>28</v>
      </c>
      <c r="F8822" s="10" t="s">
        <v>28</v>
      </c>
      <c r="G8822" s="10" t="s">
        <v>28</v>
      </c>
      <c r="H8822" s="10" t="s">
        <v>28</v>
      </c>
      <c r="I8822" s="11" t="s">
        <v>28</v>
      </c>
      <c r="J8822" s="11" t="s">
        <v>28</v>
      </c>
      <c r="K8822" s="11" t="s">
        <v>28</v>
      </c>
      <c r="L8822" s="11" t="s">
        <v>28</v>
      </c>
      <c r="M8822" s="11" t="s">
        <v>28</v>
      </c>
      <c r="N8822" s="8">
        <v>42736</v>
      </c>
      <c r="O8822" s="9" t="s">
        <v>52</v>
      </c>
      <c r="P8822" s="12" t="s">
        <v>16733</v>
      </c>
      <c r="Q8822" s="9" t="s">
        <v>419</v>
      </c>
      <c r="R8822" s="14" t="str">
        <f>HYPERLINK("https://my.pitchbook.com?c=285647-86T","View Company Online")</f>
        <v>View Company Online</v>
      </c>
    </row>
    <row r="8823" spans="1:18" hidden="1" x14ac:dyDescent="0.3">
      <c r="A8823" s="15" t="s">
        <v>25363</v>
      </c>
      <c r="B8823" s="15" t="s">
        <v>25364</v>
      </c>
      <c r="C8823" s="18" t="s">
        <v>28</v>
      </c>
      <c r="D8823" s="15" t="s">
        <v>25365</v>
      </c>
      <c r="E8823" s="18" t="s">
        <v>28</v>
      </c>
      <c r="F8823" s="19" t="s">
        <v>28</v>
      </c>
      <c r="G8823" s="19" t="s">
        <v>28</v>
      </c>
      <c r="H8823" s="19" t="s">
        <v>28</v>
      </c>
      <c r="I8823" s="18" t="s">
        <v>28</v>
      </c>
      <c r="J8823" s="18" t="s">
        <v>28</v>
      </c>
      <c r="K8823" s="18" t="s">
        <v>28</v>
      </c>
      <c r="L8823" s="18" t="s">
        <v>28</v>
      </c>
      <c r="M8823" s="18" t="s">
        <v>28</v>
      </c>
      <c r="N8823" s="17">
        <v>42736</v>
      </c>
      <c r="O8823" s="15" t="s">
        <v>52</v>
      </c>
      <c r="P8823" s="16" t="s">
        <v>25366</v>
      </c>
      <c r="Q8823" s="15" t="s">
        <v>245</v>
      </c>
      <c r="R8823" s="13" t="str">
        <f>HYPERLINK("https://my.pitchbook.com?c=277112-89T","View Company Online")</f>
        <v>View Company Online</v>
      </c>
    </row>
    <row r="8824" spans="1:18" hidden="1" x14ac:dyDescent="0.3">
      <c r="A8824" s="9" t="s">
        <v>25367</v>
      </c>
      <c r="B8824" s="9" t="s">
        <v>1222</v>
      </c>
      <c r="C8824" s="11" t="s">
        <v>28</v>
      </c>
      <c r="D8824" s="9" t="s">
        <v>1223</v>
      </c>
      <c r="E8824" s="11" t="s">
        <v>28</v>
      </c>
      <c r="F8824" s="10" t="s">
        <v>28</v>
      </c>
      <c r="G8824" s="10" t="s">
        <v>28</v>
      </c>
      <c r="H8824" s="10" t="s">
        <v>28</v>
      </c>
      <c r="I8824" s="11" t="s">
        <v>28</v>
      </c>
      <c r="J8824" s="11" t="s">
        <v>28</v>
      </c>
      <c r="K8824" s="11" t="s">
        <v>28</v>
      </c>
      <c r="L8824" s="11" t="s">
        <v>28</v>
      </c>
      <c r="M8824" s="11" t="s">
        <v>28</v>
      </c>
      <c r="N8824" s="8">
        <v>42736</v>
      </c>
      <c r="O8824" s="9" t="s">
        <v>52</v>
      </c>
      <c r="P8824" s="12" t="s">
        <v>25368</v>
      </c>
      <c r="Q8824" s="9" t="s">
        <v>75</v>
      </c>
      <c r="R8824" s="14" t="str">
        <f>HYPERLINK("https://my.pitchbook.com?c=123130-18T","View Company Online")</f>
        <v>View Company Online</v>
      </c>
    </row>
    <row r="8825" spans="1:18" hidden="1" x14ac:dyDescent="0.3">
      <c r="A8825" s="15" t="s">
        <v>25369</v>
      </c>
      <c r="B8825" s="15" t="s">
        <v>25370</v>
      </c>
      <c r="C8825" s="18" t="s">
        <v>28</v>
      </c>
      <c r="D8825" s="15" t="s">
        <v>25371</v>
      </c>
      <c r="E8825" s="18" t="s">
        <v>28</v>
      </c>
      <c r="F8825" s="19" t="s">
        <v>28</v>
      </c>
      <c r="G8825" s="19" t="s">
        <v>28</v>
      </c>
      <c r="H8825" s="19" t="s">
        <v>28</v>
      </c>
      <c r="I8825" s="18" t="s">
        <v>28</v>
      </c>
      <c r="J8825" s="18" t="s">
        <v>28</v>
      </c>
      <c r="K8825" s="18" t="s">
        <v>28</v>
      </c>
      <c r="L8825" s="18" t="s">
        <v>28</v>
      </c>
      <c r="M8825" s="18" t="s">
        <v>28</v>
      </c>
      <c r="N8825" s="17">
        <v>42736</v>
      </c>
      <c r="O8825" s="15" t="s">
        <v>79</v>
      </c>
      <c r="P8825" s="16" t="s">
        <v>20225</v>
      </c>
      <c r="Q8825" s="15" t="s">
        <v>75</v>
      </c>
      <c r="R8825" s="13" t="str">
        <f>HYPERLINK("https://my.pitchbook.com?c=114643-81T","View Company Online")</f>
        <v>View Company Online</v>
      </c>
    </row>
    <row r="8826" spans="1:18" hidden="1" x14ac:dyDescent="0.3">
      <c r="A8826" s="9" t="s">
        <v>25372</v>
      </c>
      <c r="B8826" s="9" t="s">
        <v>25373</v>
      </c>
      <c r="C8826" s="11" t="s">
        <v>28</v>
      </c>
      <c r="D8826" s="9" t="s">
        <v>25374</v>
      </c>
      <c r="E8826" s="11" t="s">
        <v>28</v>
      </c>
      <c r="F8826" s="10" t="s">
        <v>28</v>
      </c>
      <c r="G8826" s="10">
        <v>0.08</v>
      </c>
      <c r="H8826" s="10" t="s">
        <v>28</v>
      </c>
      <c r="I8826" s="11" t="s">
        <v>28</v>
      </c>
      <c r="J8826" s="11" t="s">
        <v>28</v>
      </c>
      <c r="K8826" s="11" t="s">
        <v>28</v>
      </c>
      <c r="L8826" s="11" t="s">
        <v>28</v>
      </c>
      <c r="M8826" s="11" t="s">
        <v>28</v>
      </c>
      <c r="N8826" s="8">
        <v>42736</v>
      </c>
      <c r="O8826" s="9" t="s">
        <v>99</v>
      </c>
      <c r="P8826" s="12" t="s">
        <v>28</v>
      </c>
      <c r="Q8826" s="9" t="s">
        <v>85</v>
      </c>
      <c r="R8826" s="14" t="str">
        <f>HYPERLINK("https://my.pitchbook.com?c=126024-22T","View Company Online")</f>
        <v>View Company Online</v>
      </c>
    </row>
    <row r="8827" spans="1:18" hidden="1" x14ac:dyDescent="0.3">
      <c r="A8827" s="15" t="s">
        <v>25375</v>
      </c>
      <c r="B8827" s="15" t="s">
        <v>25373</v>
      </c>
      <c r="C8827" s="18" t="s">
        <v>28</v>
      </c>
      <c r="D8827" s="15" t="s">
        <v>25374</v>
      </c>
      <c r="E8827" s="18" t="s">
        <v>28</v>
      </c>
      <c r="F8827" s="19" t="s">
        <v>28</v>
      </c>
      <c r="G8827" s="19" t="s">
        <v>28</v>
      </c>
      <c r="H8827" s="19" t="s">
        <v>28</v>
      </c>
      <c r="I8827" s="18" t="s">
        <v>28</v>
      </c>
      <c r="J8827" s="18" t="s">
        <v>28</v>
      </c>
      <c r="K8827" s="18" t="s">
        <v>28</v>
      </c>
      <c r="L8827" s="18" t="s">
        <v>28</v>
      </c>
      <c r="M8827" s="18" t="s">
        <v>28</v>
      </c>
      <c r="N8827" s="17">
        <v>42736</v>
      </c>
      <c r="O8827" s="15" t="s">
        <v>52</v>
      </c>
      <c r="P8827" s="16" t="s">
        <v>2442</v>
      </c>
      <c r="Q8827" s="15" t="s">
        <v>85</v>
      </c>
      <c r="R8827" s="13" t="str">
        <f>HYPERLINK("https://my.pitchbook.com?c=266767-48T","View Company Online")</f>
        <v>View Company Online</v>
      </c>
    </row>
    <row r="8828" spans="1:18" hidden="1" x14ac:dyDescent="0.3">
      <c r="A8828" s="9" t="s">
        <v>25376</v>
      </c>
      <c r="B8828" s="9" t="s">
        <v>13276</v>
      </c>
      <c r="C8828" s="11" t="s">
        <v>28</v>
      </c>
      <c r="D8828" s="9" t="s">
        <v>13277</v>
      </c>
      <c r="E8828" s="11" t="s">
        <v>28</v>
      </c>
      <c r="F8828" s="10" t="s">
        <v>28</v>
      </c>
      <c r="G8828" s="10">
        <v>0.05</v>
      </c>
      <c r="H8828" s="10" t="s">
        <v>28</v>
      </c>
      <c r="I8828" s="11" t="s">
        <v>28</v>
      </c>
      <c r="J8828" s="11" t="s">
        <v>28</v>
      </c>
      <c r="K8828" s="11" t="s">
        <v>28</v>
      </c>
      <c r="L8828" s="11" t="s">
        <v>28</v>
      </c>
      <c r="M8828" s="11" t="s">
        <v>28</v>
      </c>
      <c r="N8828" s="8">
        <v>42736</v>
      </c>
      <c r="O8828" s="9" t="s">
        <v>52</v>
      </c>
      <c r="P8828" s="12" t="s">
        <v>25377</v>
      </c>
      <c r="Q8828" s="9" t="s">
        <v>583</v>
      </c>
      <c r="R8828" s="14" t="str">
        <f>HYPERLINK("https://my.pitchbook.com?c=98800-39T","View Company Online")</f>
        <v>View Company Online</v>
      </c>
    </row>
    <row r="8829" spans="1:18" hidden="1" x14ac:dyDescent="0.3">
      <c r="A8829" s="15" t="s">
        <v>25378</v>
      </c>
      <c r="B8829" s="15" t="s">
        <v>25379</v>
      </c>
      <c r="C8829" s="18" t="s">
        <v>28</v>
      </c>
      <c r="D8829" s="15" t="s">
        <v>25380</v>
      </c>
      <c r="E8829" s="18" t="s">
        <v>28</v>
      </c>
      <c r="F8829" s="19" t="s">
        <v>28</v>
      </c>
      <c r="G8829" s="19">
        <v>0.03</v>
      </c>
      <c r="H8829" s="19" t="s">
        <v>28</v>
      </c>
      <c r="I8829" s="18" t="s">
        <v>28</v>
      </c>
      <c r="J8829" s="18" t="s">
        <v>28</v>
      </c>
      <c r="K8829" s="18" t="s">
        <v>28</v>
      </c>
      <c r="L8829" s="18" t="s">
        <v>28</v>
      </c>
      <c r="M8829" s="18" t="s">
        <v>28</v>
      </c>
      <c r="N8829" s="17">
        <v>42736</v>
      </c>
      <c r="O8829" s="15" t="s">
        <v>52</v>
      </c>
      <c r="P8829" s="16" t="s">
        <v>25381</v>
      </c>
      <c r="Q8829" s="15" t="s">
        <v>419</v>
      </c>
      <c r="R8829" s="13" t="str">
        <f>HYPERLINK("https://my.pitchbook.com?c=158928-13T","View Company Online")</f>
        <v>View Company Online</v>
      </c>
    </row>
    <row r="8830" spans="1:18" hidden="1" x14ac:dyDescent="0.3">
      <c r="A8830" s="9" t="s">
        <v>25382</v>
      </c>
      <c r="B8830" s="9" t="s">
        <v>3335</v>
      </c>
      <c r="C8830" s="11" t="s">
        <v>28</v>
      </c>
      <c r="D8830" s="9" t="s">
        <v>3336</v>
      </c>
      <c r="E8830" s="11" t="s">
        <v>28</v>
      </c>
      <c r="F8830" s="10" t="s">
        <v>28</v>
      </c>
      <c r="G8830" s="10">
        <v>0.45</v>
      </c>
      <c r="H8830" s="10" t="s">
        <v>28</v>
      </c>
      <c r="I8830" s="11" t="s">
        <v>28</v>
      </c>
      <c r="J8830" s="11" t="s">
        <v>28</v>
      </c>
      <c r="K8830" s="11" t="s">
        <v>28</v>
      </c>
      <c r="L8830" s="11" t="s">
        <v>28</v>
      </c>
      <c r="M8830" s="11" t="s">
        <v>28</v>
      </c>
      <c r="N8830" s="8">
        <v>42736</v>
      </c>
      <c r="O8830" s="9" t="s">
        <v>379</v>
      </c>
      <c r="P8830" s="12" t="s">
        <v>28</v>
      </c>
      <c r="Q8830" s="9" t="s">
        <v>75</v>
      </c>
      <c r="R8830" s="14" t="str">
        <f>HYPERLINK("https://my.pitchbook.com?c=171754-39T","View Company Online")</f>
        <v>View Company Online</v>
      </c>
    </row>
    <row r="8831" spans="1:18" hidden="1" x14ac:dyDescent="0.3">
      <c r="A8831" s="15" t="s">
        <v>25383</v>
      </c>
      <c r="B8831" s="15" t="s">
        <v>5272</v>
      </c>
      <c r="C8831" s="18" t="s">
        <v>28</v>
      </c>
      <c r="D8831" s="15" t="s">
        <v>5273</v>
      </c>
      <c r="E8831" s="18" t="s">
        <v>28</v>
      </c>
      <c r="F8831" s="19" t="s">
        <v>28</v>
      </c>
      <c r="G8831" s="19">
        <v>0.3</v>
      </c>
      <c r="H8831" s="19" t="s">
        <v>28</v>
      </c>
      <c r="I8831" s="18" t="s">
        <v>28</v>
      </c>
      <c r="J8831" s="18" t="s">
        <v>28</v>
      </c>
      <c r="K8831" s="18" t="s">
        <v>28</v>
      </c>
      <c r="L8831" s="18" t="s">
        <v>28</v>
      </c>
      <c r="M8831" s="18" t="s">
        <v>28</v>
      </c>
      <c r="N8831" s="17">
        <v>42736</v>
      </c>
      <c r="O8831" s="15" t="s">
        <v>73</v>
      </c>
      <c r="P8831" s="16" t="s">
        <v>25384</v>
      </c>
      <c r="Q8831" s="15" t="s">
        <v>404</v>
      </c>
      <c r="R8831" s="13" t="str">
        <f>HYPERLINK("https://my.pitchbook.com?c=123136-57T","View Company Online")</f>
        <v>View Company Online</v>
      </c>
    </row>
    <row r="8832" spans="1:18" hidden="1" x14ac:dyDescent="0.3">
      <c r="A8832" s="9" t="s">
        <v>25385</v>
      </c>
      <c r="B8832" s="9" t="s">
        <v>19871</v>
      </c>
      <c r="C8832" s="11" t="s">
        <v>28</v>
      </c>
      <c r="D8832" s="9" t="s">
        <v>19872</v>
      </c>
      <c r="E8832" s="11" t="s">
        <v>28</v>
      </c>
      <c r="F8832" s="10" t="s">
        <v>28</v>
      </c>
      <c r="G8832" s="10" t="s">
        <v>28</v>
      </c>
      <c r="H8832" s="10" t="s">
        <v>28</v>
      </c>
      <c r="I8832" s="11" t="s">
        <v>28</v>
      </c>
      <c r="J8832" s="11" t="s">
        <v>28</v>
      </c>
      <c r="K8832" s="11" t="s">
        <v>28</v>
      </c>
      <c r="L8832" s="11" t="s">
        <v>28</v>
      </c>
      <c r="M8832" s="11" t="s">
        <v>28</v>
      </c>
      <c r="N8832" s="8">
        <v>42736</v>
      </c>
      <c r="O8832" s="9" t="s">
        <v>99</v>
      </c>
      <c r="P8832" s="12" t="s">
        <v>25386</v>
      </c>
      <c r="Q8832" s="9" t="s">
        <v>75</v>
      </c>
      <c r="R8832" s="14" t="str">
        <f>HYPERLINK("https://my.pitchbook.com?c=130556-08T","View Company Online")</f>
        <v>View Company Online</v>
      </c>
    </row>
    <row r="8833" spans="1:18" hidden="1" x14ac:dyDescent="0.3">
      <c r="A8833" s="15" t="s">
        <v>25387</v>
      </c>
      <c r="B8833" s="15" t="s">
        <v>8643</v>
      </c>
      <c r="C8833" s="18" t="s">
        <v>28</v>
      </c>
      <c r="D8833" s="15" t="s">
        <v>15620</v>
      </c>
      <c r="E8833" s="18" t="s">
        <v>28</v>
      </c>
      <c r="F8833" s="19" t="s">
        <v>28</v>
      </c>
      <c r="G8833" s="19">
        <v>13.76</v>
      </c>
      <c r="H8833" s="19">
        <v>55.03</v>
      </c>
      <c r="I8833" s="18" t="s">
        <v>28</v>
      </c>
      <c r="J8833" s="18" t="s">
        <v>28</v>
      </c>
      <c r="K8833" s="18" t="s">
        <v>28</v>
      </c>
      <c r="L8833" s="18" t="s">
        <v>28</v>
      </c>
      <c r="M8833" s="18" t="s">
        <v>28</v>
      </c>
      <c r="N8833" s="17">
        <v>42736</v>
      </c>
      <c r="O8833" s="15" t="s">
        <v>58</v>
      </c>
      <c r="P8833" s="16" t="s">
        <v>28</v>
      </c>
      <c r="Q8833" s="15" t="s">
        <v>424</v>
      </c>
      <c r="R8833" s="13" t="str">
        <f>HYPERLINK("https://my.pitchbook.com?c=107555-14T","View Company Online")</f>
        <v>View Company Online</v>
      </c>
    </row>
    <row r="8834" spans="1:18" hidden="1" x14ac:dyDescent="0.3">
      <c r="A8834" s="9" t="s">
        <v>25388</v>
      </c>
      <c r="B8834" s="9" t="s">
        <v>21334</v>
      </c>
      <c r="C8834" s="11" t="s">
        <v>28</v>
      </c>
      <c r="D8834" s="9" t="s">
        <v>21335</v>
      </c>
      <c r="E8834" s="11" t="s">
        <v>28</v>
      </c>
      <c r="F8834" s="10" t="s">
        <v>28</v>
      </c>
      <c r="G8834" s="10">
        <v>0.05</v>
      </c>
      <c r="H8834" s="10" t="s">
        <v>28</v>
      </c>
      <c r="I8834" s="11" t="s">
        <v>28</v>
      </c>
      <c r="J8834" s="11" t="s">
        <v>28</v>
      </c>
      <c r="K8834" s="11" t="s">
        <v>28</v>
      </c>
      <c r="L8834" s="11" t="s">
        <v>28</v>
      </c>
      <c r="M8834" s="11" t="s">
        <v>28</v>
      </c>
      <c r="N8834" s="8">
        <v>42736</v>
      </c>
      <c r="O8834" s="9" t="s">
        <v>52</v>
      </c>
      <c r="P8834" s="12" t="s">
        <v>2915</v>
      </c>
      <c r="Q8834" s="9" t="s">
        <v>263</v>
      </c>
      <c r="R8834" s="14" t="str">
        <f>HYPERLINK("https://my.pitchbook.com?c=133223-05T","View Company Online")</f>
        <v>View Company Online</v>
      </c>
    </row>
    <row r="8835" spans="1:18" hidden="1" x14ac:dyDescent="0.3">
      <c r="A8835" s="15" t="s">
        <v>25389</v>
      </c>
      <c r="B8835" s="15" t="s">
        <v>25390</v>
      </c>
      <c r="C8835" s="18" t="s">
        <v>28</v>
      </c>
      <c r="D8835" s="15" t="s">
        <v>25391</v>
      </c>
      <c r="E8835" s="18" t="s">
        <v>28</v>
      </c>
      <c r="F8835" s="19" t="s">
        <v>28</v>
      </c>
      <c r="G8835" s="19" t="s">
        <v>28</v>
      </c>
      <c r="H8835" s="19" t="s">
        <v>28</v>
      </c>
      <c r="I8835" s="18" t="s">
        <v>28</v>
      </c>
      <c r="J8835" s="18" t="s">
        <v>28</v>
      </c>
      <c r="K8835" s="18" t="s">
        <v>28</v>
      </c>
      <c r="L8835" s="18" t="s">
        <v>28</v>
      </c>
      <c r="M8835" s="18" t="s">
        <v>28</v>
      </c>
      <c r="N8835" s="17">
        <v>42736</v>
      </c>
      <c r="O8835" s="15" t="s">
        <v>93</v>
      </c>
      <c r="P8835" s="16" t="s">
        <v>25392</v>
      </c>
      <c r="Q8835" s="15" t="s">
        <v>75</v>
      </c>
      <c r="R8835" s="13" t="str">
        <f>HYPERLINK("https://my.pitchbook.com?c=81638-29T","View Company Online")</f>
        <v>View Company Online</v>
      </c>
    </row>
    <row r="8836" spans="1:18" hidden="1" x14ac:dyDescent="0.3">
      <c r="A8836" s="9" t="s">
        <v>25393</v>
      </c>
      <c r="B8836" s="9" t="s">
        <v>8173</v>
      </c>
      <c r="C8836" s="11" t="s">
        <v>28</v>
      </c>
      <c r="D8836" s="9" t="s">
        <v>8174</v>
      </c>
      <c r="E8836" s="11" t="s">
        <v>28</v>
      </c>
      <c r="F8836" s="10" t="s">
        <v>28</v>
      </c>
      <c r="G8836" s="10" t="s">
        <v>28</v>
      </c>
      <c r="H8836" s="10" t="s">
        <v>28</v>
      </c>
      <c r="I8836" s="11" t="s">
        <v>28</v>
      </c>
      <c r="J8836" s="11" t="s">
        <v>28</v>
      </c>
      <c r="K8836" s="11" t="s">
        <v>28</v>
      </c>
      <c r="L8836" s="11" t="s">
        <v>28</v>
      </c>
      <c r="M8836" s="11" t="s">
        <v>28</v>
      </c>
      <c r="N8836" s="8">
        <v>42736</v>
      </c>
      <c r="O8836" s="9" t="s">
        <v>52</v>
      </c>
      <c r="P8836" s="12" t="s">
        <v>8013</v>
      </c>
      <c r="Q8836" s="9" t="s">
        <v>75</v>
      </c>
      <c r="R8836" s="14" t="str">
        <f>HYPERLINK("https://my.pitchbook.com?c=284383-90T","View Company Online")</f>
        <v>View Company Online</v>
      </c>
    </row>
    <row r="8837" spans="1:18" hidden="1" x14ac:dyDescent="0.3">
      <c r="A8837" s="15" t="s">
        <v>25394</v>
      </c>
      <c r="B8837" s="15" t="s">
        <v>19293</v>
      </c>
      <c r="C8837" s="18" t="s">
        <v>28</v>
      </c>
      <c r="D8837" s="15" t="s">
        <v>19294</v>
      </c>
      <c r="E8837" s="18" t="s">
        <v>28</v>
      </c>
      <c r="F8837" s="19" t="s">
        <v>28</v>
      </c>
      <c r="G8837" s="19" t="s">
        <v>28</v>
      </c>
      <c r="H8837" s="19" t="s">
        <v>28</v>
      </c>
      <c r="I8837" s="18" t="s">
        <v>28</v>
      </c>
      <c r="J8837" s="18" t="s">
        <v>28</v>
      </c>
      <c r="K8837" s="18" t="s">
        <v>28</v>
      </c>
      <c r="L8837" s="18" t="s">
        <v>28</v>
      </c>
      <c r="M8837" s="18" t="s">
        <v>28</v>
      </c>
      <c r="N8837" s="17">
        <v>42736</v>
      </c>
      <c r="O8837" s="15" t="s">
        <v>52</v>
      </c>
      <c r="P8837" s="16" t="s">
        <v>17245</v>
      </c>
      <c r="Q8837" s="15" t="s">
        <v>10313</v>
      </c>
      <c r="R8837" s="13" t="str">
        <f>HYPERLINK("https://my.pitchbook.com?c=98758-81T","View Company Online")</f>
        <v>View Company Online</v>
      </c>
    </row>
    <row r="8838" spans="1:18" hidden="1" x14ac:dyDescent="0.3">
      <c r="A8838" s="9" t="s">
        <v>25395</v>
      </c>
      <c r="B8838" s="9" t="s">
        <v>12812</v>
      </c>
      <c r="C8838" s="11" t="s">
        <v>28</v>
      </c>
      <c r="D8838" s="9" t="s">
        <v>12813</v>
      </c>
      <c r="E8838" s="11" t="s">
        <v>28</v>
      </c>
      <c r="F8838" s="10" t="s">
        <v>28</v>
      </c>
      <c r="G8838" s="10" t="s">
        <v>28</v>
      </c>
      <c r="H8838" s="10" t="s">
        <v>28</v>
      </c>
      <c r="I8838" s="11" t="s">
        <v>28</v>
      </c>
      <c r="J8838" s="11" t="s">
        <v>28</v>
      </c>
      <c r="K8838" s="11">
        <v>7.2</v>
      </c>
      <c r="L8838" s="11" t="s">
        <v>28</v>
      </c>
      <c r="M8838" s="11" t="s">
        <v>28</v>
      </c>
      <c r="N8838" s="8">
        <v>42736</v>
      </c>
      <c r="O8838" s="9" t="s">
        <v>99</v>
      </c>
      <c r="P8838" s="12" t="s">
        <v>3430</v>
      </c>
      <c r="Q8838" s="9" t="s">
        <v>419</v>
      </c>
      <c r="R8838" s="14" t="str">
        <f>HYPERLINK("https://my.pitchbook.com?c=212271-85T","View Company Online")</f>
        <v>View Company Online</v>
      </c>
    </row>
    <row r="8839" spans="1:18" hidden="1" x14ac:dyDescent="0.3">
      <c r="A8839" s="15" t="s">
        <v>25396</v>
      </c>
      <c r="B8839" s="15" t="s">
        <v>10790</v>
      </c>
      <c r="C8839" s="18" t="s">
        <v>28</v>
      </c>
      <c r="D8839" s="15" t="s">
        <v>10791</v>
      </c>
      <c r="E8839" s="18" t="s">
        <v>28</v>
      </c>
      <c r="F8839" s="19" t="s">
        <v>28</v>
      </c>
      <c r="G8839" s="19">
        <v>0.03</v>
      </c>
      <c r="H8839" s="19" t="s">
        <v>28</v>
      </c>
      <c r="I8839" s="18" t="s">
        <v>28</v>
      </c>
      <c r="J8839" s="18" t="s">
        <v>28</v>
      </c>
      <c r="K8839" s="18" t="s">
        <v>28</v>
      </c>
      <c r="L8839" s="18" t="s">
        <v>28</v>
      </c>
      <c r="M8839" s="18" t="s">
        <v>28</v>
      </c>
      <c r="N8839" s="17">
        <v>42736</v>
      </c>
      <c r="O8839" s="15" t="s">
        <v>52</v>
      </c>
      <c r="P8839" s="16" t="s">
        <v>25381</v>
      </c>
      <c r="Q8839" s="15" t="s">
        <v>419</v>
      </c>
      <c r="R8839" s="13" t="str">
        <f>HYPERLINK("https://my.pitchbook.com?c=215865-37T","View Company Online")</f>
        <v>View Company Online</v>
      </c>
    </row>
    <row r="8840" spans="1:18" hidden="1" x14ac:dyDescent="0.3">
      <c r="A8840" s="9" t="s">
        <v>25397</v>
      </c>
      <c r="B8840" s="9" t="s">
        <v>25398</v>
      </c>
      <c r="C8840" s="11" t="s">
        <v>28</v>
      </c>
      <c r="D8840" s="9" t="s">
        <v>25399</v>
      </c>
      <c r="E8840" s="11" t="s">
        <v>28</v>
      </c>
      <c r="F8840" s="10" t="s">
        <v>28</v>
      </c>
      <c r="G8840" s="10" t="s">
        <v>28</v>
      </c>
      <c r="H8840" s="10" t="s">
        <v>28</v>
      </c>
      <c r="I8840" s="11" t="s">
        <v>28</v>
      </c>
      <c r="J8840" s="11" t="s">
        <v>28</v>
      </c>
      <c r="K8840" s="11" t="s">
        <v>28</v>
      </c>
      <c r="L8840" s="11" t="s">
        <v>28</v>
      </c>
      <c r="M8840" s="11" t="s">
        <v>28</v>
      </c>
      <c r="N8840" s="8">
        <v>42736</v>
      </c>
      <c r="O8840" s="9" t="s">
        <v>73</v>
      </c>
      <c r="P8840" s="12" t="s">
        <v>25400</v>
      </c>
      <c r="Q8840" s="9" t="s">
        <v>75</v>
      </c>
      <c r="R8840" s="14" t="str">
        <f>HYPERLINK("https://my.pitchbook.com?c=123144-31T","View Company Online")</f>
        <v>View Company Online</v>
      </c>
    </row>
    <row r="8841" spans="1:18" hidden="1" x14ac:dyDescent="0.3">
      <c r="A8841" s="15" t="s">
        <v>25401</v>
      </c>
      <c r="B8841" s="15" t="s">
        <v>25402</v>
      </c>
      <c r="C8841" s="18" t="s">
        <v>28</v>
      </c>
      <c r="D8841" s="15" t="s">
        <v>25403</v>
      </c>
      <c r="E8841" s="18" t="s">
        <v>28</v>
      </c>
      <c r="F8841" s="19" t="s">
        <v>28</v>
      </c>
      <c r="G8841" s="19" t="s">
        <v>28</v>
      </c>
      <c r="H8841" s="19" t="s">
        <v>28</v>
      </c>
      <c r="I8841" s="18" t="s">
        <v>28</v>
      </c>
      <c r="J8841" s="18" t="s">
        <v>28</v>
      </c>
      <c r="K8841" s="18" t="s">
        <v>28</v>
      </c>
      <c r="L8841" s="18" t="s">
        <v>28</v>
      </c>
      <c r="M8841" s="18" t="s">
        <v>28</v>
      </c>
      <c r="N8841" s="17">
        <v>42736</v>
      </c>
      <c r="O8841" s="15" t="s">
        <v>30</v>
      </c>
      <c r="P8841" s="16" t="s">
        <v>17722</v>
      </c>
      <c r="Q8841" s="15" t="s">
        <v>119</v>
      </c>
      <c r="R8841" s="13" t="str">
        <f>HYPERLINK("https://my.pitchbook.com?c=129626-65T","View Company Online")</f>
        <v>View Company Online</v>
      </c>
    </row>
    <row r="8842" spans="1:18" hidden="1" x14ac:dyDescent="0.3">
      <c r="A8842" s="9" t="s">
        <v>25404</v>
      </c>
      <c r="B8842" s="9" t="s">
        <v>15404</v>
      </c>
      <c r="C8842" s="11" t="s">
        <v>28</v>
      </c>
      <c r="D8842" s="9" t="s">
        <v>15405</v>
      </c>
      <c r="E8842" s="11" t="s">
        <v>28</v>
      </c>
      <c r="F8842" s="10" t="s">
        <v>28</v>
      </c>
      <c r="G8842" s="10">
        <v>1.5</v>
      </c>
      <c r="H8842" s="10" t="s">
        <v>28</v>
      </c>
      <c r="I8842" s="11" t="s">
        <v>28</v>
      </c>
      <c r="J8842" s="11" t="s">
        <v>28</v>
      </c>
      <c r="K8842" s="11" t="s">
        <v>28</v>
      </c>
      <c r="L8842" s="11" t="s">
        <v>28</v>
      </c>
      <c r="M8842" s="11" t="s">
        <v>28</v>
      </c>
      <c r="N8842" s="8">
        <v>42736</v>
      </c>
      <c r="O8842" s="9" t="s">
        <v>9098</v>
      </c>
      <c r="P8842" s="12" t="s">
        <v>28</v>
      </c>
      <c r="Q8842" s="9" t="s">
        <v>85</v>
      </c>
      <c r="R8842" s="14" t="str">
        <f>HYPERLINK("https://my.pitchbook.com?c=172682-20T","View Company Online")</f>
        <v>View Company Online</v>
      </c>
    </row>
    <row r="8843" spans="1:18" hidden="1" x14ac:dyDescent="0.3">
      <c r="A8843" s="15" t="s">
        <v>25405</v>
      </c>
      <c r="B8843" s="15" t="s">
        <v>25406</v>
      </c>
      <c r="C8843" s="18" t="s">
        <v>28</v>
      </c>
      <c r="D8843" s="15" t="s">
        <v>25407</v>
      </c>
      <c r="E8843" s="18" t="s">
        <v>28</v>
      </c>
      <c r="F8843" s="19" t="s">
        <v>28</v>
      </c>
      <c r="G8843" s="19" t="s">
        <v>28</v>
      </c>
      <c r="H8843" s="19" t="s">
        <v>28</v>
      </c>
      <c r="I8843" s="18" t="s">
        <v>28</v>
      </c>
      <c r="J8843" s="18" t="s">
        <v>28</v>
      </c>
      <c r="K8843" s="18" t="s">
        <v>28</v>
      </c>
      <c r="L8843" s="18" t="s">
        <v>28</v>
      </c>
      <c r="M8843" s="18" t="s">
        <v>28</v>
      </c>
      <c r="N8843" s="17">
        <v>42736</v>
      </c>
      <c r="O8843" s="15" t="s">
        <v>52</v>
      </c>
      <c r="P8843" s="16" t="s">
        <v>2830</v>
      </c>
      <c r="Q8843" s="15" t="s">
        <v>75</v>
      </c>
      <c r="R8843" s="13" t="str">
        <f>HYPERLINK("https://my.pitchbook.com?c=266621-14T","View Company Online")</f>
        <v>View Company Online</v>
      </c>
    </row>
    <row r="8844" spans="1:18" hidden="1" x14ac:dyDescent="0.3">
      <c r="A8844" s="9" t="s">
        <v>25408</v>
      </c>
      <c r="B8844" s="9" t="s">
        <v>25409</v>
      </c>
      <c r="C8844" s="11" t="s">
        <v>28</v>
      </c>
      <c r="D8844" s="9" t="s">
        <v>25410</v>
      </c>
      <c r="E8844" s="11" t="s">
        <v>28</v>
      </c>
      <c r="F8844" s="10" t="s">
        <v>28</v>
      </c>
      <c r="G8844" s="10" t="s">
        <v>28</v>
      </c>
      <c r="H8844" s="10" t="s">
        <v>28</v>
      </c>
      <c r="I8844" s="11" t="s">
        <v>28</v>
      </c>
      <c r="J8844" s="11" t="s">
        <v>28</v>
      </c>
      <c r="K8844" s="11" t="s">
        <v>28</v>
      </c>
      <c r="L8844" s="11" t="s">
        <v>28</v>
      </c>
      <c r="M8844" s="11" t="s">
        <v>28</v>
      </c>
      <c r="N8844" s="8">
        <v>42736</v>
      </c>
      <c r="O8844" s="9" t="s">
        <v>73</v>
      </c>
      <c r="P8844" s="12" t="s">
        <v>20225</v>
      </c>
      <c r="Q8844" s="9" t="s">
        <v>75</v>
      </c>
      <c r="R8844" s="14" t="str">
        <f>HYPERLINK("https://my.pitchbook.com?c=123282-28T","View Company Online")</f>
        <v>View Company Online</v>
      </c>
    </row>
    <row r="8845" spans="1:18" hidden="1" x14ac:dyDescent="0.3">
      <c r="A8845" s="15" t="s">
        <v>25411</v>
      </c>
      <c r="B8845" s="15" t="s">
        <v>12964</v>
      </c>
      <c r="C8845" s="18" t="s">
        <v>28</v>
      </c>
      <c r="D8845" s="15" t="s">
        <v>12965</v>
      </c>
      <c r="E8845" s="18" t="s">
        <v>28</v>
      </c>
      <c r="F8845" s="19" t="s">
        <v>28</v>
      </c>
      <c r="G8845" s="19">
        <v>0.6</v>
      </c>
      <c r="H8845" s="19" t="s">
        <v>28</v>
      </c>
      <c r="I8845" s="18" t="s">
        <v>28</v>
      </c>
      <c r="J8845" s="18" t="s">
        <v>28</v>
      </c>
      <c r="K8845" s="18" t="s">
        <v>28</v>
      </c>
      <c r="L8845" s="18" t="s">
        <v>28</v>
      </c>
      <c r="M8845" s="18" t="s">
        <v>28</v>
      </c>
      <c r="N8845" s="17">
        <v>42736</v>
      </c>
      <c r="O8845" s="15" t="s">
        <v>379</v>
      </c>
      <c r="P8845" s="16" t="s">
        <v>28</v>
      </c>
      <c r="Q8845" s="15" t="s">
        <v>1179</v>
      </c>
      <c r="R8845" s="13" t="str">
        <f>HYPERLINK("https://my.pitchbook.com?c=180524-89T","View Company Online")</f>
        <v>View Company Online</v>
      </c>
    </row>
    <row r="8846" spans="1:18" hidden="1" x14ac:dyDescent="0.3">
      <c r="A8846" s="9" t="s">
        <v>25412</v>
      </c>
      <c r="B8846" s="9" t="s">
        <v>15301</v>
      </c>
      <c r="C8846" s="11" t="s">
        <v>28</v>
      </c>
      <c r="D8846" s="9" t="s">
        <v>15302</v>
      </c>
      <c r="E8846" s="11" t="s">
        <v>28</v>
      </c>
      <c r="F8846" s="10" t="s">
        <v>28</v>
      </c>
      <c r="G8846" s="10" t="s">
        <v>28</v>
      </c>
      <c r="H8846" s="10" t="s">
        <v>28</v>
      </c>
      <c r="I8846" s="11" t="s">
        <v>28</v>
      </c>
      <c r="J8846" s="11" t="s">
        <v>28</v>
      </c>
      <c r="K8846" s="11" t="s">
        <v>28</v>
      </c>
      <c r="L8846" s="11" t="s">
        <v>28</v>
      </c>
      <c r="M8846" s="11" t="s">
        <v>28</v>
      </c>
      <c r="N8846" s="8">
        <v>42736</v>
      </c>
      <c r="O8846" s="9" t="s">
        <v>52</v>
      </c>
      <c r="P8846" s="12" t="s">
        <v>2830</v>
      </c>
      <c r="Q8846" s="9" t="s">
        <v>75</v>
      </c>
      <c r="R8846" s="14" t="str">
        <f>HYPERLINK("https://my.pitchbook.com?c=261619-48T","View Company Online")</f>
        <v>View Company Online</v>
      </c>
    </row>
    <row r="8847" spans="1:18" hidden="1" x14ac:dyDescent="0.3">
      <c r="A8847" s="15" t="s">
        <v>25413</v>
      </c>
      <c r="B8847" s="15" t="s">
        <v>4211</v>
      </c>
      <c r="C8847" s="18" t="s">
        <v>28</v>
      </c>
      <c r="D8847" s="15" t="s">
        <v>4212</v>
      </c>
      <c r="E8847" s="18" t="s">
        <v>28</v>
      </c>
      <c r="F8847" s="19" t="s">
        <v>28</v>
      </c>
      <c r="G8847" s="19" t="s">
        <v>28</v>
      </c>
      <c r="H8847" s="19" t="s">
        <v>28</v>
      </c>
      <c r="I8847" s="18" t="s">
        <v>28</v>
      </c>
      <c r="J8847" s="18" t="s">
        <v>28</v>
      </c>
      <c r="K8847" s="18" t="s">
        <v>28</v>
      </c>
      <c r="L8847" s="18" t="s">
        <v>28</v>
      </c>
      <c r="M8847" s="18" t="s">
        <v>28</v>
      </c>
      <c r="N8847" s="17">
        <v>42735</v>
      </c>
      <c r="O8847" s="15" t="s">
        <v>73</v>
      </c>
      <c r="P8847" s="16" t="s">
        <v>25414</v>
      </c>
      <c r="Q8847" s="15" t="s">
        <v>386</v>
      </c>
      <c r="R8847" s="13" t="str">
        <f>HYPERLINK("https://my.pitchbook.com?c=177135-49T","View Company Online")</f>
        <v>View Company Online</v>
      </c>
    </row>
    <row r="8848" spans="1:18" hidden="1" x14ac:dyDescent="0.3">
      <c r="A8848" s="9" t="s">
        <v>25415</v>
      </c>
      <c r="B8848" s="9" t="s">
        <v>3877</v>
      </c>
      <c r="C8848" s="11" t="s">
        <v>28</v>
      </c>
      <c r="D8848" s="9" t="s">
        <v>3878</v>
      </c>
      <c r="E8848" s="11" t="s">
        <v>28</v>
      </c>
      <c r="F8848" s="10" t="s">
        <v>28</v>
      </c>
      <c r="G8848" s="10">
        <v>0.15</v>
      </c>
      <c r="H8848" s="10" t="s">
        <v>28</v>
      </c>
      <c r="I8848" s="11" t="s">
        <v>28</v>
      </c>
      <c r="J8848" s="11" t="s">
        <v>28</v>
      </c>
      <c r="K8848" s="11" t="s">
        <v>28</v>
      </c>
      <c r="L8848" s="11" t="s">
        <v>28</v>
      </c>
      <c r="M8848" s="11" t="s">
        <v>28</v>
      </c>
      <c r="N8848" s="8">
        <v>42735</v>
      </c>
      <c r="O8848" s="9" t="s">
        <v>52</v>
      </c>
      <c r="P8848" s="12" t="s">
        <v>20983</v>
      </c>
      <c r="Q8848" s="9" t="s">
        <v>75</v>
      </c>
      <c r="R8848" s="14" t="str">
        <f>HYPERLINK("https://my.pitchbook.com?c=106811-38T","View Company Online")</f>
        <v>View Company Online</v>
      </c>
    </row>
    <row r="8849" spans="1:18" hidden="1" x14ac:dyDescent="0.3">
      <c r="A8849" s="15" t="s">
        <v>25416</v>
      </c>
      <c r="B8849" s="15" t="s">
        <v>25417</v>
      </c>
      <c r="C8849" s="18" t="s">
        <v>28</v>
      </c>
      <c r="D8849" s="15" t="s">
        <v>25418</v>
      </c>
      <c r="E8849" s="18" t="s">
        <v>28</v>
      </c>
      <c r="F8849" s="19">
        <v>411.42</v>
      </c>
      <c r="G8849" s="19">
        <v>411.42</v>
      </c>
      <c r="H8849" s="19">
        <v>411.42</v>
      </c>
      <c r="I8849" s="18" t="s">
        <v>28</v>
      </c>
      <c r="J8849" s="18" t="s">
        <v>28</v>
      </c>
      <c r="K8849" s="18">
        <v>172.74</v>
      </c>
      <c r="L8849" s="18">
        <v>2.38</v>
      </c>
      <c r="M8849" s="18" t="s">
        <v>28</v>
      </c>
      <c r="N8849" s="17">
        <v>42735</v>
      </c>
      <c r="O8849" s="15" t="s">
        <v>30</v>
      </c>
      <c r="P8849" s="16" t="s">
        <v>25419</v>
      </c>
      <c r="Q8849" s="15" t="s">
        <v>136</v>
      </c>
      <c r="R8849" s="13" t="str">
        <f>HYPERLINK("https://my.pitchbook.com?c=76992-94T","View Company Online")</f>
        <v>View Company Online</v>
      </c>
    </row>
    <row r="8850" spans="1:18" hidden="1" x14ac:dyDescent="0.3">
      <c r="A8850" s="9" t="s">
        <v>25420</v>
      </c>
      <c r="B8850" s="9" t="s">
        <v>25421</v>
      </c>
      <c r="C8850" s="11" t="s">
        <v>28</v>
      </c>
      <c r="D8850" s="9" t="s">
        <v>25422</v>
      </c>
      <c r="E8850" s="11" t="s">
        <v>28</v>
      </c>
      <c r="F8850" s="10" t="s">
        <v>28</v>
      </c>
      <c r="G8850" s="10" t="s">
        <v>28</v>
      </c>
      <c r="H8850" s="10" t="s">
        <v>28</v>
      </c>
      <c r="I8850" s="11" t="s">
        <v>28</v>
      </c>
      <c r="J8850" s="11" t="s">
        <v>28</v>
      </c>
      <c r="K8850" s="11" t="s">
        <v>28</v>
      </c>
      <c r="L8850" s="11" t="s">
        <v>28</v>
      </c>
      <c r="M8850" s="11" t="s">
        <v>28</v>
      </c>
      <c r="N8850" s="8">
        <v>42734</v>
      </c>
      <c r="O8850" s="9" t="s">
        <v>41</v>
      </c>
      <c r="P8850" s="12" t="s">
        <v>25423</v>
      </c>
      <c r="Q8850" s="9" t="s">
        <v>616</v>
      </c>
      <c r="R8850" s="14" t="str">
        <f>HYPERLINK("https://my.pitchbook.com?c=77304-07T","View Company Online")</f>
        <v>View Company Online</v>
      </c>
    </row>
    <row r="8851" spans="1:18" hidden="1" x14ac:dyDescent="0.3">
      <c r="A8851" s="15" t="s">
        <v>25424</v>
      </c>
      <c r="B8851" s="15" t="s">
        <v>25425</v>
      </c>
      <c r="C8851" s="18" t="s">
        <v>28</v>
      </c>
      <c r="D8851" s="15" t="s">
        <v>25426</v>
      </c>
      <c r="E8851" s="18" t="s">
        <v>28</v>
      </c>
      <c r="F8851" s="19">
        <v>90</v>
      </c>
      <c r="G8851" s="19">
        <v>90</v>
      </c>
      <c r="H8851" s="19">
        <v>90</v>
      </c>
      <c r="I8851" s="18" t="s">
        <v>28</v>
      </c>
      <c r="J8851" s="18" t="s">
        <v>28</v>
      </c>
      <c r="K8851" s="18" t="s">
        <v>28</v>
      </c>
      <c r="L8851" s="18" t="s">
        <v>28</v>
      </c>
      <c r="M8851" s="18" t="s">
        <v>28</v>
      </c>
      <c r="N8851" s="17">
        <v>42733</v>
      </c>
      <c r="O8851" s="15" t="s">
        <v>41</v>
      </c>
      <c r="P8851" s="16" t="s">
        <v>25427</v>
      </c>
      <c r="Q8851" s="15" t="s">
        <v>1007</v>
      </c>
      <c r="R8851" s="13" t="str">
        <f>HYPERLINK("https://my.pitchbook.com?c=99020-98T","View Company Online")</f>
        <v>View Company Online</v>
      </c>
    </row>
    <row r="8852" spans="1:18" hidden="1" x14ac:dyDescent="0.3">
      <c r="A8852" s="9" t="s">
        <v>25428</v>
      </c>
      <c r="B8852" s="9" t="s">
        <v>25429</v>
      </c>
      <c r="C8852" s="11" t="s">
        <v>28</v>
      </c>
      <c r="D8852" s="9" t="s">
        <v>25430</v>
      </c>
      <c r="E8852" s="11" t="s">
        <v>28</v>
      </c>
      <c r="F8852" s="10">
        <v>12.18</v>
      </c>
      <c r="G8852" s="10">
        <v>12.18</v>
      </c>
      <c r="H8852" s="10">
        <v>12.18</v>
      </c>
      <c r="I8852" s="11" t="s">
        <v>28</v>
      </c>
      <c r="J8852" s="11" t="s">
        <v>28</v>
      </c>
      <c r="K8852" s="11">
        <v>28.79</v>
      </c>
      <c r="L8852" s="11">
        <v>0.42</v>
      </c>
      <c r="M8852" s="11" t="s">
        <v>28</v>
      </c>
      <c r="N8852" s="8">
        <v>42733</v>
      </c>
      <c r="O8852" s="9" t="s">
        <v>30</v>
      </c>
      <c r="P8852" s="12" t="s">
        <v>5722</v>
      </c>
      <c r="Q8852" s="9" t="s">
        <v>43</v>
      </c>
      <c r="R8852" s="14" t="str">
        <f>HYPERLINK("https://my.pitchbook.com?c=110990-71T","View Company Online")</f>
        <v>View Company Online</v>
      </c>
    </row>
    <row r="8853" spans="1:18" hidden="1" x14ac:dyDescent="0.3">
      <c r="A8853" s="15" t="s">
        <v>25431</v>
      </c>
      <c r="B8853" s="15" t="s">
        <v>25432</v>
      </c>
      <c r="C8853" s="18" t="s">
        <v>28</v>
      </c>
      <c r="D8853" s="15" t="s">
        <v>25433</v>
      </c>
      <c r="E8853" s="18" t="s">
        <v>28</v>
      </c>
      <c r="F8853" s="19" t="s">
        <v>28</v>
      </c>
      <c r="G8853" s="19">
        <v>29.71</v>
      </c>
      <c r="H8853" s="19" t="s">
        <v>28</v>
      </c>
      <c r="I8853" s="18" t="s">
        <v>28</v>
      </c>
      <c r="J8853" s="18" t="s">
        <v>28</v>
      </c>
      <c r="K8853" s="18" t="s">
        <v>28</v>
      </c>
      <c r="L8853" s="18" t="s">
        <v>28</v>
      </c>
      <c r="M8853" s="18" t="s">
        <v>28</v>
      </c>
      <c r="N8853" s="17">
        <v>42733</v>
      </c>
      <c r="O8853" s="15" t="s">
        <v>93</v>
      </c>
      <c r="P8853" s="16" t="s">
        <v>25434</v>
      </c>
      <c r="Q8853" s="15" t="s">
        <v>245</v>
      </c>
      <c r="R8853" s="13" t="str">
        <f>HYPERLINK("https://my.pitchbook.com?c=81942-49T","View Company Online")</f>
        <v>View Company Online</v>
      </c>
    </row>
    <row r="8854" spans="1:18" hidden="1" x14ac:dyDescent="0.3">
      <c r="A8854" s="9" t="s">
        <v>25435</v>
      </c>
      <c r="B8854" s="9" t="s">
        <v>8728</v>
      </c>
      <c r="C8854" s="11" t="s">
        <v>28</v>
      </c>
      <c r="D8854" s="9" t="s">
        <v>8729</v>
      </c>
      <c r="E8854" s="11" t="s">
        <v>28</v>
      </c>
      <c r="F8854" s="10" t="s">
        <v>28</v>
      </c>
      <c r="G8854" s="10">
        <v>0.05</v>
      </c>
      <c r="H8854" s="10" t="s">
        <v>28</v>
      </c>
      <c r="I8854" s="11" t="s">
        <v>28</v>
      </c>
      <c r="J8854" s="11" t="s">
        <v>28</v>
      </c>
      <c r="K8854" s="11" t="s">
        <v>28</v>
      </c>
      <c r="L8854" s="11" t="s">
        <v>28</v>
      </c>
      <c r="M8854" s="11" t="s">
        <v>28</v>
      </c>
      <c r="N8854" s="8">
        <v>42732</v>
      </c>
      <c r="O8854" s="9" t="s">
        <v>52</v>
      </c>
      <c r="P8854" s="12" t="s">
        <v>1792</v>
      </c>
      <c r="Q8854" s="9" t="s">
        <v>37</v>
      </c>
      <c r="R8854" s="14" t="str">
        <f>HYPERLINK("https://my.pitchbook.com?c=102894-40T","View Company Online")</f>
        <v>View Company Online</v>
      </c>
    </row>
    <row r="8855" spans="1:18" hidden="1" x14ac:dyDescent="0.3">
      <c r="A8855" s="15" t="s">
        <v>25436</v>
      </c>
      <c r="B8855" s="15" t="s">
        <v>25437</v>
      </c>
      <c r="C8855" s="18" t="s">
        <v>28</v>
      </c>
      <c r="D8855" s="15" t="s">
        <v>25438</v>
      </c>
      <c r="E8855" s="18" t="s">
        <v>28</v>
      </c>
      <c r="F8855" s="19" t="s">
        <v>28</v>
      </c>
      <c r="G8855" s="19">
        <v>0.03</v>
      </c>
      <c r="H8855" s="19" t="s">
        <v>28</v>
      </c>
      <c r="I8855" s="18" t="s">
        <v>28</v>
      </c>
      <c r="J8855" s="18" t="s">
        <v>28</v>
      </c>
      <c r="K8855" s="18" t="s">
        <v>28</v>
      </c>
      <c r="L8855" s="18" t="s">
        <v>28</v>
      </c>
      <c r="M8855" s="18" t="s">
        <v>28</v>
      </c>
      <c r="N8855" s="17">
        <v>42732</v>
      </c>
      <c r="O8855" s="15" t="s">
        <v>52</v>
      </c>
      <c r="P8855" s="16" t="s">
        <v>1792</v>
      </c>
      <c r="Q8855" s="15" t="s">
        <v>75</v>
      </c>
      <c r="R8855" s="13" t="str">
        <f>HYPERLINK("https://my.pitchbook.com?c=122872-78T","View Company Online")</f>
        <v>View Company Online</v>
      </c>
    </row>
    <row r="8856" spans="1:18" hidden="1" x14ac:dyDescent="0.3">
      <c r="A8856" s="9" t="s">
        <v>25439</v>
      </c>
      <c r="B8856" s="9" t="s">
        <v>5931</v>
      </c>
      <c r="C8856" s="11" t="s">
        <v>28</v>
      </c>
      <c r="D8856" s="9" t="s">
        <v>5932</v>
      </c>
      <c r="E8856" s="11" t="s">
        <v>28</v>
      </c>
      <c r="F8856" s="10" t="s">
        <v>28</v>
      </c>
      <c r="G8856" s="10">
        <v>0.15</v>
      </c>
      <c r="H8856" s="10" t="s">
        <v>28</v>
      </c>
      <c r="I8856" s="11" t="s">
        <v>28</v>
      </c>
      <c r="J8856" s="11" t="s">
        <v>28</v>
      </c>
      <c r="K8856" s="11" t="s">
        <v>28</v>
      </c>
      <c r="L8856" s="11" t="s">
        <v>28</v>
      </c>
      <c r="M8856" s="11" t="s">
        <v>28</v>
      </c>
      <c r="N8856" s="8">
        <v>42732</v>
      </c>
      <c r="O8856" s="9" t="s">
        <v>99</v>
      </c>
      <c r="P8856" s="12" t="s">
        <v>2032</v>
      </c>
      <c r="Q8856" s="9" t="s">
        <v>75</v>
      </c>
      <c r="R8856" s="14" t="str">
        <f>HYPERLINK("https://my.pitchbook.com?c=241908-85T","View Company Online")</f>
        <v>View Company Online</v>
      </c>
    </row>
    <row r="8857" spans="1:18" hidden="1" x14ac:dyDescent="0.3">
      <c r="A8857" s="15" t="s">
        <v>25440</v>
      </c>
      <c r="B8857" s="15" t="s">
        <v>25441</v>
      </c>
      <c r="C8857" s="18" t="s">
        <v>28</v>
      </c>
      <c r="D8857" s="15" t="s">
        <v>25442</v>
      </c>
      <c r="E8857" s="18" t="s">
        <v>28</v>
      </c>
      <c r="F8857" s="19" t="s">
        <v>28</v>
      </c>
      <c r="G8857" s="19" t="s">
        <v>28</v>
      </c>
      <c r="H8857" s="19" t="s">
        <v>28</v>
      </c>
      <c r="I8857" s="18" t="s">
        <v>28</v>
      </c>
      <c r="J8857" s="18" t="s">
        <v>28</v>
      </c>
      <c r="K8857" s="18">
        <v>7.2</v>
      </c>
      <c r="L8857" s="18" t="s">
        <v>28</v>
      </c>
      <c r="M8857" s="18" t="s">
        <v>28</v>
      </c>
      <c r="N8857" s="17">
        <v>42731</v>
      </c>
      <c r="O8857" s="15" t="s">
        <v>30</v>
      </c>
      <c r="P8857" s="16" t="s">
        <v>25443</v>
      </c>
      <c r="Q8857" s="15" t="s">
        <v>8995</v>
      </c>
      <c r="R8857" s="13" t="str">
        <f>HYPERLINK("https://my.pitchbook.com?c=100171-09T","View Company Online")</f>
        <v>View Company Online</v>
      </c>
    </row>
    <row r="8858" spans="1:18" hidden="1" x14ac:dyDescent="0.3">
      <c r="A8858" s="9" t="s">
        <v>25444</v>
      </c>
      <c r="B8858" s="9" t="s">
        <v>25445</v>
      </c>
      <c r="C8858" s="11" t="s">
        <v>28</v>
      </c>
      <c r="D8858" s="9" t="s">
        <v>25446</v>
      </c>
      <c r="E8858" s="11" t="s">
        <v>28</v>
      </c>
      <c r="F8858" s="10">
        <v>14.49</v>
      </c>
      <c r="G8858" s="10">
        <v>14.49</v>
      </c>
      <c r="H8858" s="10">
        <v>14.49</v>
      </c>
      <c r="I8858" s="11" t="s">
        <v>28</v>
      </c>
      <c r="J8858" s="11" t="s">
        <v>28</v>
      </c>
      <c r="K8858" s="11" t="s">
        <v>28</v>
      </c>
      <c r="L8858" s="11" t="s">
        <v>28</v>
      </c>
      <c r="M8858" s="11" t="s">
        <v>28</v>
      </c>
      <c r="N8858" s="8">
        <v>42731</v>
      </c>
      <c r="O8858" s="9" t="s">
        <v>30</v>
      </c>
      <c r="P8858" s="12" t="s">
        <v>25447</v>
      </c>
      <c r="Q8858" s="9" t="s">
        <v>213</v>
      </c>
      <c r="R8858" s="14" t="str">
        <f>HYPERLINK("https://my.pitchbook.com?c=80385-49T","View Company Online")</f>
        <v>View Company Online</v>
      </c>
    </row>
    <row r="8859" spans="1:18" hidden="1" x14ac:dyDescent="0.3">
      <c r="A8859" s="15" t="s">
        <v>25448</v>
      </c>
      <c r="B8859" s="15" t="s">
        <v>25449</v>
      </c>
      <c r="C8859" s="18" t="s">
        <v>28</v>
      </c>
      <c r="D8859" s="15" t="s">
        <v>25450</v>
      </c>
      <c r="E8859" s="18" t="s">
        <v>28</v>
      </c>
      <c r="F8859" s="19" t="s">
        <v>28</v>
      </c>
      <c r="G8859" s="19" t="s">
        <v>28</v>
      </c>
      <c r="H8859" s="19" t="s">
        <v>28</v>
      </c>
      <c r="I8859" s="18" t="s">
        <v>28</v>
      </c>
      <c r="J8859" s="18" t="s">
        <v>28</v>
      </c>
      <c r="K8859" s="18" t="s">
        <v>28</v>
      </c>
      <c r="L8859" s="18" t="s">
        <v>28</v>
      </c>
      <c r="M8859" s="18" t="s">
        <v>28</v>
      </c>
      <c r="N8859" s="17">
        <v>42730</v>
      </c>
      <c r="O8859" s="15" t="s">
        <v>30</v>
      </c>
      <c r="P8859" s="16" t="s">
        <v>25451</v>
      </c>
      <c r="Q8859" s="15" t="s">
        <v>353</v>
      </c>
      <c r="R8859" s="13" t="str">
        <f>HYPERLINK("https://my.pitchbook.com?c=81264-16T","View Company Online")</f>
        <v>View Company Online</v>
      </c>
    </row>
    <row r="8860" spans="1:18" hidden="1" x14ac:dyDescent="0.3">
      <c r="A8860" s="9" t="s">
        <v>25452</v>
      </c>
      <c r="B8860" s="9" t="s">
        <v>25453</v>
      </c>
      <c r="C8860" s="11" t="s">
        <v>28</v>
      </c>
      <c r="D8860" s="9" t="s">
        <v>25454</v>
      </c>
      <c r="E8860" s="11" t="s">
        <v>28</v>
      </c>
      <c r="F8860" s="10">
        <v>0.15</v>
      </c>
      <c r="G8860" s="10">
        <v>0.15</v>
      </c>
      <c r="H8860" s="10">
        <v>0.15</v>
      </c>
      <c r="I8860" s="11" t="s">
        <v>28</v>
      </c>
      <c r="J8860" s="11" t="s">
        <v>28</v>
      </c>
      <c r="K8860" s="11" t="s">
        <v>28</v>
      </c>
      <c r="L8860" s="11" t="s">
        <v>28</v>
      </c>
      <c r="M8860" s="11" t="s">
        <v>28</v>
      </c>
      <c r="N8860" s="8">
        <v>42728</v>
      </c>
      <c r="O8860" s="9" t="s">
        <v>30</v>
      </c>
      <c r="P8860" s="12" t="s">
        <v>25455</v>
      </c>
      <c r="Q8860" s="9" t="s">
        <v>3912</v>
      </c>
      <c r="R8860" s="14" t="str">
        <f>HYPERLINK("https://my.pitchbook.com?c=111596-77T","View Company Online")</f>
        <v>View Company Online</v>
      </c>
    </row>
    <row r="8861" spans="1:18" hidden="1" x14ac:dyDescent="0.3">
      <c r="A8861" s="15" t="s">
        <v>25456</v>
      </c>
      <c r="B8861" s="15" t="s">
        <v>25437</v>
      </c>
      <c r="C8861" s="18" t="s">
        <v>28</v>
      </c>
      <c r="D8861" s="15" t="s">
        <v>25438</v>
      </c>
      <c r="E8861" s="18" t="s">
        <v>28</v>
      </c>
      <c r="F8861" s="19" t="s">
        <v>28</v>
      </c>
      <c r="G8861" s="19" t="s">
        <v>28</v>
      </c>
      <c r="H8861" s="19" t="s">
        <v>28</v>
      </c>
      <c r="I8861" s="18" t="s">
        <v>28</v>
      </c>
      <c r="J8861" s="18" t="s">
        <v>28</v>
      </c>
      <c r="K8861" s="18" t="s">
        <v>28</v>
      </c>
      <c r="L8861" s="18" t="s">
        <v>28</v>
      </c>
      <c r="M8861" s="18" t="s">
        <v>28</v>
      </c>
      <c r="N8861" s="17">
        <v>42727</v>
      </c>
      <c r="O8861" s="15" t="s">
        <v>73</v>
      </c>
      <c r="P8861" s="16" t="s">
        <v>25457</v>
      </c>
      <c r="Q8861" s="15" t="s">
        <v>75</v>
      </c>
      <c r="R8861" s="13" t="str">
        <f>HYPERLINK("https://my.pitchbook.com?c=132153-85T","View Company Online")</f>
        <v>View Company Online</v>
      </c>
    </row>
    <row r="8862" spans="1:18" hidden="1" x14ac:dyDescent="0.3">
      <c r="A8862" s="9" t="s">
        <v>25458</v>
      </c>
      <c r="B8862" s="9" t="s">
        <v>25459</v>
      </c>
      <c r="C8862" s="11" t="s">
        <v>28</v>
      </c>
      <c r="D8862" s="9" t="s">
        <v>25460</v>
      </c>
      <c r="E8862" s="11" t="s">
        <v>28</v>
      </c>
      <c r="F8862" s="10">
        <v>70</v>
      </c>
      <c r="G8862" s="10">
        <v>70</v>
      </c>
      <c r="H8862" s="10">
        <v>70</v>
      </c>
      <c r="I8862" s="11" t="s">
        <v>28</v>
      </c>
      <c r="J8862" s="11" t="s">
        <v>28</v>
      </c>
      <c r="K8862" s="11" t="s">
        <v>28</v>
      </c>
      <c r="L8862" s="11" t="s">
        <v>28</v>
      </c>
      <c r="M8862" s="11" t="s">
        <v>28</v>
      </c>
      <c r="N8862" s="8">
        <v>42727</v>
      </c>
      <c r="O8862" s="9" t="s">
        <v>30</v>
      </c>
      <c r="P8862" s="12" t="s">
        <v>25461</v>
      </c>
      <c r="Q8862" s="9" t="s">
        <v>85</v>
      </c>
      <c r="R8862" s="14" t="str">
        <f>HYPERLINK("https://my.pitchbook.com?c=76939-57T","View Company Online")</f>
        <v>View Company Online</v>
      </c>
    </row>
    <row r="8863" spans="1:18" hidden="1" x14ac:dyDescent="0.3">
      <c r="A8863" s="15" t="s">
        <v>25462</v>
      </c>
      <c r="B8863" s="15" t="s">
        <v>25463</v>
      </c>
      <c r="C8863" s="18" t="s">
        <v>28</v>
      </c>
      <c r="D8863" s="15" t="s">
        <v>25464</v>
      </c>
      <c r="E8863" s="18" t="s">
        <v>28</v>
      </c>
      <c r="F8863" s="19" t="s">
        <v>28</v>
      </c>
      <c r="G8863" s="19" t="s">
        <v>28</v>
      </c>
      <c r="H8863" s="19" t="s">
        <v>28</v>
      </c>
      <c r="I8863" s="18" t="s">
        <v>28</v>
      </c>
      <c r="J8863" s="18" t="s">
        <v>28</v>
      </c>
      <c r="K8863" s="18" t="s">
        <v>28</v>
      </c>
      <c r="L8863" s="18" t="s">
        <v>28</v>
      </c>
      <c r="M8863" s="18" t="s">
        <v>28</v>
      </c>
      <c r="N8863" s="17">
        <v>42727</v>
      </c>
      <c r="O8863" s="15" t="s">
        <v>30</v>
      </c>
      <c r="P8863" s="16" t="s">
        <v>10621</v>
      </c>
      <c r="Q8863" s="15" t="s">
        <v>404</v>
      </c>
      <c r="R8863" s="13" t="str">
        <f>HYPERLINK("https://my.pitchbook.com?c=111265-30T","View Company Online")</f>
        <v>View Company Online</v>
      </c>
    </row>
    <row r="8864" spans="1:18" hidden="1" x14ac:dyDescent="0.3">
      <c r="A8864" s="9" t="s">
        <v>25465</v>
      </c>
      <c r="B8864" s="9" t="s">
        <v>25466</v>
      </c>
      <c r="C8864" s="11" t="s">
        <v>28</v>
      </c>
      <c r="D8864" s="9" t="s">
        <v>25467</v>
      </c>
      <c r="E8864" s="11" t="s">
        <v>28</v>
      </c>
      <c r="F8864" s="10" t="s">
        <v>28</v>
      </c>
      <c r="G8864" s="10" t="s">
        <v>28</v>
      </c>
      <c r="H8864" s="10" t="s">
        <v>28</v>
      </c>
      <c r="I8864" s="11" t="s">
        <v>28</v>
      </c>
      <c r="J8864" s="11" t="s">
        <v>28</v>
      </c>
      <c r="K8864" s="11" t="s">
        <v>28</v>
      </c>
      <c r="L8864" s="11" t="s">
        <v>28</v>
      </c>
      <c r="M8864" s="11" t="s">
        <v>28</v>
      </c>
      <c r="N8864" s="8">
        <v>42726</v>
      </c>
      <c r="O8864" s="9" t="s">
        <v>41</v>
      </c>
      <c r="P8864" s="12" t="s">
        <v>25468</v>
      </c>
      <c r="Q8864" s="9" t="s">
        <v>43</v>
      </c>
      <c r="R8864" s="14" t="str">
        <f>HYPERLINK("https://my.pitchbook.com?c=80422-03T","View Company Online")</f>
        <v>View Company Online</v>
      </c>
    </row>
    <row r="8865" spans="1:18" hidden="1" x14ac:dyDescent="0.3">
      <c r="A8865" s="15" t="s">
        <v>25469</v>
      </c>
      <c r="B8865" s="15" t="s">
        <v>4089</v>
      </c>
      <c r="C8865" s="18" t="s">
        <v>28</v>
      </c>
      <c r="D8865" s="15" t="s">
        <v>4090</v>
      </c>
      <c r="E8865" s="18" t="s">
        <v>28</v>
      </c>
      <c r="F8865" s="19" t="s">
        <v>28</v>
      </c>
      <c r="G8865" s="19">
        <v>11.75</v>
      </c>
      <c r="H8865" s="19" t="s">
        <v>28</v>
      </c>
      <c r="I8865" s="18" t="s">
        <v>28</v>
      </c>
      <c r="J8865" s="18" t="s">
        <v>28</v>
      </c>
      <c r="K8865" s="18" t="s">
        <v>28</v>
      </c>
      <c r="L8865" s="18" t="s">
        <v>28</v>
      </c>
      <c r="M8865" s="18" t="s">
        <v>28</v>
      </c>
      <c r="N8865" s="17">
        <v>42724</v>
      </c>
      <c r="O8865" s="15" t="s">
        <v>58</v>
      </c>
      <c r="P8865" s="16" t="s">
        <v>25470</v>
      </c>
      <c r="Q8865" s="15" t="s">
        <v>75</v>
      </c>
      <c r="R8865" s="13" t="str">
        <f>HYPERLINK("https://my.pitchbook.com?c=100902-79T","View Company Online")</f>
        <v>View Company Online</v>
      </c>
    </row>
    <row r="8866" spans="1:18" hidden="1" x14ac:dyDescent="0.3">
      <c r="A8866" s="9" t="s">
        <v>25471</v>
      </c>
      <c r="B8866" s="9" t="s">
        <v>21415</v>
      </c>
      <c r="C8866" s="11" t="s">
        <v>28</v>
      </c>
      <c r="D8866" s="9" t="s">
        <v>21416</v>
      </c>
      <c r="E8866" s="11" t="s">
        <v>28</v>
      </c>
      <c r="F8866" s="10" t="s">
        <v>28</v>
      </c>
      <c r="G8866" s="10">
        <v>0.13</v>
      </c>
      <c r="H8866" s="10" t="s">
        <v>28</v>
      </c>
      <c r="I8866" s="11" t="s">
        <v>28</v>
      </c>
      <c r="J8866" s="11" t="s">
        <v>28</v>
      </c>
      <c r="K8866" s="11" t="s">
        <v>28</v>
      </c>
      <c r="L8866" s="11" t="s">
        <v>28</v>
      </c>
      <c r="M8866" s="11" t="s">
        <v>28</v>
      </c>
      <c r="N8866" s="8">
        <v>42724</v>
      </c>
      <c r="O8866" s="9" t="s">
        <v>379</v>
      </c>
      <c r="P8866" s="12" t="s">
        <v>28</v>
      </c>
      <c r="Q8866" s="9" t="s">
        <v>583</v>
      </c>
      <c r="R8866" s="14" t="str">
        <f>HYPERLINK("https://my.pitchbook.com?c=81667-63T","View Company Online")</f>
        <v>View Company Online</v>
      </c>
    </row>
    <row r="8867" spans="1:18" hidden="1" x14ac:dyDescent="0.3">
      <c r="A8867" s="15" t="s">
        <v>25472</v>
      </c>
      <c r="B8867" s="15" t="s">
        <v>16627</v>
      </c>
      <c r="C8867" s="18" t="s">
        <v>28</v>
      </c>
      <c r="D8867" s="15" t="s">
        <v>16628</v>
      </c>
      <c r="E8867" s="18" t="s">
        <v>28</v>
      </c>
      <c r="F8867" s="19" t="s">
        <v>28</v>
      </c>
      <c r="G8867" s="19" t="s">
        <v>28</v>
      </c>
      <c r="H8867" s="19" t="s">
        <v>28</v>
      </c>
      <c r="I8867" s="18" t="s">
        <v>28</v>
      </c>
      <c r="J8867" s="18" t="s">
        <v>28</v>
      </c>
      <c r="K8867" s="18" t="s">
        <v>28</v>
      </c>
      <c r="L8867" s="18" t="s">
        <v>28</v>
      </c>
      <c r="M8867" s="18" t="s">
        <v>28</v>
      </c>
      <c r="N8867" s="17">
        <v>42723</v>
      </c>
      <c r="O8867" s="15" t="s">
        <v>52</v>
      </c>
      <c r="P8867" s="16" t="s">
        <v>21790</v>
      </c>
      <c r="Q8867" s="15" t="s">
        <v>37</v>
      </c>
      <c r="R8867" s="13" t="str">
        <f>HYPERLINK("https://my.pitchbook.com?c=106420-51T","View Company Online")</f>
        <v>View Company Online</v>
      </c>
    </row>
    <row r="8868" spans="1:18" hidden="1" x14ac:dyDescent="0.3">
      <c r="A8868" s="9" t="s">
        <v>25473</v>
      </c>
      <c r="B8868" s="9" t="s">
        <v>16355</v>
      </c>
      <c r="C8868" s="11" t="s">
        <v>28</v>
      </c>
      <c r="D8868" s="9" t="s">
        <v>16356</v>
      </c>
      <c r="E8868" s="11" t="s">
        <v>28</v>
      </c>
      <c r="F8868" s="10" t="s">
        <v>28</v>
      </c>
      <c r="G8868" s="10">
        <v>0.01</v>
      </c>
      <c r="H8868" s="10" t="s">
        <v>28</v>
      </c>
      <c r="I8868" s="11" t="s">
        <v>28</v>
      </c>
      <c r="J8868" s="11" t="s">
        <v>28</v>
      </c>
      <c r="K8868" s="11" t="s">
        <v>28</v>
      </c>
      <c r="L8868" s="11" t="s">
        <v>28</v>
      </c>
      <c r="M8868" s="11" t="s">
        <v>28</v>
      </c>
      <c r="N8868" s="8">
        <v>42721</v>
      </c>
      <c r="O8868" s="9" t="s">
        <v>8420</v>
      </c>
      <c r="P8868" s="12" t="s">
        <v>28</v>
      </c>
      <c r="Q8868" s="9" t="s">
        <v>85</v>
      </c>
      <c r="R8868" s="14" t="str">
        <f>HYPERLINK("https://my.pitchbook.com?c=155898-28T","View Company Online")</f>
        <v>View Company Online</v>
      </c>
    </row>
    <row r="8869" spans="1:18" hidden="1" x14ac:dyDescent="0.3">
      <c r="A8869" s="15" t="s">
        <v>25474</v>
      </c>
      <c r="B8869" s="15" t="s">
        <v>25475</v>
      </c>
      <c r="C8869" s="18" t="s">
        <v>28</v>
      </c>
      <c r="D8869" s="15" t="s">
        <v>25476</v>
      </c>
      <c r="E8869" s="18" t="s">
        <v>28</v>
      </c>
      <c r="F8869" s="19" t="s">
        <v>28</v>
      </c>
      <c r="G8869" s="19" t="s">
        <v>28</v>
      </c>
      <c r="H8869" s="19" t="s">
        <v>28</v>
      </c>
      <c r="I8869" s="18" t="s">
        <v>28</v>
      </c>
      <c r="J8869" s="18" t="s">
        <v>28</v>
      </c>
      <c r="K8869" s="18" t="s">
        <v>28</v>
      </c>
      <c r="L8869" s="18" t="s">
        <v>28</v>
      </c>
      <c r="M8869" s="18" t="s">
        <v>28</v>
      </c>
      <c r="N8869" s="17">
        <v>42719</v>
      </c>
      <c r="O8869" s="15" t="s">
        <v>41</v>
      </c>
      <c r="P8869" s="16" t="s">
        <v>25477</v>
      </c>
      <c r="Q8869" s="15" t="s">
        <v>285</v>
      </c>
      <c r="R8869" s="13" t="str">
        <f>HYPERLINK("https://my.pitchbook.com?c=80296-84T","View Company Online")</f>
        <v>View Company Online</v>
      </c>
    </row>
    <row r="8870" spans="1:18" hidden="1" x14ac:dyDescent="0.3">
      <c r="A8870" s="9" t="s">
        <v>25478</v>
      </c>
      <c r="B8870" s="9" t="s">
        <v>25479</v>
      </c>
      <c r="C8870" s="11" t="s">
        <v>28</v>
      </c>
      <c r="D8870" s="9" t="s">
        <v>25480</v>
      </c>
      <c r="E8870" s="11" t="s">
        <v>28</v>
      </c>
      <c r="F8870" s="10" t="s">
        <v>28</v>
      </c>
      <c r="G8870" s="10">
        <v>0.06</v>
      </c>
      <c r="H8870" s="10" t="s">
        <v>28</v>
      </c>
      <c r="I8870" s="11" t="s">
        <v>28</v>
      </c>
      <c r="J8870" s="11" t="s">
        <v>28</v>
      </c>
      <c r="K8870" s="11" t="s">
        <v>28</v>
      </c>
      <c r="L8870" s="11" t="s">
        <v>28</v>
      </c>
      <c r="M8870" s="11" t="s">
        <v>28</v>
      </c>
      <c r="N8870" s="8">
        <v>42719</v>
      </c>
      <c r="O8870" s="9" t="s">
        <v>379</v>
      </c>
      <c r="P8870" s="12" t="s">
        <v>28</v>
      </c>
      <c r="Q8870" s="9" t="s">
        <v>740</v>
      </c>
      <c r="R8870" s="14" t="str">
        <f>HYPERLINK("https://my.pitchbook.com?c=215408-98T","View Company Online")</f>
        <v>View Company Online</v>
      </c>
    </row>
    <row r="8871" spans="1:18" hidden="1" x14ac:dyDescent="0.3">
      <c r="A8871" s="15" t="s">
        <v>25481</v>
      </c>
      <c r="B8871" s="15" t="s">
        <v>25482</v>
      </c>
      <c r="C8871" s="18" t="s">
        <v>28</v>
      </c>
      <c r="D8871" s="15" t="s">
        <v>25483</v>
      </c>
      <c r="E8871" s="18" t="s">
        <v>28</v>
      </c>
      <c r="F8871" s="19" t="s">
        <v>28</v>
      </c>
      <c r="G8871" s="19" t="s">
        <v>28</v>
      </c>
      <c r="H8871" s="19" t="s">
        <v>28</v>
      </c>
      <c r="I8871" s="18" t="s">
        <v>28</v>
      </c>
      <c r="J8871" s="18" t="s">
        <v>28</v>
      </c>
      <c r="K8871" s="18" t="s">
        <v>28</v>
      </c>
      <c r="L8871" s="18" t="s">
        <v>28</v>
      </c>
      <c r="M8871" s="18" t="s">
        <v>28</v>
      </c>
      <c r="N8871" s="17">
        <v>42719</v>
      </c>
      <c r="O8871" s="15" t="s">
        <v>30</v>
      </c>
      <c r="P8871" s="16" t="s">
        <v>4827</v>
      </c>
      <c r="Q8871" s="15" t="s">
        <v>517</v>
      </c>
      <c r="R8871" s="13" t="str">
        <f>HYPERLINK("https://my.pitchbook.com?c=98269-39T","View Company Online")</f>
        <v>View Company Online</v>
      </c>
    </row>
    <row r="8872" spans="1:18" hidden="1" x14ac:dyDescent="0.3">
      <c r="A8872" s="9" t="s">
        <v>25484</v>
      </c>
      <c r="B8872" s="9" t="s">
        <v>25485</v>
      </c>
      <c r="C8872" s="11" t="s">
        <v>28</v>
      </c>
      <c r="D8872" s="9" t="s">
        <v>25486</v>
      </c>
      <c r="E8872" s="11" t="s">
        <v>28</v>
      </c>
      <c r="F8872" s="10">
        <v>52.48</v>
      </c>
      <c r="G8872" s="10">
        <v>52.48</v>
      </c>
      <c r="H8872" s="10">
        <v>52.48</v>
      </c>
      <c r="I8872" s="11" t="s">
        <v>28</v>
      </c>
      <c r="J8872" s="11" t="s">
        <v>28</v>
      </c>
      <c r="K8872" s="11" t="s">
        <v>28</v>
      </c>
      <c r="L8872" s="11" t="s">
        <v>28</v>
      </c>
      <c r="M8872" s="11" t="s">
        <v>28</v>
      </c>
      <c r="N8872" s="8">
        <v>42719</v>
      </c>
      <c r="O8872" s="9" t="s">
        <v>30</v>
      </c>
      <c r="P8872" s="12" t="s">
        <v>25487</v>
      </c>
      <c r="Q8872" s="9" t="s">
        <v>470</v>
      </c>
      <c r="R8872" s="14" t="str">
        <f>HYPERLINK("https://my.pitchbook.com?c=73421-92T","View Company Online")</f>
        <v>View Company Online</v>
      </c>
    </row>
    <row r="8873" spans="1:18" hidden="1" x14ac:dyDescent="0.3">
      <c r="A8873" s="15" t="s">
        <v>25488</v>
      </c>
      <c r="B8873" s="15" t="s">
        <v>7231</v>
      </c>
      <c r="C8873" s="18" t="s">
        <v>28</v>
      </c>
      <c r="D8873" s="15" t="s">
        <v>7232</v>
      </c>
      <c r="E8873" s="18" t="s">
        <v>28</v>
      </c>
      <c r="F8873" s="19" t="s">
        <v>28</v>
      </c>
      <c r="G8873" s="19" t="s">
        <v>28</v>
      </c>
      <c r="H8873" s="19" t="s">
        <v>28</v>
      </c>
      <c r="I8873" s="18" t="s">
        <v>28</v>
      </c>
      <c r="J8873" s="18" t="s">
        <v>28</v>
      </c>
      <c r="K8873" s="18" t="s">
        <v>28</v>
      </c>
      <c r="L8873" s="18" t="s">
        <v>28</v>
      </c>
      <c r="M8873" s="18" t="s">
        <v>28</v>
      </c>
      <c r="N8873" s="17">
        <v>42718</v>
      </c>
      <c r="O8873" s="15" t="s">
        <v>52</v>
      </c>
      <c r="P8873" s="16" t="s">
        <v>21790</v>
      </c>
      <c r="Q8873" s="15" t="s">
        <v>114</v>
      </c>
      <c r="R8873" s="13" t="str">
        <f>HYPERLINK("https://my.pitchbook.com?c=111384-01T","View Company Online")</f>
        <v>View Company Online</v>
      </c>
    </row>
    <row r="8874" spans="1:18" hidden="1" x14ac:dyDescent="0.3">
      <c r="A8874" s="9" t="s">
        <v>25489</v>
      </c>
      <c r="B8874" s="9" t="s">
        <v>25490</v>
      </c>
      <c r="C8874" s="11" t="s">
        <v>28</v>
      </c>
      <c r="D8874" s="9" t="s">
        <v>25491</v>
      </c>
      <c r="E8874" s="11" t="s">
        <v>28</v>
      </c>
      <c r="F8874" s="10" t="s">
        <v>28</v>
      </c>
      <c r="G8874" s="10" t="s">
        <v>28</v>
      </c>
      <c r="H8874" s="10" t="s">
        <v>28</v>
      </c>
      <c r="I8874" s="11" t="s">
        <v>28</v>
      </c>
      <c r="J8874" s="11" t="s">
        <v>28</v>
      </c>
      <c r="K8874" s="11" t="s">
        <v>28</v>
      </c>
      <c r="L8874" s="11" t="s">
        <v>28</v>
      </c>
      <c r="M8874" s="11" t="s">
        <v>28</v>
      </c>
      <c r="N8874" s="8">
        <v>42718</v>
      </c>
      <c r="O8874" s="9" t="s">
        <v>30</v>
      </c>
      <c r="P8874" s="12" t="s">
        <v>25492</v>
      </c>
      <c r="Q8874" s="9" t="s">
        <v>362</v>
      </c>
      <c r="R8874" s="14" t="str">
        <f>HYPERLINK("https://my.pitchbook.com?c=100152-46T","View Company Online")</f>
        <v>View Company Online</v>
      </c>
    </row>
    <row r="8875" spans="1:18" hidden="1" x14ac:dyDescent="0.3">
      <c r="A8875" s="15" t="s">
        <v>25493</v>
      </c>
      <c r="B8875" s="15" t="s">
        <v>17728</v>
      </c>
      <c r="C8875" s="18" t="s">
        <v>28</v>
      </c>
      <c r="D8875" s="15" t="s">
        <v>17729</v>
      </c>
      <c r="E8875" s="18" t="s">
        <v>28</v>
      </c>
      <c r="F8875" s="19" t="s">
        <v>28</v>
      </c>
      <c r="G8875" s="19" t="s">
        <v>28</v>
      </c>
      <c r="H8875" s="19" t="s">
        <v>28</v>
      </c>
      <c r="I8875" s="18" t="s">
        <v>28</v>
      </c>
      <c r="J8875" s="18" t="s">
        <v>28</v>
      </c>
      <c r="K8875" s="18" t="s">
        <v>28</v>
      </c>
      <c r="L8875" s="18" t="s">
        <v>28</v>
      </c>
      <c r="M8875" s="18" t="s">
        <v>28</v>
      </c>
      <c r="N8875" s="17">
        <v>42718</v>
      </c>
      <c r="O8875" s="15" t="s">
        <v>52</v>
      </c>
      <c r="P8875" s="16" t="s">
        <v>25494</v>
      </c>
      <c r="Q8875" s="15" t="s">
        <v>75</v>
      </c>
      <c r="R8875" s="13" t="str">
        <f>HYPERLINK("https://my.pitchbook.com?c=125339-50T","View Company Online")</f>
        <v>View Company Online</v>
      </c>
    </row>
    <row r="8876" spans="1:18" hidden="1" x14ac:dyDescent="0.3">
      <c r="A8876" s="9" t="s">
        <v>25495</v>
      </c>
      <c r="B8876" s="9" t="s">
        <v>12704</v>
      </c>
      <c r="C8876" s="11" t="s">
        <v>28</v>
      </c>
      <c r="D8876" s="9" t="s">
        <v>12705</v>
      </c>
      <c r="E8876" s="11" t="s">
        <v>28</v>
      </c>
      <c r="F8876" s="10" t="s">
        <v>28</v>
      </c>
      <c r="G8876" s="10">
        <v>2.4900000000000002</v>
      </c>
      <c r="H8876" s="10" t="s">
        <v>28</v>
      </c>
      <c r="I8876" s="11" t="s">
        <v>28</v>
      </c>
      <c r="J8876" s="11" t="s">
        <v>28</v>
      </c>
      <c r="K8876" s="11" t="s">
        <v>28</v>
      </c>
      <c r="L8876" s="11" t="s">
        <v>28</v>
      </c>
      <c r="M8876" s="11" t="s">
        <v>28</v>
      </c>
      <c r="N8876" s="8">
        <v>42718</v>
      </c>
      <c r="O8876" s="9" t="s">
        <v>99</v>
      </c>
      <c r="P8876" s="12" t="s">
        <v>28</v>
      </c>
      <c r="Q8876" s="9" t="s">
        <v>75</v>
      </c>
      <c r="R8876" s="14" t="str">
        <f>HYPERLINK("https://my.pitchbook.com?c=69693-04T","View Company Online")</f>
        <v>View Company Online</v>
      </c>
    </row>
    <row r="8877" spans="1:18" hidden="1" x14ac:dyDescent="0.3">
      <c r="A8877" s="15" t="s">
        <v>25496</v>
      </c>
      <c r="B8877" s="15" t="s">
        <v>3023</v>
      </c>
      <c r="C8877" s="18" t="s">
        <v>28</v>
      </c>
      <c r="D8877" s="15" t="s">
        <v>3024</v>
      </c>
      <c r="E8877" s="18" t="s">
        <v>28</v>
      </c>
      <c r="F8877" s="19" t="s">
        <v>28</v>
      </c>
      <c r="G8877" s="19" t="s">
        <v>28</v>
      </c>
      <c r="H8877" s="19" t="s">
        <v>28</v>
      </c>
      <c r="I8877" s="18" t="s">
        <v>28</v>
      </c>
      <c r="J8877" s="18" t="s">
        <v>28</v>
      </c>
      <c r="K8877" s="18" t="s">
        <v>28</v>
      </c>
      <c r="L8877" s="18" t="s">
        <v>28</v>
      </c>
      <c r="M8877" s="18" t="s">
        <v>28</v>
      </c>
      <c r="N8877" s="17">
        <v>42718</v>
      </c>
      <c r="O8877" s="15" t="s">
        <v>30</v>
      </c>
      <c r="P8877" s="16" t="s">
        <v>25497</v>
      </c>
      <c r="Q8877" s="15" t="s">
        <v>240</v>
      </c>
      <c r="R8877" s="13" t="str">
        <f>HYPERLINK("https://my.pitchbook.com?c=79883-65T","View Company Online")</f>
        <v>View Company Online</v>
      </c>
    </row>
    <row r="8878" spans="1:18" hidden="1" x14ac:dyDescent="0.3">
      <c r="A8878" s="9" t="s">
        <v>25498</v>
      </c>
      <c r="B8878" s="9" t="s">
        <v>25499</v>
      </c>
      <c r="C8878" s="11" t="s">
        <v>28</v>
      </c>
      <c r="D8878" s="9" t="s">
        <v>25500</v>
      </c>
      <c r="E8878" s="11" t="s">
        <v>28</v>
      </c>
      <c r="F8878" s="10" t="s">
        <v>28</v>
      </c>
      <c r="G8878" s="10" t="s">
        <v>28</v>
      </c>
      <c r="H8878" s="10" t="s">
        <v>28</v>
      </c>
      <c r="I8878" s="11" t="s">
        <v>28</v>
      </c>
      <c r="J8878" s="11" t="s">
        <v>28</v>
      </c>
      <c r="K8878" s="11" t="s">
        <v>28</v>
      </c>
      <c r="L8878" s="11" t="s">
        <v>28</v>
      </c>
      <c r="M8878" s="11" t="s">
        <v>28</v>
      </c>
      <c r="N8878" s="8">
        <v>42717</v>
      </c>
      <c r="O8878" s="9" t="s">
        <v>30</v>
      </c>
      <c r="P8878" s="12" t="s">
        <v>25501</v>
      </c>
      <c r="Q8878" s="9" t="s">
        <v>188</v>
      </c>
      <c r="R8878" s="14" t="str">
        <f>HYPERLINK("https://my.pitchbook.com?c=100152-10T","View Company Online")</f>
        <v>View Company Online</v>
      </c>
    </row>
    <row r="8879" spans="1:18" hidden="1" x14ac:dyDescent="0.3">
      <c r="A8879" s="15" t="s">
        <v>25502</v>
      </c>
      <c r="B8879" s="15" t="s">
        <v>25503</v>
      </c>
      <c r="C8879" s="18" t="s">
        <v>28</v>
      </c>
      <c r="D8879" s="15" t="s">
        <v>25504</v>
      </c>
      <c r="E8879" s="18" t="s">
        <v>28</v>
      </c>
      <c r="F8879" s="19" t="s">
        <v>28</v>
      </c>
      <c r="G8879" s="19" t="s">
        <v>28</v>
      </c>
      <c r="H8879" s="19" t="s">
        <v>28</v>
      </c>
      <c r="I8879" s="18" t="s">
        <v>28</v>
      </c>
      <c r="J8879" s="18" t="s">
        <v>28</v>
      </c>
      <c r="K8879" s="18" t="s">
        <v>28</v>
      </c>
      <c r="L8879" s="18" t="s">
        <v>28</v>
      </c>
      <c r="M8879" s="18" t="s">
        <v>28</v>
      </c>
      <c r="N8879" s="17">
        <v>42716</v>
      </c>
      <c r="O8879" s="15" t="s">
        <v>30</v>
      </c>
      <c r="P8879" s="16" t="s">
        <v>25505</v>
      </c>
      <c r="Q8879" s="15" t="s">
        <v>583</v>
      </c>
      <c r="R8879" s="13" t="str">
        <f>HYPERLINK("https://my.pitchbook.com?c=133770-70T","View Company Online")</f>
        <v>View Company Online</v>
      </c>
    </row>
    <row r="8880" spans="1:18" hidden="1" x14ac:dyDescent="0.3">
      <c r="A8880" s="9" t="s">
        <v>25506</v>
      </c>
      <c r="B8880" s="9" t="s">
        <v>25507</v>
      </c>
      <c r="C8880" s="11" t="s">
        <v>28</v>
      </c>
      <c r="D8880" s="9" t="s">
        <v>25508</v>
      </c>
      <c r="E8880" s="11" t="s">
        <v>28</v>
      </c>
      <c r="F8880" s="10">
        <v>8.8000000000000007</v>
      </c>
      <c r="G8880" s="10">
        <v>8.8000000000000007</v>
      </c>
      <c r="H8880" s="10">
        <v>8.8000000000000007</v>
      </c>
      <c r="I8880" s="11" t="s">
        <v>28</v>
      </c>
      <c r="J8880" s="11" t="s">
        <v>28</v>
      </c>
      <c r="K8880" s="11" t="s">
        <v>28</v>
      </c>
      <c r="L8880" s="11" t="s">
        <v>28</v>
      </c>
      <c r="M8880" s="11" t="s">
        <v>28</v>
      </c>
      <c r="N8880" s="8">
        <v>42716</v>
      </c>
      <c r="O8880" s="9" t="s">
        <v>30</v>
      </c>
      <c r="P8880" s="12" t="s">
        <v>25509</v>
      </c>
      <c r="Q8880" s="9" t="s">
        <v>245</v>
      </c>
      <c r="R8880" s="14" t="str">
        <f>HYPERLINK("https://my.pitchbook.com?c=130902-58T","View Company Online")</f>
        <v>View Company Online</v>
      </c>
    </row>
    <row r="8881" spans="1:18" hidden="1" x14ac:dyDescent="0.3">
      <c r="A8881" s="15" t="s">
        <v>25510</v>
      </c>
      <c r="B8881" s="15" t="s">
        <v>25511</v>
      </c>
      <c r="C8881" s="18" t="s">
        <v>28</v>
      </c>
      <c r="D8881" s="15" t="s">
        <v>25512</v>
      </c>
      <c r="E8881" s="18" t="s">
        <v>28</v>
      </c>
      <c r="F8881" s="19" t="s">
        <v>28</v>
      </c>
      <c r="G8881" s="19" t="s">
        <v>28</v>
      </c>
      <c r="H8881" s="19" t="s">
        <v>28</v>
      </c>
      <c r="I8881" s="18" t="s">
        <v>28</v>
      </c>
      <c r="J8881" s="18" t="s">
        <v>28</v>
      </c>
      <c r="K8881" s="18" t="s">
        <v>28</v>
      </c>
      <c r="L8881" s="18" t="s">
        <v>28</v>
      </c>
      <c r="M8881" s="18" t="s">
        <v>28</v>
      </c>
      <c r="N8881" s="17">
        <v>42716</v>
      </c>
      <c r="O8881" s="15" t="s">
        <v>30</v>
      </c>
      <c r="P8881" s="16" t="s">
        <v>25513</v>
      </c>
      <c r="Q8881" s="15" t="s">
        <v>470</v>
      </c>
      <c r="R8881" s="13" t="str">
        <f>HYPERLINK("https://my.pitchbook.com?c=97263-55T","View Company Online")</f>
        <v>View Company Online</v>
      </c>
    </row>
    <row r="8882" spans="1:18" hidden="1" x14ac:dyDescent="0.3">
      <c r="A8882" s="9" t="s">
        <v>25514</v>
      </c>
      <c r="B8882" s="9" t="s">
        <v>24591</v>
      </c>
      <c r="C8882" s="11" t="s">
        <v>28</v>
      </c>
      <c r="D8882" s="9" t="s">
        <v>24592</v>
      </c>
      <c r="E8882" s="11" t="s">
        <v>28</v>
      </c>
      <c r="F8882" s="10" t="s">
        <v>28</v>
      </c>
      <c r="G8882" s="10" t="s">
        <v>28</v>
      </c>
      <c r="H8882" s="10" t="s">
        <v>28</v>
      </c>
      <c r="I8882" s="11" t="s">
        <v>28</v>
      </c>
      <c r="J8882" s="11" t="s">
        <v>28</v>
      </c>
      <c r="K8882" s="11" t="s">
        <v>28</v>
      </c>
      <c r="L8882" s="11" t="s">
        <v>28</v>
      </c>
      <c r="M8882" s="11" t="s">
        <v>28</v>
      </c>
      <c r="N8882" s="8">
        <v>42713</v>
      </c>
      <c r="O8882" s="9" t="s">
        <v>52</v>
      </c>
      <c r="P8882" s="12" t="s">
        <v>25515</v>
      </c>
      <c r="Q8882" s="9" t="s">
        <v>1088</v>
      </c>
      <c r="R8882" s="14" t="str">
        <f>HYPERLINK("https://my.pitchbook.com?c=89431-12T","View Company Online")</f>
        <v>View Company Online</v>
      </c>
    </row>
    <row r="8883" spans="1:18" hidden="1" x14ac:dyDescent="0.3">
      <c r="A8883" s="15" t="s">
        <v>25516</v>
      </c>
      <c r="B8883" s="15" t="s">
        <v>25517</v>
      </c>
      <c r="C8883" s="18" t="s">
        <v>28</v>
      </c>
      <c r="D8883" s="15" t="s">
        <v>25518</v>
      </c>
      <c r="E8883" s="18" t="s">
        <v>28</v>
      </c>
      <c r="F8883" s="19" t="s">
        <v>28</v>
      </c>
      <c r="G8883" s="19" t="s">
        <v>28</v>
      </c>
      <c r="H8883" s="19" t="s">
        <v>28</v>
      </c>
      <c r="I8883" s="18" t="s">
        <v>28</v>
      </c>
      <c r="J8883" s="18" t="s">
        <v>28</v>
      </c>
      <c r="K8883" s="18" t="s">
        <v>28</v>
      </c>
      <c r="L8883" s="18" t="s">
        <v>28</v>
      </c>
      <c r="M8883" s="18" t="s">
        <v>28</v>
      </c>
      <c r="N8883" s="17">
        <v>42712</v>
      </c>
      <c r="O8883" s="15" t="s">
        <v>52</v>
      </c>
      <c r="P8883" s="16" t="s">
        <v>1970</v>
      </c>
      <c r="Q8883" s="15" t="s">
        <v>75</v>
      </c>
      <c r="R8883" s="13" t="str">
        <f>HYPERLINK("https://my.pitchbook.com?c=127593-10T","View Company Online")</f>
        <v>View Company Online</v>
      </c>
    </row>
    <row r="8884" spans="1:18" hidden="1" x14ac:dyDescent="0.3">
      <c r="A8884" s="9" t="s">
        <v>25519</v>
      </c>
      <c r="B8884" s="9" t="s">
        <v>25520</v>
      </c>
      <c r="C8884" s="11" t="s">
        <v>28</v>
      </c>
      <c r="D8884" s="9" t="s">
        <v>25521</v>
      </c>
      <c r="E8884" s="11" t="s">
        <v>28</v>
      </c>
      <c r="F8884" s="10" t="s">
        <v>28</v>
      </c>
      <c r="G8884" s="10" t="s">
        <v>28</v>
      </c>
      <c r="H8884" s="10" t="s">
        <v>28</v>
      </c>
      <c r="I8884" s="11" t="s">
        <v>28</v>
      </c>
      <c r="J8884" s="11" t="s">
        <v>28</v>
      </c>
      <c r="K8884" s="11" t="s">
        <v>28</v>
      </c>
      <c r="L8884" s="11" t="s">
        <v>28</v>
      </c>
      <c r="M8884" s="11" t="s">
        <v>28</v>
      </c>
      <c r="N8884" s="8">
        <v>42711</v>
      </c>
      <c r="O8884" s="9" t="s">
        <v>30</v>
      </c>
      <c r="P8884" s="12" t="s">
        <v>25522</v>
      </c>
      <c r="Q8884" s="9" t="s">
        <v>299</v>
      </c>
      <c r="R8884" s="14" t="str">
        <f>HYPERLINK("https://my.pitchbook.com?c=100154-17T","View Company Online")</f>
        <v>View Company Online</v>
      </c>
    </row>
    <row r="8885" spans="1:18" hidden="1" x14ac:dyDescent="0.3">
      <c r="A8885" s="15" t="s">
        <v>25523</v>
      </c>
      <c r="B8885" s="15" t="s">
        <v>5785</v>
      </c>
      <c r="C8885" s="18" t="s">
        <v>28</v>
      </c>
      <c r="D8885" s="15" t="s">
        <v>12775</v>
      </c>
      <c r="E8885" s="18" t="s">
        <v>28</v>
      </c>
      <c r="F8885" s="19" t="s">
        <v>28</v>
      </c>
      <c r="G8885" s="19">
        <v>80</v>
      </c>
      <c r="H8885" s="19" t="s">
        <v>28</v>
      </c>
      <c r="I8885" s="18" t="s">
        <v>28</v>
      </c>
      <c r="J8885" s="18" t="s">
        <v>28</v>
      </c>
      <c r="K8885" s="18" t="s">
        <v>28</v>
      </c>
      <c r="L8885" s="18" t="s">
        <v>28</v>
      </c>
      <c r="M8885" s="18">
        <v>-33.44</v>
      </c>
      <c r="N8885" s="17">
        <v>42710</v>
      </c>
      <c r="O8885" s="15" t="s">
        <v>79</v>
      </c>
      <c r="P8885" s="16" t="s">
        <v>25524</v>
      </c>
      <c r="Q8885" s="15" t="s">
        <v>1213</v>
      </c>
      <c r="R8885" s="13" t="str">
        <f>HYPERLINK("https://my.pitchbook.com?c=79488-37T","View Company Online")</f>
        <v>View Company Online</v>
      </c>
    </row>
    <row r="8886" spans="1:18" x14ac:dyDescent="0.3">
      <c r="A8886" s="9" t="s">
        <v>25525</v>
      </c>
      <c r="B8886" s="9" t="s">
        <v>25526</v>
      </c>
      <c r="C8886" s="11">
        <v>11.64</v>
      </c>
      <c r="D8886" s="9" t="s">
        <v>25527</v>
      </c>
      <c r="E8886" s="11" t="s">
        <v>28</v>
      </c>
      <c r="F8886" s="10">
        <v>1053.74</v>
      </c>
      <c r="G8886" s="10">
        <v>1053.74</v>
      </c>
      <c r="H8886" s="10">
        <v>1053.74</v>
      </c>
      <c r="I8886" s="11">
        <v>90.56</v>
      </c>
      <c r="J8886" s="11">
        <v>11.64</v>
      </c>
      <c r="K8886" s="11">
        <v>547.69000000000005</v>
      </c>
      <c r="L8886" s="11">
        <v>1.92</v>
      </c>
      <c r="M8886" s="11" t="s">
        <v>28</v>
      </c>
      <c r="N8886" s="8">
        <v>42710</v>
      </c>
      <c r="O8886" s="9" t="s">
        <v>30</v>
      </c>
      <c r="P8886" s="12" t="s">
        <v>25528</v>
      </c>
      <c r="Q8886" s="9" t="s">
        <v>105</v>
      </c>
      <c r="R8886" s="14" t="str">
        <f>HYPERLINK("https://my.pitchbook.com?c=76122-91T","View Company Online")</f>
        <v>View Company Online</v>
      </c>
    </row>
    <row r="8887" spans="1:18" hidden="1" x14ac:dyDescent="0.3">
      <c r="A8887" s="15" t="s">
        <v>25529</v>
      </c>
      <c r="B8887" s="15" t="s">
        <v>24956</v>
      </c>
      <c r="C8887" s="18" t="s">
        <v>28</v>
      </c>
      <c r="D8887" s="15" t="s">
        <v>24957</v>
      </c>
      <c r="E8887" s="18" t="s">
        <v>28</v>
      </c>
      <c r="F8887" s="19" t="s">
        <v>28</v>
      </c>
      <c r="G8887" s="19" t="s">
        <v>28</v>
      </c>
      <c r="H8887" s="19" t="s">
        <v>28</v>
      </c>
      <c r="I8887" s="18" t="s">
        <v>28</v>
      </c>
      <c r="J8887" s="18" t="s">
        <v>28</v>
      </c>
      <c r="K8887" s="18" t="s">
        <v>28</v>
      </c>
      <c r="L8887" s="18" t="s">
        <v>28</v>
      </c>
      <c r="M8887" s="18" t="s">
        <v>28</v>
      </c>
      <c r="N8887" s="17">
        <v>42709</v>
      </c>
      <c r="O8887" s="15" t="s">
        <v>52</v>
      </c>
      <c r="P8887" s="16" t="s">
        <v>1970</v>
      </c>
      <c r="Q8887" s="15" t="s">
        <v>299</v>
      </c>
      <c r="R8887" s="13" t="str">
        <f>HYPERLINK("https://my.pitchbook.com?c=127594-63T","View Company Online")</f>
        <v>View Company Online</v>
      </c>
    </row>
    <row r="8888" spans="1:18" hidden="1" x14ac:dyDescent="0.3">
      <c r="A8888" s="9" t="s">
        <v>25530</v>
      </c>
      <c r="B8888" s="9" t="s">
        <v>16681</v>
      </c>
      <c r="C8888" s="11" t="s">
        <v>28</v>
      </c>
      <c r="D8888" s="9" t="s">
        <v>19777</v>
      </c>
      <c r="E8888" s="11" t="s">
        <v>28</v>
      </c>
      <c r="F8888" s="10" t="s">
        <v>28</v>
      </c>
      <c r="G8888" s="10" t="s">
        <v>28</v>
      </c>
      <c r="H8888" s="10" t="s">
        <v>28</v>
      </c>
      <c r="I8888" s="11" t="s">
        <v>28</v>
      </c>
      <c r="J8888" s="11" t="s">
        <v>28</v>
      </c>
      <c r="K8888" s="11" t="s">
        <v>28</v>
      </c>
      <c r="L8888" s="11" t="s">
        <v>28</v>
      </c>
      <c r="M8888" s="11" t="s">
        <v>28</v>
      </c>
      <c r="N8888" s="8">
        <v>42709</v>
      </c>
      <c r="O8888" s="9" t="s">
        <v>73</v>
      </c>
      <c r="P8888" s="12" t="s">
        <v>104</v>
      </c>
      <c r="Q8888" s="9" t="s">
        <v>566</v>
      </c>
      <c r="R8888" s="14" t="str">
        <f>HYPERLINK("https://my.pitchbook.com?c=203614-21T","View Company Online")</f>
        <v>View Company Online</v>
      </c>
    </row>
    <row r="8889" spans="1:18" hidden="1" x14ac:dyDescent="0.3">
      <c r="A8889" s="15" t="s">
        <v>25531</v>
      </c>
      <c r="B8889" s="15" t="s">
        <v>20677</v>
      </c>
      <c r="C8889" s="18" t="s">
        <v>28</v>
      </c>
      <c r="D8889" s="15" t="s">
        <v>20678</v>
      </c>
      <c r="E8889" s="18" t="s">
        <v>28</v>
      </c>
      <c r="F8889" s="19" t="s">
        <v>28</v>
      </c>
      <c r="G8889" s="19" t="s">
        <v>28</v>
      </c>
      <c r="H8889" s="19" t="s">
        <v>28</v>
      </c>
      <c r="I8889" s="18" t="s">
        <v>28</v>
      </c>
      <c r="J8889" s="18" t="s">
        <v>28</v>
      </c>
      <c r="K8889" s="18" t="s">
        <v>28</v>
      </c>
      <c r="L8889" s="18" t="s">
        <v>28</v>
      </c>
      <c r="M8889" s="18" t="s">
        <v>28</v>
      </c>
      <c r="N8889" s="17">
        <v>42709</v>
      </c>
      <c r="O8889" s="15" t="s">
        <v>52</v>
      </c>
      <c r="P8889" s="16" t="s">
        <v>1970</v>
      </c>
      <c r="Q8889" s="15" t="s">
        <v>3912</v>
      </c>
      <c r="R8889" s="13" t="str">
        <f>HYPERLINK("https://my.pitchbook.com?c=127617-13T","View Company Online")</f>
        <v>View Company Online</v>
      </c>
    </row>
    <row r="8890" spans="1:18" hidden="1" x14ac:dyDescent="0.3">
      <c r="A8890" s="9" t="s">
        <v>25532</v>
      </c>
      <c r="B8890" s="9" t="s">
        <v>17709</v>
      </c>
      <c r="C8890" s="11" t="s">
        <v>28</v>
      </c>
      <c r="D8890" s="9" t="s">
        <v>17710</v>
      </c>
      <c r="E8890" s="11" t="s">
        <v>28</v>
      </c>
      <c r="F8890" s="10" t="s">
        <v>28</v>
      </c>
      <c r="G8890" s="10">
        <v>0.04</v>
      </c>
      <c r="H8890" s="10" t="s">
        <v>28</v>
      </c>
      <c r="I8890" s="11" t="s">
        <v>28</v>
      </c>
      <c r="J8890" s="11" t="s">
        <v>28</v>
      </c>
      <c r="K8890" s="11" t="s">
        <v>28</v>
      </c>
      <c r="L8890" s="11" t="s">
        <v>28</v>
      </c>
      <c r="M8890" s="11" t="s">
        <v>28</v>
      </c>
      <c r="N8890" s="8">
        <v>42707</v>
      </c>
      <c r="O8890" s="9" t="s">
        <v>99</v>
      </c>
      <c r="P8890" s="12" t="s">
        <v>8261</v>
      </c>
      <c r="Q8890" s="9" t="s">
        <v>75</v>
      </c>
      <c r="R8890" s="14" t="str">
        <f>HYPERLINK("https://my.pitchbook.com?c=207136-72T","View Company Online")</f>
        <v>View Company Online</v>
      </c>
    </row>
    <row r="8891" spans="1:18" hidden="1" x14ac:dyDescent="0.3">
      <c r="A8891" s="15" t="s">
        <v>25533</v>
      </c>
      <c r="B8891" s="15" t="s">
        <v>4890</v>
      </c>
      <c r="C8891" s="18" t="s">
        <v>28</v>
      </c>
      <c r="D8891" s="15" t="s">
        <v>4891</v>
      </c>
      <c r="E8891" s="18" t="s">
        <v>28</v>
      </c>
      <c r="F8891" s="19" t="s">
        <v>28</v>
      </c>
      <c r="G8891" s="19">
        <v>0.01</v>
      </c>
      <c r="H8891" s="19" t="s">
        <v>28</v>
      </c>
      <c r="I8891" s="18" t="s">
        <v>28</v>
      </c>
      <c r="J8891" s="18" t="s">
        <v>28</v>
      </c>
      <c r="K8891" s="18" t="s">
        <v>28</v>
      </c>
      <c r="L8891" s="18" t="s">
        <v>28</v>
      </c>
      <c r="M8891" s="18" t="s">
        <v>28</v>
      </c>
      <c r="N8891" s="17">
        <v>42707</v>
      </c>
      <c r="O8891" s="15" t="s">
        <v>47</v>
      </c>
      <c r="P8891" s="16" t="s">
        <v>28</v>
      </c>
      <c r="Q8891" s="15" t="s">
        <v>75</v>
      </c>
      <c r="R8891" s="13" t="str">
        <f>HYPERLINK("https://my.pitchbook.com?c=85095-64T","View Company Online")</f>
        <v>View Company Online</v>
      </c>
    </row>
    <row r="8892" spans="1:18" hidden="1" x14ac:dyDescent="0.3">
      <c r="A8892" s="9" t="s">
        <v>25534</v>
      </c>
      <c r="B8892" s="9" t="s">
        <v>10299</v>
      </c>
      <c r="C8892" s="11" t="s">
        <v>28</v>
      </c>
      <c r="D8892" s="9" t="s">
        <v>10300</v>
      </c>
      <c r="E8892" s="11" t="s">
        <v>28</v>
      </c>
      <c r="F8892" s="10" t="s">
        <v>28</v>
      </c>
      <c r="G8892" s="10" t="s">
        <v>28</v>
      </c>
      <c r="H8892" s="10" t="s">
        <v>28</v>
      </c>
      <c r="I8892" s="11" t="s">
        <v>28</v>
      </c>
      <c r="J8892" s="11" t="s">
        <v>28</v>
      </c>
      <c r="K8892" s="11" t="s">
        <v>28</v>
      </c>
      <c r="L8892" s="11" t="s">
        <v>28</v>
      </c>
      <c r="M8892" s="11" t="s">
        <v>28</v>
      </c>
      <c r="N8892" s="8">
        <v>42706</v>
      </c>
      <c r="O8892" s="9" t="s">
        <v>30</v>
      </c>
      <c r="P8892" s="12" t="s">
        <v>28</v>
      </c>
      <c r="Q8892" s="9" t="s">
        <v>54</v>
      </c>
      <c r="R8892" s="14" t="str">
        <f>HYPERLINK("https://my.pitchbook.com?c=79343-20T","View Company Online")</f>
        <v>View Company Online</v>
      </c>
    </row>
    <row r="8893" spans="1:18" hidden="1" x14ac:dyDescent="0.3">
      <c r="A8893" s="15" t="s">
        <v>25535</v>
      </c>
      <c r="B8893" s="15" t="s">
        <v>25536</v>
      </c>
      <c r="C8893" s="18" t="s">
        <v>28</v>
      </c>
      <c r="D8893" s="15" t="s">
        <v>25537</v>
      </c>
      <c r="E8893" s="18" t="s">
        <v>28</v>
      </c>
      <c r="F8893" s="19">
        <v>9.9700000000000006</v>
      </c>
      <c r="G8893" s="19">
        <v>9.9700000000000006</v>
      </c>
      <c r="H8893" s="19">
        <v>9.9700000000000006</v>
      </c>
      <c r="I8893" s="18" t="s">
        <v>28</v>
      </c>
      <c r="J8893" s="18" t="s">
        <v>28</v>
      </c>
      <c r="K8893" s="18" t="s">
        <v>28</v>
      </c>
      <c r="L8893" s="18" t="s">
        <v>28</v>
      </c>
      <c r="M8893" s="18" t="s">
        <v>28</v>
      </c>
      <c r="N8893" s="17">
        <v>42705</v>
      </c>
      <c r="O8893" s="15" t="s">
        <v>30</v>
      </c>
      <c r="P8893" s="16" t="s">
        <v>25538</v>
      </c>
      <c r="Q8893" s="15" t="s">
        <v>280</v>
      </c>
      <c r="R8893" s="13" t="str">
        <f>HYPERLINK("https://my.pitchbook.com?c=80231-50T","View Company Online")</f>
        <v>View Company Online</v>
      </c>
    </row>
    <row r="8894" spans="1:18" hidden="1" x14ac:dyDescent="0.3">
      <c r="A8894" s="9" t="s">
        <v>25539</v>
      </c>
      <c r="B8894" s="9" t="s">
        <v>25540</v>
      </c>
      <c r="C8894" s="11" t="s">
        <v>28</v>
      </c>
      <c r="D8894" s="9" t="s">
        <v>25541</v>
      </c>
      <c r="E8894" s="11" t="s">
        <v>28</v>
      </c>
      <c r="F8894" s="10" t="s">
        <v>28</v>
      </c>
      <c r="G8894" s="10" t="s">
        <v>28</v>
      </c>
      <c r="H8894" s="10" t="s">
        <v>28</v>
      </c>
      <c r="I8894" s="11" t="s">
        <v>28</v>
      </c>
      <c r="J8894" s="11" t="s">
        <v>28</v>
      </c>
      <c r="K8894" s="11" t="s">
        <v>28</v>
      </c>
      <c r="L8894" s="11" t="s">
        <v>28</v>
      </c>
      <c r="M8894" s="11" t="s">
        <v>28</v>
      </c>
      <c r="N8894" s="8">
        <v>42705</v>
      </c>
      <c r="O8894" s="9" t="s">
        <v>30</v>
      </c>
      <c r="P8894" s="12" t="s">
        <v>25542</v>
      </c>
      <c r="Q8894" s="9" t="s">
        <v>616</v>
      </c>
      <c r="R8894" s="14" t="str">
        <f>HYPERLINK("https://my.pitchbook.com?c=178880-50T","View Company Online")</f>
        <v>View Company Online</v>
      </c>
    </row>
    <row r="8895" spans="1:18" hidden="1" x14ac:dyDescent="0.3">
      <c r="A8895" s="15" t="s">
        <v>25543</v>
      </c>
      <c r="B8895" s="15" t="s">
        <v>25544</v>
      </c>
      <c r="C8895" s="18" t="s">
        <v>28</v>
      </c>
      <c r="D8895" s="15" t="s">
        <v>25545</v>
      </c>
      <c r="E8895" s="18" t="s">
        <v>28</v>
      </c>
      <c r="F8895" s="19" t="s">
        <v>28</v>
      </c>
      <c r="G8895" s="19" t="s">
        <v>28</v>
      </c>
      <c r="H8895" s="19" t="s">
        <v>28</v>
      </c>
      <c r="I8895" s="18" t="s">
        <v>28</v>
      </c>
      <c r="J8895" s="18" t="s">
        <v>28</v>
      </c>
      <c r="K8895" s="18" t="s">
        <v>28</v>
      </c>
      <c r="L8895" s="18" t="s">
        <v>28</v>
      </c>
      <c r="M8895" s="18" t="s">
        <v>28</v>
      </c>
      <c r="N8895" s="17">
        <v>42705</v>
      </c>
      <c r="O8895" s="15" t="s">
        <v>30</v>
      </c>
      <c r="P8895" s="16" t="s">
        <v>25546</v>
      </c>
      <c r="Q8895" s="15" t="s">
        <v>128</v>
      </c>
      <c r="R8895" s="13" t="str">
        <f>HYPERLINK("https://my.pitchbook.com?c=88968-25T","View Company Online")</f>
        <v>View Company Online</v>
      </c>
    </row>
    <row r="8896" spans="1:18" hidden="1" x14ac:dyDescent="0.3">
      <c r="A8896" s="9" t="s">
        <v>25547</v>
      </c>
      <c r="B8896" s="9" t="s">
        <v>6541</v>
      </c>
      <c r="C8896" s="11" t="s">
        <v>28</v>
      </c>
      <c r="D8896" s="9" t="s">
        <v>6542</v>
      </c>
      <c r="E8896" s="11" t="s">
        <v>28</v>
      </c>
      <c r="F8896" s="10" t="s">
        <v>28</v>
      </c>
      <c r="G8896" s="10">
        <v>0.04</v>
      </c>
      <c r="H8896" s="10" t="s">
        <v>28</v>
      </c>
      <c r="I8896" s="11" t="s">
        <v>28</v>
      </c>
      <c r="J8896" s="11" t="s">
        <v>28</v>
      </c>
      <c r="K8896" s="11" t="s">
        <v>28</v>
      </c>
      <c r="L8896" s="11" t="s">
        <v>28</v>
      </c>
      <c r="M8896" s="11" t="s">
        <v>28</v>
      </c>
      <c r="N8896" s="8">
        <v>42705</v>
      </c>
      <c r="O8896" s="9" t="s">
        <v>73</v>
      </c>
      <c r="P8896" s="12" t="s">
        <v>25548</v>
      </c>
      <c r="Q8896" s="9" t="s">
        <v>75</v>
      </c>
      <c r="R8896" s="14" t="str">
        <f>HYPERLINK("https://my.pitchbook.com?c=122942-26T","View Company Online")</f>
        <v>View Company Online</v>
      </c>
    </row>
    <row r="8897" spans="1:18" hidden="1" x14ac:dyDescent="0.3">
      <c r="A8897" s="15" t="s">
        <v>25549</v>
      </c>
      <c r="B8897" s="15" t="s">
        <v>2432</v>
      </c>
      <c r="C8897" s="18" t="s">
        <v>28</v>
      </c>
      <c r="D8897" s="15" t="s">
        <v>2433</v>
      </c>
      <c r="E8897" s="18" t="s">
        <v>28</v>
      </c>
      <c r="F8897" s="19" t="s">
        <v>28</v>
      </c>
      <c r="G8897" s="19" t="s">
        <v>28</v>
      </c>
      <c r="H8897" s="19" t="s">
        <v>28</v>
      </c>
      <c r="I8897" s="18" t="s">
        <v>28</v>
      </c>
      <c r="J8897" s="18" t="s">
        <v>28</v>
      </c>
      <c r="K8897" s="18" t="s">
        <v>28</v>
      </c>
      <c r="L8897" s="18" t="s">
        <v>28</v>
      </c>
      <c r="M8897" s="18" t="s">
        <v>28</v>
      </c>
      <c r="N8897" s="17">
        <v>42705</v>
      </c>
      <c r="O8897" s="15" t="s">
        <v>99</v>
      </c>
      <c r="P8897" s="16" t="s">
        <v>611</v>
      </c>
      <c r="Q8897" s="15" t="s">
        <v>75</v>
      </c>
      <c r="R8897" s="13" t="str">
        <f>HYPERLINK("https://my.pitchbook.com?c=210578-05T","View Company Online")</f>
        <v>View Company Online</v>
      </c>
    </row>
    <row r="8898" spans="1:18" hidden="1" x14ac:dyDescent="0.3">
      <c r="A8898" s="9" t="s">
        <v>25550</v>
      </c>
      <c r="B8898" s="9" t="s">
        <v>19496</v>
      </c>
      <c r="C8898" s="11" t="s">
        <v>28</v>
      </c>
      <c r="D8898" s="9" t="s">
        <v>19497</v>
      </c>
      <c r="E8898" s="11" t="s">
        <v>28</v>
      </c>
      <c r="F8898" s="10" t="s">
        <v>28</v>
      </c>
      <c r="G8898" s="10" t="s">
        <v>28</v>
      </c>
      <c r="H8898" s="10" t="s">
        <v>28</v>
      </c>
      <c r="I8898" s="11" t="s">
        <v>28</v>
      </c>
      <c r="J8898" s="11" t="s">
        <v>28</v>
      </c>
      <c r="K8898" s="11" t="s">
        <v>28</v>
      </c>
      <c r="L8898" s="11" t="s">
        <v>28</v>
      </c>
      <c r="M8898" s="11" t="s">
        <v>28</v>
      </c>
      <c r="N8898" s="8">
        <v>42705</v>
      </c>
      <c r="O8898" s="9" t="s">
        <v>73</v>
      </c>
      <c r="P8898" s="12" t="s">
        <v>25551</v>
      </c>
      <c r="Q8898" s="9" t="s">
        <v>409</v>
      </c>
      <c r="R8898" s="14" t="str">
        <f>HYPERLINK("https://my.pitchbook.com?c=62688-88T","View Company Online")</f>
        <v>View Company Online</v>
      </c>
    </row>
    <row r="8899" spans="1:18" hidden="1" x14ac:dyDescent="0.3">
      <c r="A8899" s="15" t="s">
        <v>25552</v>
      </c>
      <c r="B8899" s="15" t="s">
        <v>2854</v>
      </c>
      <c r="C8899" s="18" t="s">
        <v>28</v>
      </c>
      <c r="D8899" s="15" t="s">
        <v>2855</v>
      </c>
      <c r="E8899" s="18" t="s">
        <v>28</v>
      </c>
      <c r="F8899" s="19" t="s">
        <v>28</v>
      </c>
      <c r="G8899" s="19">
        <v>10</v>
      </c>
      <c r="H8899" s="19" t="s">
        <v>28</v>
      </c>
      <c r="I8899" s="18" t="s">
        <v>28</v>
      </c>
      <c r="J8899" s="18" t="s">
        <v>28</v>
      </c>
      <c r="K8899" s="18">
        <v>32</v>
      </c>
      <c r="L8899" s="18" t="s">
        <v>28</v>
      </c>
      <c r="M8899" s="18" t="s">
        <v>28</v>
      </c>
      <c r="N8899" s="17">
        <v>42705</v>
      </c>
      <c r="O8899" s="15" t="s">
        <v>73</v>
      </c>
      <c r="P8899" s="16" t="s">
        <v>25553</v>
      </c>
      <c r="Q8899" s="15" t="s">
        <v>85</v>
      </c>
      <c r="R8899" s="13" t="str">
        <f>HYPERLINK("https://my.pitchbook.com?c=175717-00T","View Company Online")</f>
        <v>View Company Online</v>
      </c>
    </row>
    <row r="8900" spans="1:18" hidden="1" x14ac:dyDescent="0.3">
      <c r="A8900" s="9" t="s">
        <v>25554</v>
      </c>
      <c r="B8900" s="9" t="s">
        <v>21978</v>
      </c>
      <c r="C8900" s="11" t="s">
        <v>28</v>
      </c>
      <c r="D8900" s="9" t="s">
        <v>21979</v>
      </c>
      <c r="E8900" s="11" t="s">
        <v>28</v>
      </c>
      <c r="F8900" s="10" t="s">
        <v>28</v>
      </c>
      <c r="G8900" s="10" t="s">
        <v>28</v>
      </c>
      <c r="H8900" s="10" t="s">
        <v>28</v>
      </c>
      <c r="I8900" s="11" t="s">
        <v>28</v>
      </c>
      <c r="J8900" s="11" t="s">
        <v>28</v>
      </c>
      <c r="K8900" s="11" t="s">
        <v>28</v>
      </c>
      <c r="L8900" s="11" t="s">
        <v>28</v>
      </c>
      <c r="M8900" s="11" t="s">
        <v>28</v>
      </c>
      <c r="N8900" s="8">
        <v>42705</v>
      </c>
      <c r="O8900" s="9" t="s">
        <v>99</v>
      </c>
      <c r="P8900" s="12" t="s">
        <v>25555</v>
      </c>
      <c r="Q8900" s="9" t="s">
        <v>855</v>
      </c>
      <c r="R8900" s="14" t="str">
        <f>HYPERLINK("https://my.pitchbook.com?c=209101-15T","View Company Online")</f>
        <v>View Company Online</v>
      </c>
    </row>
    <row r="8901" spans="1:18" hidden="1" x14ac:dyDescent="0.3">
      <c r="A8901" s="15" t="s">
        <v>25556</v>
      </c>
      <c r="B8901" s="15" t="s">
        <v>21255</v>
      </c>
      <c r="C8901" s="18" t="s">
        <v>28</v>
      </c>
      <c r="D8901" s="15" t="s">
        <v>21256</v>
      </c>
      <c r="E8901" s="18" t="s">
        <v>28</v>
      </c>
      <c r="F8901" s="19" t="s">
        <v>28</v>
      </c>
      <c r="G8901" s="19" t="s">
        <v>28</v>
      </c>
      <c r="H8901" s="19" t="s">
        <v>28</v>
      </c>
      <c r="I8901" s="18" t="s">
        <v>28</v>
      </c>
      <c r="J8901" s="18" t="s">
        <v>28</v>
      </c>
      <c r="K8901" s="18" t="s">
        <v>28</v>
      </c>
      <c r="L8901" s="18" t="s">
        <v>28</v>
      </c>
      <c r="M8901" s="18" t="s">
        <v>28</v>
      </c>
      <c r="N8901" s="17">
        <v>42705</v>
      </c>
      <c r="O8901" s="15" t="s">
        <v>99</v>
      </c>
      <c r="P8901" s="16" t="s">
        <v>25557</v>
      </c>
      <c r="Q8901" s="15" t="s">
        <v>75</v>
      </c>
      <c r="R8901" s="13" t="str">
        <f>HYPERLINK("https://my.pitchbook.com?c=84783-70T","View Company Online")</f>
        <v>View Company Online</v>
      </c>
    </row>
    <row r="8902" spans="1:18" hidden="1" x14ac:dyDescent="0.3">
      <c r="A8902" s="9" t="s">
        <v>25558</v>
      </c>
      <c r="B8902" s="9" t="s">
        <v>25559</v>
      </c>
      <c r="C8902" s="11" t="s">
        <v>28</v>
      </c>
      <c r="D8902" s="9" t="s">
        <v>25560</v>
      </c>
      <c r="E8902" s="11" t="s">
        <v>28</v>
      </c>
      <c r="F8902" s="10">
        <v>52.63</v>
      </c>
      <c r="G8902" s="10">
        <v>50</v>
      </c>
      <c r="H8902" s="10">
        <v>52.63</v>
      </c>
      <c r="I8902" s="11" t="s">
        <v>28</v>
      </c>
      <c r="J8902" s="11" t="s">
        <v>28</v>
      </c>
      <c r="K8902" s="11" t="s">
        <v>28</v>
      </c>
      <c r="L8902" s="11" t="s">
        <v>28</v>
      </c>
      <c r="M8902" s="11" t="s">
        <v>28</v>
      </c>
      <c r="N8902" s="8">
        <v>42705</v>
      </c>
      <c r="O8902" s="9" t="s">
        <v>30</v>
      </c>
      <c r="P8902" s="12" t="s">
        <v>25121</v>
      </c>
      <c r="Q8902" s="9" t="s">
        <v>43</v>
      </c>
      <c r="R8902" s="14" t="str">
        <f>HYPERLINK("https://my.pitchbook.com?c=92139-58T","View Company Online")</f>
        <v>View Company Online</v>
      </c>
    </row>
    <row r="8903" spans="1:18" hidden="1" x14ac:dyDescent="0.3">
      <c r="A8903" s="15" t="s">
        <v>25561</v>
      </c>
      <c r="B8903" s="15" t="s">
        <v>20111</v>
      </c>
      <c r="C8903" s="18" t="s">
        <v>28</v>
      </c>
      <c r="D8903" s="15" t="s">
        <v>20112</v>
      </c>
      <c r="E8903" s="18" t="s">
        <v>28</v>
      </c>
      <c r="F8903" s="19" t="s">
        <v>28</v>
      </c>
      <c r="G8903" s="19" t="s">
        <v>28</v>
      </c>
      <c r="H8903" s="19" t="s">
        <v>28</v>
      </c>
      <c r="I8903" s="18" t="s">
        <v>28</v>
      </c>
      <c r="J8903" s="18" t="s">
        <v>28</v>
      </c>
      <c r="K8903" s="18" t="s">
        <v>28</v>
      </c>
      <c r="L8903" s="18" t="s">
        <v>28</v>
      </c>
      <c r="M8903" s="18" t="s">
        <v>28</v>
      </c>
      <c r="N8903" s="17">
        <v>42705</v>
      </c>
      <c r="O8903" s="15" t="s">
        <v>99</v>
      </c>
      <c r="P8903" s="16" t="s">
        <v>611</v>
      </c>
      <c r="Q8903" s="15" t="s">
        <v>75</v>
      </c>
      <c r="R8903" s="13" t="str">
        <f>HYPERLINK("https://my.pitchbook.com?c=111450-52T","View Company Online")</f>
        <v>View Company Online</v>
      </c>
    </row>
    <row r="8904" spans="1:18" hidden="1" x14ac:dyDescent="0.3">
      <c r="A8904" s="9" t="s">
        <v>25562</v>
      </c>
      <c r="B8904" s="9" t="s">
        <v>14284</v>
      </c>
      <c r="C8904" s="11" t="s">
        <v>28</v>
      </c>
      <c r="D8904" s="9" t="s">
        <v>14285</v>
      </c>
      <c r="E8904" s="11" t="s">
        <v>28</v>
      </c>
      <c r="F8904" s="10" t="s">
        <v>28</v>
      </c>
      <c r="G8904" s="10" t="s">
        <v>28</v>
      </c>
      <c r="H8904" s="10" t="s">
        <v>28</v>
      </c>
      <c r="I8904" s="11" t="s">
        <v>28</v>
      </c>
      <c r="J8904" s="11" t="s">
        <v>28</v>
      </c>
      <c r="K8904" s="11" t="s">
        <v>28</v>
      </c>
      <c r="L8904" s="11" t="s">
        <v>28</v>
      </c>
      <c r="M8904" s="11" t="s">
        <v>28</v>
      </c>
      <c r="N8904" s="8">
        <v>42705</v>
      </c>
      <c r="O8904" s="9" t="s">
        <v>99</v>
      </c>
      <c r="P8904" s="12" t="s">
        <v>611</v>
      </c>
      <c r="Q8904" s="9" t="s">
        <v>75</v>
      </c>
      <c r="R8904" s="14" t="str">
        <f>HYPERLINK("https://my.pitchbook.com?c=243430-48T","View Company Online")</f>
        <v>View Company Online</v>
      </c>
    </row>
    <row r="8905" spans="1:18" hidden="1" x14ac:dyDescent="0.3">
      <c r="A8905" s="15" t="s">
        <v>25563</v>
      </c>
      <c r="B8905" s="15" t="s">
        <v>25564</v>
      </c>
      <c r="C8905" s="18" t="s">
        <v>28</v>
      </c>
      <c r="D8905" s="15" t="s">
        <v>25565</v>
      </c>
      <c r="E8905" s="18" t="s">
        <v>28</v>
      </c>
      <c r="F8905" s="19">
        <v>34.64</v>
      </c>
      <c r="G8905" s="19">
        <v>34.64</v>
      </c>
      <c r="H8905" s="19">
        <v>34.64</v>
      </c>
      <c r="I8905" s="18" t="s">
        <v>28</v>
      </c>
      <c r="J8905" s="18" t="s">
        <v>28</v>
      </c>
      <c r="K8905" s="18" t="s">
        <v>28</v>
      </c>
      <c r="L8905" s="18" t="s">
        <v>28</v>
      </c>
      <c r="M8905" s="18" t="s">
        <v>28</v>
      </c>
      <c r="N8905" s="17">
        <v>42705</v>
      </c>
      <c r="O8905" s="15" t="s">
        <v>41</v>
      </c>
      <c r="P8905" s="16" t="s">
        <v>25566</v>
      </c>
      <c r="Q8905" s="15" t="s">
        <v>424</v>
      </c>
      <c r="R8905" s="13" t="str">
        <f>HYPERLINK("https://my.pitchbook.com?c=96884-65T","View Company Online")</f>
        <v>View Company Online</v>
      </c>
    </row>
    <row r="8906" spans="1:18" hidden="1" x14ac:dyDescent="0.3">
      <c r="A8906" s="9" t="s">
        <v>25567</v>
      </c>
      <c r="B8906" s="9" t="s">
        <v>25568</v>
      </c>
      <c r="C8906" s="11" t="s">
        <v>28</v>
      </c>
      <c r="D8906" s="9" t="s">
        <v>25569</v>
      </c>
      <c r="E8906" s="11" t="s">
        <v>28</v>
      </c>
      <c r="F8906" s="10" t="s">
        <v>28</v>
      </c>
      <c r="G8906" s="10" t="s">
        <v>28</v>
      </c>
      <c r="H8906" s="10" t="s">
        <v>28</v>
      </c>
      <c r="I8906" s="11" t="s">
        <v>28</v>
      </c>
      <c r="J8906" s="11" t="s">
        <v>28</v>
      </c>
      <c r="K8906" s="11" t="s">
        <v>28</v>
      </c>
      <c r="L8906" s="11" t="s">
        <v>28</v>
      </c>
      <c r="M8906" s="11" t="s">
        <v>28</v>
      </c>
      <c r="N8906" s="8">
        <v>42705</v>
      </c>
      <c r="O8906" s="9" t="s">
        <v>30</v>
      </c>
      <c r="P8906" s="12" t="s">
        <v>25570</v>
      </c>
      <c r="Q8906" s="9" t="s">
        <v>2043</v>
      </c>
      <c r="R8906" s="14" t="str">
        <f>HYPERLINK("https://my.pitchbook.com?c=116925-67T","View Company Online")</f>
        <v>View Company Online</v>
      </c>
    </row>
    <row r="8907" spans="1:18" hidden="1" x14ac:dyDescent="0.3">
      <c r="A8907" s="15" t="s">
        <v>25571</v>
      </c>
      <c r="B8907" s="15" t="s">
        <v>25572</v>
      </c>
      <c r="C8907" s="18" t="s">
        <v>28</v>
      </c>
      <c r="D8907" s="15" t="s">
        <v>25573</v>
      </c>
      <c r="E8907" s="18" t="s">
        <v>28</v>
      </c>
      <c r="F8907" s="19" t="s">
        <v>28</v>
      </c>
      <c r="G8907" s="19" t="s">
        <v>28</v>
      </c>
      <c r="H8907" s="19" t="s">
        <v>28</v>
      </c>
      <c r="I8907" s="18" t="s">
        <v>28</v>
      </c>
      <c r="J8907" s="18" t="s">
        <v>28</v>
      </c>
      <c r="K8907" s="18" t="s">
        <v>28</v>
      </c>
      <c r="L8907" s="18" t="s">
        <v>28</v>
      </c>
      <c r="M8907" s="18" t="s">
        <v>28</v>
      </c>
      <c r="N8907" s="17">
        <v>42705</v>
      </c>
      <c r="O8907" s="15" t="s">
        <v>30</v>
      </c>
      <c r="P8907" s="16" t="s">
        <v>343</v>
      </c>
      <c r="Q8907" s="15" t="s">
        <v>348</v>
      </c>
      <c r="R8907" s="13" t="str">
        <f>HYPERLINK("https://my.pitchbook.com?c=103305-97T","View Company Online")</f>
        <v>View Company Online</v>
      </c>
    </row>
    <row r="8908" spans="1:18" hidden="1" x14ac:dyDescent="0.3">
      <c r="A8908" s="9" t="s">
        <v>25574</v>
      </c>
      <c r="B8908" s="9" t="s">
        <v>25575</v>
      </c>
      <c r="C8908" s="11" t="s">
        <v>28</v>
      </c>
      <c r="D8908" s="9" t="s">
        <v>25576</v>
      </c>
      <c r="E8908" s="11" t="s">
        <v>28</v>
      </c>
      <c r="F8908" s="10" t="s">
        <v>28</v>
      </c>
      <c r="G8908" s="10" t="s">
        <v>28</v>
      </c>
      <c r="H8908" s="10" t="s">
        <v>28</v>
      </c>
      <c r="I8908" s="11" t="s">
        <v>28</v>
      </c>
      <c r="J8908" s="11" t="s">
        <v>28</v>
      </c>
      <c r="K8908" s="11" t="s">
        <v>28</v>
      </c>
      <c r="L8908" s="11" t="s">
        <v>28</v>
      </c>
      <c r="M8908" s="11" t="s">
        <v>28</v>
      </c>
      <c r="N8908" s="8">
        <v>42705</v>
      </c>
      <c r="O8908" s="9" t="s">
        <v>99</v>
      </c>
      <c r="P8908" s="12" t="s">
        <v>25577</v>
      </c>
      <c r="Q8908" s="9" t="s">
        <v>37</v>
      </c>
      <c r="R8908" s="14" t="str">
        <f>HYPERLINK("https://my.pitchbook.com?c=200062-90T","View Company Online")</f>
        <v>View Company Online</v>
      </c>
    </row>
    <row r="8909" spans="1:18" hidden="1" x14ac:dyDescent="0.3">
      <c r="A8909" s="15" t="s">
        <v>25578</v>
      </c>
      <c r="B8909" s="15" t="s">
        <v>25579</v>
      </c>
      <c r="C8909" s="18" t="s">
        <v>28</v>
      </c>
      <c r="D8909" s="15" t="s">
        <v>25580</v>
      </c>
      <c r="E8909" s="18" t="s">
        <v>28</v>
      </c>
      <c r="F8909" s="19" t="s">
        <v>28</v>
      </c>
      <c r="G8909" s="19" t="s">
        <v>28</v>
      </c>
      <c r="H8909" s="19" t="s">
        <v>28</v>
      </c>
      <c r="I8909" s="18" t="s">
        <v>28</v>
      </c>
      <c r="J8909" s="18" t="s">
        <v>28</v>
      </c>
      <c r="K8909" s="18">
        <v>86.37</v>
      </c>
      <c r="L8909" s="18" t="s">
        <v>28</v>
      </c>
      <c r="M8909" s="18" t="s">
        <v>28</v>
      </c>
      <c r="N8909" s="17">
        <v>42705</v>
      </c>
      <c r="O8909" s="15" t="s">
        <v>41</v>
      </c>
      <c r="P8909" s="16" t="s">
        <v>9964</v>
      </c>
      <c r="Q8909" s="15" t="s">
        <v>5132</v>
      </c>
      <c r="R8909" s="13" t="str">
        <f>HYPERLINK("https://my.pitchbook.com?c=108253-63T","View Company Online")</f>
        <v>View Company Online</v>
      </c>
    </row>
    <row r="8910" spans="1:18" hidden="1" x14ac:dyDescent="0.3">
      <c r="A8910" s="9" t="s">
        <v>25581</v>
      </c>
      <c r="B8910" s="9" t="s">
        <v>25582</v>
      </c>
      <c r="C8910" s="11" t="s">
        <v>28</v>
      </c>
      <c r="D8910" s="9" t="s">
        <v>25583</v>
      </c>
      <c r="E8910" s="11" t="s">
        <v>28</v>
      </c>
      <c r="F8910" s="10">
        <v>110.94</v>
      </c>
      <c r="G8910" s="10">
        <v>110.94</v>
      </c>
      <c r="H8910" s="10">
        <v>110.94</v>
      </c>
      <c r="I8910" s="11" t="s">
        <v>28</v>
      </c>
      <c r="J8910" s="11" t="s">
        <v>28</v>
      </c>
      <c r="K8910" s="11">
        <v>0.01</v>
      </c>
      <c r="L8910" s="11">
        <v>11163.15</v>
      </c>
      <c r="M8910" s="11" t="s">
        <v>28</v>
      </c>
      <c r="N8910" s="8">
        <v>42704</v>
      </c>
      <c r="O8910" s="9" t="s">
        <v>30</v>
      </c>
      <c r="P8910" s="12" t="s">
        <v>25584</v>
      </c>
      <c r="Q8910" s="9" t="s">
        <v>1862</v>
      </c>
      <c r="R8910" s="14" t="str">
        <f>HYPERLINK("https://my.pitchbook.com?c=74316-79T","View Company Online")</f>
        <v>View Company Online</v>
      </c>
    </row>
    <row r="8911" spans="1:18" hidden="1" x14ac:dyDescent="0.3">
      <c r="A8911" s="15" t="s">
        <v>25585</v>
      </c>
      <c r="B8911" s="15" t="s">
        <v>5585</v>
      </c>
      <c r="C8911" s="18" t="s">
        <v>28</v>
      </c>
      <c r="D8911" s="15" t="s">
        <v>5586</v>
      </c>
      <c r="E8911" s="18" t="s">
        <v>28</v>
      </c>
      <c r="F8911" s="19" t="s">
        <v>28</v>
      </c>
      <c r="G8911" s="19">
        <v>0.89</v>
      </c>
      <c r="H8911" s="19">
        <v>3.67</v>
      </c>
      <c r="I8911" s="18" t="s">
        <v>28</v>
      </c>
      <c r="J8911" s="18" t="s">
        <v>28</v>
      </c>
      <c r="K8911" s="18" t="s">
        <v>28</v>
      </c>
      <c r="L8911" s="18" t="s">
        <v>28</v>
      </c>
      <c r="M8911" s="18" t="s">
        <v>28</v>
      </c>
      <c r="N8911" s="17">
        <v>42704</v>
      </c>
      <c r="O8911" s="15" t="s">
        <v>73</v>
      </c>
      <c r="P8911" s="16" t="s">
        <v>25586</v>
      </c>
      <c r="Q8911" s="15" t="s">
        <v>37</v>
      </c>
      <c r="R8911" s="13" t="str">
        <f>HYPERLINK("https://my.pitchbook.com?c=84782-89T","View Company Online")</f>
        <v>View Company Online</v>
      </c>
    </row>
    <row r="8912" spans="1:18" hidden="1" x14ac:dyDescent="0.3">
      <c r="A8912" s="9" t="s">
        <v>25587</v>
      </c>
      <c r="B8912" s="9" t="s">
        <v>25588</v>
      </c>
      <c r="C8912" s="11" t="s">
        <v>28</v>
      </c>
      <c r="D8912" s="9" t="s">
        <v>25589</v>
      </c>
      <c r="E8912" s="11" t="s">
        <v>28</v>
      </c>
      <c r="F8912" s="10" t="s">
        <v>28</v>
      </c>
      <c r="G8912" s="10" t="s">
        <v>28</v>
      </c>
      <c r="H8912" s="10" t="s">
        <v>28</v>
      </c>
      <c r="I8912" s="11" t="s">
        <v>28</v>
      </c>
      <c r="J8912" s="11" t="s">
        <v>28</v>
      </c>
      <c r="K8912" s="11" t="s">
        <v>28</v>
      </c>
      <c r="L8912" s="11" t="s">
        <v>28</v>
      </c>
      <c r="M8912" s="11" t="s">
        <v>28</v>
      </c>
      <c r="N8912" s="8">
        <v>42703</v>
      </c>
      <c r="O8912" s="9" t="s">
        <v>30</v>
      </c>
      <c r="P8912" s="12" t="s">
        <v>5999</v>
      </c>
      <c r="Q8912" s="9" t="s">
        <v>268</v>
      </c>
      <c r="R8912" s="14" t="str">
        <f>HYPERLINK("https://my.pitchbook.com?c=110355-13T","View Company Online")</f>
        <v>View Company Online</v>
      </c>
    </row>
    <row r="8913" spans="1:18" hidden="1" x14ac:dyDescent="0.3">
      <c r="A8913" s="15" t="s">
        <v>25590</v>
      </c>
      <c r="B8913" s="15" t="s">
        <v>25591</v>
      </c>
      <c r="C8913" s="18" t="s">
        <v>28</v>
      </c>
      <c r="D8913" s="15" t="s">
        <v>25592</v>
      </c>
      <c r="E8913" s="18" t="s">
        <v>28</v>
      </c>
      <c r="F8913" s="19" t="s">
        <v>28</v>
      </c>
      <c r="G8913" s="19" t="s">
        <v>28</v>
      </c>
      <c r="H8913" s="19" t="s">
        <v>28</v>
      </c>
      <c r="I8913" s="18" t="s">
        <v>28</v>
      </c>
      <c r="J8913" s="18" t="s">
        <v>28</v>
      </c>
      <c r="K8913" s="18" t="s">
        <v>28</v>
      </c>
      <c r="L8913" s="18" t="s">
        <v>28</v>
      </c>
      <c r="M8913" s="18" t="s">
        <v>28</v>
      </c>
      <c r="N8913" s="17">
        <v>42702</v>
      </c>
      <c r="O8913" s="15" t="s">
        <v>73</v>
      </c>
      <c r="P8913" s="16" t="s">
        <v>21466</v>
      </c>
      <c r="Q8913" s="15" t="s">
        <v>9705</v>
      </c>
      <c r="R8913" s="13" t="str">
        <f>HYPERLINK("https://my.pitchbook.com?c=136883-08T","View Company Online")</f>
        <v>View Company Online</v>
      </c>
    </row>
    <row r="8914" spans="1:18" hidden="1" x14ac:dyDescent="0.3">
      <c r="A8914" s="9" t="s">
        <v>25593</v>
      </c>
      <c r="B8914" s="9" t="s">
        <v>25594</v>
      </c>
      <c r="C8914" s="11" t="s">
        <v>28</v>
      </c>
      <c r="D8914" s="9" t="s">
        <v>25595</v>
      </c>
      <c r="E8914" s="11" t="s">
        <v>28</v>
      </c>
      <c r="F8914" s="10" t="s">
        <v>28</v>
      </c>
      <c r="G8914" s="10" t="s">
        <v>28</v>
      </c>
      <c r="H8914" s="10" t="s">
        <v>28</v>
      </c>
      <c r="I8914" s="11" t="s">
        <v>28</v>
      </c>
      <c r="J8914" s="11" t="s">
        <v>28</v>
      </c>
      <c r="K8914" s="11" t="s">
        <v>28</v>
      </c>
      <c r="L8914" s="11" t="s">
        <v>28</v>
      </c>
      <c r="M8914" s="11" t="s">
        <v>28</v>
      </c>
      <c r="N8914" s="8">
        <v>42699</v>
      </c>
      <c r="O8914" s="9" t="s">
        <v>30</v>
      </c>
      <c r="P8914" s="12" t="s">
        <v>864</v>
      </c>
      <c r="Q8914" s="9" t="s">
        <v>692</v>
      </c>
      <c r="R8914" s="14" t="str">
        <f>HYPERLINK("https://my.pitchbook.com?c=110360-98T","View Company Online")</f>
        <v>View Company Online</v>
      </c>
    </row>
    <row r="8915" spans="1:18" hidden="1" x14ac:dyDescent="0.3">
      <c r="A8915" s="15" t="s">
        <v>25596</v>
      </c>
      <c r="B8915" s="15" t="s">
        <v>17160</v>
      </c>
      <c r="C8915" s="18" t="s">
        <v>28</v>
      </c>
      <c r="D8915" s="15" t="s">
        <v>17161</v>
      </c>
      <c r="E8915" s="18" t="s">
        <v>28</v>
      </c>
      <c r="F8915" s="19" t="s">
        <v>28</v>
      </c>
      <c r="G8915" s="19">
        <v>0.03</v>
      </c>
      <c r="H8915" s="19" t="s">
        <v>28</v>
      </c>
      <c r="I8915" s="18" t="s">
        <v>28</v>
      </c>
      <c r="J8915" s="18" t="s">
        <v>28</v>
      </c>
      <c r="K8915" s="18" t="s">
        <v>28</v>
      </c>
      <c r="L8915" s="18" t="s">
        <v>28</v>
      </c>
      <c r="M8915" s="18" t="s">
        <v>28</v>
      </c>
      <c r="N8915" s="17">
        <v>42698</v>
      </c>
      <c r="O8915" s="15" t="s">
        <v>52</v>
      </c>
      <c r="P8915" s="16" t="s">
        <v>20428</v>
      </c>
      <c r="Q8915" s="15" t="s">
        <v>75</v>
      </c>
      <c r="R8915" s="13" t="str">
        <f>HYPERLINK("https://my.pitchbook.com?c=107110-27T","View Company Online")</f>
        <v>View Company Online</v>
      </c>
    </row>
    <row r="8916" spans="1:18" hidden="1" x14ac:dyDescent="0.3">
      <c r="A8916" s="9" t="s">
        <v>25597</v>
      </c>
      <c r="B8916" s="9" t="s">
        <v>4927</v>
      </c>
      <c r="C8916" s="11" t="s">
        <v>28</v>
      </c>
      <c r="D8916" s="9" t="s">
        <v>4928</v>
      </c>
      <c r="E8916" s="11" t="s">
        <v>28</v>
      </c>
      <c r="F8916" s="10" t="s">
        <v>28</v>
      </c>
      <c r="G8916" s="10" t="s">
        <v>28</v>
      </c>
      <c r="H8916" s="10" t="s">
        <v>28</v>
      </c>
      <c r="I8916" s="11" t="s">
        <v>28</v>
      </c>
      <c r="J8916" s="11" t="s">
        <v>28</v>
      </c>
      <c r="K8916" s="11">
        <v>190</v>
      </c>
      <c r="L8916" s="11" t="s">
        <v>28</v>
      </c>
      <c r="M8916" s="11" t="s">
        <v>28</v>
      </c>
      <c r="N8916" s="8">
        <v>42695</v>
      </c>
      <c r="O8916" s="9" t="s">
        <v>93</v>
      </c>
      <c r="P8916" s="12" t="s">
        <v>25598</v>
      </c>
      <c r="Q8916" s="9" t="s">
        <v>136</v>
      </c>
      <c r="R8916" s="14" t="str">
        <f>HYPERLINK("https://my.pitchbook.com?c=78774-13T","View Company Online")</f>
        <v>View Company Online</v>
      </c>
    </row>
    <row r="8917" spans="1:18" hidden="1" x14ac:dyDescent="0.3">
      <c r="A8917" s="15" t="s">
        <v>25599</v>
      </c>
      <c r="B8917" s="15" t="s">
        <v>25600</v>
      </c>
      <c r="C8917" s="18" t="s">
        <v>28</v>
      </c>
      <c r="D8917" s="15" t="s">
        <v>25601</v>
      </c>
      <c r="E8917" s="18">
        <v>-0.11</v>
      </c>
      <c r="F8917" s="19" t="s">
        <v>28</v>
      </c>
      <c r="G8917" s="19">
        <v>0.09</v>
      </c>
      <c r="H8917" s="19" t="s">
        <v>28</v>
      </c>
      <c r="I8917" s="18">
        <v>-0.11</v>
      </c>
      <c r="J8917" s="18" t="s">
        <v>28</v>
      </c>
      <c r="K8917" s="18">
        <v>0.01</v>
      </c>
      <c r="L8917" s="18" t="s">
        <v>28</v>
      </c>
      <c r="M8917" s="18">
        <v>-0.11</v>
      </c>
      <c r="N8917" s="17">
        <v>42695</v>
      </c>
      <c r="O8917" s="15" t="s">
        <v>159</v>
      </c>
      <c r="P8917" s="16" t="s">
        <v>28</v>
      </c>
      <c r="Q8917" s="15" t="s">
        <v>658</v>
      </c>
      <c r="R8917" s="13" t="str">
        <f>HYPERLINK("https://my.pitchbook.com?c=256450-78T","View Company Online")</f>
        <v>View Company Online</v>
      </c>
    </row>
    <row r="8918" spans="1:18" hidden="1" x14ac:dyDescent="0.3">
      <c r="A8918" s="9" t="s">
        <v>25602</v>
      </c>
      <c r="B8918" s="9" t="s">
        <v>21487</v>
      </c>
      <c r="C8918" s="11" t="s">
        <v>28</v>
      </c>
      <c r="D8918" s="9" t="s">
        <v>21488</v>
      </c>
      <c r="E8918" s="11" t="s">
        <v>28</v>
      </c>
      <c r="F8918" s="10" t="s">
        <v>28</v>
      </c>
      <c r="G8918" s="10" t="s">
        <v>28</v>
      </c>
      <c r="H8918" s="10" t="s">
        <v>28</v>
      </c>
      <c r="I8918" s="11" t="s">
        <v>28</v>
      </c>
      <c r="J8918" s="11" t="s">
        <v>28</v>
      </c>
      <c r="K8918" s="11" t="s">
        <v>28</v>
      </c>
      <c r="L8918" s="11" t="s">
        <v>28</v>
      </c>
      <c r="M8918" s="11" t="s">
        <v>28</v>
      </c>
      <c r="N8918" s="8">
        <v>42695</v>
      </c>
      <c r="O8918" s="9" t="s">
        <v>99</v>
      </c>
      <c r="P8918" s="12" t="s">
        <v>25603</v>
      </c>
      <c r="Q8918" s="9" t="s">
        <v>75</v>
      </c>
      <c r="R8918" s="14" t="str">
        <f>HYPERLINK("https://my.pitchbook.com?c=81411-04T","View Company Online")</f>
        <v>View Company Online</v>
      </c>
    </row>
    <row r="8919" spans="1:18" hidden="1" x14ac:dyDescent="0.3">
      <c r="A8919" s="15" t="s">
        <v>25604</v>
      </c>
      <c r="B8919" s="15" t="s">
        <v>21434</v>
      </c>
      <c r="C8919" s="18" t="s">
        <v>28</v>
      </c>
      <c r="D8919" s="15" t="s">
        <v>21435</v>
      </c>
      <c r="E8919" s="18" t="s">
        <v>28</v>
      </c>
      <c r="F8919" s="19" t="s">
        <v>28</v>
      </c>
      <c r="G8919" s="19" t="s">
        <v>28</v>
      </c>
      <c r="H8919" s="19" t="s">
        <v>28</v>
      </c>
      <c r="I8919" s="18" t="s">
        <v>28</v>
      </c>
      <c r="J8919" s="18" t="s">
        <v>28</v>
      </c>
      <c r="K8919" s="18" t="s">
        <v>28</v>
      </c>
      <c r="L8919" s="18" t="s">
        <v>28</v>
      </c>
      <c r="M8919" s="18" t="s">
        <v>28</v>
      </c>
      <c r="N8919" s="17">
        <v>42693</v>
      </c>
      <c r="O8919" s="15" t="s">
        <v>52</v>
      </c>
      <c r="P8919" s="16" t="s">
        <v>25605</v>
      </c>
      <c r="Q8919" s="15" t="s">
        <v>1035</v>
      </c>
      <c r="R8919" s="13" t="str">
        <f>HYPERLINK("https://my.pitchbook.com?c=283554-46T","View Company Online")</f>
        <v>View Company Online</v>
      </c>
    </row>
    <row r="8920" spans="1:18" hidden="1" x14ac:dyDescent="0.3">
      <c r="A8920" s="9" t="s">
        <v>25606</v>
      </c>
      <c r="B8920" s="9" t="s">
        <v>25607</v>
      </c>
      <c r="C8920" s="11" t="s">
        <v>28</v>
      </c>
      <c r="D8920" s="9" t="s">
        <v>25608</v>
      </c>
      <c r="E8920" s="11" t="s">
        <v>28</v>
      </c>
      <c r="F8920" s="10" t="s">
        <v>28</v>
      </c>
      <c r="G8920" s="10" t="s">
        <v>28</v>
      </c>
      <c r="H8920" s="10" t="s">
        <v>28</v>
      </c>
      <c r="I8920" s="11" t="s">
        <v>28</v>
      </c>
      <c r="J8920" s="11" t="s">
        <v>28</v>
      </c>
      <c r="K8920" s="11" t="s">
        <v>28</v>
      </c>
      <c r="L8920" s="11" t="s">
        <v>28</v>
      </c>
      <c r="M8920" s="11" t="s">
        <v>28</v>
      </c>
      <c r="N8920" s="8">
        <v>42692</v>
      </c>
      <c r="O8920" s="9" t="s">
        <v>30</v>
      </c>
      <c r="P8920" s="12" t="s">
        <v>25609</v>
      </c>
      <c r="Q8920" s="9" t="s">
        <v>832</v>
      </c>
      <c r="R8920" s="14" t="str">
        <f>HYPERLINK("https://my.pitchbook.com?c=78684-58T","View Company Online")</f>
        <v>View Company Online</v>
      </c>
    </row>
    <row r="8921" spans="1:18" hidden="1" x14ac:dyDescent="0.3">
      <c r="A8921" s="15" t="s">
        <v>25610</v>
      </c>
      <c r="B8921" s="15" t="s">
        <v>4890</v>
      </c>
      <c r="C8921" s="18" t="s">
        <v>28</v>
      </c>
      <c r="D8921" s="15" t="s">
        <v>4891</v>
      </c>
      <c r="E8921" s="18" t="s">
        <v>28</v>
      </c>
      <c r="F8921" s="19" t="s">
        <v>28</v>
      </c>
      <c r="G8921" s="19">
        <v>0.15</v>
      </c>
      <c r="H8921" s="19">
        <v>2.5</v>
      </c>
      <c r="I8921" s="18" t="s">
        <v>28</v>
      </c>
      <c r="J8921" s="18" t="s">
        <v>28</v>
      </c>
      <c r="K8921" s="18" t="s">
        <v>28</v>
      </c>
      <c r="L8921" s="18" t="s">
        <v>28</v>
      </c>
      <c r="M8921" s="18" t="s">
        <v>28</v>
      </c>
      <c r="N8921" s="17">
        <v>42692</v>
      </c>
      <c r="O8921" s="15" t="s">
        <v>52</v>
      </c>
      <c r="P8921" s="16" t="s">
        <v>10628</v>
      </c>
      <c r="Q8921" s="15" t="s">
        <v>75</v>
      </c>
      <c r="R8921" s="13" t="str">
        <f>HYPERLINK("https://my.pitchbook.com?c=78766-93T","View Company Online")</f>
        <v>View Company Online</v>
      </c>
    </row>
    <row r="8922" spans="1:18" hidden="1" x14ac:dyDescent="0.3">
      <c r="A8922" s="9" t="s">
        <v>25611</v>
      </c>
      <c r="B8922" s="9" t="s">
        <v>1553</v>
      </c>
      <c r="C8922" s="11" t="s">
        <v>28</v>
      </c>
      <c r="D8922" s="9" t="s">
        <v>1554</v>
      </c>
      <c r="E8922" s="11" t="s">
        <v>28</v>
      </c>
      <c r="F8922" s="10" t="s">
        <v>28</v>
      </c>
      <c r="G8922" s="10">
        <v>0.02</v>
      </c>
      <c r="H8922" s="10" t="s">
        <v>28</v>
      </c>
      <c r="I8922" s="11" t="s">
        <v>28</v>
      </c>
      <c r="J8922" s="11" t="s">
        <v>28</v>
      </c>
      <c r="K8922" s="11" t="s">
        <v>28</v>
      </c>
      <c r="L8922" s="11" t="s">
        <v>28</v>
      </c>
      <c r="M8922" s="11" t="s">
        <v>28</v>
      </c>
      <c r="N8922" s="8">
        <v>42691</v>
      </c>
      <c r="O8922" s="9" t="s">
        <v>47</v>
      </c>
      <c r="P8922" s="12" t="s">
        <v>25612</v>
      </c>
      <c r="Q8922" s="9" t="s">
        <v>43</v>
      </c>
      <c r="R8922" s="14" t="str">
        <f>HYPERLINK("https://my.pitchbook.com?c=115627-96T","View Company Online")</f>
        <v>View Company Online</v>
      </c>
    </row>
    <row r="8923" spans="1:18" hidden="1" x14ac:dyDescent="0.3">
      <c r="A8923" s="15" t="s">
        <v>25613</v>
      </c>
      <c r="B8923" s="15" t="s">
        <v>4890</v>
      </c>
      <c r="C8923" s="18" t="s">
        <v>28</v>
      </c>
      <c r="D8923" s="15" t="s">
        <v>4891</v>
      </c>
      <c r="E8923" s="18" t="s">
        <v>28</v>
      </c>
      <c r="F8923" s="19" t="s">
        <v>28</v>
      </c>
      <c r="G8923" s="19">
        <v>0.5</v>
      </c>
      <c r="H8923" s="19" t="s">
        <v>28</v>
      </c>
      <c r="I8923" s="18" t="s">
        <v>28</v>
      </c>
      <c r="J8923" s="18" t="s">
        <v>28</v>
      </c>
      <c r="K8923" s="18" t="s">
        <v>28</v>
      </c>
      <c r="L8923" s="18" t="s">
        <v>28</v>
      </c>
      <c r="M8923" s="18" t="s">
        <v>28</v>
      </c>
      <c r="N8923" s="17">
        <v>42691</v>
      </c>
      <c r="O8923" s="15" t="s">
        <v>379</v>
      </c>
      <c r="P8923" s="16" t="s">
        <v>25614</v>
      </c>
      <c r="Q8923" s="15" t="s">
        <v>75</v>
      </c>
      <c r="R8923" s="13" t="str">
        <f>HYPERLINK("https://my.pitchbook.com?c=78766-21T","View Company Online")</f>
        <v>View Company Online</v>
      </c>
    </row>
    <row r="8924" spans="1:18" hidden="1" x14ac:dyDescent="0.3">
      <c r="A8924" s="9" t="s">
        <v>25615</v>
      </c>
      <c r="B8924" s="9" t="s">
        <v>25616</v>
      </c>
      <c r="C8924" s="11" t="s">
        <v>28</v>
      </c>
      <c r="D8924" s="9" t="s">
        <v>25617</v>
      </c>
      <c r="E8924" s="11" t="s">
        <v>28</v>
      </c>
      <c r="F8924" s="10" t="s">
        <v>28</v>
      </c>
      <c r="G8924" s="10" t="s">
        <v>28</v>
      </c>
      <c r="H8924" s="10" t="s">
        <v>28</v>
      </c>
      <c r="I8924" s="11" t="s">
        <v>28</v>
      </c>
      <c r="J8924" s="11" t="s">
        <v>28</v>
      </c>
      <c r="K8924" s="11" t="s">
        <v>28</v>
      </c>
      <c r="L8924" s="11" t="s">
        <v>28</v>
      </c>
      <c r="M8924" s="11" t="s">
        <v>28</v>
      </c>
      <c r="N8924" s="8">
        <v>42690</v>
      </c>
      <c r="O8924" s="9" t="s">
        <v>30</v>
      </c>
      <c r="P8924" s="12" t="s">
        <v>25618</v>
      </c>
      <c r="Q8924" s="9" t="s">
        <v>4602</v>
      </c>
      <c r="R8924" s="14" t="str">
        <f>HYPERLINK("https://my.pitchbook.com?c=103682-35T","View Company Online")</f>
        <v>View Company Online</v>
      </c>
    </row>
    <row r="8925" spans="1:18" hidden="1" x14ac:dyDescent="0.3">
      <c r="A8925" s="15" t="s">
        <v>25619</v>
      </c>
      <c r="B8925" s="15" t="s">
        <v>25620</v>
      </c>
      <c r="C8925" s="18" t="s">
        <v>28</v>
      </c>
      <c r="D8925" s="15" t="s">
        <v>25621</v>
      </c>
      <c r="E8925" s="18" t="s">
        <v>28</v>
      </c>
      <c r="F8925" s="19" t="s">
        <v>28</v>
      </c>
      <c r="G8925" s="19" t="s">
        <v>28</v>
      </c>
      <c r="H8925" s="19" t="s">
        <v>28</v>
      </c>
      <c r="I8925" s="18" t="s">
        <v>28</v>
      </c>
      <c r="J8925" s="18" t="s">
        <v>28</v>
      </c>
      <c r="K8925" s="18" t="s">
        <v>28</v>
      </c>
      <c r="L8925" s="18" t="s">
        <v>28</v>
      </c>
      <c r="M8925" s="18" t="s">
        <v>28</v>
      </c>
      <c r="N8925" s="17">
        <v>42690</v>
      </c>
      <c r="O8925" s="15" t="s">
        <v>41</v>
      </c>
      <c r="P8925" s="16" t="s">
        <v>25622</v>
      </c>
      <c r="Q8925" s="15" t="s">
        <v>5347</v>
      </c>
      <c r="R8925" s="13" t="str">
        <f>HYPERLINK("https://my.pitchbook.com?c=96822-73T","View Company Online")</f>
        <v>View Company Online</v>
      </c>
    </row>
    <row r="8926" spans="1:18" hidden="1" x14ac:dyDescent="0.3">
      <c r="A8926" s="9" t="s">
        <v>25623</v>
      </c>
      <c r="B8926" s="9" t="s">
        <v>3877</v>
      </c>
      <c r="C8926" s="11" t="s">
        <v>28</v>
      </c>
      <c r="D8926" s="9" t="s">
        <v>3878</v>
      </c>
      <c r="E8926" s="11" t="s">
        <v>28</v>
      </c>
      <c r="F8926" s="10" t="s">
        <v>28</v>
      </c>
      <c r="G8926" s="10" t="s">
        <v>28</v>
      </c>
      <c r="H8926" s="10" t="s">
        <v>28</v>
      </c>
      <c r="I8926" s="11" t="s">
        <v>28</v>
      </c>
      <c r="J8926" s="11" t="s">
        <v>28</v>
      </c>
      <c r="K8926" s="11" t="s">
        <v>28</v>
      </c>
      <c r="L8926" s="11" t="s">
        <v>28</v>
      </c>
      <c r="M8926" s="11" t="s">
        <v>28</v>
      </c>
      <c r="N8926" s="8">
        <v>42685</v>
      </c>
      <c r="O8926" s="9" t="s">
        <v>52</v>
      </c>
      <c r="P8926" s="12" t="s">
        <v>4297</v>
      </c>
      <c r="Q8926" s="9" t="s">
        <v>75</v>
      </c>
      <c r="R8926" s="14" t="str">
        <f>HYPERLINK("https://my.pitchbook.com?c=113195-35T","View Company Online")</f>
        <v>View Company Online</v>
      </c>
    </row>
    <row r="8927" spans="1:18" hidden="1" x14ac:dyDescent="0.3">
      <c r="A8927" s="15" t="s">
        <v>25624</v>
      </c>
      <c r="B8927" s="15" t="s">
        <v>25625</v>
      </c>
      <c r="C8927" s="18" t="s">
        <v>28</v>
      </c>
      <c r="D8927" s="15" t="s">
        <v>25626</v>
      </c>
      <c r="E8927" s="18" t="s">
        <v>28</v>
      </c>
      <c r="F8927" s="19" t="s">
        <v>28</v>
      </c>
      <c r="G8927" s="19" t="s">
        <v>28</v>
      </c>
      <c r="H8927" s="19" t="s">
        <v>28</v>
      </c>
      <c r="I8927" s="18" t="s">
        <v>28</v>
      </c>
      <c r="J8927" s="18" t="s">
        <v>28</v>
      </c>
      <c r="K8927" s="18" t="s">
        <v>28</v>
      </c>
      <c r="L8927" s="18" t="s">
        <v>28</v>
      </c>
      <c r="M8927" s="18" t="s">
        <v>28</v>
      </c>
      <c r="N8927" s="17">
        <v>42685</v>
      </c>
      <c r="O8927" s="15" t="s">
        <v>30</v>
      </c>
      <c r="P8927" s="16" t="s">
        <v>25627</v>
      </c>
      <c r="Q8927" s="15" t="s">
        <v>331</v>
      </c>
      <c r="R8927" s="13" t="str">
        <f>HYPERLINK("https://my.pitchbook.com?c=100176-76T","View Company Online")</f>
        <v>View Company Online</v>
      </c>
    </row>
    <row r="8928" spans="1:18" hidden="1" x14ac:dyDescent="0.3">
      <c r="A8928" s="9" t="s">
        <v>25628</v>
      </c>
      <c r="B8928" s="9" t="s">
        <v>14311</v>
      </c>
      <c r="C8928" s="11" t="s">
        <v>28</v>
      </c>
      <c r="D8928" s="9" t="s">
        <v>14312</v>
      </c>
      <c r="E8928" s="11" t="s">
        <v>28</v>
      </c>
      <c r="F8928" s="10" t="s">
        <v>28</v>
      </c>
      <c r="G8928" s="10">
        <v>0.62</v>
      </c>
      <c r="H8928" s="10" t="s">
        <v>28</v>
      </c>
      <c r="I8928" s="11" t="s">
        <v>28</v>
      </c>
      <c r="J8928" s="11" t="s">
        <v>28</v>
      </c>
      <c r="K8928" s="11" t="s">
        <v>28</v>
      </c>
      <c r="L8928" s="11" t="s">
        <v>28</v>
      </c>
      <c r="M8928" s="11" t="s">
        <v>28</v>
      </c>
      <c r="N8928" s="8">
        <v>42684</v>
      </c>
      <c r="O8928" s="9" t="s">
        <v>79</v>
      </c>
      <c r="P8928" s="12" t="s">
        <v>25629</v>
      </c>
      <c r="Q8928" s="9" t="s">
        <v>37</v>
      </c>
      <c r="R8928" s="14" t="str">
        <f>HYPERLINK("https://my.pitchbook.com?c=81658-45T","View Company Online")</f>
        <v>View Company Online</v>
      </c>
    </row>
    <row r="8929" spans="1:18" hidden="1" x14ac:dyDescent="0.3">
      <c r="A8929" s="15" t="s">
        <v>25630</v>
      </c>
      <c r="B8929" s="15" t="s">
        <v>11563</v>
      </c>
      <c r="C8929" s="18" t="s">
        <v>28</v>
      </c>
      <c r="D8929" s="15" t="s">
        <v>11564</v>
      </c>
      <c r="E8929" s="18" t="s">
        <v>28</v>
      </c>
      <c r="F8929" s="19" t="s">
        <v>28</v>
      </c>
      <c r="G8929" s="19" t="s">
        <v>28</v>
      </c>
      <c r="H8929" s="19" t="s">
        <v>28</v>
      </c>
      <c r="I8929" s="18" t="s">
        <v>28</v>
      </c>
      <c r="J8929" s="18" t="s">
        <v>28</v>
      </c>
      <c r="K8929" s="18" t="s">
        <v>28</v>
      </c>
      <c r="L8929" s="18" t="s">
        <v>28</v>
      </c>
      <c r="M8929" s="18" t="s">
        <v>28</v>
      </c>
      <c r="N8929" s="17">
        <v>42684</v>
      </c>
      <c r="O8929" s="15" t="s">
        <v>93</v>
      </c>
      <c r="P8929" s="16" t="s">
        <v>24171</v>
      </c>
      <c r="Q8929" s="15" t="s">
        <v>5347</v>
      </c>
      <c r="R8929" s="13" t="str">
        <f>HYPERLINK("https://my.pitchbook.com?c=79391-71T","View Company Online")</f>
        <v>View Company Online</v>
      </c>
    </row>
    <row r="8930" spans="1:18" hidden="1" x14ac:dyDescent="0.3">
      <c r="A8930" s="9" t="s">
        <v>25631</v>
      </c>
      <c r="B8930" s="9" t="s">
        <v>25632</v>
      </c>
      <c r="C8930" s="11" t="s">
        <v>28</v>
      </c>
      <c r="D8930" s="9" t="s">
        <v>25633</v>
      </c>
      <c r="E8930" s="11" t="s">
        <v>28</v>
      </c>
      <c r="F8930" s="10">
        <v>15.66</v>
      </c>
      <c r="G8930" s="10">
        <v>15.66</v>
      </c>
      <c r="H8930" s="10">
        <v>15.66</v>
      </c>
      <c r="I8930" s="11" t="s">
        <v>28</v>
      </c>
      <c r="J8930" s="11" t="s">
        <v>28</v>
      </c>
      <c r="K8930" s="11" t="s">
        <v>28</v>
      </c>
      <c r="L8930" s="11" t="s">
        <v>28</v>
      </c>
      <c r="M8930" s="11" t="s">
        <v>28</v>
      </c>
      <c r="N8930" s="8">
        <v>42683</v>
      </c>
      <c r="O8930" s="9" t="s">
        <v>30</v>
      </c>
      <c r="P8930" s="12" t="s">
        <v>4616</v>
      </c>
      <c r="Q8930" s="9" t="s">
        <v>880</v>
      </c>
      <c r="R8930" s="14" t="str">
        <f>HYPERLINK("https://my.pitchbook.com?c=257858-20T","View Company Online")</f>
        <v>View Company Online</v>
      </c>
    </row>
    <row r="8931" spans="1:18" hidden="1" x14ac:dyDescent="0.3">
      <c r="A8931" s="15" t="s">
        <v>25634</v>
      </c>
      <c r="B8931" s="15" t="s">
        <v>9538</v>
      </c>
      <c r="C8931" s="18" t="s">
        <v>28</v>
      </c>
      <c r="D8931" s="15" t="s">
        <v>9539</v>
      </c>
      <c r="E8931" s="18" t="s">
        <v>28</v>
      </c>
      <c r="F8931" s="19" t="s">
        <v>28</v>
      </c>
      <c r="G8931" s="19" t="s">
        <v>28</v>
      </c>
      <c r="H8931" s="19" t="s">
        <v>28</v>
      </c>
      <c r="I8931" s="18" t="s">
        <v>28</v>
      </c>
      <c r="J8931" s="18" t="s">
        <v>28</v>
      </c>
      <c r="K8931" s="18" t="s">
        <v>28</v>
      </c>
      <c r="L8931" s="18" t="s">
        <v>28</v>
      </c>
      <c r="M8931" s="18" t="s">
        <v>28</v>
      </c>
      <c r="N8931" s="17">
        <v>42681</v>
      </c>
      <c r="O8931" s="15" t="s">
        <v>52</v>
      </c>
      <c r="P8931" s="16" t="s">
        <v>4500</v>
      </c>
      <c r="Q8931" s="15" t="s">
        <v>37</v>
      </c>
      <c r="R8931" s="13" t="str">
        <f>HYPERLINK("https://my.pitchbook.com?c=116008-30T","View Company Online")</f>
        <v>View Company Online</v>
      </c>
    </row>
    <row r="8932" spans="1:18" hidden="1" x14ac:dyDescent="0.3">
      <c r="A8932" s="9" t="s">
        <v>25635</v>
      </c>
      <c r="B8932" s="9" t="s">
        <v>25636</v>
      </c>
      <c r="C8932" s="11" t="s">
        <v>28</v>
      </c>
      <c r="D8932" s="9" t="s">
        <v>25637</v>
      </c>
      <c r="E8932" s="11" t="s">
        <v>28</v>
      </c>
      <c r="F8932" s="10" t="s">
        <v>28</v>
      </c>
      <c r="G8932" s="10">
        <v>0.01</v>
      </c>
      <c r="H8932" s="10" t="s">
        <v>28</v>
      </c>
      <c r="I8932" s="11" t="s">
        <v>28</v>
      </c>
      <c r="J8932" s="11" t="s">
        <v>28</v>
      </c>
      <c r="K8932" s="11" t="s">
        <v>28</v>
      </c>
      <c r="L8932" s="11" t="s">
        <v>28</v>
      </c>
      <c r="M8932" s="11" t="s">
        <v>28</v>
      </c>
      <c r="N8932" s="8">
        <v>42680</v>
      </c>
      <c r="O8932" s="9" t="s">
        <v>52</v>
      </c>
      <c r="P8932" s="12" t="s">
        <v>4500</v>
      </c>
      <c r="Q8932" s="9" t="s">
        <v>95</v>
      </c>
      <c r="R8932" s="14" t="str">
        <f>HYPERLINK("https://my.pitchbook.com?c=266596-48T","View Company Online")</f>
        <v>View Company Online</v>
      </c>
    </row>
    <row r="8933" spans="1:18" hidden="1" x14ac:dyDescent="0.3">
      <c r="A8933" s="15" t="s">
        <v>25638</v>
      </c>
      <c r="B8933" s="15" t="s">
        <v>25639</v>
      </c>
      <c r="C8933" s="18" t="s">
        <v>28</v>
      </c>
      <c r="D8933" s="15" t="s">
        <v>25640</v>
      </c>
      <c r="E8933" s="18">
        <v>0.01</v>
      </c>
      <c r="F8933" s="19">
        <v>2003.62</v>
      </c>
      <c r="G8933" s="19">
        <v>1001.81</v>
      </c>
      <c r="H8933" s="19">
        <v>2003.62</v>
      </c>
      <c r="I8933" s="18" t="s">
        <v>28</v>
      </c>
      <c r="J8933" s="18" t="s">
        <v>28</v>
      </c>
      <c r="K8933" s="18">
        <v>0.03</v>
      </c>
      <c r="L8933" s="18">
        <v>68135.09</v>
      </c>
      <c r="M8933" s="18">
        <v>0.01</v>
      </c>
      <c r="N8933" s="17">
        <v>42678</v>
      </c>
      <c r="O8933" s="15" t="s">
        <v>41</v>
      </c>
      <c r="P8933" s="16" t="s">
        <v>24868</v>
      </c>
      <c r="Q8933" s="15" t="s">
        <v>2043</v>
      </c>
      <c r="R8933" s="13" t="str">
        <f>HYPERLINK("https://my.pitchbook.com?c=102000-88T","View Company Online")</f>
        <v>View Company Online</v>
      </c>
    </row>
    <row r="8934" spans="1:18" hidden="1" x14ac:dyDescent="0.3">
      <c r="A8934" s="9" t="s">
        <v>25641</v>
      </c>
      <c r="B8934" s="9" t="s">
        <v>17758</v>
      </c>
      <c r="C8934" s="11" t="s">
        <v>28</v>
      </c>
      <c r="D8934" s="9" t="s">
        <v>17759</v>
      </c>
      <c r="E8934" s="11" t="s">
        <v>28</v>
      </c>
      <c r="F8934" s="10" t="s">
        <v>28</v>
      </c>
      <c r="G8934" s="10" t="s">
        <v>28</v>
      </c>
      <c r="H8934" s="10" t="s">
        <v>28</v>
      </c>
      <c r="I8934" s="11" t="s">
        <v>28</v>
      </c>
      <c r="J8934" s="11" t="s">
        <v>28</v>
      </c>
      <c r="K8934" s="11" t="s">
        <v>28</v>
      </c>
      <c r="L8934" s="11" t="s">
        <v>28</v>
      </c>
      <c r="M8934" s="11" t="s">
        <v>28</v>
      </c>
      <c r="N8934" s="8">
        <v>42678</v>
      </c>
      <c r="O8934" s="9" t="s">
        <v>52</v>
      </c>
      <c r="P8934" s="12" t="s">
        <v>6543</v>
      </c>
      <c r="Q8934" s="9" t="s">
        <v>566</v>
      </c>
      <c r="R8934" s="14" t="str">
        <f>HYPERLINK("https://my.pitchbook.com?c=123106-69T","View Company Online")</f>
        <v>View Company Online</v>
      </c>
    </row>
    <row r="8935" spans="1:18" hidden="1" x14ac:dyDescent="0.3">
      <c r="A8935" s="15" t="s">
        <v>25642</v>
      </c>
      <c r="B8935" s="15" t="s">
        <v>22740</v>
      </c>
      <c r="C8935" s="18" t="s">
        <v>28</v>
      </c>
      <c r="D8935" s="15" t="s">
        <v>22741</v>
      </c>
      <c r="E8935" s="18">
        <v>16.29</v>
      </c>
      <c r="F8935" s="19" t="s">
        <v>28</v>
      </c>
      <c r="G8935" s="19" t="s">
        <v>28</v>
      </c>
      <c r="H8935" s="19" t="s">
        <v>28</v>
      </c>
      <c r="I8935" s="18">
        <v>16.29</v>
      </c>
      <c r="J8935" s="18" t="s">
        <v>28</v>
      </c>
      <c r="K8935" s="18">
        <v>123.34</v>
      </c>
      <c r="L8935" s="18" t="s">
        <v>28</v>
      </c>
      <c r="M8935" s="18">
        <v>15.16</v>
      </c>
      <c r="N8935" s="17">
        <v>42675</v>
      </c>
      <c r="O8935" s="15" t="s">
        <v>30</v>
      </c>
      <c r="P8935" s="16" t="s">
        <v>25643</v>
      </c>
      <c r="Q8935" s="15" t="s">
        <v>160</v>
      </c>
      <c r="R8935" s="13" t="str">
        <f>HYPERLINK("https://my.pitchbook.com?c=110213-38T","View Company Online")</f>
        <v>View Company Online</v>
      </c>
    </row>
    <row r="8936" spans="1:18" hidden="1" x14ac:dyDescent="0.3">
      <c r="A8936" s="9" t="s">
        <v>25644</v>
      </c>
      <c r="B8936" s="9" t="s">
        <v>25645</v>
      </c>
      <c r="C8936" s="11" t="s">
        <v>28</v>
      </c>
      <c r="D8936" s="9" t="s">
        <v>25646</v>
      </c>
      <c r="E8936" s="11" t="s">
        <v>28</v>
      </c>
      <c r="F8936" s="10" t="s">
        <v>28</v>
      </c>
      <c r="G8936" s="10" t="s">
        <v>28</v>
      </c>
      <c r="H8936" s="10" t="s">
        <v>28</v>
      </c>
      <c r="I8936" s="11" t="s">
        <v>28</v>
      </c>
      <c r="J8936" s="11" t="s">
        <v>28</v>
      </c>
      <c r="K8936" s="11" t="s">
        <v>28</v>
      </c>
      <c r="L8936" s="11" t="s">
        <v>28</v>
      </c>
      <c r="M8936" s="11" t="s">
        <v>28</v>
      </c>
      <c r="N8936" s="8">
        <v>42675</v>
      </c>
      <c r="O8936" s="9" t="s">
        <v>30</v>
      </c>
      <c r="P8936" s="12" t="s">
        <v>25647</v>
      </c>
      <c r="Q8936" s="9" t="s">
        <v>280</v>
      </c>
      <c r="R8936" s="14" t="str">
        <f>HYPERLINK("https://my.pitchbook.com?c=103140-55T","View Company Online")</f>
        <v>View Company Online</v>
      </c>
    </row>
    <row r="8937" spans="1:18" hidden="1" x14ac:dyDescent="0.3">
      <c r="A8937" s="15" t="s">
        <v>25648</v>
      </c>
      <c r="B8937" s="15" t="s">
        <v>21716</v>
      </c>
      <c r="C8937" s="18" t="s">
        <v>28</v>
      </c>
      <c r="D8937" s="15" t="s">
        <v>21717</v>
      </c>
      <c r="E8937" s="18" t="s">
        <v>28</v>
      </c>
      <c r="F8937" s="19" t="s">
        <v>28</v>
      </c>
      <c r="G8937" s="19" t="s">
        <v>28</v>
      </c>
      <c r="H8937" s="19" t="s">
        <v>28</v>
      </c>
      <c r="I8937" s="18" t="s">
        <v>28</v>
      </c>
      <c r="J8937" s="18" t="s">
        <v>28</v>
      </c>
      <c r="K8937" s="18" t="s">
        <v>28</v>
      </c>
      <c r="L8937" s="18" t="s">
        <v>28</v>
      </c>
      <c r="M8937" s="18" t="s">
        <v>28</v>
      </c>
      <c r="N8937" s="17">
        <v>42675</v>
      </c>
      <c r="O8937" s="15" t="s">
        <v>99</v>
      </c>
      <c r="P8937" s="16" t="s">
        <v>28</v>
      </c>
      <c r="Q8937" s="15" t="s">
        <v>583</v>
      </c>
      <c r="R8937" s="13" t="str">
        <f>HYPERLINK("https://my.pitchbook.com?c=195059-08T","View Company Online")</f>
        <v>View Company Online</v>
      </c>
    </row>
    <row r="8938" spans="1:18" hidden="1" x14ac:dyDescent="0.3">
      <c r="A8938" s="9" t="s">
        <v>25649</v>
      </c>
      <c r="B8938" s="9" t="s">
        <v>25650</v>
      </c>
      <c r="C8938" s="11" t="s">
        <v>28</v>
      </c>
      <c r="D8938" s="9" t="s">
        <v>25651</v>
      </c>
      <c r="E8938" s="11" t="s">
        <v>28</v>
      </c>
      <c r="F8938" s="10" t="s">
        <v>28</v>
      </c>
      <c r="G8938" s="10" t="s">
        <v>28</v>
      </c>
      <c r="H8938" s="10" t="s">
        <v>28</v>
      </c>
      <c r="I8938" s="11" t="s">
        <v>28</v>
      </c>
      <c r="J8938" s="11" t="s">
        <v>28</v>
      </c>
      <c r="K8938" s="11" t="s">
        <v>28</v>
      </c>
      <c r="L8938" s="11" t="s">
        <v>28</v>
      </c>
      <c r="M8938" s="11" t="s">
        <v>28</v>
      </c>
      <c r="N8938" s="8">
        <v>42675</v>
      </c>
      <c r="O8938" s="9" t="s">
        <v>30</v>
      </c>
      <c r="P8938" s="12" t="s">
        <v>25652</v>
      </c>
      <c r="Q8938" s="9" t="s">
        <v>136</v>
      </c>
      <c r="R8938" s="14" t="str">
        <f>HYPERLINK("https://my.pitchbook.com?c=86902-30T","View Company Online")</f>
        <v>View Company Online</v>
      </c>
    </row>
    <row r="8939" spans="1:18" hidden="1" x14ac:dyDescent="0.3">
      <c r="A8939" s="15" t="s">
        <v>25653</v>
      </c>
      <c r="B8939" s="15" t="s">
        <v>25654</v>
      </c>
      <c r="C8939" s="18" t="s">
        <v>28</v>
      </c>
      <c r="D8939" s="15" t="s">
        <v>25655</v>
      </c>
      <c r="E8939" s="18" t="s">
        <v>28</v>
      </c>
      <c r="F8939" s="19" t="s">
        <v>28</v>
      </c>
      <c r="G8939" s="19" t="s">
        <v>28</v>
      </c>
      <c r="H8939" s="19" t="s">
        <v>28</v>
      </c>
      <c r="I8939" s="18" t="s">
        <v>28</v>
      </c>
      <c r="J8939" s="18" t="s">
        <v>28</v>
      </c>
      <c r="K8939" s="18" t="s">
        <v>28</v>
      </c>
      <c r="L8939" s="18" t="s">
        <v>28</v>
      </c>
      <c r="M8939" s="18" t="s">
        <v>28</v>
      </c>
      <c r="N8939" s="17">
        <v>42675</v>
      </c>
      <c r="O8939" s="15" t="s">
        <v>58</v>
      </c>
      <c r="P8939" s="16" t="s">
        <v>25656</v>
      </c>
      <c r="Q8939" s="15" t="s">
        <v>226</v>
      </c>
      <c r="R8939" s="13" t="str">
        <f>HYPERLINK("https://my.pitchbook.com?c=193497-85T","View Company Online")</f>
        <v>View Company Online</v>
      </c>
    </row>
    <row r="8940" spans="1:18" hidden="1" x14ac:dyDescent="0.3">
      <c r="A8940" s="9" t="s">
        <v>25657</v>
      </c>
      <c r="B8940" s="9" t="s">
        <v>25658</v>
      </c>
      <c r="C8940" s="11" t="s">
        <v>28</v>
      </c>
      <c r="D8940" s="9" t="s">
        <v>25659</v>
      </c>
      <c r="E8940" s="11" t="s">
        <v>28</v>
      </c>
      <c r="F8940" s="10">
        <v>26.2</v>
      </c>
      <c r="G8940" s="10">
        <v>26.2</v>
      </c>
      <c r="H8940" s="10">
        <v>26.2</v>
      </c>
      <c r="I8940" s="11" t="s">
        <v>28</v>
      </c>
      <c r="J8940" s="11" t="s">
        <v>28</v>
      </c>
      <c r="K8940" s="11">
        <v>11</v>
      </c>
      <c r="L8940" s="11">
        <v>2.38</v>
      </c>
      <c r="M8940" s="11" t="s">
        <v>28</v>
      </c>
      <c r="N8940" s="8">
        <v>42675</v>
      </c>
      <c r="O8940" s="9" t="s">
        <v>30</v>
      </c>
      <c r="P8940" s="12" t="s">
        <v>25660</v>
      </c>
      <c r="Q8940" s="9" t="s">
        <v>37</v>
      </c>
      <c r="R8940" s="14" t="str">
        <f>HYPERLINK("https://my.pitchbook.com?c=95592-25T","View Company Online")</f>
        <v>View Company Online</v>
      </c>
    </row>
    <row r="8941" spans="1:18" hidden="1" x14ac:dyDescent="0.3">
      <c r="A8941" s="15" t="s">
        <v>25661</v>
      </c>
      <c r="B8941" s="15" t="s">
        <v>25662</v>
      </c>
      <c r="C8941" s="18" t="s">
        <v>28</v>
      </c>
      <c r="D8941" s="15" t="s">
        <v>25663</v>
      </c>
      <c r="E8941" s="18" t="s">
        <v>28</v>
      </c>
      <c r="F8941" s="19" t="s">
        <v>28</v>
      </c>
      <c r="G8941" s="19">
        <v>0.17</v>
      </c>
      <c r="H8941" s="19">
        <v>1.42</v>
      </c>
      <c r="I8941" s="18" t="s">
        <v>28</v>
      </c>
      <c r="J8941" s="18" t="s">
        <v>28</v>
      </c>
      <c r="K8941" s="18" t="s">
        <v>28</v>
      </c>
      <c r="L8941" s="18" t="s">
        <v>28</v>
      </c>
      <c r="M8941" s="18" t="s">
        <v>28</v>
      </c>
      <c r="N8941" s="17">
        <v>42674</v>
      </c>
      <c r="O8941" s="15" t="s">
        <v>52</v>
      </c>
      <c r="P8941" s="16" t="s">
        <v>2915</v>
      </c>
      <c r="Q8941" s="15" t="s">
        <v>75</v>
      </c>
      <c r="R8941" s="13" t="str">
        <f>HYPERLINK("https://my.pitchbook.com?c=125711-74T","View Company Online")</f>
        <v>View Company Online</v>
      </c>
    </row>
    <row r="8942" spans="1:18" hidden="1" x14ac:dyDescent="0.3">
      <c r="A8942" s="9" t="s">
        <v>25664</v>
      </c>
      <c r="B8942" s="9" t="s">
        <v>25665</v>
      </c>
      <c r="C8942" s="11" t="s">
        <v>28</v>
      </c>
      <c r="D8942" s="9" t="s">
        <v>25666</v>
      </c>
      <c r="E8942" s="11" t="s">
        <v>28</v>
      </c>
      <c r="F8942" s="10" t="s">
        <v>28</v>
      </c>
      <c r="G8942" s="10" t="s">
        <v>28</v>
      </c>
      <c r="H8942" s="10" t="s">
        <v>28</v>
      </c>
      <c r="I8942" s="11" t="s">
        <v>28</v>
      </c>
      <c r="J8942" s="11" t="s">
        <v>28</v>
      </c>
      <c r="K8942" s="11" t="s">
        <v>28</v>
      </c>
      <c r="L8942" s="11" t="s">
        <v>28</v>
      </c>
      <c r="M8942" s="11" t="s">
        <v>28</v>
      </c>
      <c r="N8942" s="8">
        <v>42674</v>
      </c>
      <c r="O8942" s="9" t="s">
        <v>41</v>
      </c>
      <c r="P8942" s="12" t="s">
        <v>25667</v>
      </c>
      <c r="Q8942" s="9" t="s">
        <v>900</v>
      </c>
      <c r="R8942" s="14" t="str">
        <f>HYPERLINK("https://my.pitchbook.com?c=77862-97T","View Company Online")</f>
        <v>View Company Online</v>
      </c>
    </row>
    <row r="8943" spans="1:18" hidden="1" x14ac:dyDescent="0.3">
      <c r="A8943" s="15" t="s">
        <v>25668</v>
      </c>
      <c r="B8943" s="15" t="s">
        <v>25669</v>
      </c>
      <c r="C8943" s="18" t="s">
        <v>28</v>
      </c>
      <c r="D8943" s="15" t="s">
        <v>25670</v>
      </c>
      <c r="E8943" s="18" t="s">
        <v>28</v>
      </c>
      <c r="F8943" s="19">
        <v>15.67</v>
      </c>
      <c r="G8943" s="19">
        <v>15.67</v>
      </c>
      <c r="H8943" s="19">
        <v>15.67</v>
      </c>
      <c r="I8943" s="18" t="s">
        <v>28</v>
      </c>
      <c r="J8943" s="18" t="s">
        <v>28</v>
      </c>
      <c r="K8943" s="18" t="s">
        <v>28</v>
      </c>
      <c r="L8943" s="18" t="s">
        <v>28</v>
      </c>
      <c r="M8943" s="18" t="s">
        <v>28</v>
      </c>
      <c r="N8943" s="17">
        <v>42673</v>
      </c>
      <c r="O8943" s="15" t="s">
        <v>30</v>
      </c>
      <c r="P8943" s="16" t="s">
        <v>25671</v>
      </c>
      <c r="Q8943" s="15" t="s">
        <v>1035</v>
      </c>
      <c r="R8943" s="13" t="str">
        <f>HYPERLINK("https://my.pitchbook.com?c=74778-31T","View Company Online")</f>
        <v>View Company Online</v>
      </c>
    </row>
    <row r="8944" spans="1:18" hidden="1" x14ac:dyDescent="0.3">
      <c r="A8944" s="9" t="s">
        <v>25672</v>
      </c>
      <c r="B8944" s="9" t="s">
        <v>13481</v>
      </c>
      <c r="C8944" s="11" t="s">
        <v>28</v>
      </c>
      <c r="D8944" s="9" t="s">
        <v>13482</v>
      </c>
      <c r="E8944" s="11" t="s">
        <v>28</v>
      </c>
      <c r="F8944" s="10" t="s">
        <v>28</v>
      </c>
      <c r="G8944" s="10">
        <v>0.05</v>
      </c>
      <c r="H8944" s="10">
        <v>0.44</v>
      </c>
      <c r="I8944" s="11" t="s">
        <v>28</v>
      </c>
      <c r="J8944" s="11" t="s">
        <v>28</v>
      </c>
      <c r="K8944" s="11" t="s">
        <v>28</v>
      </c>
      <c r="L8944" s="11" t="s">
        <v>28</v>
      </c>
      <c r="M8944" s="11" t="s">
        <v>28</v>
      </c>
      <c r="N8944" s="8">
        <v>42671</v>
      </c>
      <c r="O8944" s="9" t="s">
        <v>52</v>
      </c>
      <c r="P8944" s="12" t="s">
        <v>24707</v>
      </c>
      <c r="Q8944" s="9" t="s">
        <v>37</v>
      </c>
      <c r="R8944" s="14" t="str">
        <f>HYPERLINK("https://my.pitchbook.com?c=125719-03T","View Company Online")</f>
        <v>View Company Online</v>
      </c>
    </row>
    <row r="8945" spans="1:18" hidden="1" x14ac:dyDescent="0.3">
      <c r="A8945" s="15" t="s">
        <v>25673</v>
      </c>
      <c r="B8945" s="15" t="s">
        <v>25674</v>
      </c>
      <c r="C8945" s="18" t="s">
        <v>28</v>
      </c>
      <c r="D8945" s="15" t="s">
        <v>25675</v>
      </c>
      <c r="E8945" s="18" t="s">
        <v>28</v>
      </c>
      <c r="F8945" s="19" t="s">
        <v>28</v>
      </c>
      <c r="G8945" s="19" t="s">
        <v>28</v>
      </c>
      <c r="H8945" s="19" t="s">
        <v>28</v>
      </c>
      <c r="I8945" s="18" t="s">
        <v>28</v>
      </c>
      <c r="J8945" s="18" t="s">
        <v>28</v>
      </c>
      <c r="K8945" s="18" t="s">
        <v>28</v>
      </c>
      <c r="L8945" s="18" t="s">
        <v>28</v>
      </c>
      <c r="M8945" s="18" t="s">
        <v>28</v>
      </c>
      <c r="N8945" s="17">
        <v>42671</v>
      </c>
      <c r="O8945" s="15" t="s">
        <v>30</v>
      </c>
      <c r="P8945" s="16" t="s">
        <v>25676</v>
      </c>
      <c r="Q8945" s="15" t="s">
        <v>1361</v>
      </c>
      <c r="R8945" s="13" t="str">
        <f>HYPERLINK("https://my.pitchbook.com?c=100177-12T","View Company Online")</f>
        <v>View Company Online</v>
      </c>
    </row>
    <row r="8946" spans="1:18" hidden="1" x14ac:dyDescent="0.3">
      <c r="A8946" s="9" t="s">
        <v>25677</v>
      </c>
      <c r="B8946" s="9" t="s">
        <v>20892</v>
      </c>
      <c r="C8946" s="11" t="s">
        <v>28</v>
      </c>
      <c r="D8946" s="9" t="s">
        <v>20893</v>
      </c>
      <c r="E8946" s="11" t="s">
        <v>28</v>
      </c>
      <c r="F8946" s="10" t="s">
        <v>28</v>
      </c>
      <c r="G8946" s="10">
        <v>23.44</v>
      </c>
      <c r="H8946" s="10" t="s">
        <v>28</v>
      </c>
      <c r="I8946" s="11" t="s">
        <v>28</v>
      </c>
      <c r="J8946" s="11" t="s">
        <v>28</v>
      </c>
      <c r="K8946" s="11" t="s">
        <v>28</v>
      </c>
      <c r="L8946" s="11" t="s">
        <v>28</v>
      </c>
      <c r="M8946" s="11" t="s">
        <v>28</v>
      </c>
      <c r="N8946" s="8">
        <v>42670</v>
      </c>
      <c r="O8946" s="9" t="s">
        <v>58</v>
      </c>
      <c r="P8946" s="12" t="s">
        <v>25678</v>
      </c>
      <c r="Q8946" s="9" t="s">
        <v>348</v>
      </c>
      <c r="R8946" s="14" t="str">
        <f>HYPERLINK("https://my.pitchbook.com?c=216225-19T","View Company Online")</f>
        <v>View Company Online</v>
      </c>
    </row>
    <row r="8947" spans="1:18" hidden="1" x14ac:dyDescent="0.3">
      <c r="A8947" s="15" t="s">
        <v>25679</v>
      </c>
      <c r="B8947" s="15" t="s">
        <v>10819</v>
      </c>
      <c r="C8947" s="18" t="s">
        <v>28</v>
      </c>
      <c r="D8947" s="15" t="s">
        <v>10820</v>
      </c>
      <c r="E8947" s="18" t="s">
        <v>28</v>
      </c>
      <c r="F8947" s="19" t="s">
        <v>28</v>
      </c>
      <c r="G8947" s="19">
        <v>1.4</v>
      </c>
      <c r="H8947" s="19" t="s">
        <v>28</v>
      </c>
      <c r="I8947" s="18" t="s">
        <v>28</v>
      </c>
      <c r="J8947" s="18" t="s">
        <v>28</v>
      </c>
      <c r="K8947" s="18" t="s">
        <v>28</v>
      </c>
      <c r="L8947" s="18" t="s">
        <v>28</v>
      </c>
      <c r="M8947" s="18" t="s">
        <v>28</v>
      </c>
      <c r="N8947" s="17">
        <v>42668</v>
      </c>
      <c r="O8947" s="15" t="s">
        <v>79</v>
      </c>
      <c r="P8947" s="16" t="s">
        <v>25680</v>
      </c>
      <c r="Q8947" s="15" t="s">
        <v>414</v>
      </c>
      <c r="R8947" s="13" t="str">
        <f>HYPERLINK("https://my.pitchbook.com?c=90809-83T","View Company Online")</f>
        <v>View Company Online</v>
      </c>
    </row>
    <row r="8948" spans="1:18" hidden="1" x14ac:dyDescent="0.3">
      <c r="A8948" s="9" t="s">
        <v>25681</v>
      </c>
      <c r="B8948" s="9" t="s">
        <v>25682</v>
      </c>
      <c r="C8948" s="11" t="s">
        <v>28</v>
      </c>
      <c r="D8948" s="9" t="s">
        <v>25683</v>
      </c>
      <c r="E8948" s="11" t="s">
        <v>28</v>
      </c>
      <c r="F8948" s="10" t="s">
        <v>28</v>
      </c>
      <c r="G8948" s="10" t="s">
        <v>28</v>
      </c>
      <c r="H8948" s="10" t="s">
        <v>28</v>
      </c>
      <c r="I8948" s="11" t="s">
        <v>28</v>
      </c>
      <c r="J8948" s="11" t="s">
        <v>28</v>
      </c>
      <c r="K8948" s="11" t="s">
        <v>28</v>
      </c>
      <c r="L8948" s="11" t="s">
        <v>28</v>
      </c>
      <c r="M8948" s="11" t="s">
        <v>28</v>
      </c>
      <c r="N8948" s="8">
        <v>42667</v>
      </c>
      <c r="O8948" s="9" t="s">
        <v>52</v>
      </c>
      <c r="P8948" s="12" t="s">
        <v>25684</v>
      </c>
      <c r="Q8948" s="9" t="s">
        <v>1191</v>
      </c>
      <c r="R8948" s="14" t="str">
        <f>HYPERLINK("https://my.pitchbook.com?c=193383-46T","View Company Online")</f>
        <v>View Company Online</v>
      </c>
    </row>
    <row r="8949" spans="1:18" hidden="1" x14ac:dyDescent="0.3">
      <c r="A8949" s="15" t="s">
        <v>25685</v>
      </c>
      <c r="B8949" s="15" t="s">
        <v>14560</v>
      </c>
      <c r="C8949" s="18" t="s">
        <v>28</v>
      </c>
      <c r="D8949" s="15" t="s">
        <v>14561</v>
      </c>
      <c r="E8949" s="18" t="s">
        <v>28</v>
      </c>
      <c r="F8949" s="19" t="s">
        <v>28</v>
      </c>
      <c r="G8949" s="19">
        <v>19.239999999999998</v>
      </c>
      <c r="H8949" s="19" t="s">
        <v>28</v>
      </c>
      <c r="I8949" s="18" t="s">
        <v>28</v>
      </c>
      <c r="J8949" s="18" t="s">
        <v>28</v>
      </c>
      <c r="K8949" s="18" t="s">
        <v>28</v>
      </c>
      <c r="L8949" s="18" t="s">
        <v>28</v>
      </c>
      <c r="M8949" s="18" t="s">
        <v>28</v>
      </c>
      <c r="N8949" s="17">
        <v>42667</v>
      </c>
      <c r="O8949" s="15" t="s">
        <v>79</v>
      </c>
      <c r="P8949" s="16" t="s">
        <v>25686</v>
      </c>
      <c r="Q8949" s="15" t="s">
        <v>37</v>
      </c>
      <c r="R8949" s="13" t="str">
        <f>HYPERLINK("https://my.pitchbook.com?c=70135-03T","View Company Online")</f>
        <v>View Company Online</v>
      </c>
    </row>
    <row r="8950" spans="1:18" hidden="1" x14ac:dyDescent="0.3">
      <c r="A8950" s="9" t="s">
        <v>25687</v>
      </c>
      <c r="B8950" s="9" t="s">
        <v>18428</v>
      </c>
      <c r="C8950" s="11" t="s">
        <v>28</v>
      </c>
      <c r="D8950" s="9" t="s">
        <v>18429</v>
      </c>
      <c r="E8950" s="11" t="s">
        <v>28</v>
      </c>
      <c r="F8950" s="10" t="s">
        <v>28</v>
      </c>
      <c r="G8950" s="10" t="s">
        <v>28</v>
      </c>
      <c r="H8950" s="10" t="s">
        <v>28</v>
      </c>
      <c r="I8950" s="11" t="s">
        <v>28</v>
      </c>
      <c r="J8950" s="11" t="s">
        <v>28</v>
      </c>
      <c r="K8950" s="11" t="s">
        <v>28</v>
      </c>
      <c r="L8950" s="11" t="s">
        <v>28</v>
      </c>
      <c r="M8950" s="11" t="s">
        <v>28</v>
      </c>
      <c r="N8950" s="8">
        <v>42664</v>
      </c>
      <c r="O8950" s="9" t="s">
        <v>52</v>
      </c>
      <c r="P8950" s="12" t="s">
        <v>21790</v>
      </c>
      <c r="Q8950" s="9" t="s">
        <v>37</v>
      </c>
      <c r="R8950" s="14" t="str">
        <f>HYPERLINK("https://my.pitchbook.com?c=106429-15T","View Company Online")</f>
        <v>View Company Online</v>
      </c>
    </row>
    <row r="8951" spans="1:18" hidden="1" x14ac:dyDescent="0.3">
      <c r="A8951" s="15" t="s">
        <v>25688</v>
      </c>
      <c r="B8951" s="15" t="s">
        <v>25125</v>
      </c>
      <c r="C8951" s="18" t="s">
        <v>28</v>
      </c>
      <c r="D8951" s="15" t="s">
        <v>25126</v>
      </c>
      <c r="E8951" s="18" t="s">
        <v>28</v>
      </c>
      <c r="F8951" s="19" t="s">
        <v>28</v>
      </c>
      <c r="G8951" s="19">
        <v>6.3</v>
      </c>
      <c r="H8951" s="19" t="s">
        <v>28</v>
      </c>
      <c r="I8951" s="18" t="s">
        <v>28</v>
      </c>
      <c r="J8951" s="18" t="s">
        <v>28</v>
      </c>
      <c r="K8951" s="18" t="s">
        <v>28</v>
      </c>
      <c r="L8951" s="18" t="s">
        <v>28</v>
      </c>
      <c r="M8951" s="18" t="s">
        <v>28</v>
      </c>
      <c r="N8951" s="17">
        <v>42664</v>
      </c>
      <c r="O8951" s="15" t="s">
        <v>73</v>
      </c>
      <c r="P8951" s="16" t="s">
        <v>25689</v>
      </c>
      <c r="Q8951" s="15" t="s">
        <v>740</v>
      </c>
      <c r="R8951" s="13" t="str">
        <f>HYPERLINK("https://my.pitchbook.com?c=88664-77T","View Company Online")</f>
        <v>View Company Online</v>
      </c>
    </row>
    <row r="8952" spans="1:18" hidden="1" x14ac:dyDescent="0.3">
      <c r="A8952" s="9" t="s">
        <v>25690</v>
      </c>
      <c r="B8952" s="9" t="s">
        <v>23300</v>
      </c>
      <c r="C8952" s="11" t="s">
        <v>28</v>
      </c>
      <c r="D8952" s="9" t="s">
        <v>23301</v>
      </c>
      <c r="E8952" s="11" t="s">
        <v>28</v>
      </c>
      <c r="F8952" s="10" t="s">
        <v>28</v>
      </c>
      <c r="G8952" s="10" t="s">
        <v>28</v>
      </c>
      <c r="H8952" s="10" t="s">
        <v>28</v>
      </c>
      <c r="I8952" s="11" t="s">
        <v>28</v>
      </c>
      <c r="J8952" s="11" t="s">
        <v>28</v>
      </c>
      <c r="K8952" s="11" t="s">
        <v>28</v>
      </c>
      <c r="L8952" s="11" t="s">
        <v>28</v>
      </c>
      <c r="M8952" s="11" t="s">
        <v>28</v>
      </c>
      <c r="N8952" s="8">
        <v>42663</v>
      </c>
      <c r="O8952" s="9" t="s">
        <v>52</v>
      </c>
      <c r="P8952" s="12" t="s">
        <v>20418</v>
      </c>
      <c r="Q8952" s="9" t="s">
        <v>37</v>
      </c>
      <c r="R8952" s="14" t="str">
        <f>HYPERLINK("https://my.pitchbook.com?c=142520-05T","View Company Online")</f>
        <v>View Company Online</v>
      </c>
    </row>
    <row r="8953" spans="1:18" hidden="1" x14ac:dyDescent="0.3">
      <c r="A8953" s="15" t="s">
        <v>25691</v>
      </c>
      <c r="B8953" s="15" t="s">
        <v>25692</v>
      </c>
      <c r="C8953" s="18" t="s">
        <v>28</v>
      </c>
      <c r="D8953" s="15" t="s">
        <v>25693</v>
      </c>
      <c r="E8953" s="18" t="s">
        <v>28</v>
      </c>
      <c r="F8953" s="19" t="s">
        <v>28</v>
      </c>
      <c r="G8953" s="19" t="s">
        <v>28</v>
      </c>
      <c r="H8953" s="19" t="s">
        <v>28</v>
      </c>
      <c r="I8953" s="18" t="s">
        <v>28</v>
      </c>
      <c r="J8953" s="18" t="s">
        <v>28</v>
      </c>
      <c r="K8953" s="18" t="s">
        <v>28</v>
      </c>
      <c r="L8953" s="18" t="s">
        <v>28</v>
      </c>
      <c r="M8953" s="18" t="s">
        <v>28</v>
      </c>
      <c r="N8953" s="17">
        <v>42661</v>
      </c>
      <c r="O8953" s="15" t="s">
        <v>52</v>
      </c>
      <c r="P8953" s="16" t="s">
        <v>25694</v>
      </c>
      <c r="Q8953" s="15" t="s">
        <v>583</v>
      </c>
      <c r="R8953" s="13" t="str">
        <f>HYPERLINK("https://my.pitchbook.com?c=95617-09T","View Company Online")</f>
        <v>View Company Online</v>
      </c>
    </row>
    <row r="8954" spans="1:18" hidden="1" x14ac:dyDescent="0.3">
      <c r="A8954" s="9" t="s">
        <v>25695</v>
      </c>
      <c r="B8954" s="9" t="s">
        <v>25696</v>
      </c>
      <c r="C8954" s="11" t="s">
        <v>28</v>
      </c>
      <c r="D8954" s="9" t="s">
        <v>25697</v>
      </c>
      <c r="E8954" s="11" t="s">
        <v>28</v>
      </c>
      <c r="F8954" s="10" t="s">
        <v>28</v>
      </c>
      <c r="G8954" s="10" t="s">
        <v>28</v>
      </c>
      <c r="H8954" s="10" t="s">
        <v>28</v>
      </c>
      <c r="I8954" s="11" t="s">
        <v>28</v>
      </c>
      <c r="J8954" s="11" t="s">
        <v>28</v>
      </c>
      <c r="K8954" s="11" t="s">
        <v>28</v>
      </c>
      <c r="L8954" s="11" t="s">
        <v>28</v>
      </c>
      <c r="M8954" s="11" t="s">
        <v>28</v>
      </c>
      <c r="N8954" s="8">
        <v>42657</v>
      </c>
      <c r="O8954" s="9" t="s">
        <v>73</v>
      </c>
      <c r="P8954" s="12" t="s">
        <v>25698</v>
      </c>
      <c r="Q8954" s="9" t="s">
        <v>855</v>
      </c>
      <c r="R8954" s="14" t="str">
        <f>HYPERLINK("https://my.pitchbook.com?c=123135-94T","View Company Online")</f>
        <v>View Company Online</v>
      </c>
    </row>
    <row r="8955" spans="1:18" hidden="1" x14ac:dyDescent="0.3">
      <c r="A8955" s="15" t="s">
        <v>25699</v>
      </c>
      <c r="B8955" s="15" t="s">
        <v>25700</v>
      </c>
      <c r="C8955" s="18" t="s">
        <v>28</v>
      </c>
      <c r="D8955" s="15" t="s">
        <v>25701</v>
      </c>
      <c r="E8955" s="18" t="s">
        <v>28</v>
      </c>
      <c r="F8955" s="19">
        <v>5.55</v>
      </c>
      <c r="G8955" s="19">
        <v>5.55</v>
      </c>
      <c r="H8955" s="19">
        <v>5.55</v>
      </c>
      <c r="I8955" s="18" t="s">
        <v>28</v>
      </c>
      <c r="J8955" s="18" t="s">
        <v>28</v>
      </c>
      <c r="K8955" s="18" t="s">
        <v>28</v>
      </c>
      <c r="L8955" s="18" t="s">
        <v>28</v>
      </c>
      <c r="M8955" s="18" t="s">
        <v>28</v>
      </c>
      <c r="N8955" s="17">
        <v>42657</v>
      </c>
      <c r="O8955" s="15" t="s">
        <v>30</v>
      </c>
      <c r="P8955" s="16" t="s">
        <v>25702</v>
      </c>
      <c r="Q8955" s="15" t="s">
        <v>5347</v>
      </c>
      <c r="R8955" s="13" t="str">
        <f>HYPERLINK("https://my.pitchbook.com?c=110387-53T","View Company Online")</f>
        <v>View Company Online</v>
      </c>
    </row>
    <row r="8956" spans="1:18" hidden="1" x14ac:dyDescent="0.3">
      <c r="A8956" s="9" t="s">
        <v>25703</v>
      </c>
      <c r="B8956" s="9" t="s">
        <v>25704</v>
      </c>
      <c r="C8956" s="11" t="s">
        <v>28</v>
      </c>
      <c r="D8956" s="9" t="s">
        <v>25705</v>
      </c>
      <c r="E8956" s="11" t="s">
        <v>28</v>
      </c>
      <c r="F8956" s="10" t="s">
        <v>28</v>
      </c>
      <c r="G8956" s="10" t="s">
        <v>28</v>
      </c>
      <c r="H8956" s="10" t="s">
        <v>28</v>
      </c>
      <c r="I8956" s="11" t="s">
        <v>28</v>
      </c>
      <c r="J8956" s="11" t="s">
        <v>28</v>
      </c>
      <c r="K8956" s="11" t="s">
        <v>28</v>
      </c>
      <c r="L8956" s="11" t="s">
        <v>28</v>
      </c>
      <c r="M8956" s="11" t="s">
        <v>28</v>
      </c>
      <c r="N8956" s="8">
        <v>42656</v>
      </c>
      <c r="O8956" s="9" t="s">
        <v>30</v>
      </c>
      <c r="P8956" s="12" t="s">
        <v>25706</v>
      </c>
      <c r="Q8956" s="9" t="s">
        <v>12903</v>
      </c>
      <c r="R8956" s="14" t="str">
        <f>HYPERLINK("https://my.pitchbook.com?c=77560-39T","View Company Online")</f>
        <v>View Company Online</v>
      </c>
    </row>
    <row r="8957" spans="1:18" hidden="1" x14ac:dyDescent="0.3">
      <c r="A8957" s="15" t="s">
        <v>25707</v>
      </c>
      <c r="B8957" s="15" t="s">
        <v>25708</v>
      </c>
      <c r="C8957" s="18" t="s">
        <v>28</v>
      </c>
      <c r="D8957" s="15" t="s">
        <v>25709</v>
      </c>
      <c r="E8957" s="18" t="s">
        <v>28</v>
      </c>
      <c r="F8957" s="19">
        <v>1.57</v>
      </c>
      <c r="G8957" s="19">
        <v>1.57</v>
      </c>
      <c r="H8957" s="19">
        <v>1.57</v>
      </c>
      <c r="I8957" s="18" t="s">
        <v>28</v>
      </c>
      <c r="J8957" s="18" t="s">
        <v>28</v>
      </c>
      <c r="K8957" s="18">
        <v>1.33</v>
      </c>
      <c r="L8957" s="18">
        <v>1.18</v>
      </c>
      <c r="M8957" s="18" t="s">
        <v>28</v>
      </c>
      <c r="N8957" s="17">
        <v>42656</v>
      </c>
      <c r="O8957" s="15" t="s">
        <v>30</v>
      </c>
      <c r="P8957" s="16" t="s">
        <v>18597</v>
      </c>
      <c r="Q8957" s="15" t="s">
        <v>280</v>
      </c>
      <c r="R8957" s="13" t="str">
        <f>HYPERLINK("https://my.pitchbook.com?c=76989-52T","View Company Online")</f>
        <v>View Company Online</v>
      </c>
    </row>
    <row r="8958" spans="1:18" hidden="1" x14ac:dyDescent="0.3">
      <c r="A8958" s="9" t="s">
        <v>25710</v>
      </c>
      <c r="B8958" s="9" t="s">
        <v>25711</v>
      </c>
      <c r="C8958" s="11" t="s">
        <v>28</v>
      </c>
      <c r="D8958" s="9" t="s">
        <v>25712</v>
      </c>
      <c r="E8958" s="11" t="s">
        <v>28</v>
      </c>
      <c r="F8958" s="10" t="s">
        <v>28</v>
      </c>
      <c r="G8958" s="10" t="s">
        <v>28</v>
      </c>
      <c r="H8958" s="10" t="s">
        <v>28</v>
      </c>
      <c r="I8958" s="11" t="s">
        <v>28</v>
      </c>
      <c r="J8958" s="11" t="s">
        <v>28</v>
      </c>
      <c r="K8958" s="11" t="s">
        <v>28</v>
      </c>
      <c r="L8958" s="11" t="s">
        <v>28</v>
      </c>
      <c r="M8958" s="11" t="s">
        <v>28</v>
      </c>
      <c r="N8958" s="8">
        <v>42655</v>
      </c>
      <c r="O8958" s="9" t="s">
        <v>41</v>
      </c>
      <c r="P8958" s="12" t="s">
        <v>25713</v>
      </c>
      <c r="Q8958" s="9" t="s">
        <v>1982</v>
      </c>
      <c r="R8958" s="14" t="str">
        <f>HYPERLINK("https://my.pitchbook.com?c=76943-80T","View Company Online")</f>
        <v>View Company Online</v>
      </c>
    </row>
    <row r="8959" spans="1:18" hidden="1" x14ac:dyDescent="0.3">
      <c r="A8959" s="15" t="s">
        <v>25714</v>
      </c>
      <c r="B8959" s="15" t="s">
        <v>25715</v>
      </c>
      <c r="C8959" s="18" t="s">
        <v>28</v>
      </c>
      <c r="D8959" s="15" t="s">
        <v>25716</v>
      </c>
      <c r="E8959" s="18" t="s">
        <v>28</v>
      </c>
      <c r="F8959" s="19" t="s">
        <v>28</v>
      </c>
      <c r="G8959" s="19" t="s">
        <v>28</v>
      </c>
      <c r="H8959" s="19" t="s">
        <v>28</v>
      </c>
      <c r="I8959" s="18" t="s">
        <v>28</v>
      </c>
      <c r="J8959" s="18" t="s">
        <v>28</v>
      </c>
      <c r="K8959" s="18" t="s">
        <v>28</v>
      </c>
      <c r="L8959" s="18" t="s">
        <v>28</v>
      </c>
      <c r="M8959" s="18" t="s">
        <v>28</v>
      </c>
      <c r="N8959" s="17">
        <v>42655</v>
      </c>
      <c r="O8959" s="15" t="s">
        <v>52</v>
      </c>
      <c r="P8959" s="16" t="s">
        <v>25717</v>
      </c>
      <c r="Q8959" s="15" t="s">
        <v>404</v>
      </c>
      <c r="R8959" s="13" t="str">
        <f>HYPERLINK("https://my.pitchbook.com?c=77871-97T","View Company Online")</f>
        <v>View Company Online</v>
      </c>
    </row>
    <row r="8960" spans="1:18" hidden="1" x14ac:dyDescent="0.3">
      <c r="A8960" s="9" t="s">
        <v>25718</v>
      </c>
      <c r="B8960" s="9" t="s">
        <v>2854</v>
      </c>
      <c r="C8960" s="11" t="s">
        <v>28</v>
      </c>
      <c r="D8960" s="9" t="s">
        <v>2855</v>
      </c>
      <c r="E8960" s="11" t="s">
        <v>28</v>
      </c>
      <c r="F8960" s="10" t="s">
        <v>28</v>
      </c>
      <c r="G8960" s="10">
        <v>3.5</v>
      </c>
      <c r="H8960" s="10" t="s">
        <v>28</v>
      </c>
      <c r="I8960" s="11" t="s">
        <v>28</v>
      </c>
      <c r="J8960" s="11" t="s">
        <v>28</v>
      </c>
      <c r="K8960" s="11">
        <v>32</v>
      </c>
      <c r="L8960" s="11" t="s">
        <v>28</v>
      </c>
      <c r="M8960" s="11" t="s">
        <v>28</v>
      </c>
      <c r="N8960" s="8">
        <v>42654</v>
      </c>
      <c r="O8960" s="9" t="s">
        <v>99</v>
      </c>
      <c r="P8960" s="12" t="s">
        <v>25719</v>
      </c>
      <c r="Q8960" s="9" t="s">
        <v>85</v>
      </c>
      <c r="R8960" s="14" t="str">
        <f>HYPERLINK("https://my.pitchbook.com?c=70765-21T","View Company Online")</f>
        <v>View Company Online</v>
      </c>
    </row>
    <row r="8961" spans="1:18" hidden="1" x14ac:dyDescent="0.3">
      <c r="A8961" s="15" t="s">
        <v>25720</v>
      </c>
      <c r="B8961" s="15" t="s">
        <v>1351</v>
      </c>
      <c r="C8961" s="18" t="s">
        <v>28</v>
      </c>
      <c r="D8961" s="15" t="s">
        <v>1352</v>
      </c>
      <c r="E8961" s="18" t="s">
        <v>28</v>
      </c>
      <c r="F8961" s="19" t="s">
        <v>28</v>
      </c>
      <c r="G8961" s="19">
        <v>1.4</v>
      </c>
      <c r="H8961" s="19" t="s">
        <v>28</v>
      </c>
      <c r="I8961" s="18" t="s">
        <v>28</v>
      </c>
      <c r="J8961" s="18" t="s">
        <v>28</v>
      </c>
      <c r="K8961" s="18" t="s">
        <v>28</v>
      </c>
      <c r="L8961" s="18" t="s">
        <v>28</v>
      </c>
      <c r="M8961" s="18" t="s">
        <v>28</v>
      </c>
      <c r="N8961" s="17">
        <v>42654</v>
      </c>
      <c r="O8961" s="15" t="s">
        <v>47</v>
      </c>
      <c r="P8961" s="16" t="s">
        <v>25721</v>
      </c>
      <c r="Q8961" s="15" t="s">
        <v>37</v>
      </c>
      <c r="R8961" s="13" t="str">
        <f>HYPERLINK("https://my.pitchbook.com?c=76961-44T","View Company Online")</f>
        <v>View Company Online</v>
      </c>
    </row>
    <row r="8962" spans="1:18" hidden="1" x14ac:dyDescent="0.3">
      <c r="A8962" s="9" t="s">
        <v>25722</v>
      </c>
      <c r="B8962" s="9" t="s">
        <v>2610</v>
      </c>
      <c r="C8962" s="11" t="s">
        <v>28</v>
      </c>
      <c r="D8962" s="9" t="s">
        <v>2611</v>
      </c>
      <c r="E8962" s="11" t="s">
        <v>28</v>
      </c>
      <c r="F8962" s="10" t="s">
        <v>28</v>
      </c>
      <c r="G8962" s="10">
        <v>0.2</v>
      </c>
      <c r="H8962" s="10">
        <v>1.2</v>
      </c>
      <c r="I8962" s="11" t="s">
        <v>28</v>
      </c>
      <c r="J8962" s="11" t="s">
        <v>28</v>
      </c>
      <c r="K8962" s="11" t="s">
        <v>28</v>
      </c>
      <c r="L8962" s="11" t="s">
        <v>28</v>
      </c>
      <c r="M8962" s="11" t="s">
        <v>28</v>
      </c>
      <c r="N8962" s="8">
        <v>42654</v>
      </c>
      <c r="O8962" s="9" t="s">
        <v>99</v>
      </c>
      <c r="P8962" s="12" t="s">
        <v>28</v>
      </c>
      <c r="Q8962" s="9" t="s">
        <v>583</v>
      </c>
      <c r="R8962" s="14" t="str">
        <f>HYPERLINK("https://my.pitchbook.com?c=77041-63T","View Company Online")</f>
        <v>View Company Online</v>
      </c>
    </row>
    <row r="8963" spans="1:18" hidden="1" x14ac:dyDescent="0.3">
      <c r="A8963" s="15" t="s">
        <v>25723</v>
      </c>
      <c r="B8963" s="15" t="s">
        <v>8633</v>
      </c>
      <c r="C8963" s="18" t="s">
        <v>28</v>
      </c>
      <c r="D8963" s="15" t="s">
        <v>8634</v>
      </c>
      <c r="E8963" s="18" t="s">
        <v>28</v>
      </c>
      <c r="F8963" s="19" t="s">
        <v>28</v>
      </c>
      <c r="G8963" s="19">
        <v>0.08</v>
      </c>
      <c r="H8963" s="19">
        <v>0.31</v>
      </c>
      <c r="I8963" s="18" t="s">
        <v>28</v>
      </c>
      <c r="J8963" s="18" t="s">
        <v>28</v>
      </c>
      <c r="K8963" s="18" t="s">
        <v>28</v>
      </c>
      <c r="L8963" s="18" t="s">
        <v>28</v>
      </c>
      <c r="M8963" s="18" t="s">
        <v>28</v>
      </c>
      <c r="N8963" s="17">
        <v>42653</v>
      </c>
      <c r="O8963" s="15" t="s">
        <v>52</v>
      </c>
      <c r="P8963" s="16" t="s">
        <v>25724</v>
      </c>
      <c r="Q8963" s="15" t="s">
        <v>2168</v>
      </c>
      <c r="R8963" s="13" t="str">
        <f>HYPERLINK("https://my.pitchbook.com?c=100717-48T","View Company Online")</f>
        <v>View Company Online</v>
      </c>
    </row>
    <row r="8964" spans="1:18" hidden="1" x14ac:dyDescent="0.3">
      <c r="A8964" s="9" t="s">
        <v>25725</v>
      </c>
      <c r="B8964" s="9" t="s">
        <v>8220</v>
      </c>
      <c r="C8964" s="11" t="s">
        <v>28</v>
      </c>
      <c r="D8964" s="9" t="s">
        <v>8221</v>
      </c>
      <c r="E8964" s="11" t="s">
        <v>28</v>
      </c>
      <c r="F8964" s="10" t="s">
        <v>28</v>
      </c>
      <c r="G8964" s="10">
        <v>0.01</v>
      </c>
      <c r="H8964" s="10" t="s">
        <v>28</v>
      </c>
      <c r="I8964" s="11" t="s">
        <v>28</v>
      </c>
      <c r="J8964" s="11" t="s">
        <v>28</v>
      </c>
      <c r="K8964" s="11" t="s">
        <v>28</v>
      </c>
      <c r="L8964" s="11" t="s">
        <v>28</v>
      </c>
      <c r="M8964" s="11" t="s">
        <v>28</v>
      </c>
      <c r="N8964" s="8">
        <v>42653</v>
      </c>
      <c r="O8964" s="9" t="s">
        <v>47</v>
      </c>
      <c r="P8964" s="12" t="s">
        <v>25726</v>
      </c>
      <c r="Q8964" s="9" t="s">
        <v>404</v>
      </c>
      <c r="R8964" s="14" t="str">
        <f>HYPERLINK("https://my.pitchbook.com?c=111149-83T","View Company Online")</f>
        <v>View Company Online</v>
      </c>
    </row>
    <row r="8965" spans="1:18" hidden="1" x14ac:dyDescent="0.3">
      <c r="A8965" s="15" t="s">
        <v>25727</v>
      </c>
      <c r="B8965" s="15" t="s">
        <v>1855</v>
      </c>
      <c r="C8965" s="18" t="s">
        <v>28</v>
      </c>
      <c r="D8965" s="15" t="s">
        <v>1856</v>
      </c>
      <c r="E8965" s="18" t="s">
        <v>28</v>
      </c>
      <c r="F8965" s="19" t="s">
        <v>28</v>
      </c>
      <c r="G8965" s="19" t="s">
        <v>28</v>
      </c>
      <c r="H8965" s="19" t="s">
        <v>28</v>
      </c>
      <c r="I8965" s="18" t="s">
        <v>28</v>
      </c>
      <c r="J8965" s="18" t="s">
        <v>28</v>
      </c>
      <c r="K8965" s="18" t="s">
        <v>28</v>
      </c>
      <c r="L8965" s="18" t="s">
        <v>28</v>
      </c>
      <c r="M8965" s="18" t="s">
        <v>28</v>
      </c>
      <c r="N8965" s="17">
        <v>42650</v>
      </c>
      <c r="O8965" s="15" t="s">
        <v>52</v>
      </c>
      <c r="P8965" s="16" t="s">
        <v>17245</v>
      </c>
      <c r="Q8965" s="15" t="s">
        <v>37</v>
      </c>
      <c r="R8965" s="13" t="str">
        <f>HYPERLINK("https://my.pitchbook.com?c=108181-09T","View Company Online")</f>
        <v>View Company Online</v>
      </c>
    </row>
    <row r="8966" spans="1:18" hidden="1" x14ac:dyDescent="0.3">
      <c r="A8966" s="9" t="s">
        <v>25728</v>
      </c>
      <c r="B8966" s="9" t="s">
        <v>25729</v>
      </c>
      <c r="C8966" s="11" t="s">
        <v>28</v>
      </c>
      <c r="D8966" s="9" t="s">
        <v>25730</v>
      </c>
      <c r="E8966" s="11" t="s">
        <v>28</v>
      </c>
      <c r="F8966" s="10">
        <v>35.33</v>
      </c>
      <c r="G8966" s="10">
        <v>35.33</v>
      </c>
      <c r="H8966" s="10">
        <v>35.33</v>
      </c>
      <c r="I8966" s="11" t="s">
        <v>28</v>
      </c>
      <c r="J8966" s="11" t="s">
        <v>28</v>
      </c>
      <c r="K8966" s="11" t="s">
        <v>28</v>
      </c>
      <c r="L8966" s="11" t="s">
        <v>28</v>
      </c>
      <c r="M8966" s="11" t="s">
        <v>28</v>
      </c>
      <c r="N8966" s="8">
        <v>42649</v>
      </c>
      <c r="O8966" s="9" t="s">
        <v>30</v>
      </c>
      <c r="P8966" s="12" t="s">
        <v>25731</v>
      </c>
      <c r="Q8966" s="9" t="s">
        <v>5347</v>
      </c>
      <c r="R8966" s="14" t="str">
        <f>HYPERLINK("https://my.pitchbook.com?c=73444-87T","View Company Online")</f>
        <v>View Company Online</v>
      </c>
    </row>
    <row r="8967" spans="1:18" hidden="1" x14ac:dyDescent="0.3">
      <c r="A8967" s="15" t="s">
        <v>25732</v>
      </c>
      <c r="B8967" s="15" t="s">
        <v>25733</v>
      </c>
      <c r="C8967" s="18" t="s">
        <v>28</v>
      </c>
      <c r="D8967" s="15" t="s">
        <v>25734</v>
      </c>
      <c r="E8967" s="18" t="s">
        <v>28</v>
      </c>
      <c r="F8967" s="19" t="s">
        <v>28</v>
      </c>
      <c r="G8967" s="19" t="s">
        <v>28</v>
      </c>
      <c r="H8967" s="19" t="s">
        <v>28</v>
      </c>
      <c r="I8967" s="18" t="s">
        <v>28</v>
      </c>
      <c r="J8967" s="18" t="s">
        <v>28</v>
      </c>
      <c r="K8967" s="18" t="s">
        <v>28</v>
      </c>
      <c r="L8967" s="18" t="s">
        <v>28</v>
      </c>
      <c r="M8967" s="18" t="s">
        <v>28</v>
      </c>
      <c r="N8967" s="17">
        <v>42648</v>
      </c>
      <c r="O8967" s="15" t="s">
        <v>30</v>
      </c>
      <c r="P8967" s="16" t="s">
        <v>25735</v>
      </c>
      <c r="Q8967" s="15" t="s">
        <v>136</v>
      </c>
      <c r="R8967" s="13" t="str">
        <f>HYPERLINK("https://my.pitchbook.com?c=76751-74T","View Company Online")</f>
        <v>View Company Online</v>
      </c>
    </row>
    <row r="8968" spans="1:18" hidden="1" x14ac:dyDescent="0.3">
      <c r="A8968" s="9" t="s">
        <v>25736</v>
      </c>
      <c r="B8968" s="9" t="s">
        <v>10479</v>
      </c>
      <c r="C8968" s="11" t="s">
        <v>28</v>
      </c>
      <c r="D8968" s="9" t="s">
        <v>10480</v>
      </c>
      <c r="E8968" s="11" t="s">
        <v>28</v>
      </c>
      <c r="F8968" s="10" t="s">
        <v>28</v>
      </c>
      <c r="G8968" s="10">
        <v>0.8</v>
      </c>
      <c r="H8968" s="10" t="s">
        <v>28</v>
      </c>
      <c r="I8968" s="11" t="s">
        <v>28</v>
      </c>
      <c r="J8968" s="11" t="s">
        <v>28</v>
      </c>
      <c r="K8968" s="11" t="s">
        <v>28</v>
      </c>
      <c r="L8968" s="11" t="s">
        <v>28</v>
      </c>
      <c r="M8968" s="11" t="s">
        <v>28</v>
      </c>
      <c r="N8968" s="8">
        <v>42648</v>
      </c>
      <c r="O8968" s="9" t="s">
        <v>73</v>
      </c>
      <c r="P8968" s="12" t="s">
        <v>1755</v>
      </c>
      <c r="Q8968" s="9" t="s">
        <v>75</v>
      </c>
      <c r="R8968" s="14" t="str">
        <f>HYPERLINK("https://my.pitchbook.com?c=279906-58T","View Company Online")</f>
        <v>View Company Online</v>
      </c>
    </row>
    <row r="8969" spans="1:18" hidden="1" x14ac:dyDescent="0.3">
      <c r="A8969" s="15" t="s">
        <v>25737</v>
      </c>
      <c r="B8969" s="15" t="s">
        <v>25738</v>
      </c>
      <c r="C8969" s="18" t="s">
        <v>28</v>
      </c>
      <c r="D8969" s="15" t="s">
        <v>25739</v>
      </c>
      <c r="E8969" s="18" t="s">
        <v>28</v>
      </c>
      <c r="F8969" s="19">
        <v>15.94</v>
      </c>
      <c r="G8969" s="19">
        <v>9.09</v>
      </c>
      <c r="H8969" s="19">
        <v>15.94</v>
      </c>
      <c r="I8969" s="18" t="s">
        <v>28</v>
      </c>
      <c r="J8969" s="18" t="s">
        <v>28</v>
      </c>
      <c r="K8969" s="18" t="s">
        <v>28</v>
      </c>
      <c r="L8969" s="18" t="s">
        <v>28</v>
      </c>
      <c r="M8969" s="18" t="s">
        <v>28</v>
      </c>
      <c r="N8969" s="17">
        <v>42648</v>
      </c>
      <c r="O8969" s="15" t="s">
        <v>30</v>
      </c>
      <c r="P8969" s="16" t="s">
        <v>25740</v>
      </c>
      <c r="Q8969" s="15" t="s">
        <v>85</v>
      </c>
      <c r="R8969" s="13" t="str">
        <f>HYPERLINK("https://my.pitchbook.com?c=77371-30T","View Company Online")</f>
        <v>View Company Online</v>
      </c>
    </row>
    <row r="8970" spans="1:18" hidden="1" x14ac:dyDescent="0.3">
      <c r="A8970" s="9" t="s">
        <v>25741</v>
      </c>
      <c r="B8970" s="9" t="s">
        <v>18269</v>
      </c>
      <c r="C8970" s="11" t="s">
        <v>28</v>
      </c>
      <c r="D8970" s="9" t="s">
        <v>18270</v>
      </c>
      <c r="E8970" s="11" t="s">
        <v>28</v>
      </c>
      <c r="F8970" s="10" t="s">
        <v>28</v>
      </c>
      <c r="G8970" s="10" t="s">
        <v>28</v>
      </c>
      <c r="H8970" s="10" t="s">
        <v>28</v>
      </c>
      <c r="I8970" s="11" t="s">
        <v>28</v>
      </c>
      <c r="J8970" s="11" t="s">
        <v>28</v>
      </c>
      <c r="K8970" s="11" t="s">
        <v>28</v>
      </c>
      <c r="L8970" s="11" t="s">
        <v>28</v>
      </c>
      <c r="M8970" s="11" t="s">
        <v>28</v>
      </c>
      <c r="N8970" s="8">
        <v>42648</v>
      </c>
      <c r="O8970" s="9" t="s">
        <v>93</v>
      </c>
      <c r="P8970" s="12" t="s">
        <v>25742</v>
      </c>
      <c r="Q8970" s="9" t="s">
        <v>37</v>
      </c>
      <c r="R8970" s="14" t="str">
        <f>HYPERLINK("https://my.pitchbook.com?c=21848-95T","View Company Online")</f>
        <v>View Company Online</v>
      </c>
    </row>
    <row r="8971" spans="1:18" hidden="1" x14ac:dyDescent="0.3">
      <c r="A8971" s="15" t="s">
        <v>25743</v>
      </c>
      <c r="B8971" s="15" t="s">
        <v>25744</v>
      </c>
      <c r="C8971" s="18" t="s">
        <v>28</v>
      </c>
      <c r="D8971" s="15" t="s">
        <v>25745</v>
      </c>
      <c r="E8971" s="18" t="s">
        <v>28</v>
      </c>
      <c r="F8971" s="19" t="s">
        <v>28</v>
      </c>
      <c r="G8971" s="19" t="s">
        <v>28</v>
      </c>
      <c r="H8971" s="19" t="s">
        <v>28</v>
      </c>
      <c r="I8971" s="18" t="s">
        <v>28</v>
      </c>
      <c r="J8971" s="18" t="s">
        <v>28</v>
      </c>
      <c r="K8971" s="18" t="s">
        <v>28</v>
      </c>
      <c r="L8971" s="18" t="s">
        <v>28</v>
      </c>
      <c r="M8971" s="18" t="s">
        <v>28</v>
      </c>
      <c r="N8971" s="17">
        <v>42647</v>
      </c>
      <c r="O8971" s="15" t="s">
        <v>173</v>
      </c>
      <c r="P8971" s="16" t="s">
        <v>28</v>
      </c>
      <c r="Q8971" s="15" t="s">
        <v>299</v>
      </c>
      <c r="R8971" s="13" t="str">
        <f>HYPERLINK("https://my.pitchbook.com?c=134096-32T","View Company Online")</f>
        <v>View Company Online</v>
      </c>
    </row>
    <row r="8972" spans="1:18" hidden="1" x14ac:dyDescent="0.3">
      <c r="A8972" s="9" t="s">
        <v>25746</v>
      </c>
      <c r="B8972" s="9" t="s">
        <v>3284</v>
      </c>
      <c r="C8972" s="11" t="s">
        <v>28</v>
      </c>
      <c r="D8972" s="9" t="s">
        <v>3285</v>
      </c>
      <c r="E8972" s="11" t="s">
        <v>28</v>
      </c>
      <c r="F8972" s="10" t="s">
        <v>28</v>
      </c>
      <c r="G8972" s="10">
        <v>0.25</v>
      </c>
      <c r="H8972" s="10" t="s">
        <v>28</v>
      </c>
      <c r="I8972" s="11" t="s">
        <v>28</v>
      </c>
      <c r="J8972" s="11" t="s">
        <v>28</v>
      </c>
      <c r="K8972" s="11" t="s">
        <v>28</v>
      </c>
      <c r="L8972" s="11" t="s">
        <v>28</v>
      </c>
      <c r="M8972" s="11" t="s">
        <v>28</v>
      </c>
      <c r="N8972" s="8">
        <v>42646</v>
      </c>
      <c r="O8972" s="9" t="s">
        <v>79</v>
      </c>
      <c r="P8972" s="12" t="s">
        <v>28</v>
      </c>
      <c r="Q8972" s="9" t="s">
        <v>119</v>
      </c>
      <c r="R8972" s="14" t="str">
        <f>HYPERLINK("https://my.pitchbook.com?c=212369-32T","View Company Online")</f>
        <v>View Company Online</v>
      </c>
    </row>
    <row r="8973" spans="1:18" x14ac:dyDescent="0.3">
      <c r="A8973" s="15" t="s">
        <v>25747</v>
      </c>
      <c r="B8973" s="15" t="s">
        <v>14862</v>
      </c>
      <c r="C8973" s="18">
        <v>13.36</v>
      </c>
      <c r="D8973" s="15" t="s">
        <v>14863</v>
      </c>
      <c r="E8973" s="18" t="s">
        <v>28</v>
      </c>
      <c r="F8973" s="19">
        <v>715</v>
      </c>
      <c r="G8973" s="19">
        <v>465</v>
      </c>
      <c r="H8973" s="19">
        <v>715</v>
      </c>
      <c r="I8973" s="18">
        <v>53.53</v>
      </c>
      <c r="J8973" s="18">
        <v>13.36</v>
      </c>
      <c r="K8973" s="18">
        <v>324.39</v>
      </c>
      <c r="L8973" s="18">
        <v>2.2000000000000002</v>
      </c>
      <c r="M8973" s="18" t="s">
        <v>28</v>
      </c>
      <c r="N8973" s="17">
        <v>42646</v>
      </c>
      <c r="O8973" s="15" t="s">
        <v>30</v>
      </c>
      <c r="P8973" s="16" t="s">
        <v>25748</v>
      </c>
      <c r="Q8973" s="15" t="s">
        <v>1007</v>
      </c>
      <c r="R8973" s="13" t="str">
        <f>HYPERLINK("https://my.pitchbook.com?c=74254-24T","View Company Online")</f>
        <v>View Company Online</v>
      </c>
    </row>
    <row r="8974" spans="1:18" hidden="1" x14ac:dyDescent="0.3">
      <c r="A8974" s="9" t="s">
        <v>25749</v>
      </c>
      <c r="B8974" s="9" t="s">
        <v>25750</v>
      </c>
      <c r="C8974" s="11" t="s">
        <v>28</v>
      </c>
      <c r="D8974" s="9" t="s">
        <v>25751</v>
      </c>
      <c r="E8974" s="11" t="s">
        <v>28</v>
      </c>
      <c r="F8974" s="10" t="s">
        <v>28</v>
      </c>
      <c r="G8974" s="10" t="s">
        <v>28</v>
      </c>
      <c r="H8974" s="10" t="s">
        <v>28</v>
      </c>
      <c r="I8974" s="11" t="s">
        <v>28</v>
      </c>
      <c r="J8974" s="11" t="s">
        <v>28</v>
      </c>
      <c r="K8974" s="11" t="s">
        <v>28</v>
      </c>
      <c r="L8974" s="11" t="s">
        <v>28</v>
      </c>
      <c r="M8974" s="11" t="s">
        <v>28</v>
      </c>
      <c r="N8974" s="8">
        <v>42646</v>
      </c>
      <c r="O8974" s="9" t="s">
        <v>30</v>
      </c>
      <c r="P8974" s="12" t="s">
        <v>14921</v>
      </c>
      <c r="Q8974" s="9" t="s">
        <v>43</v>
      </c>
      <c r="R8974" s="14" t="str">
        <f>HYPERLINK("https://my.pitchbook.com?c=76622-77T","View Company Online")</f>
        <v>View Company Online</v>
      </c>
    </row>
    <row r="8975" spans="1:18" hidden="1" x14ac:dyDescent="0.3">
      <c r="A8975" s="15" t="s">
        <v>25752</v>
      </c>
      <c r="B8975" s="15" t="s">
        <v>25753</v>
      </c>
      <c r="C8975" s="18" t="s">
        <v>28</v>
      </c>
      <c r="D8975" s="15" t="s">
        <v>25754</v>
      </c>
      <c r="E8975" s="18" t="s">
        <v>28</v>
      </c>
      <c r="F8975" s="19">
        <v>213.84</v>
      </c>
      <c r="G8975" s="19">
        <v>213.84</v>
      </c>
      <c r="H8975" s="19">
        <v>213.84</v>
      </c>
      <c r="I8975" s="18" t="s">
        <v>28</v>
      </c>
      <c r="J8975" s="18" t="s">
        <v>28</v>
      </c>
      <c r="K8975" s="18" t="s">
        <v>28</v>
      </c>
      <c r="L8975" s="18" t="s">
        <v>28</v>
      </c>
      <c r="M8975" s="18" t="s">
        <v>28</v>
      </c>
      <c r="N8975" s="17">
        <v>42646</v>
      </c>
      <c r="O8975" s="15" t="s">
        <v>30</v>
      </c>
      <c r="P8975" s="16" t="s">
        <v>25755</v>
      </c>
      <c r="Q8975" s="15" t="s">
        <v>362</v>
      </c>
      <c r="R8975" s="13" t="str">
        <f>HYPERLINK("https://my.pitchbook.com?c=65672-29T","View Company Online")</f>
        <v>View Company Online</v>
      </c>
    </row>
    <row r="8976" spans="1:18" hidden="1" x14ac:dyDescent="0.3">
      <c r="A8976" s="9" t="s">
        <v>25756</v>
      </c>
      <c r="B8976" s="9" t="s">
        <v>25757</v>
      </c>
      <c r="C8976" s="11" t="s">
        <v>28</v>
      </c>
      <c r="D8976" s="9" t="s">
        <v>25758</v>
      </c>
      <c r="E8976" s="11" t="s">
        <v>28</v>
      </c>
      <c r="F8976" s="10">
        <v>450.67</v>
      </c>
      <c r="G8976" s="10">
        <v>368.65</v>
      </c>
      <c r="H8976" s="10">
        <v>450.67</v>
      </c>
      <c r="I8976" s="11" t="s">
        <v>28</v>
      </c>
      <c r="J8976" s="11" t="s">
        <v>28</v>
      </c>
      <c r="K8976" s="11" t="s">
        <v>28</v>
      </c>
      <c r="L8976" s="11" t="s">
        <v>28</v>
      </c>
      <c r="M8976" s="11" t="s">
        <v>28</v>
      </c>
      <c r="N8976" s="8">
        <v>42646</v>
      </c>
      <c r="O8976" s="9" t="s">
        <v>30</v>
      </c>
      <c r="P8976" s="12" t="s">
        <v>876</v>
      </c>
      <c r="Q8976" s="9" t="s">
        <v>268</v>
      </c>
      <c r="R8976" s="14" t="str">
        <f>HYPERLINK("https://my.pitchbook.com?c=68909-50T","View Company Online")</f>
        <v>View Company Online</v>
      </c>
    </row>
    <row r="8977" spans="1:18" hidden="1" x14ac:dyDescent="0.3">
      <c r="A8977" s="15" t="s">
        <v>25759</v>
      </c>
      <c r="B8977" s="15" t="s">
        <v>25760</v>
      </c>
      <c r="C8977" s="18" t="s">
        <v>28</v>
      </c>
      <c r="D8977" s="15" t="s">
        <v>25761</v>
      </c>
      <c r="E8977" s="18" t="s">
        <v>28</v>
      </c>
      <c r="F8977" s="19">
        <v>8.94</v>
      </c>
      <c r="G8977" s="19">
        <v>8.94</v>
      </c>
      <c r="H8977" s="19">
        <v>8.94</v>
      </c>
      <c r="I8977" s="18" t="s">
        <v>28</v>
      </c>
      <c r="J8977" s="18" t="s">
        <v>28</v>
      </c>
      <c r="K8977" s="18" t="s">
        <v>28</v>
      </c>
      <c r="L8977" s="18" t="s">
        <v>28</v>
      </c>
      <c r="M8977" s="18" t="s">
        <v>28</v>
      </c>
      <c r="N8977" s="17">
        <v>42646</v>
      </c>
      <c r="O8977" s="15" t="s">
        <v>30</v>
      </c>
      <c r="P8977" s="16" t="s">
        <v>25762</v>
      </c>
      <c r="Q8977" s="15" t="s">
        <v>10676</v>
      </c>
      <c r="R8977" s="13" t="str">
        <f>HYPERLINK("https://my.pitchbook.com?c=73097-92T","View Company Online")</f>
        <v>View Company Online</v>
      </c>
    </row>
    <row r="8978" spans="1:18" hidden="1" x14ac:dyDescent="0.3">
      <c r="A8978" s="9" t="s">
        <v>25763</v>
      </c>
      <c r="B8978" s="9" t="s">
        <v>25764</v>
      </c>
      <c r="C8978" s="11" t="s">
        <v>28</v>
      </c>
      <c r="D8978" s="9" t="s">
        <v>25765</v>
      </c>
      <c r="E8978" s="11" t="s">
        <v>28</v>
      </c>
      <c r="F8978" s="10">
        <v>2.92</v>
      </c>
      <c r="G8978" s="10">
        <v>2.92</v>
      </c>
      <c r="H8978" s="10">
        <v>2.92</v>
      </c>
      <c r="I8978" s="11" t="s">
        <v>28</v>
      </c>
      <c r="J8978" s="11" t="s">
        <v>28</v>
      </c>
      <c r="K8978" s="11" t="s">
        <v>28</v>
      </c>
      <c r="L8978" s="11" t="s">
        <v>28</v>
      </c>
      <c r="M8978" s="11" t="s">
        <v>28</v>
      </c>
      <c r="N8978" s="8">
        <v>42646</v>
      </c>
      <c r="O8978" s="9" t="s">
        <v>30</v>
      </c>
      <c r="P8978" s="12" t="s">
        <v>25766</v>
      </c>
      <c r="Q8978" s="9" t="s">
        <v>43</v>
      </c>
      <c r="R8978" s="14" t="str">
        <f>HYPERLINK("https://my.pitchbook.com?c=211726-27T","View Company Online")</f>
        <v>View Company Online</v>
      </c>
    </row>
    <row r="8979" spans="1:18" hidden="1" x14ac:dyDescent="0.3">
      <c r="A8979" s="15" t="s">
        <v>25767</v>
      </c>
      <c r="B8979" s="15" t="s">
        <v>25768</v>
      </c>
      <c r="C8979" s="18" t="s">
        <v>28</v>
      </c>
      <c r="D8979" s="15" t="s">
        <v>25769</v>
      </c>
      <c r="E8979" s="18" t="s">
        <v>28</v>
      </c>
      <c r="F8979" s="19">
        <v>8.93</v>
      </c>
      <c r="G8979" s="19">
        <v>8.93</v>
      </c>
      <c r="H8979" s="19">
        <v>8.93</v>
      </c>
      <c r="I8979" s="18" t="s">
        <v>28</v>
      </c>
      <c r="J8979" s="18" t="s">
        <v>28</v>
      </c>
      <c r="K8979" s="18" t="s">
        <v>28</v>
      </c>
      <c r="L8979" s="18" t="s">
        <v>28</v>
      </c>
      <c r="M8979" s="18" t="s">
        <v>28</v>
      </c>
      <c r="N8979" s="17">
        <v>42646</v>
      </c>
      <c r="O8979" s="15" t="s">
        <v>30</v>
      </c>
      <c r="P8979" s="16" t="s">
        <v>25762</v>
      </c>
      <c r="Q8979" s="15" t="s">
        <v>1088</v>
      </c>
      <c r="R8979" s="13" t="str">
        <f>HYPERLINK("https://my.pitchbook.com?c=73097-20T","View Company Online")</f>
        <v>View Company Online</v>
      </c>
    </row>
    <row r="8980" spans="1:18" hidden="1" x14ac:dyDescent="0.3">
      <c r="A8980" s="9" t="s">
        <v>25770</v>
      </c>
      <c r="B8980" s="9" t="s">
        <v>25771</v>
      </c>
      <c r="C8980" s="11" t="s">
        <v>28</v>
      </c>
      <c r="D8980" s="9" t="s">
        <v>25772</v>
      </c>
      <c r="E8980" s="11" t="s">
        <v>28</v>
      </c>
      <c r="F8980" s="10" t="s">
        <v>28</v>
      </c>
      <c r="G8980" s="10" t="s">
        <v>28</v>
      </c>
      <c r="H8980" s="10" t="s">
        <v>28</v>
      </c>
      <c r="I8980" s="11" t="s">
        <v>28</v>
      </c>
      <c r="J8980" s="11" t="s">
        <v>28</v>
      </c>
      <c r="K8980" s="11" t="s">
        <v>28</v>
      </c>
      <c r="L8980" s="11" t="s">
        <v>28</v>
      </c>
      <c r="M8980" s="11" t="s">
        <v>28</v>
      </c>
      <c r="N8980" s="8">
        <v>42646</v>
      </c>
      <c r="O8980" s="9" t="s">
        <v>30</v>
      </c>
      <c r="P8980" s="12" t="s">
        <v>1950</v>
      </c>
      <c r="Q8980" s="9" t="s">
        <v>75</v>
      </c>
      <c r="R8980" s="14" t="str">
        <f>HYPERLINK("https://my.pitchbook.com?c=87006-79T","View Company Online")</f>
        <v>View Company Online</v>
      </c>
    </row>
    <row r="8981" spans="1:18" hidden="1" x14ac:dyDescent="0.3">
      <c r="A8981" s="15" t="s">
        <v>25773</v>
      </c>
      <c r="B8981" s="15" t="s">
        <v>25774</v>
      </c>
      <c r="C8981" s="18" t="s">
        <v>28</v>
      </c>
      <c r="D8981" s="15" t="s">
        <v>25775</v>
      </c>
      <c r="E8981" s="18" t="s">
        <v>28</v>
      </c>
      <c r="F8981" s="19">
        <v>1500</v>
      </c>
      <c r="G8981" s="19">
        <v>1500</v>
      </c>
      <c r="H8981" s="19">
        <v>1500</v>
      </c>
      <c r="I8981" s="18" t="s">
        <v>28</v>
      </c>
      <c r="J8981" s="18" t="s">
        <v>28</v>
      </c>
      <c r="K8981" s="18" t="s">
        <v>28</v>
      </c>
      <c r="L8981" s="18" t="s">
        <v>28</v>
      </c>
      <c r="M8981" s="18" t="s">
        <v>28</v>
      </c>
      <c r="N8981" s="17">
        <v>42644</v>
      </c>
      <c r="O8981" s="15" t="s">
        <v>30</v>
      </c>
      <c r="P8981" s="16" t="s">
        <v>25776</v>
      </c>
      <c r="Q8981" s="15" t="s">
        <v>1007</v>
      </c>
      <c r="R8981" s="13" t="str">
        <f>HYPERLINK("https://my.pitchbook.com?c=68881-24T","View Company Online")</f>
        <v>View Company Online</v>
      </c>
    </row>
    <row r="8982" spans="1:18" hidden="1" x14ac:dyDescent="0.3">
      <c r="A8982" s="9" t="s">
        <v>25777</v>
      </c>
      <c r="B8982" s="9" t="s">
        <v>6062</v>
      </c>
      <c r="C8982" s="11" t="s">
        <v>28</v>
      </c>
      <c r="D8982" s="9" t="s">
        <v>6063</v>
      </c>
      <c r="E8982" s="11" t="s">
        <v>28</v>
      </c>
      <c r="F8982" s="10" t="s">
        <v>28</v>
      </c>
      <c r="G8982" s="10">
        <v>0.03</v>
      </c>
      <c r="H8982" s="10">
        <v>0.75</v>
      </c>
      <c r="I8982" s="11" t="s">
        <v>28</v>
      </c>
      <c r="J8982" s="11" t="s">
        <v>28</v>
      </c>
      <c r="K8982" s="11" t="s">
        <v>28</v>
      </c>
      <c r="L8982" s="11" t="s">
        <v>28</v>
      </c>
      <c r="M8982" s="11" t="s">
        <v>28</v>
      </c>
      <c r="N8982" s="8">
        <v>42644</v>
      </c>
      <c r="O8982" s="9" t="s">
        <v>99</v>
      </c>
      <c r="P8982" s="12" t="s">
        <v>611</v>
      </c>
      <c r="Q8982" s="9" t="s">
        <v>75</v>
      </c>
      <c r="R8982" s="14" t="str">
        <f>HYPERLINK("https://my.pitchbook.com?c=67659-40T","View Company Online")</f>
        <v>View Company Online</v>
      </c>
    </row>
    <row r="8983" spans="1:18" hidden="1" x14ac:dyDescent="0.3">
      <c r="A8983" s="15" t="s">
        <v>25778</v>
      </c>
      <c r="B8983" s="15" t="s">
        <v>25779</v>
      </c>
      <c r="C8983" s="18" t="s">
        <v>28</v>
      </c>
      <c r="D8983" s="15" t="s">
        <v>25780</v>
      </c>
      <c r="E8983" s="18" t="s">
        <v>28</v>
      </c>
      <c r="F8983" s="19" t="s">
        <v>28</v>
      </c>
      <c r="G8983" s="19" t="s">
        <v>28</v>
      </c>
      <c r="H8983" s="19" t="s">
        <v>28</v>
      </c>
      <c r="I8983" s="18" t="s">
        <v>28</v>
      </c>
      <c r="J8983" s="18" t="s">
        <v>28</v>
      </c>
      <c r="K8983" s="18" t="s">
        <v>28</v>
      </c>
      <c r="L8983" s="18" t="s">
        <v>28</v>
      </c>
      <c r="M8983" s="18" t="s">
        <v>28</v>
      </c>
      <c r="N8983" s="17">
        <v>42644</v>
      </c>
      <c r="O8983" s="15" t="s">
        <v>30</v>
      </c>
      <c r="P8983" s="16" t="s">
        <v>25781</v>
      </c>
      <c r="Q8983" s="15" t="s">
        <v>226</v>
      </c>
      <c r="R8983" s="13" t="str">
        <f>HYPERLINK("https://my.pitchbook.com?c=110321-65T","View Company Online")</f>
        <v>View Company Online</v>
      </c>
    </row>
    <row r="8984" spans="1:18" hidden="1" x14ac:dyDescent="0.3">
      <c r="A8984" s="9" t="s">
        <v>25782</v>
      </c>
      <c r="B8984" s="9" t="s">
        <v>25783</v>
      </c>
      <c r="C8984" s="11" t="s">
        <v>28</v>
      </c>
      <c r="D8984" s="9" t="s">
        <v>25784</v>
      </c>
      <c r="E8984" s="11" t="s">
        <v>28</v>
      </c>
      <c r="F8984" s="10" t="s">
        <v>28</v>
      </c>
      <c r="G8984" s="10" t="s">
        <v>28</v>
      </c>
      <c r="H8984" s="10" t="s">
        <v>28</v>
      </c>
      <c r="I8984" s="11" t="s">
        <v>28</v>
      </c>
      <c r="J8984" s="11" t="s">
        <v>28</v>
      </c>
      <c r="K8984" s="11" t="s">
        <v>28</v>
      </c>
      <c r="L8984" s="11" t="s">
        <v>28</v>
      </c>
      <c r="M8984" s="11" t="s">
        <v>28</v>
      </c>
      <c r="N8984" s="8">
        <v>42644</v>
      </c>
      <c r="O8984" s="9" t="s">
        <v>73</v>
      </c>
      <c r="P8984" s="12" t="s">
        <v>14910</v>
      </c>
      <c r="Q8984" s="9" t="s">
        <v>75</v>
      </c>
      <c r="R8984" s="14" t="str">
        <f>HYPERLINK("https://my.pitchbook.com?c=126042-31T","View Company Online")</f>
        <v>View Company Online</v>
      </c>
    </row>
    <row r="8985" spans="1:18" hidden="1" x14ac:dyDescent="0.3">
      <c r="A8985" s="15" t="s">
        <v>25785</v>
      </c>
      <c r="B8985" s="15" t="s">
        <v>455</v>
      </c>
      <c r="C8985" s="18" t="s">
        <v>28</v>
      </c>
      <c r="D8985" s="15" t="s">
        <v>456</v>
      </c>
      <c r="E8985" s="18" t="s">
        <v>28</v>
      </c>
      <c r="F8985" s="19" t="s">
        <v>28</v>
      </c>
      <c r="G8985" s="19">
        <v>3.3</v>
      </c>
      <c r="H8985" s="19" t="s">
        <v>28</v>
      </c>
      <c r="I8985" s="18" t="s">
        <v>28</v>
      </c>
      <c r="J8985" s="18" t="s">
        <v>28</v>
      </c>
      <c r="K8985" s="18" t="s">
        <v>28</v>
      </c>
      <c r="L8985" s="18" t="s">
        <v>28</v>
      </c>
      <c r="M8985" s="18" t="s">
        <v>28</v>
      </c>
      <c r="N8985" s="17">
        <v>42644</v>
      </c>
      <c r="O8985" s="15" t="s">
        <v>99</v>
      </c>
      <c r="P8985" s="16" t="s">
        <v>25786</v>
      </c>
      <c r="Q8985" s="15" t="s">
        <v>75</v>
      </c>
      <c r="R8985" s="13" t="str">
        <f>HYPERLINK("https://my.pitchbook.com?c=208236-97T","View Company Online")</f>
        <v>View Company Online</v>
      </c>
    </row>
    <row r="8986" spans="1:18" x14ac:dyDescent="0.3">
      <c r="A8986" s="9" t="s">
        <v>25787</v>
      </c>
      <c r="B8986" s="9" t="s">
        <v>5129</v>
      </c>
      <c r="C8986" s="11">
        <v>10.119999999999999</v>
      </c>
      <c r="D8986" s="9" t="s">
        <v>5130</v>
      </c>
      <c r="E8986" s="11">
        <v>109.69</v>
      </c>
      <c r="F8986" s="10">
        <v>1397.5</v>
      </c>
      <c r="G8986" s="10">
        <v>153.38999999999999</v>
      </c>
      <c r="H8986" s="10">
        <v>1518.74</v>
      </c>
      <c r="I8986" s="11">
        <v>138.13999999999999</v>
      </c>
      <c r="J8986" s="11">
        <v>10.99</v>
      </c>
      <c r="K8986" s="11">
        <v>1135.06</v>
      </c>
      <c r="L8986" s="11">
        <v>1.34</v>
      </c>
      <c r="M8986" s="11">
        <v>85.57</v>
      </c>
      <c r="N8986" s="8">
        <v>42643</v>
      </c>
      <c r="O8986" s="9" t="s">
        <v>30</v>
      </c>
      <c r="P8986" s="12" t="s">
        <v>25788</v>
      </c>
      <c r="Q8986" s="9" t="s">
        <v>5132</v>
      </c>
      <c r="R8986" s="14" t="str">
        <f>HYPERLINK("https://my.pitchbook.com?c=70849-09T","View Company Online")</f>
        <v>View Company Online</v>
      </c>
    </row>
    <row r="8987" spans="1:18" hidden="1" x14ac:dyDescent="0.3">
      <c r="A8987" s="15" t="s">
        <v>25789</v>
      </c>
      <c r="B8987" s="15" t="s">
        <v>25790</v>
      </c>
      <c r="C8987" s="18" t="s">
        <v>28</v>
      </c>
      <c r="D8987" s="15" t="s">
        <v>25791</v>
      </c>
      <c r="E8987" s="18" t="s">
        <v>28</v>
      </c>
      <c r="F8987" s="19" t="s">
        <v>28</v>
      </c>
      <c r="G8987" s="19" t="s">
        <v>28</v>
      </c>
      <c r="H8987" s="19" t="s">
        <v>28</v>
      </c>
      <c r="I8987" s="18" t="s">
        <v>28</v>
      </c>
      <c r="J8987" s="18" t="s">
        <v>28</v>
      </c>
      <c r="K8987" s="18" t="s">
        <v>28</v>
      </c>
      <c r="L8987" s="18" t="s">
        <v>28</v>
      </c>
      <c r="M8987" s="18" t="s">
        <v>28</v>
      </c>
      <c r="N8987" s="17">
        <v>42643</v>
      </c>
      <c r="O8987" s="15" t="s">
        <v>41</v>
      </c>
      <c r="P8987" s="16" t="s">
        <v>25792</v>
      </c>
      <c r="Q8987" s="15" t="s">
        <v>409</v>
      </c>
      <c r="R8987" s="13" t="str">
        <f>HYPERLINK("https://my.pitchbook.com?c=84113-38T","View Company Online")</f>
        <v>View Company Online</v>
      </c>
    </row>
    <row r="8988" spans="1:18" hidden="1" x14ac:dyDescent="0.3">
      <c r="A8988" s="9" t="s">
        <v>25793</v>
      </c>
      <c r="B8988" s="9" t="s">
        <v>14837</v>
      </c>
      <c r="C8988" s="11" t="s">
        <v>28</v>
      </c>
      <c r="D8988" s="9" t="s">
        <v>14838</v>
      </c>
      <c r="E8988" s="11" t="s">
        <v>28</v>
      </c>
      <c r="F8988" s="10">
        <v>133.47</v>
      </c>
      <c r="G8988" s="10">
        <v>69.400000000000006</v>
      </c>
      <c r="H8988" s="10">
        <v>133.47</v>
      </c>
      <c r="I8988" s="11" t="s">
        <v>28</v>
      </c>
      <c r="J8988" s="11" t="s">
        <v>28</v>
      </c>
      <c r="K8988" s="11">
        <v>207.29</v>
      </c>
      <c r="L8988" s="11">
        <v>0.64</v>
      </c>
      <c r="M8988" s="11" t="s">
        <v>28</v>
      </c>
      <c r="N8988" s="8">
        <v>42643</v>
      </c>
      <c r="O8988" s="9" t="s">
        <v>41</v>
      </c>
      <c r="P8988" s="12" t="s">
        <v>25794</v>
      </c>
      <c r="Q8988" s="9" t="s">
        <v>109</v>
      </c>
      <c r="R8988" s="14" t="str">
        <f>HYPERLINK("https://my.pitchbook.com?c=74957-41T","View Company Online")</f>
        <v>View Company Online</v>
      </c>
    </row>
    <row r="8989" spans="1:18" hidden="1" x14ac:dyDescent="0.3">
      <c r="A8989" s="15" t="s">
        <v>25795</v>
      </c>
      <c r="B8989" s="15" t="s">
        <v>16643</v>
      </c>
      <c r="C8989" s="18" t="s">
        <v>28</v>
      </c>
      <c r="D8989" s="15" t="s">
        <v>16644</v>
      </c>
      <c r="E8989" s="18" t="s">
        <v>28</v>
      </c>
      <c r="F8989" s="19" t="s">
        <v>28</v>
      </c>
      <c r="G8989" s="19">
        <v>2.98</v>
      </c>
      <c r="H8989" s="19" t="s">
        <v>28</v>
      </c>
      <c r="I8989" s="18" t="s">
        <v>28</v>
      </c>
      <c r="J8989" s="18" t="s">
        <v>28</v>
      </c>
      <c r="K8989" s="18" t="s">
        <v>28</v>
      </c>
      <c r="L8989" s="18" t="s">
        <v>28</v>
      </c>
      <c r="M8989" s="18" t="s">
        <v>28</v>
      </c>
      <c r="N8989" s="17">
        <v>42643</v>
      </c>
      <c r="O8989" s="15" t="s">
        <v>73</v>
      </c>
      <c r="P8989" s="16" t="s">
        <v>3465</v>
      </c>
      <c r="Q8989" s="15" t="s">
        <v>37</v>
      </c>
      <c r="R8989" s="13" t="str">
        <f>HYPERLINK("https://my.pitchbook.com?c=79417-00T","View Company Online")</f>
        <v>View Company Online</v>
      </c>
    </row>
    <row r="8990" spans="1:18" hidden="1" x14ac:dyDescent="0.3">
      <c r="A8990" s="9" t="s">
        <v>25796</v>
      </c>
      <c r="B8990" s="9" t="s">
        <v>21186</v>
      </c>
      <c r="C8990" s="11" t="s">
        <v>28</v>
      </c>
      <c r="D8990" s="9" t="s">
        <v>21187</v>
      </c>
      <c r="E8990" s="11" t="s">
        <v>28</v>
      </c>
      <c r="F8990" s="10" t="s">
        <v>28</v>
      </c>
      <c r="G8990" s="10">
        <v>1.23</v>
      </c>
      <c r="H8990" s="10" t="s">
        <v>28</v>
      </c>
      <c r="I8990" s="11" t="s">
        <v>28</v>
      </c>
      <c r="J8990" s="11" t="s">
        <v>28</v>
      </c>
      <c r="K8990" s="11" t="s">
        <v>28</v>
      </c>
      <c r="L8990" s="11" t="s">
        <v>28</v>
      </c>
      <c r="M8990" s="11" t="s">
        <v>28</v>
      </c>
      <c r="N8990" s="8">
        <v>42642</v>
      </c>
      <c r="O8990" s="9" t="s">
        <v>73</v>
      </c>
      <c r="P8990" s="12" t="s">
        <v>25797</v>
      </c>
      <c r="Q8990" s="9" t="s">
        <v>75</v>
      </c>
      <c r="R8990" s="14" t="str">
        <f>HYPERLINK("https://my.pitchbook.com?c=77634-37T","View Company Online")</f>
        <v>View Company Online</v>
      </c>
    </row>
    <row r="8991" spans="1:18" hidden="1" x14ac:dyDescent="0.3">
      <c r="A8991" s="15" t="s">
        <v>25798</v>
      </c>
      <c r="B8991" s="15" t="s">
        <v>3467</v>
      </c>
      <c r="C8991" s="18" t="s">
        <v>28</v>
      </c>
      <c r="D8991" s="15" t="s">
        <v>3468</v>
      </c>
      <c r="E8991" s="18" t="s">
        <v>28</v>
      </c>
      <c r="F8991" s="19" t="s">
        <v>28</v>
      </c>
      <c r="G8991" s="19">
        <v>921.81</v>
      </c>
      <c r="H8991" s="19">
        <v>921.81</v>
      </c>
      <c r="I8991" s="18" t="s">
        <v>28</v>
      </c>
      <c r="J8991" s="18" t="s">
        <v>28</v>
      </c>
      <c r="K8991" s="18">
        <v>74.790000000000006</v>
      </c>
      <c r="L8991" s="18">
        <v>12.33</v>
      </c>
      <c r="M8991" s="18">
        <v>-19.57</v>
      </c>
      <c r="N8991" s="17">
        <v>42641</v>
      </c>
      <c r="O8991" s="15" t="s">
        <v>30</v>
      </c>
      <c r="P8991" s="16" t="s">
        <v>28</v>
      </c>
      <c r="Q8991" s="15" t="s">
        <v>59</v>
      </c>
      <c r="R8991" s="13" t="str">
        <f>HYPERLINK("https://my.pitchbook.com?c=71191-18T","View Company Online")</f>
        <v>View Company Online</v>
      </c>
    </row>
    <row r="8992" spans="1:18" hidden="1" x14ac:dyDescent="0.3">
      <c r="A8992" s="9" t="s">
        <v>25799</v>
      </c>
      <c r="B8992" s="9" t="s">
        <v>9232</v>
      </c>
      <c r="C8992" s="11" t="s">
        <v>28</v>
      </c>
      <c r="D8992" s="9" t="s">
        <v>9233</v>
      </c>
      <c r="E8992" s="11" t="s">
        <v>28</v>
      </c>
      <c r="F8992" s="10" t="s">
        <v>28</v>
      </c>
      <c r="G8992" s="10">
        <v>0.17</v>
      </c>
      <c r="H8992" s="10" t="s">
        <v>28</v>
      </c>
      <c r="I8992" s="11" t="s">
        <v>28</v>
      </c>
      <c r="J8992" s="11" t="s">
        <v>28</v>
      </c>
      <c r="K8992" s="11" t="s">
        <v>28</v>
      </c>
      <c r="L8992" s="11" t="s">
        <v>28</v>
      </c>
      <c r="M8992" s="11" t="s">
        <v>28</v>
      </c>
      <c r="N8992" s="8">
        <v>42641</v>
      </c>
      <c r="O8992" s="9" t="s">
        <v>73</v>
      </c>
      <c r="P8992" s="12" t="s">
        <v>25800</v>
      </c>
      <c r="Q8992" s="9" t="s">
        <v>75</v>
      </c>
      <c r="R8992" s="14" t="str">
        <f>HYPERLINK("https://my.pitchbook.com?c=77146-21T","View Company Online")</f>
        <v>View Company Online</v>
      </c>
    </row>
    <row r="8993" spans="1:18" hidden="1" x14ac:dyDescent="0.3">
      <c r="A8993" s="15" t="s">
        <v>25801</v>
      </c>
      <c r="B8993" s="15" t="s">
        <v>17728</v>
      </c>
      <c r="C8993" s="18" t="s">
        <v>28</v>
      </c>
      <c r="D8993" s="15" t="s">
        <v>17729</v>
      </c>
      <c r="E8993" s="18" t="s">
        <v>28</v>
      </c>
      <c r="F8993" s="19" t="s">
        <v>28</v>
      </c>
      <c r="G8993" s="19">
        <v>0.03</v>
      </c>
      <c r="H8993" s="19" t="s">
        <v>28</v>
      </c>
      <c r="I8993" s="18" t="s">
        <v>28</v>
      </c>
      <c r="J8993" s="18" t="s">
        <v>28</v>
      </c>
      <c r="K8993" s="18" t="s">
        <v>28</v>
      </c>
      <c r="L8993" s="18" t="s">
        <v>28</v>
      </c>
      <c r="M8993" s="18" t="s">
        <v>28</v>
      </c>
      <c r="N8993" s="17">
        <v>42641</v>
      </c>
      <c r="O8993" s="15" t="s">
        <v>52</v>
      </c>
      <c r="P8993" s="16" t="s">
        <v>16809</v>
      </c>
      <c r="Q8993" s="15" t="s">
        <v>75</v>
      </c>
      <c r="R8993" s="13" t="str">
        <f>HYPERLINK("https://my.pitchbook.com?c=125339-41T","View Company Online")</f>
        <v>View Company Online</v>
      </c>
    </row>
    <row r="8994" spans="1:18" hidden="1" x14ac:dyDescent="0.3">
      <c r="A8994" s="9" t="s">
        <v>25802</v>
      </c>
      <c r="B8994" s="9" t="s">
        <v>25803</v>
      </c>
      <c r="C8994" s="11" t="s">
        <v>28</v>
      </c>
      <c r="D8994" s="9" t="s">
        <v>25804</v>
      </c>
      <c r="E8994" s="11" t="s">
        <v>28</v>
      </c>
      <c r="F8994" s="10" t="s">
        <v>28</v>
      </c>
      <c r="G8994" s="10">
        <v>0.03</v>
      </c>
      <c r="H8994" s="10" t="s">
        <v>28</v>
      </c>
      <c r="I8994" s="11" t="s">
        <v>28</v>
      </c>
      <c r="J8994" s="11" t="s">
        <v>28</v>
      </c>
      <c r="K8994" s="11" t="s">
        <v>28</v>
      </c>
      <c r="L8994" s="11" t="s">
        <v>28</v>
      </c>
      <c r="M8994" s="11" t="s">
        <v>28</v>
      </c>
      <c r="N8994" s="8">
        <v>42641</v>
      </c>
      <c r="O8994" s="9" t="s">
        <v>52</v>
      </c>
      <c r="P8994" s="12" t="s">
        <v>16809</v>
      </c>
      <c r="Q8994" s="9" t="s">
        <v>386</v>
      </c>
      <c r="R8994" s="14" t="str">
        <f>HYPERLINK("https://my.pitchbook.com?c=125345-98T","View Company Online")</f>
        <v>View Company Online</v>
      </c>
    </row>
    <row r="8995" spans="1:18" hidden="1" x14ac:dyDescent="0.3">
      <c r="A8995" s="15" t="s">
        <v>25805</v>
      </c>
      <c r="B8995" s="15" t="s">
        <v>25806</v>
      </c>
      <c r="C8995" s="18" t="s">
        <v>28</v>
      </c>
      <c r="D8995" s="15" t="s">
        <v>25807</v>
      </c>
      <c r="E8995" s="18" t="s">
        <v>28</v>
      </c>
      <c r="F8995" s="19" t="s">
        <v>28</v>
      </c>
      <c r="G8995" s="19" t="s">
        <v>28</v>
      </c>
      <c r="H8995" s="19" t="s">
        <v>28</v>
      </c>
      <c r="I8995" s="18" t="s">
        <v>28</v>
      </c>
      <c r="J8995" s="18" t="s">
        <v>28</v>
      </c>
      <c r="K8995" s="18" t="s">
        <v>28</v>
      </c>
      <c r="L8995" s="18" t="s">
        <v>28</v>
      </c>
      <c r="M8995" s="18" t="s">
        <v>28</v>
      </c>
      <c r="N8995" s="17">
        <v>42641</v>
      </c>
      <c r="O8995" s="15" t="s">
        <v>52</v>
      </c>
      <c r="P8995" s="16" t="s">
        <v>21667</v>
      </c>
      <c r="Q8995" s="15" t="s">
        <v>740</v>
      </c>
      <c r="R8995" s="13" t="str">
        <f>HYPERLINK("https://my.pitchbook.com?c=126844-57T","View Company Online")</f>
        <v>View Company Online</v>
      </c>
    </row>
    <row r="8996" spans="1:18" hidden="1" x14ac:dyDescent="0.3">
      <c r="A8996" s="9" t="s">
        <v>25808</v>
      </c>
      <c r="B8996" s="9" t="s">
        <v>25809</v>
      </c>
      <c r="C8996" s="11" t="s">
        <v>28</v>
      </c>
      <c r="D8996" s="9" t="s">
        <v>25810</v>
      </c>
      <c r="E8996" s="11" t="s">
        <v>28</v>
      </c>
      <c r="F8996" s="10" t="s">
        <v>28</v>
      </c>
      <c r="G8996" s="10">
        <v>153.61000000000001</v>
      </c>
      <c r="H8996" s="10">
        <v>438.89</v>
      </c>
      <c r="I8996" s="11" t="s">
        <v>28</v>
      </c>
      <c r="J8996" s="11" t="s">
        <v>28</v>
      </c>
      <c r="K8996" s="11" t="s">
        <v>28</v>
      </c>
      <c r="L8996" s="11" t="s">
        <v>28</v>
      </c>
      <c r="M8996" s="11" t="s">
        <v>28</v>
      </c>
      <c r="N8996" s="8">
        <v>42640</v>
      </c>
      <c r="O8996" s="9" t="s">
        <v>58</v>
      </c>
      <c r="P8996" s="12" t="s">
        <v>25811</v>
      </c>
      <c r="Q8996" s="9" t="s">
        <v>362</v>
      </c>
      <c r="R8996" s="14" t="str">
        <f>HYPERLINK("https://my.pitchbook.com?c=72855-10T","View Company Online")</f>
        <v>View Company Online</v>
      </c>
    </row>
    <row r="8997" spans="1:18" hidden="1" x14ac:dyDescent="0.3">
      <c r="A8997" s="15" t="s">
        <v>25812</v>
      </c>
      <c r="B8997" s="15" t="s">
        <v>25257</v>
      </c>
      <c r="C8997" s="18" t="s">
        <v>28</v>
      </c>
      <c r="D8997" s="15" t="s">
        <v>25258</v>
      </c>
      <c r="E8997" s="18" t="s">
        <v>28</v>
      </c>
      <c r="F8997" s="19">
        <v>53.13</v>
      </c>
      <c r="G8997" s="19">
        <v>53.13</v>
      </c>
      <c r="H8997" s="19">
        <v>53.13</v>
      </c>
      <c r="I8997" s="18" t="s">
        <v>28</v>
      </c>
      <c r="J8997" s="18" t="s">
        <v>28</v>
      </c>
      <c r="K8997" s="18" t="s">
        <v>28</v>
      </c>
      <c r="L8997" s="18" t="s">
        <v>28</v>
      </c>
      <c r="M8997" s="18" t="s">
        <v>28</v>
      </c>
      <c r="N8997" s="17">
        <v>42639</v>
      </c>
      <c r="O8997" s="15" t="s">
        <v>30</v>
      </c>
      <c r="P8997" s="16" t="s">
        <v>25813</v>
      </c>
      <c r="Q8997" s="15" t="s">
        <v>409</v>
      </c>
      <c r="R8997" s="13" t="str">
        <f>HYPERLINK("https://my.pitchbook.com?c=75684-70T","View Company Online")</f>
        <v>View Company Online</v>
      </c>
    </row>
    <row r="8998" spans="1:18" hidden="1" x14ac:dyDescent="0.3">
      <c r="A8998" s="9" t="s">
        <v>25814</v>
      </c>
      <c r="B8998" s="9" t="s">
        <v>25815</v>
      </c>
      <c r="C8998" s="11" t="s">
        <v>28</v>
      </c>
      <c r="D8998" s="9" t="s">
        <v>25816</v>
      </c>
      <c r="E8998" s="11" t="s">
        <v>28</v>
      </c>
      <c r="F8998" s="10" t="s">
        <v>28</v>
      </c>
      <c r="G8998" s="10" t="s">
        <v>28</v>
      </c>
      <c r="H8998" s="10" t="s">
        <v>28</v>
      </c>
      <c r="I8998" s="11" t="s">
        <v>28</v>
      </c>
      <c r="J8998" s="11" t="s">
        <v>28</v>
      </c>
      <c r="K8998" s="11" t="s">
        <v>28</v>
      </c>
      <c r="L8998" s="11" t="s">
        <v>28</v>
      </c>
      <c r="M8998" s="11" t="s">
        <v>28</v>
      </c>
      <c r="N8998" s="8">
        <v>42639</v>
      </c>
      <c r="O8998" s="9" t="s">
        <v>173</v>
      </c>
      <c r="P8998" s="12" t="s">
        <v>28</v>
      </c>
      <c r="Q8998" s="9" t="s">
        <v>174</v>
      </c>
      <c r="R8998" s="14" t="str">
        <f>HYPERLINK("https://my.pitchbook.com?c=224807-23T","View Company Online")</f>
        <v>View Company Online</v>
      </c>
    </row>
    <row r="8999" spans="1:18" hidden="1" x14ac:dyDescent="0.3">
      <c r="A8999" s="15" t="s">
        <v>25817</v>
      </c>
      <c r="B8999" s="15" t="s">
        <v>11854</v>
      </c>
      <c r="C8999" s="18" t="s">
        <v>28</v>
      </c>
      <c r="D8999" s="15" t="s">
        <v>11855</v>
      </c>
      <c r="E8999" s="18" t="s">
        <v>28</v>
      </c>
      <c r="F8999" s="19">
        <v>0.92</v>
      </c>
      <c r="G8999" s="19">
        <v>0.92</v>
      </c>
      <c r="H8999" s="19">
        <v>0.92</v>
      </c>
      <c r="I8999" s="18" t="s">
        <v>28</v>
      </c>
      <c r="J8999" s="18" t="s">
        <v>28</v>
      </c>
      <c r="K8999" s="18" t="s">
        <v>28</v>
      </c>
      <c r="L8999" s="18" t="s">
        <v>28</v>
      </c>
      <c r="M8999" s="18" t="s">
        <v>28</v>
      </c>
      <c r="N8999" s="17">
        <v>42636</v>
      </c>
      <c r="O8999" s="15" t="s">
        <v>30</v>
      </c>
      <c r="P8999" s="16" t="s">
        <v>25818</v>
      </c>
      <c r="Q8999" s="15" t="s">
        <v>95</v>
      </c>
      <c r="R8999" s="13" t="str">
        <f>HYPERLINK("https://my.pitchbook.com?c=110386-99T","View Company Online")</f>
        <v>View Company Online</v>
      </c>
    </row>
    <row r="9000" spans="1:18" hidden="1" x14ac:dyDescent="0.3">
      <c r="A9000" s="9" t="s">
        <v>25819</v>
      </c>
      <c r="B9000" s="9" t="s">
        <v>16423</v>
      </c>
      <c r="C9000" s="11" t="s">
        <v>28</v>
      </c>
      <c r="D9000" s="9" t="s">
        <v>16424</v>
      </c>
      <c r="E9000" s="11" t="s">
        <v>28</v>
      </c>
      <c r="F9000" s="10" t="s">
        <v>28</v>
      </c>
      <c r="G9000" s="10">
        <v>0.32</v>
      </c>
      <c r="H9000" s="10" t="s">
        <v>28</v>
      </c>
      <c r="I9000" s="11" t="s">
        <v>28</v>
      </c>
      <c r="J9000" s="11" t="s">
        <v>28</v>
      </c>
      <c r="K9000" s="11">
        <v>65</v>
      </c>
      <c r="L9000" s="11" t="s">
        <v>28</v>
      </c>
      <c r="M9000" s="11" t="s">
        <v>28</v>
      </c>
      <c r="N9000" s="8">
        <v>42636</v>
      </c>
      <c r="O9000" s="9" t="s">
        <v>79</v>
      </c>
      <c r="P9000" s="12" t="s">
        <v>19170</v>
      </c>
      <c r="Q9000" s="9" t="s">
        <v>409</v>
      </c>
      <c r="R9000" s="14" t="str">
        <f>HYPERLINK("https://my.pitchbook.com?c=302210-11T","View Company Online")</f>
        <v>View Company Online</v>
      </c>
    </row>
    <row r="9001" spans="1:18" hidden="1" x14ac:dyDescent="0.3">
      <c r="A9001" s="15" t="s">
        <v>25820</v>
      </c>
      <c r="B9001" s="15" t="s">
        <v>25821</v>
      </c>
      <c r="C9001" s="18" t="s">
        <v>28</v>
      </c>
      <c r="D9001" s="15" t="s">
        <v>25822</v>
      </c>
      <c r="E9001" s="18" t="s">
        <v>28</v>
      </c>
      <c r="F9001" s="19">
        <v>5777.77</v>
      </c>
      <c r="G9001" s="19">
        <v>5200</v>
      </c>
      <c r="H9001" s="19">
        <v>5777.77</v>
      </c>
      <c r="I9001" s="18" t="s">
        <v>28</v>
      </c>
      <c r="J9001" s="18" t="s">
        <v>28</v>
      </c>
      <c r="K9001" s="18" t="s">
        <v>28</v>
      </c>
      <c r="L9001" s="18" t="s">
        <v>28</v>
      </c>
      <c r="M9001" s="18" t="s">
        <v>28</v>
      </c>
      <c r="N9001" s="17">
        <v>42636</v>
      </c>
      <c r="O9001" s="15" t="s">
        <v>41</v>
      </c>
      <c r="P9001" s="16" t="s">
        <v>25823</v>
      </c>
      <c r="Q9001" s="15" t="s">
        <v>183</v>
      </c>
      <c r="R9001" s="13" t="str">
        <f>HYPERLINK("https://my.pitchbook.com?c=139810-96T","View Company Online")</f>
        <v>View Company Online</v>
      </c>
    </row>
    <row r="9002" spans="1:18" hidden="1" x14ac:dyDescent="0.3">
      <c r="A9002" s="9" t="s">
        <v>25824</v>
      </c>
      <c r="B9002" s="9" t="s">
        <v>25825</v>
      </c>
      <c r="C9002" s="11" t="s">
        <v>28</v>
      </c>
      <c r="D9002" s="9" t="s">
        <v>25826</v>
      </c>
      <c r="E9002" s="11" t="s">
        <v>28</v>
      </c>
      <c r="F9002" s="10">
        <v>21.7</v>
      </c>
      <c r="G9002" s="10">
        <v>21.7</v>
      </c>
      <c r="H9002" s="10">
        <v>21.7</v>
      </c>
      <c r="I9002" s="11" t="s">
        <v>28</v>
      </c>
      <c r="J9002" s="11" t="s">
        <v>28</v>
      </c>
      <c r="K9002" s="11" t="s">
        <v>28</v>
      </c>
      <c r="L9002" s="11" t="s">
        <v>28</v>
      </c>
      <c r="M9002" s="11" t="s">
        <v>28</v>
      </c>
      <c r="N9002" s="8">
        <v>42635</v>
      </c>
      <c r="O9002" s="9" t="s">
        <v>30</v>
      </c>
      <c r="P9002" s="12" t="s">
        <v>25827</v>
      </c>
      <c r="Q9002" s="9" t="s">
        <v>75</v>
      </c>
      <c r="R9002" s="14" t="str">
        <f>HYPERLINK("https://my.pitchbook.com?c=133727-50T","View Company Online")</f>
        <v>View Company Online</v>
      </c>
    </row>
    <row r="9003" spans="1:18" hidden="1" x14ac:dyDescent="0.3">
      <c r="A9003" s="15" t="s">
        <v>25828</v>
      </c>
      <c r="B9003" s="15" t="s">
        <v>18325</v>
      </c>
      <c r="C9003" s="18" t="s">
        <v>28</v>
      </c>
      <c r="D9003" s="15" t="s">
        <v>18326</v>
      </c>
      <c r="E9003" s="18" t="s">
        <v>28</v>
      </c>
      <c r="F9003" s="19" t="s">
        <v>28</v>
      </c>
      <c r="G9003" s="19">
        <v>0.92</v>
      </c>
      <c r="H9003" s="19" t="s">
        <v>28</v>
      </c>
      <c r="I9003" s="18" t="s">
        <v>28</v>
      </c>
      <c r="J9003" s="18" t="s">
        <v>28</v>
      </c>
      <c r="K9003" s="18">
        <v>0.35</v>
      </c>
      <c r="L9003" s="18" t="s">
        <v>28</v>
      </c>
      <c r="M9003" s="18" t="s">
        <v>28</v>
      </c>
      <c r="N9003" s="17">
        <v>42635</v>
      </c>
      <c r="O9003" s="15" t="s">
        <v>73</v>
      </c>
      <c r="P9003" s="16" t="s">
        <v>25829</v>
      </c>
      <c r="Q9003" s="15" t="s">
        <v>75</v>
      </c>
      <c r="R9003" s="13" t="str">
        <f>HYPERLINK("https://my.pitchbook.com?c=76988-44T","View Company Online")</f>
        <v>View Company Online</v>
      </c>
    </row>
    <row r="9004" spans="1:18" hidden="1" x14ac:dyDescent="0.3">
      <c r="A9004" s="9" t="s">
        <v>25830</v>
      </c>
      <c r="B9004" s="9" t="s">
        <v>25831</v>
      </c>
      <c r="C9004" s="11" t="s">
        <v>28</v>
      </c>
      <c r="D9004" s="9" t="s">
        <v>25832</v>
      </c>
      <c r="E9004" s="11" t="s">
        <v>28</v>
      </c>
      <c r="F9004" s="10" t="s">
        <v>28</v>
      </c>
      <c r="G9004" s="10" t="s">
        <v>28</v>
      </c>
      <c r="H9004" s="10" t="s">
        <v>28</v>
      </c>
      <c r="I9004" s="11" t="s">
        <v>28</v>
      </c>
      <c r="J9004" s="11" t="s">
        <v>28</v>
      </c>
      <c r="K9004" s="11" t="s">
        <v>28</v>
      </c>
      <c r="L9004" s="11" t="s">
        <v>28</v>
      </c>
      <c r="M9004" s="11" t="s">
        <v>28</v>
      </c>
      <c r="N9004" s="8">
        <v>42634</v>
      </c>
      <c r="O9004" s="9" t="s">
        <v>41</v>
      </c>
      <c r="P9004" s="12" t="s">
        <v>20483</v>
      </c>
      <c r="Q9004" s="9" t="s">
        <v>75</v>
      </c>
      <c r="R9004" s="14" t="str">
        <f>HYPERLINK("https://my.pitchbook.com?c=261864-91T","View Company Online")</f>
        <v>View Company Online</v>
      </c>
    </row>
    <row r="9005" spans="1:18" hidden="1" x14ac:dyDescent="0.3">
      <c r="A9005" s="15" t="s">
        <v>25833</v>
      </c>
      <c r="B9005" s="15" t="s">
        <v>25834</v>
      </c>
      <c r="C9005" s="18" t="s">
        <v>28</v>
      </c>
      <c r="D9005" s="15" t="s">
        <v>25835</v>
      </c>
      <c r="E9005" s="18" t="s">
        <v>28</v>
      </c>
      <c r="F9005" s="19" t="s">
        <v>28</v>
      </c>
      <c r="G9005" s="19">
        <v>30.71</v>
      </c>
      <c r="H9005" s="19" t="s">
        <v>28</v>
      </c>
      <c r="I9005" s="18" t="s">
        <v>28</v>
      </c>
      <c r="J9005" s="18" t="s">
        <v>28</v>
      </c>
      <c r="K9005" s="18" t="s">
        <v>28</v>
      </c>
      <c r="L9005" s="18" t="s">
        <v>28</v>
      </c>
      <c r="M9005" s="18" t="s">
        <v>28</v>
      </c>
      <c r="N9005" s="17">
        <v>42633</v>
      </c>
      <c r="O9005" s="15" t="s">
        <v>93</v>
      </c>
      <c r="P9005" s="16" t="s">
        <v>25836</v>
      </c>
      <c r="Q9005" s="15" t="s">
        <v>4087</v>
      </c>
      <c r="R9005" s="13" t="str">
        <f>HYPERLINK("https://my.pitchbook.com?c=86044-87T","View Company Online")</f>
        <v>View Company Online</v>
      </c>
    </row>
    <row r="9006" spans="1:18" hidden="1" x14ac:dyDescent="0.3">
      <c r="A9006" s="9" t="s">
        <v>25837</v>
      </c>
      <c r="B9006" s="9" t="s">
        <v>25838</v>
      </c>
      <c r="C9006" s="11" t="s">
        <v>28</v>
      </c>
      <c r="D9006" s="9" t="s">
        <v>25839</v>
      </c>
      <c r="E9006" s="11" t="s">
        <v>28</v>
      </c>
      <c r="F9006" s="10">
        <v>209.76</v>
      </c>
      <c r="G9006" s="10">
        <v>209.76</v>
      </c>
      <c r="H9006" s="10">
        <v>209.76</v>
      </c>
      <c r="I9006" s="11" t="s">
        <v>28</v>
      </c>
      <c r="J9006" s="11" t="s">
        <v>28</v>
      </c>
      <c r="K9006" s="11" t="s">
        <v>28</v>
      </c>
      <c r="L9006" s="11" t="s">
        <v>28</v>
      </c>
      <c r="M9006" s="11" t="s">
        <v>28</v>
      </c>
      <c r="N9006" s="8">
        <v>42633</v>
      </c>
      <c r="O9006" s="9" t="s">
        <v>41</v>
      </c>
      <c r="P9006" s="12" t="s">
        <v>25840</v>
      </c>
      <c r="Q9006" s="9" t="s">
        <v>1361</v>
      </c>
      <c r="R9006" s="14" t="str">
        <f>HYPERLINK("https://my.pitchbook.com?c=76089-43T","View Company Online")</f>
        <v>View Company Online</v>
      </c>
    </row>
    <row r="9007" spans="1:18" hidden="1" x14ac:dyDescent="0.3">
      <c r="A9007" s="15" t="s">
        <v>25841</v>
      </c>
      <c r="B9007" s="15" t="s">
        <v>25842</v>
      </c>
      <c r="C9007" s="18" t="s">
        <v>28</v>
      </c>
      <c r="D9007" s="15" t="s">
        <v>25843</v>
      </c>
      <c r="E9007" s="18" t="s">
        <v>28</v>
      </c>
      <c r="F9007" s="19" t="s">
        <v>28</v>
      </c>
      <c r="G9007" s="19" t="s">
        <v>28</v>
      </c>
      <c r="H9007" s="19" t="s">
        <v>28</v>
      </c>
      <c r="I9007" s="18" t="s">
        <v>28</v>
      </c>
      <c r="J9007" s="18" t="s">
        <v>28</v>
      </c>
      <c r="K9007" s="18" t="s">
        <v>28</v>
      </c>
      <c r="L9007" s="18" t="s">
        <v>28</v>
      </c>
      <c r="M9007" s="18" t="s">
        <v>28</v>
      </c>
      <c r="N9007" s="17">
        <v>42633</v>
      </c>
      <c r="O9007" s="15" t="s">
        <v>30</v>
      </c>
      <c r="P9007" s="16" t="s">
        <v>15566</v>
      </c>
      <c r="Q9007" s="15" t="s">
        <v>386</v>
      </c>
      <c r="R9007" s="13" t="str">
        <f>HYPERLINK("https://my.pitchbook.com?c=84167-11T","View Company Online")</f>
        <v>View Company Online</v>
      </c>
    </row>
    <row r="9008" spans="1:18" hidden="1" x14ac:dyDescent="0.3">
      <c r="A9008" s="9" t="s">
        <v>25844</v>
      </c>
      <c r="B9008" s="9" t="s">
        <v>24222</v>
      </c>
      <c r="C9008" s="11" t="s">
        <v>28</v>
      </c>
      <c r="D9008" s="9" t="s">
        <v>24223</v>
      </c>
      <c r="E9008" s="11" t="s">
        <v>28</v>
      </c>
      <c r="F9008" s="10" t="s">
        <v>28</v>
      </c>
      <c r="G9008" s="10">
        <v>1.1399999999999999</v>
      </c>
      <c r="H9008" s="10" t="s">
        <v>28</v>
      </c>
      <c r="I9008" s="11" t="s">
        <v>28</v>
      </c>
      <c r="J9008" s="11" t="s">
        <v>28</v>
      </c>
      <c r="K9008" s="11" t="s">
        <v>28</v>
      </c>
      <c r="L9008" s="11" t="s">
        <v>28</v>
      </c>
      <c r="M9008" s="11" t="s">
        <v>28</v>
      </c>
      <c r="N9008" s="8">
        <v>42633</v>
      </c>
      <c r="O9008" s="9" t="s">
        <v>73</v>
      </c>
      <c r="P9008" s="12" t="s">
        <v>25845</v>
      </c>
      <c r="Q9008" s="9" t="s">
        <v>75</v>
      </c>
      <c r="R9008" s="14" t="str">
        <f>HYPERLINK("https://my.pitchbook.com?c=65905-93T","View Company Online")</f>
        <v>View Company Online</v>
      </c>
    </row>
    <row r="9009" spans="1:18" hidden="1" x14ac:dyDescent="0.3">
      <c r="A9009" s="15" t="s">
        <v>25846</v>
      </c>
      <c r="B9009" s="15" t="s">
        <v>18674</v>
      </c>
      <c r="C9009" s="18" t="s">
        <v>28</v>
      </c>
      <c r="D9009" s="15" t="s">
        <v>18675</v>
      </c>
      <c r="E9009" s="18">
        <v>0.2</v>
      </c>
      <c r="F9009" s="19" t="s">
        <v>28</v>
      </c>
      <c r="G9009" s="19">
        <v>122.89</v>
      </c>
      <c r="H9009" s="19" t="s">
        <v>28</v>
      </c>
      <c r="I9009" s="18">
        <v>26.87</v>
      </c>
      <c r="J9009" s="18" t="s">
        <v>28</v>
      </c>
      <c r="K9009" s="18">
        <v>248.14</v>
      </c>
      <c r="L9009" s="18" t="s">
        <v>28</v>
      </c>
      <c r="M9009" s="18">
        <v>-20.13</v>
      </c>
      <c r="N9009" s="17">
        <v>42632</v>
      </c>
      <c r="O9009" s="15" t="s">
        <v>93</v>
      </c>
      <c r="P9009" s="16" t="s">
        <v>25847</v>
      </c>
      <c r="Q9009" s="15" t="s">
        <v>85</v>
      </c>
      <c r="R9009" s="13" t="str">
        <f>HYPERLINK("https://my.pitchbook.com?c=73947-70T","View Company Online")</f>
        <v>View Company Online</v>
      </c>
    </row>
    <row r="9010" spans="1:18" hidden="1" x14ac:dyDescent="0.3">
      <c r="A9010" s="9" t="s">
        <v>25848</v>
      </c>
      <c r="B9010" s="9" t="s">
        <v>25849</v>
      </c>
      <c r="C9010" s="11" t="s">
        <v>28</v>
      </c>
      <c r="D9010" s="9" t="s">
        <v>25850</v>
      </c>
      <c r="E9010" s="11" t="s">
        <v>28</v>
      </c>
      <c r="F9010" s="10" t="s">
        <v>28</v>
      </c>
      <c r="G9010" s="10" t="s">
        <v>28</v>
      </c>
      <c r="H9010" s="10" t="s">
        <v>28</v>
      </c>
      <c r="I9010" s="11" t="s">
        <v>28</v>
      </c>
      <c r="J9010" s="11" t="s">
        <v>28</v>
      </c>
      <c r="K9010" s="11" t="s">
        <v>28</v>
      </c>
      <c r="L9010" s="11" t="s">
        <v>28</v>
      </c>
      <c r="M9010" s="11" t="s">
        <v>28</v>
      </c>
      <c r="N9010" s="8">
        <v>42631</v>
      </c>
      <c r="O9010" s="9" t="s">
        <v>52</v>
      </c>
      <c r="P9010" s="12" t="s">
        <v>11539</v>
      </c>
      <c r="Q9010" s="9" t="s">
        <v>75</v>
      </c>
      <c r="R9010" s="14" t="str">
        <f>HYPERLINK("https://my.pitchbook.com?c=149069-44T","View Company Online")</f>
        <v>View Company Online</v>
      </c>
    </row>
    <row r="9011" spans="1:18" hidden="1" x14ac:dyDescent="0.3">
      <c r="A9011" s="15" t="s">
        <v>25851</v>
      </c>
      <c r="B9011" s="15" t="s">
        <v>17523</v>
      </c>
      <c r="C9011" s="18" t="s">
        <v>28</v>
      </c>
      <c r="D9011" s="15" t="s">
        <v>17524</v>
      </c>
      <c r="E9011" s="18" t="s">
        <v>28</v>
      </c>
      <c r="F9011" s="19" t="s">
        <v>28</v>
      </c>
      <c r="G9011" s="19" t="s">
        <v>28</v>
      </c>
      <c r="H9011" s="19" t="s">
        <v>28</v>
      </c>
      <c r="I9011" s="18" t="s">
        <v>28</v>
      </c>
      <c r="J9011" s="18" t="s">
        <v>28</v>
      </c>
      <c r="K9011" s="18" t="s">
        <v>28</v>
      </c>
      <c r="L9011" s="18" t="s">
        <v>28</v>
      </c>
      <c r="M9011" s="18" t="s">
        <v>28</v>
      </c>
      <c r="N9011" s="17">
        <v>42630</v>
      </c>
      <c r="O9011" s="15" t="s">
        <v>52</v>
      </c>
      <c r="P9011" s="16" t="s">
        <v>7022</v>
      </c>
      <c r="Q9011" s="15" t="s">
        <v>95</v>
      </c>
      <c r="R9011" s="13" t="str">
        <f>HYPERLINK("https://my.pitchbook.com?c=77792-14T","View Company Online")</f>
        <v>View Company Online</v>
      </c>
    </row>
    <row r="9012" spans="1:18" hidden="1" x14ac:dyDescent="0.3">
      <c r="A9012" s="9" t="s">
        <v>25852</v>
      </c>
      <c r="B9012" s="9" t="s">
        <v>25853</v>
      </c>
      <c r="C9012" s="11" t="s">
        <v>28</v>
      </c>
      <c r="D9012" s="9" t="s">
        <v>25854</v>
      </c>
      <c r="E9012" s="11" t="s">
        <v>28</v>
      </c>
      <c r="F9012" s="10" t="s">
        <v>28</v>
      </c>
      <c r="G9012" s="10" t="s">
        <v>28</v>
      </c>
      <c r="H9012" s="10" t="s">
        <v>28</v>
      </c>
      <c r="I9012" s="11" t="s">
        <v>28</v>
      </c>
      <c r="J9012" s="11" t="s">
        <v>28</v>
      </c>
      <c r="K9012" s="11" t="s">
        <v>28</v>
      </c>
      <c r="L9012" s="11" t="s">
        <v>28</v>
      </c>
      <c r="M9012" s="11" t="s">
        <v>28</v>
      </c>
      <c r="N9012" s="8">
        <v>42626</v>
      </c>
      <c r="O9012" s="9" t="s">
        <v>41</v>
      </c>
      <c r="P9012" s="12" t="s">
        <v>25855</v>
      </c>
      <c r="Q9012" s="9" t="s">
        <v>75</v>
      </c>
      <c r="R9012" s="14" t="str">
        <f>HYPERLINK("https://my.pitchbook.com?c=96824-80T","View Company Online")</f>
        <v>View Company Online</v>
      </c>
    </row>
    <row r="9013" spans="1:18" hidden="1" x14ac:dyDescent="0.3">
      <c r="A9013" s="15" t="s">
        <v>25856</v>
      </c>
      <c r="B9013" s="15" t="s">
        <v>25857</v>
      </c>
      <c r="C9013" s="18" t="s">
        <v>28</v>
      </c>
      <c r="D9013" s="15" t="s">
        <v>25858</v>
      </c>
      <c r="E9013" s="18" t="s">
        <v>28</v>
      </c>
      <c r="F9013" s="19" t="s">
        <v>28</v>
      </c>
      <c r="G9013" s="19" t="s">
        <v>28</v>
      </c>
      <c r="H9013" s="19" t="s">
        <v>28</v>
      </c>
      <c r="I9013" s="18" t="s">
        <v>28</v>
      </c>
      <c r="J9013" s="18" t="s">
        <v>28</v>
      </c>
      <c r="K9013" s="18" t="s">
        <v>28</v>
      </c>
      <c r="L9013" s="18" t="s">
        <v>28</v>
      </c>
      <c r="M9013" s="18" t="s">
        <v>28</v>
      </c>
      <c r="N9013" s="17">
        <v>42626</v>
      </c>
      <c r="O9013" s="15" t="s">
        <v>30</v>
      </c>
      <c r="P9013" s="16" t="s">
        <v>25859</v>
      </c>
      <c r="Q9013" s="15" t="s">
        <v>285</v>
      </c>
      <c r="R9013" s="13" t="str">
        <f>HYPERLINK("https://my.pitchbook.com?c=75620-35T","View Company Online")</f>
        <v>View Company Online</v>
      </c>
    </row>
    <row r="9014" spans="1:18" hidden="1" x14ac:dyDescent="0.3">
      <c r="A9014" s="9" t="s">
        <v>25860</v>
      </c>
      <c r="B9014" s="9" t="s">
        <v>25861</v>
      </c>
      <c r="C9014" s="11" t="s">
        <v>28</v>
      </c>
      <c r="D9014" s="9" t="s">
        <v>25862</v>
      </c>
      <c r="E9014" s="11" t="s">
        <v>28</v>
      </c>
      <c r="F9014" s="10" t="s">
        <v>28</v>
      </c>
      <c r="G9014" s="10">
        <v>40</v>
      </c>
      <c r="H9014" s="10" t="s">
        <v>28</v>
      </c>
      <c r="I9014" s="11" t="s">
        <v>28</v>
      </c>
      <c r="J9014" s="11" t="s">
        <v>28</v>
      </c>
      <c r="K9014" s="11">
        <v>115.16</v>
      </c>
      <c r="L9014" s="11" t="s">
        <v>28</v>
      </c>
      <c r="M9014" s="11" t="s">
        <v>28</v>
      </c>
      <c r="N9014" s="8">
        <v>42626</v>
      </c>
      <c r="O9014" s="9" t="s">
        <v>93</v>
      </c>
      <c r="P9014" s="12" t="s">
        <v>25863</v>
      </c>
      <c r="Q9014" s="9" t="s">
        <v>105</v>
      </c>
      <c r="R9014" s="14" t="str">
        <f>HYPERLINK("https://my.pitchbook.com?c=79959-70T","View Company Online")</f>
        <v>View Company Online</v>
      </c>
    </row>
    <row r="9015" spans="1:18" hidden="1" x14ac:dyDescent="0.3">
      <c r="A9015" s="15" t="s">
        <v>25864</v>
      </c>
      <c r="B9015" s="15" t="s">
        <v>22816</v>
      </c>
      <c r="C9015" s="18" t="s">
        <v>28</v>
      </c>
      <c r="D9015" s="15" t="s">
        <v>22817</v>
      </c>
      <c r="E9015" s="18" t="s">
        <v>28</v>
      </c>
      <c r="F9015" s="19" t="s">
        <v>28</v>
      </c>
      <c r="G9015" s="19" t="s">
        <v>28</v>
      </c>
      <c r="H9015" s="19" t="s">
        <v>28</v>
      </c>
      <c r="I9015" s="18" t="s">
        <v>28</v>
      </c>
      <c r="J9015" s="18" t="s">
        <v>28</v>
      </c>
      <c r="K9015" s="18" t="s">
        <v>28</v>
      </c>
      <c r="L9015" s="18" t="s">
        <v>28</v>
      </c>
      <c r="M9015" s="18" t="s">
        <v>28</v>
      </c>
      <c r="N9015" s="17">
        <v>42625</v>
      </c>
      <c r="O9015" s="15" t="s">
        <v>58</v>
      </c>
      <c r="P9015" s="16" t="s">
        <v>16643</v>
      </c>
      <c r="Q9015" s="15" t="s">
        <v>37</v>
      </c>
      <c r="R9015" s="13" t="str">
        <f>HYPERLINK("https://my.pitchbook.com?c=77995-72T","View Company Online")</f>
        <v>View Company Online</v>
      </c>
    </row>
    <row r="9016" spans="1:18" hidden="1" x14ac:dyDescent="0.3">
      <c r="A9016" s="9" t="s">
        <v>25865</v>
      </c>
      <c r="B9016" s="9" t="s">
        <v>25866</v>
      </c>
      <c r="C9016" s="11" t="s">
        <v>28</v>
      </c>
      <c r="D9016" s="9" t="s">
        <v>25867</v>
      </c>
      <c r="E9016" s="11" t="s">
        <v>28</v>
      </c>
      <c r="F9016" s="10" t="s">
        <v>28</v>
      </c>
      <c r="G9016" s="10" t="s">
        <v>28</v>
      </c>
      <c r="H9016" s="10" t="s">
        <v>28</v>
      </c>
      <c r="I9016" s="11" t="s">
        <v>28</v>
      </c>
      <c r="J9016" s="11" t="s">
        <v>28</v>
      </c>
      <c r="K9016" s="11" t="s">
        <v>28</v>
      </c>
      <c r="L9016" s="11" t="s">
        <v>28</v>
      </c>
      <c r="M9016" s="11" t="s">
        <v>28</v>
      </c>
      <c r="N9016" s="8">
        <v>42625</v>
      </c>
      <c r="O9016" s="9" t="s">
        <v>41</v>
      </c>
      <c r="P9016" s="12" t="s">
        <v>12480</v>
      </c>
      <c r="Q9016" s="9" t="s">
        <v>2097</v>
      </c>
      <c r="R9016" s="14" t="str">
        <f>HYPERLINK("https://my.pitchbook.com?c=75572-47T","View Company Online")</f>
        <v>View Company Online</v>
      </c>
    </row>
    <row r="9017" spans="1:18" hidden="1" x14ac:dyDescent="0.3">
      <c r="A9017" s="15" t="s">
        <v>25868</v>
      </c>
      <c r="B9017" s="15" t="s">
        <v>17627</v>
      </c>
      <c r="C9017" s="18" t="s">
        <v>28</v>
      </c>
      <c r="D9017" s="15" t="s">
        <v>17628</v>
      </c>
      <c r="E9017" s="18" t="s">
        <v>28</v>
      </c>
      <c r="F9017" s="19" t="s">
        <v>28</v>
      </c>
      <c r="G9017" s="19" t="s">
        <v>28</v>
      </c>
      <c r="H9017" s="19" t="s">
        <v>28</v>
      </c>
      <c r="I9017" s="18" t="s">
        <v>28</v>
      </c>
      <c r="J9017" s="18" t="s">
        <v>28</v>
      </c>
      <c r="K9017" s="18" t="s">
        <v>28</v>
      </c>
      <c r="L9017" s="18" t="s">
        <v>28</v>
      </c>
      <c r="M9017" s="18" t="s">
        <v>28</v>
      </c>
      <c r="N9017" s="17">
        <v>42625</v>
      </c>
      <c r="O9017" s="15" t="s">
        <v>99</v>
      </c>
      <c r="P9017" s="16" t="s">
        <v>20846</v>
      </c>
      <c r="Q9017" s="15" t="s">
        <v>1793</v>
      </c>
      <c r="R9017" s="13" t="str">
        <f>HYPERLINK("https://my.pitchbook.com?c=115625-44T","View Company Online")</f>
        <v>View Company Online</v>
      </c>
    </row>
    <row r="9018" spans="1:18" hidden="1" x14ac:dyDescent="0.3">
      <c r="A9018" s="9" t="s">
        <v>25869</v>
      </c>
      <c r="B9018" s="9" t="s">
        <v>25870</v>
      </c>
      <c r="C9018" s="11" t="s">
        <v>28</v>
      </c>
      <c r="D9018" s="9" t="s">
        <v>25871</v>
      </c>
      <c r="E9018" s="11" t="s">
        <v>28</v>
      </c>
      <c r="F9018" s="10" t="s">
        <v>28</v>
      </c>
      <c r="G9018" s="10" t="s">
        <v>28</v>
      </c>
      <c r="H9018" s="10" t="s">
        <v>28</v>
      </c>
      <c r="I9018" s="11" t="s">
        <v>28</v>
      </c>
      <c r="J9018" s="11" t="s">
        <v>28</v>
      </c>
      <c r="K9018" s="11" t="s">
        <v>28</v>
      </c>
      <c r="L9018" s="11" t="s">
        <v>28</v>
      </c>
      <c r="M9018" s="11" t="s">
        <v>28</v>
      </c>
      <c r="N9018" s="8">
        <v>42625</v>
      </c>
      <c r="O9018" s="9" t="s">
        <v>99</v>
      </c>
      <c r="P9018" s="12" t="s">
        <v>20846</v>
      </c>
      <c r="Q9018" s="9" t="s">
        <v>692</v>
      </c>
      <c r="R9018" s="14" t="str">
        <f>HYPERLINK("https://my.pitchbook.com?c=111467-08T","View Company Online")</f>
        <v>View Company Online</v>
      </c>
    </row>
    <row r="9019" spans="1:18" hidden="1" x14ac:dyDescent="0.3">
      <c r="A9019" s="15" t="s">
        <v>25872</v>
      </c>
      <c r="B9019" s="15" t="s">
        <v>10224</v>
      </c>
      <c r="C9019" s="18" t="s">
        <v>28</v>
      </c>
      <c r="D9019" s="15" t="s">
        <v>10225</v>
      </c>
      <c r="E9019" s="18" t="s">
        <v>28</v>
      </c>
      <c r="F9019" s="19" t="s">
        <v>28</v>
      </c>
      <c r="G9019" s="19" t="s">
        <v>28</v>
      </c>
      <c r="H9019" s="19" t="s">
        <v>28</v>
      </c>
      <c r="I9019" s="18" t="s">
        <v>28</v>
      </c>
      <c r="J9019" s="18" t="s">
        <v>28</v>
      </c>
      <c r="K9019" s="18" t="s">
        <v>28</v>
      </c>
      <c r="L9019" s="18" t="s">
        <v>28</v>
      </c>
      <c r="M9019" s="18" t="s">
        <v>28</v>
      </c>
      <c r="N9019" s="17">
        <v>42624</v>
      </c>
      <c r="O9019" s="15" t="s">
        <v>52</v>
      </c>
      <c r="P9019" s="16" t="s">
        <v>1970</v>
      </c>
      <c r="Q9019" s="15" t="s">
        <v>37</v>
      </c>
      <c r="R9019" s="13" t="str">
        <f>HYPERLINK("https://my.pitchbook.com?c=122377-42T","View Company Online")</f>
        <v>View Company Online</v>
      </c>
    </row>
    <row r="9020" spans="1:18" hidden="1" x14ac:dyDescent="0.3">
      <c r="A9020" s="9" t="s">
        <v>25873</v>
      </c>
      <c r="B9020" s="9" t="s">
        <v>25874</v>
      </c>
      <c r="C9020" s="11" t="s">
        <v>28</v>
      </c>
      <c r="D9020" s="9" t="s">
        <v>25875</v>
      </c>
      <c r="E9020" s="11" t="s">
        <v>28</v>
      </c>
      <c r="F9020" s="10" t="s">
        <v>28</v>
      </c>
      <c r="G9020" s="10" t="s">
        <v>28</v>
      </c>
      <c r="H9020" s="10" t="s">
        <v>28</v>
      </c>
      <c r="I9020" s="11" t="s">
        <v>28</v>
      </c>
      <c r="J9020" s="11" t="s">
        <v>28</v>
      </c>
      <c r="K9020" s="11" t="s">
        <v>28</v>
      </c>
      <c r="L9020" s="11" t="s">
        <v>28</v>
      </c>
      <c r="M9020" s="11" t="s">
        <v>28</v>
      </c>
      <c r="N9020" s="8">
        <v>42622</v>
      </c>
      <c r="O9020" s="9" t="s">
        <v>30</v>
      </c>
      <c r="P9020" s="12" t="s">
        <v>25876</v>
      </c>
      <c r="Q9020" s="9" t="s">
        <v>353</v>
      </c>
      <c r="R9020" s="14" t="str">
        <f>HYPERLINK("https://my.pitchbook.com?c=100180-63T","View Company Online")</f>
        <v>View Company Online</v>
      </c>
    </row>
    <row r="9021" spans="1:18" hidden="1" x14ac:dyDescent="0.3">
      <c r="A9021" s="15" t="s">
        <v>25877</v>
      </c>
      <c r="B9021" s="15" t="s">
        <v>25878</v>
      </c>
      <c r="C9021" s="18" t="s">
        <v>28</v>
      </c>
      <c r="D9021" s="15" t="s">
        <v>25879</v>
      </c>
      <c r="E9021" s="18" t="s">
        <v>28</v>
      </c>
      <c r="F9021" s="19" t="s">
        <v>28</v>
      </c>
      <c r="G9021" s="19" t="s">
        <v>28</v>
      </c>
      <c r="H9021" s="19" t="s">
        <v>28</v>
      </c>
      <c r="I9021" s="18" t="s">
        <v>28</v>
      </c>
      <c r="J9021" s="18" t="s">
        <v>28</v>
      </c>
      <c r="K9021" s="18" t="s">
        <v>28</v>
      </c>
      <c r="L9021" s="18" t="s">
        <v>28</v>
      </c>
      <c r="M9021" s="18" t="s">
        <v>28</v>
      </c>
      <c r="N9021" s="17">
        <v>42621</v>
      </c>
      <c r="O9021" s="15" t="s">
        <v>30</v>
      </c>
      <c r="P9021" s="16" t="s">
        <v>25880</v>
      </c>
      <c r="Q9021" s="15" t="s">
        <v>386</v>
      </c>
      <c r="R9021" s="13" t="str">
        <f>HYPERLINK("https://my.pitchbook.com?c=75439-09T","View Company Online")</f>
        <v>View Company Online</v>
      </c>
    </row>
    <row r="9022" spans="1:18" hidden="1" x14ac:dyDescent="0.3">
      <c r="A9022" s="9" t="s">
        <v>25881</v>
      </c>
      <c r="B9022" s="9" t="s">
        <v>16090</v>
      </c>
      <c r="C9022" s="11" t="s">
        <v>28</v>
      </c>
      <c r="D9022" s="9" t="s">
        <v>25882</v>
      </c>
      <c r="E9022" s="11" t="s">
        <v>28</v>
      </c>
      <c r="F9022" s="10" t="s">
        <v>28</v>
      </c>
      <c r="G9022" s="10" t="s">
        <v>28</v>
      </c>
      <c r="H9022" s="10" t="s">
        <v>28</v>
      </c>
      <c r="I9022" s="11" t="s">
        <v>28</v>
      </c>
      <c r="J9022" s="11" t="s">
        <v>28</v>
      </c>
      <c r="K9022" s="11" t="s">
        <v>28</v>
      </c>
      <c r="L9022" s="11" t="s">
        <v>28</v>
      </c>
      <c r="M9022" s="11" t="s">
        <v>28</v>
      </c>
      <c r="N9022" s="8">
        <v>42621</v>
      </c>
      <c r="O9022" s="9" t="s">
        <v>30</v>
      </c>
      <c r="P9022" s="12" t="s">
        <v>9649</v>
      </c>
      <c r="Q9022" s="9" t="s">
        <v>245</v>
      </c>
      <c r="R9022" s="14" t="str">
        <f>HYPERLINK("https://my.pitchbook.com?c=103540-69T","View Company Online")</f>
        <v>View Company Online</v>
      </c>
    </row>
    <row r="9023" spans="1:18" hidden="1" x14ac:dyDescent="0.3">
      <c r="A9023" s="15" t="s">
        <v>25883</v>
      </c>
      <c r="B9023" s="15" t="s">
        <v>2005</v>
      </c>
      <c r="C9023" s="18" t="s">
        <v>28</v>
      </c>
      <c r="D9023" s="15" t="s">
        <v>19161</v>
      </c>
      <c r="E9023" s="18" t="s">
        <v>28</v>
      </c>
      <c r="F9023" s="19" t="s">
        <v>28</v>
      </c>
      <c r="G9023" s="19" t="s">
        <v>28</v>
      </c>
      <c r="H9023" s="19" t="s">
        <v>28</v>
      </c>
      <c r="I9023" s="18" t="s">
        <v>28</v>
      </c>
      <c r="J9023" s="18" t="s">
        <v>28</v>
      </c>
      <c r="K9023" s="18" t="s">
        <v>28</v>
      </c>
      <c r="L9023" s="18" t="s">
        <v>28</v>
      </c>
      <c r="M9023" s="18" t="s">
        <v>28</v>
      </c>
      <c r="N9023" s="17">
        <v>42620</v>
      </c>
      <c r="O9023" s="15" t="s">
        <v>41</v>
      </c>
      <c r="P9023" s="16" t="s">
        <v>25884</v>
      </c>
      <c r="Q9023" s="15" t="s">
        <v>43</v>
      </c>
      <c r="R9023" s="13" t="str">
        <f>HYPERLINK("https://my.pitchbook.com?c=120197-35T","View Company Online")</f>
        <v>View Company Online</v>
      </c>
    </row>
    <row r="9024" spans="1:18" hidden="1" x14ac:dyDescent="0.3">
      <c r="A9024" s="9" t="s">
        <v>25885</v>
      </c>
      <c r="B9024" s="9" t="s">
        <v>7601</v>
      </c>
      <c r="C9024" s="11" t="s">
        <v>28</v>
      </c>
      <c r="D9024" s="9" t="s">
        <v>7602</v>
      </c>
      <c r="E9024" s="11" t="s">
        <v>28</v>
      </c>
      <c r="F9024" s="10" t="s">
        <v>28</v>
      </c>
      <c r="G9024" s="10">
        <v>7.0000000000000007E-2</v>
      </c>
      <c r="H9024" s="10" t="s">
        <v>28</v>
      </c>
      <c r="I9024" s="11" t="s">
        <v>28</v>
      </c>
      <c r="J9024" s="11" t="s">
        <v>28</v>
      </c>
      <c r="K9024" s="11">
        <v>0.57999999999999996</v>
      </c>
      <c r="L9024" s="11" t="s">
        <v>28</v>
      </c>
      <c r="M9024" s="11" t="s">
        <v>28</v>
      </c>
      <c r="N9024" s="8">
        <v>42619</v>
      </c>
      <c r="O9024" s="9" t="s">
        <v>379</v>
      </c>
      <c r="P9024" s="12" t="s">
        <v>28</v>
      </c>
      <c r="Q9024" s="9" t="s">
        <v>75</v>
      </c>
      <c r="R9024" s="14" t="str">
        <f>HYPERLINK("https://my.pitchbook.com?c=133002-82T","View Company Online")</f>
        <v>View Company Online</v>
      </c>
    </row>
    <row r="9025" spans="1:18" hidden="1" x14ac:dyDescent="0.3">
      <c r="A9025" s="15" t="s">
        <v>25886</v>
      </c>
      <c r="B9025" s="15" t="s">
        <v>25887</v>
      </c>
      <c r="C9025" s="18" t="s">
        <v>28</v>
      </c>
      <c r="D9025" s="15" t="s">
        <v>25888</v>
      </c>
      <c r="E9025" s="18" t="s">
        <v>28</v>
      </c>
      <c r="F9025" s="19" t="s">
        <v>28</v>
      </c>
      <c r="G9025" s="19" t="s">
        <v>28</v>
      </c>
      <c r="H9025" s="19" t="s">
        <v>28</v>
      </c>
      <c r="I9025" s="18" t="s">
        <v>28</v>
      </c>
      <c r="J9025" s="18" t="s">
        <v>28</v>
      </c>
      <c r="K9025" s="18" t="s">
        <v>28</v>
      </c>
      <c r="L9025" s="18" t="s">
        <v>28</v>
      </c>
      <c r="M9025" s="18" t="s">
        <v>28</v>
      </c>
      <c r="N9025" s="17">
        <v>42619</v>
      </c>
      <c r="O9025" s="15" t="s">
        <v>30</v>
      </c>
      <c r="P9025" s="16" t="s">
        <v>25889</v>
      </c>
      <c r="Q9025" s="15" t="s">
        <v>114</v>
      </c>
      <c r="R9025" s="13" t="str">
        <f>HYPERLINK("https://my.pitchbook.com?c=75217-42T","View Company Online")</f>
        <v>View Company Online</v>
      </c>
    </row>
    <row r="9026" spans="1:18" hidden="1" x14ac:dyDescent="0.3">
      <c r="A9026" s="9" t="s">
        <v>25890</v>
      </c>
      <c r="B9026" s="9" t="s">
        <v>25891</v>
      </c>
      <c r="C9026" s="11" t="s">
        <v>28</v>
      </c>
      <c r="D9026" s="9" t="s">
        <v>25892</v>
      </c>
      <c r="E9026" s="11" t="s">
        <v>28</v>
      </c>
      <c r="F9026" s="10" t="s">
        <v>28</v>
      </c>
      <c r="G9026" s="10" t="s">
        <v>28</v>
      </c>
      <c r="H9026" s="10" t="s">
        <v>28</v>
      </c>
      <c r="I9026" s="11" t="s">
        <v>28</v>
      </c>
      <c r="J9026" s="11" t="s">
        <v>28</v>
      </c>
      <c r="K9026" s="11" t="s">
        <v>28</v>
      </c>
      <c r="L9026" s="11" t="s">
        <v>28</v>
      </c>
      <c r="M9026" s="11" t="s">
        <v>28</v>
      </c>
      <c r="N9026" s="8">
        <v>42618</v>
      </c>
      <c r="O9026" s="9" t="s">
        <v>30</v>
      </c>
      <c r="P9026" s="12" t="s">
        <v>28</v>
      </c>
      <c r="Q9026" s="9" t="s">
        <v>299</v>
      </c>
      <c r="R9026" s="14" t="str">
        <f>HYPERLINK("https://my.pitchbook.com?c=82980-28T","View Company Online")</f>
        <v>View Company Online</v>
      </c>
    </row>
    <row r="9027" spans="1:18" hidden="1" x14ac:dyDescent="0.3">
      <c r="A9027" s="15" t="s">
        <v>25893</v>
      </c>
      <c r="B9027" s="15" t="s">
        <v>25894</v>
      </c>
      <c r="C9027" s="18" t="s">
        <v>28</v>
      </c>
      <c r="D9027" s="15" t="s">
        <v>25895</v>
      </c>
      <c r="E9027" s="18" t="s">
        <v>28</v>
      </c>
      <c r="F9027" s="19" t="s">
        <v>28</v>
      </c>
      <c r="G9027" s="19" t="s">
        <v>28</v>
      </c>
      <c r="H9027" s="19" t="s">
        <v>28</v>
      </c>
      <c r="I9027" s="18" t="s">
        <v>28</v>
      </c>
      <c r="J9027" s="18" t="s">
        <v>28</v>
      </c>
      <c r="K9027" s="18" t="s">
        <v>28</v>
      </c>
      <c r="L9027" s="18" t="s">
        <v>28</v>
      </c>
      <c r="M9027" s="18" t="s">
        <v>28</v>
      </c>
      <c r="N9027" s="17">
        <v>42615</v>
      </c>
      <c r="O9027" s="15" t="s">
        <v>30</v>
      </c>
      <c r="P9027" s="16" t="s">
        <v>25896</v>
      </c>
      <c r="Q9027" s="15" t="s">
        <v>3973</v>
      </c>
      <c r="R9027" s="13" t="str">
        <f>HYPERLINK("https://my.pitchbook.com?c=79593-22T","View Company Online")</f>
        <v>View Company Online</v>
      </c>
    </row>
    <row r="9028" spans="1:18" hidden="1" x14ac:dyDescent="0.3">
      <c r="A9028" s="9" t="s">
        <v>25897</v>
      </c>
      <c r="B9028" s="9" t="s">
        <v>21967</v>
      </c>
      <c r="C9028" s="11" t="s">
        <v>28</v>
      </c>
      <c r="D9028" s="9" t="s">
        <v>21968</v>
      </c>
      <c r="E9028" s="11" t="s">
        <v>28</v>
      </c>
      <c r="F9028" s="10">
        <v>963.02</v>
      </c>
      <c r="G9028" s="10">
        <v>963.02</v>
      </c>
      <c r="H9028" s="10">
        <v>963.02</v>
      </c>
      <c r="I9028" s="11" t="s">
        <v>28</v>
      </c>
      <c r="J9028" s="11" t="s">
        <v>28</v>
      </c>
      <c r="K9028" s="11" t="s">
        <v>28</v>
      </c>
      <c r="L9028" s="11" t="s">
        <v>28</v>
      </c>
      <c r="M9028" s="11" t="s">
        <v>28</v>
      </c>
      <c r="N9028" s="8">
        <v>42615</v>
      </c>
      <c r="O9028" s="9" t="s">
        <v>30</v>
      </c>
      <c r="P9028" s="12" t="s">
        <v>28</v>
      </c>
      <c r="Q9028" s="9" t="s">
        <v>226</v>
      </c>
      <c r="R9028" s="14" t="str">
        <f>HYPERLINK("https://my.pitchbook.com?c=86527-45T","View Company Online")</f>
        <v>View Company Online</v>
      </c>
    </row>
    <row r="9029" spans="1:18" hidden="1" x14ac:dyDescent="0.3">
      <c r="A9029" s="15" t="s">
        <v>25898</v>
      </c>
      <c r="B9029" s="15" t="s">
        <v>24855</v>
      </c>
      <c r="C9029" s="18" t="s">
        <v>28</v>
      </c>
      <c r="D9029" s="15" t="s">
        <v>24856</v>
      </c>
      <c r="E9029" s="18" t="s">
        <v>28</v>
      </c>
      <c r="F9029" s="19" t="s">
        <v>28</v>
      </c>
      <c r="G9029" s="19" t="s">
        <v>28</v>
      </c>
      <c r="H9029" s="19" t="s">
        <v>28</v>
      </c>
      <c r="I9029" s="18" t="s">
        <v>28</v>
      </c>
      <c r="J9029" s="18" t="s">
        <v>28</v>
      </c>
      <c r="K9029" s="18" t="s">
        <v>28</v>
      </c>
      <c r="L9029" s="18" t="s">
        <v>28</v>
      </c>
      <c r="M9029" s="18" t="s">
        <v>28</v>
      </c>
      <c r="N9029" s="17">
        <v>42614</v>
      </c>
      <c r="O9029" s="15" t="s">
        <v>73</v>
      </c>
      <c r="P9029" s="16" t="s">
        <v>25899</v>
      </c>
      <c r="Q9029" s="15" t="s">
        <v>5132</v>
      </c>
      <c r="R9029" s="13" t="str">
        <f>HYPERLINK("https://my.pitchbook.com?c=53820-91T","View Company Online")</f>
        <v>View Company Online</v>
      </c>
    </row>
    <row r="9030" spans="1:18" hidden="1" x14ac:dyDescent="0.3">
      <c r="A9030" s="9" t="s">
        <v>25900</v>
      </c>
      <c r="B9030" s="9" t="s">
        <v>18947</v>
      </c>
      <c r="C9030" s="11" t="s">
        <v>28</v>
      </c>
      <c r="D9030" s="9" t="s">
        <v>18948</v>
      </c>
      <c r="E9030" s="11" t="s">
        <v>28</v>
      </c>
      <c r="F9030" s="10" t="s">
        <v>28</v>
      </c>
      <c r="G9030" s="10" t="s">
        <v>28</v>
      </c>
      <c r="H9030" s="10" t="s">
        <v>28</v>
      </c>
      <c r="I9030" s="11" t="s">
        <v>28</v>
      </c>
      <c r="J9030" s="11" t="s">
        <v>28</v>
      </c>
      <c r="K9030" s="11" t="s">
        <v>28</v>
      </c>
      <c r="L9030" s="11" t="s">
        <v>28</v>
      </c>
      <c r="M9030" s="11" t="s">
        <v>28</v>
      </c>
      <c r="N9030" s="8">
        <v>42614</v>
      </c>
      <c r="O9030" s="9" t="s">
        <v>41</v>
      </c>
      <c r="P9030" s="12" t="s">
        <v>25901</v>
      </c>
      <c r="Q9030" s="9" t="s">
        <v>470</v>
      </c>
      <c r="R9030" s="14" t="str">
        <f>HYPERLINK("https://my.pitchbook.com?c=133004-17T","View Company Online")</f>
        <v>View Company Online</v>
      </c>
    </row>
    <row r="9031" spans="1:18" hidden="1" x14ac:dyDescent="0.3">
      <c r="A9031" s="15" t="s">
        <v>25902</v>
      </c>
      <c r="B9031" s="15" t="s">
        <v>25903</v>
      </c>
      <c r="C9031" s="18" t="s">
        <v>28</v>
      </c>
      <c r="D9031" s="15" t="s">
        <v>25904</v>
      </c>
      <c r="E9031" s="18" t="s">
        <v>28</v>
      </c>
      <c r="F9031" s="19" t="s">
        <v>28</v>
      </c>
      <c r="G9031" s="19">
        <v>4</v>
      </c>
      <c r="H9031" s="19" t="s">
        <v>28</v>
      </c>
      <c r="I9031" s="18" t="s">
        <v>28</v>
      </c>
      <c r="J9031" s="18" t="s">
        <v>28</v>
      </c>
      <c r="K9031" s="18" t="s">
        <v>28</v>
      </c>
      <c r="L9031" s="18" t="s">
        <v>28</v>
      </c>
      <c r="M9031" s="18" t="s">
        <v>28</v>
      </c>
      <c r="N9031" s="17">
        <v>42614</v>
      </c>
      <c r="O9031" s="15" t="s">
        <v>73</v>
      </c>
      <c r="P9031" s="16" t="s">
        <v>25905</v>
      </c>
      <c r="Q9031" s="15" t="s">
        <v>696</v>
      </c>
      <c r="R9031" s="13" t="str">
        <f>HYPERLINK("https://my.pitchbook.com?c=210983-95T","View Company Online")</f>
        <v>View Company Online</v>
      </c>
    </row>
    <row r="9032" spans="1:18" hidden="1" x14ac:dyDescent="0.3">
      <c r="A9032" s="9" t="s">
        <v>25906</v>
      </c>
      <c r="B9032" s="9" t="s">
        <v>18502</v>
      </c>
      <c r="C9032" s="11" t="s">
        <v>28</v>
      </c>
      <c r="D9032" s="9" t="s">
        <v>18503</v>
      </c>
      <c r="E9032" s="11" t="s">
        <v>28</v>
      </c>
      <c r="F9032" s="10" t="s">
        <v>28</v>
      </c>
      <c r="G9032" s="10">
        <v>0.19</v>
      </c>
      <c r="H9032" s="10" t="s">
        <v>28</v>
      </c>
      <c r="I9032" s="11" t="s">
        <v>28</v>
      </c>
      <c r="J9032" s="11" t="s">
        <v>28</v>
      </c>
      <c r="K9032" s="11" t="s">
        <v>28</v>
      </c>
      <c r="L9032" s="11" t="s">
        <v>28</v>
      </c>
      <c r="M9032" s="11" t="s">
        <v>28</v>
      </c>
      <c r="N9032" s="8">
        <v>42614</v>
      </c>
      <c r="O9032" s="9" t="s">
        <v>379</v>
      </c>
      <c r="P9032" s="12" t="s">
        <v>28</v>
      </c>
      <c r="Q9032" s="9" t="s">
        <v>245</v>
      </c>
      <c r="R9032" s="14" t="str">
        <f>HYPERLINK("https://my.pitchbook.com?c=91421-92T","View Company Online")</f>
        <v>View Company Online</v>
      </c>
    </row>
    <row r="9033" spans="1:18" hidden="1" x14ac:dyDescent="0.3">
      <c r="A9033" s="15" t="s">
        <v>25907</v>
      </c>
      <c r="B9033" s="15" t="s">
        <v>3877</v>
      </c>
      <c r="C9033" s="18" t="s">
        <v>28</v>
      </c>
      <c r="D9033" s="15" t="s">
        <v>3878</v>
      </c>
      <c r="E9033" s="18" t="s">
        <v>28</v>
      </c>
      <c r="F9033" s="19" t="s">
        <v>28</v>
      </c>
      <c r="G9033" s="19">
        <v>0.05</v>
      </c>
      <c r="H9033" s="19">
        <v>0.47</v>
      </c>
      <c r="I9033" s="18" t="s">
        <v>28</v>
      </c>
      <c r="J9033" s="18" t="s">
        <v>28</v>
      </c>
      <c r="K9033" s="18" t="s">
        <v>28</v>
      </c>
      <c r="L9033" s="18" t="s">
        <v>28</v>
      </c>
      <c r="M9033" s="18" t="s">
        <v>28</v>
      </c>
      <c r="N9033" s="17">
        <v>42614</v>
      </c>
      <c r="O9033" s="15" t="s">
        <v>52</v>
      </c>
      <c r="P9033" s="16" t="s">
        <v>7022</v>
      </c>
      <c r="Q9033" s="15" t="s">
        <v>75</v>
      </c>
      <c r="R9033" s="13" t="str">
        <f>HYPERLINK("https://my.pitchbook.com?c=77851-18T","View Company Online")</f>
        <v>View Company Online</v>
      </c>
    </row>
    <row r="9034" spans="1:18" hidden="1" x14ac:dyDescent="0.3">
      <c r="A9034" s="9" t="s">
        <v>25908</v>
      </c>
      <c r="B9034" s="9" t="s">
        <v>22143</v>
      </c>
      <c r="C9034" s="11" t="s">
        <v>28</v>
      </c>
      <c r="D9034" s="9" t="s">
        <v>22144</v>
      </c>
      <c r="E9034" s="11" t="s">
        <v>28</v>
      </c>
      <c r="F9034" s="10" t="s">
        <v>28</v>
      </c>
      <c r="G9034" s="10" t="s">
        <v>28</v>
      </c>
      <c r="H9034" s="10" t="s">
        <v>28</v>
      </c>
      <c r="I9034" s="11" t="s">
        <v>28</v>
      </c>
      <c r="J9034" s="11" t="s">
        <v>28</v>
      </c>
      <c r="K9034" s="11" t="s">
        <v>28</v>
      </c>
      <c r="L9034" s="11" t="s">
        <v>28</v>
      </c>
      <c r="M9034" s="11">
        <v>-8.36</v>
      </c>
      <c r="N9034" s="8">
        <v>42614</v>
      </c>
      <c r="O9034" s="9" t="s">
        <v>58</v>
      </c>
      <c r="P9034" s="12" t="s">
        <v>25909</v>
      </c>
      <c r="Q9034" s="9" t="s">
        <v>114</v>
      </c>
      <c r="R9034" s="14" t="str">
        <f>HYPERLINK("https://my.pitchbook.com?c=92055-61T","View Company Online")</f>
        <v>View Company Online</v>
      </c>
    </row>
    <row r="9035" spans="1:18" hidden="1" x14ac:dyDescent="0.3">
      <c r="A9035" s="15" t="s">
        <v>25910</v>
      </c>
      <c r="B9035" s="15" t="s">
        <v>19569</v>
      </c>
      <c r="C9035" s="18" t="s">
        <v>28</v>
      </c>
      <c r="D9035" s="15" t="s">
        <v>19570</v>
      </c>
      <c r="E9035" s="18" t="s">
        <v>28</v>
      </c>
      <c r="F9035" s="19" t="s">
        <v>28</v>
      </c>
      <c r="G9035" s="19">
        <v>0.77</v>
      </c>
      <c r="H9035" s="19" t="s">
        <v>28</v>
      </c>
      <c r="I9035" s="18" t="s">
        <v>28</v>
      </c>
      <c r="J9035" s="18" t="s">
        <v>28</v>
      </c>
      <c r="K9035" s="18" t="s">
        <v>28</v>
      </c>
      <c r="L9035" s="18" t="s">
        <v>28</v>
      </c>
      <c r="M9035" s="18" t="s">
        <v>28</v>
      </c>
      <c r="N9035" s="17">
        <v>42614</v>
      </c>
      <c r="O9035" s="15" t="s">
        <v>99</v>
      </c>
      <c r="P9035" s="16" t="s">
        <v>1612</v>
      </c>
      <c r="Q9035" s="15" t="s">
        <v>75</v>
      </c>
      <c r="R9035" s="13" t="str">
        <f>HYPERLINK("https://my.pitchbook.com?c=202723-12T","View Company Online")</f>
        <v>View Company Online</v>
      </c>
    </row>
    <row r="9036" spans="1:18" hidden="1" x14ac:dyDescent="0.3">
      <c r="A9036" s="9" t="s">
        <v>25911</v>
      </c>
      <c r="B9036" s="9" t="s">
        <v>23035</v>
      </c>
      <c r="C9036" s="11" t="s">
        <v>28</v>
      </c>
      <c r="D9036" s="9" t="s">
        <v>23036</v>
      </c>
      <c r="E9036" s="11" t="s">
        <v>28</v>
      </c>
      <c r="F9036" s="10" t="s">
        <v>28</v>
      </c>
      <c r="G9036" s="10" t="s">
        <v>28</v>
      </c>
      <c r="H9036" s="10" t="s">
        <v>28</v>
      </c>
      <c r="I9036" s="11" t="s">
        <v>28</v>
      </c>
      <c r="J9036" s="11" t="s">
        <v>28</v>
      </c>
      <c r="K9036" s="11">
        <v>0.43</v>
      </c>
      <c r="L9036" s="11" t="s">
        <v>28</v>
      </c>
      <c r="M9036" s="11">
        <v>-0.33</v>
      </c>
      <c r="N9036" s="8">
        <v>42614</v>
      </c>
      <c r="O9036" s="9" t="s">
        <v>99</v>
      </c>
      <c r="P9036" s="12" t="s">
        <v>25912</v>
      </c>
      <c r="Q9036" s="9" t="s">
        <v>119</v>
      </c>
      <c r="R9036" s="14" t="str">
        <f>HYPERLINK("https://my.pitchbook.com?c=126588-70T","View Company Online")</f>
        <v>View Company Online</v>
      </c>
    </row>
    <row r="9037" spans="1:18" hidden="1" x14ac:dyDescent="0.3">
      <c r="A9037" s="15" t="s">
        <v>25913</v>
      </c>
      <c r="B9037" s="15" t="s">
        <v>25914</v>
      </c>
      <c r="C9037" s="18" t="s">
        <v>28</v>
      </c>
      <c r="D9037" s="15" t="s">
        <v>25915</v>
      </c>
      <c r="E9037" s="18" t="s">
        <v>28</v>
      </c>
      <c r="F9037" s="19">
        <v>6.52</v>
      </c>
      <c r="G9037" s="19">
        <v>6.52</v>
      </c>
      <c r="H9037" s="19">
        <v>6.52</v>
      </c>
      <c r="I9037" s="18" t="s">
        <v>28</v>
      </c>
      <c r="J9037" s="18" t="s">
        <v>28</v>
      </c>
      <c r="K9037" s="18" t="s">
        <v>28</v>
      </c>
      <c r="L9037" s="18" t="s">
        <v>28</v>
      </c>
      <c r="M9037" s="18" t="s">
        <v>28</v>
      </c>
      <c r="N9037" s="17">
        <v>42614</v>
      </c>
      <c r="O9037" s="15" t="s">
        <v>30</v>
      </c>
      <c r="P9037" s="16" t="s">
        <v>25916</v>
      </c>
      <c r="Q9037" s="15" t="s">
        <v>75</v>
      </c>
      <c r="R9037" s="13" t="str">
        <f>HYPERLINK("https://my.pitchbook.com?c=110418-22T","View Company Online")</f>
        <v>View Company Online</v>
      </c>
    </row>
    <row r="9038" spans="1:18" hidden="1" x14ac:dyDescent="0.3">
      <c r="A9038" s="9" t="s">
        <v>25917</v>
      </c>
      <c r="B9038" s="9" t="s">
        <v>25918</v>
      </c>
      <c r="C9038" s="11" t="s">
        <v>28</v>
      </c>
      <c r="D9038" s="9" t="s">
        <v>25919</v>
      </c>
      <c r="E9038" s="11" t="s">
        <v>28</v>
      </c>
      <c r="F9038" s="10" t="s">
        <v>28</v>
      </c>
      <c r="G9038" s="10" t="s">
        <v>28</v>
      </c>
      <c r="H9038" s="10" t="s">
        <v>28</v>
      </c>
      <c r="I9038" s="11" t="s">
        <v>28</v>
      </c>
      <c r="J9038" s="11" t="s">
        <v>28</v>
      </c>
      <c r="K9038" s="11" t="s">
        <v>28</v>
      </c>
      <c r="L9038" s="11" t="s">
        <v>28</v>
      </c>
      <c r="M9038" s="11" t="s">
        <v>28</v>
      </c>
      <c r="N9038" s="8">
        <v>42614</v>
      </c>
      <c r="O9038" s="9" t="s">
        <v>41</v>
      </c>
      <c r="P9038" s="12" t="s">
        <v>25920</v>
      </c>
      <c r="Q9038" s="9" t="s">
        <v>1862</v>
      </c>
      <c r="R9038" s="14" t="str">
        <f>HYPERLINK("https://my.pitchbook.com?c=216396-91T","View Company Online")</f>
        <v>View Company Online</v>
      </c>
    </row>
    <row r="9039" spans="1:18" hidden="1" x14ac:dyDescent="0.3">
      <c r="A9039" s="15" t="s">
        <v>25921</v>
      </c>
      <c r="B9039" s="15" t="s">
        <v>25922</v>
      </c>
      <c r="C9039" s="18" t="s">
        <v>28</v>
      </c>
      <c r="D9039" s="15" t="s">
        <v>25923</v>
      </c>
      <c r="E9039" s="18" t="s">
        <v>28</v>
      </c>
      <c r="F9039" s="19" t="s">
        <v>28</v>
      </c>
      <c r="G9039" s="19" t="s">
        <v>28</v>
      </c>
      <c r="H9039" s="19" t="s">
        <v>28</v>
      </c>
      <c r="I9039" s="18" t="s">
        <v>28</v>
      </c>
      <c r="J9039" s="18" t="s">
        <v>28</v>
      </c>
      <c r="K9039" s="18">
        <v>8.64</v>
      </c>
      <c r="L9039" s="18" t="s">
        <v>28</v>
      </c>
      <c r="M9039" s="18" t="s">
        <v>28</v>
      </c>
      <c r="N9039" s="17">
        <v>42614</v>
      </c>
      <c r="O9039" s="15" t="s">
        <v>30</v>
      </c>
      <c r="P9039" s="16" t="s">
        <v>25924</v>
      </c>
      <c r="Q9039" s="15" t="s">
        <v>1035</v>
      </c>
      <c r="R9039" s="13" t="str">
        <f>HYPERLINK("https://my.pitchbook.com?c=77373-46T","View Company Online")</f>
        <v>View Company Online</v>
      </c>
    </row>
    <row r="9040" spans="1:18" hidden="1" x14ac:dyDescent="0.3">
      <c r="A9040" s="9" t="s">
        <v>25925</v>
      </c>
      <c r="B9040" s="9" t="s">
        <v>10980</v>
      </c>
      <c r="C9040" s="11" t="s">
        <v>28</v>
      </c>
      <c r="D9040" s="9" t="s">
        <v>10981</v>
      </c>
      <c r="E9040" s="11" t="s">
        <v>28</v>
      </c>
      <c r="F9040" s="10" t="s">
        <v>28</v>
      </c>
      <c r="G9040" s="10">
        <v>16</v>
      </c>
      <c r="H9040" s="10" t="s">
        <v>28</v>
      </c>
      <c r="I9040" s="11" t="s">
        <v>28</v>
      </c>
      <c r="J9040" s="11" t="s">
        <v>28</v>
      </c>
      <c r="K9040" s="11">
        <v>10</v>
      </c>
      <c r="L9040" s="11" t="s">
        <v>28</v>
      </c>
      <c r="M9040" s="11" t="s">
        <v>28</v>
      </c>
      <c r="N9040" s="8">
        <v>42613</v>
      </c>
      <c r="O9040" s="9" t="s">
        <v>73</v>
      </c>
      <c r="P9040" s="12" t="s">
        <v>25926</v>
      </c>
      <c r="Q9040" s="9" t="s">
        <v>959</v>
      </c>
      <c r="R9040" s="14" t="str">
        <f>HYPERLINK("https://my.pitchbook.com?c=76356-01T","View Company Online")</f>
        <v>View Company Online</v>
      </c>
    </row>
    <row r="9041" spans="1:18" hidden="1" x14ac:dyDescent="0.3">
      <c r="A9041" s="15" t="s">
        <v>25927</v>
      </c>
      <c r="B9041" s="15" t="s">
        <v>22407</v>
      </c>
      <c r="C9041" s="18" t="s">
        <v>28</v>
      </c>
      <c r="D9041" s="15" t="s">
        <v>22408</v>
      </c>
      <c r="E9041" s="18">
        <v>1.37</v>
      </c>
      <c r="F9041" s="19" t="s">
        <v>28</v>
      </c>
      <c r="G9041" s="19" t="s">
        <v>28</v>
      </c>
      <c r="H9041" s="19" t="s">
        <v>28</v>
      </c>
      <c r="I9041" s="18" t="s">
        <v>28</v>
      </c>
      <c r="J9041" s="18" t="s">
        <v>28</v>
      </c>
      <c r="K9041" s="18">
        <v>23.72</v>
      </c>
      <c r="L9041" s="18" t="s">
        <v>28</v>
      </c>
      <c r="M9041" s="18">
        <v>0.06</v>
      </c>
      <c r="N9041" s="17">
        <v>42611</v>
      </c>
      <c r="O9041" s="15" t="s">
        <v>173</v>
      </c>
      <c r="P9041" s="16" t="s">
        <v>28</v>
      </c>
      <c r="Q9041" s="15" t="s">
        <v>449</v>
      </c>
      <c r="R9041" s="13" t="str">
        <f>HYPERLINK("https://my.pitchbook.com?c=115735-60T","View Company Online")</f>
        <v>View Company Online</v>
      </c>
    </row>
    <row r="9042" spans="1:18" hidden="1" x14ac:dyDescent="0.3">
      <c r="A9042" s="9" t="s">
        <v>25928</v>
      </c>
      <c r="B9042" s="9" t="s">
        <v>17535</v>
      </c>
      <c r="C9042" s="11" t="s">
        <v>28</v>
      </c>
      <c r="D9042" s="9" t="s">
        <v>17536</v>
      </c>
      <c r="E9042" s="11" t="s">
        <v>28</v>
      </c>
      <c r="F9042" s="10" t="s">
        <v>28</v>
      </c>
      <c r="G9042" s="10">
        <v>3.1</v>
      </c>
      <c r="H9042" s="10" t="s">
        <v>28</v>
      </c>
      <c r="I9042" s="11" t="s">
        <v>28</v>
      </c>
      <c r="J9042" s="11" t="s">
        <v>28</v>
      </c>
      <c r="K9042" s="11" t="s">
        <v>28</v>
      </c>
      <c r="L9042" s="11" t="s">
        <v>28</v>
      </c>
      <c r="M9042" s="11" t="s">
        <v>28</v>
      </c>
      <c r="N9042" s="8">
        <v>42611</v>
      </c>
      <c r="O9042" s="9" t="s">
        <v>73</v>
      </c>
      <c r="P9042" s="12" t="s">
        <v>25929</v>
      </c>
      <c r="Q9042" s="9" t="s">
        <v>95</v>
      </c>
      <c r="R9042" s="14" t="str">
        <f>HYPERLINK("https://my.pitchbook.com?c=45000-64T","View Company Online")</f>
        <v>View Company Online</v>
      </c>
    </row>
    <row r="9043" spans="1:18" hidden="1" x14ac:dyDescent="0.3">
      <c r="A9043" s="15" t="s">
        <v>25930</v>
      </c>
      <c r="B9043" s="15" t="s">
        <v>3219</v>
      </c>
      <c r="C9043" s="18" t="s">
        <v>28</v>
      </c>
      <c r="D9043" s="15" t="s">
        <v>3220</v>
      </c>
      <c r="E9043" s="18" t="s">
        <v>28</v>
      </c>
      <c r="F9043" s="19">
        <v>155.15</v>
      </c>
      <c r="G9043" s="19">
        <v>155.15</v>
      </c>
      <c r="H9043" s="19">
        <v>155.15</v>
      </c>
      <c r="I9043" s="18" t="s">
        <v>28</v>
      </c>
      <c r="J9043" s="18" t="s">
        <v>28</v>
      </c>
      <c r="K9043" s="18">
        <v>57.58</v>
      </c>
      <c r="L9043" s="18">
        <v>2.69</v>
      </c>
      <c r="M9043" s="18" t="s">
        <v>28</v>
      </c>
      <c r="N9043" s="17">
        <v>42611</v>
      </c>
      <c r="O9043" s="15" t="s">
        <v>41</v>
      </c>
      <c r="P9043" s="16" t="s">
        <v>25931</v>
      </c>
      <c r="Q9043" s="15" t="s">
        <v>75</v>
      </c>
      <c r="R9043" s="13" t="str">
        <f>HYPERLINK("https://my.pitchbook.com?c=75963-79T","View Company Online")</f>
        <v>View Company Online</v>
      </c>
    </row>
    <row r="9044" spans="1:18" hidden="1" x14ac:dyDescent="0.3">
      <c r="A9044" s="9" t="s">
        <v>25932</v>
      </c>
      <c r="B9044" s="9" t="s">
        <v>21902</v>
      </c>
      <c r="C9044" s="11" t="s">
        <v>28</v>
      </c>
      <c r="D9044" s="9" t="s">
        <v>21903</v>
      </c>
      <c r="E9044" s="11" t="s">
        <v>28</v>
      </c>
      <c r="F9044" s="10" t="s">
        <v>28</v>
      </c>
      <c r="G9044" s="10" t="s">
        <v>28</v>
      </c>
      <c r="H9044" s="10" t="s">
        <v>28</v>
      </c>
      <c r="I9044" s="11" t="s">
        <v>28</v>
      </c>
      <c r="J9044" s="11" t="s">
        <v>28</v>
      </c>
      <c r="K9044" s="11" t="s">
        <v>28</v>
      </c>
      <c r="L9044" s="11" t="s">
        <v>28</v>
      </c>
      <c r="M9044" s="11" t="s">
        <v>28</v>
      </c>
      <c r="N9044" s="8">
        <v>42611</v>
      </c>
      <c r="O9044" s="9" t="s">
        <v>73</v>
      </c>
      <c r="P9044" s="12" t="s">
        <v>611</v>
      </c>
      <c r="Q9044" s="9" t="s">
        <v>855</v>
      </c>
      <c r="R9044" s="14" t="str">
        <f>HYPERLINK("https://my.pitchbook.com?c=204261-31T","View Company Online")</f>
        <v>View Company Online</v>
      </c>
    </row>
    <row r="9045" spans="1:18" hidden="1" x14ac:dyDescent="0.3">
      <c r="A9045" s="15" t="s">
        <v>25933</v>
      </c>
      <c r="B9045" s="15" t="s">
        <v>13140</v>
      </c>
      <c r="C9045" s="18" t="s">
        <v>28</v>
      </c>
      <c r="D9045" s="15" t="s">
        <v>25934</v>
      </c>
      <c r="E9045" s="18">
        <v>-0.57999999999999996</v>
      </c>
      <c r="F9045" s="19" t="s">
        <v>28</v>
      </c>
      <c r="G9045" s="19" t="s">
        <v>28</v>
      </c>
      <c r="H9045" s="19" t="s">
        <v>28</v>
      </c>
      <c r="I9045" s="18">
        <v>-0.57999999999999996</v>
      </c>
      <c r="J9045" s="18" t="s">
        <v>28</v>
      </c>
      <c r="K9045" s="18">
        <v>108.22</v>
      </c>
      <c r="L9045" s="18" t="s">
        <v>28</v>
      </c>
      <c r="M9045" s="18">
        <v>-0.75</v>
      </c>
      <c r="N9045" s="17">
        <v>42609</v>
      </c>
      <c r="O9045" s="15" t="s">
        <v>173</v>
      </c>
      <c r="P9045" s="16" t="s">
        <v>28</v>
      </c>
      <c r="Q9045" s="15" t="s">
        <v>245</v>
      </c>
      <c r="R9045" s="13" t="str">
        <f>HYPERLINK("https://my.pitchbook.com?c=188721-19T","View Company Online")</f>
        <v>View Company Online</v>
      </c>
    </row>
    <row r="9046" spans="1:18" hidden="1" x14ac:dyDescent="0.3">
      <c r="A9046" s="9" t="s">
        <v>25935</v>
      </c>
      <c r="B9046" s="9" t="s">
        <v>25936</v>
      </c>
      <c r="C9046" s="11" t="s">
        <v>28</v>
      </c>
      <c r="D9046" s="9" t="s">
        <v>25937</v>
      </c>
      <c r="E9046" s="11" t="s">
        <v>28</v>
      </c>
      <c r="F9046" s="10" t="s">
        <v>28</v>
      </c>
      <c r="G9046" s="10" t="s">
        <v>28</v>
      </c>
      <c r="H9046" s="10" t="s">
        <v>28</v>
      </c>
      <c r="I9046" s="11" t="s">
        <v>28</v>
      </c>
      <c r="J9046" s="11" t="s">
        <v>28</v>
      </c>
      <c r="K9046" s="11" t="s">
        <v>28</v>
      </c>
      <c r="L9046" s="11" t="s">
        <v>28</v>
      </c>
      <c r="M9046" s="11" t="s">
        <v>28</v>
      </c>
      <c r="N9046" s="8">
        <v>42608</v>
      </c>
      <c r="O9046" s="9" t="s">
        <v>30</v>
      </c>
      <c r="P9046" s="12" t="s">
        <v>25938</v>
      </c>
      <c r="Q9046" s="9" t="s">
        <v>85</v>
      </c>
      <c r="R9046" s="14" t="str">
        <f>HYPERLINK("https://my.pitchbook.com?c=75343-69T","View Company Online")</f>
        <v>View Company Online</v>
      </c>
    </row>
    <row r="9047" spans="1:18" hidden="1" x14ac:dyDescent="0.3">
      <c r="A9047" s="15" t="s">
        <v>25939</v>
      </c>
      <c r="B9047" s="15" t="s">
        <v>25940</v>
      </c>
      <c r="C9047" s="18" t="s">
        <v>28</v>
      </c>
      <c r="D9047" s="15" t="s">
        <v>25941</v>
      </c>
      <c r="E9047" s="18" t="s">
        <v>28</v>
      </c>
      <c r="F9047" s="19" t="s">
        <v>28</v>
      </c>
      <c r="G9047" s="19">
        <v>6</v>
      </c>
      <c r="H9047" s="19" t="s">
        <v>28</v>
      </c>
      <c r="I9047" s="18" t="s">
        <v>28</v>
      </c>
      <c r="J9047" s="18" t="s">
        <v>28</v>
      </c>
      <c r="K9047" s="18" t="s">
        <v>28</v>
      </c>
      <c r="L9047" s="18" t="s">
        <v>28</v>
      </c>
      <c r="M9047" s="18" t="s">
        <v>28</v>
      </c>
      <c r="N9047" s="17">
        <v>42607</v>
      </c>
      <c r="O9047" s="15" t="s">
        <v>93</v>
      </c>
      <c r="P9047" s="16" t="s">
        <v>28</v>
      </c>
      <c r="Q9047" s="15" t="s">
        <v>959</v>
      </c>
      <c r="R9047" s="13" t="str">
        <f>HYPERLINK("https://my.pitchbook.com?c=96825-07T","View Company Online")</f>
        <v>View Company Online</v>
      </c>
    </row>
    <row r="9048" spans="1:18" hidden="1" x14ac:dyDescent="0.3">
      <c r="A9048" s="9" t="s">
        <v>25942</v>
      </c>
      <c r="B9048" s="9" t="s">
        <v>23318</v>
      </c>
      <c r="C9048" s="11" t="s">
        <v>28</v>
      </c>
      <c r="D9048" s="9" t="s">
        <v>23319</v>
      </c>
      <c r="E9048" s="11" t="s">
        <v>28</v>
      </c>
      <c r="F9048" s="10" t="s">
        <v>28</v>
      </c>
      <c r="G9048" s="10" t="s">
        <v>28</v>
      </c>
      <c r="H9048" s="10" t="s">
        <v>28</v>
      </c>
      <c r="I9048" s="11" t="s">
        <v>28</v>
      </c>
      <c r="J9048" s="11" t="s">
        <v>28</v>
      </c>
      <c r="K9048" s="11" t="s">
        <v>28</v>
      </c>
      <c r="L9048" s="11" t="s">
        <v>28</v>
      </c>
      <c r="M9048" s="11">
        <v>-36.78</v>
      </c>
      <c r="N9048" s="8">
        <v>42607</v>
      </c>
      <c r="O9048" s="9" t="s">
        <v>30</v>
      </c>
      <c r="P9048" s="12" t="s">
        <v>28</v>
      </c>
      <c r="Q9048" s="9" t="s">
        <v>607</v>
      </c>
      <c r="R9048" s="14" t="str">
        <f>HYPERLINK("https://my.pitchbook.com?c=86882-05T","View Company Online")</f>
        <v>View Company Online</v>
      </c>
    </row>
    <row r="9049" spans="1:18" hidden="1" x14ac:dyDescent="0.3">
      <c r="A9049" s="15" t="s">
        <v>25943</v>
      </c>
      <c r="B9049" s="15" t="s">
        <v>20426</v>
      </c>
      <c r="C9049" s="18" t="s">
        <v>28</v>
      </c>
      <c r="D9049" s="15" t="s">
        <v>20427</v>
      </c>
      <c r="E9049" s="18" t="s">
        <v>28</v>
      </c>
      <c r="F9049" s="19" t="s">
        <v>28</v>
      </c>
      <c r="G9049" s="19">
        <v>0.2</v>
      </c>
      <c r="H9049" s="19" t="s">
        <v>28</v>
      </c>
      <c r="I9049" s="18" t="s">
        <v>28</v>
      </c>
      <c r="J9049" s="18" t="s">
        <v>28</v>
      </c>
      <c r="K9049" s="18" t="s">
        <v>28</v>
      </c>
      <c r="L9049" s="18" t="s">
        <v>28</v>
      </c>
      <c r="M9049" s="18" t="s">
        <v>28</v>
      </c>
      <c r="N9049" s="17">
        <v>42607</v>
      </c>
      <c r="O9049" s="15" t="s">
        <v>52</v>
      </c>
      <c r="P9049" s="16" t="s">
        <v>24901</v>
      </c>
      <c r="Q9049" s="15" t="s">
        <v>522</v>
      </c>
      <c r="R9049" s="13" t="str">
        <f>HYPERLINK("https://my.pitchbook.com?c=76584-25T","View Company Online")</f>
        <v>View Company Online</v>
      </c>
    </row>
    <row r="9050" spans="1:18" hidden="1" x14ac:dyDescent="0.3">
      <c r="A9050" s="9" t="s">
        <v>25944</v>
      </c>
      <c r="B9050" s="9" t="s">
        <v>25945</v>
      </c>
      <c r="C9050" s="11" t="s">
        <v>28</v>
      </c>
      <c r="D9050" s="9" t="s">
        <v>25946</v>
      </c>
      <c r="E9050" s="11" t="s">
        <v>28</v>
      </c>
      <c r="F9050" s="10" t="s">
        <v>28</v>
      </c>
      <c r="G9050" s="10">
        <v>1.24</v>
      </c>
      <c r="H9050" s="10" t="s">
        <v>28</v>
      </c>
      <c r="I9050" s="11" t="s">
        <v>28</v>
      </c>
      <c r="J9050" s="11" t="s">
        <v>28</v>
      </c>
      <c r="K9050" s="11" t="s">
        <v>28</v>
      </c>
      <c r="L9050" s="11" t="s">
        <v>28</v>
      </c>
      <c r="M9050" s="11" t="s">
        <v>28</v>
      </c>
      <c r="N9050" s="8">
        <v>42607</v>
      </c>
      <c r="O9050" s="9" t="s">
        <v>73</v>
      </c>
      <c r="P9050" s="12" t="s">
        <v>24398</v>
      </c>
      <c r="Q9050" s="9" t="s">
        <v>566</v>
      </c>
      <c r="R9050" s="14" t="str">
        <f>HYPERLINK("https://my.pitchbook.com?c=75598-30T","View Company Online")</f>
        <v>View Company Online</v>
      </c>
    </row>
    <row r="9051" spans="1:18" hidden="1" x14ac:dyDescent="0.3">
      <c r="A9051" s="15" t="s">
        <v>25947</v>
      </c>
      <c r="B9051" s="15" t="s">
        <v>25948</v>
      </c>
      <c r="C9051" s="18" t="s">
        <v>28</v>
      </c>
      <c r="D9051" s="15" t="s">
        <v>25949</v>
      </c>
      <c r="E9051" s="18" t="s">
        <v>28</v>
      </c>
      <c r="F9051" s="19">
        <v>0.04</v>
      </c>
      <c r="G9051" s="19">
        <v>0.01</v>
      </c>
      <c r="H9051" s="19">
        <v>0.04</v>
      </c>
      <c r="I9051" s="18" t="s">
        <v>28</v>
      </c>
      <c r="J9051" s="18" t="s">
        <v>28</v>
      </c>
      <c r="K9051" s="18" t="s">
        <v>28</v>
      </c>
      <c r="L9051" s="18" t="s">
        <v>28</v>
      </c>
      <c r="M9051" s="18" t="s">
        <v>28</v>
      </c>
      <c r="N9051" s="17">
        <v>42606</v>
      </c>
      <c r="O9051" s="15" t="s">
        <v>30</v>
      </c>
      <c r="P9051" s="16" t="s">
        <v>11193</v>
      </c>
      <c r="Q9051" s="15" t="s">
        <v>37</v>
      </c>
      <c r="R9051" s="13" t="str">
        <f>HYPERLINK("https://my.pitchbook.com?c=113733-37T","View Company Online")</f>
        <v>View Company Online</v>
      </c>
    </row>
    <row r="9052" spans="1:18" hidden="1" x14ac:dyDescent="0.3">
      <c r="A9052" s="9" t="s">
        <v>25950</v>
      </c>
      <c r="B9052" s="9" t="s">
        <v>25951</v>
      </c>
      <c r="C9052" s="11" t="s">
        <v>28</v>
      </c>
      <c r="D9052" s="9" t="s">
        <v>25952</v>
      </c>
      <c r="E9052" s="11" t="s">
        <v>28</v>
      </c>
      <c r="F9052" s="10">
        <v>363.6</v>
      </c>
      <c r="G9052" s="10">
        <v>363.6</v>
      </c>
      <c r="H9052" s="10">
        <v>363.6</v>
      </c>
      <c r="I9052" s="11" t="s">
        <v>28</v>
      </c>
      <c r="J9052" s="11" t="s">
        <v>28</v>
      </c>
      <c r="K9052" s="11" t="s">
        <v>28</v>
      </c>
      <c r="L9052" s="11" t="s">
        <v>28</v>
      </c>
      <c r="M9052" s="11" t="s">
        <v>28</v>
      </c>
      <c r="N9052" s="8">
        <v>42605</v>
      </c>
      <c r="O9052" s="9" t="s">
        <v>30</v>
      </c>
      <c r="P9052" s="12" t="s">
        <v>4988</v>
      </c>
      <c r="Q9052" s="9" t="s">
        <v>409</v>
      </c>
      <c r="R9052" s="14" t="str">
        <f>HYPERLINK("https://my.pitchbook.com?c=70278-31T","View Company Online")</f>
        <v>View Company Online</v>
      </c>
    </row>
    <row r="9053" spans="1:18" hidden="1" x14ac:dyDescent="0.3">
      <c r="A9053" s="15" t="s">
        <v>25953</v>
      </c>
      <c r="B9053" s="15" t="s">
        <v>5837</v>
      </c>
      <c r="C9053" s="18" t="s">
        <v>28</v>
      </c>
      <c r="D9053" s="15" t="s">
        <v>5838</v>
      </c>
      <c r="E9053" s="18" t="s">
        <v>28</v>
      </c>
      <c r="F9053" s="19" t="s">
        <v>28</v>
      </c>
      <c r="G9053" s="19">
        <v>1.24</v>
      </c>
      <c r="H9053" s="19" t="s">
        <v>28</v>
      </c>
      <c r="I9053" s="18" t="s">
        <v>28</v>
      </c>
      <c r="J9053" s="18" t="s">
        <v>28</v>
      </c>
      <c r="K9053" s="18">
        <v>1.21</v>
      </c>
      <c r="L9053" s="18" t="s">
        <v>28</v>
      </c>
      <c r="M9053" s="18" t="s">
        <v>28</v>
      </c>
      <c r="N9053" s="17">
        <v>42605</v>
      </c>
      <c r="O9053" s="15" t="s">
        <v>73</v>
      </c>
      <c r="P9053" s="16" t="s">
        <v>25829</v>
      </c>
      <c r="Q9053" s="15" t="s">
        <v>75</v>
      </c>
      <c r="R9053" s="13" t="str">
        <f>HYPERLINK("https://my.pitchbook.com?c=74969-11T","View Company Online")</f>
        <v>View Company Online</v>
      </c>
    </row>
    <row r="9054" spans="1:18" hidden="1" x14ac:dyDescent="0.3">
      <c r="A9054" s="9" t="s">
        <v>25954</v>
      </c>
      <c r="B9054" s="9" t="s">
        <v>25955</v>
      </c>
      <c r="C9054" s="11" t="s">
        <v>28</v>
      </c>
      <c r="D9054" s="9" t="s">
        <v>25956</v>
      </c>
      <c r="E9054" s="11" t="s">
        <v>28</v>
      </c>
      <c r="F9054" s="10">
        <v>11.77</v>
      </c>
      <c r="G9054" s="10">
        <v>11.77</v>
      </c>
      <c r="H9054" s="10">
        <v>11.77</v>
      </c>
      <c r="I9054" s="11" t="s">
        <v>28</v>
      </c>
      <c r="J9054" s="11" t="s">
        <v>28</v>
      </c>
      <c r="K9054" s="11">
        <v>36.85</v>
      </c>
      <c r="L9054" s="11">
        <v>0.32</v>
      </c>
      <c r="M9054" s="11" t="s">
        <v>28</v>
      </c>
      <c r="N9054" s="8">
        <v>42604</v>
      </c>
      <c r="O9054" s="9" t="s">
        <v>30</v>
      </c>
      <c r="P9054" s="12" t="s">
        <v>25957</v>
      </c>
      <c r="Q9054" s="9" t="s">
        <v>2168</v>
      </c>
      <c r="R9054" s="14" t="str">
        <f>HYPERLINK("https://my.pitchbook.com?c=76693-96T","View Company Online")</f>
        <v>View Company Online</v>
      </c>
    </row>
    <row r="9055" spans="1:18" hidden="1" x14ac:dyDescent="0.3">
      <c r="A9055" s="15" t="s">
        <v>25958</v>
      </c>
      <c r="B9055" s="15" t="s">
        <v>25959</v>
      </c>
      <c r="C9055" s="18" t="s">
        <v>28</v>
      </c>
      <c r="D9055" s="15" t="s">
        <v>25960</v>
      </c>
      <c r="E9055" s="18" t="s">
        <v>28</v>
      </c>
      <c r="F9055" s="19" t="s">
        <v>28</v>
      </c>
      <c r="G9055" s="19" t="s">
        <v>28</v>
      </c>
      <c r="H9055" s="19" t="s">
        <v>28</v>
      </c>
      <c r="I9055" s="18" t="s">
        <v>28</v>
      </c>
      <c r="J9055" s="18" t="s">
        <v>28</v>
      </c>
      <c r="K9055" s="18" t="s">
        <v>28</v>
      </c>
      <c r="L9055" s="18" t="s">
        <v>28</v>
      </c>
      <c r="M9055" s="18" t="s">
        <v>28</v>
      </c>
      <c r="N9055" s="17">
        <v>42604</v>
      </c>
      <c r="O9055" s="15" t="s">
        <v>30</v>
      </c>
      <c r="P9055" s="16" t="s">
        <v>25961</v>
      </c>
      <c r="Q9055" s="15" t="s">
        <v>85</v>
      </c>
      <c r="R9055" s="13" t="str">
        <f>HYPERLINK("https://my.pitchbook.com?c=110447-11T","View Company Online")</f>
        <v>View Company Online</v>
      </c>
    </row>
    <row r="9056" spans="1:18" hidden="1" x14ac:dyDescent="0.3">
      <c r="A9056" s="9" t="s">
        <v>25962</v>
      </c>
      <c r="B9056" s="9" t="s">
        <v>25963</v>
      </c>
      <c r="C9056" s="11" t="s">
        <v>28</v>
      </c>
      <c r="D9056" s="9" t="s">
        <v>25964</v>
      </c>
      <c r="E9056" s="11" t="s">
        <v>28</v>
      </c>
      <c r="F9056" s="10">
        <v>25.06</v>
      </c>
      <c r="G9056" s="10">
        <v>18.8</v>
      </c>
      <c r="H9056" s="10">
        <v>25.06</v>
      </c>
      <c r="I9056" s="11" t="s">
        <v>28</v>
      </c>
      <c r="J9056" s="11" t="s">
        <v>28</v>
      </c>
      <c r="K9056" s="11" t="s">
        <v>28</v>
      </c>
      <c r="L9056" s="11" t="s">
        <v>28</v>
      </c>
      <c r="M9056" s="11" t="s">
        <v>28</v>
      </c>
      <c r="N9056" s="8">
        <v>42601</v>
      </c>
      <c r="O9056" s="9" t="s">
        <v>30</v>
      </c>
      <c r="P9056" s="12" t="s">
        <v>25965</v>
      </c>
      <c r="Q9056" s="9" t="s">
        <v>245</v>
      </c>
      <c r="R9056" s="14" t="str">
        <f>HYPERLINK("https://my.pitchbook.com?c=74508-13T","View Company Online")</f>
        <v>View Company Online</v>
      </c>
    </row>
    <row r="9057" spans="1:18" hidden="1" x14ac:dyDescent="0.3">
      <c r="A9057" s="15" t="s">
        <v>25966</v>
      </c>
      <c r="B9057" s="15" t="s">
        <v>25967</v>
      </c>
      <c r="C9057" s="18" t="s">
        <v>28</v>
      </c>
      <c r="D9057" s="15" t="s">
        <v>25968</v>
      </c>
      <c r="E9057" s="18" t="s">
        <v>28</v>
      </c>
      <c r="F9057" s="19" t="s">
        <v>28</v>
      </c>
      <c r="G9057" s="19" t="s">
        <v>28</v>
      </c>
      <c r="H9057" s="19" t="s">
        <v>28</v>
      </c>
      <c r="I9057" s="18" t="s">
        <v>28</v>
      </c>
      <c r="J9057" s="18" t="s">
        <v>28</v>
      </c>
      <c r="K9057" s="18" t="s">
        <v>28</v>
      </c>
      <c r="L9057" s="18" t="s">
        <v>28</v>
      </c>
      <c r="M9057" s="18" t="s">
        <v>28</v>
      </c>
      <c r="N9057" s="17">
        <v>42601</v>
      </c>
      <c r="O9057" s="15" t="s">
        <v>30</v>
      </c>
      <c r="P9057" s="16" t="s">
        <v>25969</v>
      </c>
      <c r="Q9057" s="15" t="s">
        <v>14987</v>
      </c>
      <c r="R9057" s="13" t="str">
        <f>HYPERLINK("https://my.pitchbook.com?c=289431-64T","View Company Online")</f>
        <v>View Company Online</v>
      </c>
    </row>
    <row r="9058" spans="1:18" hidden="1" x14ac:dyDescent="0.3">
      <c r="A9058" s="9" t="s">
        <v>25970</v>
      </c>
      <c r="B9058" s="9" t="s">
        <v>8839</v>
      </c>
      <c r="C9058" s="11" t="s">
        <v>28</v>
      </c>
      <c r="D9058" s="9" t="s">
        <v>8840</v>
      </c>
      <c r="E9058" s="11" t="s">
        <v>28</v>
      </c>
      <c r="F9058" s="10" t="s">
        <v>28</v>
      </c>
      <c r="G9058" s="10">
        <v>0.12</v>
      </c>
      <c r="H9058" s="10">
        <v>1.71</v>
      </c>
      <c r="I9058" s="11" t="s">
        <v>28</v>
      </c>
      <c r="J9058" s="11" t="s">
        <v>28</v>
      </c>
      <c r="K9058" s="11" t="s">
        <v>28</v>
      </c>
      <c r="L9058" s="11" t="s">
        <v>28</v>
      </c>
      <c r="M9058" s="11" t="s">
        <v>28</v>
      </c>
      <c r="N9058" s="8">
        <v>42601</v>
      </c>
      <c r="O9058" s="9" t="s">
        <v>52</v>
      </c>
      <c r="P9058" s="12" t="s">
        <v>3944</v>
      </c>
      <c r="Q9058" s="9" t="s">
        <v>386</v>
      </c>
      <c r="R9058" s="14" t="str">
        <f>HYPERLINK("https://my.pitchbook.com?c=77092-30T","View Company Online")</f>
        <v>View Company Online</v>
      </c>
    </row>
    <row r="9059" spans="1:18" hidden="1" x14ac:dyDescent="0.3">
      <c r="A9059" s="15" t="s">
        <v>25971</v>
      </c>
      <c r="B9059" s="15" t="s">
        <v>17187</v>
      </c>
      <c r="C9059" s="18" t="s">
        <v>28</v>
      </c>
      <c r="D9059" s="15" t="s">
        <v>17188</v>
      </c>
      <c r="E9059" s="18" t="s">
        <v>28</v>
      </c>
      <c r="F9059" s="19" t="s">
        <v>28</v>
      </c>
      <c r="G9059" s="19" t="s">
        <v>28</v>
      </c>
      <c r="H9059" s="19" t="s">
        <v>28</v>
      </c>
      <c r="I9059" s="18" t="s">
        <v>28</v>
      </c>
      <c r="J9059" s="18" t="s">
        <v>28</v>
      </c>
      <c r="K9059" s="18" t="s">
        <v>28</v>
      </c>
      <c r="L9059" s="18" t="s">
        <v>28</v>
      </c>
      <c r="M9059" s="18" t="s">
        <v>28</v>
      </c>
      <c r="N9059" s="17">
        <v>42600</v>
      </c>
      <c r="O9059" s="15" t="s">
        <v>73</v>
      </c>
      <c r="P9059" s="16" t="s">
        <v>25972</v>
      </c>
      <c r="Q9059" s="15" t="s">
        <v>75</v>
      </c>
      <c r="R9059" s="13" t="str">
        <f>HYPERLINK("https://my.pitchbook.com?c=101580-67T","View Company Online")</f>
        <v>View Company Online</v>
      </c>
    </row>
    <row r="9060" spans="1:18" x14ac:dyDescent="0.3">
      <c r="A9060" s="9" t="s">
        <v>25973</v>
      </c>
      <c r="B9060" s="9" t="s">
        <v>23224</v>
      </c>
      <c r="C9060" s="11" t="s">
        <v>28</v>
      </c>
      <c r="D9060" s="9" t="s">
        <v>23225</v>
      </c>
      <c r="E9060" s="11">
        <v>-5.99</v>
      </c>
      <c r="F9060" s="10">
        <v>13.87</v>
      </c>
      <c r="G9060" s="10">
        <v>8.7799999999999994</v>
      </c>
      <c r="H9060" s="10">
        <v>13.94</v>
      </c>
      <c r="I9060" s="11">
        <v>-5.97</v>
      </c>
      <c r="J9060" s="11">
        <v>-2.33</v>
      </c>
      <c r="K9060" s="11">
        <v>0</v>
      </c>
      <c r="L9060" s="11" t="s">
        <v>28</v>
      </c>
      <c r="M9060" s="11">
        <v>-1.3</v>
      </c>
      <c r="N9060" s="8">
        <v>42599</v>
      </c>
      <c r="O9060" s="9" t="s">
        <v>30</v>
      </c>
      <c r="P9060" s="12" t="s">
        <v>24182</v>
      </c>
      <c r="Q9060" s="9" t="s">
        <v>975</v>
      </c>
      <c r="R9060" s="14" t="str">
        <f>HYPERLINK("https://my.pitchbook.com?c=73343-08T","View Company Online")</f>
        <v>View Company Online</v>
      </c>
    </row>
    <row r="9061" spans="1:18" hidden="1" x14ac:dyDescent="0.3">
      <c r="A9061" s="15" t="s">
        <v>25974</v>
      </c>
      <c r="B9061" s="15" t="s">
        <v>9111</v>
      </c>
      <c r="C9061" s="18" t="s">
        <v>28</v>
      </c>
      <c r="D9061" s="15" t="s">
        <v>9112</v>
      </c>
      <c r="E9061" s="18" t="s">
        <v>28</v>
      </c>
      <c r="F9061" s="19" t="s">
        <v>28</v>
      </c>
      <c r="G9061" s="19" t="s">
        <v>28</v>
      </c>
      <c r="H9061" s="19" t="s">
        <v>28</v>
      </c>
      <c r="I9061" s="18" t="s">
        <v>28</v>
      </c>
      <c r="J9061" s="18" t="s">
        <v>28</v>
      </c>
      <c r="K9061" s="18" t="s">
        <v>28</v>
      </c>
      <c r="L9061" s="18" t="s">
        <v>28</v>
      </c>
      <c r="M9061" s="18" t="s">
        <v>28</v>
      </c>
      <c r="N9061" s="17">
        <v>42598</v>
      </c>
      <c r="O9061" s="15" t="s">
        <v>41</v>
      </c>
      <c r="P9061" s="16" t="s">
        <v>25975</v>
      </c>
      <c r="Q9061" s="15" t="s">
        <v>4670</v>
      </c>
      <c r="R9061" s="13" t="str">
        <f>HYPERLINK("https://my.pitchbook.com?c=22250-26T","View Company Online")</f>
        <v>View Company Online</v>
      </c>
    </row>
    <row r="9062" spans="1:18" hidden="1" x14ac:dyDescent="0.3">
      <c r="A9062" s="9" t="s">
        <v>25976</v>
      </c>
      <c r="B9062" s="9" t="s">
        <v>21396</v>
      </c>
      <c r="C9062" s="11" t="s">
        <v>28</v>
      </c>
      <c r="D9062" s="9" t="s">
        <v>21397</v>
      </c>
      <c r="E9062" s="11" t="s">
        <v>28</v>
      </c>
      <c r="F9062" s="10" t="s">
        <v>28</v>
      </c>
      <c r="G9062" s="10" t="s">
        <v>28</v>
      </c>
      <c r="H9062" s="10" t="s">
        <v>28</v>
      </c>
      <c r="I9062" s="11" t="s">
        <v>28</v>
      </c>
      <c r="J9062" s="11" t="s">
        <v>28</v>
      </c>
      <c r="K9062" s="11" t="s">
        <v>28</v>
      </c>
      <c r="L9062" s="11" t="s">
        <v>28</v>
      </c>
      <c r="M9062" s="11" t="s">
        <v>28</v>
      </c>
      <c r="N9062" s="8">
        <v>42597</v>
      </c>
      <c r="O9062" s="9" t="s">
        <v>1285</v>
      </c>
      <c r="P9062" s="12" t="s">
        <v>28</v>
      </c>
      <c r="Q9062" s="9" t="s">
        <v>880</v>
      </c>
      <c r="R9062" s="14" t="str">
        <f>HYPERLINK("https://my.pitchbook.com?c=111649-60T","View Company Online")</f>
        <v>View Company Online</v>
      </c>
    </row>
    <row r="9063" spans="1:18" hidden="1" x14ac:dyDescent="0.3">
      <c r="A9063" s="15" t="s">
        <v>25977</v>
      </c>
      <c r="B9063" s="15" t="s">
        <v>25978</v>
      </c>
      <c r="C9063" s="18" t="s">
        <v>28</v>
      </c>
      <c r="D9063" s="15" t="s">
        <v>25979</v>
      </c>
      <c r="E9063" s="18" t="s">
        <v>28</v>
      </c>
      <c r="F9063" s="19" t="s">
        <v>28</v>
      </c>
      <c r="G9063" s="19" t="s">
        <v>28</v>
      </c>
      <c r="H9063" s="19" t="s">
        <v>28</v>
      </c>
      <c r="I9063" s="18" t="s">
        <v>28</v>
      </c>
      <c r="J9063" s="18" t="s">
        <v>28</v>
      </c>
      <c r="K9063" s="18" t="s">
        <v>28</v>
      </c>
      <c r="L9063" s="18" t="s">
        <v>28</v>
      </c>
      <c r="M9063" s="18" t="s">
        <v>28</v>
      </c>
      <c r="N9063" s="17">
        <v>42597</v>
      </c>
      <c r="O9063" s="15" t="s">
        <v>1285</v>
      </c>
      <c r="P9063" s="16" t="s">
        <v>21396</v>
      </c>
      <c r="Q9063" s="15" t="s">
        <v>880</v>
      </c>
      <c r="R9063" s="13" t="str">
        <f>HYPERLINK("https://my.pitchbook.com?c=111646-63T","View Company Online")</f>
        <v>View Company Online</v>
      </c>
    </row>
    <row r="9064" spans="1:18" hidden="1" x14ac:dyDescent="0.3">
      <c r="A9064" s="9" t="s">
        <v>25980</v>
      </c>
      <c r="B9064" s="9" t="s">
        <v>25981</v>
      </c>
      <c r="C9064" s="11" t="s">
        <v>28</v>
      </c>
      <c r="D9064" s="9" t="s">
        <v>25982</v>
      </c>
      <c r="E9064" s="11" t="s">
        <v>28</v>
      </c>
      <c r="F9064" s="10" t="s">
        <v>28</v>
      </c>
      <c r="G9064" s="10" t="s">
        <v>28</v>
      </c>
      <c r="H9064" s="10" t="s">
        <v>28</v>
      </c>
      <c r="I9064" s="11" t="s">
        <v>28</v>
      </c>
      <c r="J9064" s="11" t="s">
        <v>28</v>
      </c>
      <c r="K9064" s="11" t="s">
        <v>28</v>
      </c>
      <c r="L9064" s="11" t="s">
        <v>28</v>
      </c>
      <c r="M9064" s="11" t="s">
        <v>28</v>
      </c>
      <c r="N9064" s="8">
        <v>42597</v>
      </c>
      <c r="O9064" s="9" t="s">
        <v>30</v>
      </c>
      <c r="P9064" s="12" t="s">
        <v>25983</v>
      </c>
      <c r="Q9064" s="9" t="s">
        <v>399</v>
      </c>
      <c r="R9064" s="14" t="str">
        <f>HYPERLINK("https://my.pitchbook.com?c=78191-02T","View Company Online")</f>
        <v>View Company Online</v>
      </c>
    </row>
    <row r="9065" spans="1:18" hidden="1" x14ac:dyDescent="0.3">
      <c r="A9065" s="15" t="s">
        <v>25984</v>
      </c>
      <c r="B9065" s="15" t="s">
        <v>25985</v>
      </c>
      <c r="C9065" s="18" t="s">
        <v>28</v>
      </c>
      <c r="D9065" s="15" t="s">
        <v>25986</v>
      </c>
      <c r="E9065" s="18" t="s">
        <v>28</v>
      </c>
      <c r="F9065" s="19" t="s">
        <v>28</v>
      </c>
      <c r="G9065" s="19">
        <v>0.05</v>
      </c>
      <c r="H9065" s="19">
        <v>0.46</v>
      </c>
      <c r="I9065" s="18" t="s">
        <v>28</v>
      </c>
      <c r="J9065" s="18" t="s">
        <v>28</v>
      </c>
      <c r="K9065" s="18" t="s">
        <v>28</v>
      </c>
      <c r="L9065" s="18" t="s">
        <v>28</v>
      </c>
      <c r="M9065" s="18" t="s">
        <v>28</v>
      </c>
      <c r="N9065" s="17">
        <v>42594</v>
      </c>
      <c r="O9065" s="15" t="s">
        <v>52</v>
      </c>
      <c r="P9065" s="16" t="s">
        <v>21790</v>
      </c>
      <c r="Q9065" s="15" t="s">
        <v>37</v>
      </c>
      <c r="R9065" s="13" t="str">
        <f>HYPERLINK("https://my.pitchbook.com?c=181244-71T","View Company Online")</f>
        <v>View Company Online</v>
      </c>
    </row>
    <row r="9066" spans="1:18" hidden="1" x14ac:dyDescent="0.3">
      <c r="A9066" s="9" t="s">
        <v>25987</v>
      </c>
      <c r="B9066" s="9" t="s">
        <v>25988</v>
      </c>
      <c r="C9066" s="11" t="s">
        <v>28</v>
      </c>
      <c r="D9066" s="9" t="s">
        <v>25989</v>
      </c>
      <c r="E9066" s="11" t="s">
        <v>28</v>
      </c>
      <c r="F9066" s="10" t="s">
        <v>28</v>
      </c>
      <c r="G9066" s="10" t="s">
        <v>28</v>
      </c>
      <c r="H9066" s="10" t="s">
        <v>28</v>
      </c>
      <c r="I9066" s="11" t="s">
        <v>28</v>
      </c>
      <c r="J9066" s="11" t="s">
        <v>28</v>
      </c>
      <c r="K9066" s="11" t="s">
        <v>28</v>
      </c>
      <c r="L9066" s="11" t="s">
        <v>28</v>
      </c>
      <c r="M9066" s="11" t="s">
        <v>28</v>
      </c>
      <c r="N9066" s="8">
        <v>42593</v>
      </c>
      <c r="O9066" s="9" t="s">
        <v>30</v>
      </c>
      <c r="P9066" s="12" t="s">
        <v>25990</v>
      </c>
      <c r="Q9066" s="9" t="s">
        <v>1144</v>
      </c>
      <c r="R9066" s="14" t="str">
        <f>HYPERLINK("https://my.pitchbook.com?c=110146-42T","View Company Online")</f>
        <v>View Company Online</v>
      </c>
    </row>
    <row r="9067" spans="1:18" hidden="1" x14ac:dyDescent="0.3">
      <c r="A9067" s="15" t="s">
        <v>25991</v>
      </c>
      <c r="B9067" s="15" t="s">
        <v>3231</v>
      </c>
      <c r="C9067" s="18" t="s">
        <v>28</v>
      </c>
      <c r="D9067" s="15" t="s">
        <v>3232</v>
      </c>
      <c r="E9067" s="18" t="s">
        <v>28</v>
      </c>
      <c r="F9067" s="19" t="s">
        <v>28</v>
      </c>
      <c r="G9067" s="19">
        <v>40</v>
      </c>
      <c r="H9067" s="19" t="s">
        <v>28</v>
      </c>
      <c r="I9067" s="18" t="s">
        <v>28</v>
      </c>
      <c r="J9067" s="18" t="s">
        <v>28</v>
      </c>
      <c r="K9067" s="18" t="s">
        <v>28</v>
      </c>
      <c r="L9067" s="18" t="s">
        <v>28</v>
      </c>
      <c r="M9067" s="18" t="s">
        <v>28</v>
      </c>
      <c r="N9067" s="17">
        <v>42592</v>
      </c>
      <c r="O9067" s="15" t="s">
        <v>93</v>
      </c>
      <c r="P9067" s="16" t="s">
        <v>25992</v>
      </c>
      <c r="Q9067" s="15" t="s">
        <v>692</v>
      </c>
      <c r="R9067" s="13" t="str">
        <f>HYPERLINK("https://my.pitchbook.com?c=74696-68T","View Company Online")</f>
        <v>View Company Online</v>
      </c>
    </row>
    <row r="9068" spans="1:18" hidden="1" x14ac:dyDescent="0.3">
      <c r="A9068" s="9" t="s">
        <v>25993</v>
      </c>
      <c r="B9068" s="9" t="s">
        <v>4260</v>
      </c>
      <c r="C9068" s="11" t="s">
        <v>28</v>
      </c>
      <c r="D9068" s="9" t="s">
        <v>4261</v>
      </c>
      <c r="E9068" s="11" t="s">
        <v>28</v>
      </c>
      <c r="F9068" s="10" t="s">
        <v>28</v>
      </c>
      <c r="G9068" s="10">
        <v>4.58</v>
      </c>
      <c r="H9068" s="10" t="s">
        <v>28</v>
      </c>
      <c r="I9068" s="11" t="s">
        <v>28</v>
      </c>
      <c r="J9068" s="11" t="s">
        <v>28</v>
      </c>
      <c r="K9068" s="11" t="s">
        <v>28</v>
      </c>
      <c r="L9068" s="11" t="s">
        <v>28</v>
      </c>
      <c r="M9068" s="11" t="s">
        <v>28</v>
      </c>
      <c r="N9068" s="8">
        <v>42590</v>
      </c>
      <c r="O9068" s="9" t="s">
        <v>93</v>
      </c>
      <c r="P9068" s="12" t="s">
        <v>25994</v>
      </c>
      <c r="Q9068" s="9" t="s">
        <v>75</v>
      </c>
      <c r="R9068" s="14" t="str">
        <f>HYPERLINK("https://my.pitchbook.com?c=74808-37T","View Company Online")</f>
        <v>View Company Online</v>
      </c>
    </row>
    <row r="9069" spans="1:18" hidden="1" x14ac:dyDescent="0.3">
      <c r="A9069" s="15" t="s">
        <v>25995</v>
      </c>
      <c r="B9069" s="15" t="s">
        <v>25996</v>
      </c>
      <c r="C9069" s="18" t="s">
        <v>28</v>
      </c>
      <c r="D9069" s="15" t="s">
        <v>25997</v>
      </c>
      <c r="E9069" s="18" t="s">
        <v>28</v>
      </c>
      <c r="F9069" s="19" t="s">
        <v>28</v>
      </c>
      <c r="G9069" s="19" t="s">
        <v>28</v>
      </c>
      <c r="H9069" s="19" t="s">
        <v>28</v>
      </c>
      <c r="I9069" s="18" t="s">
        <v>28</v>
      </c>
      <c r="J9069" s="18" t="s">
        <v>28</v>
      </c>
      <c r="K9069" s="18" t="s">
        <v>28</v>
      </c>
      <c r="L9069" s="18" t="s">
        <v>28</v>
      </c>
      <c r="M9069" s="18" t="s">
        <v>28</v>
      </c>
      <c r="N9069" s="17">
        <v>42590</v>
      </c>
      <c r="O9069" s="15" t="s">
        <v>173</v>
      </c>
      <c r="P9069" s="16" t="s">
        <v>28</v>
      </c>
      <c r="Q9069" s="15" t="s">
        <v>424</v>
      </c>
      <c r="R9069" s="13" t="str">
        <f>HYPERLINK("https://my.pitchbook.com?c=227024-20T","View Company Online")</f>
        <v>View Company Online</v>
      </c>
    </row>
    <row r="9070" spans="1:18" hidden="1" x14ac:dyDescent="0.3">
      <c r="A9070" s="9" t="s">
        <v>25998</v>
      </c>
      <c r="B9070" s="9" t="s">
        <v>25999</v>
      </c>
      <c r="C9070" s="11" t="s">
        <v>28</v>
      </c>
      <c r="D9070" s="9" t="s">
        <v>26000</v>
      </c>
      <c r="E9070" s="11" t="s">
        <v>28</v>
      </c>
      <c r="F9070" s="10" t="s">
        <v>28</v>
      </c>
      <c r="G9070" s="10" t="s">
        <v>28</v>
      </c>
      <c r="H9070" s="10" t="s">
        <v>28</v>
      </c>
      <c r="I9070" s="11" t="s">
        <v>28</v>
      </c>
      <c r="J9070" s="11" t="s">
        <v>28</v>
      </c>
      <c r="K9070" s="11" t="s">
        <v>28</v>
      </c>
      <c r="L9070" s="11" t="s">
        <v>28</v>
      </c>
      <c r="M9070" s="11" t="s">
        <v>28</v>
      </c>
      <c r="N9070" s="8">
        <v>42588</v>
      </c>
      <c r="O9070" s="9" t="s">
        <v>79</v>
      </c>
      <c r="P9070" s="12" t="s">
        <v>28</v>
      </c>
      <c r="Q9070" s="9" t="s">
        <v>37</v>
      </c>
      <c r="R9070" s="14" t="str">
        <f>HYPERLINK("https://my.pitchbook.com?c=79675-21T","View Company Online")</f>
        <v>View Company Online</v>
      </c>
    </row>
    <row r="9071" spans="1:18" hidden="1" x14ac:dyDescent="0.3">
      <c r="A9071" s="15" t="s">
        <v>26001</v>
      </c>
      <c r="B9071" s="15" t="s">
        <v>5230</v>
      </c>
      <c r="C9071" s="18" t="s">
        <v>28</v>
      </c>
      <c r="D9071" s="15" t="s">
        <v>5231</v>
      </c>
      <c r="E9071" s="18" t="s">
        <v>28</v>
      </c>
      <c r="F9071" s="19" t="s">
        <v>28</v>
      </c>
      <c r="G9071" s="19">
        <v>0.06</v>
      </c>
      <c r="H9071" s="19" t="s">
        <v>28</v>
      </c>
      <c r="I9071" s="18" t="s">
        <v>28</v>
      </c>
      <c r="J9071" s="18" t="s">
        <v>28</v>
      </c>
      <c r="K9071" s="18" t="s">
        <v>28</v>
      </c>
      <c r="L9071" s="18" t="s">
        <v>28</v>
      </c>
      <c r="M9071" s="18" t="s">
        <v>28</v>
      </c>
      <c r="N9071" s="17">
        <v>42587</v>
      </c>
      <c r="O9071" s="15" t="s">
        <v>52</v>
      </c>
      <c r="P9071" s="16" t="s">
        <v>17245</v>
      </c>
      <c r="Q9071" s="15" t="s">
        <v>75</v>
      </c>
      <c r="R9071" s="13" t="str">
        <f>HYPERLINK("https://my.pitchbook.com?c=76583-80T","View Company Online")</f>
        <v>View Company Online</v>
      </c>
    </row>
    <row r="9072" spans="1:18" hidden="1" x14ac:dyDescent="0.3">
      <c r="A9072" s="9" t="s">
        <v>26002</v>
      </c>
      <c r="B9072" s="9" t="s">
        <v>20772</v>
      </c>
      <c r="C9072" s="11" t="s">
        <v>28</v>
      </c>
      <c r="D9072" s="9" t="s">
        <v>20773</v>
      </c>
      <c r="E9072" s="11" t="s">
        <v>28</v>
      </c>
      <c r="F9072" s="10" t="s">
        <v>28</v>
      </c>
      <c r="G9072" s="10" t="s">
        <v>28</v>
      </c>
      <c r="H9072" s="10" t="s">
        <v>28</v>
      </c>
      <c r="I9072" s="11" t="s">
        <v>28</v>
      </c>
      <c r="J9072" s="11" t="s">
        <v>28</v>
      </c>
      <c r="K9072" s="11" t="s">
        <v>28</v>
      </c>
      <c r="L9072" s="11" t="s">
        <v>28</v>
      </c>
      <c r="M9072" s="11" t="s">
        <v>28</v>
      </c>
      <c r="N9072" s="8">
        <v>42587</v>
      </c>
      <c r="O9072" s="9" t="s">
        <v>52</v>
      </c>
      <c r="P9072" s="12" t="s">
        <v>26003</v>
      </c>
      <c r="Q9072" s="9" t="s">
        <v>188</v>
      </c>
      <c r="R9072" s="14" t="str">
        <f>HYPERLINK("https://my.pitchbook.com?c=104746-24T","View Company Online")</f>
        <v>View Company Online</v>
      </c>
    </row>
    <row r="9073" spans="1:18" hidden="1" x14ac:dyDescent="0.3">
      <c r="A9073" s="15" t="s">
        <v>26004</v>
      </c>
      <c r="B9073" s="15" t="s">
        <v>24817</v>
      </c>
      <c r="C9073" s="18" t="s">
        <v>28</v>
      </c>
      <c r="D9073" s="15" t="s">
        <v>24818</v>
      </c>
      <c r="E9073" s="18">
        <v>170.79</v>
      </c>
      <c r="F9073" s="19" t="s">
        <v>28</v>
      </c>
      <c r="G9073" s="19">
        <v>450</v>
      </c>
      <c r="H9073" s="19">
        <v>1898.73</v>
      </c>
      <c r="I9073" s="18">
        <v>257.51</v>
      </c>
      <c r="J9073" s="18">
        <v>7.37</v>
      </c>
      <c r="K9073" s="18">
        <v>1920.29</v>
      </c>
      <c r="L9073" s="18">
        <v>0.99</v>
      </c>
      <c r="M9073" s="18">
        <v>-36.369999999999997</v>
      </c>
      <c r="N9073" s="17">
        <v>42586</v>
      </c>
      <c r="O9073" s="15" t="s">
        <v>58</v>
      </c>
      <c r="P9073" s="16" t="s">
        <v>26005</v>
      </c>
      <c r="Q9073" s="15" t="s">
        <v>2168</v>
      </c>
      <c r="R9073" s="13" t="str">
        <f>HYPERLINK("https://my.pitchbook.com?c=72463-15T","View Company Online")</f>
        <v>View Company Online</v>
      </c>
    </row>
    <row r="9074" spans="1:18" hidden="1" x14ac:dyDescent="0.3">
      <c r="A9074" s="9" t="s">
        <v>26006</v>
      </c>
      <c r="B9074" s="9" t="s">
        <v>694</v>
      </c>
      <c r="C9074" s="11" t="s">
        <v>28</v>
      </c>
      <c r="D9074" s="9" t="s">
        <v>695</v>
      </c>
      <c r="E9074" s="11" t="s">
        <v>28</v>
      </c>
      <c r="F9074" s="10" t="s">
        <v>28</v>
      </c>
      <c r="G9074" s="10" t="s">
        <v>28</v>
      </c>
      <c r="H9074" s="10" t="s">
        <v>28</v>
      </c>
      <c r="I9074" s="11" t="s">
        <v>28</v>
      </c>
      <c r="J9074" s="11" t="s">
        <v>28</v>
      </c>
      <c r="K9074" s="11">
        <v>29.66</v>
      </c>
      <c r="L9074" s="11" t="s">
        <v>28</v>
      </c>
      <c r="M9074" s="11" t="s">
        <v>28</v>
      </c>
      <c r="N9074" s="8">
        <v>42586</v>
      </c>
      <c r="O9074" s="9" t="s">
        <v>93</v>
      </c>
      <c r="P9074" s="12" t="s">
        <v>26007</v>
      </c>
      <c r="Q9074" s="9" t="s">
        <v>696</v>
      </c>
      <c r="R9074" s="14" t="str">
        <f>HYPERLINK("https://my.pitchbook.com?c=74270-44T","View Company Online")</f>
        <v>View Company Online</v>
      </c>
    </row>
    <row r="9075" spans="1:18" hidden="1" x14ac:dyDescent="0.3">
      <c r="A9075" s="15" t="s">
        <v>26008</v>
      </c>
      <c r="B9075" s="15" t="s">
        <v>26009</v>
      </c>
      <c r="C9075" s="18" t="s">
        <v>28</v>
      </c>
      <c r="D9075" s="15" t="s">
        <v>26010</v>
      </c>
      <c r="E9075" s="18" t="s">
        <v>28</v>
      </c>
      <c r="F9075" s="19">
        <v>198.65</v>
      </c>
      <c r="G9075" s="19">
        <v>99.32</v>
      </c>
      <c r="H9075" s="19">
        <v>198.65</v>
      </c>
      <c r="I9075" s="18" t="s">
        <v>28</v>
      </c>
      <c r="J9075" s="18" t="s">
        <v>28</v>
      </c>
      <c r="K9075" s="18" t="s">
        <v>28</v>
      </c>
      <c r="L9075" s="18" t="s">
        <v>28</v>
      </c>
      <c r="M9075" s="18" t="s">
        <v>28</v>
      </c>
      <c r="N9075" s="17">
        <v>42585</v>
      </c>
      <c r="O9075" s="15" t="s">
        <v>30</v>
      </c>
      <c r="P9075" s="16" t="s">
        <v>26011</v>
      </c>
      <c r="Q9075" s="15" t="s">
        <v>316</v>
      </c>
      <c r="R9075" s="13" t="str">
        <f>HYPERLINK("https://my.pitchbook.com?c=74395-45T","View Company Online")</f>
        <v>View Company Online</v>
      </c>
    </row>
    <row r="9076" spans="1:18" hidden="1" x14ac:dyDescent="0.3">
      <c r="A9076" s="9" t="s">
        <v>26012</v>
      </c>
      <c r="B9076" s="9" t="s">
        <v>14430</v>
      </c>
      <c r="C9076" s="11" t="s">
        <v>28</v>
      </c>
      <c r="D9076" s="9" t="s">
        <v>14431</v>
      </c>
      <c r="E9076" s="11" t="s">
        <v>28</v>
      </c>
      <c r="F9076" s="10" t="s">
        <v>28</v>
      </c>
      <c r="G9076" s="10" t="s">
        <v>28</v>
      </c>
      <c r="H9076" s="10" t="s">
        <v>28</v>
      </c>
      <c r="I9076" s="11" t="s">
        <v>28</v>
      </c>
      <c r="J9076" s="11" t="s">
        <v>28</v>
      </c>
      <c r="K9076" s="11" t="s">
        <v>28</v>
      </c>
      <c r="L9076" s="11" t="s">
        <v>28</v>
      </c>
      <c r="M9076" s="11" t="s">
        <v>28</v>
      </c>
      <c r="N9076" s="8">
        <v>42585</v>
      </c>
      <c r="O9076" s="9" t="s">
        <v>73</v>
      </c>
      <c r="P9076" s="12" t="s">
        <v>26013</v>
      </c>
      <c r="Q9076" s="9" t="s">
        <v>75</v>
      </c>
      <c r="R9076" s="14" t="str">
        <f>HYPERLINK("https://my.pitchbook.com?c=75896-02T","View Company Online")</f>
        <v>View Company Online</v>
      </c>
    </row>
    <row r="9077" spans="1:18" hidden="1" x14ac:dyDescent="0.3">
      <c r="A9077" s="15" t="s">
        <v>26014</v>
      </c>
      <c r="B9077" s="15" t="s">
        <v>26015</v>
      </c>
      <c r="C9077" s="18" t="s">
        <v>28</v>
      </c>
      <c r="D9077" s="15" t="s">
        <v>26016</v>
      </c>
      <c r="E9077" s="18" t="s">
        <v>28</v>
      </c>
      <c r="F9077" s="19">
        <v>1</v>
      </c>
      <c r="G9077" s="19">
        <v>1</v>
      </c>
      <c r="H9077" s="19">
        <v>1</v>
      </c>
      <c r="I9077" s="18" t="s">
        <v>28</v>
      </c>
      <c r="J9077" s="18" t="s">
        <v>28</v>
      </c>
      <c r="K9077" s="18" t="s">
        <v>28</v>
      </c>
      <c r="L9077" s="18" t="s">
        <v>28</v>
      </c>
      <c r="M9077" s="18" t="s">
        <v>28</v>
      </c>
      <c r="N9077" s="17">
        <v>42584</v>
      </c>
      <c r="O9077" s="15" t="s">
        <v>30</v>
      </c>
      <c r="P9077" s="16" t="s">
        <v>11606</v>
      </c>
      <c r="Q9077" s="15" t="s">
        <v>37</v>
      </c>
      <c r="R9077" s="13" t="str">
        <f>HYPERLINK("https://my.pitchbook.com?c=110435-14T","View Company Online")</f>
        <v>View Company Online</v>
      </c>
    </row>
    <row r="9078" spans="1:18" hidden="1" x14ac:dyDescent="0.3">
      <c r="A9078" s="9" t="s">
        <v>26017</v>
      </c>
      <c r="B9078" s="9" t="s">
        <v>22736</v>
      </c>
      <c r="C9078" s="11" t="s">
        <v>28</v>
      </c>
      <c r="D9078" s="9" t="s">
        <v>22737</v>
      </c>
      <c r="E9078" s="11" t="s">
        <v>28</v>
      </c>
      <c r="F9078" s="10" t="s">
        <v>28</v>
      </c>
      <c r="G9078" s="10">
        <v>4.57</v>
      </c>
      <c r="H9078" s="10" t="s">
        <v>28</v>
      </c>
      <c r="I9078" s="11" t="s">
        <v>28</v>
      </c>
      <c r="J9078" s="11" t="s">
        <v>28</v>
      </c>
      <c r="K9078" s="11" t="s">
        <v>28</v>
      </c>
      <c r="L9078" s="11" t="s">
        <v>28</v>
      </c>
      <c r="M9078" s="11" t="s">
        <v>28</v>
      </c>
      <c r="N9078" s="8">
        <v>42584</v>
      </c>
      <c r="O9078" s="9" t="s">
        <v>73</v>
      </c>
      <c r="P9078" s="12" t="s">
        <v>3097</v>
      </c>
      <c r="Q9078" s="9" t="s">
        <v>10313</v>
      </c>
      <c r="R9078" s="14" t="str">
        <f>HYPERLINK("https://my.pitchbook.com?c=74853-55T","View Company Online")</f>
        <v>View Company Online</v>
      </c>
    </row>
    <row r="9079" spans="1:18" hidden="1" x14ac:dyDescent="0.3">
      <c r="A9079" s="15" t="s">
        <v>26018</v>
      </c>
      <c r="B9079" s="15" t="s">
        <v>26019</v>
      </c>
      <c r="C9079" s="18" t="s">
        <v>28</v>
      </c>
      <c r="D9079" s="15" t="s">
        <v>26020</v>
      </c>
      <c r="E9079" s="18" t="s">
        <v>28</v>
      </c>
      <c r="F9079" s="19" t="s">
        <v>28</v>
      </c>
      <c r="G9079" s="19">
        <v>0.02</v>
      </c>
      <c r="H9079" s="19" t="s">
        <v>28</v>
      </c>
      <c r="I9079" s="18" t="s">
        <v>28</v>
      </c>
      <c r="J9079" s="18" t="s">
        <v>28</v>
      </c>
      <c r="K9079" s="18" t="s">
        <v>28</v>
      </c>
      <c r="L9079" s="18" t="s">
        <v>28</v>
      </c>
      <c r="M9079" s="18" t="s">
        <v>28</v>
      </c>
      <c r="N9079" s="17">
        <v>42583</v>
      </c>
      <c r="O9079" s="15" t="s">
        <v>52</v>
      </c>
      <c r="P9079" s="16" t="s">
        <v>26021</v>
      </c>
      <c r="Q9079" s="15" t="s">
        <v>1191</v>
      </c>
      <c r="R9079" s="13" t="str">
        <f>HYPERLINK("https://my.pitchbook.com?c=129748-78T","View Company Online")</f>
        <v>View Company Online</v>
      </c>
    </row>
    <row r="9080" spans="1:18" hidden="1" x14ac:dyDescent="0.3">
      <c r="A9080" s="9" t="s">
        <v>26022</v>
      </c>
      <c r="B9080" s="9" t="s">
        <v>26023</v>
      </c>
      <c r="C9080" s="11" t="s">
        <v>28</v>
      </c>
      <c r="D9080" s="9" t="s">
        <v>26024</v>
      </c>
      <c r="E9080" s="11" t="s">
        <v>28</v>
      </c>
      <c r="F9080" s="10" t="s">
        <v>28</v>
      </c>
      <c r="G9080" s="10">
        <v>0.09</v>
      </c>
      <c r="H9080" s="10" t="s">
        <v>28</v>
      </c>
      <c r="I9080" s="11" t="s">
        <v>28</v>
      </c>
      <c r="J9080" s="11" t="s">
        <v>28</v>
      </c>
      <c r="K9080" s="11" t="s">
        <v>28</v>
      </c>
      <c r="L9080" s="11" t="s">
        <v>28</v>
      </c>
      <c r="M9080" s="11" t="s">
        <v>28</v>
      </c>
      <c r="N9080" s="8">
        <v>42583</v>
      </c>
      <c r="O9080" s="9" t="s">
        <v>1639</v>
      </c>
      <c r="P9080" s="12" t="s">
        <v>28</v>
      </c>
      <c r="Q9080" s="9" t="s">
        <v>362</v>
      </c>
      <c r="R9080" s="14" t="str">
        <f>HYPERLINK("https://my.pitchbook.com?c=126022-15T","View Company Online")</f>
        <v>View Company Online</v>
      </c>
    </row>
    <row r="9081" spans="1:18" hidden="1" x14ac:dyDescent="0.3">
      <c r="A9081" s="15" t="s">
        <v>26025</v>
      </c>
      <c r="B9081" s="15" t="s">
        <v>26026</v>
      </c>
      <c r="C9081" s="18" t="s">
        <v>28</v>
      </c>
      <c r="D9081" s="15" t="s">
        <v>26027</v>
      </c>
      <c r="E9081" s="18" t="s">
        <v>28</v>
      </c>
      <c r="F9081" s="19">
        <v>5</v>
      </c>
      <c r="G9081" s="19">
        <v>5</v>
      </c>
      <c r="H9081" s="19">
        <v>5</v>
      </c>
      <c r="I9081" s="18" t="s">
        <v>28</v>
      </c>
      <c r="J9081" s="18" t="s">
        <v>28</v>
      </c>
      <c r="K9081" s="18" t="s">
        <v>28</v>
      </c>
      <c r="L9081" s="18" t="s">
        <v>28</v>
      </c>
      <c r="M9081" s="18" t="s">
        <v>28</v>
      </c>
      <c r="N9081" s="17">
        <v>42583</v>
      </c>
      <c r="O9081" s="15" t="s">
        <v>30</v>
      </c>
      <c r="P9081" s="16" t="s">
        <v>26028</v>
      </c>
      <c r="Q9081" s="15" t="s">
        <v>1191</v>
      </c>
      <c r="R9081" s="13" t="str">
        <f>HYPERLINK("https://my.pitchbook.com?c=120714-58T","View Company Online")</f>
        <v>View Company Online</v>
      </c>
    </row>
    <row r="9082" spans="1:18" hidden="1" x14ac:dyDescent="0.3">
      <c r="A9082" s="9" t="s">
        <v>26029</v>
      </c>
      <c r="B9082" s="9" t="s">
        <v>26030</v>
      </c>
      <c r="C9082" s="11" t="s">
        <v>28</v>
      </c>
      <c r="D9082" s="9" t="s">
        <v>26031</v>
      </c>
      <c r="E9082" s="11" t="s">
        <v>28</v>
      </c>
      <c r="F9082" s="10">
        <v>22.13</v>
      </c>
      <c r="G9082" s="10">
        <v>22.13</v>
      </c>
      <c r="H9082" s="10">
        <v>22.13</v>
      </c>
      <c r="I9082" s="11" t="s">
        <v>28</v>
      </c>
      <c r="J9082" s="11" t="s">
        <v>28</v>
      </c>
      <c r="K9082" s="11" t="s">
        <v>28</v>
      </c>
      <c r="L9082" s="11" t="s">
        <v>28</v>
      </c>
      <c r="M9082" s="11" t="s">
        <v>28</v>
      </c>
      <c r="N9082" s="8">
        <v>42583</v>
      </c>
      <c r="O9082" s="9" t="s">
        <v>41</v>
      </c>
      <c r="P9082" s="12" t="s">
        <v>23393</v>
      </c>
      <c r="Q9082" s="9" t="s">
        <v>299</v>
      </c>
      <c r="R9082" s="14" t="str">
        <f>HYPERLINK("https://my.pitchbook.com?c=84766-78T","View Company Online")</f>
        <v>View Company Online</v>
      </c>
    </row>
    <row r="9083" spans="1:18" hidden="1" x14ac:dyDescent="0.3">
      <c r="A9083" s="15" t="s">
        <v>26032</v>
      </c>
      <c r="B9083" s="15" t="s">
        <v>26033</v>
      </c>
      <c r="C9083" s="18" t="s">
        <v>28</v>
      </c>
      <c r="D9083" s="15" t="s">
        <v>26034</v>
      </c>
      <c r="E9083" s="18" t="s">
        <v>28</v>
      </c>
      <c r="F9083" s="19" t="s">
        <v>28</v>
      </c>
      <c r="G9083" s="19" t="s">
        <v>28</v>
      </c>
      <c r="H9083" s="19" t="s">
        <v>28</v>
      </c>
      <c r="I9083" s="18" t="s">
        <v>28</v>
      </c>
      <c r="J9083" s="18" t="s">
        <v>28</v>
      </c>
      <c r="K9083" s="18" t="s">
        <v>28</v>
      </c>
      <c r="L9083" s="18" t="s">
        <v>28</v>
      </c>
      <c r="M9083" s="18" t="s">
        <v>28</v>
      </c>
      <c r="N9083" s="17">
        <v>42583</v>
      </c>
      <c r="O9083" s="15" t="s">
        <v>30</v>
      </c>
      <c r="P9083" s="16" t="s">
        <v>26035</v>
      </c>
      <c r="Q9083" s="15" t="s">
        <v>43</v>
      </c>
      <c r="R9083" s="13" t="str">
        <f>HYPERLINK("https://my.pitchbook.com?c=90182-44T","View Company Online")</f>
        <v>View Company Online</v>
      </c>
    </row>
    <row r="9084" spans="1:18" hidden="1" x14ac:dyDescent="0.3">
      <c r="A9084" s="9" t="s">
        <v>26036</v>
      </c>
      <c r="B9084" s="9" t="s">
        <v>26037</v>
      </c>
      <c r="C9084" s="11" t="s">
        <v>28</v>
      </c>
      <c r="D9084" s="9" t="s">
        <v>26038</v>
      </c>
      <c r="E9084" s="11" t="s">
        <v>28</v>
      </c>
      <c r="F9084" s="10">
        <v>5.14</v>
      </c>
      <c r="G9084" s="10">
        <v>3.6</v>
      </c>
      <c r="H9084" s="10">
        <v>5.14</v>
      </c>
      <c r="I9084" s="11" t="s">
        <v>28</v>
      </c>
      <c r="J9084" s="11" t="s">
        <v>28</v>
      </c>
      <c r="K9084" s="11" t="s">
        <v>28</v>
      </c>
      <c r="L9084" s="11" t="s">
        <v>28</v>
      </c>
      <c r="M9084" s="11" t="s">
        <v>28</v>
      </c>
      <c r="N9084" s="8">
        <v>42583</v>
      </c>
      <c r="O9084" s="9" t="s">
        <v>30</v>
      </c>
      <c r="P9084" s="12" t="s">
        <v>26039</v>
      </c>
      <c r="Q9084" s="9" t="s">
        <v>616</v>
      </c>
      <c r="R9084" s="14" t="str">
        <f>HYPERLINK("https://my.pitchbook.com?c=69010-12T","View Company Online")</f>
        <v>View Company Online</v>
      </c>
    </row>
    <row r="9085" spans="1:18" hidden="1" x14ac:dyDescent="0.3">
      <c r="A9085" s="15" t="s">
        <v>26040</v>
      </c>
      <c r="B9085" s="15" t="s">
        <v>24010</v>
      </c>
      <c r="C9085" s="18" t="s">
        <v>28</v>
      </c>
      <c r="D9085" s="15" t="s">
        <v>24011</v>
      </c>
      <c r="E9085" s="18" t="s">
        <v>28</v>
      </c>
      <c r="F9085" s="19" t="s">
        <v>28</v>
      </c>
      <c r="G9085" s="19" t="s">
        <v>28</v>
      </c>
      <c r="H9085" s="19" t="s">
        <v>28</v>
      </c>
      <c r="I9085" s="18" t="s">
        <v>28</v>
      </c>
      <c r="J9085" s="18" t="s">
        <v>28</v>
      </c>
      <c r="K9085" s="18" t="s">
        <v>28</v>
      </c>
      <c r="L9085" s="18" t="s">
        <v>28</v>
      </c>
      <c r="M9085" s="18" t="s">
        <v>28</v>
      </c>
      <c r="N9085" s="17">
        <v>42583</v>
      </c>
      <c r="O9085" s="15" t="s">
        <v>52</v>
      </c>
      <c r="P9085" s="16" t="s">
        <v>26041</v>
      </c>
      <c r="Q9085" s="15" t="s">
        <v>37</v>
      </c>
      <c r="R9085" s="13" t="str">
        <f>HYPERLINK("https://my.pitchbook.com?c=125618-23T","View Company Online")</f>
        <v>View Company Online</v>
      </c>
    </row>
    <row r="9086" spans="1:18" hidden="1" x14ac:dyDescent="0.3">
      <c r="A9086" s="9" t="s">
        <v>26042</v>
      </c>
      <c r="B9086" s="9" t="s">
        <v>15575</v>
      </c>
      <c r="C9086" s="11" t="s">
        <v>28</v>
      </c>
      <c r="D9086" s="9" t="s">
        <v>15576</v>
      </c>
      <c r="E9086" s="11" t="s">
        <v>28</v>
      </c>
      <c r="F9086" s="10" t="s">
        <v>28</v>
      </c>
      <c r="G9086" s="10" t="s">
        <v>28</v>
      </c>
      <c r="H9086" s="10" t="s">
        <v>28</v>
      </c>
      <c r="I9086" s="11" t="s">
        <v>28</v>
      </c>
      <c r="J9086" s="11" t="s">
        <v>28</v>
      </c>
      <c r="K9086" s="11" t="s">
        <v>28</v>
      </c>
      <c r="L9086" s="11" t="s">
        <v>28</v>
      </c>
      <c r="M9086" s="11" t="s">
        <v>28</v>
      </c>
      <c r="N9086" s="8">
        <v>42583</v>
      </c>
      <c r="O9086" s="9" t="s">
        <v>52</v>
      </c>
      <c r="P9086" s="12" t="s">
        <v>2442</v>
      </c>
      <c r="Q9086" s="9" t="s">
        <v>37</v>
      </c>
      <c r="R9086" s="14" t="str">
        <f>HYPERLINK("https://my.pitchbook.com?c=109751-05T","View Company Online")</f>
        <v>View Company Online</v>
      </c>
    </row>
    <row r="9087" spans="1:18" hidden="1" x14ac:dyDescent="0.3">
      <c r="A9087" s="15" t="s">
        <v>26043</v>
      </c>
      <c r="B9087" s="15" t="s">
        <v>14899</v>
      </c>
      <c r="C9087" s="18" t="s">
        <v>28</v>
      </c>
      <c r="D9087" s="15" t="s">
        <v>14900</v>
      </c>
      <c r="E9087" s="18" t="s">
        <v>28</v>
      </c>
      <c r="F9087" s="19" t="s">
        <v>28</v>
      </c>
      <c r="G9087" s="19" t="s">
        <v>28</v>
      </c>
      <c r="H9087" s="19" t="s">
        <v>28</v>
      </c>
      <c r="I9087" s="18" t="s">
        <v>28</v>
      </c>
      <c r="J9087" s="18" t="s">
        <v>28</v>
      </c>
      <c r="K9087" s="18" t="s">
        <v>28</v>
      </c>
      <c r="L9087" s="18" t="s">
        <v>28</v>
      </c>
      <c r="M9087" s="18" t="s">
        <v>28</v>
      </c>
      <c r="N9087" s="17">
        <v>42583</v>
      </c>
      <c r="O9087" s="15" t="s">
        <v>73</v>
      </c>
      <c r="P9087" s="16" t="s">
        <v>26044</v>
      </c>
      <c r="Q9087" s="15" t="s">
        <v>245</v>
      </c>
      <c r="R9087" s="13" t="str">
        <f>HYPERLINK("https://my.pitchbook.com?c=102472-12T","View Company Online")</f>
        <v>View Company Online</v>
      </c>
    </row>
    <row r="9088" spans="1:18" hidden="1" x14ac:dyDescent="0.3">
      <c r="A9088" s="9" t="s">
        <v>26045</v>
      </c>
      <c r="B9088" s="9" t="s">
        <v>16901</v>
      </c>
      <c r="C9088" s="11" t="s">
        <v>28</v>
      </c>
      <c r="D9088" s="9" t="s">
        <v>16902</v>
      </c>
      <c r="E9088" s="11" t="s">
        <v>28</v>
      </c>
      <c r="F9088" s="10" t="s">
        <v>28</v>
      </c>
      <c r="G9088" s="10">
        <v>0.61</v>
      </c>
      <c r="H9088" s="10" t="s">
        <v>28</v>
      </c>
      <c r="I9088" s="11" t="s">
        <v>28</v>
      </c>
      <c r="J9088" s="11" t="s">
        <v>28</v>
      </c>
      <c r="K9088" s="11" t="s">
        <v>28</v>
      </c>
      <c r="L9088" s="11" t="s">
        <v>28</v>
      </c>
      <c r="M9088" s="11" t="s">
        <v>28</v>
      </c>
      <c r="N9088" s="8">
        <v>42583</v>
      </c>
      <c r="O9088" s="9" t="s">
        <v>73</v>
      </c>
      <c r="P9088" s="12" t="s">
        <v>26046</v>
      </c>
      <c r="Q9088" s="9" t="s">
        <v>386</v>
      </c>
      <c r="R9088" s="14" t="str">
        <f>HYPERLINK("https://my.pitchbook.com?c=133476-22T","View Company Online")</f>
        <v>View Company Online</v>
      </c>
    </row>
    <row r="9089" spans="1:18" hidden="1" x14ac:dyDescent="0.3">
      <c r="A9089" s="15" t="s">
        <v>26047</v>
      </c>
      <c r="B9089" s="15" t="s">
        <v>20908</v>
      </c>
      <c r="C9089" s="18" t="s">
        <v>28</v>
      </c>
      <c r="D9089" s="15" t="s">
        <v>20909</v>
      </c>
      <c r="E9089" s="18" t="s">
        <v>28</v>
      </c>
      <c r="F9089" s="19" t="s">
        <v>28</v>
      </c>
      <c r="G9089" s="19" t="s">
        <v>28</v>
      </c>
      <c r="H9089" s="19" t="s">
        <v>28</v>
      </c>
      <c r="I9089" s="18" t="s">
        <v>28</v>
      </c>
      <c r="J9089" s="18" t="s">
        <v>28</v>
      </c>
      <c r="K9089" s="18" t="s">
        <v>28</v>
      </c>
      <c r="L9089" s="18" t="s">
        <v>28</v>
      </c>
      <c r="M9089" s="18" t="s">
        <v>28</v>
      </c>
      <c r="N9089" s="17">
        <v>42583</v>
      </c>
      <c r="O9089" s="15" t="s">
        <v>52</v>
      </c>
      <c r="P9089" s="16" t="s">
        <v>21216</v>
      </c>
      <c r="Q9089" s="15" t="s">
        <v>249</v>
      </c>
      <c r="R9089" s="13" t="str">
        <f>HYPERLINK("https://my.pitchbook.com?c=256456-54T","View Company Online")</f>
        <v>View Company Online</v>
      </c>
    </row>
    <row r="9090" spans="1:18" hidden="1" x14ac:dyDescent="0.3">
      <c r="A9090" s="9" t="s">
        <v>26048</v>
      </c>
      <c r="B9090" s="9" t="s">
        <v>8839</v>
      </c>
      <c r="C9090" s="11" t="s">
        <v>28</v>
      </c>
      <c r="D9090" s="9" t="s">
        <v>8840</v>
      </c>
      <c r="E9090" s="11" t="s">
        <v>28</v>
      </c>
      <c r="F9090" s="10" t="s">
        <v>28</v>
      </c>
      <c r="G9090" s="10" t="s">
        <v>28</v>
      </c>
      <c r="H9090" s="10" t="s">
        <v>28</v>
      </c>
      <c r="I9090" s="11" t="s">
        <v>28</v>
      </c>
      <c r="J9090" s="11" t="s">
        <v>28</v>
      </c>
      <c r="K9090" s="11" t="s">
        <v>28</v>
      </c>
      <c r="L9090" s="11" t="s">
        <v>28</v>
      </c>
      <c r="M9090" s="11" t="s">
        <v>28</v>
      </c>
      <c r="N9090" s="8">
        <v>42583</v>
      </c>
      <c r="O9090" s="9" t="s">
        <v>79</v>
      </c>
      <c r="P9090" s="12" t="s">
        <v>26049</v>
      </c>
      <c r="Q9090" s="9" t="s">
        <v>386</v>
      </c>
      <c r="R9090" s="14" t="str">
        <f>HYPERLINK("https://my.pitchbook.com?c=80844-85T","View Company Online")</f>
        <v>View Company Online</v>
      </c>
    </row>
    <row r="9091" spans="1:18" hidden="1" x14ac:dyDescent="0.3">
      <c r="A9091" s="15" t="s">
        <v>26050</v>
      </c>
      <c r="B9091" s="15" t="s">
        <v>21074</v>
      </c>
      <c r="C9091" s="18" t="s">
        <v>28</v>
      </c>
      <c r="D9091" s="15" t="s">
        <v>21075</v>
      </c>
      <c r="E9091" s="18" t="s">
        <v>28</v>
      </c>
      <c r="F9091" s="19" t="s">
        <v>28</v>
      </c>
      <c r="G9091" s="19">
        <v>0.04</v>
      </c>
      <c r="H9091" s="19" t="s">
        <v>28</v>
      </c>
      <c r="I9091" s="18" t="s">
        <v>28</v>
      </c>
      <c r="J9091" s="18" t="s">
        <v>28</v>
      </c>
      <c r="K9091" s="18" t="s">
        <v>28</v>
      </c>
      <c r="L9091" s="18" t="s">
        <v>28</v>
      </c>
      <c r="M9091" s="18" t="s">
        <v>28</v>
      </c>
      <c r="N9091" s="17">
        <v>42583</v>
      </c>
      <c r="O9091" s="15" t="s">
        <v>99</v>
      </c>
      <c r="P9091" s="16" t="s">
        <v>28</v>
      </c>
      <c r="Q9091" s="15" t="s">
        <v>119</v>
      </c>
      <c r="R9091" s="13" t="str">
        <f>HYPERLINK("https://my.pitchbook.com?c=126024-76T","View Company Online")</f>
        <v>View Company Online</v>
      </c>
    </row>
    <row r="9092" spans="1:18" hidden="1" x14ac:dyDescent="0.3">
      <c r="A9092" s="9" t="s">
        <v>26051</v>
      </c>
      <c r="B9092" s="9" t="s">
        <v>25008</v>
      </c>
      <c r="C9092" s="11" t="s">
        <v>28</v>
      </c>
      <c r="D9092" s="9" t="s">
        <v>25009</v>
      </c>
      <c r="E9092" s="11" t="s">
        <v>28</v>
      </c>
      <c r="F9092" s="10" t="s">
        <v>28</v>
      </c>
      <c r="G9092" s="10" t="s">
        <v>28</v>
      </c>
      <c r="H9092" s="10" t="s">
        <v>28</v>
      </c>
      <c r="I9092" s="11" t="s">
        <v>28</v>
      </c>
      <c r="J9092" s="11" t="s">
        <v>28</v>
      </c>
      <c r="K9092" s="11" t="s">
        <v>28</v>
      </c>
      <c r="L9092" s="11" t="s">
        <v>28</v>
      </c>
      <c r="M9092" s="11" t="s">
        <v>28</v>
      </c>
      <c r="N9092" s="8">
        <v>42583</v>
      </c>
      <c r="O9092" s="9" t="s">
        <v>73</v>
      </c>
      <c r="P9092" s="12" t="s">
        <v>20022</v>
      </c>
      <c r="Q9092" s="9" t="s">
        <v>95</v>
      </c>
      <c r="R9092" s="14" t="str">
        <f>HYPERLINK("https://my.pitchbook.com?c=111403-18T","View Company Online")</f>
        <v>View Company Online</v>
      </c>
    </row>
    <row r="9093" spans="1:18" hidden="1" x14ac:dyDescent="0.3">
      <c r="A9093" s="15" t="s">
        <v>26052</v>
      </c>
      <c r="B9093" s="15" t="s">
        <v>26053</v>
      </c>
      <c r="C9093" s="18" t="s">
        <v>28</v>
      </c>
      <c r="D9093" s="15" t="s">
        <v>26054</v>
      </c>
      <c r="E9093" s="18" t="s">
        <v>28</v>
      </c>
      <c r="F9093" s="19" t="s">
        <v>28</v>
      </c>
      <c r="G9093" s="19">
        <v>0.04</v>
      </c>
      <c r="H9093" s="19" t="s">
        <v>28</v>
      </c>
      <c r="I9093" s="18" t="s">
        <v>28</v>
      </c>
      <c r="J9093" s="18" t="s">
        <v>28</v>
      </c>
      <c r="K9093" s="18" t="s">
        <v>28</v>
      </c>
      <c r="L9093" s="18" t="s">
        <v>28</v>
      </c>
      <c r="M9093" s="18" t="s">
        <v>28</v>
      </c>
      <c r="N9093" s="17">
        <v>42580</v>
      </c>
      <c r="O9093" s="15" t="s">
        <v>52</v>
      </c>
      <c r="P9093" s="16" t="s">
        <v>24495</v>
      </c>
      <c r="Q9093" s="15" t="s">
        <v>3912</v>
      </c>
      <c r="R9093" s="13" t="str">
        <f>HYPERLINK("https://my.pitchbook.com?c=84766-33T","View Company Online")</f>
        <v>View Company Online</v>
      </c>
    </row>
    <row r="9094" spans="1:18" hidden="1" x14ac:dyDescent="0.3">
      <c r="A9094" s="9" t="s">
        <v>26055</v>
      </c>
      <c r="B9094" s="9" t="s">
        <v>26056</v>
      </c>
      <c r="C9094" s="11" t="s">
        <v>28</v>
      </c>
      <c r="D9094" s="9" t="s">
        <v>26057</v>
      </c>
      <c r="E9094" s="11" t="s">
        <v>28</v>
      </c>
      <c r="F9094" s="10" t="s">
        <v>28</v>
      </c>
      <c r="G9094" s="10">
        <v>0.08</v>
      </c>
      <c r="H9094" s="10" t="s">
        <v>28</v>
      </c>
      <c r="I9094" s="11" t="s">
        <v>28</v>
      </c>
      <c r="J9094" s="11" t="s">
        <v>28</v>
      </c>
      <c r="K9094" s="11" t="s">
        <v>28</v>
      </c>
      <c r="L9094" s="11" t="s">
        <v>28</v>
      </c>
      <c r="M9094" s="11" t="s">
        <v>28</v>
      </c>
      <c r="N9094" s="8">
        <v>42580</v>
      </c>
      <c r="O9094" s="9" t="s">
        <v>52</v>
      </c>
      <c r="P9094" s="12" t="s">
        <v>26058</v>
      </c>
      <c r="Q9094" s="9" t="s">
        <v>855</v>
      </c>
      <c r="R9094" s="14" t="str">
        <f>HYPERLINK("https://my.pitchbook.com?c=84787-21T","View Company Online")</f>
        <v>View Company Online</v>
      </c>
    </row>
    <row r="9095" spans="1:18" hidden="1" x14ac:dyDescent="0.3">
      <c r="A9095" s="15" t="s">
        <v>26059</v>
      </c>
      <c r="B9095" s="15" t="s">
        <v>19012</v>
      </c>
      <c r="C9095" s="18" t="s">
        <v>28</v>
      </c>
      <c r="D9095" s="15" t="s">
        <v>19013</v>
      </c>
      <c r="E9095" s="18" t="s">
        <v>28</v>
      </c>
      <c r="F9095" s="19">
        <v>0.02</v>
      </c>
      <c r="G9095" s="19">
        <v>0.01</v>
      </c>
      <c r="H9095" s="19">
        <v>0.02</v>
      </c>
      <c r="I9095" s="18" t="s">
        <v>28</v>
      </c>
      <c r="J9095" s="18" t="s">
        <v>28</v>
      </c>
      <c r="K9095" s="18" t="s">
        <v>28</v>
      </c>
      <c r="L9095" s="18" t="s">
        <v>28</v>
      </c>
      <c r="M9095" s="18" t="s">
        <v>28</v>
      </c>
      <c r="N9095" s="17">
        <v>42580</v>
      </c>
      <c r="O9095" s="15" t="s">
        <v>30</v>
      </c>
      <c r="P9095" s="16" t="s">
        <v>21468</v>
      </c>
      <c r="Q9095" s="15" t="s">
        <v>109</v>
      </c>
      <c r="R9095" s="13" t="str">
        <f>HYPERLINK("https://my.pitchbook.com?c=69825-25T","View Company Online")</f>
        <v>View Company Online</v>
      </c>
    </row>
    <row r="9096" spans="1:18" hidden="1" x14ac:dyDescent="0.3">
      <c r="A9096" s="9" t="s">
        <v>26060</v>
      </c>
      <c r="B9096" s="9" t="s">
        <v>26061</v>
      </c>
      <c r="C9096" s="11" t="s">
        <v>28</v>
      </c>
      <c r="D9096" s="9" t="s">
        <v>26062</v>
      </c>
      <c r="E9096" s="11" t="s">
        <v>28</v>
      </c>
      <c r="F9096" s="10" t="s">
        <v>28</v>
      </c>
      <c r="G9096" s="10" t="s">
        <v>28</v>
      </c>
      <c r="H9096" s="10" t="s">
        <v>28</v>
      </c>
      <c r="I9096" s="11" t="s">
        <v>28</v>
      </c>
      <c r="J9096" s="11" t="s">
        <v>28</v>
      </c>
      <c r="K9096" s="11" t="s">
        <v>28</v>
      </c>
      <c r="L9096" s="11" t="s">
        <v>28</v>
      </c>
      <c r="M9096" s="11" t="s">
        <v>28</v>
      </c>
      <c r="N9096" s="8">
        <v>42579</v>
      </c>
      <c r="O9096" s="9" t="s">
        <v>30</v>
      </c>
      <c r="P9096" s="12" t="s">
        <v>26063</v>
      </c>
      <c r="Q9096" s="9" t="s">
        <v>285</v>
      </c>
      <c r="R9096" s="14" t="str">
        <f>HYPERLINK("https://my.pitchbook.com?c=92526-31T","View Company Online")</f>
        <v>View Company Online</v>
      </c>
    </row>
    <row r="9097" spans="1:18" hidden="1" x14ac:dyDescent="0.3">
      <c r="A9097" s="15" t="s">
        <v>26064</v>
      </c>
      <c r="B9097" s="15" t="s">
        <v>26065</v>
      </c>
      <c r="C9097" s="18" t="s">
        <v>28</v>
      </c>
      <c r="D9097" s="15" t="s">
        <v>26066</v>
      </c>
      <c r="E9097" s="18" t="s">
        <v>28</v>
      </c>
      <c r="F9097" s="19" t="s">
        <v>28</v>
      </c>
      <c r="G9097" s="19" t="s">
        <v>28</v>
      </c>
      <c r="H9097" s="19" t="s">
        <v>28</v>
      </c>
      <c r="I9097" s="18" t="s">
        <v>28</v>
      </c>
      <c r="J9097" s="18" t="s">
        <v>28</v>
      </c>
      <c r="K9097" s="18" t="s">
        <v>28</v>
      </c>
      <c r="L9097" s="18" t="s">
        <v>28</v>
      </c>
      <c r="M9097" s="18" t="s">
        <v>28</v>
      </c>
      <c r="N9097" s="17">
        <v>42579</v>
      </c>
      <c r="O9097" s="15" t="s">
        <v>30</v>
      </c>
      <c r="P9097" s="16" t="s">
        <v>19478</v>
      </c>
      <c r="Q9097" s="15" t="s">
        <v>399</v>
      </c>
      <c r="R9097" s="13" t="str">
        <f>HYPERLINK("https://my.pitchbook.com?c=111044-26T","View Company Online")</f>
        <v>View Company Online</v>
      </c>
    </row>
    <row r="9098" spans="1:18" hidden="1" x14ac:dyDescent="0.3">
      <c r="A9098" s="9" t="s">
        <v>26067</v>
      </c>
      <c r="B9098" s="9" t="s">
        <v>13944</v>
      </c>
      <c r="C9098" s="11" t="s">
        <v>28</v>
      </c>
      <c r="D9098" s="9" t="s">
        <v>13945</v>
      </c>
      <c r="E9098" s="11" t="s">
        <v>28</v>
      </c>
      <c r="F9098" s="10" t="s">
        <v>28</v>
      </c>
      <c r="G9098" s="10">
        <v>0.06</v>
      </c>
      <c r="H9098" s="10" t="s">
        <v>28</v>
      </c>
      <c r="I9098" s="11" t="s">
        <v>28</v>
      </c>
      <c r="J9098" s="11" t="s">
        <v>28</v>
      </c>
      <c r="K9098" s="11" t="s">
        <v>28</v>
      </c>
      <c r="L9098" s="11" t="s">
        <v>28</v>
      </c>
      <c r="M9098" s="11" t="s">
        <v>28</v>
      </c>
      <c r="N9098" s="8">
        <v>42579</v>
      </c>
      <c r="O9098" s="9" t="s">
        <v>99</v>
      </c>
      <c r="P9098" s="12" t="s">
        <v>28</v>
      </c>
      <c r="Q9098" s="9" t="s">
        <v>75</v>
      </c>
      <c r="R9098" s="14" t="str">
        <f>HYPERLINK("https://my.pitchbook.com?c=74202-31T","View Company Online")</f>
        <v>View Company Online</v>
      </c>
    </row>
    <row r="9099" spans="1:18" hidden="1" x14ac:dyDescent="0.3">
      <c r="A9099" s="15" t="s">
        <v>26068</v>
      </c>
      <c r="B9099" s="15" t="s">
        <v>26069</v>
      </c>
      <c r="C9099" s="18" t="s">
        <v>28</v>
      </c>
      <c r="D9099" s="15" t="s">
        <v>26070</v>
      </c>
      <c r="E9099" s="18" t="s">
        <v>28</v>
      </c>
      <c r="F9099" s="19">
        <v>1.21</v>
      </c>
      <c r="G9099" s="19">
        <v>1.21</v>
      </c>
      <c r="H9099" s="19">
        <v>1.21</v>
      </c>
      <c r="I9099" s="18" t="s">
        <v>28</v>
      </c>
      <c r="J9099" s="18" t="s">
        <v>28</v>
      </c>
      <c r="K9099" s="18" t="s">
        <v>28</v>
      </c>
      <c r="L9099" s="18" t="s">
        <v>28</v>
      </c>
      <c r="M9099" s="18" t="s">
        <v>28</v>
      </c>
      <c r="N9099" s="17">
        <v>42578</v>
      </c>
      <c r="O9099" s="15" t="s">
        <v>30</v>
      </c>
      <c r="P9099" s="16" t="s">
        <v>26071</v>
      </c>
      <c r="Q9099" s="15" t="s">
        <v>240</v>
      </c>
      <c r="R9099" s="13" t="str">
        <f>HYPERLINK("https://my.pitchbook.com?c=73581-94T","View Company Online")</f>
        <v>View Company Online</v>
      </c>
    </row>
    <row r="9100" spans="1:18" hidden="1" x14ac:dyDescent="0.3">
      <c r="A9100" s="9" t="s">
        <v>26072</v>
      </c>
      <c r="B9100" s="9" t="s">
        <v>20217</v>
      </c>
      <c r="C9100" s="11" t="s">
        <v>28</v>
      </c>
      <c r="D9100" s="9" t="s">
        <v>20218</v>
      </c>
      <c r="E9100" s="11" t="s">
        <v>28</v>
      </c>
      <c r="F9100" s="10" t="s">
        <v>28</v>
      </c>
      <c r="G9100" s="10">
        <v>184</v>
      </c>
      <c r="H9100" s="10" t="s">
        <v>28</v>
      </c>
      <c r="I9100" s="11" t="s">
        <v>28</v>
      </c>
      <c r="J9100" s="11" t="s">
        <v>28</v>
      </c>
      <c r="K9100" s="11" t="s">
        <v>28</v>
      </c>
      <c r="L9100" s="11" t="s">
        <v>28</v>
      </c>
      <c r="M9100" s="11" t="s">
        <v>28</v>
      </c>
      <c r="N9100" s="8">
        <v>42576</v>
      </c>
      <c r="O9100" s="9" t="s">
        <v>93</v>
      </c>
      <c r="P9100" s="12" t="s">
        <v>13094</v>
      </c>
      <c r="Q9100" s="9" t="s">
        <v>95</v>
      </c>
      <c r="R9100" s="14" t="str">
        <f>HYPERLINK("https://my.pitchbook.com?c=73259-11T","View Company Online")</f>
        <v>View Company Online</v>
      </c>
    </row>
    <row r="9101" spans="1:18" hidden="1" x14ac:dyDescent="0.3">
      <c r="A9101" s="15" t="s">
        <v>26073</v>
      </c>
      <c r="B9101" s="15" t="s">
        <v>26074</v>
      </c>
      <c r="C9101" s="18" t="s">
        <v>28</v>
      </c>
      <c r="D9101" s="15" t="s">
        <v>26075</v>
      </c>
      <c r="E9101" s="18" t="s">
        <v>28</v>
      </c>
      <c r="F9101" s="19" t="s">
        <v>28</v>
      </c>
      <c r="G9101" s="19" t="s">
        <v>28</v>
      </c>
      <c r="H9101" s="19" t="s">
        <v>28</v>
      </c>
      <c r="I9101" s="18" t="s">
        <v>28</v>
      </c>
      <c r="J9101" s="18" t="s">
        <v>28</v>
      </c>
      <c r="K9101" s="18" t="s">
        <v>28</v>
      </c>
      <c r="L9101" s="18" t="s">
        <v>28</v>
      </c>
      <c r="M9101" s="18" t="s">
        <v>28</v>
      </c>
      <c r="N9101" s="17">
        <v>42576</v>
      </c>
      <c r="O9101" s="15" t="s">
        <v>30</v>
      </c>
      <c r="P9101" s="16" t="s">
        <v>26076</v>
      </c>
      <c r="Q9101" s="15" t="s">
        <v>240</v>
      </c>
      <c r="R9101" s="13" t="str">
        <f>HYPERLINK("https://my.pitchbook.com?c=96890-41T","View Company Online")</f>
        <v>View Company Online</v>
      </c>
    </row>
    <row r="9102" spans="1:18" hidden="1" x14ac:dyDescent="0.3">
      <c r="A9102" s="9" t="s">
        <v>26077</v>
      </c>
      <c r="B9102" s="9" t="s">
        <v>24240</v>
      </c>
      <c r="C9102" s="11" t="s">
        <v>28</v>
      </c>
      <c r="D9102" s="9" t="s">
        <v>24241</v>
      </c>
      <c r="E9102" s="11" t="s">
        <v>28</v>
      </c>
      <c r="F9102" s="10">
        <v>1200</v>
      </c>
      <c r="G9102" s="10">
        <v>600</v>
      </c>
      <c r="H9102" s="10">
        <v>1200</v>
      </c>
      <c r="I9102" s="11" t="s">
        <v>28</v>
      </c>
      <c r="J9102" s="11" t="s">
        <v>28</v>
      </c>
      <c r="K9102" s="11" t="s">
        <v>28</v>
      </c>
      <c r="L9102" s="11" t="s">
        <v>28</v>
      </c>
      <c r="M9102" s="11" t="s">
        <v>28</v>
      </c>
      <c r="N9102" s="8">
        <v>42576</v>
      </c>
      <c r="O9102" s="9" t="s">
        <v>30</v>
      </c>
      <c r="P9102" s="12" t="s">
        <v>28</v>
      </c>
      <c r="Q9102" s="9" t="s">
        <v>24243</v>
      </c>
      <c r="R9102" s="14" t="str">
        <f>HYPERLINK("https://my.pitchbook.com?c=73215-28T","View Company Online")</f>
        <v>View Company Online</v>
      </c>
    </row>
    <row r="9103" spans="1:18" hidden="1" x14ac:dyDescent="0.3">
      <c r="A9103" s="15" t="s">
        <v>26078</v>
      </c>
      <c r="B9103" s="15" t="s">
        <v>22933</v>
      </c>
      <c r="C9103" s="18" t="s">
        <v>28</v>
      </c>
      <c r="D9103" s="15" t="s">
        <v>22934</v>
      </c>
      <c r="E9103" s="18" t="s">
        <v>28</v>
      </c>
      <c r="F9103" s="19" t="s">
        <v>28</v>
      </c>
      <c r="G9103" s="19" t="s">
        <v>28</v>
      </c>
      <c r="H9103" s="19" t="s">
        <v>28</v>
      </c>
      <c r="I9103" s="18" t="s">
        <v>28</v>
      </c>
      <c r="J9103" s="18" t="s">
        <v>28</v>
      </c>
      <c r="K9103" s="18" t="s">
        <v>28</v>
      </c>
      <c r="L9103" s="18" t="s">
        <v>28</v>
      </c>
      <c r="M9103" s="18" t="s">
        <v>28</v>
      </c>
      <c r="N9103" s="17">
        <v>42576</v>
      </c>
      <c r="O9103" s="15" t="s">
        <v>52</v>
      </c>
      <c r="P9103" s="16" t="s">
        <v>1970</v>
      </c>
      <c r="Q9103" s="15" t="s">
        <v>75</v>
      </c>
      <c r="R9103" s="13" t="str">
        <f>HYPERLINK("https://my.pitchbook.com?c=125340-31T","View Company Online")</f>
        <v>View Company Online</v>
      </c>
    </row>
    <row r="9104" spans="1:18" hidden="1" x14ac:dyDescent="0.3">
      <c r="A9104" s="9" t="s">
        <v>26079</v>
      </c>
      <c r="B9104" s="9" t="s">
        <v>26080</v>
      </c>
      <c r="C9104" s="11" t="s">
        <v>28</v>
      </c>
      <c r="D9104" s="9" t="s">
        <v>26081</v>
      </c>
      <c r="E9104" s="11" t="s">
        <v>28</v>
      </c>
      <c r="F9104" s="10" t="s">
        <v>28</v>
      </c>
      <c r="G9104" s="10">
        <v>0.3</v>
      </c>
      <c r="H9104" s="10" t="s">
        <v>28</v>
      </c>
      <c r="I9104" s="11" t="s">
        <v>28</v>
      </c>
      <c r="J9104" s="11" t="s">
        <v>28</v>
      </c>
      <c r="K9104" s="11" t="s">
        <v>28</v>
      </c>
      <c r="L9104" s="11" t="s">
        <v>28</v>
      </c>
      <c r="M9104" s="11" t="s">
        <v>28</v>
      </c>
      <c r="N9104" s="8">
        <v>42573</v>
      </c>
      <c r="O9104" s="9" t="s">
        <v>99</v>
      </c>
      <c r="P9104" s="12" t="s">
        <v>28</v>
      </c>
      <c r="Q9104" s="9" t="s">
        <v>75</v>
      </c>
      <c r="R9104" s="14" t="str">
        <f>HYPERLINK("https://my.pitchbook.com?c=78579-46T","View Company Online")</f>
        <v>View Company Online</v>
      </c>
    </row>
    <row r="9105" spans="1:18" hidden="1" x14ac:dyDescent="0.3">
      <c r="A9105" s="15" t="s">
        <v>26082</v>
      </c>
      <c r="B9105" s="15" t="s">
        <v>26083</v>
      </c>
      <c r="C9105" s="18" t="s">
        <v>28</v>
      </c>
      <c r="D9105" s="15" t="s">
        <v>26084</v>
      </c>
      <c r="E9105" s="18">
        <v>-1.1100000000000001</v>
      </c>
      <c r="F9105" s="19" t="s">
        <v>28</v>
      </c>
      <c r="G9105" s="19" t="s">
        <v>28</v>
      </c>
      <c r="H9105" s="19" t="s">
        <v>28</v>
      </c>
      <c r="I9105" s="18">
        <v>-1.1100000000000001</v>
      </c>
      <c r="J9105" s="18" t="s">
        <v>28</v>
      </c>
      <c r="K9105" s="18">
        <v>0</v>
      </c>
      <c r="L9105" s="18" t="s">
        <v>28</v>
      </c>
      <c r="M9105" s="18">
        <v>-0.94</v>
      </c>
      <c r="N9105" s="17">
        <v>42571</v>
      </c>
      <c r="O9105" s="15" t="s">
        <v>30</v>
      </c>
      <c r="P9105" s="16" t="s">
        <v>28</v>
      </c>
      <c r="Q9105" s="15" t="s">
        <v>13053</v>
      </c>
      <c r="R9105" s="13" t="str">
        <f>HYPERLINK("https://my.pitchbook.com?c=71606-17T","View Company Online")</f>
        <v>View Company Online</v>
      </c>
    </row>
    <row r="9106" spans="1:18" hidden="1" x14ac:dyDescent="0.3">
      <c r="A9106" s="9" t="s">
        <v>26085</v>
      </c>
      <c r="B9106" s="9" t="s">
        <v>26086</v>
      </c>
      <c r="C9106" s="11" t="s">
        <v>28</v>
      </c>
      <c r="D9106" s="9" t="s">
        <v>26087</v>
      </c>
      <c r="E9106" s="11" t="s">
        <v>28</v>
      </c>
      <c r="F9106" s="10" t="s">
        <v>28</v>
      </c>
      <c r="G9106" s="10" t="s">
        <v>28</v>
      </c>
      <c r="H9106" s="10" t="s">
        <v>28</v>
      </c>
      <c r="I9106" s="11" t="s">
        <v>28</v>
      </c>
      <c r="J9106" s="11" t="s">
        <v>28</v>
      </c>
      <c r="K9106" s="11" t="s">
        <v>28</v>
      </c>
      <c r="L9106" s="11" t="s">
        <v>28</v>
      </c>
      <c r="M9106" s="11" t="s">
        <v>28</v>
      </c>
      <c r="N9106" s="8">
        <v>42571</v>
      </c>
      <c r="O9106" s="9" t="s">
        <v>974</v>
      </c>
      <c r="P9106" s="12" t="s">
        <v>28</v>
      </c>
      <c r="Q9106" s="9" t="s">
        <v>409</v>
      </c>
      <c r="R9106" s="14" t="str">
        <f>HYPERLINK("https://my.pitchbook.com?c=56355-49T","View Company Online")</f>
        <v>View Company Online</v>
      </c>
    </row>
    <row r="9107" spans="1:18" hidden="1" x14ac:dyDescent="0.3">
      <c r="A9107" s="15" t="s">
        <v>26088</v>
      </c>
      <c r="B9107" s="15" t="s">
        <v>22084</v>
      </c>
      <c r="C9107" s="18" t="s">
        <v>28</v>
      </c>
      <c r="D9107" s="15" t="s">
        <v>22085</v>
      </c>
      <c r="E9107" s="18" t="s">
        <v>28</v>
      </c>
      <c r="F9107" s="19" t="s">
        <v>28</v>
      </c>
      <c r="G9107" s="19">
        <v>30</v>
      </c>
      <c r="H9107" s="19" t="s">
        <v>28</v>
      </c>
      <c r="I9107" s="18" t="s">
        <v>28</v>
      </c>
      <c r="J9107" s="18" t="s">
        <v>28</v>
      </c>
      <c r="K9107" s="18">
        <v>38.909999999999997</v>
      </c>
      <c r="L9107" s="18" t="s">
        <v>28</v>
      </c>
      <c r="M9107" s="18" t="s">
        <v>28</v>
      </c>
      <c r="N9107" s="17">
        <v>42571</v>
      </c>
      <c r="O9107" s="15" t="s">
        <v>79</v>
      </c>
      <c r="P9107" s="16" t="s">
        <v>26089</v>
      </c>
      <c r="Q9107" s="15" t="s">
        <v>566</v>
      </c>
      <c r="R9107" s="13" t="str">
        <f>HYPERLINK("https://my.pitchbook.com?c=73178-83T","View Company Online")</f>
        <v>View Company Online</v>
      </c>
    </row>
    <row r="9108" spans="1:18" hidden="1" x14ac:dyDescent="0.3">
      <c r="A9108" s="9" t="s">
        <v>26090</v>
      </c>
      <c r="B9108" s="9" t="s">
        <v>14320</v>
      </c>
      <c r="C9108" s="11" t="s">
        <v>28</v>
      </c>
      <c r="D9108" s="9" t="s">
        <v>17920</v>
      </c>
      <c r="E9108" s="11">
        <v>96.98</v>
      </c>
      <c r="F9108" s="10" t="s">
        <v>28</v>
      </c>
      <c r="G9108" s="10" t="s">
        <v>28</v>
      </c>
      <c r="H9108" s="10" t="s">
        <v>28</v>
      </c>
      <c r="I9108" s="11">
        <v>157.4</v>
      </c>
      <c r="J9108" s="11" t="s">
        <v>28</v>
      </c>
      <c r="K9108" s="11">
        <v>499.96</v>
      </c>
      <c r="L9108" s="11" t="s">
        <v>28</v>
      </c>
      <c r="M9108" s="11">
        <v>102.35</v>
      </c>
      <c r="N9108" s="8">
        <v>42571</v>
      </c>
      <c r="O9108" s="9" t="s">
        <v>41</v>
      </c>
      <c r="P9108" s="12" t="s">
        <v>26091</v>
      </c>
      <c r="Q9108" s="9" t="s">
        <v>188</v>
      </c>
      <c r="R9108" s="14" t="str">
        <f>HYPERLINK("https://my.pitchbook.com?c=73962-19T","View Company Online")</f>
        <v>View Company Online</v>
      </c>
    </row>
    <row r="9109" spans="1:18" hidden="1" x14ac:dyDescent="0.3">
      <c r="A9109" s="15" t="s">
        <v>26092</v>
      </c>
      <c r="B9109" s="15" t="s">
        <v>26093</v>
      </c>
      <c r="C9109" s="18" t="s">
        <v>28</v>
      </c>
      <c r="D9109" s="15" t="s">
        <v>26094</v>
      </c>
      <c r="E9109" s="18" t="s">
        <v>28</v>
      </c>
      <c r="F9109" s="19" t="s">
        <v>28</v>
      </c>
      <c r="G9109" s="19">
        <v>1.5</v>
      </c>
      <c r="H9109" s="19" t="s">
        <v>28</v>
      </c>
      <c r="I9109" s="18" t="s">
        <v>28</v>
      </c>
      <c r="J9109" s="18" t="s">
        <v>28</v>
      </c>
      <c r="K9109" s="18" t="s">
        <v>28</v>
      </c>
      <c r="L9109" s="18" t="s">
        <v>28</v>
      </c>
      <c r="M9109" s="18" t="s">
        <v>28</v>
      </c>
      <c r="N9109" s="17">
        <v>42569</v>
      </c>
      <c r="O9109" s="15" t="s">
        <v>79</v>
      </c>
      <c r="P9109" s="16" t="s">
        <v>23708</v>
      </c>
      <c r="Q9109" s="15" t="s">
        <v>235</v>
      </c>
      <c r="R9109" s="13" t="str">
        <f>HYPERLINK("https://my.pitchbook.com?c=73718-29T","View Company Online")</f>
        <v>View Company Online</v>
      </c>
    </row>
    <row r="9110" spans="1:18" hidden="1" x14ac:dyDescent="0.3">
      <c r="A9110" s="9" t="s">
        <v>26095</v>
      </c>
      <c r="B9110" s="9" t="s">
        <v>26096</v>
      </c>
      <c r="C9110" s="11" t="s">
        <v>28</v>
      </c>
      <c r="D9110" s="9" t="s">
        <v>26097</v>
      </c>
      <c r="E9110" s="11" t="s">
        <v>28</v>
      </c>
      <c r="F9110" s="10" t="s">
        <v>28</v>
      </c>
      <c r="G9110" s="10">
        <v>65.650000000000006</v>
      </c>
      <c r="H9110" s="10">
        <v>77.290000000000006</v>
      </c>
      <c r="I9110" s="11" t="s">
        <v>28</v>
      </c>
      <c r="J9110" s="11" t="s">
        <v>28</v>
      </c>
      <c r="K9110" s="11" t="s">
        <v>28</v>
      </c>
      <c r="L9110" s="11" t="s">
        <v>28</v>
      </c>
      <c r="M9110" s="11" t="s">
        <v>28</v>
      </c>
      <c r="N9110" s="8">
        <v>42566</v>
      </c>
      <c r="O9110" s="9" t="s">
        <v>908</v>
      </c>
      <c r="P9110" s="12" t="s">
        <v>28</v>
      </c>
      <c r="Q9110" s="9" t="s">
        <v>1643</v>
      </c>
      <c r="R9110" s="14" t="str">
        <f>HYPERLINK("https://my.pitchbook.com?c=73040-95T","View Company Online")</f>
        <v>View Company Online</v>
      </c>
    </row>
    <row r="9111" spans="1:18" hidden="1" x14ac:dyDescent="0.3">
      <c r="A9111" s="15" t="s">
        <v>26098</v>
      </c>
      <c r="B9111" s="15" t="s">
        <v>15824</v>
      </c>
      <c r="C9111" s="18" t="s">
        <v>28</v>
      </c>
      <c r="D9111" s="15" t="s">
        <v>15825</v>
      </c>
      <c r="E9111" s="18" t="s">
        <v>28</v>
      </c>
      <c r="F9111" s="19" t="s">
        <v>28</v>
      </c>
      <c r="G9111" s="19">
        <v>1.19</v>
      </c>
      <c r="H9111" s="19" t="s">
        <v>28</v>
      </c>
      <c r="I9111" s="18" t="s">
        <v>28</v>
      </c>
      <c r="J9111" s="18" t="s">
        <v>28</v>
      </c>
      <c r="K9111" s="18" t="s">
        <v>28</v>
      </c>
      <c r="L9111" s="18" t="s">
        <v>28</v>
      </c>
      <c r="M9111" s="18" t="s">
        <v>28</v>
      </c>
      <c r="N9111" s="17">
        <v>42564</v>
      </c>
      <c r="O9111" s="15" t="s">
        <v>73</v>
      </c>
      <c r="P9111" s="16" t="s">
        <v>24767</v>
      </c>
      <c r="Q9111" s="15" t="s">
        <v>75</v>
      </c>
      <c r="R9111" s="13" t="str">
        <f>HYPERLINK("https://my.pitchbook.com?c=87079-06T","View Company Online")</f>
        <v>View Company Online</v>
      </c>
    </row>
    <row r="9112" spans="1:18" hidden="1" x14ac:dyDescent="0.3">
      <c r="A9112" s="9" t="s">
        <v>26099</v>
      </c>
      <c r="B9112" s="9" t="s">
        <v>26100</v>
      </c>
      <c r="C9112" s="11" t="s">
        <v>28</v>
      </c>
      <c r="D9112" s="9" t="s">
        <v>26101</v>
      </c>
      <c r="E9112" s="11" t="s">
        <v>28</v>
      </c>
      <c r="F9112" s="10" t="s">
        <v>28</v>
      </c>
      <c r="G9112" s="10" t="s">
        <v>28</v>
      </c>
      <c r="H9112" s="10" t="s">
        <v>28</v>
      </c>
      <c r="I9112" s="11" t="s">
        <v>28</v>
      </c>
      <c r="J9112" s="11" t="s">
        <v>28</v>
      </c>
      <c r="K9112" s="11" t="s">
        <v>28</v>
      </c>
      <c r="L9112" s="11" t="s">
        <v>28</v>
      </c>
      <c r="M9112" s="11" t="s">
        <v>28</v>
      </c>
      <c r="N9112" s="8">
        <v>42564</v>
      </c>
      <c r="O9112" s="9" t="s">
        <v>30</v>
      </c>
      <c r="P9112" s="12" t="s">
        <v>28</v>
      </c>
      <c r="Q9112" s="9" t="s">
        <v>607</v>
      </c>
      <c r="R9112" s="14" t="str">
        <f>HYPERLINK("https://my.pitchbook.com?c=72851-23T","View Company Online")</f>
        <v>View Company Online</v>
      </c>
    </row>
    <row r="9113" spans="1:18" hidden="1" x14ac:dyDescent="0.3">
      <c r="A9113" s="15" t="s">
        <v>26102</v>
      </c>
      <c r="B9113" s="15" t="s">
        <v>26103</v>
      </c>
      <c r="C9113" s="18" t="s">
        <v>28</v>
      </c>
      <c r="D9113" s="15" t="s">
        <v>26104</v>
      </c>
      <c r="E9113" s="18" t="s">
        <v>28</v>
      </c>
      <c r="F9113" s="19" t="s">
        <v>28</v>
      </c>
      <c r="G9113" s="19">
        <v>0.06</v>
      </c>
      <c r="H9113" s="19" t="s">
        <v>28</v>
      </c>
      <c r="I9113" s="18" t="s">
        <v>28</v>
      </c>
      <c r="J9113" s="18" t="s">
        <v>28</v>
      </c>
      <c r="K9113" s="18" t="s">
        <v>28</v>
      </c>
      <c r="L9113" s="18" t="s">
        <v>28</v>
      </c>
      <c r="M9113" s="18" t="s">
        <v>28</v>
      </c>
      <c r="N9113" s="17">
        <v>42563</v>
      </c>
      <c r="O9113" s="15" t="s">
        <v>58</v>
      </c>
      <c r="P9113" s="16" t="s">
        <v>26105</v>
      </c>
      <c r="Q9113" s="15" t="s">
        <v>583</v>
      </c>
      <c r="R9113" s="13" t="str">
        <f>HYPERLINK("https://my.pitchbook.com?c=81662-05T","View Company Online")</f>
        <v>View Company Online</v>
      </c>
    </row>
    <row r="9114" spans="1:18" hidden="1" x14ac:dyDescent="0.3">
      <c r="A9114" s="9" t="s">
        <v>26106</v>
      </c>
      <c r="B9114" s="9" t="s">
        <v>26107</v>
      </c>
      <c r="C9114" s="11" t="s">
        <v>28</v>
      </c>
      <c r="D9114" s="9" t="s">
        <v>26108</v>
      </c>
      <c r="E9114" s="11" t="s">
        <v>28</v>
      </c>
      <c r="F9114" s="10" t="s">
        <v>28</v>
      </c>
      <c r="G9114" s="10" t="s">
        <v>28</v>
      </c>
      <c r="H9114" s="10" t="s">
        <v>28</v>
      </c>
      <c r="I9114" s="11" t="s">
        <v>28</v>
      </c>
      <c r="J9114" s="11" t="s">
        <v>28</v>
      </c>
      <c r="K9114" s="11" t="s">
        <v>28</v>
      </c>
      <c r="L9114" s="11" t="s">
        <v>28</v>
      </c>
      <c r="M9114" s="11" t="s">
        <v>28</v>
      </c>
      <c r="N9114" s="8">
        <v>42562</v>
      </c>
      <c r="O9114" s="9" t="s">
        <v>30</v>
      </c>
      <c r="P9114" s="12" t="s">
        <v>26109</v>
      </c>
      <c r="Q9114" s="9" t="s">
        <v>616</v>
      </c>
      <c r="R9114" s="14" t="str">
        <f>HYPERLINK("https://my.pitchbook.com?c=91692-64T","View Company Online")</f>
        <v>View Company Online</v>
      </c>
    </row>
    <row r="9115" spans="1:18" hidden="1" x14ac:dyDescent="0.3">
      <c r="A9115" s="15" t="s">
        <v>26110</v>
      </c>
      <c r="B9115" s="15" t="s">
        <v>26111</v>
      </c>
      <c r="C9115" s="18" t="s">
        <v>28</v>
      </c>
      <c r="D9115" s="15" t="s">
        <v>26112</v>
      </c>
      <c r="E9115" s="18" t="s">
        <v>28</v>
      </c>
      <c r="F9115" s="19" t="s">
        <v>28</v>
      </c>
      <c r="G9115" s="19" t="s">
        <v>28</v>
      </c>
      <c r="H9115" s="19" t="s">
        <v>28</v>
      </c>
      <c r="I9115" s="18" t="s">
        <v>28</v>
      </c>
      <c r="J9115" s="18" t="s">
        <v>28</v>
      </c>
      <c r="K9115" s="18" t="s">
        <v>28</v>
      </c>
      <c r="L9115" s="18" t="s">
        <v>28</v>
      </c>
      <c r="M9115" s="18" t="s">
        <v>28</v>
      </c>
      <c r="N9115" s="17">
        <v>42561</v>
      </c>
      <c r="O9115" s="15" t="s">
        <v>99</v>
      </c>
      <c r="P9115" s="16" t="s">
        <v>20846</v>
      </c>
      <c r="Q9115" s="15" t="s">
        <v>37</v>
      </c>
      <c r="R9115" s="13" t="str">
        <f>HYPERLINK("https://my.pitchbook.com?c=115636-06T","View Company Online")</f>
        <v>View Company Online</v>
      </c>
    </row>
    <row r="9116" spans="1:18" hidden="1" x14ac:dyDescent="0.3">
      <c r="A9116" s="9" t="s">
        <v>26113</v>
      </c>
      <c r="B9116" s="9" t="s">
        <v>26114</v>
      </c>
      <c r="C9116" s="11" t="s">
        <v>28</v>
      </c>
      <c r="D9116" s="9" t="s">
        <v>26115</v>
      </c>
      <c r="E9116" s="11" t="s">
        <v>28</v>
      </c>
      <c r="F9116" s="10" t="s">
        <v>28</v>
      </c>
      <c r="G9116" s="10" t="s">
        <v>28</v>
      </c>
      <c r="H9116" s="10" t="s">
        <v>28</v>
      </c>
      <c r="I9116" s="11" t="s">
        <v>28</v>
      </c>
      <c r="J9116" s="11" t="s">
        <v>28</v>
      </c>
      <c r="K9116" s="11" t="s">
        <v>28</v>
      </c>
      <c r="L9116" s="11" t="s">
        <v>28</v>
      </c>
      <c r="M9116" s="11" t="s">
        <v>28</v>
      </c>
      <c r="N9116" s="8">
        <v>42559</v>
      </c>
      <c r="O9116" s="9" t="s">
        <v>30</v>
      </c>
      <c r="P9116" s="12" t="s">
        <v>11786</v>
      </c>
      <c r="Q9116" s="9" t="s">
        <v>280</v>
      </c>
      <c r="R9116" s="14" t="str">
        <f>HYPERLINK("https://my.pitchbook.com?c=82416-16T","View Company Online")</f>
        <v>View Company Online</v>
      </c>
    </row>
    <row r="9117" spans="1:18" hidden="1" x14ac:dyDescent="0.3">
      <c r="A9117" s="15" t="s">
        <v>26116</v>
      </c>
      <c r="B9117" s="15" t="s">
        <v>26117</v>
      </c>
      <c r="C9117" s="18" t="s">
        <v>28</v>
      </c>
      <c r="D9117" s="15" t="s">
        <v>26118</v>
      </c>
      <c r="E9117" s="18" t="s">
        <v>28</v>
      </c>
      <c r="F9117" s="19" t="s">
        <v>28</v>
      </c>
      <c r="G9117" s="19" t="s">
        <v>28</v>
      </c>
      <c r="H9117" s="19" t="s">
        <v>28</v>
      </c>
      <c r="I9117" s="18" t="s">
        <v>28</v>
      </c>
      <c r="J9117" s="18" t="s">
        <v>28</v>
      </c>
      <c r="K9117" s="18" t="s">
        <v>28</v>
      </c>
      <c r="L9117" s="18" t="s">
        <v>28</v>
      </c>
      <c r="M9117" s="18" t="s">
        <v>28</v>
      </c>
      <c r="N9117" s="17">
        <v>42558</v>
      </c>
      <c r="O9117" s="15" t="s">
        <v>52</v>
      </c>
      <c r="P9117" s="16" t="s">
        <v>4500</v>
      </c>
      <c r="Q9117" s="15" t="s">
        <v>43</v>
      </c>
      <c r="R9117" s="13" t="str">
        <f>HYPERLINK("https://my.pitchbook.com?c=267945-13T","View Company Online")</f>
        <v>View Company Online</v>
      </c>
    </row>
    <row r="9118" spans="1:18" hidden="1" x14ac:dyDescent="0.3">
      <c r="A9118" s="9" t="s">
        <v>26119</v>
      </c>
      <c r="B9118" s="9" t="s">
        <v>26103</v>
      </c>
      <c r="C9118" s="11" t="s">
        <v>28</v>
      </c>
      <c r="D9118" s="9" t="s">
        <v>26104</v>
      </c>
      <c r="E9118" s="11" t="s">
        <v>28</v>
      </c>
      <c r="F9118" s="10" t="s">
        <v>28</v>
      </c>
      <c r="G9118" s="10" t="s">
        <v>28</v>
      </c>
      <c r="H9118" s="10" t="s">
        <v>28</v>
      </c>
      <c r="I9118" s="11" t="s">
        <v>28</v>
      </c>
      <c r="J9118" s="11" t="s">
        <v>28</v>
      </c>
      <c r="K9118" s="11" t="s">
        <v>28</v>
      </c>
      <c r="L9118" s="11" t="s">
        <v>28</v>
      </c>
      <c r="M9118" s="11" t="s">
        <v>28</v>
      </c>
      <c r="N9118" s="8">
        <v>42558</v>
      </c>
      <c r="O9118" s="9" t="s">
        <v>52</v>
      </c>
      <c r="P9118" s="12" t="s">
        <v>4500</v>
      </c>
      <c r="Q9118" s="9" t="s">
        <v>583</v>
      </c>
      <c r="R9118" s="14" t="str">
        <f>HYPERLINK("https://my.pitchbook.com?c=262022-86T","View Company Online")</f>
        <v>View Company Online</v>
      </c>
    </row>
    <row r="9119" spans="1:18" hidden="1" x14ac:dyDescent="0.3">
      <c r="A9119" s="15" t="s">
        <v>26120</v>
      </c>
      <c r="B9119" s="15" t="s">
        <v>8407</v>
      </c>
      <c r="C9119" s="18" t="s">
        <v>28</v>
      </c>
      <c r="D9119" s="15" t="s">
        <v>8408</v>
      </c>
      <c r="E9119" s="18" t="s">
        <v>28</v>
      </c>
      <c r="F9119" s="19" t="s">
        <v>28</v>
      </c>
      <c r="G9119" s="19" t="s">
        <v>28</v>
      </c>
      <c r="H9119" s="19" t="s">
        <v>28</v>
      </c>
      <c r="I9119" s="18" t="s">
        <v>28</v>
      </c>
      <c r="J9119" s="18" t="s">
        <v>28</v>
      </c>
      <c r="K9119" s="18" t="s">
        <v>28</v>
      </c>
      <c r="L9119" s="18" t="s">
        <v>28</v>
      </c>
      <c r="M9119" s="18" t="s">
        <v>28</v>
      </c>
      <c r="N9119" s="17">
        <v>42558</v>
      </c>
      <c r="O9119" s="15" t="s">
        <v>52</v>
      </c>
      <c r="P9119" s="16" t="s">
        <v>4500</v>
      </c>
      <c r="Q9119" s="15" t="s">
        <v>37</v>
      </c>
      <c r="R9119" s="13" t="str">
        <f>HYPERLINK("https://my.pitchbook.com?c=264704-41T","View Company Online")</f>
        <v>View Company Online</v>
      </c>
    </row>
    <row r="9120" spans="1:18" hidden="1" x14ac:dyDescent="0.3">
      <c r="A9120" s="9" t="s">
        <v>26121</v>
      </c>
      <c r="B9120" s="9" t="s">
        <v>15659</v>
      </c>
      <c r="C9120" s="11" t="s">
        <v>28</v>
      </c>
      <c r="D9120" s="9" t="s">
        <v>15660</v>
      </c>
      <c r="E9120" s="11">
        <v>55.03</v>
      </c>
      <c r="F9120" s="10" t="s">
        <v>28</v>
      </c>
      <c r="G9120" s="10" t="s">
        <v>28</v>
      </c>
      <c r="H9120" s="10" t="s">
        <v>28</v>
      </c>
      <c r="I9120" s="11">
        <v>69.09</v>
      </c>
      <c r="J9120" s="11" t="s">
        <v>28</v>
      </c>
      <c r="K9120" s="11">
        <v>419.95</v>
      </c>
      <c r="L9120" s="11" t="s">
        <v>28</v>
      </c>
      <c r="M9120" s="11">
        <v>73.48</v>
      </c>
      <c r="N9120" s="8">
        <v>42557</v>
      </c>
      <c r="O9120" s="9" t="s">
        <v>159</v>
      </c>
      <c r="P9120" s="12" t="s">
        <v>26122</v>
      </c>
      <c r="Q9120" s="9" t="s">
        <v>607</v>
      </c>
      <c r="R9120" s="14" t="str">
        <f>HYPERLINK("https://my.pitchbook.com?c=96892-12T","View Company Online")</f>
        <v>View Company Online</v>
      </c>
    </row>
    <row r="9121" spans="1:18" hidden="1" x14ac:dyDescent="0.3">
      <c r="A9121" s="15" t="s">
        <v>26123</v>
      </c>
      <c r="B9121" s="15" t="s">
        <v>26124</v>
      </c>
      <c r="C9121" s="18" t="s">
        <v>28</v>
      </c>
      <c r="D9121" s="15" t="s">
        <v>26125</v>
      </c>
      <c r="E9121" s="18" t="s">
        <v>28</v>
      </c>
      <c r="F9121" s="19" t="s">
        <v>28</v>
      </c>
      <c r="G9121" s="19" t="s">
        <v>28</v>
      </c>
      <c r="H9121" s="19" t="s">
        <v>28</v>
      </c>
      <c r="I9121" s="18" t="s">
        <v>28</v>
      </c>
      <c r="J9121" s="18" t="s">
        <v>28</v>
      </c>
      <c r="K9121" s="18" t="s">
        <v>28</v>
      </c>
      <c r="L9121" s="18" t="s">
        <v>28</v>
      </c>
      <c r="M9121" s="18" t="s">
        <v>28</v>
      </c>
      <c r="N9121" s="17">
        <v>42557</v>
      </c>
      <c r="O9121" s="15" t="s">
        <v>30</v>
      </c>
      <c r="P9121" s="16" t="s">
        <v>26126</v>
      </c>
      <c r="Q9121" s="15" t="s">
        <v>1007</v>
      </c>
      <c r="R9121" s="13" t="str">
        <f>HYPERLINK("https://my.pitchbook.com?c=72528-94T","View Company Online")</f>
        <v>View Company Online</v>
      </c>
    </row>
    <row r="9122" spans="1:18" hidden="1" x14ac:dyDescent="0.3">
      <c r="A9122" s="9" t="s">
        <v>26127</v>
      </c>
      <c r="B9122" s="9" t="s">
        <v>20840</v>
      </c>
      <c r="C9122" s="11" t="s">
        <v>28</v>
      </c>
      <c r="D9122" s="9" t="s">
        <v>20841</v>
      </c>
      <c r="E9122" s="11" t="s">
        <v>28</v>
      </c>
      <c r="F9122" s="10" t="s">
        <v>28</v>
      </c>
      <c r="G9122" s="10">
        <v>0.26</v>
      </c>
      <c r="H9122" s="10">
        <v>1.2</v>
      </c>
      <c r="I9122" s="11" t="s">
        <v>28</v>
      </c>
      <c r="J9122" s="11" t="s">
        <v>28</v>
      </c>
      <c r="K9122" s="11" t="s">
        <v>28</v>
      </c>
      <c r="L9122" s="11" t="s">
        <v>28</v>
      </c>
      <c r="M9122" s="11" t="s">
        <v>28</v>
      </c>
      <c r="N9122" s="8">
        <v>42557</v>
      </c>
      <c r="O9122" s="9" t="s">
        <v>73</v>
      </c>
      <c r="P9122" s="12" t="s">
        <v>26128</v>
      </c>
      <c r="Q9122" s="9" t="s">
        <v>362</v>
      </c>
      <c r="R9122" s="14" t="str">
        <f>HYPERLINK("https://my.pitchbook.com?c=98065-27T","View Company Online")</f>
        <v>View Company Online</v>
      </c>
    </row>
    <row r="9123" spans="1:18" hidden="1" x14ac:dyDescent="0.3">
      <c r="A9123" s="15" t="s">
        <v>26129</v>
      </c>
      <c r="B9123" s="15" t="s">
        <v>26130</v>
      </c>
      <c r="C9123" s="18" t="s">
        <v>28</v>
      </c>
      <c r="D9123" s="15" t="s">
        <v>26131</v>
      </c>
      <c r="E9123" s="18" t="s">
        <v>28</v>
      </c>
      <c r="F9123" s="19" t="s">
        <v>28</v>
      </c>
      <c r="G9123" s="19" t="s">
        <v>28</v>
      </c>
      <c r="H9123" s="19" t="s">
        <v>28</v>
      </c>
      <c r="I9123" s="18" t="s">
        <v>28</v>
      </c>
      <c r="J9123" s="18" t="s">
        <v>28</v>
      </c>
      <c r="K9123" s="18" t="s">
        <v>28</v>
      </c>
      <c r="L9123" s="18" t="s">
        <v>28</v>
      </c>
      <c r="M9123" s="18" t="s">
        <v>28</v>
      </c>
      <c r="N9123" s="17">
        <v>42556</v>
      </c>
      <c r="O9123" s="15" t="s">
        <v>30</v>
      </c>
      <c r="P9123" s="16" t="s">
        <v>5140</v>
      </c>
      <c r="Q9123" s="15" t="s">
        <v>299</v>
      </c>
      <c r="R9123" s="13" t="str">
        <f>HYPERLINK("https://my.pitchbook.com?c=72804-79T","View Company Online")</f>
        <v>View Company Online</v>
      </c>
    </row>
    <row r="9124" spans="1:18" hidden="1" x14ac:dyDescent="0.3">
      <c r="A9124" s="9" t="s">
        <v>26132</v>
      </c>
      <c r="B9124" s="9" t="s">
        <v>17696</v>
      </c>
      <c r="C9124" s="11" t="s">
        <v>28</v>
      </c>
      <c r="D9124" s="9" t="s">
        <v>17697</v>
      </c>
      <c r="E9124" s="11" t="s">
        <v>28</v>
      </c>
      <c r="F9124" s="10" t="s">
        <v>28</v>
      </c>
      <c r="G9124" s="10">
        <v>0.2</v>
      </c>
      <c r="H9124" s="10" t="s">
        <v>28</v>
      </c>
      <c r="I9124" s="11" t="s">
        <v>28</v>
      </c>
      <c r="J9124" s="11" t="s">
        <v>28</v>
      </c>
      <c r="K9124" s="11" t="s">
        <v>28</v>
      </c>
      <c r="L9124" s="11" t="s">
        <v>28</v>
      </c>
      <c r="M9124" s="11" t="s">
        <v>28</v>
      </c>
      <c r="N9124" s="8">
        <v>42555</v>
      </c>
      <c r="O9124" s="9" t="s">
        <v>52</v>
      </c>
      <c r="P9124" s="12" t="s">
        <v>11539</v>
      </c>
      <c r="Q9124" s="9" t="s">
        <v>75</v>
      </c>
      <c r="R9124" s="14" t="str">
        <f>HYPERLINK("https://my.pitchbook.com?c=95412-25T","View Company Online")</f>
        <v>View Company Online</v>
      </c>
    </row>
    <row r="9125" spans="1:18" hidden="1" x14ac:dyDescent="0.3">
      <c r="A9125" s="15" t="s">
        <v>26133</v>
      </c>
      <c r="B9125" s="15" t="s">
        <v>26134</v>
      </c>
      <c r="C9125" s="18" t="s">
        <v>28</v>
      </c>
      <c r="D9125" s="15" t="s">
        <v>26135</v>
      </c>
      <c r="E9125" s="18" t="s">
        <v>28</v>
      </c>
      <c r="F9125" s="19" t="s">
        <v>28</v>
      </c>
      <c r="G9125" s="19" t="s">
        <v>28</v>
      </c>
      <c r="H9125" s="19" t="s">
        <v>28</v>
      </c>
      <c r="I9125" s="18" t="s">
        <v>28</v>
      </c>
      <c r="J9125" s="18" t="s">
        <v>28</v>
      </c>
      <c r="K9125" s="18" t="s">
        <v>28</v>
      </c>
      <c r="L9125" s="18" t="s">
        <v>28</v>
      </c>
      <c r="M9125" s="18" t="s">
        <v>28</v>
      </c>
      <c r="N9125" s="17">
        <v>42555</v>
      </c>
      <c r="O9125" s="15" t="s">
        <v>30</v>
      </c>
      <c r="P9125" s="16" t="s">
        <v>26136</v>
      </c>
      <c r="Q9125" s="15" t="s">
        <v>362</v>
      </c>
      <c r="R9125" s="13" t="str">
        <f>HYPERLINK("https://my.pitchbook.com?c=72819-28T","View Company Online")</f>
        <v>View Company Online</v>
      </c>
    </row>
    <row r="9126" spans="1:18" hidden="1" x14ac:dyDescent="0.3">
      <c r="A9126" s="9" t="s">
        <v>26137</v>
      </c>
      <c r="B9126" s="9" t="s">
        <v>25151</v>
      </c>
      <c r="C9126" s="11" t="s">
        <v>28</v>
      </c>
      <c r="D9126" s="9" t="s">
        <v>25152</v>
      </c>
      <c r="E9126" s="11" t="s">
        <v>28</v>
      </c>
      <c r="F9126" s="10" t="s">
        <v>28</v>
      </c>
      <c r="G9126" s="10">
        <v>0.09</v>
      </c>
      <c r="H9126" s="10" t="s">
        <v>28</v>
      </c>
      <c r="I9126" s="11" t="s">
        <v>28</v>
      </c>
      <c r="J9126" s="11" t="s">
        <v>28</v>
      </c>
      <c r="K9126" s="11" t="s">
        <v>28</v>
      </c>
      <c r="L9126" s="11" t="s">
        <v>28</v>
      </c>
      <c r="M9126" s="11" t="s">
        <v>28</v>
      </c>
      <c r="N9126" s="8">
        <v>42552</v>
      </c>
      <c r="O9126" s="9" t="s">
        <v>99</v>
      </c>
      <c r="P9126" s="12" t="s">
        <v>28</v>
      </c>
      <c r="Q9126" s="9" t="s">
        <v>75</v>
      </c>
      <c r="R9126" s="14" t="str">
        <f>HYPERLINK("https://my.pitchbook.com?c=126023-68T","View Company Online")</f>
        <v>View Company Online</v>
      </c>
    </row>
    <row r="9127" spans="1:18" hidden="1" x14ac:dyDescent="0.3">
      <c r="A9127" s="15" t="s">
        <v>26138</v>
      </c>
      <c r="B9127" s="15" t="s">
        <v>26139</v>
      </c>
      <c r="C9127" s="18" t="s">
        <v>28</v>
      </c>
      <c r="D9127" s="15" t="s">
        <v>26140</v>
      </c>
      <c r="E9127" s="18" t="s">
        <v>28</v>
      </c>
      <c r="F9127" s="19">
        <v>5.52</v>
      </c>
      <c r="G9127" s="19">
        <v>5.52</v>
      </c>
      <c r="H9127" s="19">
        <v>5.52</v>
      </c>
      <c r="I9127" s="18" t="s">
        <v>28</v>
      </c>
      <c r="J9127" s="18" t="s">
        <v>28</v>
      </c>
      <c r="K9127" s="18">
        <v>10.68</v>
      </c>
      <c r="L9127" s="18">
        <v>0.52</v>
      </c>
      <c r="M9127" s="18">
        <v>-1.83</v>
      </c>
      <c r="N9127" s="17">
        <v>42552</v>
      </c>
      <c r="O9127" s="15" t="s">
        <v>30</v>
      </c>
      <c r="P9127" s="16" t="s">
        <v>26141</v>
      </c>
      <c r="Q9127" s="15" t="s">
        <v>517</v>
      </c>
      <c r="R9127" s="13" t="str">
        <f>HYPERLINK("https://my.pitchbook.com?c=81741-25T","View Company Online")</f>
        <v>View Company Online</v>
      </c>
    </row>
    <row r="9128" spans="1:18" hidden="1" x14ac:dyDescent="0.3">
      <c r="A9128" s="9" t="s">
        <v>26142</v>
      </c>
      <c r="B9128" s="9" t="s">
        <v>26143</v>
      </c>
      <c r="C9128" s="11" t="s">
        <v>28</v>
      </c>
      <c r="D9128" s="9" t="s">
        <v>26144</v>
      </c>
      <c r="E9128" s="11" t="s">
        <v>28</v>
      </c>
      <c r="F9128" s="10" t="s">
        <v>28</v>
      </c>
      <c r="G9128" s="10">
        <v>5008.8999999999996</v>
      </c>
      <c r="H9128" s="10">
        <v>5008.8999999999996</v>
      </c>
      <c r="I9128" s="11" t="s">
        <v>28</v>
      </c>
      <c r="J9128" s="11" t="s">
        <v>28</v>
      </c>
      <c r="K9128" s="11" t="s">
        <v>28</v>
      </c>
      <c r="L9128" s="11" t="s">
        <v>28</v>
      </c>
      <c r="M9128" s="11" t="s">
        <v>28</v>
      </c>
      <c r="N9128" s="8">
        <v>42552</v>
      </c>
      <c r="O9128" s="9" t="s">
        <v>30</v>
      </c>
      <c r="P9128" s="12" t="s">
        <v>26145</v>
      </c>
      <c r="Q9128" s="9" t="s">
        <v>8754</v>
      </c>
      <c r="R9128" s="14" t="str">
        <f>HYPERLINK("https://my.pitchbook.com?c=49945-87T","View Company Online")</f>
        <v>View Company Online</v>
      </c>
    </row>
    <row r="9129" spans="1:18" hidden="1" x14ac:dyDescent="0.3">
      <c r="A9129" s="15" t="s">
        <v>26146</v>
      </c>
      <c r="B9129" s="15" t="s">
        <v>864</v>
      </c>
      <c r="C9129" s="18" t="s">
        <v>28</v>
      </c>
      <c r="D9129" s="15" t="s">
        <v>865</v>
      </c>
      <c r="E9129" s="18">
        <v>342.24</v>
      </c>
      <c r="F9129" s="19" t="s">
        <v>28</v>
      </c>
      <c r="G9129" s="19" t="s">
        <v>28</v>
      </c>
      <c r="H9129" s="19" t="s">
        <v>28</v>
      </c>
      <c r="I9129" s="18">
        <v>2102.61</v>
      </c>
      <c r="J9129" s="18" t="s">
        <v>28</v>
      </c>
      <c r="K9129" s="18">
        <v>7247.24</v>
      </c>
      <c r="L9129" s="18" t="s">
        <v>28</v>
      </c>
      <c r="M9129" s="18">
        <v>-2068.56</v>
      </c>
      <c r="N9129" s="17">
        <v>42552</v>
      </c>
      <c r="O9129" s="15" t="s">
        <v>159</v>
      </c>
      <c r="P9129" s="16" t="s">
        <v>26147</v>
      </c>
      <c r="Q9129" s="15" t="s">
        <v>692</v>
      </c>
      <c r="R9129" s="13" t="str">
        <f>HYPERLINK("https://my.pitchbook.com?c=73097-02T","View Company Online")</f>
        <v>View Company Online</v>
      </c>
    </row>
    <row r="9130" spans="1:18" hidden="1" x14ac:dyDescent="0.3">
      <c r="A9130" s="9" t="s">
        <v>26148</v>
      </c>
      <c r="B9130" s="9" t="s">
        <v>26149</v>
      </c>
      <c r="C9130" s="11" t="s">
        <v>28</v>
      </c>
      <c r="D9130" s="9" t="s">
        <v>26150</v>
      </c>
      <c r="E9130" s="11" t="s">
        <v>28</v>
      </c>
      <c r="F9130" s="10">
        <v>8.69</v>
      </c>
      <c r="G9130" s="10">
        <v>8.69</v>
      </c>
      <c r="H9130" s="10">
        <v>8.69</v>
      </c>
      <c r="I9130" s="11" t="s">
        <v>28</v>
      </c>
      <c r="J9130" s="11" t="s">
        <v>28</v>
      </c>
      <c r="K9130" s="11" t="s">
        <v>28</v>
      </c>
      <c r="L9130" s="11" t="s">
        <v>28</v>
      </c>
      <c r="M9130" s="11" t="s">
        <v>28</v>
      </c>
      <c r="N9130" s="8">
        <v>42552</v>
      </c>
      <c r="O9130" s="9" t="s">
        <v>41</v>
      </c>
      <c r="P9130" s="12" t="s">
        <v>26151</v>
      </c>
      <c r="Q9130" s="9" t="s">
        <v>409</v>
      </c>
      <c r="R9130" s="14" t="str">
        <f>HYPERLINK("https://my.pitchbook.com?c=73716-76T","View Company Online")</f>
        <v>View Company Online</v>
      </c>
    </row>
    <row r="9131" spans="1:18" hidden="1" x14ac:dyDescent="0.3">
      <c r="A9131" s="15" t="s">
        <v>26152</v>
      </c>
      <c r="B9131" s="15" t="s">
        <v>4994</v>
      </c>
      <c r="C9131" s="18" t="s">
        <v>28</v>
      </c>
      <c r="D9131" s="15" t="s">
        <v>4995</v>
      </c>
      <c r="E9131" s="18" t="s">
        <v>28</v>
      </c>
      <c r="F9131" s="19" t="s">
        <v>28</v>
      </c>
      <c r="G9131" s="19">
        <v>7.0000000000000007E-2</v>
      </c>
      <c r="H9131" s="19" t="s">
        <v>28</v>
      </c>
      <c r="I9131" s="18" t="s">
        <v>28</v>
      </c>
      <c r="J9131" s="18" t="s">
        <v>28</v>
      </c>
      <c r="K9131" s="18" t="s">
        <v>28</v>
      </c>
      <c r="L9131" s="18" t="s">
        <v>28</v>
      </c>
      <c r="M9131" s="18" t="s">
        <v>28</v>
      </c>
      <c r="N9131" s="17">
        <v>42552</v>
      </c>
      <c r="O9131" s="15" t="s">
        <v>379</v>
      </c>
      <c r="P9131" s="16" t="s">
        <v>28</v>
      </c>
      <c r="Q9131" s="15" t="s">
        <v>386</v>
      </c>
      <c r="R9131" s="13" t="str">
        <f>HYPERLINK("https://my.pitchbook.com?c=123874-84T","View Company Online")</f>
        <v>View Company Online</v>
      </c>
    </row>
    <row r="9132" spans="1:18" hidden="1" x14ac:dyDescent="0.3">
      <c r="A9132" s="9" t="s">
        <v>26153</v>
      </c>
      <c r="B9132" s="9" t="s">
        <v>18604</v>
      </c>
      <c r="C9132" s="11" t="s">
        <v>28</v>
      </c>
      <c r="D9132" s="9" t="s">
        <v>18605</v>
      </c>
      <c r="E9132" s="11" t="s">
        <v>28</v>
      </c>
      <c r="F9132" s="10" t="s">
        <v>28</v>
      </c>
      <c r="G9132" s="10" t="s">
        <v>28</v>
      </c>
      <c r="H9132" s="10" t="s">
        <v>28</v>
      </c>
      <c r="I9132" s="11" t="s">
        <v>28</v>
      </c>
      <c r="J9132" s="11" t="s">
        <v>28</v>
      </c>
      <c r="K9132" s="11" t="s">
        <v>28</v>
      </c>
      <c r="L9132" s="11" t="s">
        <v>28</v>
      </c>
      <c r="M9132" s="11" t="s">
        <v>28</v>
      </c>
      <c r="N9132" s="8">
        <v>42552</v>
      </c>
      <c r="O9132" s="9" t="s">
        <v>58</v>
      </c>
      <c r="P9132" s="12" t="s">
        <v>18606</v>
      </c>
      <c r="Q9132" s="9" t="s">
        <v>1191</v>
      </c>
      <c r="R9132" s="14" t="str">
        <f>HYPERLINK("https://my.pitchbook.com?c=228509-11T","View Company Online")</f>
        <v>View Company Online</v>
      </c>
    </row>
    <row r="9133" spans="1:18" hidden="1" x14ac:dyDescent="0.3">
      <c r="A9133" s="15" t="s">
        <v>26154</v>
      </c>
      <c r="B9133" s="15" t="s">
        <v>26155</v>
      </c>
      <c r="C9133" s="18" t="s">
        <v>28</v>
      </c>
      <c r="D9133" s="15" t="s">
        <v>26156</v>
      </c>
      <c r="E9133" s="18" t="s">
        <v>28</v>
      </c>
      <c r="F9133" s="19">
        <v>93.32</v>
      </c>
      <c r="G9133" s="19">
        <v>31.1</v>
      </c>
      <c r="H9133" s="19">
        <v>93.32</v>
      </c>
      <c r="I9133" s="18" t="s">
        <v>28</v>
      </c>
      <c r="J9133" s="18" t="s">
        <v>28</v>
      </c>
      <c r="K9133" s="18" t="s">
        <v>28</v>
      </c>
      <c r="L9133" s="18" t="s">
        <v>28</v>
      </c>
      <c r="M9133" s="18" t="s">
        <v>28</v>
      </c>
      <c r="N9133" s="17">
        <v>42551</v>
      </c>
      <c r="O9133" s="15" t="s">
        <v>30</v>
      </c>
      <c r="P9133" s="16" t="s">
        <v>6877</v>
      </c>
      <c r="Q9133" s="15" t="s">
        <v>959</v>
      </c>
      <c r="R9133" s="13" t="str">
        <f>HYPERLINK("https://my.pitchbook.com?c=72528-67T","View Company Online")</f>
        <v>View Company Online</v>
      </c>
    </row>
    <row r="9134" spans="1:18" hidden="1" x14ac:dyDescent="0.3">
      <c r="A9134" s="9" t="s">
        <v>26157</v>
      </c>
      <c r="B9134" s="9" t="s">
        <v>26158</v>
      </c>
      <c r="C9134" s="11" t="s">
        <v>28</v>
      </c>
      <c r="D9134" s="9" t="s">
        <v>26159</v>
      </c>
      <c r="E9134" s="11" t="s">
        <v>28</v>
      </c>
      <c r="F9134" s="10">
        <v>41.39</v>
      </c>
      <c r="G9134" s="10">
        <v>24.84</v>
      </c>
      <c r="H9134" s="10">
        <v>41.39</v>
      </c>
      <c r="I9134" s="11" t="s">
        <v>28</v>
      </c>
      <c r="J9134" s="11" t="s">
        <v>28</v>
      </c>
      <c r="K9134" s="11">
        <v>225.16</v>
      </c>
      <c r="L9134" s="11">
        <v>0.18</v>
      </c>
      <c r="M9134" s="11" t="s">
        <v>28</v>
      </c>
      <c r="N9134" s="8">
        <v>42551</v>
      </c>
      <c r="O9134" s="9" t="s">
        <v>41</v>
      </c>
      <c r="P9134" s="12" t="s">
        <v>26160</v>
      </c>
      <c r="Q9134" s="9" t="s">
        <v>900</v>
      </c>
      <c r="R9134" s="14" t="str">
        <f>HYPERLINK("https://my.pitchbook.com?c=72345-79T","View Company Online")</f>
        <v>View Company Online</v>
      </c>
    </row>
    <row r="9135" spans="1:18" hidden="1" x14ac:dyDescent="0.3">
      <c r="A9135" s="15" t="s">
        <v>26161</v>
      </c>
      <c r="B9135" s="15" t="s">
        <v>11788</v>
      </c>
      <c r="C9135" s="18" t="s">
        <v>28</v>
      </c>
      <c r="D9135" s="15" t="s">
        <v>11789</v>
      </c>
      <c r="E9135" s="18" t="s">
        <v>28</v>
      </c>
      <c r="F9135" s="19" t="s">
        <v>28</v>
      </c>
      <c r="G9135" s="19" t="s">
        <v>28</v>
      </c>
      <c r="H9135" s="19" t="s">
        <v>28</v>
      </c>
      <c r="I9135" s="18" t="s">
        <v>28</v>
      </c>
      <c r="J9135" s="18" t="s">
        <v>28</v>
      </c>
      <c r="K9135" s="18" t="s">
        <v>28</v>
      </c>
      <c r="L9135" s="18" t="s">
        <v>28</v>
      </c>
      <c r="M9135" s="18" t="s">
        <v>28</v>
      </c>
      <c r="N9135" s="17">
        <v>42545</v>
      </c>
      <c r="O9135" s="15" t="s">
        <v>379</v>
      </c>
      <c r="P9135" s="16" t="s">
        <v>26162</v>
      </c>
      <c r="Q9135" s="15" t="s">
        <v>75</v>
      </c>
      <c r="R9135" s="13" t="str">
        <f>HYPERLINK("https://my.pitchbook.com?c=123143-86T","View Company Online")</f>
        <v>View Company Online</v>
      </c>
    </row>
    <row r="9136" spans="1:18" hidden="1" x14ac:dyDescent="0.3">
      <c r="A9136" s="9" t="s">
        <v>26163</v>
      </c>
      <c r="B9136" s="9" t="s">
        <v>10005</v>
      </c>
      <c r="C9136" s="11" t="s">
        <v>28</v>
      </c>
      <c r="D9136" s="9" t="s">
        <v>10006</v>
      </c>
      <c r="E9136" s="11" t="s">
        <v>28</v>
      </c>
      <c r="F9136" s="10" t="s">
        <v>28</v>
      </c>
      <c r="G9136" s="10">
        <v>7.5</v>
      </c>
      <c r="H9136" s="10" t="s">
        <v>28</v>
      </c>
      <c r="I9136" s="11" t="s">
        <v>28</v>
      </c>
      <c r="J9136" s="11" t="s">
        <v>28</v>
      </c>
      <c r="K9136" s="11" t="s">
        <v>28</v>
      </c>
      <c r="L9136" s="11" t="s">
        <v>28</v>
      </c>
      <c r="M9136" s="11" t="s">
        <v>28</v>
      </c>
      <c r="N9136" s="8">
        <v>42543</v>
      </c>
      <c r="O9136" s="9" t="s">
        <v>73</v>
      </c>
      <c r="P9136" s="12" t="s">
        <v>26164</v>
      </c>
      <c r="Q9136" s="9" t="s">
        <v>696</v>
      </c>
      <c r="R9136" s="14" t="str">
        <f>HYPERLINK("https://my.pitchbook.com?c=71455-96T","View Company Online")</f>
        <v>View Company Online</v>
      </c>
    </row>
    <row r="9137" spans="1:18" hidden="1" x14ac:dyDescent="0.3">
      <c r="A9137" s="15" t="s">
        <v>26165</v>
      </c>
      <c r="B9137" s="15" t="s">
        <v>12420</v>
      </c>
      <c r="C9137" s="18" t="s">
        <v>28</v>
      </c>
      <c r="D9137" s="15" t="s">
        <v>12421</v>
      </c>
      <c r="E9137" s="18" t="s">
        <v>28</v>
      </c>
      <c r="F9137" s="19" t="s">
        <v>28</v>
      </c>
      <c r="G9137" s="19" t="s">
        <v>28</v>
      </c>
      <c r="H9137" s="19" t="s">
        <v>28</v>
      </c>
      <c r="I9137" s="18" t="s">
        <v>28</v>
      </c>
      <c r="J9137" s="18" t="s">
        <v>28</v>
      </c>
      <c r="K9137" s="18" t="s">
        <v>28</v>
      </c>
      <c r="L9137" s="18" t="s">
        <v>28</v>
      </c>
      <c r="M9137" s="18" t="s">
        <v>28</v>
      </c>
      <c r="N9137" s="17">
        <v>42542</v>
      </c>
      <c r="O9137" s="15" t="s">
        <v>52</v>
      </c>
      <c r="P9137" s="16" t="s">
        <v>26166</v>
      </c>
      <c r="Q9137" s="15" t="s">
        <v>37</v>
      </c>
      <c r="R9137" s="13" t="str">
        <f>HYPERLINK("https://my.pitchbook.com?c=101934-46T","View Company Online")</f>
        <v>View Company Online</v>
      </c>
    </row>
    <row r="9138" spans="1:18" hidden="1" x14ac:dyDescent="0.3">
      <c r="A9138" s="9" t="s">
        <v>26167</v>
      </c>
      <c r="B9138" s="9" t="s">
        <v>6868</v>
      </c>
      <c r="C9138" s="11" t="s">
        <v>28</v>
      </c>
      <c r="D9138" s="9" t="s">
        <v>6869</v>
      </c>
      <c r="E9138" s="11" t="s">
        <v>28</v>
      </c>
      <c r="F9138" s="10" t="s">
        <v>28</v>
      </c>
      <c r="G9138" s="10">
        <v>6.51</v>
      </c>
      <c r="H9138" s="10">
        <v>39.06</v>
      </c>
      <c r="I9138" s="11" t="s">
        <v>28</v>
      </c>
      <c r="J9138" s="11" t="s">
        <v>28</v>
      </c>
      <c r="K9138" s="11" t="s">
        <v>28</v>
      </c>
      <c r="L9138" s="11" t="s">
        <v>28</v>
      </c>
      <c r="M9138" s="11" t="s">
        <v>28</v>
      </c>
      <c r="N9138" s="8">
        <v>42542</v>
      </c>
      <c r="O9138" s="9" t="s">
        <v>93</v>
      </c>
      <c r="P9138" s="12" t="s">
        <v>26168</v>
      </c>
      <c r="Q9138" s="9" t="s">
        <v>409</v>
      </c>
      <c r="R9138" s="14" t="str">
        <f>HYPERLINK("https://my.pitchbook.com?c=73147-24T","View Company Online")</f>
        <v>View Company Online</v>
      </c>
    </row>
    <row r="9139" spans="1:18" hidden="1" x14ac:dyDescent="0.3">
      <c r="A9139" s="15" t="s">
        <v>26169</v>
      </c>
      <c r="B9139" s="15" t="s">
        <v>26170</v>
      </c>
      <c r="C9139" s="18" t="s">
        <v>28</v>
      </c>
      <c r="D9139" s="15" t="s">
        <v>26171</v>
      </c>
      <c r="E9139" s="18" t="s">
        <v>28</v>
      </c>
      <c r="F9139" s="19" t="s">
        <v>28</v>
      </c>
      <c r="G9139" s="19" t="s">
        <v>28</v>
      </c>
      <c r="H9139" s="19" t="s">
        <v>28</v>
      </c>
      <c r="I9139" s="18" t="s">
        <v>28</v>
      </c>
      <c r="J9139" s="18" t="s">
        <v>28</v>
      </c>
      <c r="K9139" s="18">
        <v>24</v>
      </c>
      <c r="L9139" s="18" t="s">
        <v>28</v>
      </c>
      <c r="M9139" s="18" t="s">
        <v>28</v>
      </c>
      <c r="N9139" s="17">
        <v>42541</v>
      </c>
      <c r="O9139" s="15" t="s">
        <v>30</v>
      </c>
      <c r="P9139" s="16" t="s">
        <v>26172</v>
      </c>
      <c r="Q9139" s="15" t="s">
        <v>136</v>
      </c>
      <c r="R9139" s="13" t="str">
        <f>HYPERLINK("https://my.pitchbook.com?c=170593-48T","View Company Online")</f>
        <v>View Company Online</v>
      </c>
    </row>
    <row r="9140" spans="1:18" hidden="1" x14ac:dyDescent="0.3">
      <c r="A9140" s="9" t="s">
        <v>26173</v>
      </c>
      <c r="B9140" s="9" t="s">
        <v>13597</v>
      </c>
      <c r="C9140" s="11" t="s">
        <v>28</v>
      </c>
      <c r="D9140" s="9" t="s">
        <v>13598</v>
      </c>
      <c r="E9140" s="11" t="s">
        <v>28</v>
      </c>
      <c r="F9140" s="10" t="s">
        <v>28</v>
      </c>
      <c r="G9140" s="10">
        <v>0.01</v>
      </c>
      <c r="H9140" s="10" t="s">
        <v>28</v>
      </c>
      <c r="I9140" s="11" t="s">
        <v>28</v>
      </c>
      <c r="J9140" s="11" t="s">
        <v>28</v>
      </c>
      <c r="K9140" s="11" t="s">
        <v>28</v>
      </c>
      <c r="L9140" s="11" t="s">
        <v>28</v>
      </c>
      <c r="M9140" s="11" t="s">
        <v>28</v>
      </c>
      <c r="N9140" s="8">
        <v>42540</v>
      </c>
      <c r="O9140" s="9" t="s">
        <v>8420</v>
      </c>
      <c r="P9140" s="12" t="s">
        <v>28</v>
      </c>
      <c r="Q9140" s="9" t="s">
        <v>249</v>
      </c>
      <c r="R9140" s="14" t="str">
        <f>HYPERLINK("https://my.pitchbook.com?c=122938-21T","View Company Online")</f>
        <v>View Company Online</v>
      </c>
    </row>
    <row r="9141" spans="1:18" hidden="1" x14ac:dyDescent="0.3">
      <c r="A9141" s="15" t="s">
        <v>26174</v>
      </c>
      <c r="B9141" s="15" t="s">
        <v>26175</v>
      </c>
      <c r="C9141" s="18" t="s">
        <v>28</v>
      </c>
      <c r="D9141" s="15" t="s">
        <v>26176</v>
      </c>
      <c r="E9141" s="18" t="s">
        <v>28</v>
      </c>
      <c r="F9141" s="19" t="s">
        <v>28</v>
      </c>
      <c r="G9141" s="19" t="s">
        <v>28</v>
      </c>
      <c r="H9141" s="19" t="s">
        <v>28</v>
      </c>
      <c r="I9141" s="18" t="s">
        <v>28</v>
      </c>
      <c r="J9141" s="18" t="s">
        <v>28</v>
      </c>
      <c r="K9141" s="18" t="s">
        <v>28</v>
      </c>
      <c r="L9141" s="18" t="s">
        <v>28</v>
      </c>
      <c r="M9141" s="18" t="s">
        <v>28</v>
      </c>
      <c r="N9141" s="17">
        <v>42538</v>
      </c>
      <c r="O9141" s="15" t="s">
        <v>41</v>
      </c>
      <c r="P9141" s="16" t="s">
        <v>26177</v>
      </c>
      <c r="Q9141" s="15" t="s">
        <v>5628</v>
      </c>
      <c r="R9141" s="13" t="str">
        <f>HYPERLINK("https://my.pitchbook.com?c=96957-55T","View Company Online")</f>
        <v>View Company Online</v>
      </c>
    </row>
    <row r="9142" spans="1:18" hidden="1" x14ac:dyDescent="0.3">
      <c r="A9142" s="9" t="s">
        <v>26178</v>
      </c>
      <c r="B9142" s="9" t="s">
        <v>26179</v>
      </c>
      <c r="C9142" s="11" t="s">
        <v>28</v>
      </c>
      <c r="D9142" s="9" t="s">
        <v>26180</v>
      </c>
      <c r="E9142" s="11" t="s">
        <v>28</v>
      </c>
      <c r="F9142" s="10">
        <v>127.83</v>
      </c>
      <c r="G9142" s="10">
        <v>63.92</v>
      </c>
      <c r="H9142" s="10">
        <v>127.83</v>
      </c>
      <c r="I9142" s="11" t="s">
        <v>28</v>
      </c>
      <c r="J9142" s="11" t="s">
        <v>28</v>
      </c>
      <c r="K9142" s="11" t="s">
        <v>28</v>
      </c>
      <c r="L9142" s="11" t="s">
        <v>28</v>
      </c>
      <c r="M9142" s="11" t="s">
        <v>28</v>
      </c>
      <c r="N9142" s="8">
        <v>42536</v>
      </c>
      <c r="O9142" s="9" t="s">
        <v>41</v>
      </c>
      <c r="P9142" s="12" t="s">
        <v>26181</v>
      </c>
      <c r="Q9142" s="9" t="s">
        <v>2043</v>
      </c>
      <c r="R9142" s="14" t="str">
        <f>HYPERLINK("https://my.pitchbook.com?c=71822-98T","View Company Online")</f>
        <v>View Company Online</v>
      </c>
    </row>
    <row r="9143" spans="1:18" hidden="1" x14ac:dyDescent="0.3">
      <c r="A9143" s="15" t="s">
        <v>26182</v>
      </c>
      <c r="B9143" s="15" t="s">
        <v>26183</v>
      </c>
      <c r="C9143" s="18" t="s">
        <v>28</v>
      </c>
      <c r="D9143" s="15" t="s">
        <v>26184</v>
      </c>
      <c r="E9143" s="18" t="s">
        <v>28</v>
      </c>
      <c r="F9143" s="19" t="s">
        <v>28</v>
      </c>
      <c r="G9143" s="19">
        <v>0.03</v>
      </c>
      <c r="H9143" s="19">
        <v>0.35</v>
      </c>
      <c r="I9143" s="18" t="s">
        <v>28</v>
      </c>
      <c r="J9143" s="18" t="s">
        <v>28</v>
      </c>
      <c r="K9143" s="18" t="s">
        <v>28</v>
      </c>
      <c r="L9143" s="18" t="s">
        <v>28</v>
      </c>
      <c r="M9143" s="18" t="s">
        <v>28</v>
      </c>
      <c r="N9143" s="17">
        <v>42536</v>
      </c>
      <c r="O9143" s="15" t="s">
        <v>52</v>
      </c>
      <c r="P9143" s="16" t="s">
        <v>21987</v>
      </c>
      <c r="Q9143" s="15" t="s">
        <v>386</v>
      </c>
      <c r="R9143" s="13" t="str">
        <f>HYPERLINK("https://my.pitchbook.com?c=166874-86T","View Company Online")</f>
        <v>View Company Online</v>
      </c>
    </row>
    <row r="9144" spans="1:18" hidden="1" x14ac:dyDescent="0.3">
      <c r="A9144" s="9" t="s">
        <v>26185</v>
      </c>
      <c r="B9144" s="9" t="s">
        <v>25479</v>
      </c>
      <c r="C9144" s="11" t="s">
        <v>28</v>
      </c>
      <c r="D9144" s="9" t="s">
        <v>25480</v>
      </c>
      <c r="E9144" s="11" t="s">
        <v>28</v>
      </c>
      <c r="F9144" s="10" t="s">
        <v>28</v>
      </c>
      <c r="G9144" s="10">
        <v>0.06</v>
      </c>
      <c r="H9144" s="10" t="s">
        <v>28</v>
      </c>
      <c r="I9144" s="11" t="s">
        <v>28</v>
      </c>
      <c r="J9144" s="11" t="s">
        <v>28</v>
      </c>
      <c r="K9144" s="11" t="s">
        <v>28</v>
      </c>
      <c r="L9144" s="11" t="s">
        <v>28</v>
      </c>
      <c r="M9144" s="11" t="s">
        <v>28</v>
      </c>
      <c r="N9144" s="8">
        <v>42536</v>
      </c>
      <c r="O9144" s="9" t="s">
        <v>99</v>
      </c>
      <c r="P9144" s="12" t="s">
        <v>28</v>
      </c>
      <c r="Q9144" s="9" t="s">
        <v>740</v>
      </c>
      <c r="R9144" s="14" t="str">
        <f>HYPERLINK("https://my.pitchbook.com?c=215408-89T","View Company Online")</f>
        <v>View Company Online</v>
      </c>
    </row>
    <row r="9145" spans="1:18" hidden="1" x14ac:dyDescent="0.3">
      <c r="A9145" s="15" t="s">
        <v>26186</v>
      </c>
      <c r="B9145" s="15" t="s">
        <v>26187</v>
      </c>
      <c r="C9145" s="18" t="s">
        <v>28</v>
      </c>
      <c r="D9145" s="15" t="s">
        <v>26188</v>
      </c>
      <c r="E9145" s="18" t="s">
        <v>28</v>
      </c>
      <c r="F9145" s="19" t="s">
        <v>28</v>
      </c>
      <c r="G9145" s="19">
        <v>3</v>
      </c>
      <c r="H9145" s="19" t="s">
        <v>28</v>
      </c>
      <c r="I9145" s="18" t="s">
        <v>28</v>
      </c>
      <c r="J9145" s="18" t="s">
        <v>28</v>
      </c>
      <c r="K9145" s="18" t="s">
        <v>28</v>
      </c>
      <c r="L9145" s="18" t="s">
        <v>28</v>
      </c>
      <c r="M9145" s="18" t="s">
        <v>28</v>
      </c>
      <c r="N9145" s="17">
        <v>42536</v>
      </c>
      <c r="O9145" s="15" t="s">
        <v>79</v>
      </c>
      <c r="P9145" s="16" t="s">
        <v>26189</v>
      </c>
      <c r="Q9145" s="15" t="s">
        <v>245</v>
      </c>
      <c r="R9145" s="13" t="str">
        <f>HYPERLINK("https://my.pitchbook.com?c=71729-56T","View Company Online")</f>
        <v>View Company Online</v>
      </c>
    </row>
    <row r="9146" spans="1:18" hidden="1" x14ac:dyDescent="0.3">
      <c r="A9146" s="9" t="s">
        <v>26190</v>
      </c>
      <c r="B9146" s="9" t="s">
        <v>21846</v>
      </c>
      <c r="C9146" s="11" t="s">
        <v>28</v>
      </c>
      <c r="D9146" s="9" t="s">
        <v>21847</v>
      </c>
      <c r="E9146" s="11" t="s">
        <v>28</v>
      </c>
      <c r="F9146" s="10" t="s">
        <v>28</v>
      </c>
      <c r="G9146" s="10">
        <v>0.15</v>
      </c>
      <c r="H9146" s="10" t="s">
        <v>28</v>
      </c>
      <c r="I9146" s="11" t="s">
        <v>28</v>
      </c>
      <c r="J9146" s="11" t="s">
        <v>28</v>
      </c>
      <c r="K9146" s="11" t="s">
        <v>28</v>
      </c>
      <c r="L9146" s="11" t="s">
        <v>28</v>
      </c>
      <c r="M9146" s="11" t="s">
        <v>28</v>
      </c>
      <c r="N9146" s="8">
        <v>42535</v>
      </c>
      <c r="O9146" s="9" t="s">
        <v>52</v>
      </c>
      <c r="P9146" s="12" t="s">
        <v>8261</v>
      </c>
      <c r="Q9146" s="9" t="s">
        <v>75</v>
      </c>
      <c r="R9146" s="14" t="str">
        <f>HYPERLINK("https://my.pitchbook.com?c=208729-45T","View Company Online")</f>
        <v>View Company Online</v>
      </c>
    </row>
    <row r="9147" spans="1:18" hidden="1" x14ac:dyDescent="0.3">
      <c r="A9147" s="15" t="s">
        <v>26191</v>
      </c>
      <c r="B9147" s="15" t="s">
        <v>24916</v>
      </c>
      <c r="C9147" s="18" t="s">
        <v>28</v>
      </c>
      <c r="D9147" s="15" t="s">
        <v>24917</v>
      </c>
      <c r="E9147" s="18" t="s">
        <v>28</v>
      </c>
      <c r="F9147" s="19" t="s">
        <v>28</v>
      </c>
      <c r="G9147" s="19" t="s">
        <v>28</v>
      </c>
      <c r="H9147" s="19" t="s">
        <v>28</v>
      </c>
      <c r="I9147" s="18" t="s">
        <v>28</v>
      </c>
      <c r="J9147" s="18" t="s">
        <v>28</v>
      </c>
      <c r="K9147" s="18" t="s">
        <v>28</v>
      </c>
      <c r="L9147" s="18" t="s">
        <v>28</v>
      </c>
      <c r="M9147" s="18" t="s">
        <v>28</v>
      </c>
      <c r="N9147" s="17">
        <v>42534</v>
      </c>
      <c r="O9147" s="15" t="s">
        <v>52</v>
      </c>
      <c r="P9147" s="16" t="s">
        <v>1880</v>
      </c>
      <c r="Q9147" s="15" t="s">
        <v>43</v>
      </c>
      <c r="R9147" s="13" t="str">
        <f>HYPERLINK("https://my.pitchbook.com?c=109577-98T","View Company Online")</f>
        <v>View Company Online</v>
      </c>
    </row>
    <row r="9148" spans="1:18" hidden="1" x14ac:dyDescent="0.3">
      <c r="A9148" s="9" t="s">
        <v>26192</v>
      </c>
      <c r="B9148" s="9" t="s">
        <v>26193</v>
      </c>
      <c r="C9148" s="11" t="s">
        <v>28</v>
      </c>
      <c r="D9148" s="9" t="s">
        <v>26194</v>
      </c>
      <c r="E9148" s="11" t="s">
        <v>28</v>
      </c>
      <c r="F9148" s="10">
        <v>22.43</v>
      </c>
      <c r="G9148" s="10">
        <v>11.21</v>
      </c>
      <c r="H9148" s="10">
        <v>22.43</v>
      </c>
      <c r="I9148" s="11" t="s">
        <v>28</v>
      </c>
      <c r="J9148" s="11" t="s">
        <v>28</v>
      </c>
      <c r="K9148" s="11" t="s">
        <v>28</v>
      </c>
      <c r="L9148" s="11" t="s">
        <v>28</v>
      </c>
      <c r="M9148" s="11" t="s">
        <v>28</v>
      </c>
      <c r="N9148" s="8">
        <v>42534</v>
      </c>
      <c r="O9148" s="9" t="s">
        <v>30</v>
      </c>
      <c r="P9148" s="12" t="s">
        <v>26195</v>
      </c>
      <c r="Q9148" s="9" t="s">
        <v>280</v>
      </c>
      <c r="R9148" s="14" t="str">
        <f>HYPERLINK("https://my.pitchbook.com?c=100186-21T","View Company Online")</f>
        <v>View Company Online</v>
      </c>
    </row>
    <row r="9149" spans="1:18" hidden="1" x14ac:dyDescent="0.3">
      <c r="A9149" s="15" t="s">
        <v>26196</v>
      </c>
      <c r="B9149" s="15" t="s">
        <v>10005</v>
      </c>
      <c r="C9149" s="18" t="s">
        <v>28</v>
      </c>
      <c r="D9149" s="15" t="s">
        <v>10006</v>
      </c>
      <c r="E9149" s="18" t="s">
        <v>28</v>
      </c>
      <c r="F9149" s="19" t="s">
        <v>28</v>
      </c>
      <c r="G9149" s="19">
        <v>1.4</v>
      </c>
      <c r="H9149" s="19" t="s">
        <v>28</v>
      </c>
      <c r="I9149" s="18" t="s">
        <v>28</v>
      </c>
      <c r="J9149" s="18" t="s">
        <v>28</v>
      </c>
      <c r="K9149" s="18" t="s">
        <v>28</v>
      </c>
      <c r="L9149" s="18" t="s">
        <v>28</v>
      </c>
      <c r="M9149" s="18" t="s">
        <v>28</v>
      </c>
      <c r="N9149" s="17">
        <v>42534</v>
      </c>
      <c r="O9149" s="15" t="s">
        <v>52</v>
      </c>
      <c r="P9149" s="16" t="s">
        <v>1880</v>
      </c>
      <c r="Q9149" s="15" t="s">
        <v>696</v>
      </c>
      <c r="R9149" s="13" t="str">
        <f>HYPERLINK("https://my.pitchbook.com?c=53311-87T","View Company Online")</f>
        <v>View Company Online</v>
      </c>
    </row>
    <row r="9150" spans="1:18" hidden="1" x14ac:dyDescent="0.3">
      <c r="A9150" s="9" t="s">
        <v>26197</v>
      </c>
      <c r="B9150" s="9" t="s">
        <v>20819</v>
      </c>
      <c r="C9150" s="11" t="s">
        <v>28</v>
      </c>
      <c r="D9150" s="9" t="s">
        <v>20820</v>
      </c>
      <c r="E9150" s="11" t="s">
        <v>28</v>
      </c>
      <c r="F9150" s="10" t="s">
        <v>28</v>
      </c>
      <c r="G9150" s="10">
        <v>0.05</v>
      </c>
      <c r="H9150" s="10" t="s">
        <v>28</v>
      </c>
      <c r="I9150" s="11" t="s">
        <v>28</v>
      </c>
      <c r="J9150" s="11" t="s">
        <v>28</v>
      </c>
      <c r="K9150" s="11" t="s">
        <v>28</v>
      </c>
      <c r="L9150" s="11" t="s">
        <v>28</v>
      </c>
      <c r="M9150" s="11" t="s">
        <v>28</v>
      </c>
      <c r="N9150" s="8">
        <v>42534</v>
      </c>
      <c r="O9150" s="9" t="s">
        <v>52</v>
      </c>
      <c r="P9150" s="12" t="s">
        <v>1880</v>
      </c>
      <c r="Q9150" s="9" t="s">
        <v>583</v>
      </c>
      <c r="R9150" s="14" t="str">
        <f>HYPERLINK("https://my.pitchbook.com?c=110037-88T","View Company Online")</f>
        <v>View Company Online</v>
      </c>
    </row>
    <row r="9151" spans="1:18" hidden="1" x14ac:dyDescent="0.3">
      <c r="A9151" s="15" t="s">
        <v>26198</v>
      </c>
      <c r="B9151" s="15" t="s">
        <v>4655</v>
      </c>
      <c r="C9151" s="18" t="s">
        <v>28</v>
      </c>
      <c r="D9151" s="15" t="s">
        <v>4656</v>
      </c>
      <c r="E9151" s="18" t="s">
        <v>28</v>
      </c>
      <c r="F9151" s="19" t="s">
        <v>28</v>
      </c>
      <c r="G9151" s="19">
        <v>2.0699999999999998</v>
      </c>
      <c r="H9151" s="19" t="s">
        <v>28</v>
      </c>
      <c r="I9151" s="18" t="s">
        <v>28</v>
      </c>
      <c r="J9151" s="18" t="s">
        <v>28</v>
      </c>
      <c r="K9151" s="18" t="s">
        <v>28</v>
      </c>
      <c r="L9151" s="18" t="s">
        <v>28</v>
      </c>
      <c r="M9151" s="18" t="s">
        <v>28</v>
      </c>
      <c r="N9151" s="17">
        <v>42534</v>
      </c>
      <c r="O9151" s="15" t="s">
        <v>79</v>
      </c>
      <c r="P9151" s="16" t="s">
        <v>26199</v>
      </c>
      <c r="Q9151" s="15" t="s">
        <v>386</v>
      </c>
      <c r="R9151" s="13" t="str">
        <f>HYPERLINK("https://my.pitchbook.com?c=72058-51T","View Company Online")</f>
        <v>View Company Online</v>
      </c>
    </row>
    <row r="9152" spans="1:18" hidden="1" x14ac:dyDescent="0.3">
      <c r="A9152" s="9" t="s">
        <v>26200</v>
      </c>
      <c r="B9152" s="9" t="s">
        <v>25878</v>
      </c>
      <c r="C9152" s="11" t="s">
        <v>28</v>
      </c>
      <c r="D9152" s="9" t="s">
        <v>25879</v>
      </c>
      <c r="E9152" s="11" t="s">
        <v>28</v>
      </c>
      <c r="F9152" s="10" t="s">
        <v>28</v>
      </c>
      <c r="G9152" s="10" t="s">
        <v>28</v>
      </c>
      <c r="H9152" s="10" t="s">
        <v>28</v>
      </c>
      <c r="I9152" s="11" t="s">
        <v>28</v>
      </c>
      <c r="J9152" s="11" t="s">
        <v>28</v>
      </c>
      <c r="K9152" s="11" t="s">
        <v>28</v>
      </c>
      <c r="L9152" s="11" t="s">
        <v>28</v>
      </c>
      <c r="M9152" s="11" t="s">
        <v>28</v>
      </c>
      <c r="N9152" s="8">
        <v>42534</v>
      </c>
      <c r="O9152" s="9" t="s">
        <v>52</v>
      </c>
      <c r="P9152" s="12" t="s">
        <v>1880</v>
      </c>
      <c r="Q9152" s="9" t="s">
        <v>386</v>
      </c>
      <c r="R9152" s="14" t="str">
        <f>HYPERLINK("https://my.pitchbook.com?c=75439-27T","View Company Online")</f>
        <v>View Company Online</v>
      </c>
    </row>
    <row r="9153" spans="1:18" hidden="1" x14ac:dyDescent="0.3">
      <c r="A9153" s="15" t="s">
        <v>26201</v>
      </c>
      <c r="B9153" s="15" t="s">
        <v>3933</v>
      </c>
      <c r="C9153" s="18" t="s">
        <v>28</v>
      </c>
      <c r="D9153" s="15" t="s">
        <v>3934</v>
      </c>
      <c r="E9153" s="18" t="s">
        <v>28</v>
      </c>
      <c r="F9153" s="19" t="s">
        <v>28</v>
      </c>
      <c r="G9153" s="19" t="s">
        <v>28</v>
      </c>
      <c r="H9153" s="19" t="s">
        <v>28</v>
      </c>
      <c r="I9153" s="18" t="s">
        <v>28</v>
      </c>
      <c r="J9153" s="18" t="s">
        <v>28</v>
      </c>
      <c r="K9153" s="18" t="s">
        <v>28</v>
      </c>
      <c r="L9153" s="18" t="s">
        <v>28</v>
      </c>
      <c r="M9153" s="18" t="s">
        <v>28</v>
      </c>
      <c r="N9153" s="17">
        <v>42534</v>
      </c>
      <c r="O9153" s="15" t="s">
        <v>52</v>
      </c>
      <c r="P9153" s="16" t="s">
        <v>26202</v>
      </c>
      <c r="Q9153" s="15" t="s">
        <v>381</v>
      </c>
      <c r="R9153" s="13" t="str">
        <f>HYPERLINK("https://my.pitchbook.com?c=262494-01T","View Company Online")</f>
        <v>View Company Online</v>
      </c>
    </row>
    <row r="9154" spans="1:18" hidden="1" x14ac:dyDescent="0.3">
      <c r="A9154" s="9" t="s">
        <v>26203</v>
      </c>
      <c r="B9154" s="9" t="s">
        <v>239</v>
      </c>
      <c r="C9154" s="11" t="s">
        <v>28</v>
      </c>
      <c r="D9154" s="9" t="s">
        <v>4519</v>
      </c>
      <c r="E9154" s="11" t="s">
        <v>28</v>
      </c>
      <c r="F9154" s="10" t="s">
        <v>28</v>
      </c>
      <c r="G9154" s="10" t="s">
        <v>28</v>
      </c>
      <c r="H9154" s="10" t="s">
        <v>28</v>
      </c>
      <c r="I9154" s="11" t="s">
        <v>28</v>
      </c>
      <c r="J9154" s="11" t="s">
        <v>28</v>
      </c>
      <c r="K9154" s="11" t="s">
        <v>28</v>
      </c>
      <c r="L9154" s="11" t="s">
        <v>28</v>
      </c>
      <c r="M9154" s="11" t="s">
        <v>28</v>
      </c>
      <c r="N9154" s="8">
        <v>42534</v>
      </c>
      <c r="O9154" s="9" t="s">
        <v>52</v>
      </c>
      <c r="P9154" s="12" t="s">
        <v>1880</v>
      </c>
      <c r="Q9154" s="9" t="s">
        <v>95</v>
      </c>
      <c r="R9154" s="14" t="str">
        <f>HYPERLINK("https://my.pitchbook.com?c=110038-24T","View Company Online")</f>
        <v>View Company Online</v>
      </c>
    </row>
    <row r="9155" spans="1:18" hidden="1" x14ac:dyDescent="0.3">
      <c r="A9155" s="15" t="s">
        <v>26204</v>
      </c>
      <c r="B9155" s="15" t="s">
        <v>26205</v>
      </c>
      <c r="C9155" s="18" t="s">
        <v>28</v>
      </c>
      <c r="D9155" s="15" t="s">
        <v>26206</v>
      </c>
      <c r="E9155" s="18" t="s">
        <v>28</v>
      </c>
      <c r="F9155" s="19" t="s">
        <v>28</v>
      </c>
      <c r="G9155" s="19" t="s">
        <v>28</v>
      </c>
      <c r="H9155" s="19" t="s">
        <v>28</v>
      </c>
      <c r="I9155" s="18" t="s">
        <v>28</v>
      </c>
      <c r="J9155" s="18" t="s">
        <v>28</v>
      </c>
      <c r="K9155" s="18" t="s">
        <v>28</v>
      </c>
      <c r="L9155" s="18" t="s">
        <v>28</v>
      </c>
      <c r="M9155" s="18" t="s">
        <v>28</v>
      </c>
      <c r="N9155" s="17">
        <v>42534</v>
      </c>
      <c r="O9155" s="15" t="s">
        <v>52</v>
      </c>
      <c r="P9155" s="16" t="s">
        <v>1880</v>
      </c>
      <c r="Q9155" s="15" t="s">
        <v>85</v>
      </c>
      <c r="R9155" s="13" t="str">
        <f>HYPERLINK("https://my.pitchbook.com?c=99382-60T","View Company Online")</f>
        <v>View Company Online</v>
      </c>
    </row>
    <row r="9156" spans="1:18" hidden="1" x14ac:dyDescent="0.3">
      <c r="A9156" s="9" t="s">
        <v>26207</v>
      </c>
      <c r="B9156" s="9" t="s">
        <v>26208</v>
      </c>
      <c r="C9156" s="11" t="s">
        <v>28</v>
      </c>
      <c r="D9156" s="9" t="s">
        <v>26209</v>
      </c>
      <c r="E9156" s="11" t="s">
        <v>28</v>
      </c>
      <c r="F9156" s="10" t="s">
        <v>28</v>
      </c>
      <c r="G9156" s="10">
        <v>1.04</v>
      </c>
      <c r="H9156" s="10">
        <v>6.95</v>
      </c>
      <c r="I9156" s="11" t="s">
        <v>28</v>
      </c>
      <c r="J9156" s="11" t="s">
        <v>28</v>
      </c>
      <c r="K9156" s="11" t="s">
        <v>28</v>
      </c>
      <c r="L9156" s="11" t="s">
        <v>28</v>
      </c>
      <c r="M9156" s="11" t="s">
        <v>28</v>
      </c>
      <c r="N9156" s="8">
        <v>42533</v>
      </c>
      <c r="O9156" s="9" t="s">
        <v>79</v>
      </c>
      <c r="P9156" s="12" t="s">
        <v>28</v>
      </c>
      <c r="Q9156" s="9" t="s">
        <v>136</v>
      </c>
      <c r="R9156" s="14" t="str">
        <f>HYPERLINK("https://my.pitchbook.com?c=188337-25T","View Company Online")</f>
        <v>View Company Online</v>
      </c>
    </row>
    <row r="9157" spans="1:18" hidden="1" x14ac:dyDescent="0.3">
      <c r="A9157" s="15" t="s">
        <v>26210</v>
      </c>
      <c r="B9157" s="15" t="s">
        <v>26211</v>
      </c>
      <c r="C9157" s="18" t="s">
        <v>28</v>
      </c>
      <c r="D9157" s="15" t="s">
        <v>26212</v>
      </c>
      <c r="E9157" s="18" t="s">
        <v>28</v>
      </c>
      <c r="F9157" s="19" t="s">
        <v>28</v>
      </c>
      <c r="G9157" s="19" t="s">
        <v>28</v>
      </c>
      <c r="H9157" s="19" t="s">
        <v>28</v>
      </c>
      <c r="I9157" s="18" t="s">
        <v>28</v>
      </c>
      <c r="J9157" s="18" t="s">
        <v>28</v>
      </c>
      <c r="K9157" s="18" t="s">
        <v>28</v>
      </c>
      <c r="L9157" s="18" t="s">
        <v>28</v>
      </c>
      <c r="M9157" s="18" t="s">
        <v>28</v>
      </c>
      <c r="N9157" s="17">
        <v>42531</v>
      </c>
      <c r="O9157" s="15" t="s">
        <v>93</v>
      </c>
      <c r="P9157" s="16" t="s">
        <v>26213</v>
      </c>
      <c r="Q9157" s="15" t="s">
        <v>353</v>
      </c>
      <c r="R9157" s="13" t="str">
        <f>HYPERLINK("https://my.pitchbook.com?c=71625-52T","View Company Online")</f>
        <v>View Company Online</v>
      </c>
    </row>
    <row r="9158" spans="1:18" hidden="1" x14ac:dyDescent="0.3">
      <c r="A9158" s="9" t="s">
        <v>26214</v>
      </c>
      <c r="B9158" s="9" t="s">
        <v>26215</v>
      </c>
      <c r="C9158" s="11" t="s">
        <v>28</v>
      </c>
      <c r="D9158" s="9" t="s">
        <v>26216</v>
      </c>
      <c r="E9158" s="11" t="s">
        <v>28</v>
      </c>
      <c r="F9158" s="10">
        <v>5.5</v>
      </c>
      <c r="G9158" s="10">
        <v>5.5</v>
      </c>
      <c r="H9158" s="10">
        <v>5.5</v>
      </c>
      <c r="I9158" s="11" t="s">
        <v>28</v>
      </c>
      <c r="J9158" s="11" t="s">
        <v>28</v>
      </c>
      <c r="K9158" s="11" t="s">
        <v>28</v>
      </c>
      <c r="L9158" s="11" t="s">
        <v>28</v>
      </c>
      <c r="M9158" s="11" t="s">
        <v>28</v>
      </c>
      <c r="N9158" s="8">
        <v>42529</v>
      </c>
      <c r="O9158" s="9" t="s">
        <v>30</v>
      </c>
      <c r="P9158" s="12" t="s">
        <v>23901</v>
      </c>
      <c r="Q9158" s="9" t="s">
        <v>3912</v>
      </c>
      <c r="R9158" s="14" t="str">
        <f>HYPERLINK("https://my.pitchbook.com?c=79333-39T","View Company Online")</f>
        <v>View Company Online</v>
      </c>
    </row>
    <row r="9159" spans="1:18" hidden="1" x14ac:dyDescent="0.3">
      <c r="A9159" s="15" t="s">
        <v>26217</v>
      </c>
      <c r="B9159" s="15" t="s">
        <v>26218</v>
      </c>
      <c r="C9159" s="18" t="s">
        <v>28</v>
      </c>
      <c r="D9159" s="15" t="s">
        <v>26219</v>
      </c>
      <c r="E9159" s="18" t="s">
        <v>28</v>
      </c>
      <c r="F9159" s="19" t="s">
        <v>28</v>
      </c>
      <c r="G9159" s="19" t="s">
        <v>28</v>
      </c>
      <c r="H9159" s="19" t="s">
        <v>28</v>
      </c>
      <c r="I9159" s="18" t="s">
        <v>28</v>
      </c>
      <c r="J9159" s="18" t="s">
        <v>28</v>
      </c>
      <c r="K9159" s="18" t="s">
        <v>28</v>
      </c>
      <c r="L9159" s="18" t="s">
        <v>28</v>
      </c>
      <c r="M9159" s="18" t="s">
        <v>28</v>
      </c>
      <c r="N9159" s="17">
        <v>42529</v>
      </c>
      <c r="O9159" s="15" t="s">
        <v>173</v>
      </c>
      <c r="P9159" s="16" t="s">
        <v>28</v>
      </c>
      <c r="Q9159" s="15" t="s">
        <v>174</v>
      </c>
      <c r="R9159" s="13" t="str">
        <f>HYPERLINK("https://my.pitchbook.com?c=225330-22T","View Company Online")</f>
        <v>View Company Online</v>
      </c>
    </row>
    <row r="9160" spans="1:18" hidden="1" x14ac:dyDescent="0.3">
      <c r="A9160" s="9" t="s">
        <v>26220</v>
      </c>
      <c r="B9160" s="9" t="s">
        <v>26221</v>
      </c>
      <c r="C9160" s="11" t="s">
        <v>28</v>
      </c>
      <c r="D9160" s="9" t="s">
        <v>26222</v>
      </c>
      <c r="E9160" s="11" t="s">
        <v>28</v>
      </c>
      <c r="F9160" s="10" t="s">
        <v>28</v>
      </c>
      <c r="G9160" s="10">
        <v>217</v>
      </c>
      <c r="H9160" s="10" t="s">
        <v>28</v>
      </c>
      <c r="I9160" s="11" t="s">
        <v>28</v>
      </c>
      <c r="J9160" s="11" t="s">
        <v>28</v>
      </c>
      <c r="K9160" s="11" t="s">
        <v>28</v>
      </c>
      <c r="L9160" s="11" t="s">
        <v>28</v>
      </c>
      <c r="M9160" s="11" t="s">
        <v>28</v>
      </c>
      <c r="N9160" s="8">
        <v>42528</v>
      </c>
      <c r="O9160" s="9" t="s">
        <v>58</v>
      </c>
      <c r="P9160" s="12" t="s">
        <v>26223</v>
      </c>
      <c r="Q9160" s="9" t="s">
        <v>59</v>
      </c>
      <c r="R9160" s="14" t="str">
        <f>HYPERLINK("https://my.pitchbook.com?c=71237-08T","View Company Online")</f>
        <v>View Company Online</v>
      </c>
    </row>
    <row r="9161" spans="1:18" hidden="1" x14ac:dyDescent="0.3">
      <c r="A9161" s="15" t="s">
        <v>26224</v>
      </c>
      <c r="B9161" s="15" t="s">
        <v>15566</v>
      </c>
      <c r="C9161" s="18" t="s">
        <v>28</v>
      </c>
      <c r="D9161" s="15" t="s">
        <v>15567</v>
      </c>
      <c r="E9161" s="18" t="s">
        <v>28</v>
      </c>
      <c r="F9161" s="19" t="s">
        <v>28</v>
      </c>
      <c r="G9161" s="19">
        <v>1</v>
      </c>
      <c r="H9161" s="19" t="s">
        <v>28</v>
      </c>
      <c r="I9161" s="18" t="s">
        <v>28</v>
      </c>
      <c r="J9161" s="18" t="s">
        <v>28</v>
      </c>
      <c r="K9161" s="18" t="s">
        <v>28</v>
      </c>
      <c r="L9161" s="18" t="s">
        <v>28</v>
      </c>
      <c r="M9161" s="18" t="s">
        <v>28</v>
      </c>
      <c r="N9161" s="17">
        <v>42527</v>
      </c>
      <c r="O9161" s="15" t="s">
        <v>73</v>
      </c>
      <c r="P9161" s="16" t="s">
        <v>26225</v>
      </c>
      <c r="Q9161" s="15" t="s">
        <v>95</v>
      </c>
      <c r="R9161" s="13" t="str">
        <f>HYPERLINK("https://my.pitchbook.com?c=73391-41T","View Company Online")</f>
        <v>View Company Online</v>
      </c>
    </row>
    <row r="9162" spans="1:18" hidden="1" x14ac:dyDescent="0.3">
      <c r="A9162" s="9" t="s">
        <v>26226</v>
      </c>
      <c r="B9162" s="9" t="s">
        <v>15824</v>
      </c>
      <c r="C9162" s="11" t="s">
        <v>28</v>
      </c>
      <c r="D9162" s="9" t="s">
        <v>15825</v>
      </c>
      <c r="E9162" s="11" t="s">
        <v>28</v>
      </c>
      <c r="F9162" s="10" t="s">
        <v>28</v>
      </c>
      <c r="G9162" s="10" t="s">
        <v>28</v>
      </c>
      <c r="H9162" s="10" t="s">
        <v>28</v>
      </c>
      <c r="I9162" s="11" t="s">
        <v>28</v>
      </c>
      <c r="J9162" s="11" t="s">
        <v>28</v>
      </c>
      <c r="K9162" s="11" t="s">
        <v>28</v>
      </c>
      <c r="L9162" s="11" t="s">
        <v>28</v>
      </c>
      <c r="M9162" s="11" t="s">
        <v>28</v>
      </c>
      <c r="N9162" s="8">
        <v>42525</v>
      </c>
      <c r="O9162" s="9" t="s">
        <v>52</v>
      </c>
      <c r="P9162" s="12" t="s">
        <v>24786</v>
      </c>
      <c r="Q9162" s="9" t="s">
        <v>75</v>
      </c>
      <c r="R9162" s="14" t="str">
        <f>HYPERLINK("https://my.pitchbook.com?c=96403-78T","View Company Online")</f>
        <v>View Company Online</v>
      </c>
    </row>
    <row r="9163" spans="1:18" hidden="1" x14ac:dyDescent="0.3">
      <c r="A9163" s="15" t="s">
        <v>26227</v>
      </c>
      <c r="B9163" s="15" t="s">
        <v>9846</v>
      </c>
      <c r="C9163" s="18" t="s">
        <v>28</v>
      </c>
      <c r="D9163" s="15" t="s">
        <v>9847</v>
      </c>
      <c r="E9163" s="18" t="s">
        <v>28</v>
      </c>
      <c r="F9163" s="19" t="s">
        <v>28</v>
      </c>
      <c r="G9163" s="19" t="s">
        <v>28</v>
      </c>
      <c r="H9163" s="19" t="s">
        <v>28</v>
      </c>
      <c r="I9163" s="18" t="s">
        <v>28</v>
      </c>
      <c r="J9163" s="18" t="s">
        <v>28</v>
      </c>
      <c r="K9163" s="18" t="s">
        <v>28</v>
      </c>
      <c r="L9163" s="18" t="s">
        <v>28</v>
      </c>
      <c r="M9163" s="18" t="s">
        <v>28</v>
      </c>
      <c r="N9163" s="17">
        <v>42522</v>
      </c>
      <c r="O9163" s="15" t="s">
        <v>52</v>
      </c>
      <c r="P9163" s="16" t="s">
        <v>15600</v>
      </c>
      <c r="Q9163" s="15" t="s">
        <v>75</v>
      </c>
      <c r="R9163" s="13" t="str">
        <f>HYPERLINK("https://my.pitchbook.com?c=297863-29T","View Company Online")</f>
        <v>View Company Online</v>
      </c>
    </row>
    <row r="9164" spans="1:18" hidden="1" x14ac:dyDescent="0.3">
      <c r="A9164" s="9" t="s">
        <v>26228</v>
      </c>
      <c r="B9164" s="9" t="s">
        <v>26229</v>
      </c>
      <c r="C9164" s="11" t="s">
        <v>28</v>
      </c>
      <c r="D9164" s="9" t="s">
        <v>26230</v>
      </c>
      <c r="E9164" s="11" t="s">
        <v>28</v>
      </c>
      <c r="F9164" s="10" t="s">
        <v>28</v>
      </c>
      <c r="G9164" s="10">
        <v>0.14000000000000001</v>
      </c>
      <c r="H9164" s="10" t="s">
        <v>28</v>
      </c>
      <c r="I9164" s="11" t="s">
        <v>28</v>
      </c>
      <c r="J9164" s="11" t="s">
        <v>28</v>
      </c>
      <c r="K9164" s="11" t="s">
        <v>28</v>
      </c>
      <c r="L9164" s="11" t="s">
        <v>28</v>
      </c>
      <c r="M9164" s="11" t="s">
        <v>28</v>
      </c>
      <c r="N9164" s="8">
        <v>42522</v>
      </c>
      <c r="O9164" s="9" t="s">
        <v>73</v>
      </c>
      <c r="P9164" s="12" t="s">
        <v>28</v>
      </c>
      <c r="Q9164" s="9" t="s">
        <v>3912</v>
      </c>
      <c r="R9164" s="14" t="str">
        <f>HYPERLINK("https://my.pitchbook.com?c=72925-66T","View Company Online")</f>
        <v>View Company Online</v>
      </c>
    </row>
    <row r="9165" spans="1:18" hidden="1" x14ac:dyDescent="0.3">
      <c r="A9165" s="15" t="s">
        <v>26231</v>
      </c>
      <c r="B9165" s="15" t="s">
        <v>7120</v>
      </c>
      <c r="C9165" s="18" t="s">
        <v>28</v>
      </c>
      <c r="D9165" s="15" t="s">
        <v>7121</v>
      </c>
      <c r="E9165" s="18" t="s">
        <v>28</v>
      </c>
      <c r="F9165" s="19" t="s">
        <v>28</v>
      </c>
      <c r="G9165" s="19">
        <v>0.02</v>
      </c>
      <c r="H9165" s="19" t="s">
        <v>28</v>
      </c>
      <c r="I9165" s="18" t="s">
        <v>28</v>
      </c>
      <c r="J9165" s="18" t="s">
        <v>28</v>
      </c>
      <c r="K9165" s="18" t="s">
        <v>28</v>
      </c>
      <c r="L9165" s="18" t="s">
        <v>28</v>
      </c>
      <c r="M9165" s="18" t="s">
        <v>28</v>
      </c>
      <c r="N9165" s="17">
        <v>42522</v>
      </c>
      <c r="O9165" s="15" t="s">
        <v>52</v>
      </c>
      <c r="P9165" s="16" t="s">
        <v>15600</v>
      </c>
      <c r="Q9165" s="15" t="s">
        <v>85</v>
      </c>
      <c r="R9165" s="13" t="str">
        <f>HYPERLINK("https://my.pitchbook.com?c=122938-48T","View Company Online")</f>
        <v>View Company Online</v>
      </c>
    </row>
    <row r="9166" spans="1:18" hidden="1" x14ac:dyDescent="0.3">
      <c r="A9166" s="9" t="s">
        <v>26232</v>
      </c>
      <c r="B9166" s="9" t="s">
        <v>26233</v>
      </c>
      <c r="C9166" s="11" t="s">
        <v>28</v>
      </c>
      <c r="D9166" s="9" t="s">
        <v>26234</v>
      </c>
      <c r="E9166" s="11" t="s">
        <v>28</v>
      </c>
      <c r="F9166" s="10" t="s">
        <v>28</v>
      </c>
      <c r="G9166" s="10">
        <v>0.1</v>
      </c>
      <c r="H9166" s="10">
        <v>0.28000000000000003</v>
      </c>
      <c r="I9166" s="11" t="s">
        <v>28</v>
      </c>
      <c r="J9166" s="11" t="s">
        <v>28</v>
      </c>
      <c r="K9166" s="11" t="s">
        <v>28</v>
      </c>
      <c r="L9166" s="11" t="s">
        <v>28</v>
      </c>
      <c r="M9166" s="11" t="s">
        <v>28</v>
      </c>
      <c r="N9166" s="8">
        <v>42522</v>
      </c>
      <c r="O9166" s="9" t="s">
        <v>79</v>
      </c>
      <c r="P9166" s="12" t="s">
        <v>24284</v>
      </c>
      <c r="Q9166" s="9" t="s">
        <v>105</v>
      </c>
      <c r="R9166" s="14" t="str">
        <f>HYPERLINK("https://my.pitchbook.com?c=133417-81T","View Company Online")</f>
        <v>View Company Online</v>
      </c>
    </row>
    <row r="9167" spans="1:18" hidden="1" x14ac:dyDescent="0.3">
      <c r="A9167" s="15" t="s">
        <v>26235</v>
      </c>
      <c r="B9167" s="15" t="s">
        <v>15430</v>
      </c>
      <c r="C9167" s="18" t="s">
        <v>28</v>
      </c>
      <c r="D9167" s="15" t="s">
        <v>15431</v>
      </c>
      <c r="E9167" s="18" t="s">
        <v>28</v>
      </c>
      <c r="F9167" s="19" t="s">
        <v>28</v>
      </c>
      <c r="G9167" s="19">
        <v>0.04</v>
      </c>
      <c r="H9167" s="19" t="s">
        <v>28</v>
      </c>
      <c r="I9167" s="18" t="s">
        <v>28</v>
      </c>
      <c r="J9167" s="18" t="s">
        <v>28</v>
      </c>
      <c r="K9167" s="18" t="s">
        <v>28</v>
      </c>
      <c r="L9167" s="18" t="s">
        <v>28</v>
      </c>
      <c r="M9167" s="18" t="s">
        <v>28</v>
      </c>
      <c r="N9167" s="17">
        <v>42522</v>
      </c>
      <c r="O9167" s="15" t="s">
        <v>379</v>
      </c>
      <c r="P9167" s="16" t="s">
        <v>28</v>
      </c>
      <c r="Q9167" s="15" t="s">
        <v>75</v>
      </c>
      <c r="R9167" s="13" t="str">
        <f>HYPERLINK("https://my.pitchbook.com?c=213395-14T","View Company Online")</f>
        <v>View Company Online</v>
      </c>
    </row>
    <row r="9168" spans="1:18" hidden="1" x14ac:dyDescent="0.3">
      <c r="A9168" s="9" t="s">
        <v>26236</v>
      </c>
      <c r="B9168" s="9" t="s">
        <v>26237</v>
      </c>
      <c r="C9168" s="11" t="s">
        <v>28</v>
      </c>
      <c r="D9168" s="9" t="s">
        <v>26238</v>
      </c>
      <c r="E9168" s="11" t="s">
        <v>28</v>
      </c>
      <c r="F9168" s="10">
        <v>6.8</v>
      </c>
      <c r="G9168" s="10">
        <v>6.8</v>
      </c>
      <c r="H9168" s="10">
        <v>6.8</v>
      </c>
      <c r="I9168" s="11" t="s">
        <v>28</v>
      </c>
      <c r="J9168" s="11" t="s">
        <v>28</v>
      </c>
      <c r="K9168" s="11" t="s">
        <v>28</v>
      </c>
      <c r="L9168" s="11" t="s">
        <v>28</v>
      </c>
      <c r="M9168" s="11" t="s">
        <v>28</v>
      </c>
      <c r="N9168" s="8">
        <v>42522</v>
      </c>
      <c r="O9168" s="9" t="s">
        <v>30</v>
      </c>
      <c r="P9168" s="12" t="s">
        <v>26239</v>
      </c>
      <c r="Q9168" s="9" t="s">
        <v>43</v>
      </c>
      <c r="R9168" s="14" t="str">
        <f>HYPERLINK("https://my.pitchbook.com?c=127769-05T","View Company Online")</f>
        <v>View Company Online</v>
      </c>
    </row>
    <row r="9169" spans="1:18" hidden="1" x14ac:dyDescent="0.3">
      <c r="A9169" s="15" t="s">
        <v>26240</v>
      </c>
      <c r="B9169" s="15" t="s">
        <v>19518</v>
      </c>
      <c r="C9169" s="18" t="s">
        <v>28</v>
      </c>
      <c r="D9169" s="15" t="s">
        <v>19519</v>
      </c>
      <c r="E9169" s="18" t="s">
        <v>28</v>
      </c>
      <c r="F9169" s="19" t="s">
        <v>28</v>
      </c>
      <c r="G9169" s="19">
        <v>0.17</v>
      </c>
      <c r="H9169" s="19">
        <v>2.5</v>
      </c>
      <c r="I9169" s="18" t="s">
        <v>28</v>
      </c>
      <c r="J9169" s="18" t="s">
        <v>28</v>
      </c>
      <c r="K9169" s="18" t="s">
        <v>28</v>
      </c>
      <c r="L9169" s="18" t="s">
        <v>28</v>
      </c>
      <c r="M9169" s="18" t="s">
        <v>28</v>
      </c>
      <c r="N9169" s="17">
        <v>42522</v>
      </c>
      <c r="O9169" s="15" t="s">
        <v>99</v>
      </c>
      <c r="P9169" s="16" t="s">
        <v>28</v>
      </c>
      <c r="Q9169" s="15" t="s">
        <v>3912</v>
      </c>
      <c r="R9169" s="13" t="str">
        <f>HYPERLINK("https://my.pitchbook.com?c=225017-56T","View Company Online")</f>
        <v>View Company Online</v>
      </c>
    </row>
    <row r="9170" spans="1:18" hidden="1" x14ac:dyDescent="0.3">
      <c r="A9170" s="9" t="s">
        <v>26241</v>
      </c>
      <c r="B9170" s="9" t="s">
        <v>23917</v>
      </c>
      <c r="C9170" s="11" t="s">
        <v>28</v>
      </c>
      <c r="D9170" s="9" t="s">
        <v>23918</v>
      </c>
      <c r="E9170" s="11" t="s">
        <v>28</v>
      </c>
      <c r="F9170" s="10" t="s">
        <v>28</v>
      </c>
      <c r="G9170" s="10" t="s">
        <v>28</v>
      </c>
      <c r="H9170" s="10" t="s">
        <v>28</v>
      </c>
      <c r="I9170" s="11" t="s">
        <v>28</v>
      </c>
      <c r="J9170" s="11" t="s">
        <v>28</v>
      </c>
      <c r="K9170" s="11" t="s">
        <v>28</v>
      </c>
      <c r="L9170" s="11" t="s">
        <v>28</v>
      </c>
      <c r="M9170" s="11" t="s">
        <v>28</v>
      </c>
      <c r="N9170" s="8">
        <v>42522</v>
      </c>
      <c r="O9170" s="9" t="s">
        <v>41</v>
      </c>
      <c r="P9170" s="12" t="s">
        <v>26242</v>
      </c>
      <c r="Q9170" s="9" t="s">
        <v>280</v>
      </c>
      <c r="R9170" s="14" t="str">
        <f>HYPERLINK("https://my.pitchbook.com?c=134237-53T","View Company Online")</f>
        <v>View Company Online</v>
      </c>
    </row>
    <row r="9171" spans="1:18" hidden="1" x14ac:dyDescent="0.3">
      <c r="A9171" s="15" t="s">
        <v>26243</v>
      </c>
      <c r="B9171" s="15" t="s">
        <v>20772</v>
      </c>
      <c r="C9171" s="18" t="s">
        <v>28</v>
      </c>
      <c r="D9171" s="15" t="s">
        <v>20773</v>
      </c>
      <c r="E9171" s="18" t="s">
        <v>28</v>
      </c>
      <c r="F9171" s="19" t="s">
        <v>28</v>
      </c>
      <c r="G9171" s="19">
        <v>5</v>
      </c>
      <c r="H9171" s="19" t="s">
        <v>28</v>
      </c>
      <c r="I9171" s="18" t="s">
        <v>28</v>
      </c>
      <c r="J9171" s="18" t="s">
        <v>28</v>
      </c>
      <c r="K9171" s="18" t="s">
        <v>28</v>
      </c>
      <c r="L9171" s="18" t="s">
        <v>28</v>
      </c>
      <c r="M9171" s="18" t="s">
        <v>28</v>
      </c>
      <c r="N9171" s="17">
        <v>42522</v>
      </c>
      <c r="O9171" s="15" t="s">
        <v>99</v>
      </c>
      <c r="P9171" s="16" t="s">
        <v>28</v>
      </c>
      <c r="Q9171" s="15" t="s">
        <v>188</v>
      </c>
      <c r="R9171" s="13" t="str">
        <f>HYPERLINK("https://my.pitchbook.com?c=73760-41T","View Company Online")</f>
        <v>View Company Online</v>
      </c>
    </row>
    <row r="9172" spans="1:18" hidden="1" x14ac:dyDescent="0.3">
      <c r="A9172" s="9" t="s">
        <v>26244</v>
      </c>
      <c r="B9172" s="9" t="s">
        <v>11939</v>
      </c>
      <c r="C9172" s="11" t="s">
        <v>28</v>
      </c>
      <c r="D9172" s="9" t="s">
        <v>11940</v>
      </c>
      <c r="E9172" s="11" t="s">
        <v>28</v>
      </c>
      <c r="F9172" s="10" t="s">
        <v>28</v>
      </c>
      <c r="G9172" s="10" t="s">
        <v>28</v>
      </c>
      <c r="H9172" s="10" t="s">
        <v>28</v>
      </c>
      <c r="I9172" s="11" t="s">
        <v>28</v>
      </c>
      <c r="J9172" s="11" t="s">
        <v>28</v>
      </c>
      <c r="K9172" s="11" t="s">
        <v>28</v>
      </c>
      <c r="L9172" s="11" t="s">
        <v>28</v>
      </c>
      <c r="M9172" s="11" t="s">
        <v>28</v>
      </c>
      <c r="N9172" s="8">
        <v>42522</v>
      </c>
      <c r="O9172" s="9" t="s">
        <v>52</v>
      </c>
      <c r="P9172" s="12" t="s">
        <v>403</v>
      </c>
      <c r="Q9172" s="9" t="s">
        <v>75</v>
      </c>
      <c r="R9172" s="14" t="str">
        <f>HYPERLINK("https://my.pitchbook.com?c=106378-39T","View Company Online")</f>
        <v>View Company Online</v>
      </c>
    </row>
    <row r="9173" spans="1:18" hidden="1" x14ac:dyDescent="0.3">
      <c r="A9173" s="15" t="s">
        <v>26245</v>
      </c>
      <c r="B9173" s="15" t="s">
        <v>26246</v>
      </c>
      <c r="C9173" s="18" t="s">
        <v>28</v>
      </c>
      <c r="D9173" s="15" t="s">
        <v>26247</v>
      </c>
      <c r="E9173" s="18" t="s">
        <v>28</v>
      </c>
      <c r="F9173" s="19" t="s">
        <v>28</v>
      </c>
      <c r="G9173" s="19" t="s">
        <v>28</v>
      </c>
      <c r="H9173" s="19" t="s">
        <v>28</v>
      </c>
      <c r="I9173" s="18" t="s">
        <v>28</v>
      </c>
      <c r="J9173" s="18" t="s">
        <v>28</v>
      </c>
      <c r="K9173" s="18" t="s">
        <v>28</v>
      </c>
      <c r="L9173" s="18" t="s">
        <v>28</v>
      </c>
      <c r="M9173" s="18" t="s">
        <v>28</v>
      </c>
      <c r="N9173" s="17">
        <v>42521</v>
      </c>
      <c r="O9173" s="15" t="s">
        <v>30</v>
      </c>
      <c r="P9173" s="16" t="s">
        <v>26248</v>
      </c>
      <c r="Q9173" s="15" t="s">
        <v>285</v>
      </c>
      <c r="R9173" s="13" t="str">
        <f>HYPERLINK("https://my.pitchbook.com?c=100154-71T","View Company Online")</f>
        <v>View Company Online</v>
      </c>
    </row>
    <row r="9174" spans="1:18" hidden="1" x14ac:dyDescent="0.3">
      <c r="A9174" s="9" t="s">
        <v>26249</v>
      </c>
      <c r="B9174" s="9" t="s">
        <v>26250</v>
      </c>
      <c r="C9174" s="11" t="s">
        <v>28</v>
      </c>
      <c r="D9174" s="9" t="s">
        <v>26251</v>
      </c>
      <c r="E9174" s="11" t="s">
        <v>28</v>
      </c>
      <c r="F9174" s="10" t="s">
        <v>28</v>
      </c>
      <c r="G9174" s="10" t="s">
        <v>28</v>
      </c>
      <c r="H9174" s="10" t="s">
        <v>28</v>
      </c>
      <c r="I9174" s="11" t="s">
        <v>28</v>
      </c>
      <c r="J9174" s="11" t="s">
        <v>28</v>
      </c>
      <c r="K9174" s="11" t="s">
        <v>28</v>
      </c>
      <c r="L9174" s="11" t="s">
        <v>28</v>
      </c>
      <c r="M9174" s="11" t="s">
        <v>28</v>
      </c>
      <c r="N9174" s="8">
        <v>42521</v>
      </c>
      <c r="O9174" s="9" t="s">
        <v>30</v>
      </c>
      <c r="P9174" s="12" t="s">
        <v>26252</v>
      </c>
      <c r="Q9174" s="9" t="s">
        <v>900</v>
      </c>
      <c r="R9174" s="14" t="str">
        <f>HYPERLINK("https://my.pitchbook.com?c=65825-38T","View Company Online")</f>
        <v>View Company Online</v>
      </c>
    </row>
    <row r="9175" spans="1:18" hidden="1" x14ac:dyDescent="0.3">
      <c r="A9175" s="15" t="s">
        <v>26253</v>
      </c>
      <c r="B9175" s="15" t="s">
        <v>26254</v>
      </c>
      <c r="C9175" s="18" t="s">
        <v>28</v>
      </c>
      <c r="D9175" s="15" t="s">
        <v>26255</v>
      </c>
      <c r="E9175" s="18" t="s">
        <v>28</v>
      </c>
      <c r="F9175" s="19" t="s">
        <v>28</v>
      </c>
      <c r="G9175" s="19">
        <v>0.17</v>
      </c>
      <c r="H9175" s="19">
        <v>0.56999999999999995</v>
      </c>
      <c r="I9175" s="18" t="s">
        <v>28</v>
      </c>
      <c r="J9175" s="18" t="s">
        <v>28</v>
      </c>
      <c r="K9175" s="18" t="s">
        <v>28</v>
      </c>
      <c r="L9175" s="18" t="s">
        <v>28</v>
      </c>
      <c r="M9175" s="18" t="s">
        <v>28</v>
      </c>
      <c r="N9175" s="17">
        <v>42520</v>
      </c>
      <c r="O9175" s="15" t="s">
        <v>73</v>
      </c>
      <c r="P9175" s="16" t="s">
        <v>26256</v>
      </c>
      <c r="Q9175" s="15" t="s">
        <v>263</v>
      </c>
      <c r="R9175" s="13" t="str">
        <f>HYPERLINK("https://my.pitchbook.com?c=133415-83T","View Company Online")</f>
        <v>View Company Online</v>
      </c>
    </row>
    <row r="9176" spans="1:18" hidden="1" x14ac:dyDescent="0.3">
      <c r="A9176" s="9" t="s">
        <v>26257</v>
      </c>
      <c r="B9176" s="9" t="s">
        <v>22307</v>
      </c>
      <c r="C9176" s="11" t="s">
        <v>28</v>
      </c>
      <c r="D9176" s="9" t="s">
        <v>22308</v>
      </c>
      <c r="E9176" s="11" t="s">
        <v>28</v>
      </c>
      <c r="F9176" s="10" t="s">
        <v>28</v>
      </c>
      <c r="G9176" s="10">
        <v>0.06</v>
      </c>
      <c r="H9176" s="10">
        <v>0.42</v>
      </c>
      <c r="I9176" s="11" t="s">
        <v>28</v>
      </c>
      <c r="J9176" s="11" t="s">
        <v>28</v>
      </c>
      <c r="K9176" s="11" t="s">
        <v>28</v>
      </c>
      <c r="L9176" s="11" t="s">
        <v>28</v>
      </c>
      <c r="M9176" s="11" t="s">
        <v>28</v>
      </c>
      <c r="N9176" s="8">
        <v>42517</v>
      </c>
      <c r="O9176" s="9" t="s">
        <v>52</v>
      </c>
      <c r="P9176" s="12" t="s">
        <v>26258</v>
      </c>
      <c r="Q9176" s="9" t="s">
        <v>95</v>
      </c>
      <c r="R9176" s="14" t="str">
        <f>HYPERLINK("https://my.pitchbook.com?c=122373-10T","View Company Online")</f>
        <v>View Company Online</v>
      </c>
    </row>
    <row r="9177" spans="1:18" hidden="1" x14ac:dyDescent="0.3">
      <c r="A9177" s="15" t="s">
        <v>26259</v>
      </c>
      <c r="B9177" s="15" t="s">
        <v>26260</v>
      </c>
      <c r="C9177" s="18" t="s">
        <v>28</v>
      </c>
      <c r="D9177" s="15" t="s">
        <v>26261</v>
      </c>
      <c r="E9177" s="18" t="s">
        <v>28</v>
      </c>
      <c r="F9177" s="19" t="s">
        <v>28</v>
      </c>
      <c r="G9177" s="19" t="s">
        <v>28</v>
      </c>
      <c r="H9177" s="19" t="s">
        <v>28</v>
      </c>
      <c r="I9177" s="18" t="s">
        <v>28</v>
      </c>
      <c r="J9177" s="18" t="s">
        <v>28</v>
      </c>
      <c r="K9177" s="18" t="s">
        <v>28</v>
      </c>
      <c r="L9177" s="18" t="s">
        <v>28</v>
      </c>
      <c r="M9177" s="18" t="s">
        <v>28</v>
      </c>
      <c r="N9177" s="17">
        <v>42516</v>
      </c>
      <c r="O9177" s="15" t="s">
        <v>30</v>
      </c>
      <c r="P9177" s="16" t="s">
        <v>983</v>
      </c>
      <c r="Q9177" s="15" t="s">
        <v>5760</v>
      </c>
      <c r="R9177" s="13" t="str">
        <f>HYPERLINK("https://my.pitchbook.com?c=110460-88T","View Company Online")</f>
        <v>View Company Online</v>
      </c>
    </row>
    <row r="9178" spans="1:18" hidden="1" x14ac:dyDescent="0.3">
      <c r="A9178" s="9" t="s">
        <v>26262</v>
      </c>
      <c r="B9178" s="9" t="s">
        <v>26263</v>
      </c>
      <c r="C9178" s="11" t="s">
        <v>28</v>
      </c>
      <c r="D9178" s="9" t="s">
        <v>26264</v>
      </c>
      <c r="E9178" s="11" t="s">
        <v>28</v>
      </c>
      <c r="F9178" s="10" t="s">
        <v>28</v>
      </c>
      <c r="G9178" s="10">
        <v>28.32</v>
      </c>
      <c r="H9178" s="10">
        <v>94.39</v>
      </c>
      <c r="I9178" s="11" t="s">
        <v>28</v>
      </c>
      <c r="J9178" s="11" t="s">
        <v>28</v>
      </c>
      <c r="K9178" s="11">
        <v>90.06</v>
      </c>
      <c r="L9178" s="11">
        <v>1.05</v>
      </c>
      <c r="M9178" s="11" t="s">
        <v>28</v>
      </c>
      <c r="N9178" s="8">
        <v>42515</v>
      </c>
      <c r="O9178" s="9" t="s">
        <v>93</v>
      </c>
      <c r="P9178" s="12" t="s">
        <v>26265</v>
      </c>
      <c r="Q9178" s="9" t="s">
        <v>409</v>
      </c>
      <c r="R9178" s="14" t="str">
        <f>HYPERLINK("https://my.pitchbook.com?c=97024-96T","View Company Online")</f>
        <v>View Company Online</v>
      </c>
    </row>
    <row r="9179" spans="1:18" hidden="1" x14ac:dyDescent="0.3">
      <c r="A9179" s="15" t="s">
        <v>26266</v>
      </c>
      <c r="B9179" s="15" t="s">
        <v>26267</v>
      </c>
      <c r="C9179" s="18" t="s">
        <v>28</v>
      </c>
      <c r="D9179" s="15" t="s">
        <v>26268</v>
      </c>
      <c r="E9179" s="18" t="s">
        <v>28</v>
      </c>
      <c r="F9179" s="19" t="s">
        <v>28</v>
      </c>
      <c r="G9179" s="19" t="s">
        <v>28</v>
      </c>
      <c r="H9179" s="19" t="s">
        <v>28</v>
      </c>
      <c r="I9179" s="18" t="s">
        <v>28</v>
      </c>
      <c r="J9179" s="18" t="s">
        <v>28</v>
      </c>
      <c r="K9179" s="18" t="s">
        <v>28</v>
      </c>
      <c r="L9179" s="18" t="s">
        <v>28</v>
      </c>
      <c r="M9179" s="18" t="s">
        <v>28</v>
      </c>
      <c r="N9179" s="17">
        <v>42513</v>
      </c>
      <c r="O9179" s="15" t="s">
        <v>173</v>
      </c>
      <c r="P9179" s="16" t="s">
        <v>28</v>
      </c>
      <c r="Q9179" s="15" t="s">
        <v>174</v>
      </c>
      <c r="R9179" s="13" t="str">
        <f>HYPERLINK("https://my.pitchbook.com?c=225418-15T","View Company Online")</f>
        <v>View Company Online</v>
      </c>
    </row>
    <row r="9180" spans="1:18" hidden="1" x14ac:dyDescent="0.3">
      <c r="A9180" s="9" t="s">
        <v>26269</v>
      </c>
      <c r="B9180" s="9" t="s">
        <v>11007</v>
      </c>
      <c r="C9180" s="11" t="s">
        <v>28</v>
      </c>
      <c r="D9180" s="9" t="s">
        <v>11008</v>
      </c>
      <c r="E9180" s="11">
        <v>21.12</v>
      </c>
      <c r="F9180" s="10" t="s">
        <v>28</v>
      </c>
      <c r="G9180" s="10">
        <v>86.7</v>
      </c>
      <c r="H9180" s="10" t="s">
        <v>28</v>
      </c>
      <c r="I9180" s="11">
        <v>32.799999999999997</v>
      </c>
      <c r="J9180" s="11" t="s">
        <v>28</v>
      </c>
      <c r="K9180" s="11">
        <v>243.67</v>
      </c>
      <c r="L9180" s="11" t="s">
        <v>28</v>
      </c>
      <c r="M9180" s="11">
        <v>13.88</v>
      </c>
      <c r="N9180" s="8">
        <v>42511</v>
      </c>
      <c r="O9180" s="9" t="s">
        <v>159</v>
      </c>
      <c r="P9180" s="12" t="s">
        <v>26122</v>
      </c>
      <c r="Q9180" s="9" t="s">
        <v>85</v>
      </c>
      <c r="R9180" s="14" t="str">
        <f>HYPERLINK("https://my.pitchbook.com?c=172628-74T","View Company Online")</f>
        <v>View Company Online</v>
      </c>
    </row>
    <row r="9181" spans="1:18" hidden="1" x14ac:dyDescent="0.3">
      <c r="A9181" s="15" t="s">
        <v>26270</v>
      </c>
      <c r="B9181" s="15" t="s">
        <v>26271</v>
      </c>
      <c r="C9181" s="18" t="s">
        <v>28</v>
      </c>
      <c r="D9181" s="15" t="s">
        <v>26272</v>
      </c>
      <c r="E9181" s="18" t="s">
        <v>28</v>
      </c>
      <c r="F9181" s="19" t="s">
        <v>28</v>
      </c>
      <c r="G9181" s="19" t="s">
        <v>28</v>
      </c>
      <c r="H9181" s="19" t="s">
        <v>28</v>
      </c>
      <c r="I9181" s="18" t="s">
        <v>28</v>
      </c>
      <c r="J9181" s="18" t="s">
        <v>28</v>
      </c>
      <c r="K9181" s="18" t="s">
        <v>28</v>
      </c>
      <c r="L9181" s="18" t="s">
        <v>28</v>
      </c>
      <c r="M9181" s="18" t="s">
        <v>28</v>
      </c>
      <c r="N9181" s="17">
        <v>42511</v>
      </c>
      <c r="O9181" s="15" t="s">
        <v>30</v>
      </c>
      <c r="P9181" s="16" t="s">
        <v>26273</v>
      </c>
      <c r="Q9181" s="15" t="s">
        <v>280</v>
      </c>
      <c r="R9181" s="13" t="str">
        <f>HYPERLINK("https://my.pitchbook.com?c=297402-94T","View Company Online")</f>
        <v>View Company Online</v>
      </c>
    </row>
    <row r="9182" spans="1:18" hidden="1" x14ac:dyDescent="0.3">
      <c r="A9182" s="9" t="s">
        <v>26274</v>
      </c>
      <c r="B9182" s="9" t="s">
        <v>26275</v>
      </c>
      <c r="C9182" s="11" t="s">
        <v>28</v>
      </c>
      <c r="D9182" s="9" t="s">
        <v>26276</v>
      </c>
      <c r="E9182" s="11" t="s">
        <v>28</v>
      </c>
      <c r="F9182" s="10" t="s">
        <v>28</v>
      </c>
      <c r="G9182" s="10" t="s">
        <v>28</v>
      </c>
      <c r="H9182" s="10" t="s">
        <v>28</v>
      </c>
      <c r="I9182" s="11" t="s">
        <v>28</v>
      </c>
      <c r="J9182" s="11" t="s">
        <v>28</v>
      </c>
      <c r="K9182" s="11" t="s">
        <v>28</v>
      </c>
      <c r="L9182" s="11" t="s">
        <v>28</v>
      </c>
      <c r="M9182" s="11" t="s">
        <v>28</v>
      </c>
      <c r="N9182" s="8">
        <v>42510</v>
      </c>
      <c r="O9182" s="9" t="s">
        <v>99</v>
      </c>
      <c r="P9182" s="12" t="s">
        <v>3825</v>
      </c>
      <c r="Q9182" s="9" t="s">
        <v>75</v>
      </c>
      <c r="R9182" s="14" t="str">
        <f>HYPERLINK("https://my.pitchbook.com?c=79673-50T","View Company Online")</f>
        <v>View Company Online</v>
      </c>
    </row>
    <row r="9183" spans="1:18" hidden="1" x14ac:dyDescent="0.3">
      <c r="A9183" s="15" t="s">
        <v>26277</v>
      </c>
      <c r="B9183" s="15" t="s">
        <v>26278</v>
      </c>
      <c r="C9183" s="18" t="s">
        <v>28</v>
      </c>
      <c r="D9183" s="15" t="s">
        <v>26279</v>
      </c>
      <c r="E9183" s="18" t="s">
        <v>28</v>
      </c>
      <c r="F9183" s="19" t="s">
        <v>28</v>
      </c>
      <c r="G9183" s="19">
        <v>0.4</v>
      </c>
      <c r="H9183" s="19">
        <v>1</v>
      </c>
      <c r="I9183" s="18" t="s">
        <v>28</v>
      </c>
      <c r="J9183" s="18" t="s">
        <v>28</v>
      </c>
      <c r="K9183" s="18" t="s">
        <v>28</v>
      </c>
      <c r="L9183" s="18" t="s">
        <v>28</v>
      </c>
      <c r="M9183" s="18" t="s">
        <v>28</v>
      </c>
      <c r="N9183" s="17">
        <v>42510</v>
      </c>
      <c r="O9183" s="15" t="s">
        <v>99</v>
      </c>
      <c r="P9183" s="16" t="s">
        <v>26280</v>
      </c>
      <c r="Q9183" s="15" t="s">
        <v>607</v>
      </c>
      <c r="R9183" s="13" t="str">
        <f>HYPERLINK("https://my.pitchbook.com?c=74455-84T","View Company Online")</f>
        <v>View Company Online</v>
      </c>
    </row>
    <row r="9184" spans="1:18" x14ac:dyDescent="0.3">
      <c r="A9184" s="9" t="s">
        <v>26281</v>
      </c>
      <c r="B9184" s="9" t="s">
        <v>26282</v>
      </c>
      <c r="C9184" s="11">
        <v>4.3099999999999996</v>
      </c>
      <c r="D9184" s="9" t="s">
        <v>26283</v>
      </c>
      <c r="E9184" s="11">
        <v>50.1</v>
      </c>
      <c r="F9184" s="10">
        <v>864.99</v>
      </c>
      <c r="G9184" s="10">
        <v>312.61</v>
      </c>
      <c r="H9184" s="10">
        <v>1018.28</v>
      </c>
      <c r="I9184" s="11">
        <v>200.86</v>
      </c>
      <c r="J9184" s="11">
        <v>5.07</v>
      </c>
      <c r="K9184" s="11">
        <v>1053.22</v>
      </c>
      <c r="L9184" s="11">
        <v>0.97</v>
      </c>
      <c r="M9184" s="11">
        <v>29.52</v>
      </c>
      <c r="N9184" s="8">
        <v>42507</v>
      </c>
      <c r="O9184" s="9" t="s">
        <v>30</v>
      </c>
      <c r="P9184" s="12" t="s">
        <v>26284</v>
      </c>
      <c r="Q9184" s="9" t="s">
        <v>24243</v>
      </c>
      <c r="R9184" s="14" t="str">
        <f>HYPERLINK("https://my.pitchbook.com?c=68238-46T","View Company Online")</f>
        <v>View Company Online</v>
      </c>
    </row>
    <row r="9185" spans="1:18" hidden="1" x14ac:dyDescent="0.3">
      <c r="A9185" s="15" t="s">
        <v>26285</v>
      </c>
      <c r="B9185" s="15" t="s">
        <v>23502</v>
      </c>
      <c r="C9185" s="18" t="s">
        <v>28</v>
      </c>
      <c r="D9185" s="15" t="s">
        <v>23503</v>
      </c>
      <c r="E9185" s="18" t="s">
        <v>28</v>
      </c>
      <c r="F9185" s="19" t="s">
        <v>28</v>
      </c>
      <c r="G9185" s="19" t="s">
        <v>28</v>
      </c>
      <c r="H9185" s="19" t="s">
        <v>28</v>
      </c>
      <c r="I9185" s="18" t="s">
        <v>28</v>
      </c>
      <c r="J9185" s="18" t="s">
        <v>28</v>
      </c>
      <c r="K9185" s="18" t="s">
        <v>28</v>
      </c>
      <c r="L9185" s="18" t="s">
        <v>28</v>
      </c>
      <c r="M9185" s="18" t="s">
        <v>28</v>
      </c>
      <c r="N9185" s="17">
        <v>42506</v>
      </c>
      <c r="O9185" s="15" t="s">
        <v>52</v>
      </c>
      <c r="P9185" s="16" t="s">
        <v>10628</v>
      </c>
      <c r="Q9185" s="15" t="s">
        <v>95</v>
      </c>
      <c r="R9185" s="13" t="str">
        <f>HYPERLINK("https://my.pitchbook.com?c=70274-98T","View Company Online")</f>
        <v>View Company Online</v>
      </c>
    </row>
    <row r="9186" spans="1:18" x14ac:dyDescent="0.3">
      <c r="A9186" s="9" t="s">
        <v>26286</v>
      </c>
      <c r="B9186" s="9" t="s">
        <v>26287</v>
      </c>
      <c r="C9186" s="11" t="s">
        <v>28</v>
      </c>
      <c r="D9186" s="9" t="s">
        <v>26288</v>
      </c>
      <c r="E9186" s="11">
        <v>-57.4</v>
      </c>
      <c r="F9186" s="10">
        <v>479.74</v>
      </c>
      <c r="G9186" s="10">
        <v>496.6</v>
      </c>
      <c r="H9186" s="10">
        <v>788.25</v>
      </c>
      <c r="I9186" s="11">
        <v>-57.26</v>
      </c>
      <c r="J9186" s="11">
        <v>-13.77</v>
      </c>
      <c r="K9186" s="11">
        <v>183.45</v>
      </c>
      <c r="L9186" s="11">
        <v>4.3</v>
      </c>
      <c r="M9186" s="11">
        <v>-192.82</v>
      </c>
      <c r="N9186" s="8">
        <v>42506</v>
      </c>
      <c r="O9186" s="9" t="s">
        <v>41</v>
      </c>
      <c r="P9186" s="12" t="s">
        <v>26289</v>
      </c>
      <c r="Q9186" s="9" t="s">
        <v>240</v>
      </c>
      <c r="R9186" s="14" t="str">
        <f>HYPERLINK("https://my.pitchbook.com?c=63059-59T","View Company Online")</f>
        <v>View Company Online</v>
      </c>
    </row>
    <row r="9187" spans="1:18" hidden="1" x14ac:dyDescent="0.3">
      <c r="A9187" s="15" t="s">
        <v>26290</v>
      </c>
      <c r="B9187" s="15" t="s">
        <v>26291</v>
      </c>
      <c r="C9187" s="18" t="s">
        <v>28</v>
      </c>
      <c r="D9187" s="15" t="s">
        <v>26292</v>
      </c>
      <c r="E9187" s="18" t="s">
        <v>28</v>
      </c>
      <c r="F9187" s="19" t="s">
        <v>28</v>
      </c>
      <c r="G9187" s="19" t="s">
        <v>28</v>
      </c>
      <c r="H9187" s="19" t="s">
        <v>28</v>
      </c>
      <c r="I9187" s="18" t="s">
        <v>28</v>
      </c>
      <c r="J9187" s="18" t="s">
        <v>28</v>
      </c>
      <c r="K9187" s="18" t="s">
        <v>28</v>
      </c>
      <c r="L9187" s="18" t="s">
        <v>28</v>
      </c>
      <c r="M9187" s="18" t="s">
        <v>28</v>
      </c>
      <c r="N9187" s="17">
        <v>42506</v>
      </c>
      <c r="O9187" s="15" t="s">
        <v>30</v>
      </c>
      <c r="P9187" s="16" t="s">
        <v>26293</v>
      </c>
      <c r="Q9187" s="15" t="s">
        <v>4602</v>
      </c>
      <c r="R9187" s="13" t="str">
        <f>HYPERLINK("https://my.pitchbook.com?c=70249-15T","View Company Online")</f>
        <v>View Company Online</v>
      </c>
    </row>
    <row r="9188" spans="1:18" hidden="1" x14ac:dyDescent="0.3">
      <c r="A9188" s="9" t="s">
        <v>26294</v>
      </c>
      <c r="B9188" s="9" t="s">
        <v>15824</v>
      </c>
      <c r="C9188" s="11" t="s">
        <v>28</v>
      </c>
      <c r="D9188" s="9" t="s">
        <v>15825</v>
      </c>
      <c r="E9188" s="11" t="s">
        <v>28</v>
      </c>
      <c r="F9188" s="10" t="s">
        <v>28</v>
      </c>
      <c r="G9188" s="10">
        <v>2.7</v>
      </c>
      <c r="H9188" s="10" t="s">
        <v>28</v>
      </c>
      <c r="I9188" s="11" t="s">
        <v>28</v>
      </c>
      <c r="J9188" s="11" t="s">
        <v>28</v>
      </c>
      <c r="K9188" s="11" t="s">
        <v>28</v>
      </c>
      <c r="L9188" s="11" t="s">
        <v>28</v>
      </c>
      <c r="M9188" s="11" t="s">
        <v>28</v>
      </c>
      <c r="N9188" s="8">
        <v>42505</v>
      </c>
      <c r="O9188" s="9" t="s">
        <v>99</v>
      </c>
      <c r="P9188" s="12" t="s">
        <v>26295</v>
      </c>
      <c r="Q9188" s="9" t="s">
        <v>75</v>
      </c>
      <c r="R9188" s="14" t="str">
        <f>HYPERLINK("https://my.pitchbook.com?c=68131-45T","View Company Online")</f>
        <v>View Company Online</v>
      </c>
    </row>
    <row r="9189" spans="1:18" hidden="1" x14ac:dyDescent="0.3">
      <c r="A9189" s="15" t="s">
        <v>26296</v>
      </c>
      <c r="B9189" s="15" t="s">
        <v>26297</v>
      </c>
      <c r="C9189" s="18" t="s">
        <v>28</v>
      </c>
      <c r="D9189" s="15" t="s">
        <v>26298</v>
      </c>
      <c r="E9189" s="18" t="s">
        <v>28</v>
      </c>
      <c r="F9189" s="19" t="s">
        <v>28</v>
      </c>
      <c r="G9189" s="19" t="s">
        <v>28</v>
      </c>
      <c r="H9189" s="19" t="s">
        <v>28</v>
      </c>
      <c r="I9189" s="18" t="s">
        <v>28</v>
      </c>
      <c r="J9189" s="18" t="s">
        <v>28</v>
      </c>
      <c r="K9189" s="18" t="s">
        <v>28</v>
      </c>
      <c r="L9189" s="18" t="s">
        <v>28</v>
      </c>
      <c r="M9189" s="18" t="s">
        <v>28</v>
      </c>
      <c r="N9189" s="17">
        <v>42503</v>
      </c>
      <c r="O9189" s="15" t="s">
        <v>30</v>
      </c>
      <c r="P9189" s="16" t="s">
        <v>26299</v>
      </c>
      <c r="Q9189" s="15" t="s">
        <v>75</v>
      </c>
      <c r="R9189" s="13" t="str">
        <f>HYPERLINK("https://my.pitchbook.com?c=247966-57T","View Company Online")</f>
        <v>View Company Online</v>
      </c>
    </row>
    <row r="9190" spans="1:18" hidden="1" x14ac:dyDescent="0.3">
      <c r="A9190" s="9" t="s">
        <v>26300</v>
      </c>
      <c r="B9190" s="9" t="s">
        <v>22954</v>
      </c>
      <c r="C9190" s="11" t="s">
        <v>28</v>
      </c>
      <c r="D9190" s="9" t="s">
        <v>22955</v>
      </c>
      <c r="E9190" s="11" t="s">
        <v>28</v>
      </c>
      <c r="F9190" s="10" t="s">
        <v>28</v>
      </c>
      <c r="G9190" s="10">
        <v>3</v>
      </c>
      <c r="H9190" s="10" t="s">
        <v>28</v>
      </c>
      <c r="I9190" s="11" t="s">
        <v>28</v>
      </c>
      <c r="J9190" s="11" t="s">
        <v>28</v>
      </c>
      <c r="K9190" s="11" t="s">
        <v>28</v>
      </c>
      <c r="L9190" s="11" t="s">
        <v>28</v>
      </c>
      <c r="M9190" s="11" t="s">
        <v>28</v>
      </c>
      <c r="N9190" s="8">
        <v>42495</v>
      </c>
      <c r="O9190" s="9" t="s">
        <v>73</v>
      </c>
      <c r="P9190" s="12" t="s">
        <v>26301</v>
      </c>
      <c r="Q9190" s="9" t="s">
        <v>404</v>
      </c>
      <c r="R9190" s="14" t="str">
        <f>HYPERLINK("https://my.pitchbook.com?c=70351-03T","View Company Online")</f>
        <v>View Company Online</v>
      </c>
    </row>
    <row r="9191" spans="1:18" x14ac:dyDescent="0.3">
      <c r="A9191" s="15" t="s">
        <v>26302</v>
      </c>
      <c r="B9191" s="15" t="s">
        <v>23353</v>
      </c>
      <c r="C9191" s="18" t="s">
        <v>28</v>
      </c>
      <c r="D9191" s="15" t="s">
        <v>26303</v>
      </c>
      <c r="E9191" s="18">
        <v>229.41</v>
      </c>
      <c r="F9191" s="19" t="s">
        <v>28</v>
      </c>
      <c r="G9191" s="19">
        <v>41.9</v>
      </c>
      <c r="H9191" s="19">
        <v>65.290000000000006</v>
      </c>
      <c r="I9191" s="18">
        <v>326.7</v>
      </c>
      <c r="J9191" s="18">
        <v>0.2</v>
      </c>
      <c r="K9191" s="18">
        <v>754.84</v>
      </c>
      <c r="L9191" s="18">
        <v>0.09</v>
      </c>
      <c r="M9191" s="18">
        <v>-150.29</v>
      </c>
      <c r="N9191" s="17">
        <v>42494</v>
      </c>
      <c r="O9191" s="15" t="s">
        <v>30</v>
      </c>
      <c r="P9191" s="16" t="s">
        <v>26304</v>
      </c>
      <c r="Q9191" s="15" t="s">
        <v>5347</v>
      </c>
      <c r="R9191" s="13" t="str">
        <f>HYPERLINK("https://my.pitchbook.com?c=62244-73T","View Company Online")</f>
        <v>View Company Online</v>
      </c>
    </row>
    <row r="9192" spans="1:18" hidden="1" x14ac:dyDescent="0.3">
      <c r="A9192" s="9" t="s">
        <v>26305</v>
      </c>
      <c r="B9192" s="9" t="s">
        <v>26306</v>
      </c>
      <c r="C9192" s="11" t="s">
        <v>28</v>
      </c>
      <c r="D9192" s="9" t="s">
        <v>26307</v>
      </c>
      <c r="E9192" s="11" t="s">
        <v>28</v>
      </c>
      <c r="F9192" s="10" t="s">
        <v>28</v>
      </c>
      <c r="G9192" s="10" t="s">
        <v>28</v>
      </c>
      <c r="H9192" s="10" t="s">
        <v>28</v>
      </c>
      <c r="I9192" s="11" t="s">
        <v>28</v>
      </c>
      <c r="J9192" s="11" t="s">
        <v>28</v>
      </c>
      <c r="K9192" s="11" t="s">
        <v>28</v>
      </c>
      <c r="L9192" s="11" t="s">
        <v>28</v>
      </c>
      <c r="M9192" s="11" t="s">
        <v>28</v>
      </c>
      <c r="N9192" s="8">
        <v>42494</v>
      </c>
      <c r="O9192" s="9" t="s">
        <v>30</v>
      </c>
      <c r="P9192" s="12" t="s">
        <v>26308</v>
      </c>
      <c r="Q9192" s="9" t="s">
        <v>109</v>
      </c>
      <c r="R9192" s="14" t="str">
        <f>HYPERLINK("https://my.pitchbook.com?c=110457-28T","View Company Online")</f>
        <v>View Company Online</v>
      </c>
    </row>
    <row r="9193" spans="1:18" hidden="1" x14ac:dyDescent="0.3">
      <c r="A9193" s="15" t="s">
        <v>26309</v>
      </c>
      <c r="B9193" s="15" t="s">
        <v>26310</v>
      </c>
      <c r="C9193" s="18" t="s">
        <v>28</v>
      </c>
      <c r="D9193" s="15" t="s">
        <v>26311</v>
      </c>
      <c r="E9193" s="18" t="s">
        <v>28</v>
      </c>
      <c r="F9193" s="19" t="s">
        <v>28</v>
      </c>
      <c r="G9193" s="19" t="s">
        <v>28</v>
      </c>
      <c r="H9193" s="19" t="s">
        <v>28</v>
      </c>
      <c r="I9193" s="18" t="s">
        <v>28</v>
      </c>
      <c r="J9193" s="18" t="s">
        <v>28</v>
      </c>
      <c r="K9193" s="18" t="s">
        <v>28</v>
      </c>
      <c r="L9193" s="18" t="s">
        <v>28</v>
      </c>
      <c r="M9193" s="18" t="s">
        <v>28</v>
      </c>
      <c r="N9193" s="17">
        <v>42493</v>
      </c>
      <c r="O9193" s="15" t="s">
        <v>30</v>
      </c>
      <c r="P9193" s="16" t="s">
        <v>2834</v>
      </c>
      <c r="Q9193" s="15" t="s">
        <v>1088</v>
      </c>
      <c r="R9193" s="13" t="str">
        <f>HYPERLINK("https://my.pitchbook.com?c=62984-62T","View Company Online")</f>
        <v>View Company Online</v>
      </c>
    </row>
    <row r="9194" spans="1:18" hidden="1" x14ac:dyDescent="0.3">
      <c r="A9194" s="9" t="s">
        <v>26312</v>
      </c>
      <c r="B9194" s="9" t="s">
        <v>19646</v>
      </c>
      <c r="C9194" s="11" t="s">
        <v>28</v>
      </c>
      <c r="D9194" s="9" t="s">
        <v>19647</v>
      </c>
      <c r="E9194" s="11" t="s">
        <v>28</v>
      </c>
      <c r="F9194" s="10">
        <v>12.6</v>
      </c>
      <c r="G9194" s="10">
        <v>12.6</v>
      </c>
      <c r="H9194" s="10">
        <v>12.6</v>
      </c>
      <c r="I9194" s="11" t="s">
        <v>28</v>
      </c>
      <c r="J9194" s="11" t="s">
        <v>28</v>
      </c>
      <c r="K9194" s="11" t="s">
        <v>28</v>
      </c>
      <c r="L9194" s="11" t="s">
        <v>28</v>
      </c>
      <c r="M9194" s="11" t="s">
        <v>28</v>
      </c>
      <c r="N9194" s="8">
        <v>42492</v>
      </c>
      <c r="O9194" s="9" t="s">
        <v>30</v>
      </c>
      <c r="P9194" s="12" t="s">
        <v>28</v>
      </c>
      <c r="Q9194" s="9" t="s">
        <v>5132</v>
      </c>
      <c r="R9194" s="14" t="str">
        <f>HYPERLINK("https://my.pitchbook.com?c=62311-06T","View Company Online")</f>
        <v>View Company Online</v>
      </c>
    </row>
    <row r="9195" spans="1:18" hidden="1" x14ac:dyDescent="0.3">
      <c r="A9195" s="15" t="s">
        <v>26313</v>
      </c>
      <c r="B9195" s="15" t="s">
        <v>5384</v>
      </c>
      <c r="C9195" s="18" t="s">
        <v>28</v>
      </c>
      <c r="D9195" s="15" t="s">
        <v>5385</v>
      </c>
      <c r="E9195" s="18" t="s">
        <v>28</v>
      </c>
      <c r="F9195" s="19" t="s">
        <v>28</v>
      </c>
      <c r="G9195" s="19" t="s">
        <v>28</v>
      </c>
      <c r="H9195" s="19" t="s">
        <v>28</v>
      </c>
      <c r="I9195" s="18" t="s">
        <v>28</v>
      </c>
      <c r="J9195" s="18" t="s">
        <v>28</v>
      </c>
      <c r="K9195" s="18" t="s">
        <v>28</v>
      </c>
      <c r="L9195" s="18" t="s">
        <v>28</v>
      </c>
      <c r="M9195" s="18" t="s">
        <v>28</v>
      </c>
      <c r="N9195" s="17">
        <v>42491</v>
      </c>
      <c r="O9195" s="15" t="s">
        <v>73</v>
      </c>
      <c r="P9195" s="16" t="s">
        <v>8780</v>
      </c>
      <c r="Q9195" s="15" t="s">
        <v>37</v>
      </c>
      <c r="R9195" s="13" t="str">
        <f>HYPERLINK("https://my.pitchbook.com?c=210800-89T","View Company Online")</f>
        <v>View Company Online</v>
      </c>
    </row>
    <row r="9196" spans="1:18" hidden="1" x14ac:dyDescent="0.3">
      <c r="A9196" s="9" t="s">
        <v>26314</v>
      </c>
      <c r="B9196" s="9" t="s">
        <v>26315</v>
      </c>
      <c r="C9196" s="11" t="s">
        <v>28</v>
      </c>
      <c r="D9196" s="9" t="s">
        <v>26316</v>
      </c>
      <c r="E9196" s="11" t="s">
        <v>28</v>
      </c>
      <c r="F9196" s="10" t="s">
        <v>28</v>
      </c>
      <c r="G9196" s="10" t="s">
        <v>28</v>
      </c>
      <c r="H9196" s="10" t="s">
        <v>28</v>
      </c>
      <c r="I9196" s="11" t="s">
        <v>28</v>
      </c>
      <c r="J9196" s="11" t="s">
        <v>28</v>
      </c>
      <c r="K9196" s="11" t="s">
        <v>28</v>
      </c>
      <c r="L9196" s="11" t="s">
        <v>28</v>
      </c>
      <c r="M9196" s="11" t="s">
        <v>28</v>
      </c>
      <c r="N9196" s="8">
        <v>42491</v>
      </c>
      <c r="O9196" s="9" t="s">
        <v>30</v>
      </c>
      <c r="P9196" s="12" t="s">
        <v>26317</v>
      </c>
      <c r="Q9196" s="9" t="s">
        <v>136</v>
      </c>
      <c r="R9196" s="14" t="str">
        <f>HYPERLINK("https://my.pitchbook.com?c=86596-39T","View Company Online")</f>
        <v>View Company Online</v>
      </c>
    </row>
    <row r="9197" spans="1:18" hidden="1" x14ac:dyDescent="0.3">
      <c r="A9197" s="15" t="s">
        <v>26318</v>
      </c>
      <c r="B9197" s="15" t="s">
        <v>14602</v>
      </c>
      <c r="C9197" s="18" t="s">
        <v>28</v>
      </c>
      <c r="D9197" s="15" t="s">
        <v>14603</v>
      </c>
      <c r="E9197" s="18" t="s">
        <v>28</v>
      </c>
      <c r="F9197" s="19" t="s">
        <v>28</v>
      </c>
      <c r="G9197" s="19">
        <v>15</v>
      </c>
      <c r="H9197" s="19">
        <v>135</v>
      </c>
      <c r="I9197" s="18" t="s">
        <v>28</v>
      </c>
      <c r="J9197" s="18" t="s">
        <v>28</v>
      </c>
      <c r="K9197" s="18" t="s">
        <v>28</v>
      </c>
      <c r="L9197" s="18" t="s">
        <v>28</v>
      </c>
      <c r="M9197" s="18" t="s">
        <v>28</v>
      </c>
      <c r="N9197" s="17">
        <v>42491</v>
      </c>
      <c r="O9197" s="15" t="s">
        <v>73</v>
      </c>
      <c r="P9197" s="16" t="s">
        <v>26319</v>
      </c>
      <c r="Q9197" s="15" t="s">
        <v>188</v>
      </c>
      <c r="R9197" s="13" t="str">
        <f>HYPERLINK("https://my.pitchbook.com?c=77150-08T","View Company Online")</f>
        <v>View Company Online</v>
      </c>
    </row>
    <row r="9198" spans="1:18" hidden="1" x14ac:dyDescent="0.3">
      <c r="A9198" s="9" t="s">
        <v>26320</v>
      </c>
      <c r="B9198" s="9" t="s">
        <v>26321</v>
      </c>
      <c r="C9198" s="11" t="s">
        <v>28</v>
      </c>
      <c r="D9198" s="9" t="s">
        <v>26322</v>
      </c>
      <c r="E9198" s="11" t="s">
        <v>28</v>
      </c>
      <c r="F9198" s="10" t="s">
        <v>28</v>
      </c>
      <c r="G9198" s="10" t="s">
        <v>28</v>
      </c>
      <c r="H9198" s="10" t="s">
        <v>28</v>
      </c>
      <c r="I9198" s="11" t="s">
        <v>28</v>
      </c>
      <c r="J9198" s="11" t="s">
        <v>28</v>
      </c>
      <c r="K9198" s="11" t="s">
        <v>28</v>
      </c>
      <c r="L9198" s="11" t="s">
        <v>28</v>
      </c>
      <c r="M9198" s="11" t="s">
        <v>28</v>
      </c>
      <c r="N9198" s="8">
        <v>42491</v>
      </c>
      <c r="O9198" s="9" t="s">
        <v>30</v>
      </c>
      <c r="P9198" s="12" t="s">
        <v>3200</v>
      </c>
      <c r="Q9198" s="9" t="s">
        <v>75</v>
      </c>
      <c r="R9198" s="14" t="str">
        <f>HYPERLINK("https://my.pitchbook.com?c=192969-82T","View Company Online")</f>
        <v>View Company Online</v>
      </c>
    </row>
    <row r="9199" spans="1:18" hidden="1" x14ac:dyDescent="0.3">
      <c r="A9199" s="15" t="s">
        <v>26323</v>
      </c>
      <c r="B9199" s="15" t="s">
        <v>26324</v>
      </c>
      <c r="C9199" s="18" t="s">
        <v>28</v>
      </c>
      <c r="D9199" s="15" t="s">
        <v>26325</v>
      </c>
      <c r="E9199" s="18" t="s">
        <v>28</v>
      </c>
      <c r="F9199" s="19" t="s">
        <v>28</v>
      </c>
      <c r="G9199" s="19" t="s">
        <v>28</v>
      </c>
      <c r="H9199" s="19" t="s">
        <v>28</v>
      </c>
      <c r="I9199" s="18" t="s">
        <v>28</v>
      </c>
      <c r="J9199" s="18" t="s">
        <v>28</v>
      </c>
      <c r="K9199" s="18" t="s">
        <v>28</v>
      </c>
      <c r="L9199" s="18" t="s">
        <v>28</v>
      </c>
      <c r="M9199" s="18" t="s">
        <v>28</v>
      </c>
      <c r="N9199" s="17">
        <v>42491</v>
      </c>
      <c r="O9199" s="15" t="s">
        <v>93</v>
      </c>
      <c r="P9199" s="16" t="s">
        <v>26326</v>
      </c>
      <c r="Q9199" s="15" t="s">
        <v>169</v>
      </c>
      <c r="R9199" s="13" t="str">
        <f>HYPERLINK("https://my.pitchbook.com?c=38004-58T","View Company Online")</f>
        <v>View Company Online</v>
      </c>
    </row>
    <row r="9200" spans="1:18" hidden="1" x14ac:dyDescent="0.3">
      <c r="A9200" s="9" t="s">
        <v>26327</v>
      </c>
      <c r="B9200" s="9" t="s">
        <v>3410</v>
      </c>
      <c r="C9200" s="11" t="s">
        <v>28</v>
      </c>
      <c r="D9200" s="9" t="s">
        <v>3411</v>
      </c>
      <c r="E9200" s="11" t="s">
        <v>28</v>
      </c>
      <c r="F9200" s="10" t="s">
        <v>28</v>
      </c>
      <c r="G9200" s="10" t="s">
        <v>28</v>
      </c>
      <c r="H9200" s="10" t="s">
        <v>28</v>
      </c>
      <c r="I9200" s="11" t="s">
        <v>28</v>
      </c>
      <c r="J9200" s="11" t="s">
        <v>28</v>
      </c>
      <c r="K9200" s="11" t="s">
        <v>28</v>
      </c>
      <c r="L9200" s="11" t="s">
        <v>28</v>
      </c>
      <c r="M9200" s="11" t="s">
        <v>28</v>
      </c>
      <c r="N9200" s="8">
        <v>42491</v>
      </c>
      <c r="O9200" s="9" t="s">
        <v>73</v>
      </c>
      <c r="P9200" s="12" t="s">
        <v>8545</v>
      </c>
      <c r="Q9200" s="9" t="s">
        <v>414</v>
      </c>
      <c r="R9200" s="14" t="str">
        <f>HYPERLINK("https://my.pitchbook.com?c=295473-70T","View Company Online")</f>
        <v>View Company Online</v>
      </c>
    </row>
    <row r="9201" spans="1:18" hidden="1" x14ac:dyDescent="0.3">
      <c r="A9201" s="15" t="s">
        <v>26328</v>
      </c>
      <c r="B9201" s="15" t="s">
        <v>13276</v>
      </c>
      <c r="C9201" s="18" t="s">
        <v>28</v>
      </c>
      <c r="D9201" s="15" t="s">
        <v>13277</v>
      </c>
      <c r="E9201" s="18" t="s">
        <v>28</v>
      </c>
      <c r="F9201" s="19" t="s">
        <v>28</v>
      </c>
      <c r="G9201" s="19">
        <v>1</v>
      </c>
      <c r="H9201" s="19" t="s">
        <v>28</v>
      </c>
      <c r="I9201" s="18" t="s">
        <v>28</v>
      </c>
      <c r="J9201" s="18" t="s">
        <v>28</v>
      </c>
      <c r="K9201" s="18" t="s">
        <v>28</v>
      </c>
      <c r="L9201" s="18" t="s">
        <v>28</v>
      </c>
      <c r="M9201" s="18" t="s">
        <v>28</v>
      </c>
      <c r="N9201" s="17">
        <v>42491</v>
      </c>
      <c r="O9201" s="15" t="s">
        <v>99</v>
      </c>
      <c r="P9201" s="16" t="s">
        <v>26329</v>
      </c>
      <c r="Q9201" s="15" t="s">
        <v>583</v>
      </c>
      <c r="R9201" s="13" t="str">
        <f>HYPERLINK("https://my.pitchbook.com?c=77142-43T","View Company Online")</f>
        <v>View Company Online</v>
      </c>
    </row>
    <row r="9202" spans="1:18" hidden="1" x14ac:dyDescent="0.3">
      <c r="A9202" s="9" t="s">
        <v>26330</v>
      </c>
      <c r="B9202" s="9" t="s">
        <v>21210</v>
      </c>
      <c r="C9202" s="11" t="s">
        <v>28</v>
      </c>
      <c r="D9202" s="9" t="s">
        <v>21211</v>
      </c>
      <c r="E9202" s="11" t="s">
        <v>28</v>
      </c>
      <c r="F9202" s="10" t="s">
        <v>28</v>
      </c>
      <c r="G9202" s="10" t="s">
        <v>28</v>
      </c>
      <c r="H9202" s="10" t="s">
        <v>28</v>
      </c>
      <c r="I9202" s="11" t="s">
        <v>28</v>
      </c>
      <c r="J9202" s="11" t="s">
        <v>28</v>
      </c>
      <c r="K9202" s="11" t="s">
        <v>28</v>
      </c>
      <c r="L9202" s="11" t="s">
        <v>28</v>
      </c>
      <c r="M9202" s="11" t="s">
        <v>28</v>
      </c>
      <c r="N9202" s="8">
        <v>42491</v>
      </c>
      <c r="O9202" s="9" t="s">
        <v>52</v>
      </c>
      <c r="P9202" s="12" t="s">
        <v>25170</v>
      </c>
      <c r="Q9202" s="9" t="s">
        <v>37</v>
      </c>
      <c r="R9202" s="14" t="str">
        <f>HYPERLINK("https://my.pitchbook.com?c=122376-25T","View Company Online")</f>
        <v>View Company Online</v>
      </c>
    </row>
    <row r="9203" spans="1:18" hidden="1" x14ac:dyDescent="0.3">
      <c r="A9203" s="15" t="s">
        <v>26331</v>
      </c>
      <c r="B9203" s="15" t="s">
        <v>26332</v>
      </c>
      <c r="C9203" s="18" t="s">
        <v>28</v>
      </c>
      <c r="D9203" s="15" t="s">
        <v>26333</v>
      </c>
      <c r="E9203" s="18" t="s">
        <v>28</v>
      </c>
      <c r="F9203" s="19" t="s">
        <v>28</v>
      </c>
      <c r="G9203" s="19">
        <v>1</v>
      </c>
      <c r="H9203" s="19">
        <v>10</v>
      </c>
      <c r="I9203" s="18" t="s">
        <v>28</v>
      </c>
      <c r="J9203" s="18" t="s">
        <v>28</v>
      </c>
      <c r="K9203" s="18" t="s">
        <v>28</v>
      </c>
      <c r="L9203" s="18" t="s">
        <v>28</v>
      </c>
      <c r="M9203" s="18" t="s">
        <v>28</v>
      </c>
      <c r="N9203" s="17">
        <v>42491</v>
      </c>
      <c r="O9203" s="15" t="s">
        <v>99</v>
      </c>
      <c r="P9203" s="16" t="s">
        <v>28</v>
      </c>
      <c r="Q9203" s="15" t="s">
        <v>75</v>
      </c>
      <c r="R9203" s="13" t="str">
        <f>HYPERLINK("https://my.pitchbook.com?c=219581-11T","View Company Online")</f>
        <v>View Company Online</v>
      </c>
    </row>
    <row r="9204" spans="1:18" hidden="1" x14ac:dyDescent="0.3">
      <c r="A9204" s="9" t="s">
        <v>26334</v>
      </c>
      <c r="B9204" s="9" t="s">
        <v>13832</v>
      </c>
      <c r="C9204" s="11" t="s">
        <v>28</v>
      </c>
      <c r="D9204" s="9" t="s">
        <v>13833</v>
      </c>
      <c r="E9204" s="11" t="s">
        <v>28</v>
      </c>
      <c r="F9204" s="10" t="s">
        <v>28</v>
      </c>
      <c r="G9204" s="10">
        <v>0.38</v>
      </c>
      <c r="H9204" s="10" t="s">
        <v>28</v>
      </c>
      <c r="I9204" s="11" t="s">
        <v>28</v>
      </c>
      <c r="J9204" s="11" t="s">
        <v>28</v>
      </c>
      <c r="K9204" s="11" t="s">
        <v>28</v>
      </c>
      <c r="L9204" s="11" t="s">
        <v>28</v>
      </c>
      <c r="M9204" s="11" t="s">
        <v>28</v>
      </c>
      <c r="N9204" s="8">
        <v>42491</v>
      </c>
      <c r="O9204" s="9" t="s">
        <v>73</v>
      </c>
      <c r="P9204" s="12" t="s">
        <v>26335</v>
      </c>
      <c r="Q9204" s="9" t="s">
        <v>37</v>
      </c>
      <c r="R9204" s="14" t="str">
        <f>HYPERLINK("https://my.pitchbook.com?c=68120-74T","View Company Online")</f>
        <v>View Company Online</v>
      </c>
    </row>
    <row r="9205" spans="1:18" hidden="1" x14ac:dyDescent="0.3">
      <c r="A9205" s="15" t="s">
        <v>26336</v>
      </c>
      <c r="B9205" s="15" t="s">
        <v>26337</v>
      </c>
      <c r="C9205" s="18" t="s">
        <v>28</v>
      </c>
      <c r="D9205" s="15" t="s">
        <v>26338</v>
      </c>
      <c r="E9205" s="18" t="s">
        <v>28</v>
      </c>
      <c r="F9205" s="19">
        <v>139.27000000000001</v>
      </c>
      <c r="G9205" s="19">
        <v>80.180000000000007</v>
      </c>
      <c r="H9205" s="19">
        <v>139.27000000000001</v>
      </c>
      <c r="I9205" s="18" t="s">
        <v>28</v>
      </c>
      <c r="J9205" s="18" t="s">
        <v>28</v>
      </c>
      <c r="K9205" s="18" t="s">
        <v>28</v>
      </c>
      <c r="L9205" s="18" t="s">
        <v>28</v>
      </c>
      <c r="M9205" s="18" t="s">
        <v>28</v>
      </c>
      <c r="N9205" s="17">
        <v>42489</v>
      </c>
      <c r="O9205" s="15" t="s">
        <v>30</v>
      </c>
      <c r="P9205" s="16" t="s">
        <v>24836</v>
      </c>
      <c r="Q9205" s="15" t="s">
        <v>1007</v>
      </c>
      <c r="R9205" s="13" t="str">
        <f>HYPERLINK("https://my.pitchbook.com?c=94631-14T","View Company Online")</f>
        <v>View Company Online</v>
      </c>
    </row>
    <row r="9206" spans="1:18" hidden="1" x14ac:dyDescent="0.3">
      <c r="A9206" s="9" t="s">
        <v>26339</v>
      </c>
      <c r="B9206" s="9" t="s">
        <v>4616</v>
      </c>
      <c r="C9206" s="11" t="s">
        <v>28</v>
      </c>
      <c r="D9206" s="9" t="s">
        <v>4617</v>
      </c>
      <c r="E9206" s="11">
        <v>2.94</v>
      </c>
      <c r="F9206" s="10" t="s">
        <v>28</v>
      </c>
      <c r="G9206" s="10" t="s">
        <v>28</v>
      </c>
      <c r="H9206" s="10" t="s">
        <v>28</v>
      </c>
      <c r="I9206" s="11">
        <v>3.92</v>
      </c>
      <c r="J9206" s="11" t="s">
        <v>28</v>
      </c>
      <c r="K9206" s="11">
        <v>21.34</v>
      </c>
      <c r="L9206" s="11" t="s">
        <v>28</v>
      </c>
      <c r="M9206" s="11">
        <v>2.79</v>
      </c>
      <c r="N9206" s="8">
        <v>42489</v>
      </c>
      <c r="O9206" s="9" t="s">
        <v>159</v>
      </c>
      <c r="P9206" s="12" t="s">
        <v>26340</v>
      </c>
      <c r="Q9206" s="9" t="s">
        <v>37</v>
      </c>
      <c r="R9206" s="14" t="str">
        <f>HYPERLINK("https://my.pitchbook.com?c=104015-53T","View Company Online")</f>
        <v>View Company Online</v>
      </c>
    </row>
    <row r="9207" spans="1:18" hidden="1" x14ac:dyDescent="0.3">
      <c r="A9207" s="15" t="s">
        <v>26341</v>
      </c>
      <c r="B9207" s="15" t="s">
        <v>26342</v>
      </c>
      <c r="C9207" s="18" t="s">
        <v>28</v>
      </c>
      <c r="D9207" s="15" t="s">
        <v>26343</v>
      </c>
      <c r="E9207" s="18" t="s">
        <v>28</v>
      </c>
      <c r="F9207" s="19">
        <v>279.69</v>
      </c>
      <c r="G9207" s="19">
        <v>279.69</v>
      </c>
      <c r="H9207" s="19">
        <v>279.69</v>
      </c>
      <c r="I9207" s="18" t="s">
        <v>28</v>
      </c>
      <c r="J9207" s="18" t="s">
        <v>28</v>
      </c>
      <c r="K9207" s="18" t="s">
        <v>28</v>
      </c>
      <c r="L9207" s="18" t="s">
        <v>28</v>
      </c>
      <c r="M9207" s="18" t="s">
        <v>28</v>
      </c>
      <c r="N9207" s="17">
        <v>42488</v>
      </c>
      <c r="O9207" s="15" t="s">
        <v>30</v>
      </c>
      <c r="P9207" s="16" t="s">
        <v>26344</v>
      </c>
      <c r="Q9207" s="15" t="s">
        <v>353</v>
      </c>
      <c r="R9207" s="13" t="str">
        <f>HYPERLINK("https://my.pitchbook.com?c=61800-13T","View Company Online")</f>
        <v>View Company Online</v>
      </c>
    </row>
    <row r="9208" spans="1:18" hidden="1" x14ac:dyDescent="0.3">
      <c r="A9208" s="9" t="s">
        <v>26345</v>
      </c>
      <c r="B9208" s="9" t="s">
        <v>19642</v>
      </c>
      <c r="C9208" s="11" t="s">
        <v>28</v>
      </c>
      <c r="D9208" s="9" t="s">
        <v>19643</v>
      </c>
      <c r="E9208" s="11" t="s">
        <v>28</v>
      </c>
      <c r="F9208" s="10" t="s">
        <v>28</v>
      </c>
      <c r="G9208" s="10" t="s">
        <v>28</v>
      </c>
      <c r="H9208" s="10" t="s">
        <v>28</v>
      </c>
      <c r="I9208" s="11" t="s">
        <v>28</v>
      </c>
      <c r="J9208" s="11" t="s">
        <v>28</v>
      </c>
      <c r="K9208" s="11">
        <v>165.12</v>
      </c>
      <c r="L9208" s="11" t="s">
        <v>28</v>
      </c>
      <c r="M9208" s="11" t="s">
        <v>28</v>
      </c>
      <c r="N9208" s="8">
        <v>42487</v>
      </c>
      <c r="O9208" s="9" t="s">
        <v>41</v>
      </c>
      <c r="P9208" s="12" t="s">
        <v>26346</v>
      </c>
      <c r="Q9208" s="9" t="s">
        <v>5347</v>
      </c>
      <c r="R9208" s="14" t="str">
        <f>HYPERLINK("https://my.pitchbook.com?c=74211-94T","View Company Online")</f>
        <v>View Company Online</v>
      </c>
    </row>
    <row r="9209" spans="1:18" hidden="1" x14ac:dyDescent="0.3">
      <c r="A9209" s="15" t="s">
        <v>26347</v>
      </c>
      <c r="B9209" s="15" t="s">
        <v>11788</v>
      </c>
      <c r="C9209" s="18" t="s">
        <v>28</v>
      </c>
      <c r="D9209" s="15" t="s">
        <v>11789</v>
      </c>
      <c r="E9209" s="18" t="s">
        <v>28</v>
      </c>
      <c r="F9209" s="19" t="s">
        <v>28</v>
      </c>
      <c r="G9209" s="19">
        <v>0.04</v>
      </c>
      <c r="H9209" s="19">
        <v>0.42</v>
      </c>
      <c r="I9209" s="18" t="s">
        <v>28</v>
      </c>
      <c r="J9209" s="18" t="s">
        <v>28</v>
      </c>
      <c r="K9209" s="18" t="s">
        <v>28</v>
      </c>
      <c r="L9209" s="18" t="s">
        <v>28</v>
      </c>
      <c r="M9209" s="18" t="s">
        <v>28</v>
      </c>
      <c r="N9209" s="17">
        <v>42486</v>
      </c>
      <c r="O9209" s="15" t="s">
        <v>52</v>
      </c>
      <c r="P9209" s="16" t="s">
        <v>7022</v>
      </c>
      <c r="Q9209" s="15" t="s">
        <v>75</v>
      </c>
      <c r="R9209" s="13" t="str">
        <f>HYPERLINK("https://my.pitchbook.com?c=123137-92T","View Company Online")</f>
        <v>View Company Online</v>
      </c>
    </row>
    <row r="9210" spans="1:18" hidden="1" x14ac:dyDescent="0.3">
      <c r="A9210" s="9" t="s">
        <v>26348</v>
      </c>
      <c r="B9210" s="9" t="s">
        <v>6212</v>
      </c>
      <c r="C9210" s="11" t="s">
        <v>28</v>
      </c>
      <c r="D9210" s="9" t="s">
        <v>6213</v>
      </c>
      <c r="E9210" s="11" t="s">
        <v>28</v>
      </c>
      <c r="F9210" s="10" t="s">
        <v>28</v>
      </c>
      <c r="G9210" s="10" t="s">
        <v>28</v>
      </c>
      <c r="H9210" s="10" t="s">
        <v>28</v>
      </c>
      <c r="I9210" s="11" t="s">
        <v>28</v>
      </c>
      <c r="J9210" s="11" t="s">
        <v>28</v>
      </c>
      <c r="K9210" s="11" t="s">
        <v>28</v>
      </c>
      <c r="L9210" s="11" t="s">
        <v>28</v>
      </c>
      <c r="M9210" s="11" t="s">
        <v>28</v>
      </c>
      <c r="N9210" s="8">
        <v>42486</v>
      </c>
      <c r="O9210" s="9" t="s">
        <v>52</v>
      </c>
      <c r="P9210" s="12" t="s">
        <v>7022</v>
      </c>
      <c r="Q9210" s="9" t="s">
        <v>414</v>
      </c>
      <c r="R9210" s="14" t="str">
        <f>HYPERLINK("https://my.pitchbook.com?c=121223-44T","View Company Online")</f>
        <v>View Company Online</v>
      </c>
    </row>
    <row r="9211" spans="1:18" hidden="1" x14ac:dyDescent="0.3">
      <c r="A9211" s="15" t="s">
        <v>26349</v>
      </c>
      <c r="B9211" s="15" t="s">
        <v>26350</v>
      </c>
      <c r="C9211" s="18" t="s">
        <v>28</v>
      </c>
      <c r="D9211" s="15" t="s">
        <v>26351</v>
      </c>
      <c r="E9211" s="18" t="s">
        <v>28</v>
      </c>
      <c r="F9211" s="19" t="s">
        <v>28</v>
      </c>
      <c r="G9211" s="19">
        <v>0.04</v>
      </c>
      <c r="H9211" s="19" t="s">
        <v>28</v>
      </c>
      <c r="I9211" s="18" t="s">
        <v>28</v>
      </c>
      <c r="J9211" s="18" t="s">
        <v>28</v>
      </c>
      <c r="K9211" s="18" t="s">
        <v>28</v>
      </c>
      <c r="L9211" s="18" t="s">
        <v>28</v>
      </c>
      <c r="M9211" s="18" t="s">
        <v>28</v>
      </c>
      <c r="N9211" s="17">
        <v>42486</v>
      </c>
      <c r="O9211" s="15" t="s">
        <v>52</v>
      </c>
      <c r="P9211" s="16" t="s">
        <v>7022</v>
      </c>
      <c r="Q9211" s="15" t="s">
        <v>414</v>
      </c>
      <c r="R9211" s="13" t="str">
        <f>HYPERLINK("https://my.pitchbook.com?c=77867-65T","View Company Online")</f>
        <v>View Company Online</v>
      </c>
    </row>
    <row r="9212" spans="1:18" hidden="1" x14ac:dyDescent="0.3">
      <c r="A9212" s="9" t="s">
        <v>26352</v>
      </c>
      <c r="B9212" s="9" t="s">
        <v>195</v>
      </c>
      <c r="C9212" s="11" t="s">
        <v>28</v>
      </c>
      <c r="D9212" s="9" t="s">
        <v>196</v>
      </c>
      <c r="E9212" s="11" t="s">
        <v>28</v>
      </c>
      <c r="F9212" s="10" t="s">
        <v>28</v>
      </c>
      <c r="G9212" s="10" t="s">
        <v>28</v>
      </c>
      <c r="H9212" s="10" t="s">
        <v>28</v>
      </c>
      <c r="I9212" s="11" t="s">
        <v>28</v>
      </c>
      <c r="J9212" s="11" t="s">
        <v>28</v>
      </c>
      <c r="K9212" s="11">
        <v>60.04</v>
      </c>
      <c r="L9212" s="11" t="s">
        <v>28</v>
      </c>
      <c r="M9212" s="11" t="s">
        <v>28</v>
      </c>
      <c r="N9212" s="8">
        <v>42485</v>
      </c>
      <c r="O9212" s="9" t="s">
        <v>30</v>
      </c>
      <c r="P9212" s="12" t="s">
        <v>4468</v>
      </c>
      <c r="Q9212" s="9" t="s">
        <v>105</v>
      </c>
      <c r="R9212" s="14" t="str">
        <f>HYPERLINK("https://my.pitchbook.com?c=69406-75T","View Company Online")</f>
        <v>View Company Online</v>
      </c>
    </row>
    <row r="9213" spans="1:18" hidden="1" x14ac:dyDescent="0.3">
      <c r="A9213" s="15" t="s">
        <v>26353</v>
      </c>
      <c r="B9213" s="15" t="s">
        <v>26354</v>
      </c>
      <c r="C9213" s="18" t="s">
        <v>28</v>
      </c>
      <c r="D9213" s="15" t="s">
        <v>26355</v>
      </c>
      <c r="E9213" s="18" t="s">
        <v>28</v>
      </c>
      <c r="F9213" s="19" t="s">
        <v>28</v>
      </c>
      <c r="G9213" s="19">
        <v>0.56000000000000005</v>
      </c>
      <c r="H9213" s="19" t="s">
        <v>28</v>
      </c>
      <c r="I9213" s="18" t="s">
        <v>28</v>
      </c>
      <c r="J9213" s="18" t="s">
        <v>28</v>
      </c>
      <c r="K9213" s="18" t="s">
        <v>28</v>
      </c>
      <c r="L9213" s="18" t="s">
        <v>28</v>
      </c>
      <c r="M9213" s="18" t="s">
        <v>28</v>
      </c>
      <c r="N9213" s="17">
        <v>42485</v>
      </c>
      <c r="O9213" s="15" t="s">
        <v>379</v>
      </c>
      <c r="P9213" s="16" t="s">
        <v>26356</v>
      </c>
      <c r="Q9213" s="15" t="s">
        <v>95</v>
      </c>
      <c r="R9213" s="13" t="str">
        <f>HYPERLINK("https://my.pitchbook.com?c=79675-39T","View Company Online")</f>
        <v>View Company Online</v>
      </c>
    </row>
    <row r="9214" spans="1:18" hidden="1" x14ac:dyDescent="0.3">
      <c r="A9214" s="9" t="s">
        <v>26357</v>
      </c>
      <c r="B9214" s="9" t="s">
        <v>26358</v>
      </c>
      <c r="C9214" s="11" t="s">
        <v>28</v>
      </c>
      <c r="D9214" s="9" t="s">
        <v>26359</v>
      </c>
      <c r="E9214" s="11" t="s">
        <v>28</v>
      </c>
      <c r="F9214" s="10" t="s">
        <v>28</v>
      </c>
      <c r="G9214" s="10">
        <v>0.26</v>
      </c>
      <c r="H9214" s="10" t="s">
        <v>28</v>
      </c>
      <c r="I9214" s="11" t="s">
        <v>28</v>
      </c>
      <c r="J9214" s="11" t="s">
        <v>28</v>
      </c>
      <c r="K9214" s="11" t="s">
        <v>28</v>
      </c>
      <c r="L9214" s="11" t="s">
        <v>28</v>
      </c>
      <c r="M9214" s="11" t="s">
        <v>28</v>
      </c>
      <c r="N9214" s="8">
        <v>42483</v>
      </c>
      <c r="O9214" s="9" t="s">
        <v>58</v>
      </c>
      <c r="P9214" s="12" t="s">
        <v>26360</v>
      </c>
      <c r="Q9214" s="9" t="s">
        <v>583</v>
      </c>
      <c r="R9214" s="14" t="str">
        <f>HYPERLINK("https://my.pitchbook.com?c=72920-53T","View Company Online")</f>
        <v>View Company Online</v>
      </c>
    </row>
    <row r="9215" spans="1:18" hidden="1" x14ac:dyDescent="0.3">
      <c r="A9215" s="15" t="s">
        <v>26361</v>
      </c>
      <c r="B9215" s="15" t="s">
        <v>26362</v>
      </c>
      <c r="C9215" s="18" t="s">
        <v>28</v>
      </c>
      <c r="D9215" s="15" t="s">
        <v>26363</v>
      </c>
      <c r="E9215" s="18" t="s">
        <v>28</v>
      </c>
      <c r="F9215" s="19" t="s">
        <v>28</v>
      </c>
      <c r="G9215" s="19" t="s">
        <v>28</v>
      </c>
      <c r="H9215" s="19" t="s">
        <v>28</v>
      </c>
      <c r="I9215" s="18" t="s">
        <v>28</v>
      </c>
      <c r="J9215" s="18" t="s">
        <v>28</v>
      </c>
      <c r="K9215" s="18" t="s">
        <v>28</v>
      </c>
      <c r="L9215" s="18" t="s">
        <v>28</v>
      </c>
      <c r="M9215" s="18" t="s">
        <v>28</v>
      </c>
      <c r="N9215" s="17">
        <v>42482</v>
      </c>
      <c r="O9215" s="15" t="s">
        <v>73</v>
      </c>
      <c r="P9215" s="16" t="s">
        <v>26364</v>
      </c>
      <c r="Q9215" s="15" t="s">
        <v>105</v>
      </c>
      <c r="R9215" s="13" t="str">
        <f>HYPERLINK("https://my.pitchbook.com?c=123131-71T","View Company Online")</f>
        <v>View Company Online</v>
      </c>
    </row>
    <row r="9216" spans="1:18" hidden="1" x14ac:dyDescent="0.3">
      <c r="A9216" s="9" t="s">
        <v>26365</v>
      </c>
      <c r="B9216" s="9" t="s">
        <v>26366</v>
      </c>
      <c r="C9216" s="11" t="s">
        <v>28</v>
      </c>
      <c r="D9216" s="9" t="s">
        <v>26367</v>
      </c>
      <c r="E9216" s="11" t="s">
        <v>28</v>
      </c>
      <c r="F9216" s="10">
        <v>83.49</v>
      </c>
      <c r="G9216" s="10">
        <v>83.49</v>
      </c>
      <c r="H9216" s="10">
        <v>83.49</v>
      </c>
      <c r="I9216" s="11" t="s">
        <v>28</v>
      </c>
      <c r="J9216" s="11" t="s">
        <v>28</v>
      </c>
      <c r="K9216" s="11" t="s">
        <v>28</v>
      </c>
      <c r="L9216" s="11" t="s">
        <v>28</v>
      </c>
      <c r="M9216" s="11" t="s">
        <v>28</v>
      </c>
      <c r="N9216" s="8">
        <v>42482</v>
      </c>
      <c r="O9216" s="9" t="s">
        <v>41</v>
      </c>
      <c r="P9216" s="12" t="s">
        <v>26368</v>
      </c>
      <c r="Q9216" s="9" t="s">
        <v>114</v>
      </c>
      <c r="R9216" s="14" t="str">
        <f>HYPERLINK("https://my.pitchbook.com?c=61665-94T","View Company Online")</f>
        <v>View Company Online</v>
      </c>
    </row>
    <row r="9217" spans="1:18" hidden="1" x14ac:dyDescent="0.3">
      <c r="A9217" s="15" t="s">
        <v>26369</v>
      </c>
      <c r="B9217" s="15" t="s">
        <v>26370</v>
      </c>
      <c r="C9217" s="18" t="s">
        <v>28</v>
      </c>
      <c r="D9217" s="15" t="s">
        <v>26371</v>
      </c>
      <c r="E9217" s="18" t="s">
        <v>28</v>
      </c>
      <c r="F9217" s="19" t="s">
        <v>28</v>
      </c>
      <c r="G9217" s="19">
        <v>0.01</v>
      </c>
      <c r="H9217" s="19" t="s">
        <v>28</v>
      </c>
      <c r="I9217" s="18" t="s">
        <v>28</v>
      </c>
      <c r="J9217" s="18" t="s">
        <v>28</v>
      </c>
      <c r="K9217" s="18" t="s">
        <v>28</v>
      </c>
      <c r="L9217" s="18" t="s">
        <v>28</v>
      </c>
      <c r="M9217" s="18" t="s">
        <v>28</v>
      </c>
      <c r="N9217" s="17">
        <v>42480</v>
      </c>
      <c r="O9217" s="15" t="s">
        <v>8420</v>
      </c>
      <c r="P9217" s="16" t="s">
        <v>28</v>
      </c>
      <c r="Q9217" s="15" t="s">
        <v>85</v>
      </c>
      <c r="R9217" s="13" t="str">
        <f>HYPERLINK("https://my.pitchbook.com?c=134904-61T","View Company Online")</f>
        <v>View Company Online</v>
      </c>
    </row>
    <row r="9218" spans="1:18" hidden="1" x14ac:dyDescent="0.3">
      <c r="A9218" s="9" t="s">
        <v>26372</v>
      </c>
      <c r="B9218" s="9" t="s">
        <v>26373</v>
      </c>
      <c r="C9218" s="11" t="s">
        <v>28</v>
      </c>
      <c r="D9218" s="9" t="s">
        <v>26374</v>
      </c>
      <c r="E9218" s="11" t="s">
        <v>28</v>
      </c>
      <c r="F9218" s="10" t="s">
        <v>28</v>
      </c>
      <c r="G9218" s="10" t="s">
        <v>28</v>
      </c>
      <c r="H9218" s="10" t="s">
        <v>28</v>
      </c>
      <c r="I9218" s="11" t="s">
        <v>28</v>
      </c>
      <c r="J9218" s="11" t="s">
        <v>28</v>
      </c>
      <c r="K9218" s="11" t="s">
        <v>28</v>
      </c>
      <c r="L9218" s="11" t="s">
        <v>28</v>
      </c>
      <c r="M9218" s="11" t="s">
        <v>28</v>
      </c>
      <c r="N9218" s="8">
        <v>42474</v>
      </c>
      <c r="O9218" s="9" t="s">
        <v>173</v>
      </c>
      <c r="P9218" s="12" t="s">
        <v>28</v>
      </c>
      <c r="Q9218" s="9" t="s">
        <v>174</v>
      </c>
      <c r="R9218" s="14" t="str">
        <f>HYPERLINK("https://my.pitchbook.com?c=221201-83T","View Company Online")</f>
        <v>View Company Online</v>
      </c>
    </row>
    <row r="9219" spans="1:18" hidden="1" x14ac:dyDescent="0.3">
      <c r="A9219" s="15" t="s">
        <v>26375</v>
      </c>
      <c r="B9219" s="15" t="s">
        <v>26376</v>
      </c>
      <c r="C9219" s="18" t="s">
        <v>28</v>
      </c>
      <c r="D9219" s="15" t="s">
        <v>26377</v>
      </c>
      <c r="E9219" s="18" t="s">
        <v>28</v>
      </c>
      <c r="F9219" s="19" t="s">
        <v>28</v>
      </c>
      <c r="G9219" s="19" t="s">
        <v>28</v>
      </c>
      <c r="H9219" s="19" t="s">
        <v>28</v>
      </c>
      <c r="I9219" s="18" t="s">
        <v>28</v>
      </c>
      <c r="J9219" s="18" t="s">
        <v>28</v>
      </c>
      <c r="K9219" s="18" t="s">
        <v>28</v>
      </c>
      <c r="L9219" s="18" t="s">
        <v>28</v>
      </c>
      <c r="M9219" s="18" t="s">
        <v>28</v>
      </c>
      <c r="N9219" s="17">
        <v>42474</v>
      </c>
      <c r="O9219" s="15" t="s">
        <v>30</v>
      </c>
      <c r="P9219" s="16" t="s">
        <v>26378</v>
      </c>
      <c r="Q9219" s="15" t="s">
        <v>109</v>
      </c>
      <c r="R9219" s="13" t="str">
        <f>HYPERLINK("https://my.pitchbook.com?c=68130-28T","View Company Online")</f>
        <v>View Company Online</v>
      </c>
    </row>
    <row r="9220" spans="1:18" hidden="1" x14ac:dyDescent="0.3">
      <c r="A9220" s="9" t="s">
        <v>26379</v>
      </c>
      <c r="B9220" s="9" t="s">
        <v>26380</v>
      </c>
      <c r="C9220" s="11" t="s">
        <v>28</v>
      </c>
      <c r="D9220" s="9" t="s">
        <v>26381</v>
      </c>
      <c r="E9220" s="11" t="s">
        <v>28</v>
      </c>
      <c r="F9220" s="10" t="s">
        <v>28</v>
      </c>
      <c r="G9220" s="10" t="s">
        <v>28</v>
      </c>
      <c r="H9220" s="10" t="s">
        <v>28</v>
      </c>
      <c r="I9220" s="11" t="s">
        <v>28</v>
      </c>
      <c r="J9220" s="11" t="s">
        <v>28</v>
      </c>
      <c r="K9220" s="11" t="s">
        <v>28</v>
      </c>
      <c r="L9220" s="11" t="s">
        <v>28</v>
      </c>
      <c r="M9220" s="11" t="s">
        <v>28</v>
      </c>
      <c r="N9220" s="8">
        <v>42473</v>
      </c>
      <c r="O9220" s="9" t="s">
        <v>30</v>
      </c>
      <c r="P9220" s="12" t="s">
        <v>26382</v>
      </c>
      <c r="Q9220" s="9" t="s">
        <v>85</v>
      </c>
      <c r="R9220" s="14" t="str">
        <f>HYPERLINK("https://my.pitchbook.com?c=68914-18T","View Company Online")</f>
        <v>View Company Online</v>
      </c>
    </row>
    <row r="9221" spans="1:18" hidden="1" x14ac:dyDescent="0.3">
      <c r="A9221" s="15" t="s">
        <v>26383</v>
      </c>
      <c r="B9221" s="15" t="s">
        <v>26384</v>
      </c>
      <c r="C9221" s="18" t="s">
        <v>28</v>
      </c>
      <c r="D9221" s="15" t="s">
        <v>26385</v>
      </c>
      <c r="E9221" s="18" t="s">
        <v>28</v>
      </c>
      <c r="F9221" s="19" t="s">
        <v>28</v>
      </c>
      <c r="G9221" s="19" t="s">
        <v>28</v>
      </c>
      <c r="H9221" s="19" t="s">
        <v>28</v>
      </c>
      <c r="I9221" s="18" t="s">
        <v>28</v>
      </c>
      <c r="J9221" s="18" t="s">
        <v>28</v>
      </c>
      <c r="K9221" s="18" t="s">
        <v>28</v>
      </c>
      <c r="L9221" s="18" t="s">
        <v>28</v>
      </c>
      <c r="M9221" s="18" t="s">
        <v>28</v>
      </c>
      <c r="N9221" s="17">
        <v>42471</v>
      </c>
      <c r="O9221" s="15" t="s">
        <v>30</v>
      </c>
      <c r="P9221" s="16" t="s">
        <v>26386</v>
      </c>
      <c r="Q9221" s="15" t="s">
        <v>8669</v>
      </c>
      <c r="R9221" s="13" t="str">
        <f>HYPERLINK("https://my.pitchbook.com?c=68821-75T","View Company Online")</f>
        <v>View Company Online</v>
      </c>
    </row>
    <row r="9222" spans="1:18" hidden="1" x14ac:dyDescent="0.3">
      <c r="A9222" s="9" t="s">
        <v>26387</v>
      </c>
      <c r="B9222" s="9" t="s">
        <v>26388</v>
      </c>
      <c r="C9222" s="11" t="s">
        <v>28</v>
      </c>
      <c r="D9222" s="9" t="s">
        <v>26389</v>
      </c>
      <c r="E9222" s="11" t="s">
        <v>28</v>
      </c>
      <c r="F9222" s="10" t="s">
        <v>28</v>
      </c>
      <c r="G9222" s="10" t="s">
        <v>28</v>
      </c>
      <c r="H9222" s="10" t="s">
        <v>28</v>
      </c>
      <c r="I9222" s="11" t="s">
        <v>28</v>
      </c>
      <c r="J9222" s="11" t="s">
        <v>28</v>
      </c>
      <c r="K9222" s="11" t="s">
        <v>28</v>
      </c>
      <c r="L9222" s="11" t="s">
        <v>28</v>
      </c>
      <c r="M9222" s="11" t="s">
        <v>28</v>
      </c>
      <c r="N9222" s="8">
        <v>42471</v>
      </c>
      <c r="O9222" s="9" t="s">
        <v>73</v>
      </c>
      <c r="P9222" s="12" t="s">
        <v>20022</v>
      </c>
      <c r="Q9222" s="9" t="s">
        <v>95</v>
      </c>
      <c r="R9222" s="14" t="str">
        <f>HYPERLINK("https://my.pitchbook.com?c=123140-80T","View Company Online")</f>
        <v>View Company Online</v>
      </c>
    </row>
    <row r="9223" spans="1:18" hidden="1" x14ac:dyDescent="0.3">
      <c r="A9223" s="15" t="s">
        <v>26390</v>
      </c>
      <c r="B9223" s="15" t="s">
        <v>26391</v>
      </c>
      <c r="C9223" s="18" t="s">
        <v>28</v>
      </c>
      <c r="D9223" s="15" t="s">
        <v>26392</v>
      </c>
      <c r="E9223" s="18" t="s">
        <v>28</v>
      </c>
      <c r="F9223" s="19">
        <v>5.55</v>
      </c>
      <c r="G9223" s="19">
        <v>5.55</v>
      </c>
      <c r="H9223" s="19">
        <v>5.55</v>
      </c>
      <c r="I9223" s="18" t="s">
        <v>28</v>
      </c>
      <c r="J9223" s="18" t="s">
        <v>28</v>
      </c>
      <c r="K9223" s="18" t="s">
        <v>28</v>
      </c>
      <c r="L9223" s="18" t="s">
        <v>28</v>
      </c>
      <c r="M9223" s="18" t="s">
        <v>28</v>
      </c>
      <c r="N9223" s="17">
        <v>42471</v>
      </c>
      <c r="O9223" s="15" t="s">
        <v>30</v>
      </c>
      <c r="P9223" s="16" t="s">
        <v>279</v>
      </c>
      <c r="Q9223" s="15" t="s">
        <v>136</v>
      </c>
      <c r="R9223" s="13" t="str">
        <f>HYPERLINK("https://my.pitchbook.com?c=68932-09T","View Company Online")</f>
        <v>View Company Online</v>
      </c>
    </row>
    <row r="9224" spans="1:18" hidden="1" x14ac:dyDescent="0.3">
      <c r="A9224" s="9" t="s">
        <v>26393</v>
      </c>
      <c r="B9224" s="9" t="s">
        <v>18471</v>
      </c>
      <c r="C9224" s="11" t="s">
        <v>28</v>
      </c>
      <c r="D9224" s="9" t="s">
        <v>18472</v>
      </c>
      <c r="E9224" s="11" t="s">
        <v>28</v>
      </c>
      <c r="F9224" s="10" t="s">
        <v>28</v>
      </c>
      <c r="G9224" s="10">
        <v>7.75</v>
      </c>
      <c r="H9224" s="10" t="s">
        <v>28</v>
      </c>
      <c r="I9224" s="11" t="s">
        <v>28</v>
      </c>
      <c r="J9224" s="11" t="s">
        <v>28</v>
      </c>
      <c r="K9224" s="11" t="s">
        <v>28</v>
      </c>
      <c r="L9224" s="11" t="s">
        <v>28</v>
      </c>
      <c r="M9224" s="11" t="s">
        <v>28</v>
      </c>
      <c r="N9224" s="8">
        <v>42471</v>
      </c>
      <c r="O9224" s="9" t="s">
        <v>79</v>
      </c>
      <c r="P9224" s="12" t="s">
        <v>18465</v>
      </c>
      <c r="Q9224" s="9" t="s">
        <v>414</v>
      </c>
      <c r="R9224" s="14" t="str">
        <f>HYPERLINK("https://my.pitchbook.com?c=110273-32T","View Company Online")</f>
        <v>View Company Online</v>
      </c>
    </row>
    <row r="9225" spans="1:18" hidden="1" x14ac:dyDescent="0.3">
      <c r="A9225" s="15" t="s">
        <v>26394</v>
      </c>
      <c r="B9225" s="15" t="s">
        <v>26395</v>
      </c>
      <c r="C9225" s="18" t="s">
        <v>28</v>
      </c>
      <c r="D9225" s="15" t="s">
        <v>26396</v>
      </c>
      <c r="E9225" s="18" t="s">
        <v>28</v>
      </c>
      <c r="F9225" s="19">
        <v>0.55000000000000004</v>
      </c>
      <c r="G9225" s="19">
        <v>0.55000000000000004</v>
      </c>
      <c r="H9225" s="19">
        <v>0.55000000000000004</v>
      </c>
      <c r="I9225" s="18" t="s">
        <v>28</v>
      </c>
      <c r="J9225" s="18" t="s">
        <v>28</v>
      </c>
      <c r="K9225" s="18" t="s">
        <v>28</v>
      </c>
      <c r="L9225" s="18" t="s">
        <v>28</v>
      </c>
      <c r="M9225" s="18" t="s">
        <v>28</v>
      </c>
      <c r="N9225" s="17">
        <v>42471</v>
      </c>
      <c r="O9225" s="15" t="s">
        <v>41</v>
      </c>
      <c r="P9225" s="16" t="s">
        <v>15649</v>
      </c>
      <c r="Q9225" s="15" t="s">
        <v>880</v>
      </c>
      <c r="R9225" s="13" t="str">
        <f>HYPERLINK("https://my.pitchbook.com?c=72690-67T","View Company Online")</f>
        <v>View Company Online</v>
      </c>
    </row>
    <row r="9226" spans="1:18" hidden="1" x14ac:dyDescent="0.3">
      <c r="A9226" s="9" t="s">
        <v>26397</v>
      </c>
      <c r="B9226" s="9" t="s">
        <v>26398</v>
      </c>
      <c r="C9226" s="11" t="s">
        <v>28</v>
      </c>
      <c r="D9226" s="9" t="s">
        <v>26399</v>
      </c>
      <c r="E9226" s="11" t="s">
        <v>28</v>
      </c>
      <c r="F9226" s="10" t="s">
        <v>28</v>
      </c>
      <c r="G9226" s="10" t="s">
        <v>28</v>
      </c>
      <c r="H9226" s="10" t="s">
        <v>28</v>
      </c>
      <c r="I9226" s="11" t="s">
        <v>28</v>
      </c>
      <c r="J9226" s="11" t="s">
        <v>28</v>
      </c>
      <c r="K9226" s="11">
        <v>6.72</v>
      </c>
      <c r="L9226" s="11" t="s">
        <v>28</v>
      </c>
      <c r="M9226" s="11" t="s">
        <v>28</v>
      </c>
      <c r="N9226" s="8">
        <v>42471</v>
      </c>
      <c r="O9226" s="9" t="s">
        <v>30</v>
      </c>
      <c r="P9226" s="12" t="s">
        <v>26400</v>
      </c>
      <c r="Q9226" s="9" t="s">
        <v>75</v>
      </c>
      <c r="R9226" s="14" t="str">
        <f>HYPERLINK("https://my.pitchbook.com?c=69225-22T","View Company Online")</f>
        <v>View Company Online</v>
      </c>
    </row>
    <row r="9227" spans="1:18" hidden="1" x14ac:dyDescent="0.3">
      <c r="A9227" s="15" t="s">
        <v>26401</v>
      </c>
      <c r="B9227" s="15" t="s">
        <v>26402</v>
      </c>
      <c r="C9227" s="18" t="s">
        <v>28</v>
      </c>
      <c r="D9227" s="15" t="s">
        <v>26403</v>
      </c>
      <c r="E9227" s="18" t="s">
        <v>28</v>
      </c>
      <c r="F9227" s="19" t="s">
        <v>28</v>
      </c>
      <c r="G9227" s="19" t="s">
        <v>28</v>
      </c>
      <c r="H9227" s="19" t="s">
        <v>28</v>
      </c>
      <c r="I9227" s="18" t="s">
        <v>28</v>
      </c>
      <c r="J9227" s="18" t="s">
        <v>28</v>
      </c>
      <c r="K9227" s="18" t="s">
        <v>28</v>
      </c>
      <c r="L9227" s="18" t="s">
        <v>28</v>
      </c>
      <c r="M9227" s="18" t="s">
        <v>28</v>
      </c>
      <c r="N9227" s="17">
        <v>42471</v>
      </c>
      <c r="O9227" s="15" t="s">
        <v>30</v>
      </c>
      <c r="P9227" s="16" t="s">
        <v>26404</v>
      </c>
      <c r="Q9227" s="15" t="s">
        <v>114</v>
      </c>
      <c r="R9227" s="13" t="str">
        <f>HYPERLINK("https://my.pitchbook.com?c=70633-09T","View Company Online")</f>
        <v>View Company Online</v>
      </c>
    </row>
    <row r="9228" spans="1:18" hidden="1" x14ac:dyDescent="0.3">
      <c r="A9228" s="9" t="s">
        <v>26405</v>
      </c>
      <c r="B9228" s="9" t="s">
        <v>26406</v>
      </c>
      <c r="C9228" s="11" t="s">
        <v>28</v>
      </c>
      <c r="D9228" s="9" t="s">
        <v>26407</v>
      </c>
      <c r="E9228" s="11" t="s">
        <v>28</v>
      </c>
      <c r="F9228" s="10" t="s">
        <v>28</v>
      </c>
      <c r="G9228" s="10" t="s">
        <v>28</v>
      </c>
      <c r="H9228" s="10" t="s">
        <v>28</v>
      </c>
      <c r="I9228" s="11" t="s">
        <v>28</v>
      </c>
      <c r="J9228" s="11" t="s">
        <v>28</v>
      </c>
      <c r="K9228" s="11" t="s">
        <v>28</v>
      </c>
      <c r="L9228" s="11" t="s">
        <v>28</v>
      </c>
      <c r="M9228" s="11" t="s">
        <v>28</v>
      </c>
      <c r="N9228" s="8">
        <v>42468</v>
      </c>
      <c r="O9228" s="9" t="s">
        <v>30</v>
      </c>
      <c r="P9228" s="12" t="s">
        <v>26408</v>
      </c>
      <c r="Q9228" s="9" t="s">
        <v>386</v>
      </c>
      <c r="R9228" s="14" t="str">
        <f>HYPERLINK("https://my.pitchbook.com?c=216401-95T","View Company Online")</f>
        <v>View Company Online</v>
      </c>
    </row>
    <row r="9229" spans="1:18" hidden="1" x14ac:dyDescent="0.3">
      <c r="A9229" s="15" t="s">
        <v>26409</v>
      </c>
      <c r="B9229" s="15" t="s">
        <v>4600</v>
      </c>
      <c r="C9229" s="18" t="s">
        <v>28</v>
      </c>
      <c r="D9229" s="15" t="s">
        <v>4601</v>
      </c>
      <c r="E9229" s="18" t="s">
        <v>28</v>
      </c>
      <c r="F9229" s="19" t="s">
        <v>28</v>
      </c>
      <c r="G9229" s="19" t="s">
        <v>28</v>
      </c>
      <c r="H9229" s="19" t="s">
        <v>28</v>
      </c>
      <c r="I9229" s="18" t="s">
        <v>28</v>
      </c>
      <c r="J9229" s="18" t="s">
        <v>28</v>
      </c>
      <c r="K9229" s="18" t="s">
        <v>28</v>
      </c>
      <c r="L9229" s="18" t="s">
        <v>28</v>
      </c>
      <c r="M9229" s="18" t="s">
        <v>28</v>
      </c>
      <c r="N9229" s="17">
        <v>42468</v>
      </c>
      <c r="O9229" s="15" t="s">
        <v>41</v>
      </c>
      <c r="P9229" s="16" t="s">
        <v>26410</v>
      </c>
      <c r="Q9229" s="15" t="s">
        <v>4602</v>
      </c>
      <c r="R9229" s="13" t="str">
        <f>HYPERLINK("https://my.pitchbook.com?c=70981-84T","View Company Online")</f>
        <v>View Company Online</v>
      </c>
    </row>
    <row r="9230" spans="1:18" hidden="1" x14ac:dyDescent="0.3">
      <c r="A9230" s="9" t="s">
        <v>26411</v>
      </c>
      <c r="B9230" s="9" t="s">
        <v>17187</v>
      </c>
      <c r="C9230" s="11" t="s">
        <v>28</v>
      </c>
      <c r="D9230" s="9" t="s">
        <v>17188</v>
      </c>
      <c r="E9230" s="11" t="s">
        <v>28</v>
      </c>
      <c r="F9230" s="10" t="s">
        <v>28</v>
      </c>
      <c r="G9230" s="10">
        <v>0.05</v>
      </c>
      <c r="H9230" s="10">
        <v>6</v>
      </c>
      <c r="I9230" s="11" t="s">
        <v>28</v>
      </c>
      <c r="J9230" s="11" t="s">
        <v>28</v>
      </c>
      <c r="K9230" s="11" t="s">
        <v>28</v>
      </c>
      <c r="L9230" s="11" t="s">
        <v>28</v>
      </c>
      <c r="M9230" s="11" t="s">
        <v>28</v>
      </c>
      <c r="N9230" s="8">
        <v>42467</v>
      </c>
      <c r="O9230" s="9" t="s">
        <v>52</v>
      </c>
      <c r="P9230" s="12" t="s">
        <v>26412</v>
      </c>
      <c r="Q9230" s="9" t="s">
        <v>75</v>
      </c>
      <c r="R9230" s="14" t="str">
        <f>HYPERLINK("https://my.pitchbook.com?c=73256-50T","View Company Online")</f>
        <v>View Company Online</v>
      </c>
    </row>
    <row r="9231" spans="1:18" hidden="1" x14ac:dyDescent="0.3">
      <c r="A9231" s="15" t="s">
        <v>26413</v>
      </c>
      <c r="B9231" s="15" t="s">
        <v>19087</v>
      </c>
      <c r="C9231" s="18" t="s">
        <v>28</v>
      </c>
      <c r="D9231" s="15" t="s">
        <v>19088</v>
      </c>
      <c r="E9231" s="18" t="s">
        <v>28</v>
      </c>
      <c r="F9231" s="19" t="s">
        <v>28</v>
      </c>
      <c r="G9231" s="19" t="s">
        <v>28</v>
      </c>
      <c r="H9231" s="19" t="s">
        <v>28</v>
      </c>
      <c r="I9231" s="18" t="s">
        <v>28</v>
      </c>
      <c r="J9231" s="18" t="s">
        <v>28</v>
      </c>
      <c r="K9231" s="18" t="s">
        <v>28</v>
      </c>
      <c r="L9231" s="18" t="s">
        <v>28</v>
      </c>
      <c r="M9231" s="18" t="s">
        <v>28</v>
      </c>
      <c r="N9231" s="17">
        <v>42466</v>
      </c>
      <c r="O9231" s="15" t="s">
        <v>41</v>
      </c>
      <c r="P9231" s="16" t="s">
        <v>26414</v>
      </c>
      <c r="Q9231" s="15" t="s">
        <v>6142</v>
      </c>
      <c r="R9231" s="13" t="str">
        <f>HYPERLINK("https://my.pitchbook.com?c=86764-42T","View Company Online")</f>
        <v>View Company Online</v>
      </c>
    </row>
    <row r="9232" spans="1:18" hidden="1" x14ac:dyDescent="0.3">
      <c r="A9232" s="9" t="s">
        <v>26415</v>
      </c>
      <c r="B9232" s="9" t="s">
        <v>26416</v>
      </c>
      <c r="C9232" s="11" t="s">
        <v>28</v>
      </c>
      <c r="D9232" s="9" t="s">
        <v>26417</v>
      </c>
      <c r="E9232" s="11" t="s">
        <v>28</v>
      </c>
      <c r="F9232" s="10" t="s">
        <v>28</v>
      </c>
      <c r="G9232" s="10" t="s">
        <v>28</v>
      </c>
      <c r="H9232" s="10" t="s">
        <v>28</v>
      </c>
      <c r="I9232" s="11" t="s">
        <v>28</v>
      </c>
      <c r="J9232" s="11" t="s">
        <v>28</v>
      </c>
      <c r="K9232" s="11" t="s">
        <v>28</v>
      </c>
      <c r="L9232" s="11" t="s">
        <v>28</v>
      </c>
      <c r="M9232" s="11" t="s">
        <v>28</v>
      </c>
      <c r="N9232" s="8">
        <v>42466</v>
      </c>
      <c r="O9232" s="9" t="s">
        <v>30</v>
      </c>
      <c r="P9232" s="12" t="s">
        <v>26418</v>
      </c>
      <c r="Q9232" s="9" t="s">
        <v>855</v>
      </c>
      <c r="R9232" s="14" t="str">
        <f>HYPERLINK("https://my.pitchbook.com?c=68688-46T","View Company Online")</f>
        <v>View Company Online</v>
      </c>
    </row>
    <row r="9233" spans="1:18" hidden="1" x14ac:dyDescent="0.3">
      <c r="A9233" s="15" t="s">
        <v>26419</v>
      </c>
      <c r="B9233" s="15" t="s">
        <v>26420</v>
      </c>
      <c r="C9233" s="18" t="s">
        <v>28</v>
      </c>
      <c r="D9233" s="15" t="s">
        <v>26421</v>
      </c>
      <c r="E9233" s="18" t="s">
        <v>28</v>
      </c>
      <c r="F9233" s="19">
        <v>75</v>
      </c>
      <c r="G9233" s="19">
        <v>75</v>
      </c>
      <c r="H9233" s="19">
        <v>75</v>
      </c>
      <c r="I9233" s="18" t="s">
        <v>28</v>
      </c>
      <c r="J9233" s="18" t="s">
        <v>28</v>
      </c>
      <c r="K9233" s="18" t="s">
        <v>28</v>
      </c>
      <c r="L9233" s="18" t="s">
        <v>28</v>
      </c>
      <c r="M9233" s="18" t="s">
        <v>28</v>
      </c>
      <c r="N9233" s="17">
        <v>42466</v>
      </c>
      <c r="O9233" s="15" t="s">
        <v>30</v>
      </c>
      <c r="P9233" s="16" t="s">
        <v>26422</v>
      </c>
      <c r="Q9233" s="15" t="s">
        <v>136</v>
      </c>
      <c r="R9233" s="13" t="str">
        <f>HYPERLINK("https://my.pitchbook.com?c=68647-33T","View Company Online")</f>
        <v>View Company Online</v>
      </c>
    </row>
    <row r="9234" spans="1:18" hidden="1" x14ac:dyDescent="0.3">
      <c r="A9234" s="9" t="s">
        <v>26423</v>
      </c>
      <c r="B9234" s="9" t="s">
        <v>4211</v>
      </c>
      <c r="C9234" s="11" t="s">
        <v>28</v>
      </c>
      <c r="D9234" s="9" t="s">
        <v>4212</v>
      </c>
      <c r="E9234" s="11" t="s">
        <v>28</v>
      </c>
      <c r="F9234" s="10" t="s">
        <v>28</v>
      </c>
      <c r="G9234" s="10" t="s">
        <v>28</v>
      </c>
      <c r="H9234" s="10" t="s">
        <v>28</v>
      </c>
      <c r="I9234" s="11" t="s">
        <v>28</v>
      </c>
      <c r="J9234" s="11" t="s">
        <v>28</v>
      </c>
      <c r="K9234" s="11">
        <v>5</v>
      </c>
      <c r="L9234" s="11" t="s">
        <v>28</v>
      </c>
      <c r="M9234" s="11" t="s">
        <v>28</v>
      </c>
      <c r="N9234" s="8">
        <v>42464</v>
      </c>
      <c r="O9234" s="9" t="s">
        <v>52</v>
      </c>
      <c r="P9234" s="12" t="s">
        <v>26424</v>
      </c>
      <c r="Q9234" s="9" t="s">
        <v>386</v>
      </c>
      <c r="R9234" s="14" t="str">
        <f>HYPERLINK("https://my.pitchbook.com?c=110770-75T","View Company Online")</f>
        <v>View Company Online</v>
      </c>
    </row>
    <row r="9235" spans="1:18" hidden="1" x14ac:dyDescent="0.3">
      <c r="A9235" s="15" t="s">
        <v>26425</v>
      </c>
      <c r="B9235" s="15" t="s">
        <v>26426</v>
      </c>
      <c r="C9235" s="18" t="s">
        <v>28</v>
      </c>
      <c r="D9235" s="15" t="s">
        <v>26427</v>
      </c>
      <c r="E9235" s="18" t="s">
        <v>28</v>
      </c>
      <c r="F9235" s="19" t="s">
        <v>28</v>
      </c>
      <c r="G9235" s="19" t="s">
        <v>28</v>
      </c>
      <c r="H9235" s="19" t="s">
        <v>28</v>
      </c>
      <c r="I9235" s="18" t="s">
        <v>28</v>
      </c>
      <c r="J9235" s="18" t="s">
        <v>28</v>
      </c>
      <c r="K9235" s="18" t="s">
        <v>28</v>
      </c>
      <c r="L9235" s="18" t="s">
        <v>28</v>
      </c>
      <c r="M9235" s="18" t="s">
        <v>28</v>
      </c>
      <c r="N9235" s="17">
        <v>42464</v>
      </c>
      <c r="O9235" s="15" t="s">
        <v>30</v>
      </c>
      <c r="P9235" s="16" t="s">
        <v>26317</v>
      </c>
      <c r="Q9235" s="15" t="s">
        <v>136</v>
      </c>
      <c r="R9235" s="13" t="str">
        <f>HYPERLINK("https://my.pitchbook.com?c=89910-28T","View Company Online")</f>
        <v>View Company Online</v>
      </c>
    </row>
    <row r="9236" spans="1:18" hidden="1" x14ac:dyDescent="0.3">
      <c r="A9236" s="9" t="s">
        <v>26428</v>
      </c>
      <c r="B9236" s="9" t="s">
        <v>26429</v>
      </c>
      <c r="C9236" s="11" t="s">
        <v>28</v>
      </c>
      <c r="D9236" s="9" t="s">
        <v>26430</v>
      </c>
      <c r="E9236" s="11" t="s">
        <v>28</v>
      </c>
      <c r="F9236" s="10" t="s">
        <v>28</v>
      </c>
      <c r="G9236" s="10" t="s">
        <v>28</v>
      </c>
      <c r="H9236" s="10" t="s">
        <v>28</v>
      </c>
      <c r="I9236" s="11" t="s">
        <v>28</v>
      </c>
      <c r="J9236" s="11" t="s">
        <v>28</v>
      </c>
      <c r="K9236" s="11" t="s">
        <v>28</v>
      </c>
      <c r="L9236" s="11" t="s">
        <v>28</v>
      </c>
      <c r="M9236" s="11" t="s">
        <v>28</v>
      </c>
      <c r="N9236" s="8">
        <v>42464</v>
      </c>
      <c r="O9236" s="9" t="s">
        <v>30</v>
      </c>
      <c r="P9236" s="12" t="s">
        <v>26431</v>
      </c>
      <c r="Q9236" s="9" t="s">
        <v>2097</v>
      </c>
      <c r="R9236" s="14" t="str">
        <f>HYPERLINK("https://my.pitchbook.com?c=69112-45T","View Company Online")</f>
        <v>View Company Online</v>
      </c>
    </row>
    <row r="9237" spans="1:18" hidden="1" x14ac:dyDescent="0.3">
      <c r="A9237" s="15" t="s">
        <v>26432</v>
      </c>
      <c r="B9237" s="15" t="s">
        <v>26433</v>
      </c>
      <c r="C9237" s="18" t="s">
        <v>28</v>
      </c>
      <c r="D9237" s="15" t="s">
        <v>26434</v>
      </c>
      <c r="E9237" s="18" t="s">
        <v>28</v>
      </c>
      <c r="F9237" s="19" t="s">
        <v>28</v>
      </c>
      <c r="G9237" s="19" t="s">
        <v>28</v>
      </c>
      <c r="H9237" s="19" t="s">
        <v>28</v>
      </c>
      <c r="I9237" s="18" t="s">
        <v>28</v>
      </c>
      <c r="J9237" s="18" t="s">
        <v>28</v>
      </c>
      <c r="K9237" s="18" t="s">
        <v>28</v>
      </c>
      <c r="L9237" s="18" t="s">
        <v>28</v>
      </c>
      <c r="M9237" s="18" t="s">
        <v>28</v>
      </c>
      <c r="N9237" s="17">
        <v>42464</v>
      </c>
      <c r="O9237" s="15" t="s">
        <v>173</v>
      </c>
      <c r="P9237" s="16" t="s">
        <v>28</v>
      </c>
      <c r="Q9237" s="15" t="s">
        <v>174</v>
      </c>
      <c r="R9237" s="13" t="str">
        <f>HYPERLINK("https://my.pitchbook.com?c=225908-47T","View Company Online")</f>
        <v>View Company Online</v>
      </c>
    </row>
    <row r="9238" spans="1:18" hidden="1" x14ac:dyDescent="0.3">
      <c r="A9238" s="9" t="s">
        <v>26435</v>
      </c>
      <c r="B9238" s="9" t="s">
        <v>20848</v>
      </c>
      <c r="C9238" s="11" t="s">
        <v>28</v>
      </c>
      <c r="D9238" s="9" t="s">
        <v>20849</v>
      </c>
      <c r="E9238" s="11" t="s">
        <v>28</v>
      </c>
      <c r="F9238" s="10" t="s">
        <v>28</v>
      </c>
      <c r="G9238" s="10" t="s">
        <v>28</v>
      </c>
      <c r="H9238" s="10" t="s">
        <v>28</v>
      </c>
      <c r="I9238" s="11" t="s">
        <v>28</v>
      </c>
      <c r="J9238" s="11" t="s">
        <v>28</v>
      </c>
      <c r="K9238" s="11" t="s">
        <v>28</v>
      </c>
      <c r="L9238" s="11" t="s">
        <v>28</v>
      </c>
      <c r="M9238" s="11" t="s">
        <v>28</v>
      </c>
      <c r="N9238" s="8">
        <v>42461</v>
      </c>
      <c r="O9238" s="9" t="s">
        <v>73</v>
      </c>
      <c r="P9238" s="12" t="s">
        <v>611</v>
      </c>
      <c r="Q9238" s="9" t="s">
        <v>75</v>
      </c>
      <c r="R9238" s="14" t="str">
        <f>HYPERLINK("https://my.pitchbook.com?c=196172-02T","View Company Online")</f>
        <v>View Company Online</v>
      </c>
    </row>
    <row r="9239" spans="1:18" hidden="1" x14ac:dyDescent="0.3">
      <c r="A9239" s="15" t="s">
        <v>26436</v>
      </c>
      <c r="B9239" s="15" t="s">
        <v>26437</v>
      </c>
      <c r="C9239" s="18" t="s">
        <v>28</v>
      </c>
      <c r="D9239" s="15" t="s">
        <v>26438</v>
      </c>
      <c r="E9239" s="18" t="s">
        <v>28</v>
      </c>
      <c r="F9239" s="19" t="s">
        <v>28</v>
      </c>
      <c r="G9239" s="19">
        <v>7.0000000000000007E-2</v>
      </c>
      <c r="H9239" s="19" t="s">
        <v>28</v>
      </c>
      <c r="I9239" s="18" t="s">
        <v>28</v>
      </c>
      <c r="J9239" s="18" t="s">
        <v>28</v>
      </c>
      <c r="K9239" s="18" t="s">
        <v>28</v>
      </c>
      <c r="L9239" s="18" t="s">
        <v>28</v>
      </c>
      <c r="M9239" s="18" t="s">
        <v>28</v>
      </c>
      <c r="N9239" s="17">
        <v>42461</v>
      </c>
      <c r="O9239" s="15" t="s">
        <v>99</v>
      </c>
      <c r="P9239" s="16" t="s">
        <v>28</v>
      </c>
      <c r="Q9239" s="15" t="s">
        <v>114</v>
      </c>
      <c r="R9239" s="13" t="str">
        <f>HYPERLINK("https://my.pitchbook.com?c=126022-51T","View Company Online")</f>
        <v>View Company Online</v>
      </c>
    </row>
    <row r="9240" spans="1:18" hidden="1" x14ac:dyDescent="0.3">
      <c r="A9240" s="9" t="s">
        <v>26439</v>
      </c>
      <c r="B9240" s="9" t="s">
        <v>11606</v>
      </c>
      <c r="C9240" s="11" t="s">
        <v>28</v>
      </c>
      <c r="D9240" s="9" t="s">
        <v>11607</v>
      </c>
      <c r="E9240" s="11" t="s">
        <v>28</v>
      </c>
      <c r="F9240" s="10" t="s">
        <v>28</v>
      </c>
      <c r="G9240" s="10">
        <v>0.13</v>
      </c>
      <c r="H9240" s="10" t="s">
        <v>28</v>
      </c>
      <c r="I9240" s="11" t="s">
        <v>28</v>
      </c>
      <c r="J9240" s="11" t="s">
        <v>28</v>
      </c>
      <c r="K9240" s="11" t="s">
        <v>28</v>
      </c>
      <c r="L9240" s="11" t="s">
        <v>28</v>
      </c>
      <c r="M9240" s="11" t="s">
        <v>28</v>
      </c>
      <c r="N9240" s="8">
        <v>42461</v>
      </c>
      <c r="O9240" s="9" t="s">
        <v>99</v>
      </c>
      <c r="P9240" s="12" t="s">
        <v>28</v>
      </c>
      <c r="Q9240" s="9" t="s">
        <v>37</v>
      </c>
      <c r="R9240" s="14" t="str">
        <f>HYPERLINK("https://my.pitchbook.com?c=189098-56T","View Company Online")</f>
        <v>View Company Online</v>
      </c>
    </row>
    <row r="9241" spans="1:18" hidden="1" x14ac:dyDescent="0.3">
      <c r="A9241" s="15" t="s">
        <v>26440</v>
      </c>
      <c r="B9241" s="15" t="s">
        <v>26441</v>
      </c>
      <c r="C9241" s="18" t="s">
        <v>28</v>
      </c>
      <c r="D9241" s="15" t="s">
        <v>26442</v>
      </c>
      <c r="E9241" s="18" t="s">
        <v>28</v>
      </c>
      <c r="F9241" s="19" t="s">
        <v>28</v>
      </c>
      <c r="G9241" s="19" t="s">
        <v>28</v>
      </c>
      <c r="H9241" s="19" t="s">
        <v>28</v>
      </c>
      <c r="I9241" s="18" t="s">
        <v>28</v>
      </c>
      <c r="J9241" s="18" t="s">
        <v>28</v>
      </c>
      <c r="K9241" s="18" t="s">
        <v>28</v>
      </c>
      <c r="L9241" s="18" t="s">
        <v>28</v>
      </c>
      <c r="M9241" s="18" t="s">
        <v>28</v>
      </c>
      <c r="N9241" s="17">
        <v>42461</v>
      </c>
      <c r="O9241" s="15" t="s">
        <v>52</v>
      </c>
      <c r="P9241" s="16" t="s">
        <v>15600</v>
      </c>
      <c r="Q9241" s="15" t="s">
        <v>386</v>
      </c>
      <c r="R9241" s="13" t="str">
        <f>HYPERLINK("https://my.pitchbook.com?c=106423-12T","View Company Online")</f>
        <v>View Company Online</v>
      </c>
    </row>
    <row r="9242" spans="1:18" hidden="1" x14ac:dyDescent="0.3">
      <c r="A9242" s="9" t="s">
        <v>26443</v>
      </c>
      <c r="B9242" s="9" t="s">
        <v>26444</v>
      </c>
      <c r="C9242" s="11" t="s">
        <v>28</v>
      </c>
      <c r="D9242" s="9" t="s">
        <v>26445</v>
      </c>
      <c r="E9242" s="11" t="s">
        <v>28</v>
      </c>
      <c r="F9242" s="10" t="s">
        <v>28</v>
      </c>
      <c r="G9242" s="10" t="s">
        <v>28</v>
      </c>
      <c r="H9242" s="10" t="s">
        <v>28</v>
      </c>
      <c r="I9242" s="11" t="s">
        <v>28</v>
      </c>
      <c r="J9242" s="11" t="s">
        <v>28</v>
      </c>
      <c r="K9242" s="11">
        <v>6.66</v>
      </c>
      <c r="L9242" s="11" t="s">
        <v>28</v>
      </c>
      <c r="M9242" s="11" t="s">
        <v>28</v>
      </c>
      <c r="N9242" s="8">
        <v>42461</v>
      </c>
      <c r="O9242" s="9" t="s">
        <v>41</v>
      </c>
      <c r="P9242" s="12" t="s">
        <v>26446</v>
      </c>
      <c r="Q9242" s="9" t="s">
        <v>280</v>
      </c>
      <c r="R9242" s="14" t="str">
        <f>HYPERLINK("https://my.pitchbook.com?c=92244-07T","View Company Online")</f>
        <v>View Company Online</v>
      </c>
    </row>
    <row r="9243" spans="1:18" hidden="1" x14ac:dyDescent="0.3">
      <c r="A9243" s="15" t="s">
        <v>26447</v>
      </c>
      <c r="B9243" s="15" t="s">
        <v>26448</v>
      </c>
      <c r="C9243" s="18" t="s">
        <v>28</v>
      </c>
      <c r="D9243" s="15" t="s">
        <v>26449</v>
      </c>
      <c r="E9243" s="18" t="s">
        <v>28</v>
      </c>
      <c r="F9243" s="19">
        <v>30.65</v>
      </c>
      <c r="G9243" s="19">
        <v>24.52</v>
      </c>
      <c r="H9243" s="19">
        <v>30.65</v>
      </c>
      <c r="I9243" s="18" t="s">
        <v>28</v>
      </c>
      <c r="J9243" s="18" t="s">
        <v>28</v>
      </c>
      <c r="K9243" s="18" t="s">
        <v>28</v>
      </c>
      <c r="L9243" s="18" t="s">
        <v>28</v>
      </c>
      <c r="M9243" s="18" t="s">
        <v>28</v>
      </c>
      <c r="N9243" s="17">
        <v>42461</v>
      </c>
      <c r="O9243" s="15" t="s">
        <v>30</v>
      </c>
      <c r="P9243" s="16" t="s">
        <v>26450</v>
      </c>
      <c r="Q9243" s="15" t="s">
        <v>5937</v>
      </c>
      <c r="R9243" s="13" t="str">
        <f>HYPERLINK("https://my.pitchbook.com?c=64190-26T","View Company Online")</f>
        <v>View Company Online</v>
      </c>
    </row>
    <row r="9244" spans="1:18" hidden="1" x14ac:dyDescent="0.3">
      <c r="A9244" s="9" t="s">
        <v>26451</v>
      </c>
      <c r="B9244" s="9" t="s">
        <v>8173</v>
      </c>
      <c r="C9244" s="11" t="s">
        <v>28</v>
      </c>
      <c r="D9244" s="9" t="s">
        <v>8174</v>
      </c>
      <c r="E9244" s="11" t="s">
        <v>28</v>
      </c>
      <c r="F9244" s="10" t="s">
        <v>28</v>
      </c>
      <c r="G9244" s="10">
        <v>0.08</v>
      </c>
      <c r="H9244" s="10" t="s">
        <v>28</v>
      </c>
      <c r="I9244" s="11" t="s">
        <v>28</v>
      </c>
      <c r="J9244" s="11" t="s">
        <v>28</v>
      </c>
      <c r="K9244" s="11" t="s">
        <v>28</v>
      </c>
      <c r="L9244" s="11" t="s">
        <v>28</v>
      </c>
      <c r="M9244" s="11" t="s">
        <v>28</v>
      </c>
      <c r="N9244" s="8">
        <v>42461</v>
      </c>
      <c r="O9244" s="9" t="s">
        <v>99</v>
      </c>
      <c r="P9244" s="12" t="s">
        <v>26452</v>
      </c>
      <c r="Q9244" s="9" t="s">
        <v>75</v>
      </c>
      <c r="R9244" s="14" t="str">
        <f>HYPERLINK("https://my.pitchbook.com?c=195694-12T","View Company Online")</f>
        <v>View Company Online</v>
      </c>
    </row>
    <row r="9245" spans="1:18" hidden="1" x14ac:dyDescent="0.3">
      <c r="A9245" s="15" t="s">
        <v>26453</v>
      </c>
      <c r="B9245" s="15" t="s">
        <v>18325</v>
      </c>
      <c r="C9245" s="18" t="s">
        <v>28</v>
      </c>
      <c r="D9245" s="15" t="s">
        <v>18326</v>
      </c>
      <c r="E9245" s="18" t="s">
        <v>28</v>
      </c>
      <c r="F9245" s="19" t="s">
        <v>28</v>
      </c>
      <c r="G9245" s="19" t="s">
        <v>28</v>
      </c>
      <c r="H9245" s="19" t="s">
        <v>28</v>
      </c>
      <c r="I9245" s="18" t="s">
        <v>28</v>
      </c>
      <c r="J9245" s="18" t="s">
        <v>28</v>
      </c>
      <c r="K9245" s="18" t="s">
        <v>28</v>
      </c>
      <c r="L9245" s="18" t="s">
        <v>28</v>
      </c>
      <c r="M9245" s="18" t="s">
        <v>28</v>
      </c>
      <c r="N9245" s="17">
        <v>42461</v>
      </c>
      <c r="O9245" s="15" t="s">
        <v>52</v>
      </c>
      <c r="P9245" s="16" t="s">
        <v>28</v>
      </c>
      <c r="Q9245" s="15" t="s">
        <v>75</v>
      </c>
      <c r="R9245" s="13" t="str">
        <f>HYPERLINK("https://my.pitchbook.com?c=76990-24T","View Company Online")</f>
        <v>View Company Online</v>
      </c>
    </row>
    <row r="9246" spans="1:18" hidden="1" x14ac:dyDescent="0.3">
      <c r="A9246" s="9" t="s">
        <v>26454</v>
      </c>
      <c r="B9246" s="9" t="s">
        <v>25232</v>
      </c>
      <c r="C9246" s="11" t="s">
        <v>28</v>
      </c>
      <c r="D9246" s="9" t="s">
        <v>25233</v>
      </c>
      <c r="E9246" s="11" t="s">
        <v>28</v>
      </c>
      <c r="F9246" s="10" t="s">
        <v>28</v>
      </c>
      <c r="G9246" s="10" t="s">
        <v>28</v>
      </c>
      <c r="H9246" s="10" t="s">
        <v>28</v>
      </c>
      <c r="I9246" s="11" t="s">
        <v>28</v>
      </c>
      <c r="J9246" s="11" t="s">
        <v>28</v>
      </c>
      <c r="K9246" s="11" t="s">
        <v>28</v>
      </c>
      <c r="L9246" s="11" t="s">
        <v>28</v>
      </c>
      <c r="M9246" s="11" t="s">
        <v>28</v>
      </c>
      <c r="N9246" s="8">
        <v>42460</v>
      </c>
      <c r="O9246" s="9" t="s">
        <v>52</v>
      </c>
      <c r="P9246" s="12" t="s">
        <v>15600</v>
      </c>
      <c r="Q9246" s="9" t="s">
        <v>522</v>
      </c>
      <c r="R9246" s="14" t="str">
        <f>HYPERLINK("https://my.pitchbook.com?c=292185-46T","View Company Online")</f>
        <v>View Company Online</v>
      </c>
    </row>
    <row r="9247" spans="1:18" hidden="1" x14ac:dyDescent="0.3">
      <c r="A9247" s="15" t="s">
        <v>26455</v>
      </c>
      <c r="B9247" s="15" t="s">
        <v>23780</v>
      </c>
      <c r="C9247" s="18" t="s">
        <v>28</v>
      </c>
      <c r="D9247" s="15" t="s">
        <v>23781</v>
      </c>
      <c r="E9247" s="18" t="s">
        <v>28</v>
      </c>
      <c r="F9247" s="19" t="s">
        <v>28</v>
      </c>
      <c r="G9247" s="19">
        <v>0.16</v>
      </c>
      <c r="H9247" s="19" t="s">
        <v>28</v>
      </c>
      <c r="I9247" s="18" t="s">
        <v>28</v>
      </c>
      <c r="J9247" s="18" t="s">
        <v>28</v>
      </c>
      <c r="K9247" s="18" t="s">
        <v>28</v>
      </c>
      <c r="L9247" s="18" t="s">
        <v>28</v>
      </c>
      <c r="M9247" s="18" t="s">
        <v>28</v>
      </c>
      <c r="N9247" s="17">
        <v>42460</v>
      </c>
      <c r="O9247" s="15" t="s">
        <v>79</v>
      </c>
      <c r="P9247" s="16" t="s">
        <v>26456</v>
      </c>
      <c r="Q9247" s="15" t="s">
        <v>75</v>
      </c>
      <c r="R9247" s="13" t="str">
        <f>HYPERLINK("https://my.pitchbook.com?c=94384-99T","View Company Online")</f>
        <v>View Company Online</v>
      </c>
    </row>
    <row r="9248" spans="1:18" hidden="1" x14ac:dyDescent="0.3">
      <c r="A9248" s="9" t="s">
        <v>26457</v>
      </c>
      <c r="B9248" s="9" t="s">
        <v>26458</v>
      </c>
      <c r="C9248" s="11" t="s">
        <v>28</v>
      </c>
      <c r="D9248" s="9" t="s">
        <v>26459</v>
      </c>
      <c r="E9248" s="11" t="s">
        <v>28</v>
      </c>
      <c r="F9248" s="10">
        <v>39.520000000000003</v>
      </c>
      <c r="G9248" s="10">
        <v>39.520000000000003</v>
      </c>
      <c r="H9248" s="10">
        <v>39.520000000000003</v>
      </c>
      <c r="I9248" s="11" t="s">
        <v>28</v>
      </c>
      <c r="J9248" s="11" t="s">
        <v>28</v>
      </c>
      <c r="K9248" s="11" t="s">
        <v>28</v>
      </c>
      <c r="L9248" s="11" t="s">
        <v>28</v>
      </c>
      <c r="M9248" s="11" t="s">
        <v>28</v>
      </c>
      <c r="N9248" s="8">
        <v>42460</v>
      </c>
      <c r="O9248" s="9" t="s">
        <v>30</v>
      </c>
      <c r="P9248" s="12" t="s">
        <v>26460</v>
      </c>
      <c r="Q9248" s="9" t="s">
        <v>975</v>
      </c>
      <c r="R9248" s="14" t="str">
        <f>HYPERLINK("https://my.pitchbook.com?c=69346-72T","View Company Online")</f>
        <v>View Company Online</v>
      </c>
    </row>
    <row r="9249" spans="1:18" hidden="1" x14ac:dyDescent="0.3">
      <c r="A9249" s="15" t="s">
        <v>26461</v>
      </c>
      <c r="B9249" s="15" t="s">
        <v>26462</v>
      </c>
      <c r="C9249" s="18" t="s">
        <v>28</v>
      </c>
      <c r="D9249" s="15" t="s">
        <v>26463</v>
      </c>
      <c r="E9249" s="18" t="s">
        <v>28</v>
      </c>
      <c r="F9249" s="19">
        <v>219.87</v>
      </c>
      <c r="G9249" s="19">
        <v>195.86</v>
      </c>
      <c r="H9249" s="19">
        <v>219.87</v>
      </c>
      <c r="I9249" s="18" t="s">
        <v>28</v>
      </c>
      <c r="J9249" s="18" t="s">
        <v>28</v>
      </c>
      <c r="K9249" s="18" t="s">
        <v>28</v>
      </c>
      <c r="L9249" s="18" t="s">
        <v>28</v>
      </c>
      <c r="M9249" s="18" t="s">
        <v>28</v>
      </c>
      <c r="N9249" s="17">
        <v>42460</v>
      </c>
      <c r="O9249" s="15" t="s">
        <v>30</v>
      </c>
      <c r="P9249" s="16" t="s">
        <v>2372</v>
      </c>
      <c r="Q9249" s="15" t="s">
        <v>114</v>
      </c>
      <c r="R9249" s="13" t="str">
        <f>HYPERLINK("https://my.pitchbook.com?c=62954-56T","View Company Online")</f>
        <v>View Company Online</v>
      </c>
    </row>
    <row r="9250" spans="1:18" hidden="1" x14ac:dyDescent="0.3">
      <c r="A9250" s="9" t="s">
        <v>26464</v>
      </c>
      <c r="B9250" s="9" t="s">
        <v>23543</v>
      </c>
      <c r="C9250" s="11" t="s">
        <v>28</v>
      </c>
      <c r="D9250" s="9" t="s">
        <v>23544</v>
      </c>
      <c r="E9250" s="11" t="s">
        <v>28</v>
      </c>
      <c r="F9250" s="10" t="s">
        <v>28</v>
      </c>
      <c r="G9250" s="10">
        <v>1.1000000000000001</v>
      </c>
      <c r="H9250" s="10" t="s">
        <v>28</v>
      </c>
      <c r="I9250" s="11" t="s">
        <v>28</v>
      </c>
      <c r="J9250" s="11" t="s">
        <v>28</v>
      </c>
      <c r="K9250" s="11" t="s">
        <v>28</v>
      </c>
      <c r="L9250" s="11" t="s">
        <v>28</v>
      </c>
      <c r="M9250" s="11" t="s">
        <v>28</v>
      </c>
      <c r="N9250" s="8">
        <v>42460</v>
      </c>
      <c r="O9250" s="9" t="s">
        <v>79</v>
      </c>
      <c r="P9250" s="12" t="s">
        <v>23782</v>
      </c>
      <c r="Q9250" s="9" t="s">
        <v>75</v>
      </c>
      <c r="R9250" s="14" t="str">
        <f>HYPERLINK("https://my.pitchbook.com?c=246751-03T","View Company Online")</f>
        <v>View Company Online</v>
      </c>
    </row>
    <row r="9251" spans="1:18" hidden="1" x14ac:dyDescent="0.3">
      <c r="A9251" s="15" t="s">
        <v>26465</v>
      </c>
      <c r="B9251" s="15" t="s">
        <v>26466</v>
      </c>
      <c r="C9251" s="18" t="s">
        <v>28</v>
      </c>
      <c r="D9251" s="15" t="s">
        <v>26467</v>
      </c>
      <c r="E9251" s="18">
        <v>14.43</v>
      </c>
      <c r="F9251" s="19" t="s">
        <v>28</v>
      </c>
      <c r="G9251" s="19" t="s">
        <v>28</v>
      </c>
      <c r="H9251" s="19" t="s">
        <v>28</v>
      </c>
      <c r="I9251" s="18">
        <v>18.88</v>
      </c>
      <c r="J9251" s="18" t="s">
        <v>28</v>
      </c>
      <c r="K9251" s="18">
        <v>204.66</v>
      </c>
      <c r="L9251" s="18" t="s">
        <v>28</v>
      </c>
      <c r="M9251" s="18">
        <v>17.23</v>
      </c>
      <c r="N9251" s="17">
        <v>42460</v>
      </c>
      <c r="O9251" s="15" t="s">
        <v>93</v>
      </c>
      <c r="P9251" s="16" t="s">
        <v>24889</v>
      </c>
      <c r="Q9251" s="15" t="s">
        <v>8197</v>
      </c>
      <c r="R9251" s="13" t="str">
        <f>HYPERLINK("https://my.pitchbook.com?c=262549-72T","View Company Online")</f>
        <v>View Company Online</v>
      </c>
    </row>
    <row r="9252" spans="1:18" hidden="1" x14ac:dyDescent="0.3">
      <c r="A9252" s="9" t="s">
        <v>26468</v>
      </c>
      <c r="B9252" s="9" t="s">
        <v>8806</v>
      </c>
      <c r="C9252" s="11" t="s">
        <v>28</v>
      </c>
      <c r="D9252" s="9" t="s">
        <v>8807</v>
      </c>
      <c r="E9252" s="11" t="s">
        <v>28</v>
      </c>
      <c r="F9252" s="10" t="s">
        <v>28</v>
      </c>
      <c r="G9252" s="10" t="s">
        <v>28</v>
      </c>
      <c r="H9252" s="10" t="s">
        <v>28</v>
      </c>
      <c r="I9252" s="11" t="s">
        <v>28</v>
      </c>
      <c r="J9252" s="11" t="s">
        <v>28</v>
      </c>
      <c r="K9252" s="11" t="s">
        <v>28</v>
      </c>
      <c r="L9252" s="11" t="s">
        <v>28</v>
      </c>
      <c r="M9252" s="11" t="s">
        <v>28</v>
      </c>
      <c r="N9252" s="8">
        <v>42458</v>
      </c>
      <c r="O9252" s="9" t="s">
        <v>52</v>
      </c>
      <c r="P9252" s="12" t="s">
        <v>21790</v>
      </c>
      <c r="Q9252" s="9" t="s">
        <v>75</v>
      </c>
      <c r="R9252" s="14" t="str">
        <f>HYPERLINK("https://my.pitchbook.com?c=106416-55T","View Company Online")</f>
        <v>View Company Online</v>
      </c>
    </row>
    <row r="9253" spans="1:18" hidden="1" x14ac:dyDescent="0.3">
      <c r="A9253" s="15" t="s">
        <v>26469</v>
      </c>
      <c r="B9253" s="15" t="s">
        <v>17160</v>
      </c>
      <c r="C9253" s="18" t="s">
        <v>28</v>
      </c>
      <c r="D9253" s="15" t="s">
        <v>17161</v>
      </c>
      <c r="E9253" s="18" t="s">
        <v>28</v>
      </c>
      <c r="F9253" s="19" t="s">
        <v>28</v>
      </c>
      <c r="G9253" s="19">
        <v>5.01</v>
      </c>
      <c r="H9253" s="19" t="s">
        <v>28</v>
      </c>
      <c r="I9253" s="18" t="s">
        <v>28</v>
      </c>
      <c r="J9253" s="18" t="s">
        <v>28</v>
      </c>
      <c r="K9253" s="18" t="s">
        <v>28</v>
      </c>
      <c r="L9253" s="18" t="s">
        <v>28</v>
      </c>
      <c r="M9253" s="18" t="s">
        <v>28</v>
      </c>
      <c r="N9253" s="17">
        <v>42457</v>
      </c>
      <c r="O9253" s="15" t="s">
        <v>73</v>
      </c>
      <c r="P9253" s="16" t="s">
        <v>26470</v>
      </c>
      <c r="Q9253" s="15" t="s">
        <v>75</v>
      </c>
      <c r="R9253" s="13" t="str">
        <f>HYPERLINK("https://my.pitchbook.com?c=70060-06T","View Company Online")</f>
        <v>View Company Online</v>
      </c>
    </row>
    <row r="9254" spans="1:18" hidden="1" x14ac:dyDescent="0.3">
      <c r="A9254" s="9" t="s">
        <v>26471</v>
      </c>
      <c r="B9254" s="9" t="s">
        <v>12651</v>
      </c>
      <c r="C9254" s="11" t="s">
        <v>28</v>
      </c>
      <c r="D9254" s="9" t="s">
        <v>12652</v>
      </c>
      <c r="E9254" s="11" t="s">
        <v>28</v>
      </c>
      <c r="F9254" s="10" t="s">
        <v>28</v>
      </c>
      <c r="G9254" s="10">
        <v>0.03</v>
      </c>
      <c r="H9254" s="10" t="s">
        <v>28</v>
      </c>
      <c r="I9254" s="11" t="s">
        <v>28</v>
      </c>
      <c r="J9254" s="11" t="s">
        <v>28</v>
      </c>
      <c r="K9254" s="11" t="s">
        <v>28</v>
      </c>
      <c r="L9254" s="11" t="s">
        <v>28</v>
      </c>
      <c r="M9254" s="11" t="s">
        <v>28</v>
      </c>
      <c r="N9254" s="8">
        <v>42457</v>
      </c>
      <c r="O9254" s="9" t="s">
        <v>47</v>
      </c>
      <c r="P9254" s="12" t="s">
        <v>26472</v>
      </c>
      <c r="Q9254" s="9" t="s">
        <v>75</v>
      </c>
      <c r="R9254" s="14" t="str">
        <f>HYPERLINK("https://my.pitchbook.com?c=123441-13T","View Company Online")</f>
        <v>View Company Online</v>
      </c>
    </row>
    <row r="9255" spans="1:18" hidden="1" x14ac:dyDescent="0.3">
      <c r="A9255" s="15" t="s">
        <v>26473</v>
      </c>
      <c r="B9255" s="15" t="s">
        <v>3192</v>
      </c>
      <c r="C9255" s="18" t="s">
        <v>28</v>
      </c>
      <c r="D9255" s="15" t="s">
        <v>3193</v>
      </c>
      <c r="E9255" s="18" t="s">
        <v>28</v>
      </c>
      <c r="F9255" s="19" t="s">
        <v>28</v>
      </c>
      <c r="G9255" s="19">
        <v>1.25</v>
      </c>
      <c r="H9255" s="19" t="s">
        <v>28</v>
      </c>
      <c r="I9255" s="18" t="s">
        <v>28</v>
      </c>
      <c r="J9255" s="18" t="s">
        <v>28</v>
      </c>
      <c r="K9255" s="18" t="s">
        <v>28</v>
      </c>
      <c r="L9255" s="18" t="s">
        <v>28</v>
      </c>
      <c r="M9255" s="18" t="s">
        <v>28</v>
      </c>
      <c r="N9255" s="17">
        <v>42453</v>
      </c>
      <c r="O9255" s="15" t="s">
        <v>73</v>
      </c>
      <c r="P9255" s="16" t="s">
        <v>26474</v>
      </c>
      <c r="Q9255" s="15" t="s">
        <v>114</v>
      </c>
      <c r="R9255" s="13" t="str">
        <f>HYPERLINK("https://my.pitchbook.com?c=79681-51T","View Company Online")</f>
        <v>View Company Online</v>
      </c>
    </row>
    <row r="9256" spans="1:18" hidden="1" x14ac:dyDescent="0.3">
      <c r="A9256" s="9" t="s">
        <v>26475</v>
      </c>
      <c r="B9256" s="9" t="s">
        <v>19971</v>
      </c>
      <c r="C9256" s="11" t="s">
        <v>28</v>
      </c>
      <c r="D9256" s="9" t="s">
        <v>19972</v>
      </c>
      <c r="E9256" s="11" t="s">
        <v>28</v>
      </c>
      <c r="F9256" s="10" t="s">
        <v>28</v>
      </c>
      <c r="G9256" s="10">
        <v>0.91</v>
      </c>
      <c r="H9256" s="10" t="s">
        <v>28</v>
      </c>
      <c r="I9256" s="11" t="s">
        <v>28</v>
      </c>
      <c r="J9256" s="11" t="s">
        <v>28</v>
      </c>
      <c r="K9256" s="11" t="s">
        <v>28</v>
      </c>
      <c r="L9256" s="11" t="s">
        <v>28</v>
      </c>
      <c r="M9256" s="11" t="s">
        <v>28</v>
      </c>
      <c r="N9256" s="8">
        <v>42452</v>
      </c>
      <c r="O9256" s="9" t="s">
        <v>79</v>
      </c>
      <c r="P9256" s="12" t="s">
        <v>25829</v>
      </c>
      <c r="Q9256" s="9" t="s">
        <v>75</v>
      </c>
      <c r="R9256" s="14" t="str">
        <f>HYPERLINK("https://my.pitchbook.com?c=92476-36T","View Company Online")</f>
        <v>View Company Online</v>
      </c>
    </row>
    <row r="9257" spans="1:18" hidden="1" x14ac:dyDescent="0.3">
      <c r="A9257" s="15" t="s">
        <v>26476</v>
      </c>
      <c r="B9257" s="15" t="s">
        <v>12503</v>
      </c>
      <c r="C9257" s="18" t="s">
        <v>28</v>
      </c>
      <c r="D9257" s="15" t="s">
        <v>12504</v>
      </c>
      <c r="E9257" s="18" t="s">
        <v>28</v>
      </c>
      <c r="F9257" s="19" t="s">
        <v>28</v>
      </c>
      <c r="G9257" s="19">
        <v>0.21</v>
      </c>
      <c r="H9257" s="19" t="s">
        <v>28</v>
      </c>
      <c r="I9257" s="18" t="s">
        <v>28</v>
      </c>
      <c r="J9257" s="18" t="s">
        <v>28</v>
      </c>
      <c r="K9257" s="18" t="s">
        <v>28</v>
      </c>
      <c r="L9257" s="18" t="s">
        <v>28</v>
      </c>
      <c r="M9257" s="18" t="s">
        <v>28</v>
      </c>
      <c r="N9257" s="17">
        <v>42452</v>
      </c>
      <c r="O9257" s="15" t="s">
        <v>99</v>
      </c>
      <c r="P9257" s="16" t="s">
        <v>26477</v>
      </c>
      <c r="Q9257" s="15" t="s">
        <v>114</v>
      </c>
      <c r="R9257" s="13" t="str">
        <f>HYPERLINK("https://my.pitchbook.com?c=70125-13T","View Company Online")</f>
        <v>View Company Online</v>
      </c>
    </row>
    <row r="9258" spans="1:18" hidden="1" x14ac:dyDescent="0.3">
      <c r="A9258" s="9" t="s">
        <v>26478</v>
      </c>
      <c r="B9258" s="9" t="s">
        <v>26122</v>
      </c>
      <c r="C9258" s="11" t="s">
        <v>28</v>
      </c>
      <c r="D9258" s="9" t="s">
        <v>26479</v>
      </c>
      <c r="E9258" s="11" t="s">
        <v>28</v>
      </c>
      <c r="F9258" s="10" t="s">
        <v>28</v>
      </c>
      <c r="G9258" s="10" t="s">
        <v>28</v>
      </c>
      <c r="H9258" s="10" t="s">
        <v>28</v>
      </c>
      <c r="I9258" s="11" t="s">
        <v>28</v>
      </c>
      <c r="J9258" s="11" t="s">
        <v>28</v>
      </c>
      <c r="K9258" s="11" t="s">
        <v>28</v>
      </c>
      <c r="L9258" s="11" t="s">
        <v>28</v>
      </c>
      <c r="M9258" s="11" t="s">
        <v>28</v>
      </c>
      <c r="N9258" s="8">
        <v>42451</v>
      </c>
      <c r="O9258" s="9" t="s">
        <v>30</v>
      </c>
      <c r="P9258" s="12" t="s">
        <v>28</v>
      </c>
      <c r="Q9258" s="9" t="s">
        <v>240</v>
      </c>
      <c r="R9258" s="14" t="str">
        <f>HYPERLINK("https://my.pitchbook.com?c=66671-65T","View Company Online")</f>
        <v>View Company Online</v>
      </c>
    </row>
    <row r="9259" spans="1:18" hidden="1" x14ac:dyDescent="0.3">
      <c r="A9259" s="15" t="s">
        <v>26480</v>
      </c>
      <c r="B9259" s="15" t="s">
        <v>26481</v>
      </c>
      <c r="C9259" s="18" t="s">
        <v>28</v>
      </c>
      <c r="D9259" s="15" t="s">
        <v>26482</v>
      </c>
      <c r="E9259" s="18" t="s">
        <v>28</v>
      </c>
      <c r="F9259" s="19" t="s">
        <v>28</v>
      </c>
      <c r="G9259" s="19" t="s">
        <v>28</v>
      </c>
      <c r="H9259" s="19" t="s">
        <v>28</v>
      </c>
      <c r="I9259" s="18" t="s">
        <v>28</v>
      </c>
      <c r="J9259" s="18" t="s">
        <v>28</v>
      </c>
      <c r="K9259" s="18" t="s">
        <v>28</v>
      </c>
      <c r="L9259" s="18" t="s">
        <v>28</v>
      </c>
      <c r="M9259" s="18" t="s">
        <v>28</v>
      </c>
      <c r="N9259" s="17">
        <v>42450</v>
      </c>
      <c r="O9259" s="15" t="s">
        <v>30</v>
      </c>
      <c r="P9259" s="16" t="s">
        <v>19095</v>
      </c>
      <c r="Q9259" s="15" t="s">
        <v>105</v>
      </c>
      <c r="R9259" s="13" t="str">
        <f>HYPERLINK("https://my.pitchbook.com?c=67932-10T","View Company Online")</f>
        <v>View Company Online</v>
      </c>
    </row>
    <row r="9260" spans="1:18" hidden="1" x14ac:dyDescent="0.3">
      <c r="A9260" s="9" t="s">
        <v>26483</v>
      </c>
      <c r="B9260" s="9" t="s">
        <v>26484</v>
      </c>
      <c r="C9260" s="11" t="s">
        <v>28</v>
      </c>
      <c r="D9260" s="9" t="s">
        <v>26485</v>
      </c>
      <c r="E9260" s="11" t="s">
        <v>28</v>
      </c>
      <c r="F9260" s="10" t="s">
        <v>28</v>
      </c>
      <c r="G9260" s="10" t="s">
        <v>28</v>
      </c>
      <c r="H9260" s="10" t="s">
        <v>28</v>
      </c>
      <c r="I9260" s="11" t="s">
        <v>28</v>
      </c>
      <c r="J9260" s="11" t="s">
        <v>28</v>
      </c>
      <c r="K9260" s="11" t="s">
        <v>28</v>
      </c>
      <c r="L9260" s="11" t="s">
        <v>28</v>
      </c>
      <c r="M9260" s="11" t="s">
        <v>28</v>
      </c>
      <c r="N9260" s="8">
        <v>42447</v>
      </c>
      <c r="O9260" s="9" t="s">
        <v>30</v>
      </c>
      <c r="P9260" s="12" t="s">
        <v>26486</v>
      </c>
      <c r="Q9260" s="9" t="s">
        <v>371</v>
      </c>
      <c r="R9260" s="14" t="str">
        <f>HYPERLINK("https://my.pitchbook.com?c=77876-74T","View Company Online")</f>
        <v>View Company Online</v>
      </c>
    </row>
    <row r="9261" spans="1:18" hidden="1" x14ac:dyDescent="0.3">
      <c r="A9261" s="15" t="s">
        <v>26487</v>
      </c>
      <c r="B9261" s="15" t="s">
        <v>16016</v>
      </c>
      <c r="C9261" s="18" t="s">
        <v>28</v>
      </c>
      <c r="D9261" s="15" t="s">
        <v>16017</v>
      </c>
      <c r="E9261" s="18" t="s">
        <v>28</v>
      </c>
      <c r="F9261" s="19" t="s">
        <v>28</v>
      </c>
      <c r="G9261" s="19">
        <v>5.94</v>
      </c>
      <c r="H9261" s="19" t="s">
        <v>28</v>
      </c>
      <c r="I9261" s="18" t="s">
        <v>28</v>
      </c>
      <c r="J9261" s="18" t="s">
        <v>28</v>
      </c>
      <c r="K9261" s="18" t="s">
        <v>28</v>
      </c>
      <c r="L9261" s="18" t="s">
        <v>28</v>
      </c>
      <c r="M9261" s="18" t="s">
        <v>28</v>
      </c>
      <c r="N9261" s="17">
        <v>42447</v>
      </c>
      <c r="O9261" s="15" t="s">
        <v>73</v>
      </c>
      <c r="P9261" s="16" t="s">
        <v>26488</v>
      </c>
      <c r="Q9261" s="15" t="s">
        <v>583</v>
      </c>
      <c r="R9261" s="13" t="str">
        <f>HYPERLINK("https://my.pitchbook.com?c=68380-93T","View Company Online")</f>
        <v>View Company Online</v>
      </c>
    </row>
    <row r="9262" spans="1:18" hidden="1" x14ac:dyDescent="0.3">
      <c r="A9262" s="9" t="s">
        <v>26489</v>
      </c>
      <c r="B9262" s="9" t="s">
        <v>26490</v>
      </c>
      <c r="C9262" s="11" t="s">
        <v>28</v>
      </c>
      <c r="D9262" s="9" t="s">
        <v>26491</v>
      </c>
      <c r="E9262" s="11" t="s">
        <v>28</v>
      </c>
      <c r="F9262" s="10" t="s">
        <v>28</v>
      </c>
      <c r="G9262" s="10" t="s">
        <v>28</v>
      </c>
      <c r="H9262" s="10" t="s">
        <v>28</v>
      </c>
      <c r="I9262" s="11" t="s">
        <v>28</v>
      </c>
      <c r="J9262" s="11" t="s">
        <v>28</v>
      </c>
      <c r="K9262" s="11" t="s">
        <v>28</v>
      </c>
      <c r="L9262" s="11" t="s">
        <v>28</v>
      </c>
      <c r="M9262" s="11" t="s">
        <v>28</v>
      </c>
      <c r="N9262" s="8">
        <v>42446</v>
      </c>
      <c r="O9262" s="9" t="s">
        <v>41</v>
      </c>
      <c r="P9262" s="12" t="s">
        <v>26492</v>
      </c>
      <c r="Q9262" s="9" t="s">
        <v>24136</v>
      </c>
      <c r="R9262" s="14" t="str">
        <f>HYPERLINK("https://my.pitchbook.com?c=67835-80T","View Company Online")</f>
        <v>View Company Online</v>
      </c>
    </row>
    <row r="9263" spans="1:18" hidden="1" x14ac:dyDescent="0.3">
      <c r="A9263" s="15" t="s">
        <v>26493</v>
      </c>
      <c r="B9263" s="15" t="s">
        <v>5380</v>
      </c>
      <c r="C9263" s="18" t="s">
        <v>28</v>
      </c>
      <c r="D9263" s="15" t="s">
        <v>5381</v>
      </c>
      <c r="E9263" s="18" t="s">
        <v>28</v>
      </c>
      <c r="F9263" s="19">
        <v>10.3</v>
      </c>
      <c r="G9263" s="19">
        <v>10.3</v>
      </c>
      <c r="H9263" s="19">
        <v>10.3</v>
      </c>
      <c r="I9263" s="18" t="s">
        <v>28</v>
      </c>
      <c r="J9263" s="18" t="s">
        <v>28</v>
      </c>
      <c r="K9263" s="18" t="s">
        <v>28</v>
      </c>
      <c r="L9263" s="18" t="s">
        <v>28</v>
      </c>
      <c r="M9263" s="18" t="s">
        <v>28</v>
      </c>
      <c r="N9263" s="17">
        <v>42446</v>
      </c>
      <c r="O9263" s="15" t="s">
        <v>41</v>
      </c>
      <c r="P9263" s="16" t="s">
        <v>18205</v>
      </c>
      <c r="Q9263" s="15" t="s">
        <v>1035</v>
      </c>
      <c r="R9263" s="13" t="str">
        <f>HYPERLINK("https://my.pitchbook.com?c=96822-28T","View Company Online")</f>
        <v>View Company Online</v>
      </c>
    </row>
    <row r="9264" spans="1:18" hidden="1" x14ac:dyDescent="0.3">
      <c r="A9264" s="9" t="s">
        <v>26494</v>
      </c>
      <c r="B9264" s="9" t="s">
        <v>19356</v>
      </c>
      <c r="C9264" s="11" t="s">
        <v>28</v>
      </c>
      <c r="D9264" s="9" t="s">
        <v>19357</v>
      </c>
      <c r="E9264" s="11" t="s">
        <v>28</v>
      </c>
      <c r="F9264" s="10" t="s">
        <v>28</v>
      </c>
      <c r="G9264" s="10">
        <v>19.3</v>
      </c>
      <c r="H9264" s="10">
        <v>39.380000000000003</v>
      </c>
      <c r="I9264" s="11" t="s">
        <v>28</v>
      </c>
      <c r="J9264" s="11" t="s">
        <v>28</v>
      </c>
      <c r="K9264" s="11">
        <v>27.02</v>
      </c>
      <c r="L9264" s="11">
        <v>1.46</v>
      </c>
      <c r="M9264" s="11" t="s">
        <v>28</v>
      </c>
      <c r="N9264" s="8">
        <v>42445</v>
      </c>
      <c r="O9264" s="9" t="s">
        <v>58</v>
      </c>
      <c r="P9264" s="12" t="s">
        <v>26495</v>
      </c>
      <c r="Q9264" s="9" t="s">
        <v>1088</v>
      </c>
      <c r="R9264" s="14" t="str">
        <f>HYPERLINK("https://my.pitchbook.com?c=68132-89T","View Company Online")</f>
        <v>View Company Online</v>
      </c>
    </row>
    <row r="9265" spans="1:18" hidden="1" x14ac:dyDescent="0.3">
      <c r="A9265" s="15" t="s">
        <v>26496</v>
      </c>
      <c r="B9265" s="15" t="s">
        <v>23502</v>
      </c>
      <c r="C9265" s="18" t="s">
        <v>28</v>
      </c>
      <c r="D9265" s="15" t="s">
        <v>23503</v>
      </c>
      <c r="E9265" s="18" t="s">
        <v>28</v>
      </c>
      <c r="F9265" s="19" t="s">
        <v>28</v>
      </c>
      <c r="G9265" s="19">
        <v>7.2</v>
      </c>
      <c r="H9265" s="19" t="s">
        <v>28</v>
      </c>
      <c r="I9265" s="18" t="s">
        <v>28</v>
      </c>
      <c r="J9265" s="18" t="s">
        <v>28</v>
      </c>
      <c r="K9265" s="18" t="s">
        <v>28</v>
      </c>
      <c r="L9265" s="18" t="s">
        <v>28</v>
      </c>
      <c r="M9265" s="18" t="s">
        <v>28</v>
      </c>
      <c r="N9265" s="17">
        <v>42445</v>
      </c>
      <c r="O9265" s="15" t="s">
        <v>79</v>
      </c>
      <c r="P9265" s="16" t="s">
        <v>2013</v>
      </c>
      <c r="Q9265" s="15" t="s">
        <v>95</v>
      </c>
      <c r="R9265" s="13" t="str">
        <f>HYPERLINK("https://my.pitchbook.com?c=68387-05T","View Company Online")</f>
        <v>View Company Online</v>
      </c>
    </row>
    <row r="9266" spans="1:18" hidden="1" x14ac:dyDescent="0.3">
      <c r="A9266" s="9" t="s">
        <v>26497</v>
      </c>
      <c r="B9266" s="9" t="s">
        <v>24922</v>
      </c>
      <c r="C9266" s="11" t="s">
        <v>28</v>
      </c>
      <c r="D9266" s="9" t="s">
        <v>24923</v>
      </c>
      <c r="E9266" s="11" t="s">
        <v>28</v>
      </c>
      <c r="F9266" s="10" t="s">
        <v>28</v>
      </c>
      <c r="G9266" s="10">
        <v>3</v>
      </c>
      <c r="H9266" s="10" t="s">
        <v>28</v>
      </c>
      <c r="I9266" s="11" t="s">
        <v>28</v>
      </c>
      <c r="J9266" s="11" t="s">
        <v>28</v>
      </c>
      <c r="K9266" s="11">
        <v>9.01</v>
      </c>
      <c r="L9266" s="11" t="s">
        <v>28</v>
      </c>
      <c r="M9266" s="11" t="s">
        <v>28</v>
      </c>
      <c r="N9266" s="8">
        <v>42445</v>
      </c>
      <c r="O9266" s="9" t="s">
        <v>93</v>
      </c>
      <c r="P9266" s="12" t="s">
        <v>25200</v>
      </c>
      <c r="Q9266" s="9" t="s">
        <v>414</v>
      </c>
      <c r="R9266" s="14" t="str">
        <f>HYPERLINK("https://my.pitchbook.com?c=69427-36T","View Company Online")</f>
        <v>View Company Online</v>
      </c>
    </row>
    <row r="9267" spans="1:18" hidden="1" x14ac:dyDescent="0.3">
      <c r="A9267" s="15" t="s">
        <v>26498</v>
      </c>
      <c r="B9267" s="15" t="s">
        <v>16121</v>
      </c>
      <c r="C9267" s="18" t="s">
        <v>28</v>
      </c>
      <c r="D9267" s="15" t="s">
        <v>16122</v>
      </c>
      <c r="E9267" s="18" t="s">
        <v>28</v>
      </c>
      <c r="F9267" s="19" t="s">
        <v>28</v>
      </c>
      <c r="G9267" s="19">
        <v>143</v>
      </c>
      <c r="H9267" s="19" t="s">
        <v>28</v>
      </c>
      <c r="I9267" s="18" t="s">
        <v>28</v>
      </c>
      <c r="J9267" s="18" t="s">
        <v>28</v>
      </c>
      <c r="K9267" s="18">
        <v>43.58</v>
      </c>
      <c r="L9267" s="18" t="s">
        <v>28</v>
      </c>
      <c r="M9267" s="18" t="s">
        <v>28</v>
      </c>
      <c r="N9267" s="17">
        <v>42444</v>
      </c>
      <c r="O9267" s="15" t="s">
        <v>58</v>
      </c>
      <c r="P9267" s="16" t="s">
        <v>28</v>
      </c>
      <c r="Q9267" s="15" t="s">
        <v>69</v>
      </c>
      <c r="R9267" s="13" t="str">
        <f>HYPERLINK("https://my.pitchbook.com?c=89398-63T","View Company Online")</f>
        <v>View Company Online</v>
      </c>
    </row>
    <row r="9268" spans="1:18" hidden="1" x14ac:dyDescent="0.3">
      <c r="A9268" s="9" t="s">
        <v>26499</v>
      </c>
      <c r="B9268" s="9" t="s">
        <v>13680</v>
      </c>
      <c r="C9268" s="11" t="s">
        <v>28</v>
      </c>
      <c r="D9268" s="9" t="s">
        <v>13681</v>
      </c>
      <c r="E9268" s="11" t="s">
        <v>28</v>
      </c>
      <c r="F9268" s="10" t="s">
        <v>28</v>
      </c>
      <c r="G9268" s="10">
        <v>2.5</v>
      </c>
      <c r="H9268" s="10" t="s">
        <v>28</v>
      </c>
      <c r="I9268" s="11" t="s">
        <v>28</v>
      </c>
      <c r="J9268" s="11" t="s">
        <v>28</v>
      </c>
      <c r="K9268" s="11" t="s">
        <v>28</v>
      </c>
      <c r="L9268" s="11" t="s">
        <v>28</v>
      </c>
      <c r="M9268" s="11" t="s">
        <v>28</v>
      </c>
      <c r="N9268" s="8">
        <v>42444</v>
      </c>
      <c r="O9268" s="9" t="s">
        <v>73</v>
      </c>
      <c r="P9268" s="12" t="s">
        <v>26500</v>
      </c>
      <c r="Q9268" s="9" t="s">
        <v>5347</v>
      </c>
      <c r="R9268" s="14" t="str">
        <f>HYPERLINK("https://my.pitchbook.com?c=67730-77T","View Company Online")</f>
        <v>View Company Online</v>
      </c>
    </row>
    <row r="9269" spans="1:18" hidden="1" x14ac:dyDescent="0.3">
      <c r="A9269" s="15" t="s">
        <v>26501</v>
      </c>
      <c r="B9269" s="15" t="s">
        <v>26502</v>
      </c>
      <c r="C9269" s="18" t="s">
        <v>28</v>
      </c>
      <c r="D9269" s="15" t="s">
        <v>26503</v>
      </c>
      <c r="E9269" s="18" t="s">
        <v>28</v>
      </c>
      <c r="F9269" s="19" t="s">
        <v>28</v>
      </c>
      <c r="G9269" s="19" t="s">
        <v>28</v>
      </c>
      <c r="H9269" s="19" t="s">
        <v>28</v>
      </c>
      <c r="I9269" s="18" t="s">
        <v>28</v>
      </c>
      <c r="J9269" s="18" t="s">
        <v>28</v>
      </c>
      <c r="K9269" s="18" t="s">
        <v>28</v>
      </c>
      <c r="L9269" s="18" t="s">
        <v>28</v>
      </c>
      <c r="M9269" s="18" t="s">
        <v>28</v>
      </c>
      <c r="N9269" s="17">
        <v>42444</v>
      </c>
      <c r="O9269" s="15" t="s">
        <v>52</v>
      </c>
      <c r="P9269" s="16" t="s">
        <v>1970</v>
      </c>
      <c r="Q9269" s="15" t="s">
        <v>386</v>
      </c>
      <c r="R9269" s="13" t="str">
        <f>HYPERLINK("https://my.pitchbook.com?c=127619-83T","View Company Online")</f>
        <v>View Company Online</v>
      </c>
    </row>
    <row r="9270" spans="1:18" hidden="1" x14ac:dyDescent="0.3">
      <c r="A9270" s="9" t="s">
        <v>26504</v>
      </c>
      <c r="B9270" s="9" t="s">
        <v>26505</v>
      </c>
      <c r="C9270" s="11" t="s">
        <v>28</v>
      </c>
      <c r="D9270" s="9" t="s">
        <v>26506</v>
      </c>
      <c r="E9270" s="11" t="s">
        <v>28</v>
      </c>
      <c r="F9270" s="10" t="s">
        <v>28</v>
      </c>
      <c r="G9270" s="10" t="s">
        <v>28</v>
      </c>
      <c r="H9270" s="10" t="s">
        <v>28</v>
      </c>
      <c r="I9270" s="11" t="s">
        <v>28</v>
      </c>
      <c r="J9270" s="11" t="s">
        <v>28</v>
      </c>
      <c r="K9270" s="11" t="s">
        <v>28</v>
      </c>
      <c r="L9270" s="11" t="s">
        <v>28</v>
      </c>
      <c r="M9270" s="11" t="s">
        <v>28</v>
      </c>
      <c r="N9270" s="8">
        <v>42443</v>
      </c>
      <c r="O9270" s="9" t="s">
        <v>30</v>
      </c>
      <c r="P9270" s="12" t="s">
        <v>26431</v>
      </c>
      <c r="Q9270" s="9" t="s">
        <v>353</v>
      </c>
      <c r="R9270" s="14" t="str">
        <f>HYPERLINK("https://my.pitchbook.com?c=68826-16T","View Company Online")</f>
        <v>View Company Online</v>
      </c>
    </row>
    <row r="9271" spans="1:18" hidden="1" x14ac:dyDescent="0.3">
      <c r="A9271" s="15" t="s">
        <v>26507</v>
      </c>
      <c r="B9271" s="15" t="s">
        <v>26508</v>
      </c>
      <c r="C9271" s="18" t="s">
        <v>28</v>
      </c>
      <c r="D9271" s="15" t="s">
        <v>26509</v>
      </c>
      <c r="E9271" s="18" t="s">
        <v>28</v>
      </c>
      <c r="F9271" s="19">
        <v>8.3000000000000007</v>
      </c>
      <c r="G9271" s="19">
        <v>4.1500000000000004</v>
      </c>
      <c r="H9271" s="19">
        <v>8.3000000000000007</v>
      </c>
      <c r="I9271" s="18" t="s">
        <v>28</v>
      </c>
      <c r="J9271" s="18" t="s">
        <v>28</v>
      </c>
      <c r="K9271" s="18" t="s">
        <v>28</v>
      </c>
      <c r="L9271" s="18" t="s">
        <v>28</v>
      </c>
      <c r="M9271" s="18" t="s">
        <v>28</v>
      </c>
      <c r="N9271" s="17">
        <v>42442</v>
      </c>
      <c r="O9271" s="15" t="s">
        <v>30</v>
      </c>
      <c r="P9271" s="16" t="s">
        <v>26510</v>
      </c>
      <c r="Q9271" s="15" t="s">
        <v>280</v>
      </c>
      <c r="R9271" s="13" t="str">
        <f>HYPERLINK("https://my.pitchbook.com?c=67412-44T","View Company Online")</f>
        <v>View Company Online</v>
      </c>
    </row>
    <row r="9272" spans="1:18" hidden="1" x14ac:dyDescent="0.3">
      <c r="A9272" s="9" t="s">
        <v>26511</v>
      </c>
      <c r="B9272" s="9" t="s">
        <v>9094</v>
      </c>
      <c r="C9272" s="11" t="s">
        <v>28</v>
      </c>
      <c r="D9272" s="9" t="s">
        <v>9095</v>
      </c>
      <c r="E9272" s="11" t="s">
        <v>28</v>
      </c>
      <c r="F9272" s="10">
        <v>398.11</v>
      </c>
      <c r="G9272" s="10">
        <v>199.06</v>
      </c>
      <c r="H9272" s="10">
        <v>398.11</v>
      </c>
      <c r="I9272" s="11" t="s">
        <v>28</v>
      </c>
      <c r="J9272" s="11" t="s">
        <v>28</v>
      </c>
      <c r="K9272" s="11" t="s">
        <v>28</v>
      </c>
      <c r="L9272" s="11" t="s">
        <v>28</v>
      </c>
      <c r="M9272" s="11" t="s">
        <v>28</v>
      </c>
      <c r="N9272" s="8">
        <v>42441</v>
      </c>
      <c r="O9272" s="9" t="s">
        <v>30</v>
      </c>
      <c r="P9272" s="12" t="s">
        <v>26512</v>
      </c>
      <c r="Q9272" s="9" t="s">
        <v>331</v>
      </c>
      <c r="R9272" s="14" t="str">
        <f>HYPERLINK("https://my.pitchbook.com?c=59924-80T","View Company Online")</f>
        <v>View Company Online</v>
      </c>
    </row>
    <row r="9273" spans="1:18" hidden="1" x14ac:dyDescent="0.3">
      <c r="A9273" s="15" t="s">
        <v>26513</v>
      </c>
      <c r="B9273" s="15" t="s">
        <v>26514</v>
      </c>
      <c r="C9273" s="18" t="s">
        <v>28</v>
      </c>
      <c r="D9273" s="15" t="s">
        <v>26515</v>
      </c>
      <c r="E9273" s="18" t="s">
        <v>28</v>
      </c>
      <c r="F9273" s="19" t="s">
        <v>28</v>
      </c>
      <c r="G9273" s="19" t="s">
        <v>28</v>
      </c>
      <c r="H9273" s="19" t="s">
        <v>28</v>
      </c>
      <c r="I9273" s="18" t="s">
        <v>28</v>
      </c>
      <c r="J9273" s="18" t="s">
        <v>28</v>
      </c>
      <c r="K9273" s="18" t="s">
        <v>28</v>
      </c>
      <c r="L9273" s="18" t="s">
        <v>28</v>
      </c>
      <c r="M9273" s="18" t="s">
        <v>28</v>
      </c>
      <c r="N9273" s="17">
        <v>42440</v>
      </c>
      <c r="O9273" s="15" t="s">
        <v>30</v>
      </c>
      <c r="P9273" s="16" t="s">
        <v>26516</v>
      </c>
      <c r="Q9273" s="15" t="s">
        <v>900</v>
      </c>
      <c r="R9273" s="13" t="str">
        <f>HYPERLINK("https://my.pitchbook.com?c=68137-93T","View Company Online")</f>
        <v>View Company Online</v>
      </c>
    </row>
    <row r="9274" spans="1:18" hidden="1" x14ac:dyDescent="0.3">
      <c r="A9274" s="9" t="s">
        <v>26517</v>
      </c>
      <c r="B9274" s="9" t="s">
        <v>25270</v>
      </c>
      <c r="C9274" s="11" t="s">
        <v>28</v>
      </c>
      <c r="D9274" s="9" t="s">
        <v>25271</v>
      </c>
      <c r="E9274" s="11" t="s">
        <v>28</v>
      </c>
      <c r="F9274" s="10" t="s">
        <v>28</v>
      </c>
      <c r="G9274" s="10" t="s">
        <v>28</v>
      </c>
      <c r="H9274" s="10" t="s">
        <v>28</v>
      </c>
      <c r="I9274" s="11" t="s">
        <v>28</v>
      </c>
      <c r="J9274" s="11" t="s">
        <v>28</v>
      </c>
      <c r="K9274" s="11" t="s">
        <v>28</v>
      </c>
      <c r="L9274" s="11" t="s">
        <v>28</v>
      </c>
      <c r="M9274" s="11" t="s">
        <v>28</v>
      </c>
      <c r="N9274" s="8">
        <v>42440</v>
      </c>
      <c r="O9274" s="9" t="s">
        <v>52</v>
      </c>
      <c r="P9274" s="12" t="s">
        <v>1792</v>
      </c>
      <c r="Q9274" s="9" t="s">
        <v>114</v>
      </c>
      <c r="R9274" s="14" t="str">
        <f>HYPERLINK("https://my.pitchbook.com?c=292213-18T","View Company Online")</f>
        <v>View Company Online</v>
      </c>
    </row>
    <row r="9275" spans="1:18" hidden="1" x14ac:dyDescent="0.3">
      <c r="A9275" s="15" t="s">
        <v>26518</v>
      </c>
      <c r="B9275" s="15" t="s">
        <v>26519</v>
      </c>
      <c r="C9275" s="18" t="s">
        <v>28</v>
      </c>
      <c r="D9275" s="15" t="s">
        <v>26520</v>
      </c>
      <c r="E9275" s="18" t="s">
        <v>28</v>
      </c>
      <c r="F9275" s="19">
        <v>2.42</v>
      </c>
      <c r="G9275" s="19">
        <v>2.42</v>
      </c>
      <c r="H9275" s="19">
        <v>2.42</v>
      </c>
      <c r="I9275" s="18" t="s">
        <v>28</v>
      </c>
      <c r="J9275" s="18" t="s">
        <v>28</v>
      </c>
      <c r="K9275" s="18" t="s">
        <v>28</v>
      </c>
      <c r="L9275" s="18" t="s">
        <v>28</v>
      </c>
      <c r="M9275" s="18" t="s">
        <v>28</v>
      </c>
      <c r="N9275" s="17">
        <v>42439</v>
      </c>
      <c r="O9275" s="15" t="s">
        <v>30</v>
      </c>
      <c r="P9275" s="16" t="s">
        <v>2330</v>
      </c>
      <c r="Q9275" s="15" t="s">
        <v>43</v>
      </c>
      <c r="R9275" s="13" t="str">
        <f>HYPERLINK("https://my.pitchbook.com?c=68777-92T","View Company Online")</f>
        <v>View Company Online</v>
      </c>
    </row>
    <row r="9276" spans="1:18" hidden="1" x14ac:dyDescent="0.3">
      <c r="A9276" s="9" t="s">
        <v>26521</v>
      </c>
      <c r="B9276" s="9" t="s">
        <v>26522</v>
      </c>
      <c r="C9276" s="11" t="s">
        <v>28</v>
      </c>
      <c r="D9276" s="9" t="s">
        <v>26523</v>
      </c>
      <c r="E9276" s="11" t="s">
        <v>28</v>
      </c>
      <c r="F9276" s="10">
        <v>11.44</v>
      </c>
      <c r="G9276" s="10">
        <v>11.44</v>
      </c>
      <c r="H9276" s="10">
        <v>11.44</v>
      </c>
      <c r="I9276" s="11" t="s">
        <v>28</v>
      </c>
      <c r="J9276" s="11" t="s">
        <v>28</v>
      </c>
      <c r="K9276" s="11" t="s">
        <v>28</v>
      </c>
      <c r="L9276" s="11" t="s">
        <v>28</v>
      </c>
      <c r="M9276" s="11" t="s">
        <v>28</v>
      </c>
      <c r="N9276" s="8">
        <v>42438</v>
      </c>
      <c r="O9276" s="9" t="s">
        <v>30</v>
      </c>
      <c r="P9276" s="12" t="s">
        <v>26524</v>
      </c>
      <c r="Q9276" s="9" t="s">
        <v>19850</v>
      </c>
      <c r="R9276" s="14" t="str">
        <f>HYPERLINK("https://my.pitchbook.com?c=67528-72T","View Company Online")</f>
        <v>View Company Online</v>
      </c>
    </row>
    <row r="9277" spans="1:18" hidden="1" x14ac:dyDescent="0.3">
      <c r="A9277" s="15" t="s">
        <v>26525</v>
      </c>
      <c r="B9277" s="15" t="s">
        <v>26526</v>
      </c>
      <c r="C9277" s="18" t="s">
        <v>28</v>
      </c>
      <c r="D9277" s="15" t="s">
        <v>26527</v>
      </c>
      <c r="E9277" s="18" t="s">
        <v>28</v>
      </c>
      <c r="F9277" s="19" t="s">
        <v>28</v>
      </c>
      <c r="G9277" s="19" t="s">
        <v>28</v>
      </c>
      <c r="H9277" s="19" t="s">
        <v>28</v>
      </c>
      <c r="I9277" s="18" t="s">
        <v>28</v>
      </c>
      <c r="J9277" s="18" t="s">
        <v>28</v>
      </c>
      <c r="K9277" s="18" t="s">
        <v>28</v>
      </c>
      <c r="L9277" s="18" t="s">
        <v>28</v>
      </c>
      <c r="M9277" s="18" t="s">
        <v>28</v>
      </c>
      <c r="N9277" s="17">
        <v>42437</v>
      </c>
      <c r="O9277" s="15" t="s">
        <v>52</v>
      </c>
      <c r="P9277" s="16" t="s">
        <v>16830</v>
      </c>
      <c r="Q9277" s="15" t="s">
        <v>7209</v>
      </c>
      <c r="R9277" s="13" t="str">
        <f>HYPERLINK("https://my.pitchbook.com?c=132876-28T","View Company Online")</f>
        <v>View Company Online</v>
      </c>
    </row>
    <row r="9278" spans="1:18" hidden="1" x14ac:dyDescent="0.3">
      <c r="A9278" s="9" t="s">
        <v>26528</v>
      </c>
      <c r="B9278" s="9" t="s">
        <v>24849</v>
      </c>
      <c r="C9278" s="11" t="s">
        <v>28</v>
      </c>
      <c r="D9278" s="9" t="s">
        <v>26529</v>
      </c>
      <c r="E9278" s="11">
        <v>3.51</v>
      </c>
      <c r="F9278" s="10" t="s">
        <v>28</v>
      </c>
      <c r="G9278" s="10" t="s">
        <v>28</v>
      </c>
      <c r="H9278" s="10" t="s">
        <v>28</v>
      </c>
      <c r="I9278" s="11">
        <v>3.59</v>
      </c>
      <c r="J9278" s="11" t="s">
        <v>28</v>
      </c>
      <c r="K9278" s="11">
        <v>19.18</v>
      </c>
      <c r="L9278" s="11" t="s">
        <v>28</v>
      </c>
      <c r="M9278" s="11">
        <v>2.2400000000000002</v>
      </c>
      <c r="N9278" s="8">
        <v>42437</v>
      </c>
      <c r="O9278" s="9" t="s">
        <v>159</v>
      </c>
      <c r="P9278" s="12" t="s">
        <v>26530</v>
      </c>
      <c r="Q9278" s="9" t="s">
        <v>880</v>
      </c>
      <c r="R9278" s="14" t="str">
        <f>HYPERLINK("https://my.pitchbook.com?c=72260-11T","View Company Online")</f>
        <v>View Company Online</v>
      </c>
    </row>
    <row r="9279" spans="1:18" hidden="1" x14ac:dyDescent="0.3">
      <c r="A9279" s="15" t="s">
        <v>26531</v>
      </c>
      <c r="B9279" s="15" t="s">
        <v>26532</v>
      </c>
      <c r="C9279" s="18" t="s">
        <v>28</v>
      </c>
      <c r="D9279" s="15" t="s">
        <v>26533</v>
      </c>
      <c r="E9279" s="18" t="s">
        <v>28</v>
      </c>
      <c r="F9279" s="19">
        <v>0.1</v>
      </c>
      <c r="G9279" s="19">
        <v>0.1</v>
      </c>
      <c r="H9279" s="19">
        <v>0.1</v>
      </c>
      <c r="I9279" s="18" t="s">
        <v>28</v>
      </c>
      <c r="J9279" s="18" t="s">
        <v>28</v>
      </c>
      <c r="K9279" s="18" t="s">
        <v>28</v>
      </c>
      <c r="L9279" s="18" t="s">
        <v>28</v>
      </c>
      <c r="M9279" s="18" t="s">
        <v>28</v>
      </c>
      <c r="N9279" s="17">
        <v>42437</v>
      </c>
      <c r="O9279" s="15" t="s">
        <v>30</v>
      </c>
      <c r="P9279" s="16" t="s">
        <v>28</v>
      </c>
      <c r="Q9279" s="15" t="s">
        <v>4087</v>
      </c>
      <c r="R9279" s="13" t="str">
        <f>HYPERLINK("https://my.pitchbook.com?c=263341-27T","View Company Online")</f>
        <v>View Company Online</v>
      </c>
    </row>
    <row r="9280" spans="1:18" x14ac:dyDescent="0.3">
      <c r="A9280" s="9" t="s">
        <v>26534</v>
      </c>
      <c r="B9280" s="9" t="s">
        <v>26535</v>
      </c>
      <c r="C9280" s="11">
        <v>3.34</v>
      </c>
      <c r="D9280" s="9" t="s">
        <v>26536</v>
      </c>
      <c r="E9280" s="11" t="s">
        <v>28</v>
      </c>
      <c r="F9280" s="10">
        <v>8.34</v>
      </c>
      <c r="G9280" s="10">
        <v>8.34</v>
      </c>
      <c r="H9280" s="10">
        <v>8.34</v>
      </c>
      <c r="I9280" s="11">
        <v>2.5</v>
      </c>
      <c r="J9280" s="11">
        <v>3.34</v>
      </c>
      <c r="K9280" s="11">
        <v>1.72</v>
      </c>
      <c r="L9280" s="11">
        <v>4.84</v>
      </c>
      <c r="M9280" s="11" t="s">
        <v>28</v>
      </c>
      <c r="N9280" s="8">
        <v>42436</v>
      </c>
      <c r="O9280" s="9" t="s">
        <v>30</v>
      </c>
      <c r="P9280" s="12" t="s">
        <v>12629</v>
      </c>
      <c r="Q9280" s="9" t="s">
        <v>1007</v>
      </c>
      <c r="R9280" s="14" t="str">
        <f>HYPERLINK("https://my.pitchbook.com?c=67409-29T","View Company Online")</f>
        <v>View Company Online</v>
      </c>
    </row>
    <row r="9281" spans="1:18" hidden="1" x14ac:dyDescent="0.3">
      <c r="A9281" s="15" t="s">
        <v>26537</v>
      </c>
      <c r="B9281" s="15" t="s">
        <v>26538</v>
      </c>
      <c r="C9281" s="18" t="s">
        <v>28</v>
      </c>
      <c r="D9281" s="15" t="s">
        <v>26539</v>
      </c>
      <c r="E9281" s="18" t="s">
        <v>28</v>
      </c>
      <c r="F9281" s="19" t="s">
        <v>28</v>
      </c>
      <c r="G9281" s="19" t="s">
        <v>28</v>
      </c>
      <c r="H9281" s="19" t="s">
        <v>28</v>
      </c>
      <c r="I9281" s="18" t="s">
        <v>28</v>
      </c>
      <c r="J9281" s="18" t="s">
        <v>28</v>
      </c>
      <c r="K9281" s="18" t="s">
        <v>28</v>
      </c>
      <c r="L9281" s="18" t="s">
        <v>28</v>
      </c>
      <c r="M9281" s="18" t="s">
        <v>28</v>
      </c>
      <c r="N9281" s="17">
        <v>42436</v>
      </c>
      <c r="O9281" s="15" t="s">
        <v>30</v>
      </c>
      <c r="P9281" s="16" t="s">
        <v>28</v>
      </c>
      <c r="Q9281" s="15" t="s">
        <v>7913</v>
      </c>
      <c r="R9281" s="13" t="str">
        <f>HYPERLINK("https://my.pitchbook.com?c=68437-09T","View Company Online")</f>
        <v>View Company Online</v>
      </c>
    </row>
    <row r="9282" spans="1:18" hidden="1" x14ac:dyDescent="0.3">
      <c r="A9282" s="9" t="s">
        <v>26540</v>
      </c>
      <c r="B9282" s="9" t="s">
        <v>15838</v>
      </c>
      <c r="C9282" s="11" t="s">
        <v>28</v>
      </c>
      <c r="D9282" s="9" t="s">
        <v>15839</v>
      </c>
      <c r="E9282" s="11" t="s">
        <v>28</v>
      </c>
      <c r="F9282" s="10" t="s">
        <v>28</v>
      </c>
      <c r="G9282" s="10">
        <v>11.51</v>
      </c>
      <c r="H9282" s="10">
        <v>33.36</v>
      </c>
      <c r="I9282" s="11" t="s">
        <v>28</v>
      </c>
      <c r="J9282" s="11" t="s">
        <v>28</v>
      </c>
      <c r="K9282" s="11" t="s">
        <v>28</v>
      </c>
      <c r="L9282" s="11" t="s">
        <v>28</v>
      </c>
      <c r="M9282" s="11" t="s">
        <v>28</v>
      </c>
      <c r="N9282" s="8">
        <v>42432</v>
      </c>
      <c r="O9282" s="9" t="s">
        <v>93</v>
      </c>
      <c r="P9282" s="12" t="s">
        <v>26541</v>
      </c>
      <c r="Q9282" s="9" t="s">
        <v>136</v>
      </c>
      <c r="R9282" s="14" t="str">
        <f>HYPERLINK("https://my.pitchbook.com?c=97091-83T","View Company Online")</f>
        <v>View Company Online</v>
      </c>
    </row>
    <row r="9283" spans="1:18" hidden="1" x14ac:dyDescent="0.3">
      <c r="A9283" s="15" t="s">
        <v>26542</v>
      </c>
      <c r="B9283" s="15" t="s">
        <v>26056</v>
      </c>
      <c r="C9283" s="18" t="s">
        <v>28</v>
      </c>
      <c r="D9283" s="15" t="s">
        <v>26057</v>
      </c>
      <c r="E9283" s="18" t="s">
        <v>28</v>
      </c>
      <c r="F9283" s="19" t="s">
        <v>28</v>
      </c>
      <c r="G9283" s="19">
        <v>0.02</v>
      </c>
      <c r="H9283" s="19" t="s">
        <v>28</v>
      </c>
      <c r="I9283" s="18" t="s">
        <v>28</v>
      </c>
      <c r="J9283" s="18" t="s">
        <v>28</v>
      </c>
      <c r="K9283" s="18" t="s">
        <v>28</v>
      </c>
      <c r="L9283" s="18" t="s">
        <v>28</v>
      </c>
      <c r="M9283" s="18" t="s">
        <v>28</v>
      </c>
      <c r="N9283" s="17">
        <v>42432</v>
      </c>
      <c r="O9283" s="15" t="s">
        <v>52</v>
      </c>
      <c r="P9283" s="16" t="s">
        <v>15600</v>
      </c>
      <c r="Q9283" s="15" t="s">
        <v>855</v>
      </c>
      <c r="R9283" s="13" t="str">
        <f>HYPERLINK("https://my.pitchbook.com?c=84789-28T","View Company Online")</f>
        <v>View Company Online</v>
      </c>
    </row>
    <row r="9284" spans="1:18" hidden="1" x14ac:dyDescent="0.3">
      <c r="A9284" s="9" t="s">
        <v>26543</v>
      </c>
      <c r="B9284" s="9" t="s">
        <v>21115</v>
      </c>
      <c r="C9284" s="11" t="s">
        <v>28</v>
      </c>
      <c r="D9284" s="9" t="s">
        <v>21116</v>
      </c>
      <c r="E9284" s="11" t="s">
        <v>28</v>
      </c>
      <c r="F9284" s="10" t="s">
        <v>28</v>
      </c>
      <c r="G9284" s="10" t="s">
        <v>28</v>
      </c>
      <c r="H9284" s="10" t="s">
        <v>28</v>
      </c>
      <c r="I9284" s="11" t="s">
        <v>28</v>
      </c>
      <c r="J9284" s="11" t="s">
        <v>28</v>
      </c>
      <c r="K9284" s="11" t="s">
        <v>28</v>
      </c>
      <c r="L9284" s="11" t="s">
        <v>28</v>
      </c>
      <c r="M9284" s="11" t="s">
        <v>28</v>
      </c>
      <c r="N9284" s="8">
        <v>42431</v>
      </c>
      <c r="O9284" s="9" t="s">
        <v>52</v>
      </c>
      <c r="P9284" s="12" t="s">
        <v>24901</v>
      </c>
      <c r="Q9284" s="9" t="s">
        <v>75</v>
      </c>
      <c r="R9284" s="14" t="str">
        <f>HYPERLINK("https://my.pitchbook.com?c=98718-76T","View Company Online")</f>
        <v>View Company Online</v>
      </c>
    </row>
    <row r="9285" spans="1:18" hidden="1" x14ac:dyDescent="0.3">
      <c r="A9285" s="15" t="s">
        <v>26544</v>
      </c>
      <c r="B9285" s="15" t="s">
        <v>17123</v>
      </c>
      <c r="C9285" s="18" t="s">
        <v>28</v>
      </c>
      <c r="D9285" s="15" t="s">
        <v>17124</v>
      </c>
      <c r="E9285" s="18" t="s">
        <v>28</v>
      </c>
      <c r="F9285" s="19" t="s">
        <v>28</v>
      </c>
      <c r="G9285" s="19" t="s">
        <v>28</v>
      </c>
      <c r="H9285" s="19" t="s">
        <v>28</v>
      </c>
      <c r="I9285" s="18" t="s">
        <v>28</v>
      </c>
      <c r="J9285" s="18" t="s">
        <v>28</v>
      </c>
      <c r="K9285" s="18" t="s">
        <v>28</v>
      </c>
      <c r="L9285" s="18" t="s">
        <v>28</v>
      </c>
      <c r="M9285" s="18" t="s">
        <v>28</v>
      </c>
      <c r="N9285" s="17">
        <v>42431</v>
      </c>
      <c r="O9285" s="15" t="s">
        <v>52</v>
      </c>
      <c r="P9285" s="16" t="s">
        <v>26545</v>
      </c>
      <c r="Q9285" s="15" t="s">
        <v>5347</v>
      </c>
      <c r="R9285" s="13" t="str">
        <f>HYPERLINK("https://my.pitchbook.com?c=94861-99T","View Company Online")</f>
        <v>View Company Online</v>
      </c>
    </row>
    <row r="9286" spans="1:18" hidden="1" x14ac:dyDescent="0.3">
      <c r="A9286" s="9" t="s">
        <v>26546</v>
      </c>
      <c r="B9286" s="9" t="s">
        <v>26547</v>
      </c>
      <c r="C9286" s="11" t="s">
        <v>28</v>
      </c>
      <c r="D9286" s="9" t="s">
        <v>26548</v>
      </c>
      <c r="E9286" s="11" t="s">
        <v>28</v>
      </c>
      <c r="F9286" s="10" t="s">
        <v>28</v>
      </c>
      <c r="G9286" s="10" t="s">
        <v>28</v>
      </c>
      <c r="H9286" s="10" t="s">
        <v>28</v>
      </c>
      <c r="I9286" s="11" t="s">
        <v>28</v>
      </c>
      <c r="J9286" s="11" t="s">
        <v>28</v>
      </c>
      <c r="K9286" s="11" t="s">
        <v>28</v>
      </c>
      <c r="L9286" s="11" t="s">
        <v>28</v>
      </c>
      <c r="M9286" s="11" t="s">
        <v>28</v>
      </c>
      <c r="N9286" s="8">
        <v>42430</v>
      </c>
      <c r="O9286" s="9" t="s">
        <v>30</v>
      </c>
      <c r="P9286" s="12" t="s">
        <v>28</v>
      </c>
      <c r="Q9286" s="9" t="s">
        <v>880</v>
      </c>
      <c r="R9286" s="14" t="str">
        <f>HYPERLINK("https://my.pitchbook.com?c=86204-35T","View Company Online")</f>
        <v>View Company Online</v>
      </c>
    </row>
    <row r="9287" spans="1:18" hidden="1" x14ac:dyDescent="0.3">
      <c r="A9287" s="15" t="s">
        <v>26549</v>
      </c>
      <c r="B9287" s="15" t="s">
        <v>26550</v>
      </c>
      <c r="C9287" s="18" t="s">
        <v>28</v>
      </c>
      <c r="D9287" s="15" t="s">
        <v>26551</v>
      </c>
      <c r="E9287" s="18" t="s">
        <v>28</v>
      </c>
      <c r="F9287" s="19">
        <v>59.2</v>
      </c>
      <c r="G9287" s="19">
        <v>59.2</v>
      </c>
      <c r="H9287" s="19">
        <v>59.2</v>
      </c>
      <c r="I9287" s="18" t="s">
        <v>28</v>
      </c>
      <c r="J9287" s="18" t="s">
        <v>28</v>
      </c>
      <c r="K9287" s="18" t="s">
        <v>28</v>
      </c>
      <c r="L9287" s="18" t="s">
        <v>28</v>
      </c>
      <c r="M9287" s="18" t="s">
        <v>28</v>
      </c>
      <c r="N9287" s="17">
        <v>42430</v>
      </c>
      <c r="O9287" s="15" t="s">
        <v>30</v>
      </c>
      <c r="P9287" s="16" t="s">
        <v>28</v>
      </c>
      <c r="Q9287" s="15" t="s">
        <v>299</v>
      </c>
      <c r="R9287" s="13" t="str">
        <f>HYPERLINK("https://my.pitchbook.com?c=112056-94T","View Company Online")</f>
        <v>View Company Online</v>
      </c>
    </row>
    <row r="9288" spans="1:18" hidden="1" x14ac:dyDescent="0.3">
      <c r="A9288" s="9" t="s">
        <v>26552</v>
      </c>
      <c r="B9288" s="9" t="s">
        <v>26553</v>
      </c>
      <c r="C9288" s="11" t="s">
        <v>28</v>
      </c>
      <c r="D9288" s="9" t="s">
        <v>26554</v>
      </c>
      <c r="E9288" s="11" t="s">
        <v>28</v>
      </c>
      <c r="F9288" s="10" t="s">
        <v>28</v>
      </c>
      <c r="G9288" s="10">
        <v>0.18</v>
      </c>
      <c r="H9288" s="10" t="s">
        <v>28</v>
      </c>
      <c r="I9288" s="11" t="s">
        <v>28</v>
      </c>
      <c r="J9288" s="11" t="s">
        <v>28</v>
      </c>
      <c r="K9288" s="11" t="s">
        <v>28</v>
      </c>
      <c r="L9288" s="11" t="s">
        <v>28</v>
      </c>
      <c r="M9288" s="11" t="s">
        <v>28</v>
      </c>
      <c r="N9288" s="8">
        <v>42430</v>
      </c>
      <c r="O9288" s="9" t="s">
        <v>379</v>
      </c>
      <c r="P9288" s="12" t="s">
        <v>26555</v>
      </c>
      <c r="Q9288" s="9" t="s">
        <v>136</v>
      </c>
      <c r="R9288" s="14" t="str">
        <f>HYPERLINK("https://my.pitchbook.com?c=126024-40T","View Company Online")</f>
        <v>View Company Online</v>
      </c>
    </row>
    <row r="9289" spans="1:18" hidden="1" x14ac:dyDescent="0.3">
      <c r="A9289" s="15" t="s">
        <v>26556</v>
      </c>
      <c r="B9289" s="15" t="s">
        <v>26557</v>
      </c>
      <c r="C9289" s="18" t="s">
        <v>28</v>
      </c>
      <c r="D9289" s="15" t="s">
        <v>26558</v>
      </c>
      <c r="E9289" s="18" t="s">
        <v>28</v>
      </c>
      <c r="F9289" s="19" t="s">
        <v>28</v>
      </c>
      <c r="G9289" s="19" t="s">
        <v>28</v>
      </c>
      <c r="H9289" s="19" t="s">
        <v>28</v>
      </c>
      <c r="I9289" s="18" t="s">
        <v>28</v>
      </c>
      <c r="J9289" s="18" t="s">
        <v>28</v>
      </c>
      <c r="K9289" s="18" t="s">
        <v>28</v>
      </c>
      <c r="L9289" s="18" t="s">
        <v>28</v>
      </c>
      <c r="M9289" s="18" t="s">
        <v>28</v>
      </c>
      <c r="N9289" s="17">
        <v>42430</v>
      </c>
      <c r="O9289" s="15" t="s">
        <v>30</v>
      </c>
      <c r="P9289" s="16" t="s">
        <v>26559</v>
      </c>
      <c r="Q9289" s="15" t="s">
        <v>75</v>
      </c>
      <c r="R9289" s="13" t="str">
        <f>HYPERLINK("https://my.pitchbook.com?c=95597-20T","View Company Online")</f>
        <v>View Company Online</v>
      </c>
    </row>
    <row r="9290" spans="1:18" hidden="1" x14ac:dyDescent="0.3">
      <c r="A9290" s="9" t="s">
        <v>26560</v>
      </c>
      <c r="B9290" s="9" t="s">
        <v>26561</v>
      </c>
      <c r="C9290" s="11" t="s">
        <v>28</v>
      </c>
      <c r="D9290" s="9" t="s">
        <v>26562</v>
      </c>
      <c r="E9290" s="11" t="s">
        <v>28</v>
      </c>
      <c r="F9290" s="10" t="s">
        <v>28</v>
      </c>
      <c r="G9290" s="10" t="s">
        <v>28</v>
      </c>
      <c r="H9290" s="10" t="s">
        <v>28</v>
      </c>
      <c r="I9290" s="11" t="s">
        <v>28</v>
      </c>
      <c r="J9290" s="11" t="s">
        <v>28</v>
      </c>
      <c r="K9290" s="11" t="s">
        <v>28</v>
      </c>
      <c r="L9290" s="11" t="s">
        <v>28</v>
      </c>
      <c r="M9290" s="11" t="s">
        <v>28</v>
      </c>
      <c r="N9290" s="8">
        <v>42430</v>
      </c>
      <c r="O9290" s="9" t="s">
        <v>30</v>
      </c>
      <c r="P9290" s="12" t="s">
        <v>26563</v>
      </c>
      <c r="Q9290" s="9" t="s">
        <v>95</v>
      </c>
      <c r="R9290" s="14" t="str">
        <f>HYPERLINK("https://my.pitchbook.com?c=67254-22T","View Company Online")</f>
        <v>View Company Online</v>
      </c>
    </row>
    <row r="9291" spans="1:18" hidden="1" x14ac:dyDescent="0.3">
      <c r="A9291" s="15" t="s">
        <v>26564</v>
      </c>
      <c r="B9291" s="15" t="s">
        <v>11314</v>
      </c>
      <c r="C9291" s="18" t="s">
        <v>28</v>
      </c>
      <c r="D9291" s="15" t="s">
        <v>11315</v>
      </c>
      <c r="E9291" s="18" t="s">
        <v>28</v>
      </c>
      <c r="F9291" s="19" t="s">
        <v>28</v>
      </c>
      <c r="G9291" s="19" t="s">
        <v>28</v>
      </c>
      <c r="H9291" s="19" t="s">
        <v>28</v>
      </c>
      <c r="I9291" s="18" t="s">
        <v>28</v>
      </c>
      <c r="J9291" s="18" t="s">
        <v>28</v>
      </c>
      <c r="K9291" s="18" t="s">
        <v>28</v>
      </c>
      <c r="L9291" s="18" t="s">
        <v>28</v>
      </c>
      <c r="M9291" s="18" t="s">
        <v>28</v>
      </c>
      <c r="N9291" s="17">
        <v>42430</v>
      </c>
      <c r="O9291" s="15" t="s">
        <v>52</v>
      </c>
      <c r="P9291" s="16" t="s">
        <v>7022</v>
      </c>
      <c r="Q9291" s="15" t="s">
        <v>75</v>
      </c>
      <c r="R9291" s="13" t="str">
        <f>HYPERLINK("https://my.pitchbook.com?c=218626-75T","View Company Online")</f>
        <v>View Company Online</v>
      </c>
    </row>
    <row r="9292" spans="1:18" hidden="1" x14ac:dyDescent="0.3">
      <c r="A9292" s="9" t="s">
        <v>26565</v>
      </c>
      <c r="B9292" s="9" t="s">
        <v>26566</v>
      </c>
      <c r="C9292" s="11" t="s">
        <v>28</v>
      </c>
      <c r="D9292" s="9" t="s">
        <v>26567</v>
      </c>
      <c r="E9292" s="11" t="s">
        <v>28</v>
      </c>
      <c r="F9292" s="10" t="s">
        <v>28</v>
      </c>
      <c r="G9292" s="10" t="s">
        <v>28</v>
      </c>
      <c r="H9292" s="10" t="s">
        <v>28</v>
      </c>
      <c r="I9292" s="11" t="s">
        <v>28</v>
      </c>
      <c r="J9292" s="11" t="s">
        <v>28</v>
      </c>
      <c r="K9292" s="11" t="s">
        <v>28</v>
      </c>
      <c r="L9292" s="11" t="s">
        <v>28</v>
      </c>
      <c r="M9292" s="11" t="s">
        <v>28</v>
      </c>
      <c r="N9292" s="8">
        <v>42430</v>
      </c>
      <c r="O9292" s="9" t="s">
        <v>30</v>
      </c>
      <c r="P9292" s="12" t="s">
        <v>6286</v>
      </c>
      <c r="Q9292" s="9" t="s">
        <v>37</v>
      </c>
      <c r="R9292" s="14" t="str">
        <f>HYPERLINK("https://my.pitchbook.com?c=110526-85T","View Company Online")</f>
        <v>View Company Online</v>
      </c>
    </row>
    <row r="9293" spans="1:18" hidden="1" x14ac:dyDescent="0.3">
      <c r="A9293" s="15" t="s">
        <v>26568</v>
      </c>
      <c r="B9293" s="15" t="s">
        <v>26569</v>
      </c>
      <c r="C9293" s="18" t="s">
        <v>28</v>
      </c>
      <c r="D9293" s="15" t="s">
        <v>26570</v>
      </c>
      <c r="E9293" s="18" t="s">
        <v>28</v>
      </c>
      <c r="F9293" s="19" t="s">
        <v>28</v>
      </c>
      <c r="G9293" s="19" t="s">
        <v>28</v>
      </c>
      <c r="H9293" s="19" t="s">
        <v>28</v>
      </c>
      <c r="I9293" s="18" t="s">
        <v>28</v>
      </c>
      <c r="J9293" s="18" t="s">
        <v>28</v>
      </c>
      <c r="K9293" s="18" t="s">
        <v>28</v>
      </c>
      <c r="L9293" s="18" t="s">
        <v>28</v>
      </c>
      <c r="M9293" s="18" t="s">
        <v>28</v>
      </c>
      <c r="N9293" s="17">
        <v>42430</v>
      </c>
      <c r="O9293" s="15" t="s">
        <v>379</v>
      </c>
      <c r="P9293" s="16" t="s">
        <v>28</v>
      </c>
      <c r="Q9293" s="15" t="s">
        <v>37</v>
      </c>
      <c r="R9293" s="13" t="str">
        <f>HYPERLINK("https://my.pitchbook.com?c=68137-84T","View Company Online")</f>
        <v>View Company Online</v>
      </c>
    </row>
    <row r="9294" spans="1:18" hidden="1" x14ac:dyDescent="0.3">
      <c r="A9294" s="9" t="s">
        <v>26571</v>
      </c>
      <c r="B9294" s="9" t="s">
        <v>26572</v>
      </c>
      <c r="C9294" s="11" t="s">
        <v>28</v>
      </c>
      <c r="D9294" s="9" t="s">
        <v>26573</v>
      </c>
      <c r="E9294" s="11" t="s">
        <v>28</v>
      </c>
      <c r="F9294" s="10" t="s">
        <v>28</v>
      </c>
      <c r="G9294" s="10">
        <v>1.51</v>
      </c>
      <c r="H9294" s="10" t="s">
        <v>28</v>
      </c>
      <c r="I9294" s="11" t="s">
        <v>28</v>
      </c>
      <c r="J9294" s="11" t="s">
        <v>28</v>
      </c>
      <c r="K9294" s="11">
        <v>90.06</v>
      </c>
      <c r="L9294" s="11" t="s">
        <v>28</v>
      </c>
      <c r="M9294" s="11" t="s">
        <v>28</v>
      </c>
      <c r="N9294" s="8">
        <v>42430</v>
      </c>
      <c r="O9294" s="9" t="s">
        <v>79</v>
      </c>
      <c r="P9294" s="12" t="s">
        <v>26574</v>
      </c>
      <c r="Q9294" s="9" t="s">
        <v>362</v>
      </c>
      <c r="R9294" s="14" t="str">
        <f>HYPERLINK("https://my.pitchbook.com?c=97026-31T","View Company Online")</f>
        <v>View Company Online</v>
      </c>
    </row>
    <row r="9295" spans="1:18" hidden="1" x14ac:dyDescent="0.3">
      <c r="A9295" s="15" t="s">
        <v>26575</v>
      </c>
      <c r="B9295" s="15" t="s">
        <v>26576</v>
      </c>
      <c r="C9295" s="18" t="s">
        <v>28</v>
      </c>
      <c r="D9295" s="15" t="s">
        <v>26577</v>
      </c>
      <c r="E9295" s="18" t="s">
        <v>28</v>
      </c>
      <c r="F9295" s="19" t="s">
        <v>28</v>
      </c>
      <c r="G9295" s="19" t="s">
        <v>28</v>
      </c>
      <c r="H9295" s="19" t="s">
        <v>28</v>
      </c>
      <c r="I9295" s="18" t="s">
        <v>28</v>
      </c>
      <c r="J9295" s="18" t="s">
        <v>28</v>
      </c>
      <c r="K9295" s="18" t="s">
        <v>28</v>
      </c>
      <c r="L9295" s="18" t="s">
        <v>28</v>
      </c>
      <c r="M9295" s="18" t="s">
        <v>28</v>
      </c>
      <c r="N9295" s="17">
        <v>42430</v>
      </c>
      <c r="O9295" s="15" t="s">
        <v>41</v>
      </c>
      <c r="P9295" s="16" t="s">
        <v>26578</v>
      </c>
      <c r="Q9295" s="15" t="s">
        <v>470</v>
      </c>
      <c r="R9295" s="13" t="str">
        <f>HYPERLINK("https://my.pitchbook.com?c=109047-43T","View Company Online")</f>
        <v>View Company Online</v>
      </c>
    </row>
    <row r="9296" spans="1:18" hidden="1" x14ac:dyDescent="0.3">
      <c r="A9296" s="9" t="s">
        <v>26579</v>
      </c>
      <c r="B9296" s="9" t="s">
        <v>15288</v>
      </c>
      <c r="C9296" s="11" t="s">
        <v>28</v>
      </c>
      <c r="D9296" s="9" t="s">
        <v>15289</v>
      </c>
      <c r="E9296" s="11" t="s">
        <v>28</v>
      </c>
      <c r="F9296" s="10" t="s">
        <v>28</v>
      </c>
      <c r="G9296" s="10">
        <v>0.06</v>
      </c>
      <c r="H9296" s="10" t="s">
        <v>28</v>
      </c>
      <c r="I9296" s="11" t="s">
        <v>28</v>
      </c>
      <c r="J9296" s="11" t="s">
        <v>28</v>
      </c>
      <c r="K9296" s="11" t="s">
        <v>28</v>
      </c>
      <c r="L9296" s="11" t="s">
        <v>28</v>
      </c>
      <c r="M9296" s="11" t="s">
        <v>28</v>
      </c>
      <c r="N9296" s="8">
        <v>42430</v>
      </c>
      <c r="O9296" s="9" t="s">
        <v>1639</v>
      </c>
      <c r="P9296" s="12" t="s">
        <v>28</v>
      </c>
      <c r="Q9296" s="9" t="s">
        <v>409</v>
      </c>
      <c r="R9296" s="14" t="str">
        <f>HYPERLINK("https://my.pitchbook.com?c=125984-26T","View Company Online")</f>
        <v>View Company Online</v>
      </c>
    </row>
    <row r="9297" spans="1:18" hidden="1" x14ac:dyDescent="0.3">
      <c r="A9297" s="15" t="s">
        <v>26580</v>
      </c>
      <c r="B9297" s="15" t="s">
        <v>5533</v>
      </c>
      <c r="C9297" s="18" t="s">
        <v>28</v>
      </c>
      <c r="D9297" s="15" t="s">
        <v>5534</v>
      </c>
      <c r="E9297" s="18" t="s">
        <v>28</v>
      </c>
      <c r="F9297" s="19" t="s">
        <v>28</v>
      </c>
      <c r="G9297" s="19" t="s">
        <v>28</v>
      </c>
      <c r="H9297" s="19" t="s">
        <v>28</v>
      </c>
      <c r="I9297" s="18" t="s">
        <v>28</v>
      </c>
      <c r="J9297" s="18" t="s">
        <v>28</v>
      </c>
      <c r="K9297" s="18">
        <v>12.01</v>
      </c>
      <c r="L9297" s="18" t="s">
        <v>28</v>
      </c>
      <c r="M9297" s="18" t="s">
        <v>28</v>
      </c>
      <c r="N9297" s="17">
        <v>42430</v>
      </c>
      <c r="O9297" s="15" t="s">
        <v>52</v>
      </c>
      <c r="P9297" s="16" t="s">
        <v>26581</v>
      </c>
      <c r="Q9297" s="15" t="s">
        <v>409</v>
      </c>
      <c r="R9297" s="13" t="str">
        <f>HYPERLINK("https://my.pitchbook.com?c=82667-17T","View Company Online")</f>
        <v>View Company Online</v>
      </c>
    </row>
    <row r="9298" spans="1:18" hidden="1" x14ac:dyDescent="0.3">
      <c r="A9298" s="9" t="s">
        <v>26582</v>
      </c>
      <c r="B9298" s="9" t="s">
        <v>24966</v>
      </c>
      <c r="C9298" s="11" t="s">
        <v>28</v>
      </c>
      <c r="D9298" s="9" t="s">
        <v>24967</v>
      </c>
      <c r="E9298" s="11" t="s">
        <v>28</v>
      </c>
      <c r="F9298" s="10" t="s">
        <v>28</v>
      </c>
      <c r="G9298" s="10" t="s">
        <v>28</v>
      </c>
      <c r="H9298" s="10" t="s">
        <v>28</v>
      </c>
      <c r="I9298" s="11" t="s">
        <v>28</v>
      </c>
      <c r="J9298" s="11" t="s">
        <v>28</v>
      </c>
      <c r="K9298" s="11" t="s">
        <v>28</v>
      </c>
      <c r="L9298" s="11" t="s">
        <v>28</v>
      </c>
      <c r="M9298" s="11" t="s">
        <v>28</v>
      </c>
      <c r="N9298" s="8">
        <v>42429</v>
      </c>
      <c r="O9298" s="9" t="s">
        <v>58</v>
      </c>
      <c r="P9298" s="12" t="s">
        <v>26583</v>
      </c>
      <c r="Q9298" s="9" t="s">
        <v>69</v>
      </c>
      <c r="R9298" s="14" t="str">
        <f>HYPERLINK("https://my.pitchbook.com?c=210961-72T","View Company Online")</f>
        <v>View Company Online</v>
      </c>
    </row>
    <row r="9299" spans="1:18" hidden="1" x14ac:dyDescent="0.3">
      <c r="A9299" s="15" t="s">
        <v>26584</v>
      </c>
      <c r="B9299" s="15" t="s">
        <v>8468</v>
      </c>
      <c r="C9299" s="18" t="s">
        <v>28</v>
      </c>
      <c r="D9299" s="15" t="s">
        <v>8469</v>
      </c>
      <c r="E9299" s="18" t="s">
        <v>28</v>
      </c>
      <c r="F9299" s="19">
        <v>276.82</v>
      </c>
      <c r="G9299" s="19">
        <v>276.82</v>
      </c>
      <c r="H9299" s="19">
        <v>276.82</v>
      </c>
      <c r="I9299" s="18" t="s">
        <v>28</v>
      </c>
      <c r="J9299" s="18" t="s">
        <v>28</v>
      </c>
      <c r="K9299" s="18">
        <v>84.06</v>
      </c>
      <c r="L9299" s="18">
        <v>3.29</v>
      </c>
      <c r="M9299" s="18" t="s">
        <v>28</v>
      </c>
      <c r="N9299" s="17">
        <v>42429</v>
      </c>
      <c r="O9299" s="15" t="s">
        <v>41</v>
      </c>
      <c r="P9299" s="16" t="s">
        <v>26585</v>
      </c>
      <c r="Q9299" s="15" t="s">
        <v>43</v>
      </c>
      <c r="R9299" s="13" t="str">
        <f>HYPERLINK("https://my.pitchbook.com?c=58261-78T","View Company Online")</f>
        <v>View Company Online</v>
      </c>
    </row>
    <row r="9300" spans="1:18" hidden="1" x14ac:dyDescent="0.3">
      <c r="A9300" s="9" t="s">
        <v>26586</v>
      </c>
      <c r="B9300" s="9" t="s">
        <v>26587</v>
      </c>
      <c r="C9300" s="11" t="s">
        <v>28</v>
      </c>
      <c r="D9300" s="9" t="s">
        <v>26588</v>
      </c>
      <c r="E9300" s="11" t="s">
        <v>28</v>
      </c>
      <c r="F9300" s="10" t="s">
        <v>28</v>
      </c>
      <c r="G9300" s="10" t="s">
        <v>28</v>
      </c>
      <c r="H9300" s="10" t="s">
        <v>28</v>
      </c>
      <c r="I9300" s="11" t="s">
        <v>28</v>
      </c>
      <c r="J9300" s="11" t="s">
        <v>28</v>
      </c>
      <c r="K9300" s="11" t="s">
        <v>28</v>
      </c>
      <c r="L9300" s="11" t="s">
        <v>28</v>
      </c>
      <c r="M9300" s="11" t="s">
        <v>28</v>
      </c>
      <c r="N9300" s="8">
        <v>42428</v>
      </c>
      <c r="O9300" s="9" t="s">
        <v>30</v>
      </c>
      <c r="P9300" s="12" t="s">
        <v>28</v>
      </c>
      <c r="Q9300" s="9" t="s">
        <v>470</v>
      </c>
      <c r="R9300" s="14" t="str">
        <f>HYPERLINK("https://my.pitchbook.com?c=75053-53T","View Company Online")</f>
        <v>View Company Online</v>
      </c>
    </row>
    <row r="9301" spans="1:18" hidden="1" x14ac:dyDescent="0.3">
      <c r="A9301" s="15" t="s">
        <v>26589</v>
      </c>
      <c r="B9301" s="15" t="s">
        <v>26590</v>
      </c>
      <c r="C9301" s="18" t="s">
        <v>28</v>
      </c>
      <c r="D9301" s="15" t="s">
        <v>26591</v>
      </c>
      <c r="E9301" s="18" t="s">
        <v>28</v>
      </c>
      <c r="F9301" s="19" t="s">
        <v>28</v>
      </c>
      <c r="G9301" s="19">
        <v>1.88</v>
      </c>
      <c r="H9301" s="19" t="s">
        <v>28</v>
      </c>
      <c r="I9301" s="18" t="s">
        <v>28</v>
      </c>
      <c r="J9301" s="18" t="s">
        <v>28</v>
      </c>
      <c r="K9301" s="18" t="s">
        <v>28</v>
      </c>
      <c r="L9301" s="18" t="s">
        <v>28</v>
      </c>
      <c r="M9301" s="18" t="s">
        <v>28</v>
      </c>
      <c r="N9301" s="17">
        <v>42426</v>
      </c>
      <c r="O9301" s="15" t="s">
        <v>79</v>
      </c>
      <c r="P9301" s="16" t="s">
        <v>11495</v>
      </c>
      <c r="Q9301" s="15" t="s">
        <v>371</v>
      </c>
      <c r="R9301" s="13" t="str">
        <f>HYPERLINK("https://my.pitchbook.com?c=86168-71T","View Company Online")</f>
        <v>View Company Online</v>
      </c>
    </row>
    <row r="9302" spans="1:18" hidden="1" x14ac:dyDescent="0.3">
      <c r="A9302" s="9" t="s">
        <v>26592</v>
      </c>
      <c r="B9302" s="9" t="s">
        <v>26593</v>
      </c>
      <c r="C9302" s="11" t="s">
        <v>28</v>
      </c>
      <c r="D9302" s="9" t="s">
        <v>26594</v>
      </c>
      <c r="E9302" s="11" t="s">
        <v>28</v>
      </c>
      <c r="F9302" s="10" t="s">
        <v>28</v>
      </c>
      <c r="G9302" s="10" t="s">
        <v>28</v>
      </c>
      <c r="H9302" s="10" t="s">
        <v>28</v>
      </c>
      <c r="I9302" s="11" t="s">
        <v>28</v>
      </c>
      <c r="J9302" s="11" t="s">
        <v>28</v>
      </c>
      <c r="K9302" s="11" t="s">
        <v>28</v>
      </c>
      <c r="L9302" s="11" t="s">
        <v>28</v>
      </c>
      <c r="M9302" s="11" t="s">
        <v>28</v>
      </c>
      <c r="N9302" s="8">
        <v>42426</v>
      </c>
      <c r="O9302" s="9" t="s">
        <v>30</v>
      </c>
      <c r="P9302" s="12" t="s">
        <v>26595</v>
      </c>
      <c r="Q9302" s="9" t="s">
        <v>114</v>
      </c>
      <c r="R9302" s="14" t="str">
        <f>HYPERLINK("https://my.pitchbook.com?c=80210-17T","View Company Online")</f>
        <v>View Company Online</v>
      </c>
    </row>
    <row r="9303" spans="1:18" hidden="1" x14ac:dyDescent="0.3">
      <c r="A9303" s="15" t="s">
        <v>26596</v>
      </c>
      <c r="B9303" s="15" t="s">
        <v>26597</v>
      </c>
      <c r="C9303" s="18" t="s">
        <v>28</v>
      </c>
      <c r="D9303" s="15" t="s">
        <v>26598</v>
      </c>
      <c r="E9303" s="18" t="s">
        <v>28</v>
      </c>
      <c r="F9303" s="19" t="s">
        <v>28</v>
      </c>
      <c r="G9303" s="19" t="s">
        <v>28</v>
      </c>
      <c r="H9303" s="19" t="s">
        <v>28</v>
      </c>
      <c r="I9303" s="18" t="s">
        <v>28</v>
      </c>
      <c r="J9303" s="18" t="s">
        <v>28</v>
      </c>
      <c r="K9303" s="18" t="s">
        <v>28</v>
      </c>
      <c r="L9303" s="18" t="s">
        <v>28</v>
      </c>
      <c r="M9303" s="18" t="s">
        <v>28</v>
      </c>
      <c r="N9303" s="17">
        <v>42425</v>
      </c>
      <c r="O9303" s="15" t="s">
        <v>30</v>
      </c>
      <c r="P9303" s="16" t="s">
        <v>26599</v>
      </c>
      <c r="Q9303" s="15" t="s">
        <v>959</v>
      </c>
      <c r="R9303" s="13" t="str">
        <f>HYPERLINK("https://my.pitchbook.com?c=66939-76T","View Company Online")</f>
        <v>View Company Online</v>
      </c>
    </row>
    <row r="9304" spans="1:18" hidden="1" x14ac:dyDescent="0.3">
      <c r="A9304" s="9" t="s">
        <v>26600</v>
      </c>
      <c r="B9304" s="9" t="s">
        <v>864</v>
      </c>
      <c r="C9304" s="11" t="s">
        <v>28</v>
      </c>
      <c r="D9304" s="9" t="s">
        <v>865</v>
      </c>
      <c r="E9304" s="11">
        <v>-772.78</v>
      </c>
      <c r="F9304" s="10" t="s">
        <v>28</v>
      </c>
      <c r="G9304" s="10">
        <v>4000</v>
      </c>
      <c r="H9304" s="10" t="s">
        <v>28</v>
      </c>
      <c r="I9304" s="11">
        <v>1087.04</v>
      </c>
      <c r="J9304" s="11" t="s">
        <v>28</v>
      </c>
      <c r="K9304" s="11">
        <v>8211.9</v>
      </c>
      <c r="L9304" s="11" t="s">
        <v>28</v>
      </c>
      <c r="M9304" s="11">
        <v>-3116.64</v>
      </c>
      <c r="N9304" s="8">
        <v>42425</v>
      </c>
      <c r="O9304" s="9" t="s">
        <v>159</v>
      </c>
      <c r="P9304" s="12" t="s">
        <v>28</v>
      </c>
      <c r="Q9304" s="9" t="s">
        <v>692</v>
      </c>
      <c r="R9304" s="14" t="str">
        <f>HYPERLINK("https://my.pitchbook.com?c=59797-45T","View Company Online")</f>
        <v>View Company Online</v>
      </c>
    </row>
    <row r="9305" spans="1:18" hidden="1" x14ac:dyDescent="0.3">
      <c r="A9305" s="15" t="s">
        <v>26601</v>
      </c>
      <c r="B9305" s="15" t="s">
        <v>1013</v>
      </c>
      <c r="C9305" s="18" t="s">
        <v>28</v>
      </c>
      <c r="D9305" s="15" t="s">
        <v>1014</v>
      </c>
      <c r="E9305" s="18" t="s">
        <v>28</v>
      </c>
      <c r="F9305" s="19" t="s">
        <v>28</v>
      </c>
      <c r="G9305" s="19">
        <v>0.02</v>
      </c>
      <c r="H9305" s="19" t="s">
        <v>28</v>
      </c>
      <c r="I9305" s="18" t="s">
        <v>28</v>
      </c>
      <c r="J9305" s="18" t="s">
        <v>28</v>
      </c>
      <c r="K9305" s="18" t="s">
        <v>28</v>
      </c>
      <c r="L9305" s="18" t="s">
        <v>28</v>
      </c>
      <c r="M9305" s="18" t="s">
        <v>28</v>
      </c>
      <c r="N9305" s="17">
        <v>42424</v>
      </c>
      <c r="O9305" s="15" t="s">
        <v>8420</v>
      </c>
      <c r="P9305" s="16" t="s">
        <v>28</v>
      </c>
      <c r="Q9305" s="15" t="s">
        <v>75</v>
      </c>
      <c r="R9305" s="13" t="str">
        <f>HYPERLINK("https://my.pitchbook.com?c=123102-55T","View Company Online")</f>
        <v>View Company Online</v>
      </c>
    </row>
    <row r="9306" spans="1:18" hidden="1" x14ac:dyDescent="0.3">
      <c r="A9306" s="9" t="s">
        <v>26602</v>
      </c>
      <c r="B9306" s="9" t="s">
        <v>26603</v>
      </c>
      <c r="C9306" s="11" t="s">
        <v>28</v>
      </c>
      <c r="D9306" s="9" t="s">
        <v>26604</v>
      </c>
      <c r="E9306" s="11" t="s">
        <v>28</v>
      </c>
      <c r="F9306" s="10" t="s">
        <v>28</v>
      </c>
      <c r="G9306" s="10" t="s">
        <v>28</v>
      </c>
      <c r="H9306" s="10" t="s">
        <v>28</v>
      </c>
      <c r="I9306" s="11" t="s">
        <v>28</v>
      </c>
      <c r="J9306" s="11" t="s">
        <v>28</v>
      </c>
      <c r="K9306" s="11">
        <v>47.37</v>
      </c>
      <c r="L9306" s="11" t="s">
        <v>28</v>
      </c>
      <c r="M9306" s="11" t="s">
        <v>28</v>
      </c>
      <c r="N9306" s="8">
        <v>42424</v>
      </c>
      <c r="O9306" s="9" t="s">
        <v>30</v>
      </c>
      <c r="P9306" s="12" t="s">
        <v>26605</v>
      </c>
      <c r="Q9306" s="9" t="s">
        <v>1179</v>
      </c>
      <c r="R9306" s="14" t="str">
        <f>HYPERLINK("https://my.pitchbook.com?c=73077-76T","View Company Online")</f>
        <v>View Company Online</v>
      </c>
    </row>
    <row r="9307" spans="1:18" hidden="1" x14ac:dyDescent="0.3">
      <c r="A9307" s="15" t="s">
        <v>26606</v>
      </c>
      <c r="B9307" s="15" t="s">
        <v>26607</v>
      </c>
      <c r="C9307" s="18" t="s">
        <v>28</v>
      </c>
      <c r="D9307" s="15" t="s">
        <v>26608</v>
      </c>
      <c r="E9307" s="18" t="s">
        <v>28</v>
      </c>
      <c r="F9307" s="19" t="s">
        <v>28</v>
      </c>
      <c r="G9307" s="19">
        <v>0.12</v>
      </c>
      <c r="H9307" s="19" t="s">
        <v>28</v>
      </c>
      <c r="I9307" s="18" t="s">
        <v>28</v>
      </c>
      <c r="J9307" s="18" t="s">
        <v>28</v>
      </c>
      <c r="K9307" s="18" t="s">
        <v>28</v>
      </c>
      <c r="L9307" s="18" t="s">
        <v>28</v>
      </c>
      <c r="M9307" s="18" t="s">
        <v>28</v>
      </c>
      <c r="N9307" s="17">
        <v>42423</v>
      </c>
      <c r="O9307" s="15" t="s">
        <v>379</v>
      </c>
      <c r="P9307" s="16" t="s">
        <v>28</v>
      </c>
      <c r="Q9307" s="15" t="s">
        <v>3912</v>
      </c>
      <c r="R9307" s="13" t="str">
        <f>HYPERLINK("https://my.pitchbook.com?c=68136-04T","View Company Online")</f>
        <v>View Company Online</v>
      </c>
    </row>
    <row r="9308" spans="1:18" hidden="1" x14ac:dyDescent="0.3">
      <c r="A9308" s="9" t="s">
        <v>26609</v>
      </c>
      <c r="B9308" s="9" t="s">
        <v>26610</v>
      </c>
      <c r="C9308" s="11" t="s">
        <v>28</v>
      </c>
      <c r="D9308" s="9" t="s">
        <v>26611</v>
      </c>
      <c r="E9308" s="11" t="s">
        <v>28</v>
      </c>
      <c r="F9308" s="10" t="s">
        <v>28</v>
      </c>
      <c r="G9308" s="10" t="s">
        <v>28</v>
      </c>
      <c r="H9308" s="10" t="s">
        <v>28</v>
      </c>
      <c r="I9308" s="11" t="s">
        <v>28</v>
      </c>
      <c r="J9308" s="11" t="s">
        <v>28</v>
      </c>
      <c r="K9308" s="11">
        <v>18.010000000000002</v>
      </c>
      <c r="L9308" s="11" t="s">
        <v>28</v>
      </c>
      <c r="M9308" s="11" t="s">
        <v>28</v>
      </c>
      <c r="N9308" s="8">
        <v>42423</v>
      </c>
      <c r="O9308" s="9" t="s">
        <v>30</v>
      </c>
      <c r="P9308" s="12" t="s">
        <v>26612</v>
      </c>
      <c r="Q9308" s="9" t="s">
        <v>1643</v>
      </c>
      <c r="R9308" s="14" t="str">
        <f>HYPERLINK("https://my.pitchbook.com?c=78193-63T","View Company Online")</f>
        <v>View Company Online</v>
      </c>
    </row>
    <row r="9309" spans="1:18" hidden="1" x14ac:dyDescent="0.3">
      <c r="A9309" s="15" t="s">
        <v>26613</v>
      </c>
      <c r="B9309" s="15" t="s">
        <v>343</v>
      </c>
      <c r="C9309" s="18" t="s">
        <v>28</v>
      </c>
      <c r="D9309" s="15" t="s">
        <v>16532</v>
      </c>
      <c r="E9309" s="18" t="s">
        <v>28</v>
      </c>
      <c r="F9309" s="19" t="s">
        <v>28</v>
      </c>
      <c r="G9309" s="19" t="s">
        <v>28</v>
      </c>
      <c r="H9309" s="19" t="s">
        <v>28</v>
      </c>
      <c r="I9309" s="18" t="s">
        <v>28</v>
      </c>
      <c r="J9309" s="18" t="s">
        <v>28</v>
      </c>
      <c r="K9309" s="18">
        <v>84.69</v>
      </c>
      <c r="L9309" s="18" t="s">
        <v>28</v>
      </c>
      <c r="M9309" s="18">
        <v>221.2</v>
      </c>
      <c r="N9309" s="17">
        <v>42422</v>
      </c>
      <c r="O9309" s="15" t="s">
        <v>30</v>
      </c>
      <c r="P9309" s="16" t="s">
        <v>28</v>
      </c>
      <c r="Q9309" s="15" t="s">
        <v>7449</v>
      </c>
      <c r="R9309" s="13" t="str">
        <f>HYPERLINK("https://my.pitchbook.com?c=66788-29T","View Company Online")</f>
        <v>View Company Online</v>
      </c>
    </row>
    <row r="9310" spans="1:18" hidden="1" x14ac:dyDescent="0.3">
      <c r="A9310" s="9" t="s">
        <v>26614</v>
      </c>
      <c r="B9310" s="9" t="s">
        <v>26615</v>
      </c>
      <c r="C9310" s="11" t="s">
        <v>28</v>
      </c>
      <c r="D9310" s="9" t="s">
        <v>26616</v>
      </c>
      <c r="E9310" s="11" t="s">
        <v>28</v>
      </c>
      <c r="F9310" s="10" t="s">
        <v>28</v>
      </c>
      <c r="G9310" s="10" t="s">
        <v>28</v>
      </c>
      <c r="H9310" s="10" t="s">
        <v>28</v>
      </c>
      <c r="I9310" s="11" t="s">
        <v>28</v>
      </c>
      <c r="J9310" s="11" t="s">
        <v>28</v>
      </c>
      <c r="K9310" s="11" t="s">
        <v>28</v>
      </c>
      <c r="L9310" s="11" t="s">
        <v>28</v>
      </c>
      <c r="M9310" s="11" t="s">
        <v>28</v>
      </c>
      <c r="N9310" s="8">
        <v>42422</v>
      </c>
      <c r="O9310" s="9" t="s">
        <v>30</v>
      </c>
      <c r="P9310" s="12" t="s">
        <v>26617</v>
      </c>
      <c r="Q9310" s="9" t="s">
        <v>353</v>
      </c>
      <c r="R9310" s="14" t="str">
        <f>HYPERLINK("https://my.pitchbook.com?c=67556-53T","View Company Online")</f>
        <v>View Company Online</v>
      </c>
    </row>
    <row r="9311" spans="1:18" x14ac:dyDescent="0.3">
      <c r="A9311" s="15" t="s">
        <v>26618</v>
      </c>
      <c r="B9311" s="15" t="s">
        <v>26619</v>
      </c>
      <c r="C9311" s="18">
        <v>12.03</v>
      </c>
      <c r="D9311" s="15" t="s">
        <v>26620</v>
      </c>
      <c r="E9311" s="18">
        <v>2.48</v>
      </c>
      <c r="F9311" s="19">
        <v>29.83</v>
      </c>
      <c r="G9311" s="19">
        <v>29.83</v>
      </c>
      <c r="H9311" s="19">
        <v>29.83</v>
      </c>
      <c r="I9311" s="18">
        <v>2.48</v>
      </c>
      <c r="J9311" s="18">
        <v>12.03</v>
      </c>
      <c r="K9311" s="18">
        <v>10.65</v>
      </c>
      <c r="L9311" s="18">
        <v>2.8</v>
      </c>
      <c r="M9311" s="18">
        <v>-0.02</v>
      </c>
      <c r="N9311" s="17">
        <v>42422</v>
      </c>
      <c r="O9311" s="15" t="s">
        <v>30</v>
      </c>
      <c r="P9311" s="16" t="s">
        <v>26621</v>
      </c>
      <c r="Q9311" s="15" t="s">
        <v>37</v>
      </c>
      <c r="R9311" s="13" t="str">
        <f>HYPERLINK("https://my.pitchbook.com?c=66796-75T","View Company Online")</f>
        <v>View Company Online</v>
      </c>
    </row>
    <row r="9312" spans="1:18" hidden="1" x14ac:dyDescent="0.3">
      <c r="A9312" s="9" t="s">
        <v>26622</v>
      </c>
      <c r="B9312" s="9" t="s">
        <v>26623</v>
      </c>
      <c r="C9312" s="11" t="s">
        <v>28</v>
      </c>
      <c r="D9312" s="9" t="s">
        <v>26624</v>
      </c>
      <c r="E9312" s="11" t="s">
        <v>28</v>
      </c>
      <c r="F9312" s="10" t="s">
        <v>28</v>
      </c>
      <c r="G9312" s="10" t="s">
        <v>28</v>
      </c>
      <c r="H9312" s="10" t="s">
        <v>28</v>
      </c>
      <c r="I9312" s="11" t="s">
        <v>28</v>
      </c>
      <c r="J9312" s="11" t="s">
        <v>28</v>
      </c>
      <c r="K9312" s="11" t="s">
        <v>28</v>
      </c>
      <c r="L9312" s="11" t="s">
        <v>28</v>
      </c>
      <c r="M9312" s="11" t="s">
        <v>28</v>
      </c>
      <c r="N9312" s="8">
        <v>42419</v>
      </c>
      <c r="O9312" s="9" t="s">
        <v>30</v>
      </c>
      <c r="P9312" s="12" t="s">
        <v>28</v>
      </c>
      <c r="Q9312" s="9" t="s">
        <v>880</v>
      </c>
      <c r="R9312" s="14" t="str">
        <f>HYPERLINK("https://my.pitchbook.com?c=68900-05T","View Company Online")</f>
        <v>View Company Online</v>
      </c>
    </row>
    <row r="9313" spans="1:18" hidden="1" x14ac:dyDescent="0.3">
      <c r="A9313" s="15" t="s">
        <v>26625</v>
      </c>
      <c r="B9313" s="15" t="s">
        <v>26626</v>
      </c>
      <c r="C9313" s="18" t="s">
        <v>28</v>
      </c>
      <c r="D9313" s="15" t="s">
        <v>26627</v>
      </c>
      <c r="E9313" s="18" t="s">
        <v>28</v>
      </c>
      <c r="F9313" s="19" t="s">
        <v>28</v>
      </c>
      <c r="G9313" s="19">
        <v>0.5</v>
      </c>
      <c r="H9313" s="19">
        <v>1.5</v>
      </c>
      <c r="I9313" s="18" t="s">
        <v>28</v>
      </c>
      <c r="J9313" s="18" t="s">
        <v>28</v>
      </c>
      <c r="K9313" s="18" t="s">
        <v>28</v>
      </c>
      <c r="L9313" s="18" t="s">
        <v>28</v>
      </c>
      <c r="M9313" s="18" t="s">
        <v>28</v>
      </c>
      <c r="N9313" s="17">
        <v>42417</v>
      </c>
      <c r="O9313" s="15" t="s">
        <v>99</v>
      </c>
      <c r="P9313" s="16" t="s">
        <v>28</v>
      </c>
      <c r="Q9313" s="15" t="s">
        <v>75</v>
      </c>
      <c r="R9313" s="13" t="str">
        <f>HYPERLINK("https://my.pitchbook.com?c=79695-10T","View Company Online")</f>
        <v>View Company Online</v>
      </c>
    </row>
    <row r="9314" spans="1:18" hidden="1" x14ac:dyDescent="0.3">
      <c r="A9314" s="9" t="s">
        <v>26628</v>
      </c>
      <c r="B9314" s="9" t="s">
        <v>26629</v>
      </c>
      <c r="C9314" s="11" t="s">
        <v>28</v>
      </c>
      <c r="D9314" s="9" t="s">
        <v>26630</v>
      </c>
      <c r="E9314" s="11" t="s">
        <v>28</v>
      </c>
      <c r="F9314" s="10">
        <v>1.49</v>
      </c>
      <c r="G9314" s="10">
        <v>1</v>
      </c>
      <c r="H9314" s="10">
        <v>1.49</v>
      </c>
      <c r="I9314" s="11" t="s">
        <v>28</v>
      </c>
      <c r="J9314" s="11" t="s">
        <v>28</v>
      </c>
      <c r="K9314" s="11" t="s">
        <v>28</v>
      </c>
      <c r="L9314" s="11" t="s">
        <v>28</v>
      </c>
      <c r="M9314" s="11" t="s">
        <v>28</v>
      </c>
      <c r="N9314" s="8">
        <v>42415</v>
      </c>
      <c r="O9314" s="9" t="s">
        <v>30</v>
      </c>
      <c r="P9314" s="12" t="s">
        <v>26631</v>
      </c>
      <c r="Q9314" s="9" t="s">
        <v>183</v>
      </c>
      <c r="R9314" s="14" t="str">
        <f>HYPERLINK("https://my.pitchbook.com?c=90707-41T","View Company Online")</f>
        <v>View Company Online</v>
      </c>
    </row>
    <row r="9315" spans="1:18" hidden="1" x14ac:dyDescent="0.3">
      <c r="A9315" s="15" t="s">
        <v>26632</v>
      </c>
      <c r="B9315" s="15" t="s">
        <v>26633</v>
      </c>
      <c r="C9315" s="18" t="s">
        <v>28</v>
      </c>
      <c r="D9315" s="15" t="s">
        <v>26634</v>
      </c>
      <c r="E9315" s="18" t="s">
        <v>28</v>
      </c>
      <c r="F9315" s="19" t="s">
        <v>28</v>
      </c>
      <c r="G9315" s="19" t="s">
        <v>28</v>
      </c>
      <c r="H9315" s="19" t="s">
        <v>28</v>
      </c>
      <c r="I9315" s="18" t="s">
        <v>28</v>
      </c>
      <c r="J9315" s="18" t="s">
        <v>28</v>
      </c>
      <c r="K9315" s="18" t="s">
        <v>28</v>
      </c>
      <c r="L9315" s="18" t="s">
        <v>28</v>
      </c>
      <c r="M9315" s="18" t="s">
        <v>28</v>
      </c>
      <c r="N9315" s="17">
        <v>42412</v>
      </c>
      <c r="O9315" s="15" t="s">
        <v>30</v>
      </c>
      <c r="P9315" s="16" t="s">
        <v>22084</v>
      </c>
      <c r="Q9315" s="15" t="s">
        <v>136</v>
      </c>
      <c r="R9315" s="13" t="str">
        <f>HYPERLINK("https://my.pitchbook.com?c=78198-67T","View Company Online")</f>
        <v>View Company Online</v>
      </c>
    </row>
    <row r="9316" spans="1:18" hidden="1" x14ac:dyDescent="0.3">
      <c r="A9316" s="9" t="s">
        <v>26635</v>
      </c>
      <c r="B9316" s="9" t="s">
        <v>24080</v>
      </c>
      <c r="C9316" s="11" t="s">
        <v>28</v>
      </c>
      <c r="D9316" s="9" t="s">
        <v>24081</v>
      </c>
      <c r="E9316" s="11" t="s">
        <v>28</v>
      </c>
      <c r="F9316" s="10" t="s">
        <v>28</v>
      </c>
      <c r="G9316" s="10" t="s">
        <v>28</v>
      </c>
      <c r="H9316" s="10" t="s">
        <v>28</v>
      </c>
      <c r="I9316" s="11" t="s">
        <v>28</v>
      </c>
      <c r="J9316" s="11" t="s">
        <v>28</v>
      </c>
      <c r="K9316" s="11" t="s">
        <v>28</v>
      </c>
      <c r="L9316" s="11" t="s">
        <v>28</v>
      </c>
      <c r="M9316" s="11" t="s">
        <v>28</v>
      </c>
      <c r="N9316" s="8">
        <v>42409</v>
      </c>
      <c r="O9316" s="9" t="s">
        <v>99</v>
      </c>
      <c r="P9316" s="12" t="s">
        <v>26636</v>
      </c>
      <c r="Q9316" s="9" t="s">
        <v>566</v>
      </c>
      <c r="R9316" s="14" t="str">
        <f>HYPERLINK("https://my.pitchbook.com?c=111452-14T","View Company Online")</f>
        <v>View Company Online</v>
      </c>
    </row>
    <row r="9317" spans="1:18" hidden="1" x14ac:dyDescent="0.3">
      <c r="A9317" s="15" t="s">
        <v>26637</v>
      </c>
      <c r="B9317" s="15" t="s">
        <v>4089</v>
      </c>
      <c r="C9317" s="18" t="s">
        <v>28</v>
      </c>
      <c r="D9317" s="15" t="s">
        <v>4090</v>
      </c>
      <c r="E9317" s="18" t="s">
        <v>28</v>
      </c>
      <c r="F9317" s="19" t="s">
        <v>28</v>
      </c>
      <c r="G9317" s="19">
        <v>7.06</v>
      </c>
      <c r="H9317" s="19" t="s">
        <v>28</v>
      </c>
      <c r="I9317" s="18" t="s">
        <v>28</v>
      </c>
      <c r="J9317" s="18" t="s">
        <v>28</v>
      </c>
      <c r="K9317" s="18" t="s">
        <v>28</v>
      </c>
      <c r="L9317" s="18" t="s">
        <v>28</v>
      </c>
      <c r="M9317" s="18" t="s">
        <v>28</v>
      </c>
      <c r="N9317" s="17">
        <v>42405</v>
      </c>
      <c r="O9317" s="15" t="s">
        <v>73</v>
      </c>
      <c r="P9317" s="16" t="s">
        <v>19170</v>
      </c>
      <c r="Q9317" s="15" t="s">
        <v>75</v>
      </c>
      <c r="R9317" s="13" t="str">
        <f>HYPERLINK("https://my.pitchbook.com?c=67152-16T","View Company Online")</f>
        <v>View Company Online</v>
      </c>
    </row>
    <row r="9318" spans="1:18" hidden="1" x14ac:dyDescent="0.3">
      <c r="A9318" s="9" t="s">
        <v>26638</v>
      </c>
      <c r="B9318" s="9" t="s">
        <v>26639</v>
      </c>
      <c r="C9318" s="11" t="s">
        <v>28</v>
      </c>
      <c r="D9318" s="9" t="s">
        <v>26640</v>
      </c>
      <c r="E9318" s="11" t="s">
        <v>28</v>
      </c>
      <c r="F9318" s="10" t="s">
        <v>28</v>
      </c>
      <c r="G9318" s="10" t="s">
        <v>28</v>
      </c>
      <c r="H9318" s="10" t="s">
        <v>28</v>
      </c>
      <c r="I9318" s="11" t="s">
        <v>28</v>
      </c>
      <c r="J9318" s="11" t="s">
        <v>28</v>
      </c>
      <c r="K9318" s="11">
        <v>780.55</v>
      </c>
      <c r="L9318" s="11" t="s">
        <v>28</v>
      </c>
      <c r="M9318" s="11" t="s">
        <v>28</v>
      </c>
      <c r="N9318" s="8">
        <v>42405</v>
      </c>
      <c r="O9318" s="9" t="s">
        <v>30</v>
      </c>
      <c r="P9318" s="12" t="s">
        <v>26641</v>
      </c>
      <c r="Q9318" s="9" t="s">
        <v>362</v>
      </c>
      <c r="R9318" s="14" t="str">
        <f>HYPERLINK("https://my.pitchbook.com?c=66440-26T","View Company Online")</f>
        <v>View Company Online</v>
      </c>
    </row>
    <row r="9319" spans="1:18" hidden="1" x14ac:dyDescent="0.3">
      <c r="A9319" s="15" t="s">
        <v>26642</v>
      </c>
      <c r="B9319" s="15" t="s">
        <v>12420</v>
      </c>
      <c r="C9319" s="18" t="s">
        <v>28</v>
      </c>
      <c r="D9319" s="15" t="s">
        <v>12421</v>
      </c>
      <c r="E9319" s="18" t="s">
        <v>28</v>
      </c>
      <c r="F9319" s="19" t="s">
        <v>28</v>
      </c>
      <c r="G9319" s="19">
        <v>1.39</v>
      </c>
      <c r="H9319" s="19" t="s">
        <v>28</v>
      </c>
      <c r="I9319" s="18" t="s">
        <v>28</v>
      </c>
      <c r="J9319" s="18" t="s">
        <v>28</v>
      </c>
      <c r="K9319" s="18" t="s">
        <v>28</v>
      </c>
      <c r="L9319" s="18" t="s">
        <v>28</v>
      </c>
      <c r="M9319" s="18" t="s">
        <v>28</v>
      </c>
      <c r="N9319" s="17">
        <v>42405</v>
      </c>
      <c r="O9319" s="15" t="s">
        <v>79</v>
      </c>
      <c r="P9319" s="16" t="s">
        <v>28</v>
      </c>
      <c r="Q9319" s="15" t="s">
        <v>37</v>
      </c>
      <c r="R9319" s="13" t="str">
        <f>HYPERLINK("https://my.pitchbook.com?c=130327-48T","View Company Online")</f>
        <v>View Company Online</v>
      </c>
    </row>
    <row r="9320" spans="1:18" hidden="1" x14ac:dyDescent="0.3">
      <c r="A9320" s="9" t="s">
        <v>26643</v>
      </c>
      <c r="B9320" s="9" t="s">
        <v>26644</v>
      </c>
      <c r="C9320" s="11" t="s">
        <v>28</v>
      </c>
      <c r="D9320" s="9" t="s">
        <v>26645</v>
      </c>
      <c r="E9320" s="11" t="s">
        <v>28</v>
      </c>
      <c r="F9320" s="10" t="s">
        <v>28</v>
      </c>
      <c r="G9320" s="10" t="s">
        <v>28</v>
      </c>
      <c r="H9320" s="10" t="s">
        <v>28</v>
      </c>
      <c r="I9320" s="11" t="s">
        <v>28</v>
      </c>
      <c r="J9320" s="11" t="s">
        <v>28</v>
      </c>
      <c r="K9320" s="11">
        <v>8.8699999999999992</v>
      </c>
      <c r="L9320" s="11" t="s">
        <v>28</v>
      </c>
      <c r="M9320" s="11" t="s">
        <v>28</v>
      </c>
      <c r="N9320" s="8">
        <v>42405</v>
      </c>
      <c r="O9320" s="9" t="s">
        <v>30</v>
      </c>
      <c r="P9320" s="12" t="s">
        <v>26646</v>
      </c>
      <c r="Q9320" s="9" t="s">
        <v>280</v>
      </c>
      <c r="R9320" s="14" t="str">
        <f>HYPERLINK("https://my.pitchbook.com?c=65797-03T","View Company Online")</f>
        <v>View Company Online</v>
      </c>
    </row>
    <row r="9321" spans="1:18" hidden="1" x14ac:dyDescent="0.3">
      <c r="A9321" s="15" t="s">
        <v>26647</v>
      </c>
      <c r="B9321" s="15" t="s">
        <v>13747</v>
      </c>
      <c r="C9321" s="18" t="s">
        <v>28</v>
      </c>
      <c r="D9321" s="15" t="s">
        <v>13748</v>
      </c>
      <c r="E9321" s="18" t="s">
        <v>28</v>
      </c>
      <c r="F9321" s="19" t="s">
        <v>28</v>
      </c>
      <c r="G9321" s="19">
        <v>4.96</v>
      </c>
      <c r="H9321" s="19" t="s">
        <v>28</v>
      </c>
      <c r="I9321" s="18" t="s">
        <v>28</v>
      </c>
      <c r="J9321" s="18" t="s">
        <v>28</v>
      </c>
      <c r="K9321" s="18" t="s">
        <v>28</v>
      </c>
      <c r="L9321" s="18" t="s">
        <v>28</v>
      </c>
      <c r="M9321" s="18" t="s">
        <v>28</v>
      </c>
      <c r="N9321" s="17">
        <v>42404</v>
      </c>
      <c r="O9321" s="15" t="s">
        <v>79</v>
      </c>
      <c r="P9321" s="16" t="s">
        <v>26648</v>
      </c>
      <c r="Q9321" s="15" t="s">
        <v>740</v>
      </c>
      <c r="R9321" s="13" t="str">
        <f>HYPERLINK("https://my.pitchbook.com?c=66065-41T","View Company Online")</f>
        <v>View Company Online</v>
      </c>
    </row>
    <row r="9322" spans="1:18" hidden="1" x14ac:dyDescent="0.3">
      <c r="A9322" s="9" t="s">
        <v>26649</v>
      </c>
      <c r="B9322" s="9" t="s">
        <v>26650</v>
      </c>
      <c r="C9322" s="11" t="s">
        <v>28</v>
      </c>
      <c r="D9322" s="9" t="s">
        <v>26651</v>
      </c>
      <c r="E9322" s="11" t="s">
        <v>28</v>
      </c>
      <c r="F9322" s="10" t="s">
        <v>28</v>
      </c>
      <c r="G9322" s="10" t="s">
        <v>28</v>
      </c>
      <c r="H9322" s="10" t="s">
        <v>28</v>
      </c>
      <c r="I9322" s="11" t="s">
        <v>28</v>
      </c>
      <c r="J9322" s="11" t="s">
        <v>28</v>
      </c>
      <c r="K9322" s="11" t="s">
        <v>28</v>
      </c>
      <c r="L9322" s="11" t="s">
        <v>28</v>
      </c>
      <c r="M9322" s="11" t="s">
        <v>28</v>
      </c>
      <c r="N9322" s="8">
        <v>42404</v>
      </c>
      <c r="O9322" s="9" t="s">
        <v>30</v>
      </c>
      <c r="P9322" s="12" t="s">
        <v>3329</v>
      </c>
      <c r="Q9322" s="9" t="s">
        <v>136</v>
      </c>
      <c r="R9322" s="14" t="str">
        <f>HYPERLINK("https://my.pitchbook.com?c=67342-06T","View Company Online")</f>
        <v>View Company Online</v>
      </c>
    </row>
    <row r="9323" spans="1:18" hidden="1" x14ac:dyDescent="0.3">
      <c r="A9323" s="15" t="s">
        <v>26652</v>
      </c>
      <c r="B9323" s="15" t="s">
        <v>26653</v>
      </c>
      <c r="C9323" s="18" t="s">
        <v>28</v>
      </c>
      <c r="D9323" s="15" t="s">
        <v>26654</v>
      </c>
      <c r="E9323" s="18" t="s">
        <v>28</v>
      </c>
      <c r="F9323" s="19">
        <v>2.88</v>
      </c>
      <c r="G9323" s="19">
        <v>2.88</v>
      </c>
      <c r="H9323" s="19">
        <v>2.88</v>
      </c>
      <c r="I9323" s="18" t="s">
        <v>28</v>
      </c>
      <c r="J9323" s="18" t="s">
        <v>28</v>
      </c>
      <c r="K9323" s="18" t="s">
        <v>28</v>
      </c>
      <c r="L9323" s="18" t="s">
        <v>28</v>
      </c>
      <c r="M9323" s="18" t="s">
        <v>28</v>
      </c>
      <c r="N9323" s="17">
        <v>42404</v>
      </c>
      <c r="O9323" s="15" t="s">
        <v>30</v>
      </c>
      <c r="P9323" s="16" t="s">
        <v>26655</v>
      </c>
      <c r="Q9323" s="15" t="s">
        <v>331</v>
      </c>
      <c r="R9323" s="13" t="str">
        <f>HYPERLINK("https://my.pitchbook.com?c=66850-75T","View Company Online")</f>
        <v>View Company Online</v>
      </c>
    </row>
    <row r="9324" spans="1:18" hidden="1" x14ac:dyDescent="0.3">
      <c r="A9324" s="9" t="s">
        <v>26656</v>
      </c>
      <c r="B9324" s="9" t="s">
        <v>26657</v>
      </c>
      <c r="C9324" s="11" t="s">
        <v>28</v>
      </c>
      <c r="D9324" s="9" t="s">
        <v>26658</v>
      </c>
      <c r="E9324" s="11" t="s">
        <v>28</v>
      </c>
      <c r="F9324" s="10" t="s">
        <v>28</v>
      </c>
      <c r="G9324" s="10" t="s">
        <v>28</v>
      </c>
      <c r="H9324" s="10" t="s">
        <v>28</v>
      </c>
      <c r="I9324" s="11" t="s">
        <v>28</v>
      </c>
      <c r="J9324" s="11" t="s">
        <v>28</v>
      </c>
      <c r="K9324" s="11" t="s">
        <v>28</v>
      </c>
      <c r="L9324" s="11" t="s">
        <v>28</v>
      </c>
      <c r="M9324" s="11" t="s">
        <v>28</v>
      </c>
      <c r="N9324" s="8">
        <v>42403</v>
      </c>
      <c r="O9324" s="9" t="s">
        <v>30</v>
      </c>
      <c r="P9324" s="12" t="s">
        <v>26659</v>
      </c>
      <c r="Q9324" s="9" t="s">
        <v>353</v>
      </c>
      <c r="R9324" s="14" t="str">
        <f>HYPERLINK("https://my.pitchbook.com?c=66839-68T","View Company Online")</f>
        <v>View Company Online</v>
      </c>
    </row>
    <row r="9325" spans="1:18" hidden="1" x14ac:dyDescent="0.3">
      <c r="A9325" s="15" t="s">
        <v>26660</v>
      </c>
      <c r="B9325" s="15" t="s">
        <v>26661</v>
      </c>
      <c r="C9325" s="18" t="s">
        <v>28</v>
      </c>
      <c r="D9325" s="15" t="s">
        <v>26662</v>
      </c>
      <c r="E9325" s="18">
        <v>-2.9</v>
      </c>
      <c r="F9325" s="19" t="s">
        <v>28</v>
      </c>
      <c r="G9325" s="19" t="s">
        <v>28</v>
      </c>
      <c r="H9325" s="19" t="s">
        <v>28</v>
      </c>
      <c r="I9325" s="18" t="s">
        <v>28</v>
      </c>
      <c r="J9325" s="18" t="s">
        <v>28</v>
      </c>
      <c r="K9325" s="18">
        <v>0</v>
      </c>
      <c r="L9325" s="18" t="s">
        <v>28</v>
      </c>
      <c r="M9325" s="18">
        <v>-1.27</v>
      </c>
      <c r="N9325" s="17">
        <v>42402</v>
      </c>
      <c r="O9325" s="15" t="s">
        <v>159</v>
      </c>
      <c r="P9325" s="16" t="s">
        <v>26663</v>
      </c>
      <c r="Q9325" s="15" t="s">
        <v>160</v>
      </c>
      <c r="R9325" s="13" t="str">
        <f>HYPERLINK("https://my.pitchbook.com?c=256172-05T","View Company Online")</f>
        <v>View Company Online</v>
      </c>
    </row>
    <row r="9326" spans="1:18" hidden="1" x14ac:dyDescent="0.3">
      <c r="A9326" s="9" t="s">
        <v>26664</v>
      </c>
      <c r="B9326" s="9" t="s">
        <v>26665</v>
      </c>
      <c r="C9326" s="11" t="s">
        <v>28</v>
      </c>
      <c r="D9326" s="9" t="s">
        <v>26666</v>
      </c>
      <c r="E9326" s="11" t="s">
        <v>28</v>
      </c>
      <c r="F9326" s="10" t="s">
        <v>28</v>
      </c>
      <c r="G9326" s="10" t="s">
        <v>28</v>
      </c>
      <c r="H9326" s="10" t="s">
        <v>28</v>
      </c>
      <c r="I9326" s="11" t="s">
        <v>28</v>
      </c>
      <c r="J9326" s="11" t="s">
        <v>28</v>
      </c>
      <c r="K9326" s="11">
        <v>21.01</v>
      </c>
      <c r="L9326" s="11" t="s">
        <v>28</v>
      </c>
      <c r="M9326" s="11" t="s">
        <v>28</v>
      </c>
      <c r="N9326" s="8">
        <v>42402</v>
      </c>
      <c r="O9326" s="9" t="s">
        <v>41</v>
      </c>
      <c r="P9326" s="12" t="s">
        <v>28</v>
      </c>
      <c r="Q9326" s="9" t="s">
        <v>7261</v>
      </c>
      <c r="R9326" s="14" t="str">
        <f>HYPERLINK("https://my.pitchbook.com?c=97090-57T","View Company Online")</f>
        <v>View Company Online</v>
      </c>
    </row>
    <row r="9327" spans="1:18" hidden="1" x14ac:dyDescent="0.3">
      <c r="A9327" s="15" t="s">
        <v>26667</v>
      </c>
      <c r="B9327" s="15" t="s">
        <v>26668</v>
      </c>
      <c r="C9327" s="18" t="s">
        <v>28</v>
      </c>
      <c r="D9327" s="15" t="s">
        <v>26669</v>
      </c>
      <c r="E9327" s="18" t="s">
        <v>28</v>
      </c>
      <c r="F9327" s="19" t="s">
        <v>28</v>
      </c>
      <c r="G9327" s="19" t="s">
        <v>28</v>
      </c>
      <c r="H9327" s="19" t="s">
        <v>28</v>
      </c>
      <c r="I9327" s="18" t="s">
        <v>28</v>
      </c>
      <c r="J9327" s="18" t="s">
        <v>28</v>
      </c>
      <c r="K9327" s="18" t="s">
        <v>28</v>
      </c>
      <c r="L9327" s="18" t="s">
        <v>28</v>
      </c>
      <c r="M9327" s="18" t="s">
        <v>28</v>
      </c>
      <c r="N9327" s="17">
        <v>42402</v>
      </c>
      <c r="O9327" s="15" t="s">
        <v>30</v>
      </c>
      <c r="P9327" s="16" t="s">
        <v>26670</v>
      </c>
      <c r="Q9327" s="15" t="s">
        <v>753</v>
      </c>
      <c r="R9327" s="13" t="str">
        <f>HYPERLINK("https://my.pitchbook.com?c=255565-27T","View Company Online")</f>
        <v>View Company Online</v>
      </c>
    </row>
    <row r="9328" spans="1:18" hidden="1" x14ac:dyDescent="0.3">
      <c r="A9328" s="9" t="s">
        <v>26671</v>
      </c>
      <c r="B9328" s="9" t="s">
        <v>26672</v>
      </c>
      <c r="C9328" s="11" t="s">
        <v>28</v>
      </c>
      <c r="D9328" s="9" t="s">
        <v>26673</v>
      </c>
      <c r="E9328" s="11" t="s">
        <v>28</v>
      </c>
      <c r="F9328" s="10" t="s">
        <v>28</v>
      </c>
      <c r="G9328" s="10" t="s">
        <v>28</v>
      </c>
      <c r="H9328" s="10" t="s">
        <v>28</v>
      </c>
      <c r="I9328" s="11" t="s">
        <v>28</v>
      </c>
      <c r="J9328" s="11" t="s">
        <v>28</v>
      </c>
      <c r="K9328" s="11" t="s">
        <v>28</v>
      </c>
      <c r="L9328" s="11" t="s">
        <v>28</v>
      </c>
      <c r="M9328" s="11" t="s">
        <v>28</v>
      </c>
      <c r="N9328" s="8">
        <v>42402</v>
      </c>
      <c r="O9328" s="9" t="s">
        <v>73</v>
      </c>
      <c r="P9328" s="12" t="s">
        <v>26674</v>
      </c>
      <c r="Q9328" s="9" t="s">
        <v>583</v>
      </c>
      <c r="R9328" s="14" t="str">
        <f>HYPERLINK("https://my.pitchbook.com?c=96530-41T","View Company Online")</f>
        <v>View Company Online</v>
      </c>
    </row>
    <row r="9329" spans="1:18" hidden="1" x14ac:dyDescent="0.3">
      <c r="A9329" s="15" t="s">
        <v>26675</v>
      </c>
      <c r="B9329" s="15" t="s">
        <v>24685</v>
      </c>
      <c r="C9329" s="18" t="s">
        <v>28</v>
      </c>
      <c r="D9329" s="15" t="s">
        <v>24686</v>
      </c>
      <c r="E9329" s="18" t="s">
        <v>28</v>
      </c>
      <c r="F9329" s="19" t="s">
        <v>28</v>
      </c>
      <c r="G9329" s="19" t="s">
        <v>28</v>
      </c>
      <c r="H9329" s="19" t="s">
        <v>28</v>
      </c>
      <c r="I9329" s="18" t="s">
        <v>28</v>
      </c>
      <c r="J9329" s="18" t="s">
        <v>28</v>
      </c>
      <c r="K9329" s="18" t="s">
        <v>28</v>
      </c>
      <c r="L9329" s="18" t="s">
        <v>28</v>
      </c>
      <c r="M9329" s="18" t="s">
        <v>28</v>
      </c>
      <c r="N9329" s="17">
        <v>42401</v>
      </c>
      <c r="O9329" s="15" t="s">
        <v>52</v>
      </c>
      <c r="P9329" s="16" t="s">
        <v>1970</v>
      </c>
      <c r="Q9329" s="15" t="s">
        <v>75</v>
      </c>
      <c r="R9329" s="13" t="str">
        <f>HYPERLINK("https://my.pitchbook.com?c=215284-78T","View Company Online")</f>
        <v>View Company Online</v>
      </c>
    </row>
    <row r="9330" spans="1:18" hidden="1" x14ac:dyDescent="0.3">
      <c r="A9330" s="9" t="s">
        <v>26676</v>
      </c>
      <c r="B9330" s="9" t="s">
        <v>14142</v>
      </c>
      <c r="C9330" s="11" t="s">
        <v>28</v>
      </c>
      <c r="D9330" s="9" t="s">
        <v>14143</v>
      </c>
      <c r="E9330" s="11" t="s">
        <v>28</v>
      </c>
      <c r="F9330" s="10" t="s">
        <v>28</v>
      </c>
      <c r="G9330" s="10" t="s">
        <v>28</v>
      </c>
      <c r="H9330" s="10" t="s">
        <v>28</v>
      </c>
      <c r="I9330" s="11" t="s">
        <v>28</v>
      </c>
      <c r="J9330" s="11" t="s">
        <v>28</v>
      </c>
      <c r="K9330" s="11" t="s">
        <v>28</v>
      </c>
      <c r="L9330" s="11" t="s">
        <v>28</v>
      </c>
      <c r="M9330" s="11" t="s">
        <v>28</v>
      </c>
      <c r="N9330" s="8">
        <v>42401</v>
      </c>
      <c r="O9330" s="9" t="s">
        <v>379</v>
      </c>
      <c r="P9330" s="12" t="s">
        <v>26677</v>
      </c>
      <c r="Q9330" s="9" t="s">
        <v>740</v>
      </c>
      <c r="R9330" s="14" t="str">
        <f>HYPERLINK("https://my.pitchbook.com?c=73372-60T","View Company Online")</f>
        <v>View Company Online</v>
      </c>
    </row>
    <row r="9331" spans="1:18" hidden="1" x14ac:dyDescent="0.3">
      <c r="A9331" s="15" t="s">
        <v>26678</v>
      </c>
      <c r="B9331" s="15" t="s">
        <v>19126</v>
      </c>
      <c r="C9331" s="18" t="s">
        <v>28</v>
      </c>
      <c r="D9331" s="15" t="s">
        <v>19127</v>
      </c>
      <c r="E9331" s="18" t="s">
        <v>28</v>
      </c>
      <c r="F9331" s="19">
        <v>893.92</v>
      </c>
      <c r="G9331" s="19">
        <v>893.92</v>
      </c>
      <c r="H9331" s="19">
        <v>893.92</v>
      </c>
      <c r="I9331" s="18" t="s">
        <v>28</v>
      </c>
      <c r="J9331" s="18" t="s">
        <v>28</v>
      </c>
      <c r="K9331" s="18" t="s">
        <v>28</v>
      </c>
      <c r="L9331" s="18" t="s">
        <v>28</v>
      </c>
      <c r="M9331" s="18" t="s">
        <v>28</v>
      </c>
      <c r="N9331" s="17">
        <v>42401</v>
      </c>
      <c r="O9331" s="15" t="s">
        <v>30</v>
      </c>
      <c r="P9331" s="16" t="s">
        <v>26679</v>
      </c>
      <c r="Q9331" s="15" t="s">
        <v>362</v>
      </c>
      <c r="R9331" s="13" t="str">
        <f>HYPERLINK("https://my.pitchbook.com?c=60260-32T","View Company Online")</f>
        <v>View Company Online</v>
      </c>
    </row>
    <row r="9332" spans="1:18" hidden="1" x14ac:dyDescent="0.3">
      <c r="A9332" s="9" t="s">
        <v>26680</v>
      </c>
      <c r="B9332" s="9" t="s">
        <v>26681</v>
      </c>
      <c r="C9332" s="11" t="s">
        <v>28</v>
      </c>
      <c r="D9332" s="9" t="s">
        <v>26682</v>
      </c>
      <c r="E9332" s="11" t="s">
        <v>28</v>
      </c>
      <c r="F9332" s="10" t="s">
        <v>28</v>
      </c>
      <c r="G9332" s="10" t="s">
        <v>28</v>
      </c>
      <c r="H9332" s="10" t="s">
        <v>28</v>
      </c>
      <c r="I9332" s="11" t="s">
        <v>28</v>
      </c>
      <c r="J9332" s="11" t="s">
        <v>28</v>
      </c>
      <c r="K9332" s="11" t="s">
        <v>28</v>
      </c>
      <c r="L9332" s="11" t="s">
        <v>28</v>
      </c>
      <c r="M9332" s="11" t="s">
        <v>28</v>
      </c>
      <c r="N9332" s="8">
        <v>42401</v>
      </c>
      <c r="O9332" s="9" t="s">
        <v>30</v>
      </c>
      <c r="P9332" s="12" t="s">
        <v>26683</v>
      </c>
      <c r="Q9332" s="9" t="s">
        <v>4602</v>
      </c>
      <c r="R9332" s="14" t="str">
        <f>HYPERLINK("https://my.pitchbook.com?c=65838-61T","View Company Online")</f>
        <v>View Company Online</v>
      </c>
    </row>
    <row r="9333" spans="1:18" hidden="1" x14ac:dyDescent="0.3">
      <c r="A9333" s="15" t="s">
        <v>26684</v>
      </c>
      <c r="B9333" s="15" t="s">
        <v>26685</v>
      </c>
      <c r="C9333" s="18" t="s">
        <v>28</v>
      </c>
      <c r="D9333" s="15" t="s">
        <v>26686</v>
      </c>
      <c r="E9333" s="18" t="s">
        <v>28</v>
      </c>
      <c r="F9333" s="19" t="s">
        <v>28</v>
      </c>
      <c r="G9333" s="19" t="s">
        <v>28</v>
      </c>
      <c r="H9333" s="19" t="s">
        <v>28</v>
      </c>
      <c r="I9333" s="18" t="s">
        <v>28</v>
      </c>
      <c r="J9333" s="18" t="s">
        <v>28</v>
      </c>
      <c r="K9333" s="18" t="s">
        <v>28</v>
      </c>
      <c r="L9333" s="18" t="s">
        <v>28</v>
      </c>
      <c r="M9333" s="18" t="s">
        <v>28</v>
      </c>
      <c r="N9333" s="17">
        <v>42401</v>
      </c>
      <c r="O9333" s="15" t="s">
        <v>93</v>
      </c>
      <c r="P9333" s="16" t="s">
        <v>26687</v>
      </c>
      <c r="Q9333" s="15" t="s">
        <v>43</v>
      </c>
      <c r="R9333" s="13" t="str">
        <f>HYPERLINK("https://my.pitchbook.com?c=84986-47T","View Company Online")</f>
        <v>View Company Online</v>
      </c>
    </row>
    <row r="9334" spans="1:18" hidden="1" x14ac:dyDescent="0.3">
      <c r="A9334" s="9" t="s">
        <v>26688</v>
      </c>
      <c r="B9334" s="9" t="s">
        <v>26689</v>
      </c>
      <c r="C9334" s="11" t="s">
        <v>28</v>
      </c>
      <c r="D9334" s="9" t="s">
        <v>26690</v>
      </c>
      <c r="E9334" s="11" t="s">
        <v>28</v>
      </c>
      <c r="F9334" s="10" t="s">
        <v>28</v>
      </c>
      <c r="G9334" s="10">
        <v>24.83</v>
      </c>
      <c r="H9334" s="10" t="s">
        <v>28</v>
      </c>
      <c r="I9334" s="11" t="s">
        <v>28</v>
      </c>
      <c r="J9334" s="11" t="s">
        <v>28</v>
      </c>
      <c r="K9334" s="11" t="s">
        <v>28</v>
      </c>
      <c r="L9334" s="11" t="s">
        <v>28</v>
      </c>
      <c r="M9334" s="11" t="s">
        <v>28</v>
      </c>
      <c r="N9334" s="8">
        <v>42401</v>
      </c>
      <c r="O9334" s="9" t="s">
        <v>93</v>
      </c>
      <c r="P9334" s="12" t="s">
        <v>478</v>
      </c>
      <c r="Q9334" s="9" t="s">
        <v>470</v>
      </c>
      <c r="R9334" s="14" t="str">
        <f>HYPERLINK("https://my.pitchbook.com?c=80148-61T","View Company Online")</f>
        <v>View Company Online</v>
      </c>
    </row>
    <row r="9335" spans="1:18" hidden="1" x14ac:dyDescent="0.3">
      <c r="A9335" s="15" t="s">
        <v>26691</v>
      </c>
      <c r="B9335" s="15" t="s">
        <v>26692</v>
      </c>
      <c r="C9335" s="18" t="s">
        <v>28</v>
      </c>
      <c r="D9335" s="15" t="s">
        <v>26693</v>
      </c>
      <c r="E9335" s="18" t="s">
        <v>28</v>
      </c>
      <c r="F9335" s="19" t="s">
        <v>28</v>
      </c>
      <c r="G9335" s="19" t="s">
        <v>28</v>
      </c>
      <c r="H9335" s="19" t="s">
        <v>28</v>
      </c>
      <c r="I9335" s="18" t="s">
        <v>28</v>
      </c>
      <c r="J9335" s="18" t="s">
        <v>28</v>
      </c>
      <c r="K9335" s="18" t="s">
        <v>28</v>
      </c>
      <c r="L9335" s="18" t="s">
        <v>28</v>
      </c>
      <c r="M9335" s="18" t="s">
        <v>28</v>
      </c>
      <c r="N9335" s="17">
        <v>42400</v>
      </c>
      <c r="O9335" s="15" t="s">
        <v>30</v>
      </c>
      <c r="P9335" s="16" t="s">
        <v>26694</v>
      </c>
      <c r="Q9335" s="15" t="s">
        <v>583</v>
      </c>
      <c r="R9335" s="13" t="str">
        <f>HYPERLINK("https://my.pitchbook.com?c=89688-88T","View Company Online")</f>
        <v>View Company Online</v>
      </c>
    </row>
    <row r="9336" spans="1:18" hidden="1" x14ac:dyDescent="0.3">
      <c r="A9336" s="9" t="s">
        <v>26695</v>
      </c>
      <c r="B9336" s="9" t="s">
        <v>26696</v>
      </c>
      <c r="C9336" s="11" t="s">
        <v>28</v>
      </c>
      <c r="D9336" s="9" t="s">
        <v>26697</v>
      </c>
      <c r="E9336" s="11" t="s">
        <v>28</v>
      </c>
      <c r="F9336" s="10">
        <v>96.82</v>
      </c>
      <c r="G9336" s="10">
        <v>96.82</v>
      </c>
      <c r="H9336" s="10">
        <v>96.82</v>
      </c>
      <c r="I9336" s="11" t="s">
        <v>28</v>
      </c>
      <c r="J9336" s="11" t="s">
        <v>28</v>
      </c>
      <c r="K9336" s="11" t="s">
        <v>28</v>
      </c>
      <c r="L9336" s="11" t="s">
        <v>28</v>
      </c>
      <c r="M9336" s="11" t="s">
        <v>28</v>
      </c>
      <c r="N9336" s="8">
        <v>42398</v>
      </c>
      <c r="O9336" s="9" t="s">
        <v>30</v>
      </c>
      <c r="P9336" s="12" t="s">
        <v>26698</v>
      </c>
      <c r="Q9336" s="9" t="s">
        <v>226</v>
      </c>
      <c r="R9336" s="14" t="str">
        <f>HYPERLINK("https://my.pitchbook.com?c=53983-81T","View Company Online")</f>
        <v>View Company Online</v>
      </c>
    </row>
    <row r="9337" spans="1:18" hidden="1" x14ac:dyDescent="0.3">
      <c r="A9337" s="15" t="s">
        <v>26699</v>
      </c>
      <c r="B9337" s="15" t="s">
        <v>26700</v>
      </c>
      <c r="C9337" s="18" t="s">
        <v>28</v>
      </c>
      <c r="D9337" s="15" t="s">
        <v>26701</v>
      </c>
      <c r="E9337" s="18" t="s">
        <v>28</v>
      </c>
      <c r="F9337" s="19" t="s">
        <v>28</v>
      </c>
      <c r="G9337" s="19">
        <v>9.93</v>
      </c>
      <c r="H9337" s="19" t="s">
        <v>28</v>
      </c>
      <c r="I9337" s="18" t="s">
        <v>28</v>
      </c>
      <c r="J9337" s="18" t="s">
        <v>28</v>
      </c>
      <c r="K9337" s="18" t="s">
        <v>28</v>
      </c>
      <c r="L9337" s="18" t="s">
        <v>28</v>
      </c>
      <c r="M9337" s="18" t="s">
        <v>28</v>
      </c>
      <c r="N9337" s="17">
        <v>42398</v>
      </c>
      <c r="O9337" s="15" t="s">
        <v>79</v>
      </c>
      <c r="P9337" s="16" t="s">
        <v>26702</v>
      </c>
      <c r="Q9337" s="15" t="s">
        <v>75</v>
      </c>
      <c r="R9337" s="13" t="str">
        <f>HYPERLINK("https://my.pitchbook.com?c=65537-83T","View Company Online")</f>
        <v>View Company Online</v>
      </c>
    </row>
    <row r="9338" spans="1:18" hidden="1" x14ac:dyDescent="0.3">
      <c r="A9338" s="9" t="s">
        <v>26703</v>
      </c>
      <c r="B9338" s="9" t="s">
        <v>26704</v>
      </c>
      <c r="C9338" s="11" t="s">
        <v>28</v>
      </c>
      <c r="D9338" s="9" t="s">
        <v>26705</v>
      </c>
      <c r="E9338" s="11" t="s">
        <v>28</v>
      </c>
      <c r="F9338" s="10" t="s">
        <v>28</v>
      </c>
      <c r="G9338" s="10" t="s">
        <v>28</v>
      </c>
      <c r="H9338" s="10" t="s">
        <v>28</v>
      </c>
      <c r="I9338" s="11" t="s">
        <v>28</v>
      </c>
      <c r="J9338" s="11" t="s">
        <v>28</v>
      </c>
      <c r="K9338" s="11" t="s">
        <v>28</v>
      </c>
      <c r="L9338" s="11" t="s">
        <v>28</v>
      </c>
      <c r="M9338" s="11" t="s">
        <v>28</v>
      </c>
      <c r="N9338" s="8">
        <v>42394</v>
      </c>
      <c r="O9338" s="9" t="s">
        <v>30</v>
      </c>
      <c r="P9338" s="12" t="s">
        <v>26706</v>
      </c>
      <c r="Q9338" s="9" t="s">
        <v>900</v>
      </c>
      <c r="R9338" s="14" t="str">
        <f>HYPERLINK("https://my.pitchbook.com?c=70922-26T","View Company Online")</f>
        <v>View Company Online</v>
      </c>
    </row>
    <row r="9339" spans="1:18" hidden="1" x14ac:dyDescent="0.3">
      <c r="A9339" s="15" t="s">
        <v>26707</v>
      </c>
      <c r="B9339" s="15" t="s">
        <v>5108</v>
      </c>
      <c r="C9339" s="18" t="s">
        <v>28</v>
      </c>
      <c r="D9339" s="15" t="s">
        <v>5109</v>
      </c>
      <c r="E9339" s="18" t="s">
        <v>28</v>
      </c>
      <c r="F9339" s="19" t="s">
        <v>28</v>
      </c>
      <c r="G9339" s="19" t="s">
        <v>28</v>
      </c>
      <c r="H9339" s="19" t="s">
        <v>28</v>
      </c>
      <c r="I9339" s="18" t="s">
        <v>28</v>
      </c>
      <c r="J9339" s="18" t="s">
        <v>28</v>
      </c>
      <c r="K9339" s="18" t="s">
        <v>28</v>
      </c>
      <c r="L9339" s="18" t="s">
        <v>28</v>
      </c>
      <c r="M9339" s="18" t="s">
        <v>28</v>
      </c>
      <c r="N9339" s="17">
        <v>42394</v>
      </c>
      <c r="O9339" s="15" t="s">
        <v>41</v>
      </c>
      <c r="P9339" s="16" t="s">
        <v>26708</v>
      </c>
      <c r="Q9339" s="15" t="s">
        <v>5110</v>
      </c>
      <c r="R9339" s="13" t="str">
        <f>HYPERLINK("https://my.pitchbook.com?c=65902-51T","View Company Online")</f>
        <v>View Company Online</v>
      </c>
    </row>
    <row r="9340" spans="1:18" hidden="1" x14ac:dyDescent="0.3">
      <c r="A9340" s="9" t="s">
        <v>26709</v>
      </c>
      <c r="B9340" s="9" t="s">
        <v>2201</v>
      </c>
      <c r="C9340" s="11" t="s">
        <v>28</v>
      </c>
      <c r="D9340" s="9" t="s">
        <v>2202</v>
      </c>
      <c r="E9340" s="11" t="s">
        <v>28</v>
      </c>
      <c r="F9340" s="10" t="s">
        <v>28</v>
      </c>
      <c r="G9340" s="10">
        <v>0.63</v>
      </c>
      <c r="H9340" s="10" t="s">
        <v>28</v>
      </c>
      <c r="I9340" s="11" t="s">
        <v>28</v>
      </c>
      <c r="J9340" s="11" t="s">
        <v>28</v>
      </c>
      <c r="K9340" s="11" t="s">
        <v>28</v>
      </c>
      <c r="L9340" s="11" t="s">
        <v>28</v>
      </c>
      <c r="M9340" s="11" t="s">
        <v>28</v>
      </c>
      <c r="N9340" s="8">
        <v>42391</v>
      </c>
      <c r="O9340" s="9" t="s">
        <v>73</v>
      </c>
      <c r="P9340" s="12" t="s">
        <v>26710</v>
      </c>
      <c r="Q9340" s="9" t="s">
        <v>75</v>
      </c>
      <c r="R9340" s="14" t="str">
        <f>HYPERLINK("https://my.pitchbook.com?c=74385-64T","View Company Online")</f>
        <v>View Company Online</v>
      </c>
    </row>
    <row r="9341" spans="1:18" hidden="1" x14ac:dyDescent="0.3">
      <c r="A9341" s="15" t="s">
        <v>26711</v>
      </c>
      <c r="B9341" s="15" t="s">
        <v>1279</v>
      </c>
      <c r="C9341" s="18" t="s">
        <v>28</v>
      </c>
      <c r="D9341" s="15" t="s">
        <v>1280</v>
      </c>
      <c r="E9341" s="18" t="s">
        <v>28</v>
      </c>
      <c r="F9341" s="19" t="s">
        <v>28</v>
      </c>
      <c r="G9341" s="19">
        <v>0.63</v>
      </c>
      <c r="H9341" s="19" t="s">
        <v>28</v>
      </c>
      <c r="I9341" s="18" t="s">
        <v>28</v>
      </c>
      <c r="J9341" s="18" t="s">
        <v>28</v>
      </c>
      <c r="K9341" s="18" t="s">
        <v>28</v>
      </c>
      <c r="L9341" s="18" t="s">
        <v>28</v>
      </c>
      <c r="M9341" s="18" t="s">
        <v>28</v>
      </c>
      <c r="N9341" s="17">
        <v>42391</v>
      </c>
      <c r="O9341" s="15" t="s">
        <v>73</v>
      </c>
      <c r="P9341" s="16" t="s">
        <v>26712</v>
      </c>
      <c r="Q9341" s="15" t="s">
        <v>1035</v>
      </c>
      <c r="R9341" s="13" t="str">
        <f>HYPERLINK("https://my.pitchbook.com?c=68132-08T","View Company Online")</f>
        <v>View Company Online</v>
      </c>
    </row>
    <row r="9342" spans="1:18" hidden="1" x14ac:dyDescent="0.3">
      <c r="A9342" s="9" t="s">
        <v>26713</v>
      </c>
      <c r="B9342" s="9" t="s">
        <v>26714</v>
      </c>
      <c r="C9342" s="11" t="s">
        <v>28</v>
      </c>
      <c r="D9342" s="9" t="s">
        <v>26715</v>
      </c>
      <c r="E9342" s="11" t="s">
        <v>28</v>
      </c>
      <c r="F9342" s="10" t="s">
        <v>28</v>
      </c>
      <c r="G9342" s="10" t="s">
        <v>28</v>
      </c>
      <c r="H9342" s="10" t="s">
        <v>28</v>
      </c>
      <c r="I9342" s="11" t="s">
        <v>28</v>
      </c>
      <c r="J9342" s="11" t="s">
        <v>28</v>
      </c>
      <c r="K9342" s="11" t="s">
        <v>28</v>
      </c>
      <c r="L9342" s="11" t="s">
        <v>28</v>
      </c>
      <c r="M9342" s="11" t="s">
        <v>28</v>
      </c>
      <c r="N9342" s="8">
        <v>42388</v>
      </c>
      <c r="O9342" s="9" t="s">
        <v>30</v>
      </c>
      <c r="P9342" s="12" t="s">
        <v>26716</v>
      </c>
      <c r="Q9342" s="9" t="s">
        <v>245</v>
      </c>
      <c r="R9342" s="14" t="str">
        <f>HYPERLINK("https://my.pitchbook.com?c=65175-94T","View Company Online")</f>
        <v>View Company Online</v>
      </c>
    </row>
    <row r="9343" spans="1:18" hidden="1" x14ac:dyDescent="0.3">
      <c r="A9343" s="15" t="s">
        <v>26717</v>
      </c>
      <c r="B9343" s="15" t="s">
        <v>15824</v>
      </c>
      <c r="C9343" s="18" t="s">
        <v>28</v>
      </c>
      <c r="D9343" s="15" t="s">
        <v>15825</v>
      </c>
      <c r="E9343" s="18" t="s">
        <v>28</v>
      </c>
      <c r="F9343" s="19" t="s">
        <v>28</v>
      </c>
      <c r="G9343" s="19" t="s">
        <v>28</v>
      </c>
      <c r="H9343" s="19" t="s">
        <v>28</v>
      </c>
      <c r="I9343" s="18" t="s">
        <v>28</v>
      </c>
      <c r="J9343" s="18" t="s">
        <v>28</v>
      </c>
      <c r="K9343" s="18" t="s">
        <v>28</v>
      </c>
      <c r="L9343" s="18" t="s">
        <v>28</v>
      </c>
      <c r="M9343" s="18" t="s">
        <v>28</v>
      </c>
      <c r="N9343" s="17">
        <v>42387</v>
      </c>
      <c r="O9343" s="15" t="s">
        <v>52</v>
      </c>
      <c r="P9343" s="16" t="s">
        <v>1880</v>
      </c>
      <c r="Q9343" s="15" t="s">
        <v>75</v>
      </c>
      <c r="R9343" s="13" t="str">
        <f>HYPERLINK("https://my.pitchbook.com?c=65794-15T","View Company Online")</f>
        <v>View Company Online</v>
      </c>
    </row>
    <row r="9344" spans="1:18" hidden="1" x14ac:dyDescent="0.3">
      <c r="A9344" s="9" t="s">
        <v>26718</v>
      </c>
      <c r="B9344" s="9" t="s">
        <v>5263</v>
      </c>
      <c r="C9344" s="11" t="s">
        <v>28</v>
      </c>
      <c r="D9344" s="9" t="s">
        <v>5264</v>
      </c>
      <c r="E9344" s="11" t="s">
        <v>28</v>
      </c>
      <c r="F9344" s="10" t="s">
        <v>28</v>
      </c>
      <c r="G9344" s="10">
        <v>0.05</v>
      </c>
      <c r="H9344" s="10" t="s">
        <v>28</v>
      </c>
      <c r="I9344" s="11" t="s">
        <v>28</v>
      </c>
      <c r="J9344" s="11" t="s">
        <v>28</v>
      </c>
      <c r="K9344" s="11" t="s">
        <v>28</v>
      </c>
      <c r="L9344" s="11" t="s">
        <v>28</v>
      </c>
      <c r="M9344" s="11" t="s">
        <v>28</v>
      </c>
      <c r="N9344" s="8">
        <v>42387</v>
      </c>
      <c r="O9344" s="9" t="s">
        <v>52</v>
      </c>
      <c r="P9344" s="12" t="s">
        <v>1880</v>
      </c>
      <c r="Q9344" s="9" t="s">
        <v>740</v>
      </c>
      <c r="R9344" s="14" t="str">
        <f>HYPERLINK("https://my.pitchbook.com?c=65860-57T","View Company Online")</f>
        <v>View Company Online</v>
      </c>
    </row>
    <row r="9345" spans="1:18" hidden="1" x14ac:dyDescent="0.3">
      <c r="A9345" s="15" t="s">
        <v>26719</v>
      </c>
      <c r="B9345" s="15" t="s">
        <v>20992</v>
      </c>
      <c r="C9345" s="18" t="s">
        <v>28</v>
      </c>
      <c r="D9345" s="15" t="s">
        <v>20993</v>
      </c>
      <c r="E9345" s="18" t="s">
        <v>28</v>
      </c>
      <c r="F9345" s="19" t="s">
        <v>28</v>
      </c>
      <c r="G9345" s="19">
        <v>0.05</v>
      </c>
      <c r="H9345" s="19" t="s">
        <v>28</v>
      </c>
      <c r="I9345" s="18" t="s">
        <v>28</v>
      </c>
      <c r="J9345" s="18" t="s">
        <v>28</v>
      </c>
      <c r="K9345" s="18" t="s">
        <v>28</v>
      </c>
      <c r="L9345" s="18" t="s">
        <v>28</v>
      </c>
      <c r="M9345" s="18" t="s">
        <v>28</v>
      </c>
      <c r="N9345" s="17">
        <v>42387</v>
      </c>
      <c r="O9345" s="15" t="s">
        <v>52</v>
      </c>
      <c r="P9345" s="16" t="s">
        <v>1880</v>
      </c>
      <c r="Q9345" s="15" t="s">
        <v>583</v>
      </c>
      <c r="R9345" s="13" t="str">
        <f>HYPERLINK("https://my.pitchbook.com?c=65863-63T","View Company Online")</f>
        <v>View Company Online</v>
      </c>
    </row>
    <row r="9346" spans="1:18" hidden="1" x14ac:dyDescent="0.3">
      <c r="A9346" s="9" t="s">
        <v>26720</v>
      </c>
      <c r="B9346" s="9" t="s">
        <v>26721</v>
      </c>
      <c r="C9346" s="11" t="s">
        <v>28</v>
      </c>
      <c r="D9346" s="9" t="s">
        <v>26722</v>
      </c>
      <c r="E9346" s="11" t="s">
        <v>28</v>
      </c>
      <c r="F9346" s="10" t="s">
        <v>28</v>
      </c>
      <c r="G9346" s="10" t="s">
        <v>28</v>
      </c>
      <c r="H9346" s="10" t="s">
        <v>28</v>
      </c>
      <c r="I9346" s="11" t="s">
        <v>28</v>
      </c>
      <c r="J9346" s="11" t="s">
        <v>28</v>
      </c>
      <c r="K9346" s="11" t="s">
        <v>28</v>
      </c>
      <c r="L9346" s="11" t="s">
        <v>28</v>
      </c>
      <c r="M9346" s="11" t="s">
        <v>28</v>
      </c>
      <c r="N9346" s="8">
        <v>42387</v>
      </c>
      <c r="O9346" s="9" t="s">
        <v>30</v>
      </c>
      <c r="P9346" s="12" t="s">
        <v>26723</v>
      </c>
      <c r="Q9346" s="9" t="s">
        <v>280</v>
      </c>
      <c r="R9346" s="14" t="str">
        <f>HYPERLINK("https://my.pitchbook.com?c=65189-80T","View Company Online")</f>
        <v>View Company Online</v>
      </c>
    </row>
    <row r="9347" spans="1:18" hidden="1" x14ac:dyDescent="0.3">
      <c r="A9347" s="15" t="s">
        <v>26724</v>
      </c>
      <c r="B9347" s="15" t="s">
        <v>22583</v>
      </c>
      <c r="C9347" s="18" t="s">
        <v>28</v>
      </c>
      <c r="D9347" s="15" t="s">
        <v>22584</v>
      </c>
      <c r="E9347" s="18" t="s">
        <v>28</v>
      </c>
      <c r="F9347" s="19" t="s">
        <v>28</v>
      </c>
      <c r="G9347" s="19" t="s">
        <v>28</v>
      </c>
      <c r="H9347" s="19" t="s">
        <v>28</v>
      </c>
      <c r="I9347" s="18" t="s">
        <v>28</v>
      </c>
      <c r="J9347" s="18" t="s">
        <v>28</v>
      </c>
      <c r="K9347" s="18" t="s">
        <v>28</v>
      </c>
      <c r="L9347" s="18" t="s">
        <v>28</v>
      </c>
      <c r="M9347" s="18" t="s">
        <v>28</v>
      </c>
      <c r="N9347" s="17">
        <v>42387</v>
      </c>
      <c r="O9347" s="15" t="s">
        <v>52</v>
      </c>
      <c r="P9347" s="16" t="s">
        <v>1880</v>
      </c>
      <c r="Q9347" s="15" t="s">
        <v>95</v>
      </c>
      <c r="R9347" s="13" t="str">
        <f>HYPERLINK("https://my.pitchbook.com?c=109397-17T","View Company Online")</f>
        <v>View Company Online</v>
      </c>
    </row>
    <row r="9348" spans="1:18" hidden="1" x14ac:dyDescent="0.3">
      <c r="A9348" s="9" t="s">
        <v>26725</v>
      </c>
      <c r="B9348" s="9" t="s">
        <v>21445</v>
      </c>
      <c r="C9348" s="11" t="s">
        <v>28</v>
      </c>
      <c r="D9348" s="9" t="s">
        <v>21446</v>
      </c>
      <c r="E9348" s="11" t="s">
        <v>28</v>
      </c>
      <c r="F9348" s="10" t="s">
        <v>28</v>
      </c>
      <c r="G9348" s="10" t="s">
        <v>28</v>
      </c>
      <c r="H9348" s="10" t="s">
        <v>28</v>
      </c>
      <c r="I9348" s="11" t="s">
        <v>28</v>
      </c>
      <c r="J9348" s="11" t="s">
        <v>28</v>
      </c>
      <c r="K9348" s="11" t="s">
        <v>28</v>
      </c>
      <c r="L9348" s="11" t="s">
        <v>28</v>
      </c>
      <c r="M9348" s="11" t="s">
        <v>28</v>
      </c>
      <c r="N9348" s="8">
        <v>42387</v>
      </c>
      <c r="O9348" s="9" t="s">
        <v>52</v>
      </c>
      <c r="P9348" s="12" t="s">
        <v>1880</v>
      </c>
      <c r="Q9348" s="9" t="s">
        <v>386</v>
      </c>
      <c r="R9348" s="14" t="str">
        <f>HYPERLINK("https://my.pitchbook.com?c=63355-15T","View Company Online")</f>
        <v>View Company Online</v>
      </c>
    </row>
    <row r="9349" spans="1:18" hidden="1" x14ac:dyDescent="0.3">
      <c r="A9349" s="15" t="s">
        <v>26726</v>
      </c>
      <c r="B9349" s="15" t="s">
        <v>26727</v>
      </c>
      <c r="C9349" s="18" t="s">
        <v>28</v>
      </c>
      <c r="D9349" s="15" t="s">
        <v>26728</v>
      </c>
      <c r="E9349" s="18" t="s">
        <v>28</v>
      </c>
      <c r="F9349" s="19" t="s">
        <v>28</v>
      </c>
      <c r="G9349" s="19">
        <v>0.05</v>
      </c>
      <c r="H9349" s="19" t="s">
        <v>28</v>
      </c>
      <c r="I9349" s="18" t="s">
        <v>28</v>
      </c>
      <c r="J9349" s="18" t="s">
        <v>28</v>
      </c>
      <c r="K9349" s="18" t="s">
        <v>28</v>
      </c>
      <c r="L9349" s="18" t="s">
        <v>28</v>
      </c>
      <c r="M9349" s="18" t="s">
        <v>28</v>
      </c>
      <c r="N9349" s="17">
        <v>42387</v>
      </c>
      <c r="O9349" s="15" t="s">
        <v>52</v>
      </c>
      <c r="P9349" s="16" t="s">
        <v>1880</v>
      </c>
      <c r="Q9349" s="15" t="s">
        <v>419</v>
      </c>
      <c r="R9349" s="13" t="str">
        <f>HYPERLINK("https://my.pitchbook.com?c=65869-21T","View Company Online")</f>
        <v>View Company Online</v>
      </c>
    </row>
    <row r="9350" spans="1:18" hidden="1" x14ac:dyDescent="0.3">
      <c r="A9350" s="9" t="s">
        <v>26729</v>
      </c>
      <c r="B9350" s="9" t="s">
        <v>26730</v>
      </c>
      <c r="C9350" s="11" t="s">
        <v>28</v>
      </c>
      <c r="D9350" s="9" t="s">
        <v>26731</v>
      </c>
      <c r="E9350" s="11" t="s">
        <v>28</v>
      </c>
      <c r="F9350" s="10" t="s">
        <v>28</v>
      </c>
      <c r="G9350" s="10">
        <v>0.15</v>
      </c>
      <c r="H9350" s="10" t="s">
        <v>28</v>
      </c>
      <c r="I9350" s="11" t="s">
        <v>28</v>
      </c>
      <c r="J9350" s="11" t="s">
        <v>28</v>
      </c>
      <c r="K9350" s="11" t="s">
        <v>28</v>
      </c>
      <c r="L9350" s="11" t="s">
        <v>28</v>
      </c>
      <c r="M9350" s="11" t="s">
        <v>28</v>
      </c>
      <c r="N9350" s="8">
        <v>42387</v>
      </c>
      <c r="O9350" s="9" t="s">
        <v>52</v>
      </c>
      <c r="P9350" s="12" t="s">
        <v>1880</v>
      </c>
      <c r="Q9350" s="9" t="s">
        <v>419</v>
      </c>
      <c r="R9350" s="14" t="str">
        <f>HYPERLINK("https://my.pitchbook.com?c=65858-68T","View Company Online")</f>
        <v>View Company Online</v>
      </c>
    </row>
    <row r="9351" spans="1:18" hidden="1" x14ac:dyDescent="0.3">
      <c r="A9351" s="15" t="s">
        <v>26732</v>
      </c>
      <c r="B9351" s="15" t="s">
        <v>26733</v>
      </c>
      <c r="C9351" s="18" t="s">
        <v>28</v>
      </c>
      <c r="D9351" s="15" t="s">
        <v>26734</v>
      </c>
      <c r="E9351" s="18" t="s">
        <v>28</v>
      </c>
      <c r="F9351" s="19" t="s">
        <v>28</v>
      </c>
      <c r="G9351" s="19">
        <v>0.05</v>
      </c>
      <c r="H9351" s="19" t="s">
        <v>28</v>
      </c>
      <c r="I9351" s="18" t="s">
        <v>28</v>
      </c>
      <c r="J9351" s="18" t="s">
        <v>28</v>
      </c>
      <c r="K9351" s="18" t="s">
        <v>28</v>
      </c>
      <c r="L9351" s="18" t="s">
        <v>28</v>
      </c>
      <c r="M9351" s="18" t="s">
        <v>28</v>
      </c>
      <c r="N9351" s="17">
        <v>42387</v>
      </c>
      <c r="O9351" s="15" t="s">
        <v>52</v>
      </c>
      <c r="P9351" s="16" t="s">
        <v>1880</v>
      </c>
      <c r="Q9351" s="15" t="s">
        <v>419</v>
      </c>
      <c r="R9351" s="13" t="str">
        <f>HYPERLINK("https://my.pitchbook.com?c=65848-15T","View Company Online")</f>
        <v>View Company Online</v>
      </c>
    </row>
    <row r="9352" spans="1:18" hidden="1" x14ac:dyDescent="0.3">
      <c r="A9352" s="9" t="s">
        <v>26735</v>
      </c>
      <c r="B9352" s="9" t="s">
        <v>26736</v>
      </c>
      <c r="C9352" s="11" t="s">
        <v>28</v>
      </c>
      <c r="D9352" s="9" t="s">
        <v>26737</v>
      </c>
      <c r="E9352" s="11" t="s">
        <v>28</v>
      </c>
      <c r="F9352" s="10" t="s">
        <v>28</v>
      </c>
      <c r="G9352" s="10">
        <v>88.83</v>
      </c>
      <c r="H9352" s="10" t="s">
        <v>28</v>
      </c>
      <c r="I9352" s="11" t="s">
        <v>28</v>
      </c>
      <c r="J9352" s="11" t="s">
        <v>28</v>
      </c>
      <c r="K9352" s="11" t="s">
        <v>28</v>
      </c>
      <c r="L9352" s="11" t="s">
        <v>28</v>
      </c>
      <c r="M9352" s="11" t="s">
        <v>28</v>
      </c>
      <c r="N9352" s="8">
        <v>42384</v>
      </c>
      <c r="O9352" s="9" t="s">
        <v>93</v>
      </c>
      <c r="P9352" s="12" t="s">
        <v>26738</v>
      </c>
      <c r="Q9352" s="9" t="s">
        <v>119</v>
      </c>
      <c r="R9352" s="14" t="str">
        <f>HYPERLINK("https://my.pitchbook.com?c=92289-70T","View Company Online")</f>
        <v>View Company Online</v>
      </c>
    </row>
    <row r="9353" spans="1:18" hidden="1" x14ac:dyDescent="0.3">
      <c r="A9353" s="15" t="s">
        <v>26739</v>
      </c>
      <c r="B9353" s="15" t="s">
        <v>26740</v>
      </c>
      <c r="C9353" s="18" t="s">
        <v>28</v>
      </c>
      <c r="D9353" s="15" t="s">
        <v>26741</v>
      </c>
      <c r="E9353" s="18" t="s">
        <v>28</v>
      </c>
      <c r="F9353" s="19" t="s">
        <v>28</v>
      </c>
      <c r="G9353" s="19" t="s">
        <v>28</v>
      </c>
      <c r="H9353" s="19" t="s">
        <v>28</v>
      </c>
      <c r="I9353" s="18" t="s">
        <v>28</v>
      </c>
      <c r="J9353" s="18" t="s">
        <v>28</v>
      </c>
      <c r="K9353" s="18" t="s">
        <v>28</v>
      </c>
      <c r="L9353" s="18" t="s">
        <v>28</v>
      </c>
      <c r="M9353" s="18" t="s">
        <v>28</v>
      </c>
      <c r="N9353" s="17">
        <v>42383</v>
      </c>
      <c r="O9353" s="15" t="s">
        <v>52</v>
      </c>
      <c r="P9353" s="16" t="s">
        <v>15600</v>
      </c>
      <c r="Q9353" s="15" t="s">
        <v>75</v>
      </c>
      <c r="R9353" s="13" t="str">
        <f>HYPERLINK("https://my.pitchbook.com?c=127591-12T","View Company Online")</f>
        <v>View Company Online</v>
      </c>
    </row>
    <row r="9354" spans="1:18" hidden="1" x14ac:dyDescent="0.3">
      <c r="A9354" s="9" t="s">
        <v>26742</v>
      </c>
      <c r="B9354" s="9" t="s">
        <v>26743</v>
      </c>
      <c r="C9354" s="11" t="s">
        <v>28</v>
      </c>
      <c r="D9354" s="9" t="s">
        <v>26744</v>
      </c>
      <c r="E9354" s="11" t="s">
        <v>28</v>
      </c>
      <c r="F9354" s="10" t="s">
        <v>28</v>
      </c>
      <c r="G9354" s="10" t="s">
        <v>28</v>
      </c>
      <c r="H9354" s="10" t="s">
        <v>28</v>
      </c>
      <c r="I9354" s="11" t="s">
        <v>28</v>
      </c>
      <c r="J9354" s="11" t="s">
        <v>28</v>
      </c>
      <c r="K9354" s="11" t="s">
        <v>28</v>
      </c>
      <c r="L9354" s="11" t="s">
        <v>28</v>
      </c>
      <c r="M9354" s="11" t="s">
        <v>28</v>
      </c>
      <c r="N9354" s="8">
        <v>42382</v>
      </c>
      <c r="O9354" s="9" t="s">
        <v>30</v>
      </c>
      <c r="P9354" s="12" t="s">
        <v>26745</v>
      </c>
      <c r="Q9354" s="9" t="s">
        <v>386</v>
      </c>
      <c r="R9354" s="14" t="str">
        <f>HYPERLINK("https://my.pitchbook.com?c=66815-38T","View Company Online")</f>
        <v>View Company Online</v>
      </c>
    </row>
    <row r="9355" spans="1:18" hidden="1" x14ac:dyDescent="0.3">
      <c r="A9355" s="15" t="s">
        <v>26746</v>
      </c>
      <c r="B9355" s="15" t="s">
        <v>26747</v>
      </c>
      <c r="C9355" s="18" t="s">
        <v>28</v>
      </c>
      <c r="D9355" s="15" t="s">
        <v>26748</v>
      </c>
      <c r="E9355" s="18" t="s">
        <v>28</v>
      </c>
      <c r="F9355" s="19" t="s">
        <v>28</v>
      </c>
      <c r="G9355" s="19" t="s">
        <v>28</v>
      </c>
      <c r="H9355" s="19" t="s">
        <v>28</v>
      </c>
      <c r="I9355" s="18" t="s">
        <v>28</v>
      </c>
      <c r="J9355" s="18" t="s">
        <v>28</v>
      </c>
      <c r="K9355" s="18" t="s">
        <v>28</v>
      </c>
      <c r="L9355" s="18" t="s">
        <v>28</v>
      </c>
      <c r="M9355" s="18" t="s">
        <v>28</v>
      </c>
      <c r="N9355" s="17">
        <v>42382</v>
      </c>
      <c r="O9355" s="15" t="s">
        <v>52</v>
      </c>
      <c r="P9355" s="16" t="s">
        <v>26749</v>
      </c>
      <c r="Q9355" s="15" t="s">
        <v>4773</v>
      </c>
      <c r="R9355" s="13" t="str">
        <f>HYPERLINK("https://my.pitchbook.com?c=132286-96T","View Company Online")</f>
        <v>View Company Online</v>
      </c>
    </row>
    <row r="9356" spans="1:18" hidden="1" x14ac:dyDescent="0.3">
      <c r="A9356" s="9" t="s">
        <v>26750</v>
      </c>
      <c r="B9356" s="9" t="s">
        <v>26751</v>
      </c>
      <c r="C9356" s="11" t="s">
        <v>28</v>
      </c>
      <c r="D9356" s="9" t="s">
        <v>26752</v>
      </c>
      <c r="E9356" s="11" t="s">
        <v>28</v>
      </c>
      <c r="F9356" s="10" t="s">
        <v>28</v>
      </c>
      <c r="G9356" s="10" t="s">
        <v>28</v>
      </c>
      <c r="H9356" s="10" t="s">
        <v>28</v>
      </c>
      <c r="I9356" s="11" t="s">
        <v>28</v>
      </c>
      <c r="J9356" s="11" t="s">
        <v>28</v>
      </c>
      <c r="K9356" s="11" t="s">
        <v>28</v>
      </c>
      <c r="L9356" s="11" t="s">
        <v>28</v>
      </c>
      <c r="M9356" s="11" t="s">
        <v>28</v>
      </c>
      <c r="N9356" s="8">
        <v>42381</v>
      </c>
      <c r="O9356" s="9" t="s">
        <v>30</v>
      </c>
      <c r="P9356" s="12" t="s">
        <v>20675</v>
      </c>
      <c r="Q9356" s="9" t="s">
        <v>69</v>
      </c>
      <c r="R9356" s="14" t="str">
        <f>HYPERLINK("https://my.pitchbook.com?c=64963-09T","View Company Online")</f>
        <v>View Company Online</v>
      </c>
    </row>
    <row r="9357" spans="1:18" hidden="1" x14ac:dyDescent="0.3">
      <c r="A9357" s="15" t="s">
        <v>26753</v>
      </c>
      <c r="B9357" s="15" t="s">
        <v>24966</v>
      </c>
      <c r="C9357" s="18" t="s">
        <v>28</v>
      </c>
      <c r="D9357" s="15" t="s">
        <v>24967</v>
      </c>
      <c r="E9357" s="18" t="s">
        <v>28</v>
      </c>
      <c r="F9357" s="19" t="s">
        <v>28</v>
      </c>
      <c r="G9357" s="19" t="s">
        <v>28</v>
      </c>
      <c r="H9357" s="19" t="s">
        <v>28</v>
      </c>
      <c r="I9357" s="18" t="s">
        <v>28</v>
      </c>
      <c r="J9357" s="18" t="s">
        <v>28</v>
      </c>
      <c r="K9357" s="18" t="s">
        <v>28</v>
      </c>
      <c r="L9357" s="18" t="s">
        <v>28</v>
      </c>
      <c r="M9357" s="18" t="s">
        <v>28</v>
      </c>
      <c r="N9357" s="17">
        <v>42380</v>
      </c>
      <c r="O9357" s="15" t="s">
        <v>58</v>
      </c>
      <c r="P9357" s="16" t="s">
        <v>26754</v>
      </c>
      <c r="Q9357" s="15" t="s">
        <v>69</v>
      </c>
      <c r="R9357" s="13" t="str">
        <f>HYPERLINK("https://my.pitchbook.com?c=86822-56T","View Company Online")</f>
        <v>View Company Online</v>
      </c>
    </row>
    <row r="9358" spans="1:18" hidden="1" x14ac:dyDescent="0.3">
      <c r="A9358" s="9" t="s">
        <v>26755</v>
      </c>
      <c r="B9358" s="9" t="s">
        <v>26756</v>
      </c>
      <c r="C9358" s="11" t="s">
        <v>28</v>
      </c>
      <c r="D9358" s="9" t="s">
        <v>26757</v>
      </c>
      <c r="E9358" s="11" t="s">
        <v>28</v>
      </c>
      <c r="F9358" s="10" t="s">
        <v>28</v>
      </c>
      <c r="G9358" s="10">
        <v>0.64</v>
      </c>
      <c r="H9358" s="10" t="s">
        <v>28</v>
      </c>
      <c r="I9358" s="11" t="s">
        <v>28</v>
      </c>
      <c r="J9358" s="11" t="s">
        <v>28</v>
      </c>
      <c r="K9358" s="11" t="s">
        <v>28</v>
      </c>
      <c r="L9358" s="11" t="s">
        <v>28</v>
      </c>
      <c r="M9358" s="11" t="s">
        <v>28</v>
      </c>
      <c r="N9358" s="8">
        <v>42380</v>
      </c>
      <c r="O9358" s="9" t="s">
        <v>73</v>
      </c>
      <c r="P9358" s="12" t="s">
        <v>22576</v>
      </c>
      <c r="Q9358" s="9" t="s">
        <v>583</v>
      </c>
      <c r="R9358" s="14" t="str">
        <f>HYPERLINK("https://my.pitchbook.com?c=91678-33T","View Company Online")</f>
        <v>View Company Online</v>
      </c>
    </row>
    <row r="9359" spans="1:18" hidden="1" x14ac:dyDescent="0.3">
      <c r="A9359" s="15" t="s">
        <v>26758</v>
      </c>
      <c r="B9359" s="15" t="s">
        <v>26759</v>
      </c>
      <c r="C9359" s="18" t="s">
        <v>28</v>
      </c>
      <c r="D9359" s="15" t="s">
        <v>26760</v>
      </c>
      <c r="E9359" s="18" t="s">
        <v>28</v>
      </c>
      <c r="F9359" s="19">
        <v>0.03</v>
      </c>
      <c r="G9359" s="19">
        <v>0.01</v>
      </c>
      <c r="H9359" s="19">
        <v>0.03</v>
      </c>
      <c r="I9359" s="18" t="s">
        <v>28</v>
      </c>
      <c r="J9359" s="18" t="s">
        <v>28</v>
      </c>
      <c r="K9359" s="18" t="s">
        <v>28</v>
      </c>
      <c r="L9359" s="18" t="s">
        <v>28</v>
      </c>
      <c r="M9359" s="18" t="s">
        <v>28</v>
      </c>
      <c r="N9359" s="17">
        <v>42380</v>
      </c>
      <c r="O9359" s="15" t="s">
        <v>30</v>
      </c>
      <c r="P9359" s="16" t="s">
        <v>26761</v>
      </c>
      <c r="Q9359" s="15" t="s">
        <v>136</v>
      </c>
      <c r="R9359" s="13" t="str">
        <f>HYPERLINK("https://my.pitchbook.com?c=63343-81T","View Company Online")</f>
        <v>View Company Online</v>
      </c>
    </row>
    <row r="9360" spans="1:18" hidden="1" x14ac:dyDescent="0.3">
      <c r="A9360" s="9" t="s">
        <v>26762</v>
      </c>
      <c r="B9360" s="9" t="s">
        <v>2432</v>
      </c>
      <c r="C9360" s="11" t="s">
        <v>28</v>
      </c>
      <c r="D9360" s="9" t="s">
        <v>2433</v>
      </c>
      <c r="E9360" s="11" t="s">
        <v>28</v>
      </c>
      <c r="F9360" s="10" t="s">
        <v>28</v>
      </c>
      <c r="G9360" s="10" t="s">
        <v>28</v>
      </c>
      <c r="H9360" s="10" t="s">
        <v>28</v>
      </c>
      <c r="I9360" s="11" t="s">
        <v>28</v>
      </c>
      <c r="J9360" s="11" t="s">
        <v>28</v>
      </c>
      <c r="K9360" s="11" t="s">
        <v>28</v>
      </c>
      <c r="L9360" s="11" t="s">
        <v>28</v>
      </c>
      <c r="M9360" s="11" t="s">
        <v>28</v>
      </c>
      <c r="N9360" s="8">
        <v>42379</v>
      </c>
      <c r="O9360" s="9" t="s">
        <v>52</v>
      </c>
      <c r="P9360" s="12" t="s">
        <v>5531</v>
      </c>
      <c r="Q9360" s="9" t="s">
        <v>75</v>
      </c>
      <c r="R9360" s="14" t="str">
        <f>HYPERLINK("https://my.pitchbook.com?c=100718-38T","View Company Online")</f>
        <v>View Company Online</v>
      </c>
    </row>
    <row r="9361" spans="1:18" hidden="1" x14ac:dyDescent="0.3">
      <c r="A9361" s="15" t="s">
        <v>26763</v>
      </c>
      <c r="B9361" s="15" t="s">
        <v>26764</v>
      </c>
      <c r="C9361" s="18" t="s">
        <v>28</v>
      </c>
      <c r="D9361" s="15" t="s">
        <v>26765</v>
      </c>
      <c r="E9361" s="18" t="s">
        <v>28</v>
      </c>
      <c r="F9361" s="19" t="s">
        <v>28</v>
      </c>
      <c r="G9361" s="19" t="s">
        <v>28</v>
      </c>
      <c r="H9361" s="19" t="s">
        <v>28</v>
      </c>
      <c r="I9361" s="18" t="s">
        <v>28</v>
      </c>
      <c r="J9361" s="18" t="s">
        <v>28</v>
      </c>
      <c r="K9361" s="18">
        <v>3.6</v>
      </c>
      <c r="L9361" s="18" t="s">
        <v>28</v>
      </c>
      <c r="M9361" s="18" t="s">
        <v>28</v>
      </c>
      <c r="N9361" s="17">
        <v>42377</v>
      </c>
      <c r="O9361" s="15" t="s">
        <v>30</v>
      </c>
      <c r="P9361" s="16" t="s">
        <v>26766</v>
      </c>
      <c r="Q9361" s="15" t="s">
        <v>740</v>
      </c>
      <c r="R9361" s="13" t="str">
        <f>HYPERLINK("https://my.pitchbook.com?c=64852-84T","View Company Online")</f>
        <v>View Company Online</v>
      </c>
    </row>
    <row r="9362" spans="1:18" hidden="1" x14ac:dyDescent="0.3">
      <c r="A9362" s="9" t="s">
        <v>26767</v>
      </c>
      <c r="B9362" s="9" t="s">
        <v>26768</v>
      </c>
      <c r="C9362" s="11" t="s">
        <v>28</v>
      </c>
      <c r="D9362" s="9" t="s">
        <v>26769</v>
      </c>
      <c r="E9362" s="11" t="s">
        <v>28</v>
      </c>
      <c r="F9362" s="10" t="s">
        <v>28</v>
      </c>
      <c r="G9362" s="10" t="s">
        <v>28</v>
      </c>
      <c r="H9362" s="10" t="s">
        <v>28</v>
      </c>
      <c r="I9362" s="11" t="s">
        <v>28</v>
      </c>
      <c r="J9362" s="11" t="s">
        <v>28</v>
      </c>
      <c r="K9362" s="11">
        <v>4.5</v>
      </c>
      <c r="L9362" s="11" t="s">
        <v>28</v>
      </c>
      <c r="M9362" s="11" t="s">
        <v>28</v>
      </c>
      <c r="N9362" s="8">
        <v>42377</v>
      </c>
      <c r="O9362" s="9" t="s">
        <v>30</v>
      </c>
      <c r="P9362" s="12" t="s">
        <v>26766</v>
      </c>
      <c r="Q9362" s="9" t="s">
        <v>409</v>
      </c>
      <c r="R9362" s="14" t="str">
        <f>HYPERLINK("https://my.pitchbook.com?c=64790-74T","View Company Online")</f>
        <v>View Company Online</v>
      </c>
    </row>
    <row r="9363" spans="1:18" hidden="1" x14ac:dyDescent="0.3">
      <c r="A9363" s="15" t="s">
        <v>26770</v>
      </c>
      <c r="B9363" s="15" t="s">
        <v>26771</v>
      </c>
      <c r="C9363" s="18" t="s">
        <v>28</v>
      </c>
      <c r="D9363" s="15" t="s">
        <v>26772</v>
      </c>
      <c r="E9363" s="18" t="s">
        <v>28</v>
      </c>
      <c r="F9363" s="19" t="s">
        <v>28</v>
      </c>
      <c r="G9363" s="19" t="s">
        <v>28</v>
      </c>
      <c r="H9363" s="19" t="s">
        <v>28</v>
      </c>
      <c r="I9363" s="18" t="s">
        <v>28</v>
      </c>
      <c r="J9363" s="18" t="s">
        <v>28</v>
      </c>
      <c r="K9363" s="18">
        <v>14.71</v>
      </c>
      <c r="L9363" s="18" t="s">
        <v>28</v>
      </c>
      <c r="M9363" s="18" t="s">
        <v>28</v>
      </c>
      <c r="N9363" s="17">
        <v>42377</v>
      </c>
      <c r="O9363" s="15" t="s">
        <v>30</v>
      </c>
      <c r="P9363" s="16" t="s">
        <v>26766</v>
      </c>
      <c r="Q9363" s="15" t="s">
        <v>249</v>
      </c>
      <c r="R9363" s="13" t="str">
        <f>HYPERLINK("https://my.pitchbook.com?c=64860-13T","View Company Online")</f>
        <v>View Company Online</v>
      </c>
    </row>
    <row r="9364" spans="1:18" hidden="1" x14ac:dyDescent="0.3">
      <c r="A9364" s="9" t="s">
        <v>26773</v>
      </c>
      <c r="B9364" s="9" t="s">
        <v>26774</v>
      </c>
      <c r="C9364" s="11" t="s">
        <v>28</v>
      </c>
      <c r="D9364" s="9" t="s">
        <v>26775</v>
      </c>
      <c r="E9364" s="11" t="s">
        <v>28</v>
      </c>
      <c r="F9364" s="10" t="s">
        <v>28</v>
      </c>
      <c r="G9364" s="10" t="s">
        <v>28</v>
      </c>
      <c r="H9364" s="10" t="s">
        <v>28</v>
      </c>
      <c r="I9364" s="11" t="s">
        <v>28</v>
      </c>
      <c r="J9364" s="11" t="s">
        <v>28</v>
      </c>
      <c r="K9364" s="11" t="s">
        <v>28</v>
      </c>
      <c r="L9364" s="11" t="s">
        <v>28</v>
      </c>
      <c r="M9364" s="11" t="s">
        <v>28</v>
      </c>
      <c r="N9364" s="8">
        <v>42376</v>
      </c>
      <c r="O9364" s="9" t="s">
        <v>30</v>
      </c>
      <c r="P9364" s="12" t="s">
        <v>26776</v>
      </c>
      <c r="Q9364" s="9" t="s">
        <v>136</v>
      </c>
      <c r="R9364" s="14" t="str">
        <f>HYPERLINK("https://my.pitchbook.com?c=81637-30T","View Company Online")</f>
        <v>View Company Online</v>
      </c>
    </row>
    <row r="9365" spans="1:18" hidden="1" x14ac:dyDescent="0.3">
      <c r="A9365" s="15" t="s">
        <v>26777</v>
      </c>
      <c r="B9365" s="15" t="s">
        <v>26778</v>
      </c>
      <c r="C9365" s="18" t="s">
        <v>28</v>
      </c>
      <c r="D9365" s="15" t="s">
        <v>26779</v>
      </c>
      <c r="E9365" s="18" t="s">
        <v>28</v>
      </c>
      <c r="F9365" s="19" t="s">
        <v>28</v>
      </c>
      <c r="G9365" s="19" t="s">
        <v>28</v>
      </c>
      <c r="H9365" s="19" t="s">
        <v>28</v>
      </c>
      <c r="I9365" s="18" t="s">
        <v>28</v>
      </c>
      <c r="J9365" s="18" t="s">
        <v>28</v>
      </c>
      <c r="K9365" s="18" t="s">
        <v>28</v>
      </c>
      <c r="L9365" s="18" t="s">
        <v>28</v>
      </c>
      <c r="M9365" s="18" t="s">
        <v>28</v>
      </c>
      <c r="N9365" s="17">
        <v>42376</v>
      </c>
      <c r="O9365" s="15" t="s">
        <v>30</v>
      </c>
      <c r="P9365" s="16" t="s">
        <v>26780</v>
      </c>
      <c r="Q9365" s="15" t="s">
        <v>753</v>
      </c>
      <c r="R9365" s="13" t="str">
        <f>HYPERLINK("https://my.pitchbook.com?c=67176-37T","View Company Online")</f>
        <v>View Company Online</v>
      </c>
    </row>
    <row r="9366" spans="1:18" hidden="1" x14ac:dyDescent="0.3">
      <c r="A9366" s="9" t="s">
        <v>26781</v>
      </c>
      <c r="B9366" s="9" t="s">
        <v>18992</v>
      </c>
      <c r="C9366" s="11" t="s">
        <v>28</v>
      </c>
      <c r="D9366" s="9" t="s">
        <v>18993</v>
      </c>
      <c r="E9366" s="11" t="s">
        <v>28</v>
      </c>
      <c r="F9366" s="10" t="s">
        <v>28</v>
      </c>
      <c r="G9366" s="10">
        <v>5.12</v>
      </c>
      <c r="H9366" s="10">
        <v>13.65</v>
      </c>
      <c r="I9366" s="11" t="s">
        <v>28</v>
      </c>
      <c r="J9366" s="11" t="s">
        <v>28</v>
      </c>
      <c r="K9366" s="11" t="s">
        <v>28</v>
      </c>
      <c r="L9366" s="11" t="s">
        <v>28</v>
      </c>
      <c r="M9366" s="11" t="s">
        <v>28</v>
      </c>
      <c r="N9366" s="8">
        <v>42376</v>
      </c>
      <c r="O9366" s="9" t="s">
        <v>93</v>
      </c>
      <c r="P9366" s="12" t="s">
        <v>4280</v>
      </c>
      <c r="Q9366" s="9" t="s">
        <v>669</v>
      </c>
      <c r="R9366" s="14" t="str">
        <f>HYPERLINK("https://my.pitchbook.com?c=64555-48T","View Company Online")</f>
        <v>View Company Online</v>
      </c>
    </row>
    <row r="9367" spans="1:18" hidden="1" x14ac:dyDescent="0.3">
      <c r="A9367" s="15" t="s">
        <v>26782</v>
      </c>
      <c r="B9367" s="15" t="s">
        <v>26783</v>
      </c>
      <c r="C9367" s="18" t="s">
        <v>28</v>
      </c>
      <c r="D9367" s="15" t="s">
        <v>26784</v>
      </c>
      <c r="E9367" s="18" t="s">
        <v>28</v>
      </c>
      <c r="F9367" s="19" t="s">
        <v>28</v>
      </c>
      <c r="G9367" s="19" t="s">
        <v>28</v>
      </c>
      <c r="H9367" s="19" t="s">
        <v>28</v>
      </c>
      <c r="I9367" s="18" t="s">
        <v>28</v>
      </c>
      <c r="J9367" s="18" t="s">
        <v>28</v>
      </c>
      <c r="K9367" s="18" t="s">
        <v>28</v>
      </c>
      <c r="L9367" s="18" t="s">
        <v>28</v>
      </c>
      <c r="M9367" s="18" t="s">
        <v>28</v>
      </c>
      <c r="N9367" s="17">
        <v>42375</v>
      </c>
      <c r="O9367" s="15" t="s">
        <v>30</v>
      </c>
      <c r="P9367" s="16" t="s">
        <v>26785</v>
      </c>
      <c r="Q9367" s="15" t="s">
        <v>1007</v>
      </c>
      <c r="R9367" s="13" t="str">
        <f>HYPERLINK("https://my.pitchbook.com?c=57288-43T","View Company Online")</f>
        <v>View Company Online</v>
      </c>
    </row>
    <row r="9368" spans="1:18" hidden="1" x14ac:dyDescent="0.3">
      <c r="A9368" s="9" t="s">
        <v>26786</v>
      </c>
      <c r="B9368" s="9" t="s">
        <v>26787</v>
      </c>
      <c r="C9368" s="11" t="s">
        <v>28</v>
      </c>
      <c r="D9368" s="9" t="s">
        <v>26788</v>
      </c>
      <c r="E9368" s="11" t="s">
        <v>28</v>
      </c>
      <c r="F9368" s="10" t="s">
        <v>28</v>
      </c>
      <c r="G9368" s="10" t="s">
        <v>28</v>
      </c>
      <c r="H9368" s="10" t="s">
        <v>28</v>
      </c>
      <c r="I9368" s="11" t="s">
        <v>28</v>
      </c>
      <c r="J9368" s="11" t="s">
        <v>28</v>
      </c>
      <c r="K9368" s="11">
        <v>11.15</v>
      </c>
      <c r="L9368" s="11" t="s">
        <v>28</v>
      </c>
      <c r="M9368" s="11" t="s">
        <v>28</v>
      </c>
      <c r="N9368" s="8">
        <v>42375</v>
      </c>
      <c r="O9368" s="9" t="s">
        <v>30</v>
      </c>
      <c r="P9368" s="12" t="s">
        <v>26789</v>
      </c>
      <c r="Q9368" s="9" t="s">
        <v>959</v>
      </c>
      <c r="R9368" s="14" t="str">
        <f>HYPERLINK("https://my.pitchbook.com?c=65312-56T","View Company Online")</f>
        <v>View Company Online</v>
      </c>
    </row>
    <row r="9369" spans="1:18" hidden="1" x14ac:dyDescent="0.3">
      <c r="A9369" s="15" t="s">
        <v>26790</v>
      </c>
      <c r="B9369" s="15" t="s">
        <v>5785</v>
      </c>
      <c r="C9369" s="18" t="s">
        <v>28</v>
      </c>
      <c r="D9369" s="15" t="s">
        <v>12775</v>
      </c>
      <c r="E9369" s="18" t="s">
        <v>28</v>
      </c>
      <c r="F9369" s="19" t="s">
        <v>28</v>
      </c>
      <c r="G9369" s="19">
        <v>52.34</v>
      </c>
      <c r="H9369" s="19">
        <v>500.34</v>
      </c>
      <c r="I9369" s="18" t="s">
        <v>28</v>
      </c>
      <c r="J9369" s="18" t="s">
        <v>28</v>
      </c>
      <c r="K9369" s="18" t="s">
        <v>28</v>
      </c>
      <c r="L9369" s="18" t="s">
        <v>28</v>
      </c>
      <c r="M9369" s="18" t="s">
        <v>28</v>
      </c>
      <c r="N9369" s="17">
        <v>42375</v>
      </c>
      <c r="O9369" s="15" t="s">
        <v>79</v>
      </c>
      <c r="P9369" s="16" t="s">
        <v>26791</v>
      </c>
      <c r="Q9369" s="15" t="s">
        <v>1213</v>
      </c>
      <c r="R9369" s="13" t="str">
        <f>HYPERLINK("https://my.pitchbook.com?c=64291-15T","View Company Online")</f>
        <v>View Company Online</v>
      </c>
    </row>
    <row r="9370" spans="1:18" hidden="1" x14ac:dyDescent="0.3">
      <c r="A9370" s="9" t="s">
        <v>26792</v>
      </c>
      <c r="B9370" s="9" t="s">
        <v>26793</v>
      </c>
      <c r="C9370" s="11" t="s">
        <v>28</v>
      </c>
      <c r="D9370" s="9" t="s">
        <v>26794</v>
      </c>
      <c r="E9370" s="11" t="s">
        <v>28</v>
      </c>
      <c r="F9370" s="10" t="s">
        <v>28</v>
      </c>
      <c r="G9370" s="10" t="s">
        <v>28</v>
      </c>
      <c r="H9370" s="10" t="s">
        <v>28</v>
      </c>
      <c r="I9370" s="11" t="s">
        <v>28</v>
      </c>
      <c r="J9370" s="11" t="s">
        <v>28</v>
      </c>
      <c r="K9370" s="11" t="s">
        <v>28</v>
      </c>
      <c r="L9370" s="11" t="s">
        <v>28</v>
      </c>
      <c r="M9370" s="11" t="s">
        <v>28</v>
      </c>
      <c r="N9370" s="8">
        <v>42374</v>
      </c>
      <c r="O9370" s="9" t="s">
        <v>30</v>
      </c>
      <c r="P9370" s="12" t="s">
        <v>11786</v>
      </c>
      <c r="Q9370" s="9" t="s">
        <v>331</v>
      </c>
      <c r="R9370" s="14" t="str">
        <f>HYPERLINK("https://my.pitchbook.com?c=64114-30T","View Company Online")</f>
        <v>View Company Online</v>
      </c>
    </row>
    <row r="9371" spans="1:18" hidden="1" x14ac:dyDescent="0.3">
      <c r="A9371" s="15" t="s">
        <v>26795</v>
      </c>
      <c r="B9371" s="15" t="s">
        <v>26796</v>
      </c>
      <c r="C9371" s="18" t="s">
        <v>28</v>
      </c>
      <c r="D9371" s="15" t="s">
        <v>26797</v>
      </c>
      <c r="E9371" s="18" t="s">
        <v>28</v>
      </c>
      <c r="F9371" s="19">
        <v>11.61</v>
      </c>
      <c r="G9371" s="19">
        <v>11.61</v>
      </c>
      <c r="H9371" s="19">
        <v>11.61</v>
      </c>
      <c r="I9371" s="18" t="s">
        <v>28</v>
      </c>
      <c r="J9371" s="18" t="s">
        <v>28</v>
      </c>
      <c r="K9371" s="18" t="s">
        <v>28</v>
      </c>
      <c r="L9371" s="18" t="s">
        <v>28</v>
      </c>
      <c r="M9371" s="18" t="s">
        <v>28</v>
      </c>
      <c r="N9371" s="17">
        <v>42374</v>
      </c>
      <c r="O9371" s="15" t="s">
        <v>30</v>
      </c>
      <c r="P9371" s="16" t="s">
        <v>26798</v>
      </c>
      <c r="Q9371" s="15" t="s">
        <v>1068</v>
      </c>
      <c r="R9371" s="13" t="str">
        <f>HYPERLINK("https://my.pitchbook.com?c=64498-33T","View Company Online")</f>
        <v>View Company Online</v>
      </c>
    </row>
    <row r="9372" spans="1:18" hidden="1" x14ac:dyDescent="0.3">
      <c r="A9372" s="9" t="s">
        <v>26799</v>
      </c>
      <c r="B9372" s="9" t="s">
        <v>26800</v>
      </c>
      <c r="C9372" s="11" t="s">
        <v>28</v>
      </c>
      <c r="D9372" s="9" t="s">
        <v>26801</v>
      </c>
      <c r="E9372" s="11" t="s">
        <v>28</v>
      </c>
      <c r="F9372" s="10" t="s">
        <v>28</v>
      </c>
      <c r="G9372" s="10" t="s">
        <v>28</v>
      </c>
      <c r="H9372" s="10" t="s">
        <v>28</v>
      </c>
      <c r="I9372" s="11" t="s">
        <v>28</v>
      </c>
      <c r="J9372" s="11" t="s">
        <v>28</v>
      </c>
      <c r="K9372" s="11" t="s">
        <v>28</v>
      </c>
      <c r="L9372" s="11" t="s">
        <v>28</v>
      </c>
      <c r="M9372" s="11" t="s">
        <v>28</v>
      </c>
      <c r="N9372" s="8">
        <v>42373</v>
      </c>
      <c r="O9372" s="9" t="s">
        <v>30</v>
      </c>
      <c r="P9372" s="12" t="s">
        <v>26802</v>
      </c>
      <c r="Q9372" s="9" t="s">
        <v>19850</v>
      </c>
      <c r="R9372" s="14" t="str">
        <f>HYPERLINK("https://my.pitchbook.com?c=64793-62T","View Company Online")</f>
        <v>View Company Online</v>
      </c>
    </row>
    <row r="9373" spans="1:18" hidden="1" x14ac:dyDescent="0.3">
      <c r="A9373" s="15" t="s">
        <v>26803</v>
      </c>
      <c r="B9373" s="15" t="s">
        <v>26804</v>
      </c>
      <c r="C9373" s="18" t="s">
        <v>28</v>
      </c>
      <c r="D9373" s="15" t="s">
        <v>26805</v>
      </c>
      <c r="E9373" s="18" t="s">
        <v>28</v>
      </c>
      <c r="F9373" s="19" t="s">
        <v>28</v>
      </c>
      <c r="G9373" s="19" t="s">
        <v>28</v>
      </c>
      <c r="H9373" s="19" t="s">
        <v>28</v>
      </c>
      <c r="I9373" s="18" t="s">
        <v>28</v>
      </c>
      <c r="J9373" s="18" t="s">
        <v>28</v>
      </c>
      <c r="K9373" s="18" t="s">
        <v>28</v>
      </c>
      <c r="L9373" s="18" t="s">
        <v>28</v>
      </c>
      <c r="M9373" s="18" t="s">
        <v>28</v>
      </c>
      <c r="N9373" s="17">
        <v>42373</v>
      </c>
      <c r="O9373" s="15" t="s">
        <v>30</v>
      </c>
      <c r="P9373" s="16" t="s">
        <v>26806</v>
      </c>
      <c r="Q9373" s="15" t="s">
        <v>2939</v>
      </c>
      <c r="R9373" s="13" t="str">
        <f>HYPERLINK("https://my.pitchbook.com?c=63961-21T","View Company Online")</f>
        <v>View Company Online</v>
      </c>
    </row>
    <row r="9374" spans="1:18" hidden="1" x14ac:dyDescent="0.3">
      <c r="A9374" s="9" t="s">
        <v>26807</v>
      </c>
      <c r="B9374" s="9" t="s">
        <v>26808</v>
      </c>
      <c r="C9374" s="11" t="s">
        <v>28</v>
      </c>
      <c r="D9374" s="9" t="s">
        <v>26809</v>
      </c>
      <c r="E9374" s="11" t="s">
        <v>28</v>
      </c>
      <c r="F9374" s="10" t="s">
        <v>28</v>
      </c>
      <c r="G9374" s="10" t="s">
        <v>28</v>
      </c>
      <c r="H9374" s="10" t="s">
        <v>28</v>
      </c>
      <c r="I9374" s="11" t="s">
        <v>28</v>
      </c>
      <c r="J9374" s="11" t="s">
        <v>28</v>
      </c>
      <c r="K9374" s="11" t="s">
        <v>28</v>
      </c>
      <c r="L9374" s="11" t="s">
        <v>28</v>
      </c>
      <c r="M9374" s="11" t="s">
        <v>28</v>
      </c>
      <c r="N9374" s="8">
        <v>42373</v>
      </c>
      <c r="O9374" s="9" t="s">
        <v>30</v>
      </c>
      <c r="P9374" s="12" t="s">
        <v>26806</v>
      </c>
      <c r="Q9374" s="9" t="s">
        <v>2939</v>
      </c>
      <c r="R9374" s="14" t="str">
        <f>HYPERLINK("https://my.pitchbook.com?c=63962-92T","View Company Online")</f>
        <v>View Company Online</v>
      </c>
    </row>
    <row r="9375" spans="1:18" hidden="1" x14ac:dyDescent="0.3">
      <c r="A9375" s="15" t="s">
        <v>26810</v>
      </c>
      <c r="B9375" s="15" t="s">
        <v>26811</v>
      </c>
      <c r="C9375" s="18" t="s">
        <v>28</v>
      </c>
      <c r="D9375" s="15" t="s">
        <v>26812</v>
      </c>
      <c r="E9375" s="18" t="s">
        <v>28</v>
      </c>
      <c r="F9375" s="19" t="s">
        <v>28</v>
      </c>
      <c r="G9375" s="19" t="s">
        <v>28</v>
      </c>
      <c r="H9375" s="19" t="s">
        <v>28</v>
      </c>
      <c r="I9375" s="18" t="s">
        <v>28</v>
      </c>
      <c r="J9375" s="18" t="s">
        <v>28</v>
      </c>
      <c r="K9375" s="18">
        <v>1.5</v>
      </c>
      <c r="L9375" s="18" t="s">
        <v>28</v>
      </c>
      <c r="M9375" s="18" t="s">
        <v>28</v>
      </c>
      <c r="N9375" s="17">
        <v>42370</v>
      </c>
      <c r="O9375" s="15" t="s">
        <v>30</v>
      </c>
      <c r="P9375" s="16" t="s">
        <v>26813</v>
      </c>
      <c r="Q9375" s="15" t="s">
        <v>85</v>
      </c>
      <c r="R9375" s="13" t="str">
        <f>HYPERLINK("https://my.pitchbook.com?c=106629-31T","View Company Online")</f>
        <v>View Company Online</v>
      </c>
    </row>
    <row r="9376" spans="1:18" hidden="1" x14ac:dyDescent="0.3">
      <c r="A9376" s="9" t="s">
        <v>26814</v>
      </c>
      <c r="B9376" s="9" t="s">
        <v>13922</v>
      </c>
      <c r="C9376" s="11" t="s">
        <v>28</v>
      </c>
      <c r="D9376" s="9" t="s">
        <v>13923</v>
      </c>
      <c r="E9376" s="11" t="s">
        <v>28</v>
      </c>
      <c r="F9376" s="10" t="s">
        <v>28</v>
      </c>
      <c r="G9376" s="10">
        <v>0.04</v>
      </c>
      <c r="H9376" s="10" t="s">
        <v>28</v>
      </c>
      <c r="I9376" s="11" t="s">
        <v>28</v>
      </c>
      <c r="J9376" s="11" t="s">
        <v>28</v>
      </c>
      <c r="K9376" s="11" t="s">
        <v>28</v>
      </c>
      <c r="L9376" s="11" t="s">
        <v>28</v>
      </c>
      <c r="M9376" s="11" t="s">
        <v>28</v>
      </c>
      <c r="N9376" s="8">
        <v>42370</v>
      </c>
      <c r="O9376" s="9" t="s">
        <v>52</v>
      </c>
      <c r="P9376" s="12" t="s">
        <v>8261</v>
      </c>
      <c r="Q9376" s="9" t="s">
        <v>75</v>
      </c>
      <c r="R9376" s="14" t="str">
        <f>HYPERLINK("https://my.pitchbook.com?c=94432-24T","View Company Online")</f>
        <v>View Company Online</v>
      </c>
    </row>
    <row r="9377" spans="1:18" hidden="1" x14ac:dyDescent="0.3">
      <c r="A9377" s="15" t="s">
        <v>26815</v>
      </c>
      <c r="B9377" s="15" t="s">
        <v>19687</v>
      </c>
      <c r="C9377" s="18" t="s">
        <v>28</v>
      </c>
      <c r="D9377" s="15" t="s">
        <v>19688</v>
      </c>
      <c r="E9377" s="18" t="s">
        <v>28</v>
      </c>
      <c r="F9377" s="19" t="s">
        <v>28</v>
      </c>
      <c r="G9377" s="19" t="s">
        <v>28</v>
      </c>
      <c r="H9377" s="19" t="s">
        <v>28</v>
      </c>
      <c r="I9377" s="18" t="s">
        <v>28</v>
      </c>
      <c r="J9377" s="18" t="s">
        <v>28</v>
      </c>
      <c r="K9377" s="18" t="s">
        <v>28</v>
      </c>
      <c r="L9377" s="18" t="s">
        <v>28</v>
      </c>
      <c r="M9377" s="18" t="s">
        <v>28</v>
      </c>
      <c r="N9377" s="17">
        <v>42370</v>
      </c>
      <c r="O9377" s="15" t="s">
        <v>52</v>
      </c>
      <c r="P9377" s="16" t="s">
        <v>6543</v>
      </c>
      <c r="Q9377" s="15" t="s">
        <v>75</v>
      </c>
      <c r="R9377" s="13" t="str">
        <f>HYPERLINK("https://my.pitchbook.com?c=130848-04T","View Company Online")</f>
        <v>View Company Online</v>
      </c>
    </row>
    <row r="9378" spans="1:18" hidden="1" x14ac:dyDescent="0.3">
      <c r="A9378" s="9" t="s">
        <v>26816</v>
      </c>
      <c r="B9378" s="9" t="s">
        <v>21010</v>
      </c>
      <c r="C9378" s="11" t="s">
        <v>28</v>
      </c>
      <c r="D9378" s="9" t="s">
        <v>21011</v>
      </c>
      <c r="E9378" s="11" t="s">
        <v>28</v>
      </c>
      <c r="F9378" s="10" t="s">
        <v>28</v>
      </c>
      <c r="G9378" s="10" t="s">
        <v>28</v>
      </c>
      <c r="H9378" s="10" t="s">
        <v>28</v>
      </c>
      <c r="I9378" s="11" t="s">
        <v>28</v>
      </c>
      <c r="J9378" s="11" t="s">
        <v>28</v>
      </c>
      <c r="K9378" s="11" t="s">
        <v>28</v>
      </c>
      <c r="L9378" s="11" t="s">
        <v>28</v>
      </c>
      <c r="M9378" s="11" t="s">
        <v>28</v>
      </c>
      <c r="N9378" s="8">
        <v>42370</v>
      </c>
      <c r="O9378" s="9" t="s">
        <v>73</v>
      </c>
      <c r="P9378" s="12" t="s">
        <v>26817</v>
      </c>
      <c r="Q9378" s="9" t="s">
        <v>54</v>
      </c>
      <c r="R9378" s="14" t="str">
        <f>HYPERLINK("https://my.pitchbook.com?c=121405-87T","View Company Online")</f>
        <v>View Company Online</v>
      </c>
    </row>
    <row r="9379" spans="1:18" hidden="1" x14ac:dyDescent="0.3">
      <c r="A9379" s="15" t="s">
        <v>26818</v>
      </c>
      <c r="B9379" s="15" t="s">
        <v>9740</v>
      </c>
      <c r="C9379" s="18" t="s">
        <v>28</v>
      </c>
      <c r="D9379" s="15" t="s">
        <v>9741</v>
      </c>
      <c r="E9379" s="18" t="s">
        <v>28</v>
      </c>
      <c r="F9379" s="19" t="s">
        <v>28</v>
      </c>
      <c r="G9379" s="19" t="s">
        <v>28</v>
      </c>
      <c r="H9379" s="19" t="s">
        <v>28</v>
      </c>
      <c r="I9379" s="18" t="s">
        <v>28</v>
      </c>
      <c r="J9379" s="18" t="s">
        <v>28</v>
      </c>
      <c r="K9379" s="18" t="s">
        <v>28</v>
      </c>
      <c r="L9379" s="18" t="s">
        <v>28</v>
      </c>
      <c r="M9379" s="18" t="s">
        <v>28</v>
      </c>
      <c r="N9379" s="17">
        <v>42370</v>
      </c>
      <c r="O9379" s="15" t="s">
        <v>52</v>
      </c>
      <c r="P9379" s="16" t="s">
        <v>1970</v>
      </c>
      <c r="Q9379" s="15" t="s">
        <v>75</v>
      </c>
      <c r="R9379" s="13" t="str">
        <f>HYPERLINK("https://my.pitchbook.com?c=94346-02T","View Company Online")</f>
        <v>View Company Online</v>
      </c>
    </row>
    <row r="9380" spans="1:18" hidden="1" x14ac:dyDescent="0.3">
      <c r="A9380" s="9" t="s">
        <v>26819</v>
      </c>
      <c r="B9380" s="9" t="s">
        <v>9846</v>
      </c>
      <c r="C9380" s="11" t="s">
        <v>28</v>
      </c>
      <c r="D9380" s="9" t="s">
        <v>9847</v>
      </c>
      <c r="E9380" s="11" t="s">
        <v>28</v>
      </c>
      <c r="F9380" s="10" t="s">
        <v>28</v>
      </c>
      <c r="G9380" s="10" t="s">
        <v>28</v>
      </c>
      <c r="H9380" s="10" t="s">
        <v>28</v>
      </c>
      <c r="I9380" s="11" t="s">
        <v>28</v>
      </c>
      <c r="J9380" s="11" t="s">
        <v>28</v>
      </c>
      <c r="K9380" s="11" t="s">
        <v>28</v>
      </c>
      <c r="L9380" s="11" t="s">
        <v>28</v>
      </c>
      <c r="M9380" s="11" t="s">
        <v>28</v>
      </c>
      <c r="N9380" s="8">
        <v>42370</v>
      </c>
      <c r="O9380" s="9" t="s">
        <v>52</v>
      </c>
      <c r="P9380" s="12" t="s">
        <v>798</v>
      </c>
      <c r="Q9380" s="9" t="s">
        <v>75</v>
      </c>
      <c r="R9380" s="14" t="str">
        <f>HYPERLINK("https://my.pitchbook.com?c=297861-76T","View Company Online")</f>
        <v>View Company Online</v>
      </c>
    </row>
    <row r="9381" spans="1:18" hidden="1" x14ac:dyDescent="0.3">
      <c r="A9381" s="15" t="s">
        <v>26820</v>
      </c>
      <c r="B9381" s="15" t="s">
        <v>25088</v>
      </c>
      <c r="C9381" s="18" t="s">
        <v>28</v>
      </c>
      <c r="D9381" s="15" t="s">
        <v>25089</v>
      </c>
      <c r="E9381" s="18" t="s">
        <v>28</v>
      </c>
      <c r="F9381" s="19" t="s">
        <v>28</v>
      </c>
      <c r="G9381" s="19">
        <v>0.01</v>
      </c>
      <c r="H9381" s="19">
        <v>0.11</v>
      </c>
      <c r="I9381" s="18" t="s">
        <v>28</v>
      </c>
      <c r="J9381" s="18" t="s">
        <v>28</v>
      </c>
      <c r="K9381" s="18" t="s">
        <v>28</v>
      </c>
      <c r="L9381" s="18" t="s">
        <v>28</v>
      </c>
      <c r="M9381" s="18" t="s">
        <v>28</v>
      </c>
      <c r="N9381" s="17">
        <v>42370</v>
      </c>
      <c r="O9381" s="15" t="s">
        <v>52</v>
      </c>
      <c r="P9381" s="16" t="s">
        <v>26821</v>
      </c>
      <c r="Q9381" s="15" t="s">
        <v>75</v>
      </c>
      <c r="R9381" s="13" t="str">
        <f>HYPERLINK("https://my.pitchbook.com?c=85536-91T","View Company Online")</f>
        <v>View Company Online</v>
      </c>
    </row>
    <row r="9382" spans="1:18" hidden="1" x14ac:dyDescent="0.3">
      <c r="A9382" s="9" t="s">
        <v>26822</v>
      </c>
      <c r="B9382" s="9" t="s">
        <v>20848</v>
      </c>
      <c r="C9382" s="11" t="s">
        <v>28</v>
      </c>
      <c r="D9382" s="9" t="s">
        <v>20849</v>
      </c>
      <c r="E9382" s="11" t="s">
        <v>28</v>
      </c>
      <c r="F9382" s="10" t="s">
        <v>28</v>
      </c>
      <c r="G9382" s="10">
        <v>0.05</v>
      </c>
      <c r="H9382" s="10" t="s">
        <v>28</v>
      </c>
      <c r="I9382" s="11" t="s">
        <v>28</v>
      </c>
      <c r="J9382" s="11" t="s">
        <v>28</v>
      </c>
      <c r="K9382" s="11" t="s">
        <v>28</v>
      </c>
      <c r="L9382" s="11" t="s">
        <v>28</v>
      </c>
      <c r="M9382" s="11" t="s">
        <v>28</v>
      </c>
      <c r="N9382" s="8">
        <v>42370</v>
      </c>
      <c r="O9382" s="9" t="s">
        <v>52</v>
      </c>
      <c r="P9382" s="12" t="s">
        <v>26823</v>
      </c>
      <c r="Q9382" s="9" t="s">
        <v>75</v>
      </c>
      <c r="R9382" s="14" t="str">
        <f>HYPERLINK("https://my.pitchbook.com?c=93108-61T","View Company Online")</f>
        <v>View Company Online</v>
      </c>
    </row>
    <row r="9383" spans="1:18" hidden="1" x14ac:dyDescent="0.3">
      <c r="A9383" s="15" t="s">
        <v>26824</v>
      </c>
      <c r="B9383" s="15" t="s">
        <v>26825</v>
      </c>
      <c r="C9383" s="18" t="s">
        <v>28</v>
      </c>
      <c r="D9383" s="15" t="s">
        <v>26826</v>
      </c>
      <c r="E9383" s="18" t="s">
        <v>28</v>
      </c>
      <c r="F9383" s="19" t="s">
        <v>28</v>
      </c>
      <c r="G9383" s="19" t="s">
        <v>28</v>
      </c>
      <c r="H9383" s="19" t="s">
        <v>28</v>
      </c>
      <c r="I9383" s="18" t="s">
        <v>28</v>
      </c>
      <c r="J9383" s="18" t="s">
        <v>28</v>
      </c>
      <c r="K9383" s="18" t="s">
        <v>28</v>
      </c>
      <c r="L9383" s="18" t="s">
        <v>28</v>
      </c>
      <c r="M9383" s="18" t="s">
        <v>28</v>
      </c>
      <c r="N9383" s="17">
        <v>42370</v>
      </c>
      <c r="O9383" s="15" t="s">
        <v>73</v>
      </c>
      <c r="P9383" s="16" t="s">
        <v>16852</v>
      </c>
      <c r="Q9383" s="15" t="s">
        <v>740</v>
      </c>
      <c r="R9383" s="13" t="str">
        <f>HYPERLINK("https://my.pitchbook.com?c=216084-16T","View Company Online")</f>
        <v>View Company Online</v>
      </c>
    </row>
    <row r="9384" spans="1:18" hidden="1" x14ac:dyDescent="0.3">
      <c r="A9384" s="9" t="s">
        <v>26827</v>
      </c>
      <c r="B9384" s="9" t="s">
        <v>2205</v>
      </c>
      <c r="C9384" s="11" t="s">
        <v>28</v>
      </c>
      <c r="D9384" s="9" t="s">
        <v>2206</v>
      </c>
      <c r="E9384" s="11" t="s">
        <v>28</v>
      </c>
      <c r="F9384" s="10" t="s">
        <v>28</v>
      </c>
      <c r="G9384" s="10" t="s">
        <v>28</v>
      </c>
      <c r="H9384" s="10" t="s">
        <v>28</v>
      </c>
      <c r="I9384" s="11" t="s">
        <v>28</v>
      </c>
      <c r="J9384" s="11" t="s">
        <v>28</v>
      </c>
      <c r="K9384" s="11" t="s">
        <v>28</v>
      </c>
      <c r="L9384" s="11" t="s">
        <v>28</v>
      </c>
      <c r="M9384" s="11" t="s">
        <v>28</v>
      </c>
      <c r="N9384" s="8">
        <v>42370</v>
      </c>
      <c r="O9384" s="9" t="s">
        <v>52</v>
      </c>
      <c r="P9384" s="12" t="s">
        <v>26828</v>
      </c>
      <c r="Q9384" s="9" t="s">
        <v>75</v>
      </c>
      <c r="R9384" s="14" t="str">
        <f>HYPERLINK("https://my.pitchbook.com?c=90801-19T","View Company Online")</f>
        <v>View Company Online</v>
      </c>
    </row>
    <row r="9385" spans="1:18" hidden="1" x14ac:dyDescent="0.3">
      <c r="A9385" s="15" t="s">
        <v>26829</v>
      </c>
      <c r="B9385" s="15" t="s">
        <v>5770</v>
      </c>
      <c r="C9385" s="18" t="s">
        <v>28</v>
      </c>
      <c r="D9385" s="15" t="s">
        <v>5771</v>
      </c>
      <c r="E9385" s="18" t="s">
        <v>28</v>
      </c>
      <c r="F9385" s="19" t="s">
        <v>28</v>
      </c>
      <c r="G9385" s="19" t="s">
        <v>28</v>
      </c>
      <c r="H9385" s="19" t="s">
        <v>28</v>
      </c>
      <c r="I9385" s="18" t="s">
        <v>28</v>
      </c>
      <c r="J9385" s="18" t="s">
        <v>28</v>
      </c>
      <c r="K9385" s="18" t="s">
        <v>28</v>
      </c>
      <c r="L9385" s="18" t="s">
        <v>28</v>
      </c>
      <c r="M9385" s="18" t="s">
        <v>28</v>
      </c>
      <c r="N9385" s="17">
        <v>42370</v>
      </c>
      <c r="O9385" s="15" t="s">
        <v>99</v>
      </c>
      <c r="P9385" s="16" t="s">
        <v>26830</v>
      </c>
      <c r="Q9385" s="15" t="s">
        <v>1336</v>
      </c>
      <c r="R9385" s="13" t="str">
        <f>HYPERLINK("https://my.pitchbook.com?c=112809-43T","View Company Online")</f>
        <v>View Company Online</v>
      </c>
    </row>
    <row r="9386" spans="1:18" hidden="1" x14ac:dyDescent="0.3">
      <c r="A9386" s="9" t="s">
        <v>26831</v>
      </c>
      <c r="B9386" s="9" t="s">
        <v>26832</v>
      </c>
      <c r="C9386" s="11" t="s">
        <v>28</v>
      </c>
      <c r="D9386" s="9" t="s">
        <v>26833</v>
      </c>
      <c r="E9386" s="11" t="s">
        <v>28</v>
      </c>
      <c r="F9386" s="10">
        <v>5.18</v>
      </c>
      <c r="G9386" s="10">
        <v>5.18</v>
      </c>
      <c r="H9386" s="10">
        <v>5.18</v>
      </c>
      <c r="I9386" s="11" t="s">
        <v>28</v>
      </c>
      <c r="J9386" s="11" t="s">
        <v>28</v>
      </c>
      <c r="K9386" s="11" t="s">
        <v>28</v>
      </c>
      <c r="L9386" s="11" t="s">
        <v>28</v>
      </c>
      <c r="M9386" s="11" t="s">
        <v>28</v>
      </c>
      <c r="N9386" s="8">
        <v>42370</v>
      </c>
      <c r="O9386" s="9" t="s">
        <v>41</v>
      </c>
      <c r="P9386" s="12" t="s">
        <v>26834</v>
      </c>
      <c r="Q9386" s="9" t="s">
        <v>414</v>
      </c>
      <c r="R9386" s="14" t="str">
        <f>HYPERLINK("https://my.pitchbook.com?c=123601-33T","View Company Online")</f>
        <v>View Company Online</v>
      </c>
    </row>
    <row r="9387" spans="1:18" hidden="1" x14ac:dyDescent="0.3">
      <c r="A9387" s="15" t="s">
        <v>26835</v>
      </c>
      <c r="B9387" s="15" t="s">
        <v>17407</v>
      </c>
      <c r="C9387" s="18" t="s">
        <v>28</v>
      </c>
      <c r="D9387" s="15" t="s">
        <v>17408</v>
      </c>
      <c r="E9387" s="18" t="s">
        <v>28</v>
      </c>
      <c r="F9387" s="19" t="s">
        <v>28</v>
      </c>
      <c r="G9387" s="19" t="s">
        <v>28</v>
      </c>
      <c r="H9387" s="19" t="s">
        <v>28</v>
      </c>
      <c r="I9387" s="18" t="s">
        <v>28</v>
      </c>
      <c r="J9387" s="18" t="s">
        <v>28</v>
      </c>
      <c r="K9387" s="18" t="s">
        <v>28</v>
      </c>
      <c r="L9387" s="18" t="s">
        <v>28</v>
      </c>
      <c r="M9387" s="18" t="s">
        <v>28</v>
      </c>
      <c r="N9387" s="17">
        <v>42370</v>
      </c>
      <c r="O9387" s="15" t="s">
        <v>30</v>
      </c>
      <c r="P9387" s="16" t="s">
        <v>28</v>
      </c>
      <c r="Q9387" s="15" t="s">
        <v>75</v>
      </c>
      <c r="R9387" s="13" t="str">
        <f>HYPERLINK("https://my.pitchbook.com?c=219015-10T","View Company Online")</f>
        <v>View Company Online</v>
      </c>
    </row>
    <row r="9388" spans="1:18" hidden="1" x14ac:dyDescent="0.3">
      <c r="A9388" s="9" t="s">
        <v>26836</v>
      </c>
      <c r="B9388" s="9" t="s">
        <v>26837</v>
      </c>
      <c r="C9388" s="11" t="s">
        <v>28</v>
      </c>
      <c r="D9388" s="9" t="s">
        <v>26838</v>
      </c>
      <c r="E9388" s="11" t="s">
        <v>28</v>
      </c>
      <c r="F9388" s="10" t="s">
        <v>28</v>
      </c>
      <c r="G9388" s="10" t="s">
        <v>28</v>
      </c>
      <c r="H9388" s="10" t="s">
        <v>28</v>
      </c>
      <c r="I9388" s="11" t="s">
        <v>28</v>
      </c>
      <c r="J9388" s="11" t="s">
        <v>28</v>
      </c>
      <c r="K9388" s="11" t="s">
        <v>28</v>
      </c>
      <c r="L9388" s="11" t="s">
        <v>28</v>
      </c>
      <c r="M9388" s="11" t="s">
        <v>28</v>
      </c>
      <c r="N9388" s="8">
        <v>42370</v>
      </c>
      <c r="O9388" s="9" t="s">
        <v>30</v>
      </c>
      <c r="P9388" s="12" t="s">
        <v>26839</v>
      </c>
      <c r="Q9388" s="9" t="s">
        <v>1853</v>
      </c>
      <c r="R9388" s="14" t="str">
        <f>HYPERLINK("https://my.pitchbook.com?c=211769-02T","View Company Online")</f>
        <v>View Company Online</v>
      </c>
    </row>
    <row r="9389" spans="1:18" hidden="1" x14ac:dyDescent="0.3">
      <c r="A9389" s="15" t="s">
        <v>26840</v>
      </c>
      <c r="B9389" s="15" t="s">
        <v>26841</v>
      </c>
      <c r="C9389" s="18" t="s">
        <v>28</v>
      </c>
      <c r="D9389" s="15" t="s">
        <v>26842</v>
      </c>
      <c r="E9389" s="18" t="s">
        <v>28</v>
      </c>
      <c r="F9389" s="19">
        <v>7.0000000000000007E-2</v>
      </c>
      <c r="G9389" s="19">
        <v>7.0000000000000007E-2</v>
      </c>
      <c r="H9389" s="19">
        <v>7.0000000000000007E-2</v>
      </c>
      <c r="I9389" s="18" t="s">
        <v>28</v>
      </c>
      <c r="J9389" s="18" t="s">
        <v>28</v>
      </c>
      <c r="K9389" s="18" t="s">
        <v>28</v>
      </c>
      <c r="L9389" s="18" t="s">
        <v>28</v>
      </c>
      <c r="M9389" s="18" t="s">
        <v>28</v>
      </c>
      <c r="N9389" s="17">
        <v>42370</v>
      </c>
      <c r="O9389" s="15" t="s">
        <v>30</v>
      </c>
      <c r="P9389" s="16" t="s">
        <v>19712</v>
      </c>
      <c r="Q9389" s="15" t="s">
        <v>18018</v>
      </c>
      <c r="R9389" s="13" t="str">
        <f>HYPERLINK("https://my.pitchbook.com?c=100187-92T","View Company Online")</f>
        <v>View Company Online</v>
      </c>
    </row>
    <row r="9390" spans="1:18" hidden="1" x14ac:dyDescent="0.3">
      <c r="A9390" s="9" t="s">
        <v>26843</v>
      </c>
      <c r="B9390" s="9" t="s">
        <v>7120</v>
      </c>
      <c r="C9390" s="11" t="s">
        <v>28</v>
      </c>
      <c r="D9390" s="9" t="s">
        <v>7121</v>
      </c>
      <c r="E9390" s="11" t="s">
        <v>28</v>
      </c>
      <c r="F9390" s="10" t="s">
        <v>28</v>
      </c>
      <c r="G9390" s="10">
        <v>0.05</v>
      </c>
      <c r="H9390" s="10" t="s">
        <v>28</v>
      </c>
      <c r="I9390" s="11" t="s">
        <v>28</v>
      </c>
      <c r="J9390" s="11" t="s">
        <v>28</v>
      </c>
      <c r="K9390" s="11" t="s">
        <v>28</v>
      </c>
      <c r="L9390" s="11" t="s">
        <v>28</v>
      </c>
      <c r="M9390" s="11" t="s">
        <v>28</v>
      </c>
      <c r="N9390" s="8">
        <v>42370</v>
      </c>
      <c r="O9390" s="9" t="s">
        <v>99</v>
      </c>
      <c r="P9390" s="12" t="s">
        <v>26844</v>
      </c>
      <c r="Q9390" s="9" t="s">
        <v>85</v>
      </c>
      <c r="R9390" s="14" t="str">
        <f>HYPERLINK("https://my.pitchbook.com?c=214516-63T","View Company Online")</f>
        <v>View Company Online</v>
      </c>
    </row>
    <row r="9391" spans="1:18" hidden="1" x14ac:dyDescent="0.3">
      <c r="A9391" s="15" t="s">
        <v>26845</v>
      </c>
      <c r="B9391" s="15" t="s">
        <v>7120</v>
      </c>
      <c r="C9391" s="18" t="s">
        <v>28</v>
      </c>
      <c r="D9391" s="15" t="s">
        <v>7121</v>
      </c>
      <c r="E9391" s="18" t="s">
        <v>28</v>
      </c>
      <c r="F9391" s="19" t="s">
        <v>28</v>
      </c>
      <c r="G9391" s="19" t="s">
        <v>28</v>
      </c>
      <c r="H9391" s="19" t="s">
        <v>28</v>
      </c>
      <c r="I9391" s="18" t="s">
        <v>28</v>
      </c>
      <c r="J9391" s="18" t="s">
        <v>28</v>
      </c>
      <c r="K9391" s="18" t="s">
        <v>28</v>
      </c>
      <c r="L9391" s="18" t="s">
        <v>28</v>
      </c>
      <c r="M9391" s="18" t="s">
        <v>28</v>
      </c>
      <c r="N9391" s="17">
        <v>42370</v>
      </c>
      <c r="O9391" s="15" t="s">
        <v>52</v>
      </c>
      <c r="P9391" s="16" t="s">
        <v>2442</v>
      </c>
      <c r="Q9391" s="15" t="s">
        <v>85</v>
      </c>
      <c r="R9391" s="13" t="str">
        <f>HYPERLINK("https://my.pitchbook.com?c=262015-48T","View Company Online")</f>
        <v>View Company Online</v>
      </c>
    </row>
    <row r="9392" spans="1:18" hidden="1" x14ac:dyDescent="0.3">
      <c r="A9392" s="9" t="s">
        <v>26846</v>
      </c>
      <c r="B9392" s="9" t="s">
        <v>18789</v>
      </c>
      <c r="C9392" s="11" t="s">
        <v>28</v>
      </c>
      <c r="D9392" s="9" t="s">
        <v>18790</v>
      </c>
      <c r="E9392" s="11" t="s">
        <v>28</v>
      </c>
      <c r="F9392" s="10" t="s">
        <v>28</v>
      </c>
      <c r="G9392" s="10" t="s">
        <v>28</v>
      </c>
      <c r="H9392" s="10" t="s">
        <v>28</v>
      </c>
      <c r="I9392" s="11" t="s">
        <v>28</v>
      </c>
      <c r="J9392" s="11" t="s">
        <v>28</v>
      </c>
      <c r="K9392" s="11" t="s">
        <v>28</v>
      </c>
      <c r="L9392" s="11" t="s">
        <v>28</v>
      </c>
      <c r="M9392" s="11" t="s">
        <v>28</v>
      </c>
      <c r="N9392" s="8">
        <v>42370</v>
      </c>
      <c r="O9392" s="9" t="s">
        <v>52</v>
      </c>
      <c r="P9392" s="12" t="s">
        <v>26847</v>
      </c>
      <c r="Q9392" s="9" t="s">
        <v>95</v>
      </c>
      <c r="R9392" s="14" t="str">
        <f>HYPERLINK("https://my.pitchbook.com?c=252586-54T","View Company Online")</f>
        <v>View Company Online</v>
      </c>
    </row>
    <row r="9393" spans="1:18" hidden="1" x14ac:dyDescent="0.3">
      <c r="A9393" s="15" t="s">
        <v>26848</v>
      </c>
      <c r="B9393" s="15" t="s">
        <v>24073</v>
      </c>
      <c r="C9393" s="18" t="s">
        <v>28</v>
      </c>
      <c r="D9393" s="15" t="s">
        <v>24074</v>
      </c>
      <c r="E9393" s="18" t="s">
        <v>28</v>
      </c>
      <c r="F9393" s="19" t="s">
        <v>28</v>
      </c>
      <c r="G9393" s="19">
        <v>0.08</v>
      </c>
      <c r="H9393" s="19" t="s">
        <v>28</v>
      </c>
      <c r="I9393" s="18" t="s">
        <v>28</v>
      </c>
      <c r="J9393" s="18" t="s">
        <v>28</v>
      </c>
      <c r="K9393" s="18" t="s">
        <v>28</v>
      </c>
      <c r="L9393" s="18" t="s">
        <v>28</v>
      </c>
      <c r="M9393" s="18" t="s">
        <v>28</v>
      </c>
      <c r="N9393" s="17">
        <v>42370</v>
      </c>
      <c r="O9393" s="15" t="s">
        <v>379</v>
      </c>
      <c r="P9393" s="16" t="s">
        <v>28</v>
      </c>
      <c r="Q9393" s="15" t="s">
        <v>1191</v>
      </c>
      <c r="R9393" s="13" t="str">
        <f>HYPERLINK("https://my.pitchbook.com?c=100671-94T","View Company Online")</f>
        <v>View Company Online</v>
      </c>
    </row>
    <row r="9394" spans="1:18" hidden="1" x14ac:dyDescent="0.3">
      <c r="A9394" s="9" t="s">
        <v>26849</v>
      </c>
      <c r="B9394" s="9" t="s">
        <v>8237</v>
      </c>
      <c r="C9394" s="11" t="s">
        <v>28</v>
      </c>
      <c r="D9394" s="9" t="s">
        <v>8238</v>
      </c>
      <c r="E9394" s="11" t="s">
        <v>28</v>
      </c>
      <c r="F9394" s="10" t="s">
        <v>28</v>
      </c>
      <c r="G9394" s="10" t="s">
        <v>28</v>
      </c>
      <c r="H9394" s="10" t="s">
        <v>28</v>
      </c>
      <c r="I9394" s="11" t="s">
        <v>28</v>
      </c>
      <c r="J9394" s="11" t="s">
        <v>28</v>
      </c>
      <c r="K9394" s="11" t="s">
        <v>28</v>
      </c>
      <c r="L9394" s="11" t="s">
        <v>28</v>
      </c>
      <c r="M9394" s="11" t="s">
        <v>28</v>
      </c>
      <c r="N9394" s="8">
        <v>42370</v>
      </c>
      <c r="O9394" s="9" t="s">
        <v>79</v>
      </c>
      <c r="P9394" s="12" t="s">
        <v>26850</v>
      </c>
      <c r="Q9394" s="9" t="s">
        <v>75</v>
      </c>
      <c r="R9394" s="14" t="str">
        <f>HYPERLINK("https://my.pitchbook.com?c=67664-89T","View Company Online")</f>
        <v>View Company Online</v>
      </c>
    </row>
    <row r="9395" spans="1:18" hidden="1" x14ac:dyDescent="0.3">
      <c r="A9395" s="15" t="s">
        <v>26851</v>
      </c>
      <c r="B9395" s="15" t="s">
        <v>5549</v>
      </c>
      <c r="C9395" s="18" t="s">
        <v>28</v>
      </c>
      <c r="D9395" s="15" t="s">
        <v>5550</v>
      </c>
      <c r="E9395" s="18" t="s">
        <v>28</v>
      </c>
      <c r="F9395" s="19" t="s">
        <v>28</v>
      </c>
      <c r="G9395" s="19">
        <v>0.05</v>
      </c>
      <c r="H9395" s="19" t="s">
        <v>28</v>
      </c>
      <c r="I9395" s="18" t="s">
        <v>28</v>
      </c>
      <c r="J9395" s="18" t="s">
        <v>28</v>
      </c>
      <c r="K9395" s="18" t="s">
        <v>28</v>
      </c>
      <c r="L9395" s="18" t="s">
        <v>28</v>
      </c>
      <c r="M9395" s="18" t="s">
        <v>28</v>
      </c>
      <c r="N9395" s="17">
        <v>42370</v>
      </c>
      <c r="O9395" s="15" t="s">
        <v>47</v>
      </c>
      <c r="P9395" s="16" t="s">
        <v>26852</v>
      </c>
      <c r="Q9395" s="15" t="s">
        <v>404</v>
      </c>
      <c r="R9395" s="13" t="str">
        <f>HYPERLINK("https://my.pitchbook.com?c=125596-09T","View Company Online")</f>
        <v>View Company Online</v>
      </c>
    </row>
    <row r="9396" spans="1:18" hidden="1" x14ac:dyDescent="0.3">
      <c r="A9396" s="9" t="s">
        <v>26853</v>
      </c>
      <c r="B9396" s="9" t="s">
        <v>21193</v>
      </c>
      <c r="C9396" s="11" t="s">
        <v>28</v>
      </c>
      <c r="D9396" s="9" t="s">
        <v>21194</v>
      </c>
      <c r="E9396" s="11" t="s">
        <v>28</v>
      </c>
      <c r="F9396" s="10" t="s">
        <v>28</v>
      </c>
      <c r="G9396" s="10" t="s">
        <v>28</v>
      </c>
      <c r="H9396" s="10" t="s">
        <v>28</v>
      </c>
      <c r="I9396" s="11" t="s">
        <v>28</v>
      </c>
      <c r="J9396" s="11" t="s">
        <v>28</v>
      </c>
      <c r="K9396" s="11" t="s">
        <v>28</v>
      </c>
      <c r="L9396" s="11" t="s">
        <v>28</v>
      </c>
      <c r="M9396" s="11" t="s">
        <v>28</v>
      </c>
      <c r="N9396" s="8">
        <v>42370</v>
      </c>
      <c r="O9396" s="9" t="s">
        <v>52</v>
      </c>
      <c r="P9396" s="12" t="s">
        <v>8013</v>
      </c>
      <c r="Q9396" s="9" t="s">
        <v>3912</v>
      </c>
      <c r="R9396" s="14" t="str">
        <f>HYPERLINK("https://my.pitchbook.com?c=100660-96T","View Company Online")</f>
        <v>View Company Online</v>
      </c>
    </row>
    <row r="9397" spans="1:18" hidden="1" x14ac:dyDescent="0.3">
      <c r="A9397" s="15" t="s">
        <v>26854</v>
      </c>
      <c r="B9397" s="15" t="s">
        <v>11788</v>
      </c>
      <c r="C9397" s="18" t="s">
        <v>28</v>
      </c>
      <c r="D9397" s="15" t="s">
        <v>11789</v>
      </c>
      <c r="E9397" s="18" t="s">
        <v>28</v>
      </c>
      <c r="F9397" s="19" t="s">
        <v>28</v>
      </c>
      <c r="G9397" s="19" t="s">
        <v>28</v>
      </c>
      <c r="H9397" s="19" t="s">
        <v>28</v>
      </c>
      <c r="I9397" s="18" t="s">
        <v>28</v>
      </c>
      <c r="J9397" s="18" t="s">
        <v>28</v>
      </c>
      <c r="K9397" s="18" t="s">
        <v>28</v>
      </c>
      <c r="L9397" s="18" t="s">
        <v>28</v>
      </c>
      <c r="M9397" s="18" t="s">
        <v>28</v>
      </c>
      <c r="N9397" s="17">
        <v>42370</v>
      </c>
      <c r="O9397" s="15" t="s">
        <v>73</v>
      </c>
      <c r="P9397" s="16" t="s">
        <v>26855</v>
      </c>
      <c r="Q9397" s="15" t="s">
        <v>75</v>
      </c>
      <c r="R9397" s="13" t="str">
        <f>HYPERLINK("https://my.pitchbook.com?c=123144-58T","View Company Online")</f>
        <v>View Company Online</v>
      </c>
    </row>
    <row r="9398" spans="1:18" hidden="1" x14ac:dyDescent="0.3">
      <c r="A9398" s="9" t="s">
        <v>26856</v>
      </c>
      <c r="B9398" s="9" t="s">
        <v>18201</v>
      </c>
      <c r="C9398" s="11" t="s">
        <v>28</v>
      </c>
      <c r="D9398" s="9" t="s">
        <v>18202</v>
      </c>
      <c r="E9398" s="11" t="s">
        <v>28</v>
      </c>
      <c r="F9398" s="10" t="s">
        <v>28</v>
      </c>
      <c r="G9398" s="10" t="s">
        <v>28</v>
      </c>
      <c r="H9398" s="10" t="s">
        <v>28</v>
      </c>
      <c r="I9398" s="11" t="s">
        <v>28</v>
      </c>
      <c r="J9398" s="11" t="s">
        <v>28</v>
      </c>
      <c r="K9398" s="11" t="s">
        <v>28</v>
      </c>
      <c r="L9398" s="11" t="s">
        <v>28</v>
      </c>
      <c r="M9398" s="11" t="s">
        <v>28</v>
      </c>
      <c r="N9398" s="8">
        <v>42370</v>
      </c>
      <c r="O9398" s="9" t="s">
        <v>93</v>
      </c>
      <c r="P9398" s="12" t="s">
        <v>26265</v>
      </c>
      <c r="Q9398" s="9" t="s">
        <v>880</v>
      </c>
      <c r="R9398" s="14" t="str">
        <f>HYPERLINK("https://my.pitchbook.com?c=102189-70T","View Company Online")</f>
        <v>View Company Online</v>
      </c>
    </row>
    <row r="9399" spans="1:18" hidden="1" x14ac:dyDescent="0.3">
      <c r="A9399" s="15" t="s">
        <v>26857</v>
      </c>
      <c r="B9399" s="15" t="s">
        <v>24049</v>
      </c>
      <c r="C9399" s="18" t="s">
        <v>28</v>
      </c>
      <c r="D9399" s="15" t="s">
        <v>24050</v>
      </c>
      <c r="E9399" s="18" t="s">
        <v>28</v>
      </c>
      <c r="F9399" s="19" t="s">
        <v>28</v>
      </c>
      <c r="G9399" s="19" t="s">
        <v>28</v>
      </c>
      <c r="H9399" s="19" t="s">
        <v>28</v>
      </c>
      <c r="I9399" s="18" t="s">
        <v>28</v>
      </c>
      <c r="J9399" s="18" t="s">
        <v>28</v>
      </c>
      <c r="K9399" s="18" t="s">
        <v>28</v>
      </c>
      <c r="L9399" s="18" t="s">
        <v>28</v>
      </c>
      <c r="M9399" s="18" t="s">
        <v>28</v>
      </c>
      <c r="N9399" s="17">
        <v>42370</v>
      </c>
      <c r="O9399" s="15" t="s">
        <v>52</v>
      </c>
      <c r="P9399" s="16" t="s">
        <v>17245</v>
      </c>
      <c r="Q9399" s="15" t="s">
        <v>75</v>
      </c>
      <c r="R9399" s="13" t="str">
        <f>HYPERLINK("https://my.pitchbook.com?c=98764-21T","View Company Online")</f>
        <v>View Company Online</v>
      </c>
    </row>
    <row r="9400" spans="1:18" hidden="1" x14ac:dyDescent="0.3">
      <c r="A9400" s="9" t="s">
        <v>26858</v>
      </c>
      <c r="B9400" s="9" t="s">
        <v>13597</v>
      </c>
      <c r="C9400" s="11" t="s">
        <v>28</v>
      </c>
      <c r="D9400" s="9" t="s">
        <v>13598</v>
      </c>
      <c r="E9400" s="11" t="s">
        <v>28</v>
      </c>
      <c r="F9400" s="10" t="s">
        <v>28</v>
      </c>
      <c r="G9400" s="10" t="s">
        <v>28</v>
      </c>
      <c r="H9400" s="10" t="s">
        <v>28</v>
      </c>
      <c r="I9400" s="11" t="s">
        <v>28</v>
      </c>
      <c r="J9400" s="11" t="s">
        <v>28</v>
      </c>
      <c r="K9400" s="11" t="s">
        <v>28</v>
      </c>
      <c r="L9400" s="11" t="s">
        <v>28</v>
      </c>
      <c r="M9400" s="11" t="s">
        <v>28</v>
      </c>
      <c r="N9400" s="8">
        <v>42370</v>
      </c>
      <c r="O9400" s="9" t="s">
        <v>52</v>
      </c>
      <c r="P9400" s="12" t="s">
        <v>25726</v>
      </c>
      <c r="Q9400" s="9" t="s">
        <v>249</v>
      </c>
      <c r="R9400" s="14" t="str">
        <f>HYPERLINK("https://my.pitchbook.com?c=277007-41T","View Company Online")</f>
        <v>View Company Online</v>
      </c>
    </row>
    <row r="9401" spans="1:18" hidden="1" x14ac:dyDescent="0.3">
      <c r="A9401" s="15" t="s">
        <v>26859</v>
      </c>
      <c r="B9401" s="15" t="s">
        <v>10224</v>
      </c>
      <c r="C9401" s="18" t="s">
        <v>28</v>
      </c>
      <c r="D9401" s="15" t="s">
        <v>10225</v>
      </c>
      <c r="E9401" s="18" t="s">
        <v>28</v>
      </c>
      <c r="F9401" s="19" t="s">
        <v>28</v>
      </c>
      <c r="G9401" s="19" t="s">
        <v>28</v>
      </c>
      <c r="H9401" s="19" t="s">
        <v>28</v>
      </c>
      <c r="I9401" s="18" t="s">
        <v>28</v>
      </c>
      <c r="J9401" s="18" t="s">
        <v>28</v>
      </c>
      <c r="K9401" s="18" t="s">
        <v>28</v>
      </c>
      <c r="L9401" s="18" t="s">
        <v>28</v>
      </c>
      <c r="M9401" s="18" t="s">
        <v>28</v>
      </c>
      <c r="N9401" s="17">
        <v>42370</v>
      </c>
      <c r="O9401" s="15" t="s">
        <v>52</v>
      </c>
      <c r="P9401" s="16" t="s">
        <v>23911</v>
      </c>
      <c r="Q9401" s="15" t="s">
        <v>37</v>
      </c>
      <c r="R9401" s="13" t="str">
        <f>HYPERLINK("https://my.pitchbook.com?c=122377-60T","View Company Online")</f>
        <v>View Company Online</v>
      </c>
    </row>
    <row r="9402" spans="1:18" hidden="1" x14ac:dyDescent="0.3">
      <c r="A9402" s="9" t="s">
        <v>26860</v>
      </c>
      <c r="B9402" s="9" t="s">
        <v>10224</v>
      </c>
      <c r="C9402" s="11" t="s">
        <v>28</v>
      </c>
      <c r="D9402" s="9" t="s">
        <v>10225</v>
      </c>
      <c r="E9402" s="11" t="s">
        <v>28</v>
      </c>
      <c r="F9402" s="10" t="s">
        <v>28</v>
      </c>
      <c r="G9402" s="10" t="s">
        <v>28</v>
      </c>
      <c r="H9402" s="10" t="s">
        <v>28</v>
      </c>
      <c r="I9402" s="11" t="s">
        <v>28</v>
      </c>
      <c r="J9402" s="11" t="s">
        <v>28</v>
      </c>
      <c r="K9402" s="11" t="s">
        <v>28</v>
      </c>
      <c r="L9402" s="11" t="s">
        <v>28</v>
      </c>
      <c r="M9402" s="11" t="s">
        <v>28</v>
      </c>
      <c r="N9402" s="8">
        <v>42370</v>
      </c>
      <c r="O9402" s="9" t="s">
        <v>52</v>
      </c>
      <c r="P9402" s="12" t="s">
        <v>25170</v>
      </c>
      <c r="Q9402" s="9" t="s">
        <v>37</v>
      </c>
      <c r="R9402" s="14" t="str">
        <f>HYPERLINK("https://my.pitchbook.com?c=122378-32T","View Company Online")</f>
        <v>View Company Online</v>
      </c>
    </row>
    <row r="9403" spans="1:18" hidden="1" x14ac:dyDescent="0.3">
      <c r="A9403" s="15" t="s">
        <v>26861</v>
      </c>
      <c r="B9403" s="15" t="s">
        <v>26862</v>
      </c>
      <c r="C9403" s="18" t="s">
        <v>28</v>
      </c>
      <c r="D9403" s="15" t="s">
        <v>26863</v>
      </c>
      <c r="E9403" s="18" t="s">
        <v>28</v>
      </c>
      <c r="F9403" s="19" t="s">
        <v>28</v>
      </c>
      <c r="G9403" s="19" t="s">
        <v>28</v>
      </c>
      <c r="H9403" s="19" t="s">
        <v>28</v>
      </c>
      <c r="I9403" s="18" t="s">
        <v>28</v>
      </c>
      <c r="J9403" s="18" t="s">
        <v>28</v>
      </c>
      <c r="K9403" s="18" t="s">
        <v>28</v>
      </c>
      <c r="L9403" s="18" t="s">
        <v>28</v>
      </c>
      <c r="M9403" s="18" t="s">
        <v>28</v>
      </c>
      <c r="N9403" s="17">
        <v>42370</v>
      </c>
      <c r="O9403" s="15" t="s">
        <v>58</v>
      </c>
      <c r="P9403" s="16" t="s">
        <v>26864</v>
      </c>
      <c r="Q9403" s="15" t="s">
        <v>245</v>
      </c>
      <c r="R9403" s="13" t="str">
        <f>HYPERLINK("https://my.pitchbook.com?c=300073-24T","View Company Online")</f>
        <v>View Company Online</v>
      </c>
    </row>
    <row r="9404" spans="1:18" hidden="1" x14ac:dyDescent="0.3">
      <c r="A9404" s="9" t="s">
        <v>26865</v>
      </c>
      <c r="B9404" s="9" t="s">
        <v>26866</v>
      </c>
      <c r="C9404" s="11" t="s">
        <v>28</v>
      </c>
      <c r="D9404" s="9" t="s">
        <v>26867</v>
      </c>
      <c r="E9404" s="11" t="s">
        <v>28</v>
      </c>
      <c r="F9404" s="10" t="s">
        <v>28</v>
      </c>
      <c r="G9404" s="10" t="s">
        <v>28</v>
      </c>
      <c r="H9404" s="10" t="s">
        <v>28</v>
      </c>
      <c r="I9404" s="11" t="s">
        <v>28</v>
      </c>
      <c r="J9404" s="11" t="s">
        <v>28</v>
      </c>
      <c r="K9404" s="11" t="s">
        <v>28</v>
      </c>
      <c r="L9404" s="11" t="s">
        <v>28</v>
      </c>
      <c r="M9404" s="11" t="s">
        <v>28</v>
      </c>
      <c r="N9404" s="8">
        <v>42370</v>
      </c>
      <c r="O9404" s="9" t="s">
        <v>30</v>
      </c>
      <c r="P9404" s="12" t="s">
        <v>26868</v>
      </c>
      <c r="Q9404" s="9" t="s">
        <v>19855</v>
      </c>
      <c r="R9404" s="14" t="str">
        <f>HYPERLINK("https://my.pitchbook.com?c=218260-54T","View Company Online")</f>
        <v>View Company Online</v>
      </c>
    </row>
    <row r="9405" spans="1:18" hidden="1" x14ac:dyDescent="0.3">
      <c r="A9405" s="15" t="s">
        <v>26869</v>
      </c>
      <c r="B9405" s="15" t="s">
        <v>26870</v>
      </c>
      <c r="C9405" s="18" t="s">
        <v>28</v>
      </c>
      <c r="D9405" s="15" t="s">
        <v>26871</v>
      </c>
      <c r="E9405" s="18" t="s">
        <v>28</v>
      </c>
      <c r="F9405" s="19">
        <v>2.59</v>
      </c>
      <c r="G9405" s="19">
        <v>2.59</v>
      </c>
      <c r="H9405" s="19">
        <v>2.59</v>
      </c>
      <c r="I9405" s="18" t="s">
        <v>28</v>
      </c>
      <c r="J9405" s="18" t="s">
        <v>28</v>
      </c>
      <c r="K9405" s="18" t="s">
        <v>28</v>
      </c>
      <c r="L9405" s="18" t="s">
        <v>28</v>
      </c>
      <c r="M9405" s="18" t="s">
        <v>28</v>
      </c>
      <c r="N9405" s="17">
        <v>42370</v>
      </c>
      <c r="O9405" s="15" t="s">
        <v>30</v>
      </c>
      <c r="P9405" s="16" t="s">
        <v>21227</v>
      </c>
      <c r="Q9405" s="15" t="s">
        <v>43</v>
      </c>
      <c r="R9405" s="13" t="str">
        <f>HYPERLINK("https://my.pitchbook.com?c=93641-14T","View Company Online")</f>
        <v>View Company Online</v>
      </c>
    </row>
    <row r="9406" spans="1:18" hidden="1" x14ac:dyDescent="0.3">
      <c r="A9406" s="9" t="s">
        <v>26872</v>
      </c>
      <c r="B9406" s="9" t="s">
        <v>17556</v>
      </c>
      <c r="C9406" s="11" t="s">
        <v>28</v>
      </c>
      <c r="D9406" s="9" t="s">
        <v>17557</v>
      </c>
      <c r="E9406" s="11" t="s">
        <v>28</v>
      </c>
      <c r="F9406" s="10" t="s">
        <v>28</v>
      </c>
      <c r="G9406" s="10" t="s">
        <v>28</v>
      </c>
      <c r="H9406" s="10" t="s">
        <v>28</v>
      </c>
      <c r="I9406" s="11" t="s">
        <v>28</v>
      </c>
      <c r="J9406" s="11" t="s">
        <v>28</v>
      </c>
      <c r="K9406" s="11" t="s">
        <v>28</v>
      </c>
      <c r="L9406" s="11" t="s">
        <v>28</v>
      </c>
      <c r="M9406" s="11" t="s">
        <v>28</v>
      </c>
      <c r="N9406" s="8">
        <v>42370</v>
      </c>
      <c r="O9406" s="9" t="s">
        <v>52</v>
      </c>
      <c r="P9406" s="12" t="s">
        <v>15600</v>
      </c>
      <c r="Q9406" s="9" t="s">
        <v>75</v>
      </c>
      <c r="R9406" s="14" t="str">
        <f>HYPERLINK("https://my.pitchbook.com?c=158313-43T","View Company Online")</f>
        <v>View Company Online</v>
      </c>
    </row>
    <row r="9407" spans="1:18" hidden="1" x14ac:dyDescent="0.3">
      <c r="A9407" s="15" t="s">
        <v>26873</v>
      </c>
      <c r="B9407" s="15" t="s">
        <v>7601</v>
      </c>
      <c r="C9407" s="18" t="s">
        <v>28</v>
      </c>
      <c r="D9407" s="15" t="s">
        <v>7602</v>
      </c>
      <c r="E9407" s="18" t="s">
        <v>28</v>
      </c>
      <c r="F9407" s="19" t="s">
        <v>28</v>
      </c>
      <c r="G9407" s="19">
        <v>0.05</v>
      </c>
      <c r="H9407" s="19" t="s">
        <v>28</v>
      </c>
      <c r="I9407" s="18" t="s">
        <v>28</v>
      </c>
      <c r="J9407" s="18" t="s">
        <v>28</v>
      </c>
      <c r="K9407" s="18" t="s">
        <v>28</v>
      </c>
      <c r="L9407" s="18" t="s">
        <v>28</v>
      </c>
      <c r="M9407" s="18" t="s">
        <v>28</v>
      </c>
      <c r="N9407" s="17">
        <v>42370</v>
      </c>
      <c r="O9407" s="15" t="s">
        <v>52</v>
      </c>
      <c r="P9407" s="16" t="s">
        <v>26823</v>
      </c>
      <c r="Q9407" s="15" t="s">
        <v>75</v>
      </c>
      <c r="R9407" s="13" t="str">
        <f>HYPERLINK("https://my.pitchbook.com?c=133002-46T","View Company Online")</f>
        <v>View Company Online</v>
      </c>
    </row>
    <row r="9408" spans="1:18" hidden="1" x14ac:dyDescent="0.3">
      <c r="A9408" s="9" t="s">
        <v>26874</v>
      </c>
      <c r="B9408" s="9" t="s">
        <v>20198</v>
      </c>
      <c r="C9408" s="11" t="s">
        <v>28</v>
      </c>
      <c r="D9408" s="9" t="s">
        <v>20199</v>
      </c>
      <c r="E9408" s="11" t="s">
        <v>28</v>
      </c>
      <c r="F9408" s="10" t="s">
        <v>28</v>
      </c>
      <c r="G9408" s="10">
        <v>0.18</v>
      </c>
      <c r="H9408" s="10" t="s">
        <v>28</v>
      </c>
      <c r="I9408" s="11" t="s">
        <v>28</v>
      </c>
      <c r="J9408" s="11" t="s">
        <v>28</v>
      </c>
      <c r="K9408" s="11" t="s">
        <v>28</v>
      </c>
      <c r="L9408" s="11" t="s">
        <v>28</v>
      </c>
      <c r="M9408" s="11" t="s">
        <v>28</v>
      </c>
      <c r="N9408" s="8">
        <v>42370</v>
      </c>
      <c r="O9408" s="9" t="s">
        <v>379</v>
      </c>
      <c r="P9408" s="12" t="s">
        <v>28</v>
      </c>
      <c r="Q9408" s="9" t="s">
        <v>37</v>
      </c>
      <c r="R9408" s="14" t="str">
        <f>HYPERLINK("https://my.pitchbook.com?c=126520-66T","View Company Online")</f>
        <v>View Company Online</v>
      </c>
    </row>
    <row r="9409" spans="1:18" hidden="1" x14ac:dyDescent="0.3">
      <c r="A9409" s="15" t="s">
        <v>26875</v>
      </c>
      <c r="B9409" s="15" t="s">
        <v>20198</v>
      </c>
      <c r="C9409" s="18" t="s">
        <v>28</v>
      </c>
      <c r="D9409" s="15" t="s">
        <v>20199</v>
      </c>
      <c r="E9409" s="18" t="s">
        <v>28</v>
      </c>
      <c r="F9409" s="19" t="s">
        <v>28</v>
      </c>
      <c r="G9409" s="19" t="s">
        <v>28</v>
      </c>
      <c r="H9409" s="19" t="s">
        <v>28</v>
      </c>
      <c r="I9409" s="18" t="s">
        <v>28</v>
      </c>
      <c r="J9409" s="18" t="s">
        <v>28</v>
      </c>
      <c r="K9409" s="18" t="s">
        <v>28</v>
      </c>
      <c r="L9409" s="18" t="s">
        <v>28</v>
      </c>
      <c r="M9409" s="18" t="s">
        <v>28</v>
      </c>
      <c r="N9409" s="17">
        <v>42370</v>
      </c>
      <c r="O9409" s="15" t="s">
        <v>52</v>
      </c>
      <c r="P9409" s="16" t="s">
        <v>25170</v>
      </c>
      <c r="Q9409" s="15" t="s">
        <v>37</v>
      </c>
      <c r="R9409" s="13" t="str">
        <f>HYPERLINK("https://my.pitchbook.com?c=126521-38T","View Company Online")</f>
        <v>View Company Online</v>
      </c>
    </row>
    <row r="9410" spans="1:18" hidden="1" x14ac:dyDescent="0.3">
      <c r="A9410" s="9" t="s">
        <v>26876</v>
      </c>
      <c r="B9410" s="9" t="s">
        <v>1529</v>
      </c>
      <c r="C9410" s="11" t="s">
        <v>28</v>
      </c>
      <c r="D9410" s="9" t="s">
        <v>1530</v>
      </c>
      <c r="E9410" s="11" t="s">
        <v>28</v>
      </c>
      <c r="F9410" s="10" t="s">
        <v>28</v>
      </c>
      <c r="G9410" s="10" t="s">
        <v>28</v>
      </c>
      <c r="H9410" s="10" t="s">
        <v>28</v>
      </c>
      <c r="I9410" s="11" t="s">
        <v>28</v>
      </c>
      <c r="J9410" s="11" t="s">
        <v>28</v>
      </c>
      <c r="K9410" s="11" t="s">
        <v>28</v>
      </c>
      <c r="L9410" s="11" t="s">
        <v>28</v>
      </c>
      <c r="M9410" s="11" t="s">
        <v>28</v>
      </c>
      <c r="N9410" s="8">
        <v>42370</v>
      </c>
      <c r="O9410" s="9" t="s">
        <v>52</v>
      </c>
      <c r="P9410" s="12" t="s">
        <v>1970</v>
      </c>
      <c r="Q9410" s="9" t="s">
        <v>583</v>
      </c>
      <c r="R9410" s="14" t="str">
        <f>HYPERLINK("https://my.pitchbook.com?c=291123-82T","View Company Online")</f>
        <v>View Company Online</v>
      </c>
    </row>
    <row r="9411" spans="1:18" hidden="1" x14ac:dyDescent="0.3">
      <c r="A9411" s="15" t="s">
        <v>26877</v>
      </c>
      <c r="B9411" s="15" t="s">
        <v>21501</v>
      </c>
      <c r="C9411" s="18" t="s">
        <v>28</v>
      </c>
      <c r="D9411" s="15" t="s">
        <v>21502</v>
      </c>
      <c r="E9411" s="18">
        <v>92.82</v>
      </c>
      <c r="F9411" s="19" t="s">
        <v>28</v>
      </c>
      <c r="G9411" s="19" t="s">
        <v>28</v>
      </c>
      <c r="H9411" s="19" t="s">
        <v>28</v>
      </c>
      <c r="I9411" s="18">
        <v>660.9</v>
      </c>
      <c r="J9411" s="18" t="s">
        <v>28</v>
      </c>
      <c r="K9411" s="18">
        <v>3026.33</v>
      </c>
      <c r="L9411" s="18" t="s">
        <v>28</v>
      </c>
      <c r="M9411" s="18">
        <v>102.73</v>
      </c>
      <c r="N9411" s="17">
        <v>42370</v>
      </c>
      <c r="O9411" s="15" t="s">
        <v>159</v>
      </c>
      <c r="P9411" s="16" t="s">
        <v>26122</v>
      </c>
      <c r="Q9411" s="15" t="s">
        <v>5633</v>
      </c>
      <c r="R9411" s="13" t="str">
        <f>HYPERLINK("https://my.pitchbook.com?c=172629-82T","View Company Online")</f>
        <v>View Company Online</v>
      </c>
    </row>
    <row r="9412" spans="1:18" hidden="1" x14ac:dyDescent="0.3">
      <c r="A9412" s="9" t="s">
        <v>26878</v>
      </c>
      <c r="B9412" s="9" t="s">
        <v>26879</v>
      </c>
      <c r="C9412" s="11" t="s">
        <v>28</v>
      </c>
      <c r="D9412" s="9" t="s">
        <v>26880</v>
      </c>
      <c r="E9412" s="11" t="s">
        <v>28</v>
      </c>
      <c r="F9412" s="10" t="s">
        <v>28</v>
      </c>
      <c r="G9412" s="10" t="s">
        <v>28</v>
      </c>
      <c r="H9412" s="10" t="s">
        <v>28</v>
      </c>
      <c r="I9412" s="11" t="s">
        <v>28</v>
      </c>
      <c r="J9412" s="11" t="s">
        <v>28</v>
      </c>
      <c r="K9412" s="11" t="s">
        <v>28</v>
      </c>
      <c r="L9412" s="11" t="s">
        <v>28</v>
      </c>
      <c r="M9412" s="11" t="s">
        <v>28</v>
      </c>
      <c r="N9412" s="8">
        <v>42370</v>
      </c>
      <c r="O9412" s="9" t="s">
        <v>52</v>
      </c>
      <c r="P9412" s="12" t="s">
        <v>7022</v>
      </c>
      <c r="Q9412" s="9" t="s">
        <v>75</v>
      </c>
      <c r="R9412" s="14" t="str">
        <f>HYPERLINK("https://my.pitchbook.com?c=100714-96T","View Company Online")</f>
        <v>View Company Online</v>
      </c>
    </row>
    <row r="9413" spans="1:18" hidden="1" x14ac:dyDescent="0.3">
      <c r="A9413" s="15" t="s">
        <v>26881</v>
      </c>
      <c r="B9413" s="15" t="s">
        <v>26879</v>
      </c>
      <c r="C9413" s="18" t="s">
        <v>28</v>
      </c>
      <c r="D9413" s="15" t="s">
        <v>26880</v>
      </c>
      <c r="E9413" s="18" t="s">
        <v>28</v>
      </c>
      <c r="F9413" s="19" t="s">
        <v>28</v>
      </c>
      <c r="G9413" s="19" t="s">
        <v>28</v>
      </c>
      <c r="H9413" s="19" t="s">
        <v>28</v>
      </c>
      <c r="I9413" s="18" t="s">
        <v>28</v>
      </c>
      <c r="J9413" s="18" t="s">
        <v>28</v>
      </c>
      <c r="K9413" s="18" t="s">
        <v>28</v>
      </c>
      <c r="L9413" s="18" t="s">
        <v>28</v>
      </c>
      <c r="M9413" s="18" t="s">
        <v>28</v>
      </c>
      <c r="N9413" s="17">
        <v>42370</v>
      </c>
      <c r="O9413" s="15" t="s">
        <v>73</v>
      </c>
      <c r="P9413" s="16" t="s">
        <v>26882</v>
      </c>
      <c r="Q9413" s="15" t="s">
        <v>75</v>
      </c>
      <c r="R9413" s="13" t="str">
        <f>HYPERLINK("https://my.pitchbook.com?c=132150-79T","View Company Online")</f>
        <v>View Company Online</v>
      </c>
    </row>
    <row r="9414" spans="1:18" hidden="1" x14ac:dyDescent="0.3">
      <c r="A9414" s="9" t="s">
        <v>26883</v>
      </c>
      <c r="B9414" s="9" t="s">
        <v>1553</v>
      </c>
      <c r="C9414" s="11" t="s">
        <v>28</v>
      </c>
      <c r="D9414" s="9" t="s">
        <v>1554</v>
      </c>
      <c r="E9414" s="11" t="s">
        <v>28</v>
      </c>
      <c r="F9414" s="10" t="s">
        <v>28</v>
      </c>
      <c r="G9414" s="10" t="s">
        <v>28</v>
      </c>
      <c r="H9414" s="10" t="s">
        <v>28</v>
      </c>
      <c r="I9414" s="11" t="s">
        <v>28</v>
      </c>
      <c r="J9414" s="11" t="s">
        <v>28</v>
      </c>
      <c r="K9414" s="11" t="s">
        <v>28</v>
      </c>
      <c r="L9414" s="11" t="s">
        <v>28</v>
      </c>
      <c r="M9414" s="11" t="s">
        <v>28</v>
      </c>
      <c r="N9414" s="8">
        <v>42370</v>
      </c>
      <c r="O9414" s="9" t="s">
        <v>52</v>
      </c>
      <c r="P9414" s="12" t="s">
        <v>24388</v>
      </c>
      <c r="Q9414" s="9" t="s">
        <v>43</v>
      </c>
      <c r="R9414" s="14" t="str">
        <f>HYPERLINK("https://my.pitchbook.com?c=115627-78T","View Company Online")</f>
        <v>View Company Online</v>
      </c>
    </row>
    <row r="9415" spans="1:18" hidden="1" x14ac:dyDescent="0.3">
      <c r="A9415" s="15" t="s">
        <v>26884</v>
      </c>
      <c r="B9415" s="15" t="s">
        <v>1553</v>
      </c>
      <c r="C9415" s="18" t="s">
        <v>28</v>
      </c>
      <c r="D9415" s="15" t="s">
        <v>1554</v>
      </c>
      <c r="E9415" s="18" t="s">
        <v>28</v>
      </c>
      <c r="F9415" s="19" t="s">
        <v>28</v>
      </c>
      <c r="G9415" s="19">
        <v>0.01</v>
      </c>
      <c r="H9415" s="19" t="s">
        <v>28</v>
      </c>
      <c r="I9415" s="18" t="s">
        <v>28</v>
      </c>
      <c r="J9415" s="18" t="s">
        <v>28</v>
      </c>
      <c r="K9415" s="18" t="s">
        <v>28</v>
      </c>
      <c r="L9415" s="18" t="s">
        <v>28</v>
      </c>
      <c r="M9415" s="18" t="s">
        <v>28</v>
      </c>
      <c r="N9415" s="17">
        <v>42370</v>
      </c>
      <c r="O9415" s="15" t="s">
        <v>47</v>
      </c>
      <c r="P9415" s="16" t="s">
        <v>22663</v>
      </c>
      <c r="Q9415" s="15" t="s">
        <v>43</v>
      </c>
      <c r="R9415" s="13" t="str">
        <f>HYPERLINK("https://my.pitchbook.com?c=139582-36T","View Company Online")</f>
        <v>View Company Online</v>
      </c>
    </row>
    <row r="9416" spans="1:18" hidden="1" x14ac:dyDescent="0.3">
      <c r="A9416" s="9" t="s">
        <v>26885</v>
      </c>
      <c r="B9416" s="9" t="s">
        <v>26886</v>
      </c>
      <c r="C9416" s="11" t="s">
        <v>28</v>
      </c>
      <c r="D9416" s="9" t="s">
        <v>26887</v>
      </c>
      <c r="E9416" s="11" t="s">
        <v>28</v>
      </c>
      <c r="F9416" s="10" t="s">
        <v>28</v>
      </c>
      <c r="G9416" s="10" t="s">
        <v>28</v>
      </c>
      <c r="H9416" s="10" t="s">
        <v>28</v>
      </c>
      <c r="I9416" s="11" t="s">
        <v>28</v>
      </c>
      <c r="J9416" s="11" t="s">
        <v>28</v>
      </c>
      <c r="K9416" s="11" t="s">
        <v>28</v>
      </c>
      <c r="L9416" s="11" t="s">
        <v>28</v>
      </c>
      <c r="M9416" s="11" t="s">
        <v>28</v>
      </c>
      <c r="N9416" s="8">
        <v>42370</v>
      </c>
      <c r="O9416" s="9" t="s">
        <v>41</v>
      </c>
      <c r="P9416" s="12" t="s">
        <v>28</v>
      </c>
      <c r="Q9416" s="9" t="s">
        <v>740</v>
      </c>
      <c r="R9416" s="14" t="str">
        <f>HYPERLINK("https://my.pitchbook.com?c=80614-45T","View Company Online")</f>
        <v>View Company Online</v>
      </c>
    </row>
    <row r="9417" spans="1:18" hidden="1" x14ac:dyDescent="0.3">
      <c r="A9417" s="15" t="s">
        <v>26888</v>
      </c>
      <c r="B9417" s="15" t="s">
        <v>834</v>
      </c>
      <c r="C9417" s="18" t="s">
        <v>28</v>
      </c>
      <c r="D9417" s="15" t="s">
        <v>835</v>
      </c>
      <c r="E9417" s="18" t="s">
        <v>28</v>
      </c>
      <c r="F9417" s="19" t="s">
        <v>28</v>
      </c>
      <c r="G9417" s="19" t="s">
        <v>28</v>
      </c>
      <c r="H9417" s="19" t="s">
        <v>28</v>
      </c>
      <c r="I9417" s="18" t="s">
        <v>28</v>
      </c>
      <c r="J9417" s="18" t="s">
        <v>28</v>
      </c>
      <c r="K9417" s="18" t="s">
        <v>28</v>
      </c>
      <c r="L9417" s="18" t="s">
        <v>28</v>
      </c>
      <c r="M9417" s="18" t="s">
        <v>28</v>
      </c>
      <c r="N9417" s="17">
        <v>42370</v>
      </c>
      <c r="O9417" s="15" t="s">
        <v>52</v>
      </c>
      <c r="P9417" s="16" t="s">
        <v>4589</v>
      </c>
      <c r="Q9417" s="15" t="s">
        <v>75</v>
      </c>
      <c r="R9417" s="13" t="str">
        <f>HYPERLINK("https://my.pitchbook.com?c=270476-11T","View Company Online")</f>
        <v>View Company Online</v>
      </c>
    </row>
    <row r="9418" spans="1:18" hidden="1" x14ac:dyDescent="0.3">
      <c r="A9418" s="9" t="s">
        <v>26889</v>
      </c>
      <c r="B9418" s="9" t="s">
        <v>26890</v>
      </c>
      <c r="C9418" s="11" t="s">
        <v>28</v>
      </c>
      <c r="D9418" s="9" t="s">
        <v>26891</v>
      </c>
      <c r="E9418" s="11" t="s">
        <v>28</v>
      </c>
      <c r="F9418" s="10" t="s">
        <v>28</v>
      </c>
      <c r="G9418" s="10" t="s">
        <v>28</v>
      </c>
      <c r="H9418" s="10" t="s">
        <v>28</v>
      </c>
      <c r="I9418" s="11" t="s">
        <v>28</v>
      </c>
      <c r="J9418" s="11" t="s">
        <v>28</v>
      </c>
      <c r="K9418" s="11" t="s">
        <v>28</v>
      </c>
      <c r="L9418" s="11" t="s">
        <v>28</v>
      </c>
      <c r="M9418" s="11" t="s">
        <v>28</v>
      </c>
      <c r="N9418" s="8">
        <v>42370</v>
      </c>
      <c r="O9418" s="9" t="s">
        <v>52</v>
      </c>
      <c r="P9418" s="12" t="s">
        <v>14910</v>
      </c>
      <c r="Q9418" s="9" t="s">
        <v>75</v>
      </c>
      <c r="R9418" s="14" t="str">
        <f>HYPERLINK("https://my.pitchbook.com?c=126007-75T","View Company Online")</f>
        <v>View Company Online</v>
      </c>
    </row>
    <row r="9419" spans="1:18" hidden="1" x14ac:dyDescent="0.3">
      <c r="A9419" s="15" t="s">
        <v>26892</v>
      </c>
      <c r="B9419" s="15" t="s">
        <v>12669</v>
      </c>
      <c r="C9419" s="18" t="s">
        <v>28</v>
      </c>
      <c r="D9419" s="15" t="s">
        <v>12670</v>
      </c>
      <c r="E9419" s="18" t="s">
        <v>28</v>
      </c>
      <c r="F9419" s="19" t="s">
        <v>28</v>
      </c>
      <c r="G9419" s="19">
        <v>0.18</v>
      </c>
      <c r="H9419" s="19" t="s">
        <v>28</v>
      </c>
      <c r="I9419" s="18" t="s">
        <v>28</v>
      </c>
      <c r="J9419" s="18" t="s">
        <v>28</v>
      </c>
      <c r="K9419" s="18" t="s">
        <v>28</v>
      </c>
      <c r="L9419" s="18" t="s">
        <v>28</v>
      </c>
      <c r="M9419" s="18" t="s">
        <v>28</v>
      </c>
      <c r="N9419" s="17">
        <v>42370</v>
      </c>
      <c r="O9419" s="15" t="s">
        <v>379</v>
      </c>
      <c r="P9419" s="16" t="s">
        <v>28</v>
      </c>
      <c r="Q9419" s="15" t="s">
        <v>75</v>
      </c>
      <c r="R9419" s="13" t="str">
        <f>HYPERLINK("https://my.pitchbook.com?c=122941-99T","View Company Online")</f>
        <v>View Company Online</v>
      </c>
    </row>
    <row r="9420" spans="1:18" hidden="1" x14ac:dyDescent="0.3">
      <c r="A9420" s="9" t="s">
        <v>26893</v>
      </c>
      <c r="B9420" s="9" t="s">
        <v>26894</v>
      </c>
      <c r="C9420" s="11" t="s">
        <v>28</v>
      </c>
      <c r="D9420" s="9" t="s">
        <v>26895</v>
      </c>
      <c r="E9420" s="11" t="s">
        <v>28</v>
      </c>
      <c r="F9420" s="10" t="s">
        <v>28</v>
      </c>
      <c r="G9420" s="10" t="s">
        <v>28</v>
      </c>
      <c r="H9420" s="10" t="s">
        <v>28</v>
      </c>
      <c r="I9420" s="11" t="s">
        <v>28</v>
      </c>
      <c r="J9420" s="11" t="s">
        <v>28</v>
      </c>
      <c r="K9420" s="11" t="s">
        <v>28</v>
      </c>
      <c r="L9420" s="11" t="s">
        <v>28</v>
      </c>
      <c r="M9420" s="11" t="s">
        <v>28</v>
      </c>
      <c r="N9420" s="8">
        <v>42370</v>
      </c>
      <c r="O9420" s="9" t="s">
        <v>30</v>
      </c>
      <c r="P9420" s="12" t="s">
        <v>28</v>
      </c>
      <c r="Q9420" s="9" t="s">
        <v>299</v>
      </c>
      <c r="R9420" s="14" t="str">
        <f>HYPERLINK("https://my.pitchbook.com?c=116402-32T","View Company Online")</f>
        <v>View Company Online</v>
      </c>
    </row>
    <row r="9421" spans="1:18" hidden="1" x14ac:dyDescent="0.3">
      <c r="A9421" s="15" t="s">
        <v>26896</v>
      </c>
      <c r="B9421" s="15" t="s">
        <v>26897</v>
      </c>
      <c r="C9421" s="18" t="s">
        <v>28</v>
      </c>
      <c r="D9421" s="15" t="s">
        <v>26898</v>
      </c>
      <c r="E9421" s="18" t="s">
        <v>28</v>
      </c>
      <c r="F9421" s="19" t="s">
        <v>28</v>
      </c>
      <c r="G9421" s="19" t="s">
        <v>28</v>
      </c>
      <c r="H9421" s="19" t="s">
        <v>28</v>
      </c>
      <c r="I9421" s="18" t="s">
        <v>28</v>
      </c>
      <c r="J9421" s="18" t="s">
        <v>28</v>
      </c>
      <c r="K9421" s="18" t="s">
        <v>28</v>
      </c>
      <c r="L9421" s="18" t="s">
        <v>28</v>
      </c>
      <c r="M9421" s="18" t="s">
        <v>28</v>
      </c>
      <c r="N9421" s="17">
        <v>42370</v>
      </c>
      <c r="O9421" s="15" t="s">
        <v>41</v>
      </c>
      <c r="P9421" s="16" t="s">
        <v>26899</v>
      </c>
      <c r="Q9421" s="15" t="s">
        <v>285</v>
      </c>
      <c r="R9421" s="13" t="str">
        <f>HYPERLINK("https://my.pitchbook.com?c=128882-71T","View Company Online")</f>
        <v>View Company Online</v>
      </c>
    </row>
    <row r="9422" spans="1:18" hidden="1" x14ac:dyDescent="0.3">
      <c r="A9422" s="9" t="s">
        <v>26900</v>
      </c>
      <c r="B9422" s="9" t="s">
        <v>11510</v>
      </c>
      <c r="C9422" s="11" t="s">
        <v>28</v>
      </c>
      <c r="D9422" s="9" t="s">
        <v>11511</v>
      </c>
      <c r="E9422" s="11" t="s">
        <v>28</v>
      </c>
      <c r="F9422" s="10" t="s">
        <v>28</v>
      </c>
      <c r="G9422" s="10">
        <v>0.2</v>
      </c>
      <c r="H9422" s="10" t="s">
        <v>28</v>
      </c>
      <c r="I9422" s="11" t="s">
        <v>28</v>
      </c>
      <c r="J9422" s="11" t="s">
        <v>28</v>
      </c>
      <c r="K9422" s="11" t="s">
        <v>28</v>
      </c>
      <c r="L9422" s="11" t="s">
        <v>28</v>
      </c>
      <c r="M9422" s="11" t="s">
        <v>28</v>
      </c>
      <c r="N9422" s="8">
        <v>42370</v>
      </c>
      <c r="O9422" s="9" t="s">
        <v>52</v>
      </c>
      <c r="P9422" s="12" t="s">
        <v>17245</v>
      </c>
      <c r="Q9422" s="9" t="s">
        <v>75</v>
      </c>
      <c r="R9422" s="14" t="str">
        <f>HYPERLINK("https://my.pitchbook.com?c=93139-12T","View Company Online")</f>
        <v>View Company Online</v>
      </c>
    </row>
    <row r="9423" spans="1:18" hidden="1" x14ac:dyDescent="0.3">
      <c r="A9423" s="15" t="s">
        <v>26901</v>
      </c>
      <c r="B9423" s="15" t="s">
        <v>14464</v>
      </c>
      <c r="C9423" s="18" t="s">
        <v>28</v>
      </c>
      <c r="D9423" s="15" t="s">
        <v>14465</v>
      </c>
      <c r="E9423" s="18" t="s">
        <v>28</v>
      </c>
      <c r="F9423" s="19" t="s">
        <v>28</v>
      </c>
      <c r="G9423" s="19" t="s">
        <v>28</v>
      </c>
      <c r="H9423" s="19" t="s">
        <v>28</v>
      </c>
      <c r="I9423" s="18" t="s">
        <v>28</v>
      </c>
      <c r="J9423" s="18" t="s">
        <v>28</v>
      </c>
      <c r="K9423" s="18" t="s">
        <v>28</v>
      </c>
      <c r="L9423" s="18" t="s">
        <v>28</v>
      </c>
      <c r="M9423" s="18" t="s">
        <v>28</v>
      </c>
      <c r="N9423" s="17">
        <v>42370</v>
      </c>
      <c r="O9423" s="15" t="s">
        <v>79</v>
      </c>
      <c r="P9423" s="16" t="s">
        <v>13866</v>
      </c>
      <c r="Q9423" s="15" t="s">
        <v>75</v>
      </c>
      <c r="R9423" s="13" t="str">
        <f>HYPERLINK("https://my.pitchbook.com?c=226167-31T","View Company Online")</f>
        <v>View Company Online</v>
      </c>
    </row>
    <row r="9424" spans="1:18" hidden="1" x14ac:dyDescent="0.3">
      <c r="A9424" s="9" t="s">
        <v>26902</v>
      </c>
      <c r="B9424" s="9" t="s">
        <v>26903</v>
      </c>
      <c r="C9424" s="11" t="s">
        <v>28</v>
      </c>
      <c r="D9424" s="9" t="s">
        <v>26904</v>
      </c>
      <c r="E9424" s="11" t="s">
        <v>28</v>
      </c>
      <c r="F9424" s="10" t="s">
        <v>28</v>
      </c>
      <c r="G9424" s="10">
        <v>0.15</v>
      </c>
      <c r="H9424" s="10">
        <v>1</v>
      </c>
      <c r="I9424" s="11" t="s">
        <v>28</v>
      </c>
      <c r="J9424" s="11" t="s">
        <v>28</v>
      </c>
      <c r="K9424" s="11" t="s">
        <v>28</v>
      </c>
      <c r="L9424" s="11" t="s">
        <v>28</v>
      </c>
      <c r="M9424" s="11" t="s">
        <v>28</v>
      </c>
      <c r="N9424" s="8">
        <v>42370</v>
      </c>
      <c r="O9424" s="9" t="s">
        <v>52</v>
      </c>
      <c r="P9424" s="12" t="s">
        <v>26905</v>
      </c>
      <c r="Q9424" s="9" t="s">
        <v>419</v>
      </c>
      <c r="R9424" s="14" t="str">
        <f>HYPERLINK("https://my.pitchbook.com?c=127618-03T","View Company Online")</f>
        <v>View Company Online</v>
      </c>
    </row>
    <row r="9425" spans="1:18" hidden="1" x14ac:dyDescent="0.3">
      <c r="A9425" s="15" t="s">
        <v>26906</v>
      </c>
      <c r="B9425" s="15" t="s">
        <v>10909</v>
      </c>
      <c r="C9425" s="18" t="s">
        <v>28</v>
      </c>
      <c r="D9425" s="15" t="s">
        <v>10910</v>
      </c>
      <c r="E9425" s="18" t="s">
        <v>28</v>
      </c>
      <c r="F9425" s="19" t="s">
        <v>28</v>
      </c>
      <c r="G9425" s="19">
        <v>0.04</v>
      </c>
      <c r="H9425" s="19" t="s">
        <v>28</v>
      </c>
      <c r="I9425" s="18" t="s">
        <v>28</v>
      </c>
      <c r="J9425" s="18" t="s">
        <v>28</v>
      </c>
      <c r="K9425" s="18" t="s">
        <v>28</v>
      </c>
      <c r="L9425" s="18" t="s">
        <v>28</v>
      </c>
      <c r="M9425" s="18" t="s">
        <v>28</v>
      </c>
      <c r="N9425" s="17">
        <v>42370</v>
      </c>
      <c r="O9425" s="15" t="s">
        <v>9098</v>
      </c>
      <c r="P9425" s="16" t="s">
        <v>28</v>
      </c>
      <c r="Q9425" s="15" t="s">
        <v>75</v>
      </c>
      <c r="R9425" s="13" t="str">
        <f>HYPERLINK("https://my.pitchbook.com?c=251971-03T","View Company Online")</f>
        <v>View Company Online</v>
      </c>
    </row>
    <row r="9426" spans="1:18" hidden="1" x14ac:dyDescent="0.3">
      <c r="A9426" s="9" t="s">
        <v>26907</v>
      </c>
      <c r="B9426" s="9" t="s">
        <v>17160</v>
      </c>
      <c r="C9426" s="11" t="s">
        <v>28</v>
      </c>
      <c r="D9426" s="9" t="s">
        <v>17161</v>
      </c>
      <c r="E9426" s="11" t="s">
        <v>28</v>
      </c>
      <c r="F9426" s="10" t="s">
        <v>28</v>
      </c>
      <c r="G9426" s="10" t="s">
        <v>28</v>
      </c>
      <c r="H9426" s="10" t="s">
        <v>28</v>
      </c>
      <c r="I9426" s="11" t="s">
        <v>28</v>
      </c>
      <c r="J9426" s="11" t="s">
        <v>28</v>
      </c>
      <c r="K9426" s="11" t="s">
        <v>28</v>
      </c>
      <c r="L9426" s="11" t="s">
        <v>28</v>
      </c>
      <c r="M9426" s="11" t="s">
        <v>28</v>
      </c>
      <c r="N9426" s="8">
        <v>42370</v>
      </c>
      <c r="O9426" s="9" t="s">
        <v>52</v>
      </c>
      <c r="P9426" s="12" t="s">
        <v>3375</v>
      </c>
      <c r="Q9426" s="9" t="s">
        <v>75</v>
      </c>
      <c r="R9426" s="14" t="str">
        <f>HYPERLINK("https://my.pitchbook.com?c=136966-69T","View Company Online")</f>
        <v>View Company Online</v>
      </c>
    </row>
    <row r="9427" spans="1:18" hidden="1" x14ac:dyDescent="0.3">
      <c r="A9427" s="15" t="s">
        <v>26908</v>
      </c>
      <c r="B9427" s="15" t="s">
        <v>1387</v>
      </c>
      <c r="C9427" s="18" t="s">
        <v>28</v>
      </c>
      <c r="D9427" s="15" t="s">
        <v>1388</v>
      </c>
      <c r="E9427" s="18">
        <v>-24.22</v>
      </c>
      <c r="F9427" s="19" t="s">
        <v>28</v>
      </c>
      <c r="G9427" s="19" t="s">
        <v>28</v>
      </c>
      <c r="H9427" s="19" t="s">
        <v>28</v>
      </c>
      <c r="I9427" s="18">
        <v>7.57</v>
      </c>
      <c r="J9427" s="18" t="s">
        <v>28</v>
      </c>
      <c r="K9427" s="18">
        <v>484.86</v>
      </c>
      <c r="L9427" s="18" t="s">
        <v>28</v>
      </c>
      <c r="M9427" s="18">
        <v>-29.69</v>
      </c>
      <c r="N9427" s="17">
        <v>42370</v>
      </c>
      <c r="O9427" s="15" t="s">
        <v>41</v>
      </c>
      <c r="P9427" s="16" t="s">
        <v>26909</v>
      </c>
      <c r="Q9427" s="15" t="s">
        <v>169</v>
      </c>
      <c r="R9427" s="13" t="str">
        <f>HYPERLINK("https://my.pitchbook.com?c=190863-46T","View Company Online")</f>
        <v>View Company Online</v>
      </c>
    </row>
    <row r="9428" spans="1:18" hidden="1" x14ac:dyDescent="0.3">
      <c r="A9428" s="9" t="s">
        <v>26910</v>
      </c>
      <c r="B9428" s="9" t="s">
        <v>26911</v>
      </c>
      <c r="C9428" s="11" t="s">
        <v>28</v>
      </c>
      <c r="D9428" s="9" t="s">
        <v>26912</v>
      </c>
      <c r="E9428" s="11" t="s">
        <v>28</v>
      </c>
      <c r="F9428" s="10" t="s">
        <v>28</v>
      </c>
      <c r="G9428" s="10" t="s">
        <v>28</v>
      </c>
      <c r="H9428" s="10" t="s">
        <v>28</v>
      </c>
      <c r="I9428" s="11" t="s">
        <v>28</v>
      </c>
      <c r="J9428" s="11" t="s">
        <v>28</v>
      </c>
      <c r="K9428" s="11" t="s">
        <v>28</v>
      </c>
      <c r="L9428" s="11" t="s">
        <v>28</v>
      </c>
      <c r="M9428" s="11" t="s">
        <v>28</v>
      </c>
      <c r="N9428" s="8">
        <v>42370</v>
      </c>
      <c r="O9428" s="9" t="s">
        <v>41</v>
      </c>
      <c r="P9428" s="12" t="s">
        <v>20043</v>
      </c>
      <c r="Q9428" s="9" t="s">
        <v>43</v>
      </c>
      <c r="R9428" s="14" t="str">
        <f>HYPERLINK("https://my.pitchbook.com?c=293715-46T","View Company Online")</f>
        <v>View Company Online</v>
      </c>
    </row>
    <row r="9429" spans="1:18" hidden="1" x14ac:dyDescent="0.3">
      <c r="A9429" s="15" t="s">
        <v>26913</v>
      </c>
      <c r="B9429" s="15" t="s">
        <v>26914</v>
      </c>
      <c r="C9429" s="18" t="s">
        <v>28</v>
      </c>
      <c r="D9429" s="15" t="s">
        <v>26915</v>
      </c>
      <c r="E9429" s="18" t="s">
        <v>28</v>
      </c>
      <c r="F9429" s="19" t="s">
        <v>28</v>
      </c>
      <c r="G9429" s="19">
        <v>0.52</v>
      </c>
      <c r="H9429" s="19" t="s">
        <v>28</v>
      </c>
      <c r="I9429" s="18" t="s">
        <v>28</v>
      </c>
      <c r="J9429" s="18" t="s">
        <v>28</v>
      </c>
      <c r="K9429" s="18" t="s">
        <v>28</v>
      </c>
      <c r="L9429" s="18" t="s">
        <v>28</v>
      </c>
      <c r="M9429" s="18" t="s">
        <v>28</v>
      </c>
      <c r="N9429" s="17">
        <v>42370</v>
      </c>
      <c r="O9429" s="15" t="s">
        <v>73</v>
      </c>
      <c r="P9429" s="16" t="s">
        <v>1755</v>
      </c>
      <c r="Q9429" s="15" t="s">
        <v>583</v>
      </c>
      <c r="R9429" s="13" t="str">
        <f>HYPERLINK("https://my.pitchbook.com?c=124561-90T","View Company Online")</f>
        <v>View Company Online</v>
      </c>
    </row>
    <row r="9430" spans="1:18" hidden="1" x14ac:dyDescent="0.3">
      <c r="A9430" s="9" t="s">
        <v>26916</v>
      </c>
      <c r="B9430" s="9" t="s">
        <v>13940</v>
      </c>
      <c r="C9430" s="11" t="s">
        <v>28</v>
      </c>
      <c r="D9430" s="9" t="s">
        <v>13941</v>
      </c>
      <c r="E9430" s="11" t="s">
        <v>28</v>
      </c>
      <c r="F9430" s="10" t="s">
        <v>28</v>
      </c>
      <c r="G9430" s="10" t="s">
        <v>28</v>
      </c>
      <c r="H9430" s="10" t="s">
        <v>28</v>
      </c>
      <c r="I9430" s="11" t="s">
        <v>28</v>
      </c>
      <c r="J9430" s="11" t="s">
        <v>28</v>
      </c>
      <c r="K9430" s="11" t="s">
        <v>28</v>
      </c>
      <c r="L9430" s="11" t="s">
        <v>28</v>
      </c>
      <c r="M9430" s="11" t="s">
        <v>28</v>
      </c>
      <c r="N9430" s="8">
        <v>42370</v>
      </c>
      <c r="O9430" s="9" t="s">
        <v>30</v>
      </c>
      <c r="P9430" s="12" t="s">
        <v>26917</v>
      </c>
      <c r="Q9430" s="9" t="s">
        <v>105</v>
      </c>
      <c r="R9430" s="14" t="str">
        <f>HYPERLINK("https://my.pitchbook.com?c=211686-31T","View Company Online")</f>
        <v>View Company Online</v>
      </c>
    </row>
    <row r="9431" spans="1:18" hidden="1" x14ac:dyDescent="0.3">
      <c r="A9431" s="15" t="s">
        <v>26918</v>
      </c>
      <c r="B9431" s="15" t="s">
        <v>13349</v>
      </c>
      <c r="C9431" s="18" t="s">
        <v>28</v>
      </c>
      <c r="D9431" s="15" t="s">
        <v>13350</v>
      </c>
      <c r="E9431" s="18" t="s">
        <v>28</v>
      </c>
      <c r="F9431" s="19" t="s">
        <v>28</v>
      </c>
      <c r="G9431" s="19" t="s">
        <v>28</v>
      </c>
      <c r="H9431" s="19" t="s">
        <v>28</v>
      </c>
      <c r="I9431" s="18" t="s">
        <v>28</v>
      </c>
      <c r="J9431" s="18" t="s">
        <v>28</v>
      </c>
      <c r="K9431" s="18" t="s">
        <v>28</v>
      </c>
      <c r="L9431" s="18" t="s">
        <v>28</v>
      </c>
      <c r="M9431" s="18" t="s">
        <v>28</v>
      </c>
      <c r="N9431" s="17">
        <v>42370</v>
      </c>
      <c r="O9431" s="15" t="s">
        <v>79</v>
      </c>
      <c r="P9431" s="16" t="s">
        <v>3825</v>
      </c>
      <c r="Q9431" s="15" t="s">
        <v>37</v>
      </c>
      <c r="R9431" s="13" t="str">
        <f>HYPERLINK("https://my.pitchbook.com?c=215818-30T","View Company Online")</f>
        <v>View Company Online</v>
      </c>
    </row>
    <row r="9432" spans="1:18" hidden="1" x14ac:dyDescent="0.3">
      <c r="A9432" s="9" t="s">
        <v>26919</v>
      </c>
      <c r="B9432" s="9" t="s">
        <v>6277</v>
      </c>
      <c r="C9432" s="11" t="s">
        <v>28</v>
      </c>
      <c r="D9432" s="9" t="s">
        <v>6278</v>
      </c>
      <c r="E9432" s="11" t="s">
        <v>28</v>
      </c>
      <c r="F9432" s="10" t="s">
        <v>28</v>
      </c>
      <c r="G9432" s="10">
        <v>0.26</v>
      </c>
      <c r="H9432" s="10" t="s">
        <v>28</v>
      </c>
      <c r="I9432" s="11" t="s">
        <v>28</v>
      </c>
      <c r="J9432" s="11" t="s">
        <v>28</v>
      </c>
      <c r="K9432" s="11" t="s">
        <v>28</v>
      </c>
      <c r="L9432" s="11" t="s">
        <v>28</v>
      </c>
      <c r="M9432" s="11" t="s">
        <v>28</v>
      </c>
      <c r="N9432" s="8">
        <v>42370</v>
      </c>
      <c r="O9432" s="9" t="s">
        <v>79</v>
      </c>
      <c r="P9432" s="12" t="s">
        <v>26920</v>
      </c>
      <c r="Q9432" s="9" t="s">
        <v>75</v>
      </c>
      <c r="R9432" s="14" t="str">
        <f>HYPERLINK("https://my.pitchbook.com?c=100718-92T","View Company Online")</f>
        <v>View Company Online</v>
      </c>
    </row>
    <row r="9433" spans="1:18" hidden="1" x14ac:dyDescent="0.3">
      <c r="A9433" s="15" t="s">
        <v>26921</v>
      </c>
      <c r="B9433" s="15" t="s">
        <v>14386</v>
      </c>
      <c r="C9433" s="18" t="s">
        <v>28</v>
      </c>
      <c r="D9433" s="15" t="s">
        <v>14387</v>
      </c>
      <c r="E9433" s="18" t="s">
        <v>28</v>
      </c>
      <c r="F9433" s="19" t="s">
        <v>28</v>
      </c>
      <c r="G9433" s="19" t="s">
        <v>28</v>
      </c>
      <c r="H9433" s="19" t="s">
        <v>28</v>
      </c>
      <c r="I9433" s="18" t="s">
        <v>28</v>
      </c>
      <c r="J9433" s="18" t="s">
        <v>28</v>
      </c>
      <c r="K9433" s="18" t="s">
        <v>28</v>
      </c>
      <c r="L9433" s="18" t="s">
        <v>28</v>
      </c>
      <c r="M9433" s="18" t="s">
        <v>28</v>
      </c>
      <c r="N9433" s="17">
        <v>42370</v>
      </c>
      <c r="O9433" s="15" t="s">
        <v>379</v>
      </c>
      <c r="P9433" s="16" t="s">
        <v>28</v>
      </c>
      <c r="Q9433" s="15" t="s">
        <v>414</v>
      </c>
      <c r="R9433" s="13" t="str">
        <f>HYPERLINK("https://my.pitchbook.com?c=92599-12T","View Company Online")</f>
        <v>View Company Online</v>
      </c>
    </row>
    <row r="9434" spans="1:18" hidden="1" x14ac:dyDescent="0.3">
      <c r="A9434" s="9" t="s">
        <v>26922</v>
      </c>
      <c r="B9434" s="9" t="s">
        <v>22985</v>
      </c>
      <c r="C9434" s="11" t="s">
        <v>28</v>
      </c>
      <c r="D9434" s="9" t="s">
        <v>22986</v>
      </c>
      <c r="E9434" s="11" t="s">
        <v>28</v>
      </c>
      <c r="F9434" s="10" t="s">
        <v>28</v>
      </c>
      <c r="G9434" s="10" t="s">
        <v>28</v>
      </c>
      <c r="H9434" s="10" t="s">
        <v>28</v>
      </c>
      <c r="I9434" s="11" t="s">
        <v>28</v>
      </c>
      <c r="J9434" s="11" t="s">
        <v>28</v>
      </c>
      <c r="K9434" s="11" t="s">
        <v>28</v>
      </c>
      <c r="L9434" s="11" t="s">
        <v>28</v>
      </c>
      <c r="M9434" s="11" t="s">
        <v>28</v>
      </c>
      <c r="N9434" s="8">
        <v>42370</v>
      </c>
      <c r="O9434" s="9" t="s">
        <v>30</v>
      </c>
      <c r="P9434" s="12" t="s">
        <v>23794</v>
      </c>
      <c r="Q9434" s="9" t="s">
        <v>1361</v>
      </c>
      <c r="R9434" s="14" t="str">
        <f>HYPERLINK("https://my.pitchbook.com?c=253955-89T","View Company Online")</f>
        <v>View Company Online</v>
      </c>
    </row>
    <row r="9435" spans="1:18" hidden="1" x14ac:dyDescent="0.3">
      <c r="A9435" s="15" t="s">
        <v>26923</v>
      </c>
      <c r="B9435" s="15" t="s">
        <v>2925</v>
      </c>
      <c r="C9435" s="18" t="s">
        <v>28</v>
      </c>
      <c r="D9435" s="15" t="s">
        <v>2926</v>
      </c>
      <c r="E9435" s="18" t="s">
        <v>28</v>
      </c>
      <c r="F9435" s="19" t="s">
        <v>28</v>
      </c>
      <c r="G9435" s="19" t="s">
        <v>28</v>
      </c>
      <c r="H9435" s="19" t="s">
        <v>28</v>
      </c>
      <c r="I9435" s="18" t="s">
        <v>28</v>
      </c>
      <c r="J9435" s="18" t="s">
        <v>28</v>
      </c>
      <c r="K9435" s="18" t="s">
        <v>28</v>
      </c>
      <c r="L9435" s="18" t="s">
        <v>28</v>
      </c>
      <c r="M9435" s="18" t="s">
        <v>28</v>
      </c>
      <c r="N9435" s="17">
        <v>42370</v>
      </c>
      <c r="O9435" s="15" t="s">
        <v>52</v>
      </c>
      <c r="P9435" s="16" t="s">
        <v>26202</v>
      </c>
      <c r="Q9435" s="15" t="s">
        <v>85</v>
      </c>
      <c r="R9435" s="13" t="str">
        <f>HYPERLINK("https://my.pitchbook.com?c=100331-56T","View Company Online")</f>
        <v>View Company Online</v>
      </c>
    </row>
    <row r="9436" spans="1:18" hidden="1" x14ac:dyDescent="0.3">
      <c r="A9436" s="9" t="s">
        <v>26924</v>
      </c>
      <c r="B9436" s="9" t="s">
        <v>26526</v>
      </c>
      <c r="C9436" s="11" t="s">
        <v>28</v>
      </c>
      <c r="D9436" s="9" t="s">
        <v>26527</v>
      </c>
      <c r="E9436" s="11" t="s">
        <v>28</v>
      </c>
      <c r="F9436" s="10" t="s">
        <v>28</v>
      </c>
      <c r="G9436" s="10" t="s">
        <v>28</v>
      </c>
      <c r="H9436" s="10" t="s">
        <v>28</v>
      </c>
      <c r="I9436" s="11" t="s">
        <v>28</v>
      </c>
      <c r="J9436" s="11" t="s">
        <v>28</v>
      </c>
      <c r="K9436" s="11" t="s">
        <v>28</v>
      </c>
      <c r="L9436" s="11" t="s">
        <v>28</v>
      </c>
      <c r="M9436" s="11" t="s">
        <v>28</v>
      </c>
      <c r="N9436" s="8">
        <v>42370</v>
      </c>
      <c r="O9436" s="9" t="s">
        <v>52</v>
      </c>
      <c r="P9436" s="12" t="s">
        <v>26749</v>
      </c>
      <c r="Q9436" s="9" t="s">
        <v>7209</v>
      </c>
      <c r="R9436" s="14" t="str">
        <f>HYPERLINK("https://my.pitchbook.com?c=132876-73T","View Company Online")</f>
        <v>View Company Online</v>
      </c>
    </row>
    <row r="9437" spans="1:18" hidden="1" x14ac:dyDescent="0.3">
      <c r="A9437" s="15" t="s">
        <v>26925</v>
      </c>
      <c r="B9437" s="15" t="s">
        <v>22583</v>
      </c>
      <c r="C9437" s="18" t="s">
        <v>28</v>
      </c>
      <c r="D9437" s="15" t="s">
        <v>22584</v>
      </c>
      <c r="E9437" s="18" t="s">
        <v>28</v>
      </c>
      <c r="F9437" s="19" t="s">
        <v>28</v>
      </c>
      <c r="G9437" s="19">
        <v>0.21</v>
      </c>
      <c r="H9437" s="19" t="s">
        <v>28</v>
      </c>
      <c r="I9437" s="18" t="s">
        <v>28</v>
      </c>
      <c r="J9437" s="18" t="s">
        <v>28</v>
      </c>
      <c r="K9437" s="18" t="s">
        <v>28</v>
      </c>
      <c r="L9437" s="18" t="s">
        <v>28</v>
      </c>
      <c r="M9437" s="18" t="s">
        <v>28</v>
      </c>
      <c r="N9437" s="17">
        <v>42370</v>
      </c>
      <c r="O9437" s="15" t="s">
        <v>79</v>
      </c>
      <c r="P9437" s="16" t="s">
        <v>28</v>
      </c>
      <c r="Q9437" s="15" t="s">
        <v>95</v>
      </c>
      <c r="R9437" s="13" t="str">
        <f>HYPERLINK("https://my.pitchbook.com?c=133187-23T","View Company Online")</f>
        <v>View Company Online</v>
      </c>
    </row>
    <row r="9438" spans="1:18" hidden="1" x14ac:dyDescent="0.3">
      <c r="A9438" s="9" t="s">
        <v>26926</v>
      </c>
      <c r="B9438" s="9" t="s">
        <v>18354</v>
      </c>
      <c r="C9438" s="11" t="s">
        <v>28</v>
      </c>
      <c r="D9438" s="9" t="s">
        <v>18355</v>
      </c>
      <c r="E9438" s="11" t="s">
        <v>28</v>
      </c>
      <c r="F9438" s="10" t="s">
        <v>28</v>
      </c>
      <c r="G9438" s="10" t="s">
        <v>28</v>
      </c>
      <c r="H9438" s="10" t="s">
        <v>28</v>
      </c>
      <c r="I9438" s="11" t="s">
        <v>28</v>
      </c>
      <c r="J9438" s="11" t="s">
        <v>28</v>
      </c>
      <c r="K9438" s="11" t="s">
        <v>28</v>
      </c>
      <c r="L9438" s="11" t="s">
        <v>28</v>
      </c>
      <c r="M9438" s="11" t="s">
        <v>28</v>
      </c>
      <c r="N9438" s="8">
        <v>42370</v>
      </c>
      <c r="O9438" s="9" t="s">
        <v>52</v>
      </c>
      <c r="P9438" s="12" t="s">
        <v>17245</v>
      </c>
      <c r="Q9438" s="9" t="s">
        <v>75</v>
      </c>
      <c r="R9438" s="14" t="str">
        <f>HYPERLINK("https://my.pitchbook.com?c=98736-67T","View Company Online")</f>
        <v>View Company Online</v>
      </c>
    </row>
    <row r="9439" spans="1:18" hidden="1" x14ac:dyDescent="0.3">
      <c r="A9439" s="15" t="s">
        <v>26927</v>
      </c>
      <c r="B9439" s="15" t="s">
        <v>11069</v>
      </c>
      <c r="C9439" s="18" t="s">
        <v>28</v>
      </c>
      <c r="D9439" s="15" t="s">
        <v>11070</v>
      </c>
      <c r="E9439" s="18" t="s">
        <v>28</v>
      </c>
      <c r="F9439" s="19" t="s">
        <v>28</v>
      </c>
      <c r="G9439" s="19">
        <v>0.26</v>
      </c>
      <c r="H9439" s="19" t="s">
        <v>28</v>
      </c>
      <c r="I9439" s="18" t="s">
        <v>28</v>
      </c>
      <c r="J9439" s="18" t="s">
        <v>28</v>
      </c>
      <c r="K9439" s="18" t="s">
        <v>28</v>
      </c>
      <c r="L9439" s="18" t="s">
        <v>28</v>
      </c>
      <c r="M9439" s="18" t="s">
        <v>28</v>
      </c>
      <c r="N9439" s="17">
        <v>42370</v>
      </c>
      <c r="O9439" s="15" t="s">
        <v>99</v>
      </c>
      <c r="P9439" s="16" t="s">
        <v>28</v>
      </c>
      <c r="Q9439" s="15" t="s">
        <v>285</v>
      </c>
      <c r="R9439" s="13" t="str">
        <f>HYPERLINK("https://my.pitchbook.com?c=191785-60T","View Company Online")</f>
        <v>View Company Online</v>
      </c>
    </row>
    <row r="9440" spans="1:18" hidden="1" x14ac:dyDescent="0.3">
      <c r="A9440" s="9" t="s">
        <v>26928</v>
      </c>
      <c r="B9440" s="9" t="s">
        <v>17123</v>
      </c>
      <c r="C9440" s="11" t="s">
        <v>28</v>
      </c>
      <c r="D9440" s="9" t="s">
        <v>17124</v>
      </c>
      <c r="E9440" s="11" t="s">
        <v>28</v>
      </c>
      <c r="F9440" s="10" t="s">
        <v>28</v>
      </c>
      <c r="G9440" s="10">
        <v>0.04</v>
      </c>
      <c r="H9440" s="10">
        <v>0.39</v>
      </c>
      <c r="I9440" s="11" t="s">
        <v>28</v>
      </c>
      <c r="J9440" s="11" t="s">
        <v>28</v>
      </c>
      <c r="K9440" s="11" t="s">
        <v>28</v>
      </c>
      <c r="L9440" s="11" t="s">
        <v>28</v>
      </c>
      <c r="M9440" s="11" t="s">
        <v>28</v>
      </c>
      <c r="N9440" s="8">
        <v>42370</v>
      </c>
      <c r="O9440" s="9" t="s">
        <v>52</v>
      </c>
      <c r="P9440" s="12" t="s">
        <v>7022</v>
      </c>
      <c r="Q9440" s="9" t="s">
        <v>5347</v>
      </c>
      <c r="R9440" s="14" t="str">
        <f>HYPERLINK("https://my.pitchbook.com?c=94862-53T","View Company Online")</f>
        <v>View Company Online</v>
      </c>
    </row>
    <row r="9441" spans="1:18" hidden="1" x14ac:dyDescent="0.3">
      <c r="A9441" s="15" t="s">
        <v>26929</v>
      </c>
      <c r="B9441" s="15" t="s">
        <v>17123</v>
      </c>
      <c r="C9441" s="18" t="s">
        <v>28</v>
      </c>
      <c r="D9441" s="15" t="s">
        <v>17124</v>
      </c>
      <c r="E9441" s="18" t="s">
        <v>28</v>
      </c>
      <c r="F9441" s="19" t="s">
        <v>28</v>
      </c>
      <c r="G9441" s="19" t="s">
        <v>28</v>
      </c>
      <c r="H9441" s="19" t="s">
        <v>28</v>
      </c>
      <c r="I9441" s="18" t="s">
        <v>28</v>
      </c>
      <c r="J9441" s="18" t="s">
        <v>28</v>
      </c>
      <c r="K9441" s="18" t="s">
        <v>28</v>
      </c>
      <c r="L9441" s="18" t="s">
        <v>28</v>
      </c>
      <c r="M9441" s="18" t="s">
        <v>28</v>
      </c>
      <c r="N9441" s="17">
        <v>42370</v>
      </c>
      <c r="O9441" s="15" t="s">
        <v>73</v>
      </c>
      <c r="P9441" s="16" t="s">
        <v>26930</v>
      </c>
      <c r="Q9441" s="15" t="s">
        <v>5347</v>
      </c>
      <c r="R9441" s="13" t="str">
        <f>HYPERLINK("https://my.pitchbook.com?c=102669-94T","View Company Online")</f>
        <v>View Company Online</v>
      </c>
    </row>
    <row r="9442" spans="1:18" hidden="1" x14ac:dyDescent="0.3">
      <c r="A9442" s="9" t="s">
        <v>26931</v>
      </c>
      <c r="B9442" s="9" t="s">
        <v>2679</v>
      </c>
      <c r="C9442" s="11" t="s">
        <v>28</v>
      </c>
      <c r="D9442" s="9" t="s">
        <v>17437</v>
      </c>
      <c r="E9442" s="11" t="s">
        <v>28</v>
      </c>
      <c r="F9442" s="10" t="s">
        <v>28</v>
      </c>
      <c r="G9442" s="10" t="s">
        <v>28</v>
      </c>
      <c r="H9442" s="10" t="s">
        <v>28</v>
      </c>
      <c r="I9442" s="11" t="s">
        <v>28</v>
      </c>
      <c r="J9442" s="11" t="s">
        <v>28</v>
      </c>
      <c r="K9442" s="11" t="s">
        <v>28</v>
      </c>
      <c r="L9442" s="11" t="s">
        <v>28</v>
      </c>
      <c r="M9442" s="11" t="s">
        <v>28</v>
      </c>
      <c r="N9442" s="8">
        <v>42370</v>
      </c>
      <c r="O9442" s="9" t="s">
        <v>79</v>
      </c>
      <c r="P9442" s="12" t="s">
        <v>23954</v>
      </c>
      <c r="Q9442" s="9" t="s">
        <v>37</v>
      </c>
      <c r="R9442" s="14" t="str">
        <f>HYPERLINK("https://my.pitchbook.com?c=83355-13T","View Company Online")</f>
        <v>View Company Online</v>
      </c>
    </row>
    <row r="9443" spans="1:18" hidden="1" x14ac:dyDescent="0.3">
      <c r="A9443" s="15" t="s">
        <v>26932</v>
      </c>
      <c r="B9443" s="15" t="s">
        <v>7273</v>
      </c>
      <c r="C9443" s="18" t="s">
        <v>28</v>
      </c>
      <c r="D9443" s="15" t="s">
        <v>7274</v>
      </c>
      <c r="E9443" s="18" t="s">
        <v>28</v>
      </c>
      <c r="F9443" s="19" t="s">
        <v>28</v>
      </c>
      <c r="G9443" s="19" t="s">
        <v>28</v>
      </c>
      <c r="H9443" s="19" t="s">
        <v>28</v>
      </c>
      <c r="I9443" s="18" t="s">
        <v>28</v>
      </c>
      <c r="J9443" s="18" t="s">
        <v>28</v>
      </c>
      <c r="K9443" s="18" t="s">
        <v>28</v>
      </c>
      <c r="L9443" s="18" t="s">
        <v>28</v>
      </c>
      <c r="M9443" s="18" t="s">
        <v>28</v>
      </c>
      <c r="N9443" s="17">
        <v>42370</v>
      </c>
      <c r="O9443" s="15" t="s">
        <v>73</v>
      </c>
      <c r="P9443" s="16" t="s">
        <v>26933</v>
      </c>
      <c r="Q9443" s="15" t="s">
        <v>75</v>
      </c>
      <c r="R9443" s="13" t="str">
        <f>HYPERLINK("https://my.pitchbook.com?c=216116-83T","View Company Online")</f>
        <v>View Company Online</v>
      </c>
    </row>
    <row r="9444" spans="1:18" hidden="1" x14ac:dyDescent="0.3">
      <c r="A9444" s="9" t="s">
        <v>26934</v>
      </c>
      <c r="B9444" s="9" t="s">
        <v>23799</v>
      </c>
      <c r="C9444" s="11" t="s">
        <v>28</v>
      </c>
      <c r="D9444" s="9" t="s">
        <v>23800</v>
      </c>
      <c r="E9444" s="11" t="s">
        <v>28</v>
      </c>
      <c r="F9444" s="10" t="s">
        <v>28</v>
      </c>
      <c r="G9444" s="10" t="s">
        <v>28</v>
      </c>
      <c r="H9444" s="10" t="s">
        <v>28</v>
      </c>
      <c r="I9444" s="11" t="s">
        <v>28</v>
      </c>
      <c r="J9444" s="11" t="s">
        <v>28</v>
      </c>
      <c r="K9444" s="11" t="s">
        <v>28</v>
      </c>
      <c r="L9444" s="11" t="s">
        <v>28</v>
      </c>
      <c r="M9444" s="11" t="s">
        <v>28</v>
      </c>
      <c r="N9444" s="8">
        <v>42370</v>
      </c>
      <c r="O9444" s="9" t="s">
        <v>379</v>
      </c>
      <c r="P9444" s="12" t="s">
        <v>26935</v>
      </c>
      <c r="Q9444" s="9" t="s">
        <v>75</v>
      </c>
      <c r="R9444" s="14" t="str">
        <f>HYPERLINK("https://my.pitchbook.com?c=215898-40T","View Company Online")</f>
        <v>View Company Online</v>
      </c>
    </row>
    <row r="9445" spans="1:18" hidden="1" x14ac:dyDescent="0.3">
      <c r="A9445" s="15" t="s">
        <v>26936</v>
      </c>
      <c r="B9445" s="15" t="s">
        <v>10365</v>
      </c>
      <c r="C9445" s="18" t="s">
        <v>28</v>
      </c>
      <c r="D9445" s="15" t="s">
        <v>10366</v>
      </c>
      <c r="E9445" s="18" t="s">
        <v>28</v>
      </c>
      <c r="F9445" s="19" t="s">
        <v>28</v>
      </c>
      <c r="G9445" s="19" t="s">
        <v>28</v>
      </c>
      <c r="H9445" s="19" t="s">
        <v>28</v>
      </c>
      <c r="I9445" s="18" t="s">
        <v>28</v>
      </c>
      <c r="J9445" s="18" t="s">
        <v>28</v>
      </c>
      <c r="K9445" s="18" t="s">
        <v>28</v>
      </c>
      <c r="L9445" s="18" t="s">
        <v>28</v>
      </c>
      <c r="M9445" s="18" t="s">
        <v>28</v>
      </c>
      <c r="N9445" s="17">
        <v>42370</v>
      </c>
      <c r="O9445" s="15" t="s">
        <v>52</v>
      </c>
      <c r="P9445" s="16" t="s">
        <v>28</v>
      </c>
      <c r="Q9445" s="15" t="s">
        <v>75</v>
      </c>
      <c r="R9445" s="13" t="str">
        <f>HYPERLINK("https://my.pitchbook.com?c=125801-29T","View Company Online")</f>
        <v>View Company Online</v>
      </c>
    </row>
    <row r="9446" spans="1:18" hidden="1" x14ac:dyDescent="0.3">
      <c r="A9446" s="9" t="s">
        <v>26937</v>
      </c>
      <c r="B9446" s="9" t="s">
        <v>1559</v>
      </c>
      <c r="C9446" s="11" t="s">
        <v>28</v>
      </c>
      <c r="D9446" s="9" t="s">
        <v>1560</v>
      </c>
      <c r="E9446" s="11" t="s">
        <v>28</v>
      </c>
      <c r="F9446" s="10" t="s">
        <v>28</v>
      </c>
      <c r="G9446" s="10" t="s">
        <v>28</v>
      </c>
      <c r="H9446" s="10" t="s">
        <v>28</v>
      </c>
      <c r="I9446" s="11" t="s">
        <v>28</v>
      </c>
      <c r="J9446" s="11" t="s">
        <v>28</v>
      </c>
      <c r="K9446" s="11" t="s">
        <v>28</v>
      </c>
      <c r="L9446" s="11" t="s">
        <v>28</v>
      </c>
      <c r="M9446" s="11" t="s">
        <v>28</v>
      </c>
      <c r="N9446" s="8">
        <v>42370</v>
      </c>
      <c r="O9446" s="9" t="s">
        <v>52</v>
      </c>
      <c r="P9446" s="12" t="s">
        <v>25726</v>
      </c>
      <c r="Q9446" s="9" t="s">
        <v>213</v>
      </c>
      <c r="R9446" s="14" t="str">
        <f>HYPERLINK("https://my.pitchbook.com?c=280717-12T","View Company Online")</f>
        <v>View Company Online</v>
      </c>
    </row>
    <row r="9447" spans="1:18" hidden="1" x14ac:dyDescent="0.3">
      <c r="A9447" s="15" t="s">
        <v>26938</v>
      </c>
      <c r="B9447" s="15" t="s">
        <v>26939</v>
      </c>
      <c r="C9447" s="18" t="s">
        <v>28</v>
      </c>
      <c r="D9447" s="15" t="s">
        <v>26940</v>
      </c>
      <c r="E9447" s="18" t="s">
        <v>28</v>
      </c>
      <c r="F9447" s="19" t="s">
        <v>28</v>
      </c>
      <c r="G9447" s="19" t="s">
        <v>28</v>
      </c>
      <c r="H9447" s="19" t="s">
        <v>28</v>
      </c>
      <c r="I9447" s="18" t="s">
        <v>28</v>
      </c>
      <c r="J9447" s="18" t="s">
        <v>28</v>
      </c>
      <c r="K9447" s="18" t="s">
        <v>28</v>
      </c>
      <c r="L9447" s="18" t="s">
        <v>28</v>
      </c>
      <c r="M9447" s="18" t="s">
        <v>28</v>
      </c>
      <c r="N9447" s="17">
        <v>42370</v>
      </c>
      <c r="O9447" s="15" t="s">
        <v>73</v>
      </c>
      <c r="P9447" s="16" t="s">
        <v>26941</v>
      </c>
      <c r="Q9447" s="15" t="s">
        <v>280</v>
      </c>
      <c r="R9447" s="13" t="str">
        <f>HYPERLINK("https://my.pitchbook.com?c=111131-74T","View Company Online")</f>
        <v>View Company Online</v>
      </c>
    </row>
    <row r="9448" spans="1:18" hidden="1" x14ac:dyDescent="0.3">
      <c r="A9448" s="9" t="s">
        <v>26942</v>
      </c>
      <c r="B9448" s="9" t="s">
        <v>26943</v>
      </c>
      <c r="C9448" s="11" t="s">
        <v>28</v>
      </c>
      <c r="D9448" s="9" t="s">
        <v>26944</v>
      </c>
      <c r="E9448" s="11" t="s">
        <v>28</v>
      </c>
      <c r="F9448" s="10" t="s">
        <v>28</v>
      </c>
      <c r="G9448" s="10" t="s">
        <v>28</v>
      </c>
      <c r="H9448" s="10" t="s">
        <v>28</v>
      </c>
      <c r="I9448" s="11" t="s">
        <v>28</v>
      </c>
      <c r="J9448" s="11" t="s">
        <v>28</v>
      </c>
      <c r="K9448" s="11">
        <v>0.84</v>
      </c>
      <c r="L9448" s="11" t="s">
        <v>28</v>
      </c>
      <c r="M9448" s="11" t="s">
        <v>28</v>
      </c>
      <c r="N9448" s="8">
        <v>42370</v>
      </c>
      <c r="O9448" s="9" t="s">
        <v>47</v>
      </c>
      <c r="P9448" s="12" t="s">
        <v>26945</v>
      </c>
      <c r="Q9448" s="9" t="s">
        <v>362</v>
      </c>
      <c r="R9448" s="14" t="str">
        <f>HYPERLINK("https://my.pitchbook.com?c=98242-75T","View Company Online")</f>
        <v>View Company Online</v>
      </c>
    </row>
    <row r="9449" spans="1:18" hidden="1" x14ac:dyDescent="0.3">
      <c r="A9449" s="15" t="s">
        <v>26946</v>
      </c>
      <c r="B9449" s="15" t="s">
        <v>26943</v>
      </c>
      <c r="C9449" s="18" t="s">
        <v>28</v>
      </c>
      <c r="D9449" s="15" t="s">
        <v>26944</v>
      </c>
      <c r="E9449" s="18" t="s">
        <v>28</v>
      </c>
      <c r="F9449" s="19" t="s">
        <v>28</v>
      </c>
      <c r="G9449" s="19">
        <v>3.11</v>
      </c>
      <c r="H9449" s="19" t="s">
        <v>28</v>
      </c>
      <c r="I9449" s="18" t="s">
        <v>28</v>
      </c>
      <c r="J9449" s="18" t="s">
        <v>28</v>
      </c>
      <c r="K9449" s="18">
        <v>0.84</v>
      </c>
      <c r="L9449" s="18" t="s">
        <v>28</v>
      </c>
      <c r="M9449" s="18" t="s">
        <v>28</v>
      </c>
      <c r="N9449" s="17">
        <v>42370</v>
      </c>
      <c r="O9449" s="15" t="s">
        <v>79</v>
      </c>
      <c r="P9449" s="16" t="s">
        <v>26947</v>
      </c>
      <c r="Q9449" s="15" t="s">
        <v>362</v>
      </c>
      <c r="R9449" s="13" t="str">
        <f>HYPERLINK("https://my.pitchbook.com?c=98245-45T","View Company Online")</f>
        <v>View Company Online</v>
      </c>
    </row>
    <row r="9450" spans="1:18" hidden="1" x14ac:dyDescent="0.3">
      <c r="A9450" s="9" t="s">
        <v>26948</v>
      </c>
      <c r="B9450" s="9" t="s">
        <v>21772</v>
      </c>
      <c r="C9450" s="11" t="s">
        <v>28</v>
      </c>
      <c r="D9450" s="9" t="s">
        <v>21773</v>
      </c>
      <c r="E9450" s="11" t="s">
        <v>28</v>
      </c>
      <c r="F9450" s="10" t="s">
        <v>28</v>
      </c>
      <c r="G9450" s="10" t="s">
        <v>28</v>
      </c>
      <c r="H9450" s="10" t="s">
        <v>28</v>
      </c>
      <c r="I9450" s="11" t="s">
        <v>28</v>
      </c>
      <c r="J9450" s="11" t="s">
        <v>28</v>
      </c>
      <c r="K9450" s="11" t="s">
        <v>28</v>
      </c>
      <c r="L9450" s="11" t="s">
        <v>28</v>
      </c>
      <c r="M9450" s="11" t="s">
        <v>28</v>
      </c>
      <c r="N9450" s="8">
        <v>42370</v>
      </c>
      <c r="O9450" s="9" t="s">
        <v>52</v>
      </c>
      <c r="P9450" s="12" t="s">
        <v>17245</v>
      </c>
      <c r="Q9450" s="9" t="s">
        <v>245</v>
      </c>
      <c r="R9450" s="14" t="str">
        <f>HYPERLINK("https://my.pitchbook.com?c=86194-36T","View Company Online")</f>
        <v>View Company Online</v>
      </c>
    </row>
    <row r="9451" spans="1:18" hidden="1" x14ac:dyDescent="0.3">
      <c r="A9451" s="15" t="s">
        <v>26949</v>
      </c>
      <c r="B9451" s="15" t="s">
        <v>26441</v>
      </c>
      <c r="C9451" s="18" t="s">
        <v>28</v>
      </c>
      <c r="D9451" s="15" t="s">
        <v>26442</v>
      </c>
      <c r="E9451" s="18" t="s">
        <v>28</v>
      </c>
      <c r="F9451" s="19" t="s">
        <v>28</v>
      </c>
      <c r="G9451" s="19" t="s">
        <v>28</v>
      </c>
      <c r="H9451" s="19" t="s">
        <v>28</v>
      </c>
      <c r="I9451" s="18" t="s">
        <v>28</v>
      </c>
      <c r="J9451" s="18" t="s">
        <v>28</v>
      </c>
      <c r="K9451" s="18" t="s">
        <v>28</v>
      </c>
      <c r="L9451" s="18" t="s">
        <v>28</v>
      </c>
      <c r="M9451" s="18" t="s">
        <v>28</v>
      </c>
      <c r="N9451" s="17">
        <v>42370</v>
      </c>
      <c r="O9451" s="15" t="s">
        <v>52</v>
      </c>
      <c r="P9451" s="16" t="s">
        <v>26950</v>
      </c>
      <c r="Q9451" s="15" t="s">
        <v>386</v>
      </c>
      <c r="R9451" s="13" t="str">
        <f>HYPERLINK("https://my.pitchbook.com?c=106420-87T","View Company Online")</f>
        <v>View Company Online</v>
      </c>
    </row>
    <row r="9452" spans="1:18" hidden="1" x14ac:dyDescent="0.3">
      <c r="A9452" s="9" t="s">
        <v>26951</v>
      </c>
      <c r="B9452" s="9" t="s">
        <v>15575</v>
      </c>
      <c r="C9452" s="11" t="s">
        <v>28</v>
      </c>
      <c r="D9452" s="9" t="s">
        <v>15576</v>
      </c>
      <c r="E9452" s="11" t="s">
        <v>28</v>
      </c>
      <c r="F9452" s="10" t="s">
        <v>28</v>
      </c>
      <c r="G9452" s="10">
        <v>0.03</v>
      </c>
      <c r="H9452" s="10" t="s">
        <v>28</v>
      </c>
      <c r="I9452" s="11" t="s">
        <v>28</v>
      </c>
      <c r="J9452" s="11" t="s">
        <v>28</v>
      </c>
      <c r="K9452" s="11" t="s">
        <v>28</v>
      </c>
      <c r="L9452" s="11" t="s">
        <v>28</v>
      </c>
      <c r="M9452" s="11" t="s">
        <v>28</v>
      </c>
      <c r="N9452" s="8">
        <v>42370</v>
      </c>
      <c r="O9452" s="9" t="s">
        <v>52</v>
      </c>
      <c r="P9452" s="12" t="s">
        <v>26952</v>
      </c>
      <c r="Q9452" s="9" t="s">
        <v>37</v>
      </c>
      <c r="R9452" s="14" t="str">
        <f>HYPERLINK("https://my.pitchbook.com?c=109755-64T","View Company Online")</f>
        <v>View Company Online</v>
      </c>
    </row>
    <row r="9453" spans="1:18" hidden="1" x14ac:dyDescent="0.3">
      <c r="A9453" s="15" t="s">
        <v>26953</v>
      </c>
      <c r="B9453" s="15" t="s">
        <v>26954</v>
      </c>
      <c r="C9453" s="18" t="s">
        <v>28</v>
      </c>
      <c r="D9453" s="15" t="s">
        <v>26955</v>
      </c>
      <c r="E9453" s="18" t="s">
        <v>28</v>
      </c>
      <c r="F9453" s="19" t="s">
        <v>28</v>
      </c>
      <c r="G9453" s="19" t="s">
        <v>28</v>
      </c>
      <c r="H9453" s="19" t="s">
        <v>28</v>
      </c>
      <c r="I9453" s="18" t="s">
        <v>28</v>
      </c>
      <c r="J9453" s="18" t="s">
        <v>28</v>
      </c>
      <c r="K9453" s="18" t="s">
        <v>28</v>
      </c>
      <c r="L9453" s="18" t="s">
        <v>28</v>
      </c>
      <c r="M9453" s="18" t="s">
        <v>28</v>
      </c>
      <c r="N9453" s="17">
        <v>42370</v>
      </c>
      <c r="O9453" s="15" t="s">
        <v>908</v>
      </c>
      <c r="P9453" s="16" t="s">
        <v>28</v>
      </c>
      <c r="Q9453" s="15" t="s">
        <v>85</v>
      </c>
      <c r="R9453" s="13" t="str">
        <f>HYPERLINK("https://my.pitchbook.com?c=253987-93T","View Company Online")</f>
        <v>View Company Online</v>
      </c>
    </row>
    <row r="9454" spans="1:18" hidden="1" x14ac:dyDescent="0.3">
      <c r="A9454" s="9" t="s">
        <v>26956</v>
      </c>
      <c r="B9454" s="9" t="s">
        <v>19827</v>
      </c>
      <c r="C9454" s="11" t="s">
        <v>28</v>
      </c>
      <c r="D9454" s="9" t="s">
        <v>19828</v>
      </c>
      <c r="E9454" s="11" t="s">
        <v>28</v>
      </c>
      <c r="F9454" s="10" t="s">
        <v>28</v>
      </c>
      <c r="G9454" s="10">
        <v>0.01</v>
      </c>
      <c r="H9454" s="10" t="s">
        <v>28</v>
      </c>
      <c r="I9454" s="11" t="s">
        <v>28</v>
      </c>
      <c r="J9454" s="11" t="s">
        <v>28</v>
      </c>
      <c r="K9454" s="11" t="s">
        <v>28</v>
      </c>
      <c r="L9454" s="11" t="s">
        <v>28</v>
      </c>
      <c r="M9454" s="11" t="s">
        <v>28</v>
      </c>
      <c r="N9454" s="8">
        <v>42370</v>
      </c>
      <c r="O9454" s="9" t="s">
        <v>379</v>
      </c>
      <c r="P9454" s="12" t="s">
        <v>26957</v>
      </c>
      <c r="Q9454" s="9" t="s">
        <v>607</v>
      </c>
      <c r="R9454" s="14" t="str">
        <f>HYPERLINK("https://my.pitchbook.com?c=215488-00T","View Company Online")</f>
        <v>View Company Online</v>
      </c>
    </row>
    <row r="9455" spans="1:18" hidden="1" x14ac:dyDescent="0.3">
      <c r="A9455" s="15" t="s">
        <v>26958</v>
      </c>
      <c r="B9455" s="15" t="s">
        <v>9514</v>
      </c>
      <c r="C9455" s="18" t="s">
        <v>28</v>
      </c>
      <c r="D9455" s="15" t="s">
        <v>9515</v>
      </c>
      <c r="E9455" s="18" t="s">
        <v>28</v>
      </c>
      <c r="F9455" s="19" t="s">
        <v>28</v>
      </c>
      <c r="G9455" s="19">
        <v>0.01</v>
      </c>
      <c r="H9455" s="19" t="s">
        <v>28</v>
      </c>
      <c r="I9455" s="18" t="s">
        <v>28</v>
      </c>
      <c r="J9455" s="18" t="s">
        <v>28</v>
      </c>
      <c r="K9455" s="18" t="s">
        <v>28</v>
      </c>
      <c r="L9455" s="18" t="s">
        <v>28</v>
      </c>
      <c r="M9455" s="18" t="s">
        <v>28</v>
      </c>
      <c r="N9455" s="17">
        <v>42370</v>
      </c>
      <c r="O9455" s="15" t="s">
        <v>9098</v>
      </c>
      <c r="P9455" s="16" t="s">
        <v>28</v>
      </c>
      <c r="Q9455" s="15" t="s">
        <v>566</v>
      </c>
      <c r="R9455" s="13" t="str">
        <f>HYPERLINK("https://my.pitchbook.com?c=190574-92T","View Company Online")</f>
        <v>View Company Online</v>
      </c>
    </row>
    <row r="9456" spans="1:18" hidden="1" x14ac:dyDescent="0.3">
      <c r="A9456" s="9" t="s">
        <v>26959</v>
      </c>
      <c r="B9456" s="9" t="s">
        <v>19569</v>
      </c>
      <c r="C9456" s="11" t="s">
        <v>28</v>
      </c>
      <c r="D9456" s="9" t="s">
        <v>19570</v>
      </c>
      <c r="E9456" s="11" t="s">
        <v>28</v>
      </c>
      <c r="F9456" s="10" t="s">
        <v>28</v>
      </c>
      <c r="G9456" s="10" t="s">
        <v>28</v>
      </c>
      <c r="H9456" s="10" t="s">
        <v>28</v>
      </c>
      <c r="I9456" s="11" t="s">
        <v>28</v>
      </c>
      <c r="J9456" s="11" t="s">
        <v>28</v>
      </c>
      <c r="K9456" s="11" t="s">
        <v>28</v>
      </c>
      <c r="L9456" s="11" t="s">
        <v>28</v>
      </c>
      <c r="M9456" s="11" t="s">
        <v>28</v>
      </c>
      <c r="N9456" s="8">
        <v>42370</v>
      </c>
      <c r="O9456" s="9" t="s">
        <v>52</v>
      </c>
      <c r="P9456" s="12" t="s">
        <v>26749</v>
      </c>
      <c r="Q9456" s="9" t="s">
        <v>75</v>
      </c>
      <c r="R9456" s="14" t="str">
        <f>HYPERLINK("https://my.pitchbook.com?c=95562-46T","View Company Online")</f>
        <v>View Company Online</v>
      </c>
    </row>
    <row r="9457" spans="1:18" hidden="1" x14ac:dyDescent="0.3">
      <c r="A9457" s="15" t="s">
        <v>26960</v>
      </c>
      <c r="B9457" s="15" t="s">
        <v>25031</v>
      </c>
      <c r="C9457" s="18" t="s">
        <v>28</v>
      </c>
      <c r="D9457" s="15" t="s">
        <v>25032</v>
      </c>
      <c r="E9457" s="18" t="s">
        <v>28</v>
      </c>
      <c r="F9457" s="19" t="s">
        <v>28</v>
      </c>
      <c r="G9457" s="19" t="s">
        <v>28</v>
      </c>
      <c r="H9457" s="19" t="s">
        <v>28</v>
      </c>
      <c r="I9457" s="18" t="s">
        <v>28</v>
      </c>
      <c r="J9457" s="18" t="s">
        <v>28</v>
      </c>
      <c r="K9457" s="18" t="s">
        <v>28</v>
      </c>
      <c r="L9457" s="18" t="s">
        <v>28</v>
      </c>
      <c r="M9457" s="18" t="s">
        <v>28</v>
      </c>
      <c r="N9457" s="17">
        <v>42370</v>
      </c>
      <c r="O9457" s="15" t="s">
        <v>41</v>
      </c>
      <c r="P9457" s="16" t="s">
        <v>25689</v>
      </c>
      <c r="Q9457" s="15" t="s">
        <v>740</v>
      </c>
      <c r="R9457" s="13" t="str">
        <f>HYPERLINK("https://my.pitchbook.com?c=100872-82T","View Company Online")</f>
        <v>View Company Online</v>
      </c>
    </row>
    <row r="9458" spans="1:18" hidden="1" x14ac:dyDescent="0.3">
      <c r="A9458" s="9" t="s">
        <v>26961</v>
      </c>
      <c r="B9458" s="9" t="s">
        <v>8220</v>
      </c>
      <c r="C9458" s="11" t="s">
        <v>28</v>
      </c>
      <c r="D9458" s="9" t="s">
        <v>8221</v>
      </c>
      <c r="E9458" s="11" t="s">
        <v>28</v>
      </c>
      <c r="F9458" s="10" t="s">
        <v>28</v>
      </c>
      <c r="G9458" s="10" t="s">
        <v>28</v>
      </c>
      <c r="H9458" s="10" t="s">
        <v>28</v>
      </c>
      <c r="I9458" s="11" t="s">
        <v>28</v>
      </c>
      <c r="J9458" s="11" t="s">
        <v>28</v>
      </c>
      <c r="K9458" s="11" t="s">
        <v>28</v>
      </c>
      <c r="L9458" s="11" t="s">
        <v>28</v>
      </c>
      <c r="M9458" s="11" t="s">
        <v>28</v>
      </c>
      <c r="N9458" s="8">
        <v>42370</v>
      </c>
      <c r="O9458" s="9" t="s">
        <v>73</v>
      </c>
      <c r="P9458" s="12" t="s">
        <v>26962</v>
      </c>
      <c r="Q9458" s="9" t="s">
        <v>404</v>
      </c>
      <c r="R9458" s="14" t="str">
        <f>HYPERLINK("https://my.pitchbook.com?c=111148-84T","View Company Online")</f>
        <v>View Company Online</v>
      </c>
    </row>
    <row r="9459" spans="1:18" hidden="1" x14ac:dyDescent="0.3">
      <c r="A9459" s="15" t="s">
        <v>26963</v>
      </c>
      <c r="B9459" s="15" t="s">
        <v>26370</v>
      </c>
      <c r="C9459" s="18" t="s">
        <v>28</v>
      </c>
      <c r="D9459" s="15" t="s">
        <v>26371</v>
      </c>
      <c r="E9459" s="18" t="s">
        <v>28</v>
      </c>
      <c r="F9459" s="19" t="s">
        <v>28</v>
      </c>
      <c r="G9459" s="19">
        <v>0.26</v>
      </c>
      <c r="H9459" s="19" t="s">
        <v>28</v>
      </c>
      <c r="I9459" s="18" t="s">
        <v>28</v>
      </c>
      <c r="J9459" s="18" t="s">
        <v>28</v>
      </c>
      <c r="K9459" s="18" t="s">
        <v>28</v>
      </c>
      <c r="L9459" s="18" t="s">
        <v>28</v>
      </c>
      <c r="M9459" s="18" t="s">
        <v>28</v>
      </c>
      <c r="N9459" s="17">
        <v>42370</v>
      </c>
      <c r="O9459" s="15" t="s">
        <v>47</v>
      </c>
      <c r="P9459" s="16" t="s">
        <v>28</v>
      </c>
      <c r="Q9459" s="15" t="s">
        <v>85</v>
      </c>
      <c r="R9459" s="13" t="str">
        <f>HYPERLINK("https://my.pitchbook.com?c=134907-49T","View Company Online")</f>
        <v>View Company Online</v>
      </c>
    </row>
    <row r="9460" spans="1:18" hidden="1" x14ac:dyDescent="0.3">
      <c r="A9460" s="9" t="s">
        <v>26964</v>
      </c>
      <c r="B9460" s="9" t="s">
        <v>25842</v>
      </c>
      <c r="C9460" s="11" t="s">
        <v>28</v>
      </c>
      <c r="D9460" s="9" t="s">
        <v>25843</v>
      </c>
      <c r="E9460" s="11" t="s">
        <v>28</v>
      </c>
      <c r="F9460" s="10" t="s">
        <v>28</v>
      </c>
      <c r="G9460" s="10">
        <v>0.26</v>
      </c>
      <c r="H9460" s="10" t="s">
        <v>28</v>
      </c>
      <c r="I9460" s="11" t="s">
        <v>28</v>
      </c>
      <c r="J9460" s="11" t="s">
        <v>28</v>
      </c>
      <c r="K9460" s="11" t="s">
        <v>28</v>
      </c>
      <c r="L9460" s="11" t="s">
        <v>28</v>
      </c>
      <c r="M9460" s="11" t="s">
        <v>28</v>
      </c>
      <c r="N9460" s="8">
        <v>42370</v>
      </c>
      <c r="O9460" s="9" t="s">
        <v>73</v>
      </c>
      <c r="P9460" s="12" t="s">
        <v>26965</v>
      </c>
      <c r="Q9460" s="9" t="s">
        <v>386</v>
      </c>
      <c r="R9460" s="14" t="str">
        <f>HYPERLINK("https://my.pitchbook.com?c=124570-63T","View Company Online")</f>
        <v>View Company Online</v>
      </c>
    </row>
    <row r="9461" spans="1:18" hidden="1" x14ac:dyDescent="0.3">
      <c r="A9461" s="15" t="s">
        <v>26966</v>
      </c>
      <c r="B9461" s="15" t="s">
        <v>26967</v>
      </c>
      <c r="C9461" s="18" t="s">
        <v>28</v>
      </c>
      <c r="D9461" s="15" t="s">
        <v>26968</v>
      </c>
      <c r="E9461" s="18" t="s">
        <v>28</v>
      </c>
      <c r="F9461" s="19" t="s">
        <v>28</v>
      </c>
      <c r="G9461" s="19" t="s">
        <v>28</v>
      </c>
      <c r="H9461" s="19" t="s">
        <v>28</v>
      </c>
      <c r="I9461" s="18" t="s">
        <v>28</v>
      </c>
      <c r="J9461" s="18" t="s">
        <v>28</v>
      </c>
      <c r="K9461" s="18" t="s">
        <v>28</v>
      </c>
      <c r="L9461" s="18" t="s">
        <v>28</v>
      </c>
      <c r="M9461" s="18" t="s">
        <v>28</v>
      </c>
      <c r="N9461" s="17">
        <v>42370</v>
      </c>
      <c r="O9461" s="15" t="s">
        <v>73</v>
      </c>
      <c r="P9461" s="16" t="s">
        <v>26969</v>
      </c>
      <c r="Q9461" s="15" t="s">
        <v>616</v>
      </c>
      <c r="R9461" s="13" t="str">
        <f>HYPERLINK("https://my.pitchbook.com?c=269403-49T","View Company Online")</f>
        <v>View Company Online</v>
      </c>
    </row>
    <row r="9462" spans="1:18" hidden="1" x14ac:dyDescent="0.3">
      <c r="A9462" s="9" t="s">
        <v>26970</v>
      </c>
      <c r="B9462" s="9" t="s">
        <v>6965</v>
      </c>
      <c r="C9462" s="11" t="s">
        <v>28</v>
      </c>
      <c r="D9462" s="9" t="s">
        <v>6966</v>
      </c>
      <c r="E9462" s="11" t="s">
        <v>28</v>
      </c>
      <c r="F9462" s="10" t="s">
        <v>28</v>
      </c>
      <c r="G9462" s="10" t="s">
        <v>28</v>
      </c>
      <c r="H9462" s="10" t="s">
        <v>28</v>
      </c>
      <c r="I9462" s="11" t="s">
        <v>28</v>
      </c>
      <c r="J9462" s="11" t="s">
        <v>28</v>
      </c>
      <c r="K9462" s="11" t="s">
        <v>28</v>
      </c>
      <c r="L9462" s="11" t="s">
        <v>28</v>
      </c>
      <c r="M9462" s="11" t="s">
        <v>28</v>
      </c>
      <c r="N9462" s="8">
        <v>42370</v>
      </c>
      <c r="O9462" s="9" t="s">
        <v>30</v>
      </c>
      <c r="P9462" s="12" t="s">
        <v>16862</v>
      </c>
      <c r="Q9462" s="9" t="s">
        <v>37</v>
      </c>
      <c r="R9462" s="14" t="str">
        <f>HYPERLINK("https://my.pitchbook.com?c=164918-44T","View Company Online")</f>
        <v>View Company Online</v>
      </c>
    </row>
    <row r="9463" spans="1:18" hidden="1" x14ac:dyDescent="0.3">
      <c r="A9463" s="15" t="s">
        <v>26971</v>
      </c>
      <c r="B9463" s="15" t="s">
        <v>3933</v>
      </c>
      <c r="C9463" s="18" t="s">
        <v>28</v>
      </c>
      <c r="D9463" s="15" t="s">
        <v>3934</v>
      </c>
      <c r="E9463" s="18" t="s">
        <v>28</v>
      </c>
      <c r="F9463" s="19" t="s">
        <v>28</v>
      </c>
      <c r="G9463" s="19" t="s">
        <v>28</v>
      </c>
      <c r="H9463" s="19" t="s">
        <v>28</v>
      </c>
      <c r="I9463" s="18" t="s">
        <v>28</v>
      </c>
      <c r="J9463" s="18" t="s">
        <v>28</v>
      </c>
      <c r="K9463" s="18" t="s">
        <v>28</v>
      </c>
      <c r="L9463" s="18" t="s">
        <v>28</v>
      </c>
      <c r="M9463" s="18" t="s">
        <v>28</v>
      </c>
      <c r="N9463" s="17">
        <v>42370</v>
      </c>
      <c r="O9463" s="15" t="s">
        <v>52</v>
      </c>
      <c r="P9463" s="16" t="s">
        <v>16928</v>
      </c>
      <c r="Q9463" s="15" t="s">
        <v>381</v>
      </c>
      <c r="R9463" s="13" t="str">
        <f>HYPERLINK("https://my.pitchbook.com?c=284584-96T","View Company Online")</f>
        <v>View Company Online</v>
      </c>
    </row>
    <row r="9464" spans="1:18" hidden="1" x14ac:dyDescent="0.3">
      <c r="A9464" s="9" t="s">
        <v>26972</v>
      </c>
      <c r="B9464" s="9" t="s">
        <v>26973</v>
      </c>
      <c r="C9464" s="11" t="s">
        <v>28</v>
      </c>
      <c r="D9464" s="9" t="s">
        <v>26974</v>
      </c>
      <c r="E9464" s="11" t="s">
        <v>28</v>
      </c>
      <c r="F9464" s="10" t="s">
        <v>28</v>
      </c>
      <c r="G9464" s="10" t="s">
        <v>28</v>
      </c>
      <c r="H9464" s="10" t="s">
        <v>28</v>
      </c>
      <c r="I9464" s="11" t="s">
        <v>28</v>
      </c>
      <c r="J9464" s="11" t="s">
        <v>28</v>
      </c>
      <c r="K9464" s="11" t="s">
        <v>28</v>
      </c>
      <c r="L9464" s="11" t="s">
        <v>28</v>
      </c>
      <c r="M9464" s="11" t="s">
        <v>28</v>
      </c>
      <c r="N9464" s="8">
        <v>42370</v>
      </c>
      <c r="O9464" s="9" t="s">
        <v>73</v>
      </c>
      <c r="P9464" s="12" t="s">
        <v>26364</v>
      </c>
      <c r="Q9464" s="9" t="s">
        <v>583</v>
      </c>
      <c r="R9464" s="14" t="str">
        <f>HYPERLINK("https://my.pitchbook.com?c=123136-93T","View Company Online")</f>
        <v>View Company Online</v>
      </c>
    </row>
    <row r="9465" spans="1:18" hidden="1" x14ac:dyDescent="0.3">
      <c r="A9465" s="15" t="s">
        <v>26975</v>
      </c>
      <c r="B9465" s="15" t="s">
        <v>26976</v>
      </c>
      <c r="C9465" s="18" t="s">
        <v>28</v>
      </c>
      <c r="D9465" s="15" t="s">
        <v>26977</v>
      </c>
      <c r="E9465" s="18" t="s">
        <v>28</v>
      </c>
      <c r="F9465" s="19" t="s">
        <v>28</v>
      </c>
      <c r="G9465" s="19" t="s">
        <v>28</v>
      </c>
      <c r="H9465" s="19" t="s">
        <v>28</v>
      </c>
      <c r="I9465" s="18" t="s">
        <v>28</v>
      </c>
      <c r="J9465" s="18" t="s">
        <v>28</v>
      </c>
      <c r="K9465" s="18" t="s">
        <v>28</v>
      </c>
      <c r="L9465" s="18" t="s">
        <v>28</v>
      </c>
      <c r="M9465" s="18" t="s">
        <v>28</v>
      </c>
      <c r="N9465" s="17">
        <v>42370</v>
      </c>
      <c r="O9465" s="15" t="s">
        <v>73</v>
      </c>
      <c r="P9465" s="16" t="s">
        <v>26978</v>
      </c>
      <c r="Q9465" s="15" t="s">
        <v>583</v>
      </c>
      <c r="R9465" s="13" t="str">
        <f>HYPERLINK("https://my.pitchbook.com?c=72329-23T","View Company Online")</f>
        <v>View Company Online</v>
      </c>
    </row>
    <row r="9466" spans="1:18" hidden="1" x14ac:dyDescent="0.3">
      <c r="A9466" s="9" t="s">
        <v>26979</v>
      </c>
      <c r="B9466" s="9" t="s">
        <v>3674</v>
      </c>
      <c r="C9466" s="11" t="s">
        <v>28</v>
      </c>
      <c r="D9466" s="9" t="s">
        <v>3675</v>
      </c>
      <c r="E9466" s="11" t="s">
        <v>28</v>
      </c>
      <c r="F9466" s="10" t="s">
        <v>28</v>
      </c>
      <c r="G9466" s="10" t="s">
        <v>28</v>
      </c>
      <c r="H9466" s="10" t="s">
        <v>28</v>
      </c>
      <c r="I9466" s="11" t="s">
        <v>28</v>
      </c>
      <c r="J9466" s="11" t="s">
        <v>28</v>
      </c>
      <c r="K9466" s="11" t="s">
        <v>28</v>
      </c>
      <c r="L9466" s="11" t="s">
        <v>28</v>
      </c>
      <c r="M9466" s="11" t="s">
        <v>28</v>
      </c>
      <c r="N9466" s="8">
        <v>42370</v>
      </c>
      <c r="O9466" s="9" t="s">
        <v>30</v>
      </c>
      <c r="P9466" s="12" t="s">
        <v>26980</v>
      </c>
      <c r="Q9466" s="9" t="s">
        <v>136</v>
      </c>
      <c r="R9466" s="14" t="str">
        <f>HYPERLINK("https://my.pitchbook.com?c=215998-75T","View Company Online")</f>
        <v>View Company Online</v>
      </c>
    </row>
    <row r="9467" spans="1:18" hidden="1" x14ac:dyDescent="0.3">
      <c r="A9467" s="15" t="s">
        <v>26981</v>
      </c>
      <c r="B9467" s="15" t="s">
        <v>25065</v>
      </c>
      <c r="C9467" s="18" t="s">
        <v>28</v>
      </c>
      <c r="D9467" s="15" t="s">
        <v>25066</v>
      </c>
      <c r="E9467" s="18" t="s">
        <v>28</v>
      </c>
      <c r="F9467" s="19" t="s">
        <v>28</v>
      </c>
      <c r="G9467" s="19">
        <v>18.14</v>
      </c>
      <c r="H9467" s="19" t="s">
        <v>28</v>
      </c>
      <c r="I9467" s="18" t="s">
        <v>28</v>
      </c>
      <c r="J9467" s="18" t="s">
        <v>28</v>
      </c>
      <c r="K9467" s="18" t="s">
        <v>28</v>
      </c>
      <c r="L9467" s="18" t="s">
        <v>28</v>
      </c>
      <c r="M9467" s="18" t="s">
        <v>28</v>
      </c>
      <c r="N9467" s="17">
        <v>42370</v>
      </c>
      <c r="O9467" s="15" t="s">
        <v>93</v>
      </c>
      <c r="P9467" s="16" t="s">
        <v>28</v>
      </c>
      <c r="Q9467" s="15" t="s">
        <v>316</v>
      </c>
      <c r="R9467" s="13" t="str">
        <f>HYPERLINK("https://my.pitchbook.com?c=93727-18T","View Company Online")</f>
        <v>View Company Online</v>
      </c>
    </row>
    <row r="9468" spans="1:18" hidden="1" x14ac:dyDescent="0.3">
      <c r="A9468" s="9" t="s">
        <v>26982</v>
      </c>
      <c r="B9468" s="9" t="s">
        <v>26983</v>
      </c>
      <c r="C9468" s="11" t="s">
        <v>28</v>
      </c>
      <c r="D9468" s="9" t="s">
        <v>26984</v>
      </c>
      <c r="E9468" s="11" t="s">
        <v>28</v>
      </c>
      <c r="F9468" s="10" t="s">
        <v>28</v>
      </c>
      <c r="G9468" s="10" t="s">
        <v>28</v>
      </c>
      <c r="H9468" s="10" t="s">
        <v>28</v>
      </c>
      <c r="I9468" s="11" t="s">
        <v>28</v>
      </c>
      <c r="J9468" s="11" t="s">
        <v>28</v>
      </c>
      <c r="K9468" s="11" t="s">
        <v>28</v>
      </c>
      <c r="L9468" s="11" t="s">
        <v>28</v>
      </c>
      <c r="M9468" s="11" t="s">
        <v>28</v>
      </c>
      <c r="N9468" s="8">
        <v>42370</v>
      </c>
      <c r="O9468" s="9" t="s">
        <v>93</v>
      </c>
      <c r="P9468" s="12" t="s">
        <v>11495</v>
      </c>
      <c r="Q9468" s="9" t="s">
        <v>740</v>
      </c>
      <c r="R9468" s="14" t="str">
        <f>HYPERLINK("https://my.pitchbook.com?c=265987-00T","View Company Online")</f>
        <v>View Company Online</v>
      </c>
    </row>
    <row r="9469" spans="1:18" hidden="1" x14ac:dyDescent="0.3">
      <c r="A9469" s="15" t="s">
        <v>26985</v>
      </c>
      <c r="B9469" s="15" t="s">
        <v>8839</v>
      </c>
      <c r="C9469" s="18" t="s">
        <v>28</v>
      </c>
      <c r="D9469" s="15" t="s">
        <v>8840</v>
      </c>
      <c r="E9469" s="18" t="s">
        <v>28</v>
      </c>
      <c r="F9469" s="19" t="s">
        <v>28</v>
      </c>
      <c r="G9469" s="19">
        <v>0.7</v>
      </c>
      <c r="H9469" s="19" t="s">
        <v>28</v>
      </c>
      <c r="I9469" s="18" t="s">
        <v>28</v>
      </c>
      <c r="J9469" s="18" t="s">
        <v>28</v>
      </c>
      <c r="K9469" s="18">
        <v>7</v>
      </c>
      <c r="L9469" s="18" t="s">
        <v>28</v>
      </c>
      <c r="M9469" s="18" t="s">
        <v>28</v>
      </c>
      <c r="N9469" s="17">
        <v>42370</v>
      </c>
      <c r="O9469" s="15" t="s">
        <v>99</v>
      </c>
      <c r="P9469" s="16" t="s">
        <v>26986</v>
      </c>
      <c r="Q9469" s="15" t="s">
        <v>386</v>
      </c>
      <c r="R9469" s="13" t="str">
        <f>HYPERLINK("https://my.pitchbook.com?c=66792-25T","View Company Online")</f>
        <v>View Company Online</v>
      </c>
    </row>
    <row r="9470" spans="1:18" hidden="1" x14ac:dyDescent="0.3">
      <c r="A9470" s="9" t="s">
        <v>26987</v>
      </c>
      <c r="B9470" s="9" t="s">
        <v>8839</v>
      </c>
      <c r="C9470" s="11" t="s">
        <v>28</v>
      </c>
      <c r="D9470" s="9" t="s">
        <v>8840</v>
      </c>
      <c r="E9470" s="11" t="s">
        <v>28</v>
      </c>
      <c r="F9470" s="10" t="s">
        <v>28</v>
      </c>
      <c r="G9470" s="10" t="s">
        <v>28</v>
      </c>
      <c r="H9470" s="10" t="s">
        <v>28</v>
      </c>
      <c r="I9470" s="11" t="s">
        <v>28</v>
      </c>
      <c r="J9470" s="11" t="s">
        <v>28</v>
      </c>
      <c r="K9470" s="11">
        <v>7</v>
      </c>
      <c r="L9470" s="11" t="s">
        <v>28</v>
      </c>
      <c r="M9470" s="11" t="s">
        <v>28</v>
      </c>
      <c r="N9470" s="8">
        <v>42370</v>
      </c>
      <c r="O9470" s="9" t="s">
        <v>52</v>
      </c>
      <c r="P9470" s="12" t="s">
        <v>26988</v>
      </c>
      <c r="Q9470" s="9" t="s">
        <v>386</v>
      </c>
      <c r="R9470" s="14" t="str">
        <f>HYPERLINK("https://my.pitchbook.com?c=130622-50T","View Company Online")</f>
        <v>View Company Online</v>
      </c>
    </row>
    <row r="9471" spans="1:18" hidden="1" x14ac:dyDescent="0.3">
      <c r="A9471" s="15" t="s">
        <v>26989</v>
      </c>
      <c r="B9471" s="15" t="s">
        <v>15365</v>
      </c>
      <c r="C9471" s="18" t="s">
        <v>28</v>
      </c>
      <c r="D9471" s="15" t="s">
        <v>15366</v>
      </c>
      <c r="E9471" s="18" t="s">
        <v>28</v>
      </c>
      <c r="F9471" s="19" t="s">
        <v>28</v>
      </c>
      <c r="G9471" s="19" t="s">
        <v>28</v>
      </c>
      <c r="H9471" s="19" t="s">
        <v>28</v>
      </c>
      <c r="I9471" s="18" t="s">
        <v>28</v>
      </c>
      <c r="J9471" s="18" t="s">
        <v>28</v>
      </c>
      <c r="K9471" s="18" t="s">
        <v>28</v>
      </c>
      <c r="L9471" s="18" t="s">
        <v>28</v>
      </c>
      <c r="M9471" s="18" t="s">
        <v>28</v>
      </c>
      <c r="N9471" s="17">
        <v>42370</v>
      </c>
      <c r="O9471" s="15" t="s">
        <v>73</v>
      </c>
      <c r="P9471" s="16" t="s">
        <v>26990</v>
      </c>
      <c r="Q9471" s="15" t="s">
        <v>583</v>
      </c>
      <c r="R9471" s="13" t="str">
        <f>HYPERLINK("https://my.pitchbook.com?c=126598-69T","View Company Online")</f>
        <v>View Company Online</v>
      </c>
    </row>
    <row r="9472" spans="1:18" hidden="1" x14ac:dyDescent="0.3">
      <c r="A9472" s="9" t="s">
        <v>26991</v>
      </c>
      <c r="B9472" s="9" t="s">
        <v>25168</v>
      </c>
      <c r="C9472" s="11" t="s">
        <v>28</v>
      </c>
      <c r="D9472" s="9" t="s">
        <v>25169</v>
      </c>
      <c r="E9472" s="11" t="s">
        <v>28</v>
      </c>
      <c r="F9472" s="10" t="s">
        <v>28</v>
      </c>
      <c r="G9472" s="10" t="s">
        <v>28</v>
      </c>
      <c r="H9472" s="10" t="s">
        <v>28</v>
      </c>
      <c r="I9472" s="11" t="s">
        <v>28</v>
      </c>
      <c r="J9472" s="11" t="s">
        <v>28</v>
      </c>
      <c r="K9472" s="11" t="s">
        <v>28</v>
      </c>
      <c r="L9472" s="11" t="s">
        <v>28</v>
      </c>
      <c r="M9472" s="11" t="s">
        <v>28</v>
      </c>
      <c r="N9472" s="8">
        <v>42370</v>
      </c>
      <c r="O9472" s="9" t="s">
        <v>52</v>
      </c>
      <c r="P9472" s="12" t="s">
        <v>2628</v>
      </c>
      <c r="Q9472" s="9" t="s">
        <v>75</v>
      </c>
      <c r="R9472" s="14" t="str">
        <f>HYPERLINK("https://my.pitchbook.com?c=133972-39T","View Company Online")</f>
        <v>View Company Online</v>
      </c>
    </row>
    <row r="9473" spans="1:18" hidden="1" x14ac:dyDescent="0.3">
      <c r="A9473" s="15" t="s">
        <v>26992</v>
      </c>
      <c r="B9473" s="15" t="s">
        <v>1351</v>
      </c>
      <c r="C9473" s="18" t="s">
        <v>28</v>
      </c>
      <c r="D9473" s="15" t="s">
        <v>1352</v>
      </c>
      <c r="E9473" s="18" t="s">
        <v>28</v>
      </c>
      <c r="F9473" s="19" t="s">
        <v>28</v>
      </c>
      <c r="G9473" s="19" t="s">
        <v>28</v>
      </c>
      <c r="H9473" s="19" t="s">
        <v>28</v>
      </c>
      <c r="I9473" s="18" t="s">
        <v>28</v>
      </c>
      <c r="J9473" s="18" t="s">
        <v>28</v>
      </c>
      <c r="K9473" s="18">
        <v>12.51</v>
      </c>
      <c r="L9473" s="18" t="s">
        <v>28</v>
      </c>
      <c r="M9473" s="18" t="s">
        <v>28</v>
      </c>
      <c r="N9473" s="17">
        <v>42370</v>
      </c>
      <c r="O9473" s="15" t="s">
        <v>52</v>
      </c>
      <c r="P9473" s="16" t="s">
        <v>26993</v>
      </c>
      <c r="Q9473" s="15" t="s">
        <v>37</v>
      </c>
      <c r="R9473" s="13" t="str">
        <f>HYPERLINK("https://my.pitchbook.com?c=76960-90T","View Company Online")</f>
        <v>View Company Online</v>
      </c>
    </row>
    <row r="9474" spans="1:18" hidden="1" x14ac:dyDescent="0.3">
      <c r="A9474" s="9" t="s">
        <v>26994</v>
      </c>
      <c r="B9474" s="9" t="s">
        <v>26995</v>
      </c>
      <c r="C9474" s="11" t="s">
        <v>28</v>
      </c>
      <c r="D9474" s="9" t="s">
        <v>26996</v>
      </c>
      <c r="E9474" s="11" t="s">
        <v>28</v>
      </c>
      <c r="F9474" s="10" t="s">
        <v>28</v>
      </c>
      <c r="G9474" s="10" t="s">
        <v>28</v>
      </c>
      <c r="H9474" s="10" t="s">
        <v>28</v>
      </c>
      <c r="I9474" s="11" t="s">
        <v>28</v>
      </c>
      <c r="J9474" s="11" t="s">
        <v>28</v>
      </c>
      <c r="K9474" s="11" t="s">
        <v>28</v>
      </c>
      <c r="L9474" s="11" t="s">
        <v>28</v>
      </c>
      <c r="M9474" s="11" t="s">
        <v>28</v>
      </c>
      <c r="N9474" s="8">
        <v>42370</v>
      </c>
      <c r="O9474" s="9" t="s">
        <v>58</v>
      </c>
      <c r="P9474" s="12" t="s">
        <v>26997</v>
      </c>
      <c r="Q9474" s="9" t="s">
        <v>188</v>
      </c>
      <c r="R9474" s="14" t="str">
        <f>HYPERLINK("https://my.pitchbook.com?c=279357-85T","View Company Online")</f>
        <v>View Company Online</v>
      </c>
    </row>
    <row r="9475" spans="1:18" hidden="1" x14ac:dyDescent="0.3">
      <c r="A9475" s="15" t="s">
        <v>26998</v>
      </c>
      <c r="B9475" s="15" t="s">
        <v>18604</v>
      </c>
      <c r="C9475" s="18" t="s">
        <v>28</v>
      </c>
      <c r="D9475" s="15" t="s">
        <v>18605</v>
      </c>
      <c r="E9475" s="18" t="s">
        <v>28</v>
      </c>
      <c r="F9475" s="19" t="s">
        <v>28</v>
      </c>
      <c r="G9475" s="19" t="s">
        <v>28</v>
      </c>
      <c r="H9475" s="19" t="s">
        <v>28</v>
      </c>
      <c r="I9475" s="18" t="s">
        <v>28</v>
      </c>
      <c r="J9475" s="18" t="s">
        <v>28</v>
      </c>
      <c r="K9475" s="18" t="s">
        <v>28</v>
      </c>
      <c r="L9475" s="18" t="s">
        <v>28</v>
      </c>
      <c r="M9475" s="18" t="s">
        <v>28</v>
      </c>
      <c r="N9475" s="17">
        <v>42370</v>
      </c>
      <c r="O9475" s="15" t="s">
        <v>30</v>
      </c>
      <c r="P9475" s="16" t="s">
        <v>28</v>
      </c>
      <c r="Q9475" s="15" t="s">
        <v>1191</v>
      </c>
      <c r="R9475" s="13" t="str">
        <f>HYPERLINK("https://my.pitchbook.com?c=228508-66T","View Company Online")</f>
        <v>View Company Online</v>
      </c>
    </row>
    <row r="9476" spans="1:18" hidden="1" x14ac:dyDescent="0.3">
      <c r="A9476" s="9" t="s">
        <v>26999</v>
      </c>
      <c r="B9476" s="9" t="s">
        <v>27000</v>
      </c>
      <c r="C9476" s="11" t="s">
        <v>28</v>
      </c>
      <c r="D9476" s="9" t="s">
        <v>27001</v>
      </c>
      <c r="E9476" s="11" t="s">
        <v>28</v>
      </c>
      <c r="F9476" s="10" t="s">
        <v>28</v>
      </c>
      <c r="G9476" s="10">
        <v>0.03</v>
      </c>
      <c r="H9476" s="10" t="s">
        <v>28</v>
      </c>
      <c r="I9476" s="11" t="s">
        <v>28</v>
      </c>
      <c r="J9476" s="11" t="s">
        <v>28</v>
      </c>
      <c r="K9476" s="11" t="s">
        <v>28</v>
      </c>
      <c r="L9476" s="11" t="s">
        <v>28</v>
      </c>
      <c r="M9476" s="11" t="s">
        <v>28</v>
      </c>
      <c r="N9476" s="8">
        <v>42370</v>
      </c>
      <c r="O9476" s="9" t="s">
        <v>1639</v>
      </c>
      <c r="P9476" s="12" t="s">
        <v>28</v>
      </c>
      <c r="Q9476" s="9" t="s">
        <v>69</v>
      </c>
      <c r="R9476" s="14" t="str">
        <f>HYPERLINK("https://my.pitchbook.com?c=126024-13T","View Company Online")</f>
        <v>View Company Online</v>
      </c>
    </row>
    <row r="9477" spans="1:18" hidden="1" x14ac:dyDescent="0.3">
      <c r="A9477" s="15" t="s">
        <v>27002</v>
      </c>
      <c r="B9477" s="15" t="s">
        <v>10696</v>
      </c>
      <c r="C9477" s="18" t="s">
        <v>28</v>
      </c>
      <c r="D9477" s="15" t="s">
        <v>10697</v>
      </c>
      <c r="E9477" s="18" t="s">
        <v>28</v>
      </c>
      <c r="F9477" s="19" t="s">
        <v>28</v>
      </c>
      <c r="G9477" s="19">
        <v>0.7</v>
      </c>
      <c r="H9477" s="19" t="s">
        <v>28</v>
      </c>
      <c r="I9477" s="18" t="s">
        <v>28</v>
      </c>
      <c r="J9477" s="18" t="s">
        <v>28</v>
      </c>
      <c r="K9477" s="18" t="s">
        <v>28</v>
      </c>
      <c r="L9477" s="18" t="s">
        <v>28</v>
      </c>
      <c r="M9477" s="18" t="s">
        <v>28</v>
      </c>
      <c r="N9477" s="17">
        <v>42370</v>
      </c>
      <c r="O9477" s="15" t="s">
        <v>79</v>
      </c>
      <c r="P9477" s="16" t="s">
        <v>28</v>
      </c>
      <c r="Q9477" s="15" t="s">
        <v>774</v>
      </c>
      <c r="R9477" s="13" t="str">
        <f>HYPERLINK("https://my.pitchbook.com?c=214706-89T","View Company Online")</f>
        <v>View Company Online</v>
      </c>
    </row>
    <row r="9478" spans="1:18" hidden="1" x14ac:dyDescent="0.3">
      <c r="A9478" s="9" t="s">
        <v>27003</v>
      </c>
      <c r="B9478" s="9" t="s">
        <v>21210</v>
      </c>
      <c r="C9478" s="11" t="s">
        <v>28</v>
      </c>
      <c r="D9478" s="9" t="s">
        <v>21211</v>
      </c>
      <c r="E9478" s="11" t="s">
        <v>28</v>
      </c>
      <c r="F9478" s="10" t="s">
        <v>28</v>
      </c>
      <c r="G9478" s="10" t="s">
        <v>28</v>
      </c>
      <c r="H9478" s="10" t="s">
        <v>28</v>
      </c>
      <c r="I9478" s="11" t="s">
        <v>28</v>
      </c>
      <c r="J9478" s="11" t="s">
        <v>28</v>
      </c>
      <c r="K9478" s="11" t="s">
        <v>28</v>
      </c>
      <c r="L9478" s="11" t="s">
        <v>28</v>
      </c>
      <c r="M9478" s="11" t="s">
        <v>28</v>
      </c>
      <c r="N9478" s="8">
        <v>42370</v>
      </c>
      <c r="O9478" s="9" t="s">
        <v>52</v>
      </c>
      <c r="P9478" s="12" t="s">
        <v>1880</v>
      </c>
      <c r="Q9478" s="9" t="s">
        <v>37</v>
      </c>
      <c r="R9478" s="14" t="str">
        <f>HYPERLINK("https://my.pitchbook.com?c=122376-43T","View Company Online")</f>
        <v>View Company Online</v>
      </c>
    </row>
    <row r="9479" spans="1:18" hidden="1" x14ac:dyDescent="0.3">
      <c r="A9479" s="15" t="s">
        <v>27004</v>
      </c>
      <c r="B9479" s="15" t="s">
        <v>18585</v>
      </c>
      <c r="C9479" s="18" t="s">
        <v>28</v>
      </c>
      <c r="D9479" s="15" t="s">
        <v>18586</v>
      </c>
      <c r="E9479" s="18" t="s">
        <v>28</v>
      </c>
      <c r="F9479" s="19" t="s">
        <v>28</v>
      </c>
      <c r="G9479" s="19" t="s">
        <v>28</v>
      </c>
      <c r="H9479" s="19" t="s">
        <v>28</v>
      </c>
      <c r="I9479" s="18" t="s">
        <v>28</v>
      </c>
      <c r="J9479" s="18" t="s">
        <v>28</v>
      </c>
      <c r="K9479" s="18" t="s">
        <v>28</v>
      </c>
      <c r="L9479" s="18" t="s">
        <v>28</v>
      </c>
      <c r="M9479" s="18" t="s">
        <v>28</v>
      </c>
      <c r="N9479" s="17">
        <v>42370</v>
      </c>
      <c r="O9479" s="15" t="s">
        <v>99</v>
      </c>
      <c r="P9479" s="16" t="s">
        <v>27005</v>
      </c>
      <c r="Q9479" s="15" t="s">
        <v>75</v>
      </c>
      <c r="R9479" s="13" t="str">
        <f>HYPERLINK("https://my.pitchbook.com?c=140870-80T","View Company Online")</f>
        <v>View Company Online</v>
      </c>
    </row>
    <row r="9480" spans="1:18" hidden="1" x14ac:dyDescent="0.3">
      <c r="A9480" s="9" t="s">
        <v>27006</v>
      </c>
      <c r="B9480" s="9" t="s">
        <v>27007</v>
      </c>
      <c r="C9480" s="11" t="s">
        <v>28</v>
      </c>
      <c r="D9480" s="9" t="s">
        <v>27008</v>
      </c>
      <c r="E9480" s="11" t="s">
        <v>28</v>
      </c>
      <c r="F9480" s="10" t="s">
        <v>28</v>
      </c>
      <c r="G9480" s="10" t="s">
        <v>28</v>
      </c>
      <c r="H9480" s="10" t="s">
        <v>28</v>
      </c>
      <c r="I9480" s="11" t="s">
        <v>28</v>
      </c>
      <c r="J9480" s="11" t="s">
        <v>28</v>
      </c>
      <c r="K9480" s="11" t="s">
        <v>28</v>
      </c>
      <c r="L9480" s="11" t="s">
        <v>28</v>
      </c>
      <c r="M9480" s="11" t="s">
        <v>28</v>
      </c>
      <c r="N9480" s="8">
        <v>42370</v>
      </c>
      <c r="O9480" s="9" t="s">
        <v>73</v>
      </c>
      <c r="P9480" s="12" t="s">
        <v>27009</v>
      </c>
      <c r="Q9480" s="9" t="s">
        <v>386</v>
      </c>
      <c r="R9480" s="14" t="str">
        <f>HYPERLINK("https://my.pitchbook.com?c=111398-32T","View Company Online")</f>
        <v>View Company Online</v>
      </c>
    </row>
    <row r="9481" spans="1:18" hidden="1" x14ac:dyDescent="0.3">
      <c r="A9481" s="15" t="s">
        <v>27010</v>
      </c>
      <c r="B9481" s="15" t="s">
        <v>5272</v>
      </c>
      <c r="C9481" s="18" t="s">
        <v>28</v>
      </c>
      <c r="D9481" s="15" t="s">
        <v>5273</v>
      </c>
      <c r="E9481" s="18" t="s">
        <v>28</v>
      </c>
      <c r="F9481" s="19" t="s">
        <v>28</v>
      </c>
      <c r="G9481" s="19" t="s">
        <v>28</v>
      </c>
      <c r="H9481" s="19" t="s">
        <v>28</v>
      </c>
      <c r="I9481" s="18" t="s">
        <v>28</v>
      </c>
      <c r="J9481" s="18" t="s">
        <v>28</v>
      </c>
      <c r="K9481" s="18" t="s">
        <v>28</v>
      </c>
      <c r="L9481" s="18" t="s">
        <v>28</v>
      </c>
      <c r="M9481" s="18" t="s">
        <v>28</v>
      </c>
      <c r="N9481" s="17">
        <v>42370</v>
      </c>
      <c r="O9481" s="15" t="s">
        <v>52</v>
      </c>
      <c r="P9481" s="16" t="s">
        <v>1970</v>
      </c>
      <c r="Q9481" s="15" t="s">
        <v>404</v>
      </c>
      <c r="R9481" s="13" t="str">
        <f>HYPERLINK("https://my.pitchbook.com?c=302284-27T","View Company Online")</f>
        <v>View Company Online</v>
      </c>
    </row>
    <row r="9482" spans="1:18" hidden="1" x14ac:dyDescent="0.3">
      <c r="A9482" s="9" t="s">
        <v>27011</v>
      </c>
      <c r="B9482" s="9" t="s">
        <v>11193</v>
      </c>
      <c r="C9482" s="11" t="s">
        <v>28</v>
      </c>
      <c r="D9482" s="9" t="s">
        <v>22172</v>
      </c>
      <c r="E9482" s="11" t="s">
        <v>28</v>
      </c>
      <c r="F9482" s="10" t="s">
        <v>28</v>
      </c>
      <c r="G9482" s="10" t="s">
        <v>28</v>
      </c>
      <c r="H9482" s="10" t="s">
        <v>28</v>
      </c>
      <c r="I9482" s="11" t="s">
        <v>28</v>
      </c>
      <c r="J9482" s="11" t="s">
        <v>28</v>
      </c>
      <c r="K9482" s="11" t="s">
        <v>28</v>
      </c>
      <c r="L9482" s="11" t="s">
        <v>28</v>
      </c>
      <c r="M9482" s="11" t="s">
        <v>28</v>
      </c>
      <c r="N9482" s="8">
        <v>42370</v>
      </c>
      <c r="O9482" s="9" t="s">
        <v>93</v>
      </c>
      <c r="P9482" s="12" t="s">
        <v>27012</v>
      </c>
      <c r="Q9482" s="9" t="s">
        <v>37</v>
      </c>
      <c r="R9482" s="14" t="str">
        <f>HYPERLINK("https://my.pitchbook.com?c=100336-96T","View Company Online")</f>
        <v>View Company Online</v>
      </c>
    </row>
    <row r="9483" spans="1:18" hidden="1" x14ac:dyDescent="0.3">
      <c r="A9483" s="15" t="s">
        <v>27013</v>
      </c>
      <c r="B9483" s="15" t="s">
        <v>27014</v>
      </c>
      <c r="C9483" s="18" t="s">
        <v>28</v>
      </c>
      <c r="D9483" s="15" t="s">
        <v>27015</v>
      </c>
      <c r="E9483" s="18" t="s">
        <v>28</v>
      </c>
      <c r="F9483" s="19" t="s">
        <v>28</v>
      </c>
      <c r="G9483" s="19" t="s">
        <v>28</v>
      </c>
      <c r="H9483" s="19" t="s">
        <v>28</v>
      </c>
      <c r="I9483" s="18" t="s">
        <v>28</v>
      </c>
      <c r="J9483" s="18" t="s">
        <v>28</v>
      </c>
      <c r="K9483" s="18" t="s">
        <v>28</v>
      </c>
      <c r="L9483" s="18" t="s">
        <v>28</v>
      </c>
      <c r="M9483" s="18" t="s">
        <v>28</v>
      </c>
      <c r="N9483" s="17">
        <v>42370</v>
      </c>
      <c r="O9483" s="15" t="s">
        <v>52</v>
      </c>
      <c r="P9483" s="16" t="s">
        <v>26749</v>
      </c>
      <c r="Q9483" s="15" t="s">
        <v>75</v>
      </c>
      <c r="R9483" s="13" t="str">
        <f>HYPERLINK("https://my.pitchbook.com?c=127024-66T","View Company Online")</f>
        <v>View Company Online</v>
      </c>
    </row>
    <row r="9484" spans="1:18" hidden="1" x14ac:dyDescent="0.3">
      <c r="A9484" s="9" t="s">
        <v>27016</v>
      </c>
      <c r="B9484" s="9" t="s">
        <v>26053</v>
      </c>
      <c r="C9484" s="11" t="s">
        <v>28</v>
      </c>
      <c r="D9484" s="9" t="s">
        <v>26054</v>
      </c>
      <c r="E9484" s="11" t="s">
        <v>28</v>
      </c>
      <c r="F9484" s="10" t="s">
        <v>28</v>
      </c>
      <c r="G9484" s="10">
        <v>0.02</v>
      </c>
      <c r="H9484" s="10" t="s">
        <v>28</v>
      </c>
      <c r="I9484" s="11" t="s">
        <v>28</v>
      </c>
      <c r="J9484" s="11" t="s">
        <v>28</v>
      </c>
      <c r="K9484" s="11" t="s">
        <v>28</v>
      </c>
      <c r="L9484" s="11" t="s">
        <v>28</v>
      </c>
      <c r="M9484" s="11" t="s">
        <v>28</v>
      </c>
      <c r="N9484" s="8">
        <v>42370</v>
      </c>
      <c r="O9484" s="9" t="s">
        <v>8420</v>
      </c>
      <c r="P9484" s="12" t="s">
        <v>28</v>
      </c>
      <c r="Q9484" s="9" t="s">
        <v>3912</v>
      </c>
      <c r="R9484" s="14" t="str">
        <f>HYPERLINK("https://my.pitchbook.com?c=84769-30T","View Company Online")</f>
        <v>View Company Online</v>
      </c>
    </row>
    <row r="9485" spans="1:18" hidden="1" x14ac:dyDescent="0.3">
      <c r="A9485" s="15" t="s">
        <v>27017</v>
      </c>
      <c r="B9485" s="15" t="s">
        <v>14499</v>
      </c>
      <c r="C9485" s="18" t="s">
        <v>28</v>
      </c>
      <c r="D9485" s="15" t="s">
        <v>14500</v>
      </c>
      <c r="E9485" s="18" t="s">
        <v>28</v>
      </c>
      <c r="F9485" s="19" t="s">
        <v>28</v>
      </c>
      <c r="G9485" s="19" t="s">
        <v>28</v>
      </c>
      <c r="H9485" s="19" t="s">
        <v>28</v>
      </c>
      <c r="I9485" s="18" t="s">
        <v>28</v>
      </c>
      <c r="J9485" s="18" t="s">
        <v>28</v>
      </c>
      <c r="K9485" s="18" t="s">
        <v>28</v>
      </c>
      <c r="L9485" s="18" t="s">
        <v>28</v>
      </c>
      <c r="M9485" s="18" t="s">
        <v>28</v>
      </c>
      <c r="N9485" s="17">
        <v>42370</v>
      </c>
      <c r="O9485" s="15" t="s">
        <v>73</v>
      </c>
      <c r="P9485" s="16" t="s">
        <v>27018</v>
      </c>
      <c r="Q9485" s="15" t="s">
        <v>75</v>
      </c>
      <c r="R9485" s="13" t="str">
        <f>HYPERLINK("https://my.pitchbook.com?c=180904-06T","View Company Online")</f>
        <v>View Company Online</v>
      </c>
    </row>
    <row r="9486" spans="1:18" hidden="1" x14ac:dyDescent="0.3">
      <c r="A9486" s="9" t="s">
        <v>27019</v>
      </c>
      <c r="B9486" s="9" t="s">
        <v>8970</v>
      </c>
      <c r="C9486" s="11" t="s">
        <v>28</v>
      </c>
      <c r="D9486" s="9" t="s">
        <v>8971</v>
      </c>
      <c r="E9486" s="11" t="s">
        <v>28</v>
      </c>
      <c r="F9486" s="10" t="s">
        <v>28</v>
      </c>
      <c r="G9486" s="10" t="s">
        <v>28</v>
      </c>
      <c r="H9486" s="10" t="s">
        <v>28</v>
      </c>
      <c r="I9486" s="11" t="s">
        <v>28</v>
      </c>
      <c r="J9486" s="11" t="s">
        <v>28</v>
      </c>
      <c r="K9486" s="11" t="s">
        <v>28</v>
      </c>
      <c r="L9486" s="11" t="s">
        <v>28</v>
      </c>
      <c r="M9486" s="11" t="s">
        <v>28</v>
      </c>
      <c r="N9486" s="8">
        <v>42370</v>
      </c>
      <c r="O9486" s="9" t="s">
        <v>52</v>
      </c>
      <c r="P9486" s="12" t="s">
        <v>1970</v>
      </c>
      <c r="Q9486" s="9" t="s">
        <v>75</v>
      </c>
      <c r="R9486" s="14" t="str">
        <f>HYPERLINK("https://my.pitchbook.com?c=291124-27T","View Company Online")</f>
        <v>View Company Online</v>
      </c>
    </row>
    <row r="9487" spans="1:18" hidden="1" x14ac:dyDescent="0.3">
      <c r="A9487" s="15" t="s">
        <v>27020</v>
      </c>
      <c r="B9487" s="15" t="s">
        <v>27021</v>
      </c>
      <c r="C9487" s="18" t="s">
        <v>28</v>
      </c>
      <c r="D9487" s="15" t="s">
        <v>27022</v>
      </c>
      <c r="E9487" s="18" t="s">
        <v>28</v>
      </c>
      <c r="F9487" s="19" t="s">
        <v>28</v>
      </c>
      <c r="G9487" s="19" t="s">
        <v>28</v>
      </c>
      <c r="H9487" s="19" t="s">
        <v>28</v>
      </c>
      <c r="I9487" s="18" t="s">
        <v>28</v>
      </c>
      <c r="J9487" s="18" t="s">
        <v>28</v>
      </c>
      <c r="K9487" s="18" t="s">
        <v>28</v>
      </c>
      <c r="L9487" s="18" t="s">
        <v>28</v>
      </c>
      <c r="M9487" s="18" t="s">
        <v>28</v>
      </c>
      <c r="N9487" s="17">
        <v>42370</v>
      </c>
      <c r="O9487" s="15" t="s">
        <v>30</v>
      </c>
      <c r="P9487" s="16" t="s">
        <v>28</v>
      </c>
      <c r="Q9487" s="15" t="s">
        <v>1643</v>
      </c>
      <c r="R9487" s="13" t="str">
        <f>HYPERLINK("https://my.pitchbook.com?c=108415-90T","View Company Online")</f>
        <v>View Company Online</v>
      </c>
    </row>
    <row r="9488" spans="1:18" hidden="1" x14ac:dyDescent="0.3">
      <c r="A9488" s="9" t="s">
        <v>27023</v>
      </c>
      <c r="B9488" s="9" t="s">
        <v>25008</v>
      </c>
      <c r="C9488" s="11" t="s">
        <v>28</v>
      </c>
      <c r="D9488" s="9" t="s">
        <v>25009</v>
      </c>
      <c r="E9488" s="11" t="s">
        <v>28</v>
      </c>
      <c r="F9488" s="10" t="s">
        <v>28</v>
      </c>
      <c r="G9488" s="10">
        <v>0.01</v>
      </c>
      <c r="H9488" s="10" t="s">
        <v>28</v>
      </c>
      <c r="I9488" s="11" t="s">
        <v>28</v>
      </c>
      <c r="J9488" s="11" t="s">
        <v>28</v>
      </c>
      <c r="K9488" s="11" t="s">
        <v>28</v>
      </c>
      <c r="L9488" s="11" t="s">
        <v>28</v>
      </c>
      <c r="M9488" s="11" t="s">
        <v>28</v>
      </c>
      <c r="N9488" s="8">
        <v>42370</v>
      </c>
      <c r="O9488" s="9" t="s">
        <v>52</v>
      </c>
      <c r="P9488" s="12" t="s">
        <v>5620</v>
      </c>
      <c r="Q9488" s="9" t="s">
        <v>95</v>
      </c>
      <c r="R9488" s="14" t="str">
        <f>HYPERLINK("https://my.pitchbook.com?c=111402-82T","View Company Online")</f>
        <v>View Company Online</v>
      </c>
    </row>
    <row r="9489" spans="1:18" hidden="1" x14ac:dyDescent="0.3">
      <c r="A9489" s="15" t="s">
        <v>27024</v>
      </c>
      <c r="B9489" s="15" t="s">
        <v>27025</v>
      </c>
      <c r="C9489" s="18" t="s">
        <v>28</v>
      </c>
      <c r="D9489" s="15" t="s">
        <v>27026</v>
      </c>
      <c r="E9489" s="18" t="s">
        <v>28</v>
      </c>
      <c r="F9489" s="19" t="s">
        <v>28</v>
      </c>
      <c r="G9489" s="19" t="s">
        <v>28</v>
      </c>
      <c r="H9489" s="19" t="s">
        <v>28</v>
      </c>
      <c r="I9489" s="18" t="s">
        <v>28</v>
      </c>
      <c r="J9489" s="18" t="s">
        <v>28</v>
      </c>
      <c r="K9489" s="18" t="s">
        <v>28</v>
      </c>
      <c r="L9489" s="18" t="s">
        <v>28</v>
      </c>
      <c r="M9489" s="18" t="s">
        <v>28</v>
      </c>
      <c r="N9489" s="17">
        <v>42370</v>
      </c>
      <c r="O9489" s="15" t="s">
        <v>79</v>
      </c>
      <c r="P9489" s="16" t="s">
        <v>27027</v>
      </c>
      <c r="Q9489" s="15" t="s">
        <v>1793</v>
      </c>
      <c r="R9489" s="13" t="str">
        <f>HYPERLINK("https://my.pitchbook.com?c=234446-86T","View Company Online")</f>
        <v>View Company Online</v>
      </c>
    </row>
    <row r="9490" spans="1:18" hidden="1" x14ac:dyDescent="0.3">
      <c r="A9490" s="9" t="s">
        <v>27028</v>
      </c>
      <c r="B9490" s="9" t="s">
        <v>27029</v>
      </c>
      <c r="C9490" s="11" t="s">
        <v>28</v>
      </c>
      <c r="D9490" s="9" t="s">
        <v>27030</v>
      </c>
      <c r="E9490" s="11" t="s">
        <v>28</v>
      </c>
      <c r="F9490" s="10" t="s">
        <v>28</v>
      </c>
      <c r="G9490" s="10" t="s">
        <v>28</v>
      </c>
      <c r="H9490" s="10" t="s">
        <v>28</v>
      </c>
      <c r="I9490" s="11" t="s">
        <v>28</v>
      </c>
      <c r="J9490" s="11" t="s">
        <v>28</v>
      </c>
      <c r="K9490" s="11" t="s">
        <v>28</v>
      </c>
      <c r="L9490" s="11" t="s">
        <v>28</v>
      </c>
      <c r="M9490" s="11" t="s">
        <v>28</v>
      </c>
      <c r="N9490" s="8">
        <v>42370</v>
      </c>
      <c r="O9490" s="9" t="s">
        <v>52</v>
      </c>
      <c r="P9490" s="12" t="s">
        <v>1792</v>
      </c>
      <c r="Q9490" s="9" t="s">
        <v>3912</v>
      </c>
      <c r="R9490" s="14" t="str">
        <f>HYPERLINK("https://my.pitchbook.com?c=131505-31T","View Company Online")</f>
        <v>View Company Online</v>
      </c>
    </row>
    <row r="9491" spans="1:18" hidden="1" x14ac:dyDescent="0.3">
      <c r="A9491" s="15" t="s">
        <v>27031</v>
      </c>
      <c r="B9491" s="15" t="s">
        <v>27032</v>
      </c>
      <c r="C9491" s="18" t="s">
        <v>28</v>
      </c>
      <c r="D9491" s="15" t="s">
        <v>27033</v>
      </c>
      <c r="E9491" s="18" t="s">
        <v>28</v>
      </c>
      <c r="F9491" s="19" t="s">
        <v>28</v>
      </c>
      <c r="G9491" s="19" t="s">
        <v>28</v>
      </c>
      <c r="H9491" s="19" t="s">
        <v>28</v>
      </c>
      <c r="I9491" s="18" t="s">
        <v>28</v>
      </c>
      <c r="J9491" s="18" t="s">
        <v>28</v>
      </c>
      <c r="K9491" s="18" t="s">
        <v>28</v>
      </c>
      <c r="L9491" s="18" t="s">
        <v>28</v>
      </c>
      <c r="M9491" s="18" t="s">
        <v>28</v>
      </c>
      <c r="N9491" s="17">
        <v>42370</v>
      </c>
      <c r="O9491" s="15" t="s">
        <v>30</v>
      </c>
      <c r="P9491" s="16" t="s">
        <v>20286</v>
      </c>
      <c r="Q9491" s="15" t="s">
        <v>880</v>
      </c>
      <c r="R9491" s="13" t="str">
        <f>HYPERLINK("https://my.pitchbook.com?c=149067-55T","View Company Online")</f>
        <v>View Company Online</v>
      </c>
    </row>
    <row r="9492" spans="1:18" hidden="1" x14ac:dyDescent="0.3">
      <c r="A9492" s="9" t="s">
        <v>27034</v>
      </c>
      <c r="B9492" s="9" t="s">
        <v>27035</v>
      </c>
      <c r="C9492" s="11" t="s">
        <v>28</v>
      </c>
      <c r="D9492" s="9" t="s">
        <v>27036</v>
      </c>
      <c r="E9492" s="11" t="s">
        <v>28</v>
      </c>
      <c r="F9492" s="10" t="s">
        <v>28</v>
      </c>
      <c r="G9492" s="10" t="s">
        <v>28</v>
      </c>
      <c r="H9492" s="10" t="s">
        <v>28</v>
      </c>
      <c r="I9492" s="11" t="s">
        <v>28</v>
      </c>
      <c r="J9492" s="11" t="s">
        <v>28</v>
      </c>
      <c r="K9492" s="11" t="s">
        <v>28</v>
      </c>
      <c r="L9492" s="11" t="s">
        <v>28</v>
      </c>
      <c r="M9492" s="11" t="s">
        <v>28</v>
      </c>
      <c r="N9492" s="8">
        <v>42369</v>
      </c>
      <c r="O9492" s="9" t="s">
        <v>30</v>
      </c>
      <c r="P9492" s="12" t="s">
        <v>27037</v>
      </c>
      <c r="Q9492" s="9" t="s">
        <v>959</v>
      </c>
      <c r="R9492" s="14" t="str">
        <f>HYPERLINK("https://my.pitchbook.com?c=80980-48T","View Company Online")</f>
        <v>View Company Online</v>
      </c>
    </row>
    <row r="9493" spans="1:18" hidden="1" x14ac:dyDescent="0.3">
      <c r="A9493" s="15" t="s">
        <v>27038</v>
      </c>
      <c r="B9493" s="15" t="s">
        <v>27039</v>
      </c>
      <c r="C9493" s="18" t="s">
        <v>28</v>
      </c>
      <c r="D9493" s="15" t="s">
        <v>27040</v>
      </c>
      <c r="E9493" s="18" t="s">
        <v>28</v>
      </c>
      <c r="F9493" s="19">
        <v>518.33000000000004</v>
      </c>
      <c r="G9493" s="19">
        <v>518.33000000000004</v>
      </c>
      <c r="H9493" s="19">
        <v>518.33000000000004</v>
      </c>
      <c r="I9493" s="18" t="s">
        <v>28</v>
      </c>
      <c r="J9493" s="18" t="s">
        <v>28</v>
      </c>
      <c r="K9493" s="18" t="s">
        <v>28</v>
      </c>
      <c r="L9493" s="18" t="s">
        <v>28</v>
      </c>
      <c r="M9493" s="18" t="s">
        <v>28</v>
      </c>
      <c r="N9493" s="17">
        <v>42369</v>
      </c>
      <c r="O9493" s="15" t="s">
        <v>41</v>
      </c>
      <c r="P9493" s="16" t="s">
        <v>27041</v>
      </c>
      <c r="Q9493" s="15" t="s">
        <v>183</v>
      </c>
      <c r="R9493" s="13" t="str">
        <f>HYPERLINK("https://my.pitchbook.com?c=64547-11T","View Company Online")</f>
        <v>View Company Online</v>
      </c>
    </row>
    <row r="9494" spans="1:18" hidden="1" x14ac:dyDescent="0.3">
      <c r="A9494" s="9" t="s">
        <v>27042</v>
      </c>
      <c r="B9494" s="9" t="s">
        <v>27043</v>
      </c>
      <c r="C9494" s="11" t="s">
        <v>28</v>
      </c>
      <c r="D9494" s="9" t="s">
        <v>27044</v>
      </c>
      <c r="E9494" s="11" t="s">
        <v>28</v>
      </c>
      <c r="F9494" s="10" t="s">
        <v>28</v>
      </c>
      <c r="G9494" s="10" t="s">
        <v>28</v>
      </c>
      <c r="H9494" s="10" t="s">
        <v>28</v>
      </c>
      <c r="I9494" s="11" t="s">
        <v>28</v>
      </c>
      <c r="J9494" s="11" t="s">
        <v>28</v>
      </c>
      <c r="K9494" s="11" t="s">
        <v>28</v>
      </c>
      <c r="L9494" s="11" t="s">
        <v>28</v>
      </c>
      <c r="M9494" s="11" t="s">
        <v>28</v>
      </c>
      <c r="N9494" s="8">
        <v>42369</v>
      </c>
      <c r="O9494" s="9" t="s">
        <v>30</v>
      </c>
      <c r="P9494" s="12" t="s">
        <v>24483</v>
      </c>
      <c r="Q9494" s="9" t="s">
        <v>95</v>
      </c>
      <c r="R9494" s="14" t="str">
        <f>HYPERLINK("https://my.pitchbook.com?c=66549-07T","View Company Online")</f>
        <v>View Company Online</v>
      </c>
    </row>
    <row r="9495" spans="1:18" hidden="1" x14ac:dyDescent="0.3">
      <c r="A9495" s="15" t="s">
        <v>27045</v>
      </c>
      <c r="B9495" s="15" t="s">
        <v>27046</v>
      </c>
      <c r="C9495" s="18" t="s">
        <v>28</v>
      </c>
      <c r="D9495" s="15" t="s">
        <v>27047</v>
      </c>
      <c r="E9495" s="18" t="s">
        <v>28</v>
      </c>
      <c r="F9495" s="19" t="s">
        <v>28</v>
      </c>
      <c r="G9495" s="19">
        <v>33.75</v>
      </c>
      <c r="H9495" s="19">
        <v>67.5</v>
      </c>
      <c r="I9495" s="18" t="s">
        <v>28</v>
      </c>
      <c r="J9495" s="18" t="s">
        <v>28</v>
      </c>
      <c r="K9495" s="18" t="s">
        <v>28</v>
      </c>
      <c r="L9495" s="18" t="s">
        <v>28</v>
      </c>
      <c r="M9495" s="18" t="s">
        <v>28</v>
      </c>
      <c r="N9495" s="17">
        <v>42368</v>
      </c>
      <c r="O9495" s="15" t="s">
        <v>58</v>
      </c>
      <c r="P9495" s="16" t="s">
        <v>27048</v>
      </c>
      <c r="Q9495" s="15" t="s">
        <v>409</v>
      </c>
      <c r="R9495" s="13" t="str">
        <f>HYPERLINK("https://my.pitchbook.com?c=62475-40T","View Company Online")</f>
        <v>View Company Online</v>
      </c>
    </row>
    <row r="9496" spans="1:18" hidden="1" x14ac:dyDescent="0.3">
      <c r="A9496" s="9" t="s">
        <v>27049</v>
      </c>
      <c r="B9496" s="9" t="s">
        <v>27050</v>
      </c>
      <c r="C9496" s="11" t="s">
        <v>28</v>
      </c>
      <c r="D9496" s="9" t="s">
        <v>27051</v>
      </c>
      <c r="E9496" s="11" t="s">
        <v>28</v>
      </c>
      <c r="F9496" s="10">
        <v>188.21</v>
      </c>
      <c r="G9496" s="10">
        <v>188.21</v>
      </c>
      <c r="H9496" s="10">
        <v>188.21</v>
      </c>
      <c r="I9496" s="11" t="s">
        <v>28</v>
      </c>
      <c r="J9496" s="11" t="s">
        <v>28</v>
      </c>
      <c r="K9496" s="11" t="s">
        <v>28</v>
      </c>
      <c r="L9496" s="11" t="s">
        <v>28</v>
      </c>
      <c r="M9496" s="11" t="s">
        <v>28</v>
      </c>
      <c r="N9496" s="8">
        <v>42368</v>
      </c>
      <c r="O9496" s="9" t="s">
        <v>30</v>
      </c>
      <c r="P9496" s="12" t="s">
        <v>27052</v>
      </c>
      <c r="Q9496" s="9" t="s">
        <v>285</v>
      </c>
      <c r="R9496" s="14" t="str">
        <f>HYPERLINK("https://my.pitchbook.com?c=52298-11T","View Company Online")</f>
        <v>View Company Online</v>
      </c>
    </row>
    <row r="9497" spans="1:18" hidden="1" x14ac:dyDescent="0.3">
      <c r="A9497" s="15" t="s">
        <v>27053</v>
      </c>
      <c r="B9497" s="15" t="s">
        <v>27054</v>
      </c>
      <c r="C9497" s="18" t="s">
        <v>28</v>
      </c>
      <c r="D9497" s="15" t="s">
        <v>27055</v>
      </c>
      <c r="E9497" s="18" t="s">
        <v>28</v>
      </c>
      <c r="F9497" s="19">
        <v>14.43</v>
      </c>
      <c r="G9497" s="19">
        <v>14.43</v>
      </c>
      <c r="H9497" s="19">
        <v>14.43</v>
      </c>
      <c r="I9497" s="18" t="s">
        <v>28</v>
      </c>
      <c r="J9497" s="18" t="s">
        <v>28</v>
      </c>
      <c r="K9497" s="18" t="s">
        <v>28</v>
      </c>
      <c r="L9497" s="18" t="s">
        <v>28</v>
      </c>
      <c r="M9497" s="18" t="s">
        <v>28</v>
      </c>
      <c r="N9497" s="17">
        <v>42368</v>
      </c>
      <c r="O9497" s="15" t="s">
        <v>30</v>
      </c>
      <c r="P9497" s="16" t="s">
        <v>27056</v>
      </c>
      <c r="Q9497" s="15" t="s">
        <v>2939</v>
      </c>
      <c r="R9497" s="13" t="str">
        <f>HYPERLINK("https://my.pitchbook.com?c=64114-75T","View Company Online")</f>
        <v>View Company Online</v>
      </c>
    </row>
    <row r="9498" spans="1:18" hidden="1" x14ac:dyDescent="0.3">
      <c r="A9498" s="9" t="s">
        <v>27057</v>
      </c>
      <c r="B9498" s="9" t="s">
        <v>27058</v>
      </c>
      <c r="C9498" s="11" t="s">
        <v>28</v>
      </c>
      <c r="D9498" s="9" t="s">
        <v>27059</v>
      </c>
      <c r="E9498" s="11" t="s">
        <v>28</v>
      </c>
      <c r="F9498" s="10">
        <v>58.67</v>
      </c>
      <c r="G9498" s="10">
        <v>58.67</v>
      </c>
      <c r="H9498" s="10">
        <v>58.67</v>
      </c>
      <c r="I9498" s="11" t="s">
        <v>28</v>
      </c>
      <c r="J9498" s="11" t="s">
        <v>28</v>
      </c>
      <c r="K9498" s="11" t="s">
        <v>28</v>
      </c>
      <c r="L9498" s="11" t="s">
        <v>28</v>
      </c>
      <c r="M9498" s="11" t="s">
        <v>28</v>
      </c>
      <c r="N9498" s="8">
        <v>42368</v>
      </c>
      <c r="O9498" s="9" t="s">
        <v>30</v>
      </c>
      <c r="P9498" s="12" t="s">
        <v>27060</v>
      </c>
      <c r="Q9498" s="9" t="s">
        <v>2916</v>
      </c>
      <c r="R9498" s="14" t="str">
        <f>HYPERLINK("https://my.pitchbook.com?c=66932-56T","View Company Online")</f>
        <v>View Company Online</v>
      </c>
    </row>
    <row r="9499" spans="1:18" hidden="1" x14ac:dyDescent="0.3">
      <c r="A9499" s="15" t="s">
        <v>27061</v>
      </c>
      <c r="B9499" s="15" t="s">
        <v>27062</v>
      </c>
      <c r="C9499" s="18" t="s">
        <v>28</v>
      </c>
      <c r="D9499" s="15" t="s">
        <v>27063</v>
      </c>
      <c r="E9499" s="18" t="s">
        <v>28</v>
      </c>
      <c r="F9499" s="19" t="s">
        <v>28</v>
      </c>
      <c r="G9499" s="19" t="s">
        <v>28</v>
      </c>
      <c r="H9499" s="19" t="s">
        <v>28</v>
      </c>
      <c r="I9499" s="18" t="s">
        <v>28</v>
      </c>
      <c r="J9499" s="18" t="s">
        <v>28</v>
      </c>
      <c r="K9499" s="18" t="s">
        <v>28</v>
      </c>
      <c r="L9499" s="18" t="s">
        <v>28</v>
      </c>
      <c r="M9499" s="18" t="s">
        <v>28</v>
      </c>
      <c r="N9499" s="17">
        <v>42367</v>
      </c>
      <c r="O9499" s="15" t="s">
        <v>173</v>
      </c>
      <c r="P9499" s="16" t="s">
        <v>28</v>
      </c>
      <c r="Q9499" s="15" t="s">
        <v>174</v>
      </c>
      <c r="R9499" s="13" t="str">
        <f>HYPERLINK("https://my.pitchbook.com?c=223338-34T","View Company Online")</f>
        <v>View Company Online</v>
      </c>
    </row>
    <row r="9500" spans="1:18" hidden="1" x14ac:dyDescent="0.3">
      <c r="A9500" s="9" t="s">
        <v>27064</v>
      </c>
      <c r="B9500" s="9" t="s">
        <v>3037</v>
      </c>
      <c r="C9500" s="11" t="s">
        <v>28</v>
      </c>
      <c r="D9500" s="9" t="s">
        <v>3038</v>
      </c>
      <c r="E9500" s="11" t="s">
        <v>28</v>
      </c>
      <c r="F9500" s="10" t="s">
        <v>28</v>
      </c>
      <c r="G9500" s="10" t="s">
        <v>28</v>
      </c>
      <c r="H9500" s="10" t="s">
        <v>28</v>
      </c>
      <c r="I9500" s="11" t="s">
        <v>28</v>
      </c>
      <c r="J9500" s="11" t="s">
        <v>28</v>
      </c>
      <c r="K9500" s="11" t="s">
        <v>28</v>
      </c>
      <c r="L9500" s="11" t="s">
        <v>28</v>
      </c>
      <c r="M9500" s="11" t="s">
        <v>28</v>
      </c>
      <c r="N9500" s="8">
        <v>42362</v>
      </c>
      <c r="O9500" s="9" t="s">
        <v>73</v>
      </c>
      <c r="P9500" s="12" t="s">
        <v>27065</v>
      </c>
      <c r="Q9500" s="9" t="s">
        <v>95</v>
      </c>
      <c r="R9500" s="14" t="str">
        <f>HYPERLINK("https://my.pitchbook.com?c=63947-62T","View Company Online")</f>
        <v>View Company Online</v>
      </c>
    </row>
    <row r="9501" spans="1:18" hidden="1" x14ac:dyDescent="0.3">
      <c r="A9501" s="15" t="s">
        <v>27066</v>
      </c>
      <c r="B9501" s="15" t="s">
        <v>14862</v>
      </c>
      <c r="C9501" s="18" t="s">
        <v>28</v>
      </c>
      <c r="D9501" s="15" t="s">
        <v>14863</v>
      </c>
      <c r="E9501" s="18" t="s">
        <v>28</v>
      </c>
      <c r="F9501" s="19" t="s">
        <v>28</v>
      </c>
      <c r="G9501" s="19">
        <v>118.01</v>
      </c>
      <c r="H9501" s="19">
        <v>337.18</v>
      </c>
      <c r="I9501" s="18">
        <v>55.24</v>
      </c>
      <c r="J9501" s="18">
        <v>6.1</v>
      </c>
      <c r="K9501" s="18">
        <v>330.23</v>
      </c>
      <c r="L9501" s="18">
        <v>1.02</v>
      </c>
      <c r="M9501" s="18" t="s">
        <v>28</v>
      </c>
      <c r="N9501" s="17">
        <v>42361</v>
      </c>
      <c r="O9501" s="15" t="s">
        <v>58</v>
      </c>
      <c r="P9501" s="16" t="s">
        <v>25748</v>
      </c>
      <c r="Q9501" s="15" t="s">
        <v>1007</v>
      </c>
      <c r="R9501" s="13" t="str">
        <f>HYPERLINK("https://my.pitchbook.com?c=63287-92T","View Company Online")</f>
        <v>View Company Online</v>
      </c>
    </row>
    <row r="9502" spans="1:18" hidden="1" x14ac:dyDescent="0.3">
      <c r="A9502" s="9" t="s">
        <v>27067</v>
      </c>
      <c r="B9502" s="9" t="s">
        <v>16681</v>
      </c>
      <c r="C9502" s="11" t="s">
        <v>28</v>
      </c>
      <c r="D9502" s="9" t="s">
        <v>19777</v>
      </c>
      <c r="E9502" s="11" t="s">
        <v>28</v>
      </c>
      <c r="F9502" s="10" t="s">
        <v>28</v>
      </c>
      <c r="G9502" s="10">
        <v>3.13</v>
      </c>
      <c r="H9502" s="10" t="s">
        <v>28</v>
      </c>
      <c r="I9502" s="11" t="s">
        <v>28</v>
      </c>
      <c r="J9502" s="11" t="s">
        <v>28</v>
      </c>
      <c r="K9502" s="11" t="s">
        <v>28</v>
      </c>
      <c r="L9502" s="11" t="s">
        <v>28</v>
      </c>
      <c r="M9502" s="11" t="s">
        <v>28</v>
      </c>
      <c r="N9502" s="8">
        <v>42361</v>
      </c>
      <c r="O9502" s="9" t="s">
        <v>73</v>
      </c>
      <c r="P9502" s="12" t="s">
        <v>27068</v>
      </c>
      <c r="Q9502" s="9" t="s">
        <v>566</v>
      </c>
      <c r="R9502" s="14" t="str">
        <f>HYPERLINK("https://my.pitchbook.com?c=133202-44T","View Company Online")</f>
        <v>View Company Online</v>
      </c>
    </row>
    <row r="9503" spans="1:18" hidden="1" x14ac:dyDescent="0.3">
      <c r="A9503" s="15" t="s">
        <v>27069</v>
      </c>
      <c r="B9503" s="15" t="s">
        <v>15697</v>
      </c>
      <c r="C9503" s="18" t="s">
        <v>28</v>
      </c>
      <c r="D9503" s="15" t="s">
        <v>15698</v>
      </c>
      <c r="E9503" s="18" t="s">
        <v>28</v>
      </c>
      <c r="F9503" s="19" t="s">
        <v>28</v>
      </c>
      <c r="G9503" s="19" t="s">
        <v>28</v>
      </c>
      <c r="H9503" s="19" t="s">
        <v>28</v>
      </c>
      <c r="I9503" s="18" t="s">
        <v>28</v>
      </c>
      <c r="J9503" s="18" t="s">
        <v>28</v>
      </c>
      <c r="K9503" s="18" t="s">
        <v>28</v>
      </c>
      <c r="L9503" s="18" t="s">
        <v>28</v>
      </c>
      <c r="M9503" s="18" t="s">
        <v>28</v>
      </c>
      <c r="N9503" s="17">
        <v>42361</v>
      </c>
      <c r="O9503" s="15" t="s">
        <v>30</v>
      </c>
      <c r="P9503" s="16" t="s">
        <v>27070</v>
      </c>
      <c r="Q9503" s="15" t="s">
        <v>136</v>
      </c>
      <c r="R9503" s="13" t="str">
        <f>HYPERLINK("https://my.pitchbook.com?c=63637-48T","View Company Online")</f>
        <v>View Company Online</v>
      </c>
    </row>
    <row r="9504" spans="1:18" hidden="1" x14ac:dyDescent="0.3">
      <c r="A9504" s="9" t="s">
        <v>27071</v>
      </c>
      <c r="B9504" s="9" t="s">
        <v>4641</v>
      </c>
      <c r="C9504" s="11" t="s">
        <v>28</v>
      </c>
      <c r="D9504" s="9" t="s">
        <v>4642</v>
      </c>
      <c r="E9504" s="11" t="s">
        <v>28</v>
      </c>
      <c r="F9504" s="10" t="s">
        <v>28</v>
      </c>
      <c r="G9504" s="10" t="s">
        <v>28</v>
      </c>
      <c r="H9504" s="10" t="s">
        <v>28</v>
      </c>
      <c r="I9504" s="11" t="s">
        <v>28</v>
      </c>
      <c r="J9504" s="11" t="s">
        <v>28</v>
      </c>
      <c r="K9504" s="11" t="s">
        <v>28</v>
      </c>
      <c r="L9504" s="11" t="s">
        <v>28</v>
      </c>
      <c r="M9504" s="11" t="s">
        <v>28</v>
      </c>
      <c r="N9504" s="8">
        <v>42361</v>
      </c>
      <c r="O9504" s="9" t="s">
        <v>99</v>
      </c>
      <c r="P9504" s="12" t="s">
        <v>27072</v>
      </c>
      <c r="Q9504" s="9" t="s">
        <v>37</v>
      </c>
      <c r="R9504" s="14" t="str">
        <f>HYPERLINK("https://my.pitchbook.com?c=68418-73T","View Company Online")</f>
        <v>View Company Online</v>
      </c>
    </row>
    <row r="9505" spans="1:18" hidden="1" x14ac:dyDescent="0.3">
      <c r="A9505" s="15" t="s">
        <v>27073</v>
      </c>
      <c r="B9505" s="15" t="s">
        <v>27074</v>
      </c>
      <c r="C9505" s="18" t="s">
        <v>28</v>
      </c>
      <c r="D9505" s="15" t="s">
        <v>27075</v>
      </c>
      <c r="E9505" s="18" t="s">
        <v>28</v>
      </c>
      <c r="F9505" s="19" t="s">
        <v>28</v>
      </c>
      <c r="G9505" s="19" t="s">
        <v>28</v>
      </c>
      <c r="H9505" s="19" t="s">
        <v>28</v>
      </c>
      <c r="I9505" s="18" t="s">
        <v>28</v>
      </c>
      <c r="J9505" s="18" t="s">
        <v>28</v>
      </c>
      <c r="K9505" s="18" t="s">
        <v>28</v>
      </c>
      <c r="L9505" s="18" t="s">
        <v>28</v>
      </c>
      <c r="M9505" s="18" t="s">
        <v>28</v>
      </c>
      <c r="N9505" s="17">
        <v>42361</v>
      </c>
      <c r="O9505" s="15" t="s">
        <v>41</v>
      </c>
      <c r="P9505" s="16" t="s">
        <v>27076</v>
      </c>
      <c r="Q9505" s="15" t="s">
        <v>331</v>
      </c>
      <c r="R9505" s="13" t="str">
        <f>HYPERLINK("https://my.pitchbook.com?c=61672-51T","View Company Online")</f>
        <v>View Company Online</v>
      </c>
    </row>
    <row r="9506" spans="1:18" hidden="1" x14ac:dyDescent="0.3">
      <c r="A9506" s="9" t="s">
        <v>27077</v>
      </c>
      <c r="B9506" s="9" t="s">
        <v>27078</v>
      </c>
      <c r="C9506" s="11" t="s">
        <v>28</v>
      </c>
      <c r="D9506" s="9" t="s">
        <v>27079</v>
      </c>
      <c r="E9506" s="11" t="s">
        <v>28</v>
      </c>
      <c r="F9506" s="10" t="s">
        <v>28</v>
      </c>
      <c r="G9506" s="10">
        <v>5.69</v>
      </c>
      <c r="H9506" s="10">
        <v>75.8</v>
      </c>
      <c r="I9506" s="11" t="s">
        <v>28</v>
      </c>
      <c r="J9506" s="11" t="s">
        <v>28</v>
      </c>
      <c r="K9506" s="11" t="s">
        <v>28</v>
      </c>
      <c r="L9506" s="11" t="s">
        <v>28</v>
      </c>
      <c r="M9506" s="11" t="s">
        <v>28</v>
      </c>
      <c r="N9506" s="8">
        <v>42361</v>
      </c>
      <c r="O9506" s="9" t="s">
        <v>58</v>
      </c>
      <c r="P9506" s="12" t="s">
        <v>27080</v>
      </c>
      <c r="Q9506" s="9" t="s">
        <v>5347</v>
      </c>
      <c r="R9506" s="14" t="str">
        <f>HYPERLINK("https://my.pitchbook.com?c=63881-20T","View Company Online")</f>
        <v>View Company Online</v>
      </c>
    </row>
    <row r="9507" spans="1:18" hidden="1" x14ac:dyDescent="0.3">
      <c r="A9507" s="15" t="s">
        <v>27081</v>
      </c>
      <c r="B9507" s="15" t="s">
        <v>27082</v>
      </c>
      <c r="C9507" s="18" t="s">
        <v>28</v>
      </c>
      <c r="D9507" s="15" t="s">
        <v>27083</v>
      </c>
      <c r="E9507" s="18" t="s">
        <v>28</v>
      </c>
      <c r="F9507" s="19">
        <v>0.8</v>
      </c>
      <c r="G9507" s="19">
        <v>0.8</v>
      </c>
      <c r="H9507" s="19">
        <v>0.8</v>
      </c>
      <c r="I9507" s="18" t="s">
        <v>28</v>
      </c>
      <c r="J9507" s="18" t="s">
        <v>28</v>
      </c>
      <c r="K9507" s="18" t="s">
        <v>28</v>
      </c>
      <c r="L9507" s="18" t="s">
        <v>28</v>
      </c>
      <c r="M9507" s="18" t="s">
        <v>28</v>
      </c>
      <c r="N9507" s="17">
        <v>42360</v>
      </c>
      <c r="O9507" s="15" t="s">
        <v>30</v>
      </c>
      <c r="P9507" s="16" t="s">
        <v>27084</v>
      </c>
      <c r="Q9507" s="15" t="s">
        <v>109</v>
      </c>
      <c r="R9507" s="13" t="str">
        <f>HYPERLINK("https://my.pitchbook.com?c=64197-19T","View Company Online")</f>
        <v>View Company Online</v>
      </c>
    </row>
    <row r="9508" spans="1:18" hidden="1" x14ac:dyDescent="0.3">
      <c r="A9508" s="9" t="s">
        <v>27085</v>
      </c>
      <c r="B9508" s="9" t="s">
        <v>27086</v>
      </c>
      <c r="C9508" s="11" t="s">
        <v>28</v>
      </c>
      <c r="D9508" s="9" t="s">
        <v>27087</v>
      </c>
      <c r="E9508" s="11" t="s">
        <v>28</v>
      </c>
      <c r="F9508" s="10">
        <v>65.650000000000006</v>
      </c>
      <c r="G9508" s="10">
        <v>65.650000000000006</v>
      </c>
      <c r="H9508" s="10">
        <v>65.650000000000006</v>
      </c>
      <c r="I9508" s="11" t="s">
        <v>28</v>
      </c>
      <c r="J9508" s="11" t="s">
        <v>28</v>
      </c>
      <c r="K9508" s="11" t="s">
        <v>28</v>
      </c>
      <c r="L9508" s="11" t="s">
        <v>28</v>
      </c>
      <c r="M9508" s="11" t="s">
        <v>28</v>
      </c>
      <c r="N9508" s="8">
        <v>42359</v>
      </c>
      <c r="O9508" s="9" t="s">
        <v>30</v>
      </c>
      <c r="P9508" s="12" t="s">
        <v>27088</v>
      </c>
      <c r="Q9508" s="9" t="s">
        <v>245</v>
      </c>
      <c r="R9508" s="14" t="str">
        <f>HYPERLINK("https://my.pitchbook.com?c=88876-45T","View Company Online")</f>
        <v>View Company Online</v>
      </c>
    </row>
    <row r="9509" spans="1:18" hidden="1" x14ac:dyDescent="0.3">
      <c r="A9509" s="15" t="s">
        <v>27089</v>
      </c>
      <c r="B9509" s="15" t="s">
        <v>5211</v>
      </c>
      <c r="C9509" s="18" t="s">
        <v>28</v>
      </c>
      <c r="D9509" s="15" t="s">
        <v>5212</v>
      </c>
      <c r="E9509" s="18" t="s">
        <v>28</v>
      </c>
      <c r="F9509" s="19" t="s">
        <v>28</v>
      </c>
      <c r="G9509" s="19">
        <v>3.67</v>
      </c>
      <c r="H9509" s="19" t="s">
        <v>28</v>
      </c>
      <c r="I9509" s="18" t="s">
        <v>28</v>
      </c>
      <c r="J9509" s="18" t="s">
        <v>28</v>
      </c>
      <c r="K9509" s="18" t="s">
        <v>28</v>
      </c>
      <c r="L9509" s="18" t="s">
        <v>28</v>
      </c>
      <c r="M9509" s="18" t="s">
        <v>28</v>
      </c>
      <c r="N9509" s="17">
        <v>42359</v>
      </c>
      <c r="O9509" s="15" t="s">
        <v>93</v>
      </c>
      <c r="P9509" s="16" t="s">
        <v>27090</v>
      </c>
      <c r="Q9509" s="15" t="s">
        <v>75</v>
      </c>
      <c r="R9509" s="13" t="str">
        <f>HYPERLINK("https://my.pitchbook.com?c=74821-51T","View Company Online")</f>
        <v>View Company Online</v>
      </c>
    </row>
    <row r="9510" spans="1:18" x14ac:dyDescent="0.3">
      <c r="A9510" s="9" t="s">
        <v>27091</v>
      </c>
      <c r="B9510" s="9" t="s">
        <v>17950</v>
      </c>
      <c r="C9510" s="11" t="s">
        <v>28</v>
      </c>
      <c r="D9510" s="9" t="s">
        <v>17951</v>
      </c>
      <c r="E9510" s="11">
        <v>65.099999999999994</v>
      </c>
      <c r="F9510" s="10" t="s">
        <v>28</v>
      </c>
      <c r="G9510" s="10">
        <v>157.08000000000001</v>
      </c>
      <c r="H9510" s="10">
        <v>924.02</v>
      </c>
      <c r="I9510" s="11">
        <v>79.91</v>
      </c>
      <c r="J9510" s="11">
        <v>11.56</v>
      </c>
      <c r="K9510" s="11">
        <v>1390.14</v>
      </c>
      <c r="L9510" s="11">
        <v>0.66</v>
      </c>
      <c r="M9510" s="11">
        <v>9.2899999999999991</v>
      </c>
      <c r="N9510" s="8">
        <v>42359</v>
      </c>
      <c r="O9510" s="9" t="s">
        <v>93</v>
      </c>
      <c r="P9510" s="12" t="s">
        <v>27092</v>
      </c>
      <c r="Q9510" s="9" t="s">
        <v>409</v>
      </c>
      <c r="R9510" s="14" t="str">
        <f>HYPERLINK("https://my.pitchbook.com?c=63478-54T","View Company Online")</f>
        <v>View Company Online</v>
      </c>
    </row>
    <row r="9511" spans="1:18" hidden="1" x14ac:dyDescent="0.3">
      <c r="A9511" s="15" t="s">
        <v>27093</v>
      </c>
      <c r="B9511" s="15" t="s">
        <v>27094</v>
      </c>
      <c r="C9511" s="18" t="s">
        <v>28</v>
      </c>
      <c r="D9511" s="15" t="s">
        <v>27095</v>
      </c>
      <c r="E9511" s="18" t="s">
        <v>28</v>
      </c>
      <c r="F9511" s="19" t="s">
        <v>28</v>
      </c>
      <c r="G9511" s="19" t="s">
        <v>28</v>
      </c>
      <c r="H9511" s="19" t="s">
        <v>28</v>
      </c>
      <c r="I9511" s="18" t="s">
        <v>28</v>
      </c>
      <c r="J9511" s="18" t="s">
        <v>28</v>
      </c>
      <c r="K9511" s="18" t="s">
        <v>28</v>
      </c>
      <c r="L9511" s="18" t="s">
        <v>28</v>
      </c>
      <c r="M9511" s="18" t="s">
        <v>28</v>
      </c>
      <c r="N9511" s="17">
        <v>42358</v>
      </c>
      <c r="O9511" s="15" t="s">
        <v>41</v>
      </c>
      <c r="P9511" s="16" t="s">
        <v>27096</v>
      </c>
      <c r="Q9511" s="15" t="s">
        <v>353</v>
      </c>
      <c r="R9511" s="13" t="str">
        <f>HYPERLINK("https://my.pitchbook.com?c=62198-38T","View Company Online")</f>
        <v>View Company Online</v>
      </c>
    </row>
    <row r="9512" spans="1:18" hidden="1" x14ac:dyDescent="0.3">
      <c r="A9512" s="9" t="s">
        <v>27097</v>
      </c>
      <c r="B9512" s="9" t="s">
        <v>27098</v>
      </c>
      <c r="C9512" s="11" t="s">
        <v>28</v>
      </c>
      <c r="D9512" s="9" t="s">
        <v>27099</v>
      </c>
      <c r="E9512" s="11" t="s">
        <v>28</v>
      </c>
      <c r="F9512" s="10" t="s">
        <v>28</v>
      </c>
      <c r="G9512" s="10" t="s">
        <v>28</v>
      </c>
      <c r="H9512" s="10" t="s">
        <v>28</v>
      </c>
      <c r="I9512" s="11" t="s">
        <v>28</v>
      </c>
      <c r="J9512" s="11" t="s">
        <v>28</v>
      </c>
      <c r="K9512" s="11">
        <v>8.77</v>
      </c>
      <c r="L9512" s="11" t="s">
        <v>28</v>
      </c>
      <c r="M9512" s="11" t="s">
        <v>28</v>
      </c>
      <c r="N9512" s="8">
        <v>42356</v>
      </c>
      <c r="O9512" s="9" t="s">
        <v>30</v>
      </c>
      <c r="P9512" s="12" t="s">
        <v>27100</v>
      </c>
      <c r="Q9512" s="9" t="s">
        <v>740</v>
      </c>
      <c r="R9512" s="14" t="str">
        <f>HYPERLINK("https://my.pitchbook.com?c=67038-67T","View Company Online")</f>
        <v>View Company Online</v>
      </c>
    </row>
    <row r="9513" spans="1:18" hidden="1" x14ac:dyDescent="0.3">
      <c r="A9513" s="15" t="s">
        <v>27101</v>
      </c>
      <c r="B9513" s="15" t="s">
        <v>27102</v>
      </c>
      <c r="C9513" s="18" t="s">
        <v>28</v>
      </c>
      <c r="D9513" s="15" t="s">
        <v>27103</v>
      </c>
      <c r="E9513" s="18" t="s">
        <v>28</v>
      </c>
      <c r="F9513" s="19">
        <v>38.5</v>
      </c>
      <c r="G9513" s="19">
        <v>38.5</v>
      </c>
      <c r="H9513" s="19">
        <v>38.5</v>
      </c>
      <c r="I9513" s="18" t="s">
        <v>28</v>
      </c>
      <c r="J9513" s="18" t="s">
        <v>28</v>
      </c>
      <c r="K9513" s="18" t="s">
        <v>28</v>
      </c>
      <c r="L9513" s="18" t="s">
        <v>28</v>
      </c>
      <c r="M9513" s="18" t="s">
        <v>28</v>
      </c>
      <c r="N9513" s="17">
        <v>42356</v>
      </c>
      <c r="O9513" s="15" t="s">
        <v>30</v>
      </c>
      <c r="P9513" s="16" t="s">
        <v>14921</v>
      </c>
      <c r="Q9513" s="15" t="s">
        <v>43</v>
      </c>
      <c r="R9513" s="13" t="str">
        <f>HYPERLINK("https://my.pitchbook.com?c=63557-20T","View Company Online")</f>
        <v>View Company Online</v>
      </c>
    </row>
    <row r="9514" spans="1:18" hidden="1" x14ac:dyDescent="0.3">
      <c r="A9514" s="9" t="s">
        <v>27104</v>
      </c>
      <c r="B9514" s="9" t="s">
        <v>27105</v>
      </c>
      <c r="C9514" s="11" t="s">
        <v>28</v>
      </c>
      <c r="D9514" s="9" t="s">
        <v>27106</v>
      </c>
      <c r="E9514" s="11" t="s">
        <v>28</v>
      </c>
      <c r="F9514" s="10" t="s">
        <v>28</v>
      </c>
      <c r="G9514" s="10" t="s">
        <v>28</v>
      </c>
      <c r="H9514" s="10" t="s">
        <v>28</v>
      </c>
      <c r="I9514" s="11" t="s">
        <v>28</v>
      </c>
      <c r="J9514" s="11" t="s">
        <v>28</v>
      </c>
      <c r="K9514" s="11" t="s">
        <v>28</v>
      </c>
      <c r="L9514" s="11" t="s">
        <v>28</v>
      </c>
      <c r="M9514" s="11" t="s">
        <v>28</v>
      </c>
      <c r="N9514" s="8">
        <v>42356</v>
      </c>
      <c r="O9514" s="9" t="s">
        <v>93</v>
      </c>
      <c r="P9514" s="12" t="s">
        <v>20359</v>
      </c>
      <c r="Q9514" s="9" t="s">
        <v>5132</v>
      </c>
      <c r="R9514" s="14" t="str">
        <f>HYPERLINK("https://my.pitchbook.com?c=63363-97T","View Company Online")</f>
        <v>View Company Online</v>
      </c>
    </row>
    <row r="9515" spans="1:18" hidden="1" x14ac:dyDescent="0.3">
      <c r="A9515" s="15" t="s">
        <v>27107</v>
      </c>
      <c r="B9515" s="15" t="s">
        <v>24697</v>
      </c>
      <c r="C9515" s="18" t="s">
        <v>28</v>
      </c>
      <c r="D9515" s="15" t="s">
        <v>24698</v>
      </c>
      <c r="E9515" s="18" t="s">
        <v>28</v>
      </c>
      <c r="F9515" s="19" t="s">
        <v>28</v>
      </c>
      <c r="G9515" s="19">
        <v>0.03</v>
      </c>
      <c r="H9515" s="19" t="s">
        <v>28</v>
      </c>
      <c r="I9515" s="18" t="s">
        <v>28</v>
      </c>
      <c r="J9515" s="18" t="s">
        <v>28</v>
      </c>
      <c r="K9515" s="18" t="s">
        <v>28</v>
      </c>
      <c r="L9515" s="18" t="s">
        <v>28</v>
      </c>
      <c r="M9515" s="18" t="s">
        <v>28</v>
      </c>
      <c r="N9515" s="17">
        <v>42356</v>
      </c>
      <c r="O9515" s="15" t="s">
        <v>52</v>
      </c>
      <c r="P9515" s="16" t="s">
        <v>1792</v>
      </c>
      <c r="Q9515" s="15" t="s">
        <v>75</v>
      </c>
      <c r="R9515" s="13" t="str">
        <f>HYPERLINK("https://my.pitchbook.com?c=65661-22T","View Company Online")</f>
        <v>View Company Online</v>
      </c>
    </row>
    <row r="9516" spans="1:18" hidden="1" x14ac:dyDescent="0.3">
      <c r="A9516" s="9" t="s">
        <v>27108</v>
      </c>
      <c r="B9516" s="9" t="s">
        <v>26053</v>
      </c>
      <c r="C9516" s="11" t="s">
        <v>28</v>
      </c>
      <c r="D9516" s="9" t="s">
        <v>26054</v>
      </c>
      <c r="E9516" s="11" t="s">
        <v>28</v>
      </c>
      <c r="F9516" s="10" t="s">
        <v>28</v>
      </c>
      <c r="G9516" s="10">
        <v>0.03</v>
      </c>
      <c r="H9516" s="10" t="s">
        <v>28</v>
      </c>
      <c r="I9516" s="11" t="s">
        <v>28</v>
      </c>
      <c r="J9516" s="11" t="s">
        <v>28</v>
      </c>
      <c r="K9516" s="11" t="s">
        <v>28</v>
      </c>
      <c r="L9516" s="11" t="s">
        <v>28</v>
      </c>
      <c r="M9516" s="11" t="s">
        <v>28</v>
      </c>
      <c r="N9516" s="8">
        <v>42356</v>
      </c>
      <c r="O9516" s="9" t="s">
        <v>52</v>
      </c>
      <c r="P9516" s="12" t="s">
        <v>1792</v>
      </c>
      <c r="Q9516" s="9" t="s">
        <v>3912</v>
      </c>
      <c r="R9516" s="14" t="str">
        <f>HYPERLINK("https://my.pitchbook.com?c=84767-32T","View Company Online")</f>
        <v>View Company Online</v>
      </c>
    </row>
    <row r="9517" spans="1:18" hidden="1" x14ac:dyDescent="0.3">
      <c r="A9517" s="15" t="s">
        <v>27109</v>
      </c>
      <c r="B9517" s="15" t="s">
        <v>10814</v>
      </c>
      <c r="C9517" s="18" t="s">
        <v>28</v>
      </c>
      <c r="D9517" s="15" t="s">
        <v>10815</v>
      </c>
      <c r="E9517" s="18" t="s">
        <v>28</v>
      </c>
      <c r="F9517" s="19" t="s">
        <v>28</v>
      </c>
      <c r="G9517" s="19">
        <v>0.03</v>
      </c>
      <c r="H9517" s="19" t="s">
        <v>28</v>
      </c>
      <c r="I9517" s="18" t="s">
        <v>28</v>
      </c>
      <c r="J9517" s="18" t="s">
        <v>28</v>
      </c>
      <c r="K9517" s="18" t="s">
        <v>28</v>
      </c>
      <c r="L9517" s="18" t="s">
        <v>28</v>
      </c>
      <c r="M9517" s="18" t="s">
        <v>28</v>
      </c>
      <c r="N9517" s="17">
        <v>42356</v>
      </c>
      <c r="O9517" s="15" t="s">
        <v>52</v>
      </c>
      <c r="P9517" s="16" t="s">
        <v>1792</v>
      </c>
      <c r="Q9517" s="15" t="s">
        <v>75</v>
      </c>
      <c r="R9517" s="13" t="str">
        <f>HYPERLINK("https://my.pitchbook.com?c=66106-63T","View Company Online")</f>
        <v>View Company Online</v>
      </c>
    </row>
    <row r="9518" spans="1:18" hidden="1" x14ac:dyDescent="0.3">
      <c r="A9518" s="9" t="s">
        <v>27110</v>
      </c>
      <c r="B9518" s="9" t="s">
        <v>27111</v>
      </c>
      <c r="C9518" s="11" t="s">
        <v>28</v>
      </c>
      <c r="D9518" s="9" t="s">
        <v>27112</v>
      </c>
      <c r="E9518" s="11" t="s">
        <v>28</v>
      </c>
      <c r="F9518" s="10" t="s">
        <v>28</v>
      </c>
      <c r="G9518" s="10" t="s">
        <v>28</v>
      </c>
      <c r="H9518" s="10" t="s">
        <v>28</v>
      </c>
      <c r="I9518" s="11" t="s">
        <v>28</v>
      </c>
      <c r="J9518" s="11" t="s">
        <v>28</v>
      </c>
      <c r="K9518" s="11" t="s">
        <v>28</v>
      </c>
      <c r="L9518" s="11" t="s">
        <v>28</v>
      </c>
      <c r="M9518" s="11" t="s">
        <v>28</v>
      </c>
      <c r="N9518" s="8">
        <v>42356</v>
      </c>
      <c r="O9518" s="9" t="s">
        <v>30</v>
      </c>
      <c r="P9518" s="12" t="s">
        <v>27113</v>
      </c>
      <c r="Q9518" s="9" t="s">
        <v>136</v>
      </c>
      <c r="R9518" s="14" t="str">
        <f>HYPERLINK("https://my.pitchbook.com?c=73242-82T","View Company Online")</f>
        <v>View Company Online</v>
      </c>
    </row>
    <row r="9519" spans="1:18" hidden="1" x14ac:dyDescent="0.3">
      <c r="A9519" s="15" t="s">
        <v>27114</v>
      </c>
      <c r="B9519" s="15" t="s">
        <v>27115</v>
      </c>
      <c r="C9519" s="18" t="s">
        <v>28</v>
      </c>
      <c r="D9519" s="15" t="s">
        <v>27116</v>
      </c>
      <c r="E9519" s="18" t="s">
        <v>28</v>
      </c>
      <c r="F9519" s="19" t="s">
        <v>28</v>
      </c>
      <c r="G9519" s="19">
        <v>0.08</v>
      </c>
      <c r="H9519" s="19" t="s">
        <v>28</v>
      </c>
      <c r="I9519" s="18" t="s">
        <v>28</v>
      </c>
      <c r="J9519" s="18" t="s">
        <v>28</v>
      </c>
      <c r="K9519" s="18" t="s">
        <v>28</v>
      </c>
      <c r="L9519" s="18" t="s">
        <v>28</v>
      </c>
      <c r="M9519" s="18" t="s">
        <v>28</v>
      </c>
      <c r="N9519" s="17">
        <v>42355</v>
      </c>
      <c r="O9519" s="15" t="s">
        <v>1639</v>
      </c>
      <c r="P9519" s="16" t="s">
        <v>28</v>
      </c>
      <c r="Q9519" s="15" t="s">
        <v>1191</v>
      </c>
      <c r="R9519" s="13" t="str">
        <f>HYPERLINK("https://my.pitchbook.com?c=122940-73T","View Company Online")</f>
        <v>View Company Online</v>
      </c>
    </row>
    <row r="9520" spans="1:18" hidden="1" x14ac:dyDescent="0.3">
      <c r="A9520" s="9" t="s">
        <v>27117</v>
      </c>
      <c r="B9520" s="9" t="s">
        <v>27118</v>
      </c>
      <c r="C9520" s="11" t="s">
        <v>28</v>
      </c>
      <c r="D9520" s="9" t="s">
        <v>27119</v>
      </c>
      <c r="E9520" s="11" t="s">
        <v>28</v>
      </c>
      <c r="F9520" s="10">
        <v>34.159999999999997</v>
      </c>
      <c r="G9520" s="10">
        <v>34.159999999999997</v>
      </c>
      <c r="H9520" s="10">
        <v>34.159999999999997</v>
      </c>
      <c r="I9520" s="11" t="s">
        <v>28</v>
      </c>
      <c r="J9520" s="11" t="s">
        <v>28</v>
      </c>
      <c r="K9520" s="11">
        <v>60.82</v>
      </c>
      <c r="L9520" s="11">
        <v>0.56000000000000005</v>
      </c>
      <c r="M9520" s="11" t="s">
        <v>28</v>
      </c>
      <c r="N9520" s="8">
        <v>42355</v>
      </c>
      <c r="O9520" s="9" t="s">
        <v>30</v>
      </c>
      <c r="P9520" s="12" t="s">
        <v>27120</v>
      </c>
      <c r="Q9520" s="9" t="s">
        <v>5347</v>
      </c>
      <c r="R9520" s="14" t="str">
        <f>HYPERLINK("https://my.pitchbook.com?c=64393-48T","View Company Online")</f>
        <v>View Company Online</v>
      </c>
    </row>
    <row r="9521" spans="1:18" hidden="1" x14ac:dyDescent="0.3">
      <c r="A9521" s="15" t="s">
        <v>27121</v>
      </c>
      <c r="B9521" s="15" t="s">
        <v>22697</v>
      </c>
      <c r="C9521" s="18" t="s">
        <v>28</v>
      </c>
      <c r="D9521" s="15" t="s">
        <v>22698</v>
      </c>
      <c r="E9521" s="18" t="s">
        <v>28</v>
      </c>
      <c r="F9521" s="19" t="s">
        <v>28</v>
      </c>
      <c r="G9521" s="19">
        <v>1.32</v>
      </c>
      <c r="H9521" s="19" t="s">
        <v>28</v>
      </c>
      <c r="I9521" s="18" t="s">
        <v>28</v>
      </c>
      <c r="J9521" s="18" t="s">
        <v>28</v>
      </c>
      <c r="K9521" s="18" t="s">
        <v>28</v>
      </c>
      <c r="L9521" s="18" t="s">
        <v>28</v>
      </c>
      <c r="M9521" s="18" t="s">
        <v>28</v>
      </c>
      <c r="N9521" s="17">
        <v>42354</v>
      </c>
      <c r="O9521" s="15" t="s">
        <v>93</v>
      </c>
      <c r="P9521" s="16" t="s">
        <v>24624</v>
      </c>
      <c r="Q9521" s="15" t="s">
        <v>75</v>
      </c>
      <c r="R9521" s="13" t="str">
        <f>HYPERLINK("https://my.pitchbook.com?c=86429-44T","View Company Online")</f>
        <v>View Company Online</v>
      </c>
    </row>
    <row r="9522" spans="1:18" hidden="1" x14ac:dyDescent="0.3">
      <c r="A9522" s="9" t="s">
        <v>27122</v>
      </c>
      <c r="B9522" s="9" t="s">
        <v>13434</v>
      </c>
      <c r="C9522" s="11" t="s">
        <v>28</v>
      </c>
      <c r="D9522" s="9" t="s">
        <v>13435</v>
      </c>
      <c r="E9522" s="11" t="s">
        <v>28</v>
      </c>
      <c r="F9522" s="10" t="s">
        <v>28</v>
      </c>
      <c r="G9522" s="10" t="s">
        <v>28</v>
      </c>
      <c r="H9522" s="10" t="s">
        <v>28</v>
      </c>
      <c r="I9522" s="11" t="s">
        <v>28</v>
      </c>
      <c r="J9522" s="11" t="s">
        <v>28</v>
      </c>
      <c r="K9522" s="11" t="s">
        <v>28</v>
      </c>
      <c r="L9522" s="11" t="s">
        <v>28</v>
      </c>
      <c r="M9522" s="11" t="s">
        <v>28</v>
      </c>
      <c r="N9522" s="8">
        <v>42354</v>
      </c>
      <c r="O9522" s="9" t="s">
        <v>30</v>
      </c>
      <c r="P9522" s="12" t="s">
        <v>27123</v>
      </c>
      <c r="Q9522" s="9" t="s">
        <v>566</v>
      </c>
      <c r="R9522" s="14" t="str">
        <f>HYPERLINK("https://my.pitchbook.com?c=63975-88T","View Company Online")</f>
        <v>View Company Online</v>
      </c>
    </row>
    <row r="9523" spans="1:18" hidden="1" x14ac:dyDescent="0.3">
      <c r="A9523" s="15" t="s">
        <v>27124</v>
      </c>
      <c r="B9523" s="15" t="s">
        <v>27125</v>
      </c>
      <c r="C9523" s="18" t="s">
        <v>28</v>
      </c>
      <c r="D9523" s="15" t="s">
        <v>27126</v>
      </c>
      <c r="E9523" s="18" t="s">
        <v>28</v>
      </c>
      <c r="F9523" s="19" t="s">
        <v>28</v>
      </c>
      <c r="G9523" s="19" t="s">
        <v>28</v>
      </c>
      <c r="H9523" s="19" t="s">
        <v>28</v>
      </c>
      <c r="I9523" s="18" t="s">
        <v>28</v>
      </c>
      <c r="J9523" s="18" t="s">
        <v>28</v>
      </c>
      <c r="K9523" s="18" t="s">
        <v>28</v>
      </c>
      <c r="L9523" s="18" t="s">
        <v>28</v>
      </c>
      <c r="M9523" s="18" t="s">
        <v>28</v>
      </c>
      <c r="N9523" s="17">
        <v>42354</v>
      </c>
      <c r="O9523" s="15" t="s">
        <v>30</v>
      </c>
      <c r="P9523" s="16" t="s">
        <v>27127</v>
      </c>
      <c r="Q9523" s="15" t="s">
        <v>188</v>
      </c>
      <c r="R9523" s="13" t="str">
        <f>HYPERLINK("https://my.pitchbook.com?c=63204-13T","View Company Online")</f>
        <v>View Company Online</v>
      </c>
    </row>
    <row r="9524" spans="1:18" hidden="1" x14ac:dyDescent="0.3">
      <c r="A9524" s="9" t="s">
        <v>27128</v>
      </c>
      <c r="B9524" s="9" t="s">
        <v>27129</v>
      </c>
      <c r="C9524" s="11" t="s">
        <v>28</v>
      </c>
      <c r="D9524" s="9" t="s">
        <v>27130</v>
      </c>
      <c r="E9524" s="11" t="s">
        <v>28</v>
      </c>
      <c r="F9524" s="10" t="s">
        <v>28</v>
      </c>
      <c r="G9524" s="10" t="s">
        <v>28</v>
      </c>
      <c r="H9524" s="10" t="s">
        <v>28</v>
      </c>
      <c r="I9524" s="11" t="s">
        <v>28</v>
      </c>
      <c r="J9524" s="11" t="s">
        <v>28</v>
      </c>
      <c r="K9524" s="11" t="s">
        <v>28</v>
      </c>
      <c r="L9524" s="11" t="s">
        <v>28</v>
      </c>
      <c r="M9524" s="11" t="s">
        <v>28</v>
      </c>
      <c r="N9524" s="8">
        <v>42353</v>
      </c>
      <c r="O9524" s="9" t="s">
        <v>52</v>
      </c>
      <c r="P9524" s="12" t="s">
        <v>27131</v>
      </c>
      <c r="Q9524" s="9" t="s">
        <v>855</v>
      </c>
      <c r="R9524" s="14" t="str">
        <f>HYPERLINK("https://my.pitchbook.com?c=71066-08T","View Company Online")</f>
        <v>View Company Online</v>
      </c>
    </row>
    <row r="9525" spans="1:18" hidden="1" x14ac:dyDescent="0.3">
      <c r="A9525" s="15" t="s">
        <v>27132</v>
      </c>
      <c r="B9525" s="15" t="s">
        <v>27133</v>
      </c>
      <c r="C9525" s="18" t="s">
        <v>28</v>
      </c>
      <c r="D9525" s="15" t="s">
        <v>27134</v>
      </c>
      <c r="E9525" s="18" t="s">
        <v>28</v>
      </c>
      <c r="F9525" s="19">
        <v>104.77</v>
      </c>
      <c r="G9525" s="19">
        <v>104.77</v>
      </c>
      <c r="H9525" s="19">
        <v>104.77</v>
      </c>
      <c r="I9525" s="18" t="s">
        <v>28</v>
      </c>
      <c r="J9525" s="18" t="s">
        <v>28</v>
      </c>
      <c r="K9525" s="18" t="s">
        <v>28</v>
      </c>
      <c r="L9525" s="18" t="s">
        <v>28</v>
      </c>
      <c r="M9525" s="18" t="s">
        <v>28</v>
      </c>
      <c r="N9525" s="17">
        <v>42353</v>
      </c>
      <c r="O9525" s="15" t="s">
        <v>30</v>
      </c>
      <c r="P9525" s="16" t="s">
        <v>28</v>
      </c>
      <c r="Q9525" s="15" t="s">
        <v>43</v>
      </c>
      <c r="R9525" s="13" t="str">
        <f>HYPERLINK("https://my.pitchbook.com?c=63538-48T","View Company Online")</f>
        <v>View Company Online</v>
      </c>
    </row>
    <row r="9526" spans="1:18" hidden="1" x14ac:dyDescent="0.3">
      <c r="A9526" s="9" t="s">
        <v>27135</v>
      </c>
      <c r="B9526" s="9" t="s">
        <v>27136</v>
      </c>
      <c r="C9526" s="11" t="s">
        <v>28</v>
      </c>
      <c r="D9526" s="9" t="s">
        <v>27137</v>
      </c>
      <c r="E9526" s="11" t="s">
        <v>28</v>
      </c>
      <c r="F9526" s="10" t="s">
        <v>28</v>
      </c>
      <c r="G9526" s="10" t="s">
        <v>28</v>
      </c>
      <c r="H9526" s="10" t="s">
        <v>28</v>
      </c>
      <c r="I9526" s="11" t="s">
        <v>28</v>
      </c>
      <c r="J9526" s="11" t="s">
        <v>28</v>
      </c>
      <c r="K9526" s="11" t="s">
        <v>28</v>
      </c>
      <c r="L9526" s="11" t="s">
        <v>28</v>
      </c>
      <c r="M9526" s="11" t="s">
        <v>28</v>
      </c>
      <c r="N9526" s="8">
        <v>42353</v>
      </c>
      <c r="O9526" s="9" t="s">
        <v>52</v>
      </c>
      <c r="P9526" s="12" t="s">
        <v>27131</v>
      </c>
      <c r="Q9526" s="9" t="s">
        <v>3912</v>
      </c>
      <c r="R9526" s="14" t="str">
        <f>HYPERLINK("https://my.pitchbook.com?c=71070-13T","View Company Online")</f>
        <v>View Company Online</v>
      </c>
    </row>
    <row r="9527" spans="1:18" hidden="1" x14ac:dyDescent="0.3">
      <c r="A9527" s="15" t="s">
        <v>27138</v>
      </c>
      <c r="B9527" s="15" t="s">
        <v>27139</v>
      </c>
      <c r="C9527" s="18" t="s">
        <v>28</v>
      </c>
      <c r="D9527" s="15" t="s">
        <v>27140</v>
      </c>
      <c r="E9527" s="18" t="s">
        <v>28</v>
      </c>
      <c r="F9527" s="19" t="s">
        <v>28</v>
      </c>
      <c r="G9527" s="19" t="s">
        <v>28</v>
      </c>
      <c r="H9527" s="19" t="s">
        <v>28</v>
      </c>
      <c r="I9527" s="18" t="s">
        <v>28</v>
      </c>
      <c r="J9527" s="18" t="s">
        <v>28</v>
      </c>
      <c r="K9527" s="18" t="s">
        <v>28</v>
      </c>
      <c r="L9527" s="18" t="s">
        <v>28</v>
      </c>
      <c r="M9527" s="18" t="s">
        <v>28</v>
      </c>
      <c r="N9527" s="17">
        <v>42353</v>
      </c>
      <c r="O9527" s="15" t="s">
        <v>52</v>
      </c>
      <c r="P9527" s="16" t="s">
        <v>27131</v>
      </c>
      <c r="Q9527" s="15" t="s">
        <v>740</v>
      </c>
      <c r="R9527" s="13" t="str">
        <f>HYPERLINK("https://my.pitchbook.com?c=70961-32T","View Company Online")</f>
        <v>View Company Online</v>
      </c>
    </row>
    <row r="9528" spans="1:18" hidden="1" x14ac:dyDescent="0.3">
      <c r="A9528" s="9" t="s">
        <v>27141</v>
      </c>
      <c r="B9528" s="9" t="s">
        <v>27142</v>
      </c>
      <c r="C9528" s="11" t="s">
        <v>28</v>
      </c>
      <c r="D9528" s="9" t="s">
        <v>27143</v>
      </c>
      <c r="E9528" s="11" t="s">
        <v>28</v>
      </c>
      <c r="F9528" s="10" t="s">
        <v>28</v>
      </c>
      <c r="G9528" s="10" t="s">
        <v>28</v>
      </c>
      <c r="H9528" s="10" t="s">
        <v>28</v>
      </c>
      <c r="I9528" s="11" t="s">
        <v>28</v>
      </c>
      <c r="J9528" s="11" t="s">
        <v>28</v>
      </c>
      <c r="K9528" s="11" t="s">
        <v>28</v>
      </c>
      <c r="L9528" s="11" t="s">
        <v>28</v>
      </c>
      <c r="M9528" s="11" t="s">
        <v>28</v>
      </c>
      <c r="N9528" s="8">
        <v>42353</v>
      </c>
      <c r="O9528" s="9" t="s">
        <v>52</v>
      </c>
      <c r="P9528" s="12" t="s">
        <v>27131</v>
      </c>
      <c r="Q9528" s="9" t="s">
        <v>419</v>
      </c>
      <c r="R9528" s="14" t="str">
        <f>HYPERLINK("https://my.pitchbook.com?c=70964-47T","View Company Online")</f>
        <v>View Company Online</v>
      </c>
    </row>
    <row r="9529" spans="1:18" hidden="1" x14ac:dyDescent="0.3">
      <c r="A9529" s="15" t="s">
        <v>27144</v>
      </c>
      <c r="B9529" s="15" t="s">
        <v>5329</v>
      </c>
      <c r="C9529" s="18" t="s">
        <v>28</v>
      </c>
      <c r="D9529" s="15" t="s">
        <v>5330</v>
      </c>
      <c r="E9529" s="18">
        <v>6.45</v>
      </c>
      <c r="F9529" s="19" t="s">
        <v>28</v>
      </c>
      <c r="G9529" s="19" t="s">
        <v>28</v>
      </c>
      <c r="H9529" s="19" t="s">
        <v>28</v>
      </c>
      <c r="I9529" s="18">
        <v>8.32</v>
      </c>
      <c r="J9529" s="18" t="s">
        <v>28</v>
      </c>
      <c r="K9529" s="18">
        <v>67.63</v>
      </c>
      <c r="L9529" s="18" t="s">
        <v>28</v>
      </c>
      <c r="M9529" s="18">
        <v>4.68</v>
      </c>
      <c r="N9529" s="17">
        <v>42353</v>
      </c>
      <c r="O9529" s="15" t="s">
        <v>173</v>
      </c>
      <c r="P9529" s="16" t="s">
        <v>28</v>
      </c>
      <c r="Q9529" s="15" t="s">
        <v>136</v>
      </c>
      <c r="R9529" s="13" t="str">
        <f>HYPERLINK("https://my.pitchbook.com?c=209514-43T","View Company Online")</f>
        <v>View Company Online</v>
      </c>
    </row>
    <row r="9530" spans="1:18" hidden="1" x14ac:dyDescent="0.3">
      <c r="A9530" s="9" t="s">
        <v>27145</v>
      </c>
      <c r="B9530" s="9" t="s">
        <v>27146</v>
      </c>
      <c r="C9530" s="11" t="s">
        <v>28</v>
      </c>
      <c r="D9530" s="9" t="s">
        <v>27147</v>
      </c>
      <c r="E9530" s="11" t="s">
        <v>28</v>
      </c>
      <c r="F9530" s="10" t="s">
        <v>28</v>
      </c>
      <c r="G9530" s="10" t="s">
        <v>28</v>
      </c>
      <c r="H9530" s="10" t="s">
        <v>28</v>
      </c>
      <c r="I9530" s="11" t="s">
        <v>28</v>
      </c>
      <c r="J9530" s="11" t="s">
        <v>28</v>
      </c>
      <c r="K9530" s="11" t="s">
        <v>28</v>
      </c>
      <c r="L9530" s="11" t="s">
        <v>28</v>
      </c>
      <c r="M9530" s="11" t="s">
        <v>28</v>
      </c>
      <c r="N9530" s="8">
        <v>42353</v>
      </c>
      <c r="O9530" s="9" t="s">
        <v>52</v>
      </c>
      <c r="P9530" s="12" t="s">
        <v>27131</v>
      </c>
      <c r="Q9530" s="9" t="s">
        <v>75</v>
      </c>
      <c r="R9530" s="14" t="str">
        <f>HYPERLINK("https://my.pitchbook.com?c=71059-78T","View Company Online")</f>
        <v>View Company Online</v>
      </c>
    </row>
    <row r="9531" spans="1:18" hidden="1" x14ac:dyDescent="0.3">
      <c r="A9531" s="15" t="s">
        <v>27148</v>
      </c>
      <c r="B9531" s="15" t="s">
        <v>27149</v>
      </c>
      <c r="C9531" s="18" t="s">
        <v>28</v>
      </c>
      <c r="D9531" s="15" t="s">
        <v>27150</v>
      </c>
      <c r="E9531" s="18" t="s">
        <v>28</v>
      </c>
      <c r="F9531" s="19" t="s">
        <v>28</v>
      </c>
      <c r="G9531" s="19" t="s">
        <v>28</v>
      </c>
      <c r="H9531" s="19" t="s">
        <v>28</v>
      </c>
      <c r="I9531" s="18" t="s">
        <v>28</v>
      </c>
      <c r="J9531" s="18" t="s">
        <v>28</v>
      </c>
      <c r="K9531" s="18" t="s">
        <v>28</v>
      </c>
      <c r="L9531" s="18" t="s">
        <v>28</v>
      </c>
      <c r="M9531" s="18" t="s">
        <v>28</v>
      </c>
      <c r="N9531" s="17">
        <v>42353</v>
      </c>
      <c r="O9531" s="15" t="s">
        <v>52</v>
      </c>
      <c r="P9531" s="16" t="s">
        <v>27131</v>
      </c>
      <c r="Q9531" s="15" t="s">
        <v>3912</v>
      </c>
      <c r="R9531" s="13" t="str">
        <f>HYPERLINK("https://my.pitchbook.com?c=71060-59T","View Company Online")</f>
        <v>View Company Online</v>
      </c>
    </row>
    <row r="9532" spans="1:18" hidden="1" x14ac:dyDescent="0.3">
      <c r="A9532" s="9" t="s">
        <v>27151</v>
      </c>
      <c r="B9532" s="9" t="s">
        <v>27152</v>
      </c>
      <c r="C9532" s="11" t="s">
        <v>28</v>
      </c>
      <c r="D9532" s="9" t="s">
        <v>27153</v>
      </c>
      <c r="E9532" s="11" t="s">
        <v>28</v>
      </c>
      <c r="F9532" s="10" t="s">
        <v>28</v>
      </c>
      <c r="G9532" s="10" t="s">
        <v>28</v>
      </c>
      <c r="H9532" s="10" t="s">
        <v>28</v>
      </c>
      <c r="I9532" s="11" t="s">
        <v>28</v>
      </c>
      <c r="J9532" s="11" t="s">
        <v>28</v>
      </c>
      <c r="K9532" s="11" t="s">
        <v>28</v>
      </c>
      <c r="L9532" s="11" t="s">
        <v>28</v>
      </c>
      <c r="M9532" s="11" t="s">
        <v>28</v>
      </c>
      <c r="N9532" s="8">
        <v>42352</v>
      </c>
      <c r="O9532" s="9" t="s">
        <v>30</v>
      </c>
      <c r="P9532" s="12" t="s">
        <v>27154</v>
      </c>
      <c r="Q9532" s="9" t="s">
        <v>18018</v>
      </c>
      <c r="R9532" s="14" t="str">
        <f>HYPERLINK("https://my.pitchbook.com?c=63372-79T","View Company Online")</f>
        <v>View Company Online</v>
      </c>
    </row>
    <row r="9533" spans="1:18" hidden="1" x14ac:dyDescent="0.3">
      <c r="A9533" s="15" t="s">
        <v>27155</v>
      </c>
      <c r="B9533" s="15" t="s">
        <v>27156</v>
      </c>
      <c r="C9533" s="18" t="s">
        <v>28</v>
      </c>
      <c r="D9533" s="15" t="s">
        <v>27157</v>
      </c>
      <c r="E9533" s="18" t="s">
        <v>28</v>
      </c>
      <c r="F9533" s="19" t="s">
        <v>28</v>
      </c>
      <c r="G9533" s="19" t="s">
        <v>28</v>
      </c>
      <c r="H9533" s="19" t="s">
        <v>28</v>
      </c>
      <c r="I9533" s="18" t="s">
        <v>28</v>
      </c>
      <c r="J9533" s="18" t="s">
        <v>28</v>
      </c>
      <c r="K9533" s="18" t="s">
        <v>28</v>
      </c>
      <c r="L9533" s="18" t="s">
        <v>28</v>
      </c>
      <c r="M9533" s="18" t="s">
        <v>28</v>
      </c>
      <c r="N9533" s="17">
        <v>42352</v>
      </c>
      <c r="O9533" s="15" t="s">
        <v>30</v>
      </c>
      <c r="P9533" s="16" t="s">
        <v>27158</v>
      </c>
      <c r="Q9533" s="15" t="s">
        <v>105</v>
      </c>
      <c r="R9533" s="13" t="str">
        <f>HYPERLINK("https://my.pitchbook.com?c=82387-63T","View Company Online")</f>
        <v>View Company Online</v>
      </c>
    </row>
    <row r="9534" spans="1:18" x14ac:dyDescent="0.3">
      <c r="A9534" s="9" t="s">
        <v>27159</v>
      </c>
      <c r="B9534" s="9" t="s">
        <v>27160</v>
      </c>
      <c r="C9534" s="11">
        <v>1.26</v>
      </c>
      <c r="D9534" s="9" t="s">
        <v>27161</v>
      </c>
      <c r="E9534" s="11">
        <v>45.87</v>
      </c>
      <c r="F9534" s="10">
        <v>90.69</v>
      </c>
      <c r="G9534" s="10">
        <v>123.92</v>
      </c>
      <c r="H9534" s="10">
        <v>165.23</v>
      </c>
      <c r="I9534" s="11">
        <v>72.19</v>
      </c>
      <c r="J9534" s="11">
        <v>2.29</v>
      </c>
      <c r="K9534" s="11">
        <v>271.08999999999997</v>
      </c>
      <c r="L9534" s="11">
        <v>0.61</v>
      </c>
      <c r="M9534" s="11">
        <v>23.65</v>
      </c>
      <c r="N9534" s="8">
        <v>42352</v>
      </c>
      <c r="O9534" s="9" t="s">
        <v>30</v>
      </c>
      <c r="P9534" s="12" t="s">
        <v>27162</v>
      </c>
      <c r="Q9534" s="9" t="s">
        <v>331</v>
      </c>
      <c r="R9534" s="14" t="str">
        <f>HYPERLINK("https://my.pitchbook.com?c=67324-15T","View Company Online")</f>
        <v>View Company Online</v>
      </c>
    </row>
    <row r="9535" spans="1:18" hidden="1" x14ac:dyDescent="0.3">
      <c r="A9535" s="15" t="s">
        <v>27163</v>
      </c>
      <c r="B9535" s="15" t="s">
        <v>27164</v>
      </c>
      <c r="C9535" s="18" t="s">
        <v>28</v>
      </c>
      <c r="D9535" s="15" t="s">
        <v>27165</v>
      </c>
      <c r="E9535" s="18" t="s">
        <v>28</v>
      </c>
      <c r="F9535" s="19" t="s">
        <v>28</v>
      </c>
      <c r="G9535" s="19">
        <v>1.05</v>
      </c>
      <c r="H9535" s="19" t="s">
        <v>28</v>
      </c>
      <c r="I9535" s="18" t="s">
        <v>28</v>
      </c>
      <c r="J9535" s="18" t="s">
        <v>28</v>
      </c>
      <c r="K9535" s="18" t="s">
        <v>28</v>
      </c>
      <c r="L9535" s="18" t="s">
        <v>28</v>
      </c>
      <c r="M9535" s="18" t="s">
        <v>28</v>
      </c>
      <c r="N9535" s="17">
        <v>42350</v>
      </c>
      <c r="O9535" s="15" t="s">
        <v>79</v>
      </c>
      <c r="P9535" s="16" t="s">
        <v>27166</v>
      </c>
      <c r="Q9535" s="15" t="s">
        <v>75</v>
      </c>
      <c r="R9535" s="13" t="str">
        <f>HYPERLINK("https://my.pitchbook.com?c=66740-41T","View Company Online")</f>
        <v>View Company Online</v>
      </c>
    </row>
    <row r="9536" spans="1:18" hidden="1" x14ac:dyDescent="0.3">
      <c r="A9536" s="9" t="s">
        <v>27167</v>
      </c>
      <c r="B9536" s="9" t="s">
        <v>14464</v>
      </c>
      <c r="C9536" s="11" t="s">
        <v>28</v>
      </c>
      <c r="D9536" s="9" t="s">
        <v>14465</v>
      </c>
      <c r="E9536" s="11" t="s">
        <v>28</v>
      </c>
      <c r="F9536" s="10" t="s">
        <v>28</v>
      </c>
      <c r="G9536" s="10" t="s">
        <v>28</v>
      </c>
      <c r="H9536" s="10" t="s">
        <v>28</v>
      </c>
      <c r="I9536" s="11" t="s">
        <v>28</v>
      </c>
      <c r="J9536" s="11" t="s">
        <v>28</v>
      </c>
      <c r="K9536" s="11" t="s">
        <v>28</v>
      </c>
      <c r="L9536" s="11" t="s">
        <v>28</v>
      </c>
      <c r="M9536" s="11" t="s">
        <v>28</v>
      </c>
      <c r="N9536" s="8">
        <v>42349</v>
      </c>
      <c r="O9536" s="9" t="s">
        <v>52</v>
      </c>
      <c r="P9536" s="12" t="s">
        <v>24786</v>
      </c>
      <c r="Q9536" s="9" t="s">
        <v>75</v>
      </c>
      <c r="R9536" s="14" t="str">
        <f>HYPERLINK("https://my.pitchbook.com?c=69221-89T","View Company Online")</f>
        <v>View Company Online</v>
      </c>
    </row>
    <row r="9537" spans="1:18" hidden="1" x14ac:dyDescent="0.3">
      <c r="A9537" s="15" t="s">
        <v>27168</v>
      </c>
      <c r="B9537" s="15" t="s">
        <v>27169</v>
      </c>
      <c r="C9537" s="18" t="s">
        <v>28</v>
      </c>
      <c r="D9537" s="15" t="s">
        <v>27170</v>
      </c>
      <c r="E9537" s="18" t="s">
        <v>28</v>
      </c>
      <c r="F9537" s="19" t="s">
        <v>28</v>
      </c>
      <c r="G9537" s="19" t="s">
        <v>28</v>
      </c>
      <c r="H9537" s="19" t="s">
        <v>28</v>
      </c>
      <c r="I9537" s="18" t="s">
        <v>28</v>
      </c>
      <c r="J9537" s="18" t="s">
        <v>28</v>
      </c>
      <c r="K9537" s="18" t="s">
        <v>28</v>
      </c>
      <c r="L9537" s="18" t="s">
        <v>28</v>
      </c>
      <c r="M9537" s="18" t="s">
        <v>28</v>
      </c>
      <c r="N9537" s="17">
        <v>42348</v>
      </c>
      <c r="O9537" s="15" t="s">
        <v>41</v>
      </c>
      <c r="P9537" s="16" t="s">
        <v>27171</v>
      </c>
      <c r="Q9537" s="15" t="s">
        <v>353</v>
      </c>
      <c r="R9537" s="13" t="str">
        <f>HYPERLINK("https://my.pitchbook.com?c=62919-10T","View Company Online")</f>
        <v>View Company Online</v>
      </c>
    </row>
    <row r="9538" spans="1:18" hidden="1" x14ac:dyDescent="0.3">
      <c r="A9538" s="9" t="s">
        <v>27172</v>
      </c>
      <c r="B9538" s="9" t="s">
        <v>27173</v>
      </c>
      <c r="C9538" s="11" t="s">
        <v>28</v>
      </c>
      <c r="D9538" s="9" t="s">
        <v>27174</v>
      </c>
      <c r="E9538" s="11" t="s">
        <v>28</v>
      </c>
      <c r="F9538" s="10" t="s">
        <v>28</v>
      </c>
      <c r="G9538" s="10" t="s">
        <v>28</v>
      </c>
      <c r="H9538" s="10" t="s">
        <v>28</v>
      </c>
      <c r="I9538" s="11" t="s">
        <v>28</v>
      </c>
      <c r="J9538" s="11" t="s">
        <v>28</v>
      </c>
      <c r="K9538" s="11" t="s">
        <v>28</v>
      </c>
      <c r="L9538" s="11" t="s">
        <v>28</v>
      </c>
      <c r="M9538" s="11" t="s">
        <v>28</v>
      </c>
      <c r="N9538" s="8">
        <v>42348</v>
      </c>
      <c r="O9538" s="9" t="s">
        <v>52</v>
      </c>
      <c r="P9538" s="12" t="s">
        <v>27175</v>
      </c>
      <c r="Q9538" s="9" t="s">
        <v>1191</v>
      </c>
      <c r="R9538" s="14" t="str">
        <f>HYPERLINK("https://my.pitchbook.com?c=62851-06T","View Company Online")</f>
        <v>View Company Online</v>
      </c>
    </row>
    <row r="9539" spans="1:18" x14ac:dyDescent="0.3">
      <c r="A9539" s="15" t="s">
        <v>27176</v>
      </c>
      <c r="B9539" s="15" t="s">
        <v>27177</v>
      </c>
      <c r="C9539" s="18">
        <v>4.29</v>
      </c>
      <c r="D9539" s="15" t="s">
        <v>27178</v>
      </c>
      <c r="E9539" s="18">
        <v>1055.8599999999999</v>
      </c>
      <c r="F9539" s="19">
        <v>9268.85</v>
      </c>
      <c r="G9539" s="19">
        <v>10541.5</v>
      </c>
      <c r="H9539" s="19">
        <v>10541.5</v>
      </c>
      <c r="I9539" s="18">
        <v>2160.7800000000002</v>
      </c>
      <c r="J9539" s="18">
        <v>4.88</v>
      </c>
      <c r="K9539" s="18">
        <v>6101.7</v>
      </c>
      <c r="L9539" s="18">
        <v>1.73</v>
      </c>
      <c r="M9539" s="18">
        <v>698.27</v>
      </c>
      <c r="N9539" s="17">
        <v>42347</v>
      </c>
      <c r="O9539" s="15" t="s">
        <v>30</v>
      </c>
      <c r="P9539" s="16" t="s">
        <v>28</v>
      </c>
      <c r="Q9539" s="15" t="s">
        <v>692</v>
      </c>
      <c r="R9539" s="13" t="str">
        <f>HYPERLINK("https://my.pitchbook.com?c=37429-03T","View Company Online")</f>
        <v>View Company Online</v>
      </c>
    </row>
    <row r="9540" spans="1:18" hidden="1" x14ac:dyDescent="0.3">
      <c r="A9540" s="9" t="s">
        <v>27179</v>
      </c>
      <c r="B9540" s="9" t="s">
        <v>667</v>
      </c>
      <c r="C9540" s="11" t="s">
        <v>28</v>
      </c>
      <c r="D9540" s="9" t="s">
        <v>668</v>
      </c>
      <c r="E9540" s="11" t="s">
        <v>28</v>
      </c>
      <c r="F9540" s="10" t="s">
        <v>28</v>
      </c>
      <c r="G9540" s="10" t="s">
        <v>28</v>
      </c>
      <c r="H9540" s="10" t="s">
        <v>28</v>
      </c>
      <c r="I9540" s="11" t="s">
        <v>28</v>
      </c>
      <c r="J9540" s="11" t="s">
        <v>28</v>
      </c>
      <c r="K9540" s="11" t="s">
        <v>28</v>
      </c>
      <c r="L9540" s="11" t="s">
        <v>28</v>
      </c>
      <c r="M9540" s="11" t="s">
        <v>28</v>
      </c>
      <c r="N9540" s="8">
        <v>42346</v>
      </c>
      <c r="O9540" s="9" t="s">
        <v>30</v>
      </c>
      <c r="P9540" s="12" t="s">
        <v>27180</v>
      </c>
      <c r="Q9540" s="9" t="s">
        <v>669</v>
      </c>
      <c r="R9540" s="14" t="str">
        <f>HYPERLINK("https://my.pitchbook.com?c=51501-25T","View Company Online")</f>
        <v>View Company Online</v>
      </c>
    </row>
    <row r="9541" spans="1:18" hidden="1" x14ac:dyDescent="0.3">
      <c r="A9541" s="15" t="s">
        <v>27181</v>
      </c>
      <c r="B9541" s="15" t="s">
        <v>27182</v>
      </c>
      <c r="C9541" s="18" t="s">
        <v>28</v>
      </c>
      <c r="D9541" s="15" t="s">
        <v>27183</v>
      </c>
      <c r="E9541" s="18" t="s">
        <v>28</v>
      </c>
      <c r="F9541" s="19" t="s">
        <v>28</v>
      </c>
      <c r="G9541" s="19">
        <v>0.66</v>
      </c>
      <c r="H9541" s="19" t="s">
        <v>28</v>
      </c>
      <c r="I9541" s="18" t="s">
        <v>28</v>
      </c>
      <c r="J9541" s="18" t="s">
        <v>28</v>
      </c>
      <c r="K9541" s="18" t="s">
        <v>28</v>
      </c>
      <c r="L9541" s="18" t="s">
        <v>28</v>
      </c>
      <c r="M9541" s="18" t="s">
        <v>28</v>
      </c>
      <c r="N9541" s="17">
        <v>42346</v>
      </c>
      <c r="O9541" s="15" t="s">
        <v>73</v>
      </c>
      <c r="P9541" s="16" t="s">
        <v>22713</v>
      </c>
      <c r="Q9541" s="15" t="s">
        <v>37</v>
      </c>
      <c r="R9541" s="13" t="str">
        <f>HYPERLINK("https://my.pitchbook.com?c=74385-10T","View Company Online")</f>
        <v>View Company Online</v>
      </c>
    </row>
    <row r="9542" spans="1:18" hidden="1" x14ac:dyDescent="0.3">
      <c r="A9542" s="9" t="s">
        <v>27184</v>
      </c>
      <c r="B9542" s="9" t="s">
        <v>27185</v>
      </c>
      <c r="C9542" s="11" t="s">
        <v>28</v>
      </c>
      <c r="D9542" s="9" t="s">
        <v>27186</v>
      </c>
      <c r="E9542" s="11" t="s">
        <v>28</v>
      </c>
      <c r="F9542" s="10" t="s">
        <v>28</v>
      </c>
      <c r="G9542" s="10" t="s">
        <v>28</v>
      </c>
      <c r="H9542" s="10" t="s">
        <v>28</v>
      </c>
      <c r="I9542" s="11" t="s">
        <v>28</v>
      </c>
      <c r="J9542" s="11" t="s">
        <v>28</v>
      </c>
      <c r="K9542" s="11" t="s">
        <v>28</v>
      </c>
      <c r="L9542" s="11" t="s">
        <v>28</v>
      </c>
      <c r="M9542" s="11" t="s">
        <v>28</v>
      </c>
      <c r="N9542" s="8">
        <v>42345</v>
      </c>
      <c r="O9542" s="9" t="s">
        <v>58</v>
      </c>
      <c r="P9542" s="12" t="s">
        <v>27187</v>
      </c>
      <c r="Q9542" s="9" t="s">
        <v>353</v>
      </c>
      <c r="R9542" s="14" t="str">
        <f>HYPERLINK("https://my.pitchbook.com?c=63041-59T","View Company Online")</f>
        <v>View Company Online</v>
      </c>
    </row>
    <row r="9543" spans="1:18" hidden="1" x14ac:dyDescent="0.3">
      <c r="A9543" s="15" t="s">
        <v>27188</v>
      </c>
      <c r="B9543" s="15" t="s">
        <v>16423</v>
      </c>
      <c r="C9543" s="18" t="s">
        <v>28</v>
      </c>
      <c r="D9543" s="15" t="s">
        <v>16424</v>
      </c>
      <c r="E9543" s="18" t="s">
        <v>28</v>
      </c>
      <c r="F9543" s="19" t="s">
        <v>28</v>
      </c>
      <c r="G9543" s="19">
        <v>0.67</v>
      </c>
      <c r="H9543" s="19" t="s">
        <v>28</v>
      </c>
      <c r="I9543" s="18" t="s">
        <v>28</v>
      </c>
      <c r="J9543" s="18" t="s">
        <v>28</v>
      </c>
      <c r="K9543" s="18" t="s">
        <v>28</v>
      </c>
      <c r="L9543" s="18" t="s">
        <v>28</v>
      </c>
      <c r="M9543" s="18" t="s">
        <v>28</v>
      </c>
      <c r="N9543" s="17">
        <v>42345</v>
      </c>
      <c r="O9543" s="15" t="s">
        <v>79</v>
      </c>
      <c r="P9543" s="16" t="s">
        <v>19170</v>
      </c>
      <c r="Q9543" s="15" t="s">
        <v>409</v>
      </c>
      <c r="R9543" s="13" t="str">
        <f>HYPERLINK("https://my.pitchbook.com?c=302209-21T","View Company Online")</f>
        <v>View Company Online</v>
      </c>
    </row>
    <row r="9544" spans="1:18" hidden="1" x14ac:dyDescent="0.3">
      <c r="A9544" s="9" t="s">
        <v>27189</v>
      </c>
      <c r="B9544" s="9" t="s">
        <v>27190</v>
      </c>
      <c r="C9544" s="11" t="s">
        <v>28</v>
      </c>
      <c r="D9544" s="9" t="s">
        <v>27191</v>
      </c>
      <c r="E9544" s="11" t="s">
        <v>28</v>
      </c>
      <c r="F9544" s="10">
        <v>2.46</v>
      </c>
      <c r="G9544" s="10">
        <v>2.46</v>
      </c>
      <c r="H9544" s="10">
        <v>2.46</v>
      </c>
      <c r="I9544" s="11" t="s">
        <v>28</v>
      </c>
      <c r="J9544" s="11" t="s">
        <v>28</v>
      </c>
      <c r="K9544" s="11" t="s">
        <v>28</v>
      </c>
      <c r="L9544" s="11" t="s">
        <v>28</v>
      </c>
      <c r="M9544" s="11" t="s">
        <v>28</v>
      </c>
      <c r="N9544" s="8">
        <v>42345</v>
      </c>
      <c r="O9544" s="9" t="s">
        <v>30</v>
      </c>
      <c r="P9544" s="12" t="s">
        <v>27192</v>
      </c>
      <c r="Q9544" s="9" t="s">
        <v>607</v>
      </c>
      <c r="R9544" s="14" t="str">
        <f>HYPERLINK("https://my.pitchbook.com?c=63485-38T","View Company Online")</f>
        <v>View Company Online</v>
      </c>
    </row>
    <row r="9545" spans="1:18" hidden="1" x14ac:dyDescent="0.3">
      <c r="A9545" s="15" t="s">
        <v>27193</v>
      </c>
      <c r="B9545" s="15" t="s">
        <v>27194</v>
      </c>
      <c r="C9545" s="18" t="s">
        <v>28</v>
      </c>
      <c r="D9545" s="15" t="s">
        <v>27195</v>
      </c>
      <c r="E9545" s="18" t="s">
        <v>28</v>
      </c>
      <c r="F9545" s="19" t="s">
        <v>28</v>
      </c>
      <c r="G9545" s="19" t="s">
        <v>28</v>
      </c>
      <c r="H9545" s="19" t="s">
        <v>28</v>
      </c>
      <c r="I9545" s="18" t="s">
        <v>28</v>
      </c>
      <c r="J9545" s="18" t="s">
        <v>28</v>
      </c>
      <c r="K9545" s="18" t="s">
        <v>28</v>
      </c>
      <c r="L9545" s="18" t="s">
        <v>28</v>
      </c>
      <c r="M9545" s="18" t="s">
        <v>28</v>
      </c>
      <c r="N9545" s="17">
        <v>42345</v>
      </c>
      <c r="O9545" s="15" t="s">
        <v>30</v>
      </c>
      <c r="P9545" s="16" t="s">
        <v>27196</v>
      </c>
      <c r="Q9545" s="15" t="s">
        <v>114</v>
      </c>
      <c r="R9545" s="13" t="str">
        <f>HYPERLINK("https://my.pitchbook.com?c=127707-40T","View Company Online")</f>
        <v>View Company Online</v>
      </c>
    </row>
    <row r="9546" spans="1:18" hidden="1" x14ac:dyDescent="0.3">
      <c r="A9546" s="9" t="s">
        <v>27197</v>
      </c>
      <c r="B9546" s="9" t="s">
        <v>26337</v>
      </c>
      <c r="C9546" s="11" t="s">
        <v>28</v>
      </c>
      <c r="D9546" s="9" t="s">
        <v>26338</v>
      </c>
      <c r="E9546" s="11" t="s">
        <v>28</v>
      </c>
      <c r="F9546" s="10" t="s">
        <v>28</v>
      </c>
      <c r="G9546" s="10">
        <v>118.08</v>
      </c>
      <c r="H9546" s="10">
        <v>295.2</v>
      </c>
      <c r="I9546" s="11" t="s">
        <v>28</v>
      </c>
      <c r="J9546" s="11" t="s">
        <v>28</v>
      </c>
      <c r="K9546" s="11" t="s">
        <v>28</v>
      </c>
      <c r="L9546" s="11" t="s">
        <v>28</v>
      </c>
      <c r="M9546" s="11" t="s">
        <v>28</v>
      </c>
      <c r="N9546" s="8">
        <v>42342</v>
      </c>
      <c r="O9546" s="9" t="s">
        <v>58</v>
      </c>
      <c r="P9546" s="12" t="s">
        <v>7456</v>
      </c>
      <c r="Q9546" s="9" t="s">
        <v>1007</v>
      </c>
      <c r="R9546" s="14" t="str">
        <f>HYPERLINK("https://my.pitchbook.com?c=67265-74T","View Company Online")</f>
        <v>View Company Online</v>
      </c>
    </row>
    <row r="9547" spans="1:18" hidden="1" x14ac:dyDescent="0.3">
      <c r="A9547" s="15" t="s">
        <v>27198</v>
      </c>
      <c r="B9547" s="15" t="s">
        <v>27199</v>
      </c>
      <c r="C9547" s="18" t="s">
        <v>28</v>
      </c>
      <c r="D9547" s="15" t="s">
        <v>27200</v>
      </c>
      <c r="E9547" s="18" t="s">
        <v>28</v>
      </c>
      <c r="F9547" s="19" t="s">
        <v>28</v>
      </c>
      <c r="G9547" s="19" t="s">
        <v>28</v>
      </c>
      <c r="H9547" s="19" t="s">
        <v>28</v>
      </c>
      <c r="I9547" s="18" t="s">
        <v>28</v>
      </c>
      <c r="J9547" s="18" t="s">
        <v>28</v>
      </c>
      <c r="K9547" s="18" t="s">
        <v>28</v>
      </c>
      <c r="L9547" s="18" t="s">
        <v>28</v>
      </c>
      <c r="M9547" s="18" t="s">
        <v>28</v>
      </c>
      <c r="N9547" s="17">
        <v>42342</v>
      </c>
      <c r="O9547" s="15" t="s">
        <v>30</v>
      </c>
      <c r="P9547" s="16" t="s">
        <v>27201</v>
      </c>
      <c r="Q9547" s="15" t="s">
        <v>85</v>
      </c>
      <c r="R9547" s="13" t="str">
        <f>HYPERLINK("https://my.pitchbook.com?c=62843-86T","View Company Online")</f>
        <v>View Company Online</v>
      </c>
    </row>
    <row r="9548" spans="1:18" hidden="1" x14ac:dyDescent="0.3">
      <c r="A9548" s="9" t="s">
        <v>27202</v>
      </c>
      <c r="B9548" s="9" t="s">
        <v>27203</v>
      </c>
      <c r="C9548" s="11" t="s">
        <v>28</v>
      </c>
      <c r="D9548" s="9" t="s">
        <v>27204</v>
      </c>
      <c r="E9548" s="11" t="s">
        <v>28</v>
      </c>
      <c r="F9548" s="10" t="s">
        <v>28</v>
      </c>
      <c r="G9548" s="10" t="s">
        <v>28</v>
      </c>
      <c r="H9548" s="10" t="s">
        <v>28</v>
      </c>
      <c r="I9548" s="11" t="s">
        <v>28</v>
      </c>
      <c r="J9548" s="11" t="s">
        <v>28</v>
      </c>
      <c r="K9548" s="11" t="s">
        <v>28</v>
      </c>
      <c r="L9548" s="11" t="s">
        <v>28</v>
      </c>
      <c r="M9548" s="11" t="s">
        <v>28</v>
      </c>
      <c r="N9548" s="8">
        <v>42342</v>
      </c>
      <c r="O9548" s="9" t="s">
        <v>58</v>
      </c>
      <c r="P9548" s="12" t="s">
        <v>27205</v>
      </c>
      <c r="Q9548" s="9" t="s">
        <v>75</v>
      </c>
      <c r="R9548" s="14" t="str">
        <f>HYPERLINK("https://my.pitchbook.com?c=73401-31T","View Company Online")</f>
        <v>View Company Online</v>
      </c>
    </row>
    <row r="9549" spans="1:18" hidden="1" x14ac:dyDescent="0.3">
      <c r="A9549" s="15" t="s">
        <v>27206</v>
      </c>
      <c r="B9549" s="15" t="s">
        <v>2581</v>
      </c>
      <c r="C9549" s="18" t="s">
        <v>28</v>
      </c>
      <c r="D9549" s="15" t="s">
        <v>2582</v>
      </c>
      <c r="E9549" s="18" t="s">
        <v>28</v>
      </c>
      <c r="F9549" s="19" t="s">
        <v>28</v>
      </c>
      <c r="G9549" s="19" t="s">
        <v>28</v>
      </c>
      <c r="H9549" s="19" t="s">
        <v>28</v>
      </c>
      <c r="I9549" s="18" t="s">
        <v>28</v>
      </c>
      <c r="J9549" s="18" t="s">
        <v>28</v>
      </c>
      <c r="K9549" s="18" t="s">
        <v>28</v>
      </c>
      <c r="L9549" s="18" t="s">
        <v>28</v>
      </c>
      <c r="M9549" s="18" t="s">
        <v>28</v>
      </c>
      <c r="N9549" s="17">
        <v>42340</v>
      </c>
      <c r="O9549" s="15" t="s">
        <v>30</v>
      </c>
      <c r="P9549" s="16" t="s">
        <v>27207</v>
      </c>
      <c r="Q9549" s="15" t="s">
        <v>136</v>
      </c>
      <c r="R9549" s="13" t="str">
        <f>HYPERLINK("https://my.pitchbook.com?c=62768-71T","View Company Online")</f>
        <v>View Company Online</v>
      </c>
    </row>
    <row r="9550" spans="1:18" hidden="1" x14ac:dyDescent="0.3">
      <c r="A9550" s="9" t="s">
        <v>27208</v>
      </c>
      <c r="B9550" s="9" t="s">
        <v>27209</v>
      </c>
      <c r="C9550" s="11" t="s">
        <v>28</v>
      </c>
      <c r="D9550" s="9" t="s">
        <v>27210</v>
      </c>
      <c r="E9550" s="11" t="s">
        <v>28</v>
      </c>
      <c r="F9550" s="10">
        <v>1031.73</v>
      </c>
      <c r="G9550" s="10">
        <v>1031.73</v>
      </c>
      <c r="H9550" s="10">
        <v>1031.73</v>
      </c>
      <c r="I9550" s="11" t="s">
        <v>28</v>
      </c>
      <c r="J9550" s="11" t="s">
        <v>28</v>
      </c>
      <c r="K9550" s="11" t="s">
        <v>28</v>
      </c>
      <c r="L9550" s="11" t="s">
        <v>28</v>
      </c>
      <c r="M9550" s="11" t="s">
        <v>28</v>
      </c>
      <c r="N9550" s="8">
        <v>42340</v>
      </c>
      <c r="O9550" s="9" t="s">
        <v>30</v>
      </c>
      <c r="P9550" s="12" t="s">
        <v>27211</v>
      </c>
      <c r="Q9550" s="9" t="s">
        <v>900</v>
      </c>
      <c r="R9550" s="14" t="str">
        <f>HYPERLINK("https://my.pitchbook.com?c=63014-59T","View Company Online")</f>
        <v>View Company Online</v>
      </c>
    </row>
    <row r="9551" spans="1:18" hidden="1" x14ac:dyDescent="0.3">
      <c r="A9551" s="15" t="s">
        <v>27212</v>
      </c>
      <c r="B9551" s="15" t="s">
        <v>27213</v>
      </c>
      <c r="C9551" s="18" t="s">
        <v>28</v>
      </c>
      <c r="D9551" s="15" t="s">
        <v>27214</v>
      </c>
      <c r="E9551" s="18" t="s">
        <v>28</v>
      </c>
      <c r="F9551" s="19" t="s">
        <v>28</v>
      </c>
      <c r="G9551" s="19" t="s">
        <v>28</v>
      </c>
      <c r="H9551" s="19" t="s">
        <v>28</v>
      </c>
      <c r="I9551" s="18" t="s">
        <v>28</v>
      </c>
      <c r="J9551" s="18" t="s">
        <v>28</v>
      </c>
      <c r="K9551" s="18" t="s">
        <v>28</v>
      </c>
      <c r="L9551" s="18" t="s">
        <v>28</v>
      </c>
      <c r="M9551" s="18" t="s">
        <v>28</v>
      </c>
      <c r="N9551" s="17">
        <v>42339</v>
      </c>
      <c r="O9551" s="15" t="s">
        <v>41</v>
      </c>
      <c r="P9551" s="16" t="s">
        <v>12076</v>
      </c>
      <c r="Q9551" s="15" t="s">
        <v>43</v>
      </c>
      <c r="R9551" s="13" t="str">
        <f>HYPERLINK("https://my.pitchbook.com?c=204570-37T","View Company Online")</f>
        <v>View Company Online</v>
      </c>
    </row>
    <row r="9552" spans="1:18" hidden="1" x14ac:dyDescent="0.3">
      <c r="A9552" s="9" t="s">
        <v>27215</v>
      </c>
      <c r="B9552" s="9" t="s">
        <v>27216</v>
      </c>
      <c r="C9552" s="11" t="s">
        <v>28</v>
      </c>
      <c r="D9552" s="9" t="s">
        <v>27217</v>
      </c>
      <c r="E9552" s="11" t="s">
        <v>28</v>
      </c>
      <c r="F9552" s="10">
        <v>7.12</v>
      </c>
      <c r="G9552" s="10">
        <v>7.12</v>
      </c>
      <c r="H9552" s="10">
        <v>7.12</v>
      </c>
      <c r="I9552" s="11" t="s">
        <v>28</v>
      </c>
      <c r="J9552" s="11" t="s">
        <v>28</v>
      </c>
      <c r="K9552" s="11" t="s">
        <v>28</v>
      </c>
      <c r="L9552" s="11" t="s">
        <v>28</v>
      </c>
      <c r="M9552" s="11">
        <v>1.31</v>
      </c>
      <c r="N9552" s="8">
        <v>42339</v>
      </c>
      <c r="O9552" s="9" t="s">
        <v>30</v>
      </c>
      <c r="P9552" s="12" t="s">
        <v>27218</v>
      </c>
      <c r="Q9552" s="9" t="s">
        <v>1088</v>
      </c>
      <c r="R9552" s="14" t="str">
        <f>HYPERLINK("https://my.pitchbook.com?c=102338-74T","View Company Online")</f>
        <v>View Company Online</v>
      </c>
    </row>
    <row r="9553" spans="1:18" hidden="1" x14ac:dyDescent="0.3">
      <c r="A9553" s="15" t="s">
        <v>27219</v>
      </c>
      <c r="B9553" s="15" t="s">
        <v>12275</v>
      </c>
      <c r="C9553" s="18" t="s">
        <v>28</v>
      </c>
      <c r="D9553" s="15" t="s">
        <v>12276</v>
      </c>
      <c r="E9553" s="18" t="s">
        <v>28</v>
      </c>
      <c r="F9553" s="19" t="s">
        <v>28</v>
      </c>
      <c r="G9553" s="19" t="s">
        <v>28</v>
      </c>
      <c r="H9553" s="19" t="s">
        <v>28</v>
      </c>
      <c r="I9553" s="18" t="s">
        <v>28</v>
      </c>
      <c r="J9553" s="18" t="s">
        <v>28</v>
      </c>
      <c r="K9553" s="18" t="s">
        <v>28</v>
      </c>
      <c r="L9553" s="18" t="s">
        <v>28</v>
      </c>
      <c r="M9553" s="18" t="s">
        <v>28</v>
      </c>
      <c r="N9553" s="17">
        <v>42339</v>
      </c>
      <c r="O9553" s="15" t="s">
        <v>30</v>
      </c>
      <c r="P9553" s="16" t="s">
        <v>27220</v>
      </c>
      <c r="Q9553" s="15" t="s">
        <v>607</v>
      </c>
      <c r="R9553" s="13" t="str">
        <f>HYPERLINK("https://my.pitchbook.com?c=110692-81T","View Company Online")</f>
        <v>View Company Online</v>
      </c>
    </row>
    <row r="9554" spans="1:18" hidden="1" x14ac:dyDescent="0.3">
      <c r="A9554" s="9" t="s">
        <v>27221</v>
      </c>
      <c r="B9554" s="9" t="s">
        <v>9232</v>
      </c>
      <c r="C9554" s="11" t="s">
        <v>28</v>
      </c>
      <c r="D9554" s="9" t="s">
        <v>9233</v>
      </c>
      <c r="E9554" s="11" t="s">
        <v>28</v>
      </c>
      <c r="F9554" s="10" t="s">
        <v>28</v>
      </c>
      <c r="G9554" s="10">
        <v>7.0000000000000007E-2</v>
      </c>
      <c r="H9554" s="10" t="s">
        <v>28</v>
      </c>
      <c r="I9554" s="11" t="s">
        <v>28</v>
      </c>
      <c r="J9554" s="11" t="s">
        <v>28</v>
      </c>
      <c r="K9554" s="11" t="s">
        <v>28</v>
      </c>
      <c r="L9554" s="11" t="s">
        <v>28</v>
      </c>
      <c r="M9554" s="11" t="s">
        <v>28</v>
      </c>
      <c r="N9554" s="8">
        <v>42339</v>
      </c>
      <c r="O9554" s="9" t="s">
        <v>99</v>
      </c>
      <c r="P9554" s="12" t="s">
        <v>27222</v>
      </c>
      <c r="Q9554" s="9" t="s">
        <v>75</v>
      </c>
      <c r="R9554" s="14" t="str">
        <f>HYPERLINK("https://my.pitchbook.com?c=126024-31T","View Company Online")</f>
        <v>View Company Online</v>
      </c>
    </row>
    <row r="9555" spans="1:18" hidden="1" x14ac:dyDescent="0.3">
      <c r="A9555" s="15" t="s">
        <v>27223</v>
      </c>
      <c r="B9555" s="15" t="s">
        <v>27224</v>
      </c>
      <c r="C9555" s="18" t="s">
        <v>28</v>
      </c>
      <c r="D9555" s="15" t="s">
        <v>27225</v>
      </c>
      <c r="E9555" s="18" t="s">
        <v>28</v>
      </c>
      <c r="F9555" s="19" t="s">
        <v>28</v>
      </c>
      <c r="G9555" s="19" t="s">
        <v>28</v>
      </c>
      <c r="H9555" s="19" t="s">
        <v>28</v>
      </c>
      <c r="I9555" s="18" t="s">
        <v>28</v>
      </c>
      <c r="J9555" s="18" t="s">
        <v>28</v>
      </c>
      <c r="K9555" s="18" t="s">
        <v>28</v>
      </c>
      <c r="L9555" s="18" t="s">
        <v>28</v>
      </c>
      <c r="M9555" s="18" t="s">
        <v>28</v>
      </c>
      <c r="N9555" s="17">
        <v>42339</v>
      </c>
      <c r="O9555" s="15" t="s">
        <v>30</v>
      </c>
      <c r="P9555" s="16" t="s">
        <v>27226</v>
      </c>
      <c r="Q9555" s="15" t="s">
        <v>1051</v>
      </c>
      <c r="R9555" s="13" t="str">
        <f>HYPERLINK("https://my.pitchbook.com?c=55074-52T","View Company Online")</f>
        <v>View Company Online</v>
      </c>
    </row>
    <row r="9556" spans="1:18" hidden="1" x14ac:dyDescent="0.3">
      <c r="A9556" s="9" t="s">
        <v>27227</v>
      </c>
      <c r="B9556" s="9" t="s">
        <v>10389</v>
      </c>
      <c r="C9556" s="11" t="s">
        <v>28</v>
      </c>
      <c r="D9556" s="9" t="s">
        <v>10390</v>
      </c>
      <c r="E9556" s="11" t="s">
        <v>28</v>
      </c>
      <c r="F9556" s="10" t="s">
        <v>28</v>
      </c>
      <c r="G9556" s="10">
        <v>2.71</v>
      </c>
      <c r="H9556" s="10" t="s">
        <v>28</v>
      </c>
      <c r="I9556" s="11">
        <v>-69.56</v>
      </c>
      <c r="J9556" s="11" t="s">
        <v>28</v>
      </c>
      <c r="K9556" s="11">
        <v>257.10000000000002</v>
      </c>
      <c r="L9556" s="11" t="s">
        <v>28</v>
      </c>
      <c r="M9556" s="11" t="s">
        <v>28</v>
      </c>
      <c r="N9556" s="8">
        <v>42339</v>
      </c>
      <c r="O9556" s="9" t="s">
        <v>73</v>
      </c>
      <c r="P9556" s="12" t="s">
        <v>27228</v>
      </c>
      <c r="Q9556" s="9" t="s">
        <v>740</v>
      </c>
      <c r="R9556" s="14" t="str">
        <f>HYPERLINK("https://my.pitchbook.com?c=90092-80T","View Company Online")</f>
        <v>View Company Online</v>
      </c>
    </row>
    <row r="9557" spans="1:18" hidden="1" x14ac:dyDescent="0.3">
      <c r="A9557" s="15" t="s">
        <v>27229</v>
      </c>
      <c r="B9557" s="15" t="s">
        <v>2854</v>
      </c>
      <c r="C9557" s="18" t="s">
        <v>28</v>
      </c>
      <c r="D9557" s="15" t="s">
        <v>2855</v>
      </c>
      <c r="E9557" s="18" t="s">
        <v>28</v>
      </c>
      <c r="F9557" s="19" t="s">
        <v>28</v>
      </c>
      <c r="G9557" s="19" t="s">
        <v>28</v>
      </c>
      <c r="H9557" s="19" t="s">
        <v>28</v>
      </c>
      <c r="I9557" s="18" t="s">
        <v>28</v>
      </c>
      <c r="J9557" s="18" t="s">
        <v>28</v>
      </c>
      <c r="K9557" s="18" t="s">
        <v>28</v>
      </c>
      <c r="L9557" s="18" t="s">
        <v>28</v>
      </c>
      <c r="M9557" s="18" t="s">
        <v>28</v>
      </c>
      <c r="N9557" s="17">
        <v>42339</v>
      </c>
      <c r="O9557" s="15" t="s">
        <v>379</v>
      </c>
      <c r="P9557" s="16" t="s">
        <v>27230</v>
      </c>
      <c r="Q9557" s="15" t="s">
        <v>85</v>
      </c>
      <c r="R9557" s="13" t="str">
        <f>HYPERLINK("https://my.pitchbook.com?c=196036-93T","View Company Online")</f>
        <v>View Company Online</v>
      </c>
    </row>
    <row r="9558" spans="1:18" hidden="1" x14ac:dyDescent="0.3">
      <c r="A9558" s="9" t="s">
        <v>27231</v>
      </c>
      <c r="B9558" s="9" t="s">
        <v>19296</v>
      </c>
      <c r="C9558" s="11" t="s">
        <v>28</v>
      </c>
      <c r="D9558" s="9" t="s">
        <v>19297</v>
      </c>
      <c r="E9558" s="11" t="s">
        <v>28</v>
      </c>
      <c r="F9558" s="10" t="s">
        <v>28</v>
      </c>
      <c r="G9558" s="10">
        <v>1.5</v>
      </c>
      <c r="H9558" s="10" t="s">
        <v>28</v>
      </c>
      <c r="I9558" s="11" t="s">
        <v>28</v>
      </c>
      <c r="J9558" s="11" t="s">
        <v>28</v>
      </c>
      <c r="K9558" s="11" t="s">
        <v>28</v>
      </c>
      <c r="L9558" s="11" t="s">
        <v>28</v>
      </c>
      <c r="M9558" s="11" t="s">
        <v>28</v>
      </c>
      <c r="N9558" s="8">
        <v>42339</v>
      </c>
      <c r="O9558" s="9" t="s">
        <v>9098</v>
      </c>
      <c r="P9558" s="12" t="s">
        <v>28</v>
      </c>
      <c r="Q9558" s="9" t="s">
        <v>95</v>
      </c>
      <c r="R9558" s="14" t="str">
        <f>HYPERLINK("https://my.pitchbook.com?c=125980-66T","View Company Online")</f>
        <v>View Company Online</v>
      </c>
    </row>
    <row r="9559" spans="1:18" hidden="1" x14ac:dyDescent="0.3">
      <c r="A9559" s="15" t="s">
        <v>27232</v>
      </c>
      <c r="B9559" s="15" t="s">
        <v>27233</v>
      </c>
      <c r="C9559" s="18" t="s">
        <v>28</v>
      </c>
      <c r="D9559" s="15" t="s">
        <v>27234</v>
      </c>
      <c r="E9559" s="18" t="s">
        <v>28</v>
      </c>
      <c r="F9559" s="19" t="s">
        <v>28</v>
      </c>
      <c r="G9559" s="19" t="s">
        <v>28</v>
      </c>
      <c r="H9559" s="19" t="s">
        <v>28</v>
      </c>
      <c r="I9559" s="18" t="s">
        <v>28</v>
      </c>
      <c r="J9559" s="18" t="s">
        <v>28</v>
      </c>
      <c r="K9559" s="18" t="s">
        <v>28</v>
      </c>
      <c r="L9559" s="18" t="s">
        <v>28</v>
      </c>
      <c r="M9559" s="18" t="s">
        <v>28</v>
      </c>
      <c r="N9559" s="17">
        <v>42338</v>
      </c>
      <c r="O9559" s="15" t="s">
        <v>52</v>
      </c>
      <c r="P9559" s="16" t="s">
        <v>1970</v>
      </c>
      <c r="Q9559" s="15" t="s">
        <v>449</v>
      </c>
      <c r="R9559" s="13" t="str">
        <f>HYPERLINK("https://my.pitchbook.com?c=291124-09T","View Company Online")</f>
        <v>View Company Online</v>
      </c>
    </row>
    <row r="9560" spans="1:18" hidden="1" x14ac:dyDescent="0.3">
      <c r="A9560" s="9" t="s">
        <v>27235</v>
      </c>
      <c r="B9560" s="9" t="s">
        <v>27236</v>
      </c>
      <c r="C9560" s="11" t="s">
        <v>28</v>
      </c>
      <c r="D9560" s="9" t="s">
        <v>27237</v>
      </c>
      <c r="E9560" s="11" t="s">
        <v>28</v>
      </c>
      <c r="F9560" s="10" t="s">
        <v>28</v>
      </c>
      <c r="G9560" s="10" t="s">
        <v>28</v>
      </c>
      <c r="H9560" s="10" t="s">
        <v>28</v>
      </c>
      <c r="I9560" s="11" t="s">
        <v>28</v>
      </c>
      <c r="J9560" s="11" t="s">
        <v>28</v>
      </c>
      <c r="K9560" s="11" t="s">
        <v>28</v>
      </c>
      <c r="L9560" s="11" t="s">
        <v>28</v>
      </c>
      <c r="M9560" s="11" t="s">
        <v>28</v>
      </c>
      <c r="N9560" s="8">
        <v>42338</v>
      </c>
      <c r="O9560" s="9" t="s">
        <v>30</v>
      </c>
      <c r="P9560" s="12" t="s">
        <v>27238</v>
      </c>
      <c r="Q9560" s="9" t="s">
        <v>353</v>
      </c>
      <c r="R9560" s="14" t="str">
        <f>HYPERLINK("https://my.pitchbook.com?c=60732-10T","View Company Online")</f>
        <v>View Company Online</v>
      </c>
    </row>
    <row r="9561" spans="1:18" hidden="1" x14ac:dyDescent="0.3">
      <c r="A9561" s="15" t="s">
        <v>27239</v>
      </c>
      <c r="B9561" s="15" t="s">
        <v>27240</v>
      </c>
      <c r="C9561" s="18" t="s">
        <v>28</v>
      </c>
      <c r="D9561" s="15" t="s">
        <v>27241</v>
      </c>
      <c r="E9561" s="18" t="s">
        <v>28</v>
      </c>
      <c r="F9561" s="19" t="s">
        <v>28</v>
      </c>
      <c r="G9561" s="19">
        <v>0.65</v>
      </c>
      <c r="H9561" s="19">
        <v>1.35</v>
      </c>
      <c r="I9561" s="18" t="s">
        <v>28</v>
      </c>
      <c r="J9561" s="18" t="s">
        <v>28</v>
      </c>
      <c r="K9561" s="18" t="s">
        <v>28</v>
      </c>
      <c r="L9561" s="18" t="s">
        <v>28</v>
      </c>
      <c r="M9561" s="18" t="s">
        <v>28</v>
      </c>
      <c r="N9561" s="17">
        <v>42338</v>
      </c>
      <c r="O9561" s="15" t="s">
        <v>79</v>
      </c>
      <c r="P9561" s="16" t="s">
        <v>27242</v>
      </c>
      <c r="Q9561" s="15" t="s">
        <v>75</v>
      </c>
      <c r="R9561" s="13" t="str">
        <f>HYPERLINK("https://my.pitchbook.com?c=98114-14T","View Company Online")</f>
        <v>View Company Online</v>
      </c>
    </row>
    <row r="9562" spans="1:18" hidden="1" x14ac:dyDescent="0.3">
      <c r="A9562" s="9" t="s">
        <v>27243</v>
      </c>
      <c r="B9562" s="9" t="s">
        <v>3877</v>
      </c>
      <c r="C9562" s="11" t="s">
        <v>28</v>
      </c>
      <c r="D9562" s="9" t="s">
        <v>3878</v>
      </c>
      <c r="E9562" s="11" t="s">
        <v>28</v>
      </c>
      <c r="F9562" s="10" t="s">
        <v>28</v>
      </c>
      <c r="G9562" s="10" t="s">
        <v>28</v>
      </c>
      <c r="H9562" s="10" t="s">
        <v>28</v>
      </c>
      <c r="I9562" s="11" t="s">
        <v>28</v>
      </c>
      <c r="J9562" s="11" t="s">
        <v>28</v>
      </c>
      <c r="K9562" s="11" t="s">
        <v>28</v>
      </c>
      <c r="L9562" s="11" t="s">
        <v>28</v>
      </c>
      <c r="M9562" s="11" t="s">
        <v>28</v>
      </c>
      <c r="N9562" s="8">
        <v>42338</v>
      </c>
      <c r="O9562" s="9" t="s">
        <v>52</v>
      </c>
      <c r="P9562" s="12" t="s">
        <v>27244</v>
      </c>
      <c r="Q9562" s="9" t="s">
        <v>75</v>
      </c>
      <c r="R9562" s="14" t="str">
        <f>HYPERLINK("https://my.pitchbook.com?c=77852-44T","View Company Online")</f>
        <v>View Company Online</v>
      </c>
    </row>
    <row r="9563" spans="1:18" hidden="1" x14ac:dyDescent="0.3">
      <c r="A9563" s="15" t="s">
        <v>27245</v>
      </c>
      <c r="B9563" s="15" t="s">
        <v>27246</v>
      </c>
      <c r="C9563" s="18" t="s">
        <v>28</v>
      </c>
      <c r="D9563" s="15" t="s">
        <v>27247</v>
      </c>
      <c r="E9563" s="18" t="s">
        <v>28</v>
      </c>
      <c r="F9563" s="19" t="s">
        <v>28</v>
      </c>
      <c r="G9563" s="19" t="s">
        <v>28</v>
      </c>
      <c r="H9563" s="19" t="s">
        <v>28</v>
      </c>
      <c r="I9563" s="18" t="s">
        <v>28</v>
      </c>
      <c r="J9563" s="18" t="s">
        <v>28</v>
      </c>
      <c r="K9563" s="18" t="s">
        <v>28</v>
      </c>
      <c r="L9563" s="18" t="s">
        <v>28</v>
      </c>
      <c r="M9563" s="18" t="s">
        <v>28</v>
      </c>
      <c r="N9563" s="17">
        <v>42338</v>
      </c>
      <c r="O9563" s="15" t="s">
        <v>30</v>
      </c>
      <c r="P9563" s="16" t="s">
        <v>27248</v>
      </c>
      <c r="Q9563" s="15" t="s">
        <v>5110</v>
      </c>
      <c r="R9563" s="13" t="str">
        <f>HYPERLINK("https://my.pitchbook.com?c=62186-68T","View Company Online")</f>
        <v>View Company Online</v>
      </c>
    </row>
    <row r="9564" spans="1:18" hidden="1" x14ac:dyDescent="0.3">
      <c r="A9564" s="9" t="s">
        <v>27249</v>
      </c>
      <c r="B9564" s="9" t="s">
        <v>27250</v>
      </c>
      <c r="C9564" s="11" t="s">
        <v>28</v>
      </c>
      <c r="D9564" s="9" t="s">
        <v>27251</v>
      </c>
      <c r="E9564" s="11" t="s">
        <v>28</v>
      </c>
      <c r="F9564" s="10" t="s">
        <v>28</v>
      </c>
      <c r="G9564" s="10" t="s">
        <v>28</v>
      </c>
      <c r="H9564" s="10" t="s">
        <v>28</v>
      </c>
      <c r="I9564" s="11" t="s">
        <v>28</v>
      </c>
      <c r="J9564" s="11" t="s">
        <v>28</v>
      </c>
      <c r="K9564" s="11" t="s">
        <v>28</v>
      </c>
      <c r="L9564" s="11" t="s">
        <v>28</v>
      </c>
      <c r="M9564" s="11" t="s">
        <v>28</v>
      </c>
      <c r="N9564" s="8">
        <v>42334</v>
      </c>
      <c r="O9564" s="9" t="s">
        <v>30</v>
      </c>
      <c r="P9564" s="12" t="s">
        <v>27252</v>
      </c>
      <c r="Q9564" s="9" t="s">
        <v>449</v>
      </c>
      <c r="R9564" s="14" t="str">
        <f>HYPERLINK("https://my.pitchbook.com?c=62691-49T","View Company Online")</f>
        <v>View Company Online</v>
      </c>
    </row>
    <row r="9565" spans="1:18" hidden="1" x14ac:dyDescent="0.3">
      <c r="A9565" s="15" t="s">
        <v>27253</v>
      </c>
      <c r="B9565" s="15" t="s">
        <v>27254</v>
      </c>
      <c r="C9565" s="18" t="s">
        <v>28</v>
      </c>
      <c r="D9565" s="15" t="s">
        <v>27255</v>
      </c>
      <c r="E9565" s="18" t="s">
        <v>28</v>
      </c>
      <c r="F9565" s="19" t="s">
        <v>28</v>
      </c>
      <c r="G9565" s="19" t="s">
        <v>28</v>
      </c>
      <c r="H9565" s="19" t="s">
        <v>28</v>
      </c>
      <c r="I9565" s="18" t="s">
        <v>28</v>
      </c>
      <c r="J9565" s="18" t="s">
        <v>28</v>
      </c>
      <c r="K9565" s="18" t="s">
        <v>28</v>
      </c>
      <c r="L9565" s="18" t="s">
        <v>28</v>
      </c>
      <c r="M9565" s="18" t="s">
        <v>28</v>
      </c>
      <c r="N9565" s="17">
        <v>42332</v>
      </c>
      <c r="O9565" s="15" t="s">
        <v>41</v>
      </c>
      <c r="P9565" s="16" t="s">
        <v>21388</v>
      </c>
      <c r="Q9565" s="15" t="s">
        <v>280</v>
      </c>
      <c r="R9565" s="13" t="str">
        <f>HYPERLINK("https://my.pitchbook.com?c=61747-03T","View Company Online")</f>
        <v>View Company Online</v>
      </c>
    </row>
    <row r="9566" spans="1:18" hidden="1" x14ac:dyDescent="0.3">
      <c r="A9566" s="9" t="s">
        <v>27256</v>
      </c>
      <c r="B9566" s="9" t="s">
        <v>27257</v>
      </c>
      <c r="C9566" s="11" t="s">
        <v>28</v>
      </c>
      <c r="D9566" s="9" t="s">
        <v>27258</v>
      </c>
      <c r="E9566" s="11" t="s">
        <v>28</v>
      </c>
      <c r="F9566" s="10" t="s">
        <v>28</v>
      </c>
      <c r="G9566" s="10" t="s">
        <v>28</v>
      </c>
      <c r="H9566" s="10" t="s">
        <v>28</v>
      </c>
      <c r="I9566" s="11" t="s">
        <v>28</v>
      </c>
      <c r="J9566" s="11" t="s">
        <v>28</v>
      </c>
      <c r="K9566" s="11" t="s">
        <v>28</v>
      </c>
      <c r="L9566" s="11" t="s">
        <v>28</v>
      </c>
      <c r="M9566" s="11" t="s">
        <v>28</v>
      </c>
      <c r="N9566" s="8">
        <v>42331</v>
      </c>
      <c r="O9566" s="9" t="s">
        <v>30</v>
      </c>
      <c r="P9566" s="12" t="s">
        <v>27259</v>
      </c>
      <c r="Q9566" s="9" t="s">
        <v>419</v>
      </c>
      <c r="R9566" s="14" t="str">
        <f>HYPERLINK("https://my.pitchbook.com?c=62557-48T","View Company Online")</f>
        <v>View Company Online</v>
      </c>
    </row>
    <row r="9567" spans="1:18" hidden="1" x14ac:dyDescent="0.3">
      <c r="A9567" s="15" t="s">
        <v>27260</v>
      </c>
      <c r="B9567" s="15" t="s">
        <v>27261</v>
      </c>
      <c r="C9567" s="18" t="s">
        <v>28</v>
      </c>
      <c r="D9567" s="15" t="s">
        <v>27262</v>
      </c>
      <c r="E9567" s="18" t="s">
        <v>28</v>
      </c>
      <c r="F9567" s="19">
        <v>2.2000000000000002</v>
      </c>
      <c r="G9567" s="19">
        <v>2.2000000000000002</v>
      </c>
      <c r="H9567" s="19">
        <v>2.2000000000000002</v>
      </c>
      <c r="I9567" s="18" t="s">
        <v>28</v>
      </c>
      <c r="J9567" s="18" t="s">
        <v>28</v>
      </c>
      <c r="K9567" s="18" t="s">
        <v>28</v>
      </c>
      <c r="L9567" s="18" t="s">
        <v>28</v>
      </c>
      <c r="M9567" s="18" t="s">
        <v>28</v>
      </c>
      <c r="N9567" s="17">
        <v>42331</v>
      </c>
      <c r="O9567" s="15" t="s">
        <v>30</v>
      </c>
      <c r="P9567" s="16" t="s">
        <v>4616</v>
      </c>
      <c r="Q9567" s="15" t="s">
        <v>75</v>
      </c>
      <c r="R9567" s="13" t="str">
        <f>HYPERLINK("https://my.pitchbook.com?c=112057-66T","View Company Online")</f>
        <v>View Company Online</v>
      </c>
    </row>
    <row r="9568" spans="1:18" hidden="1" x14ac:dyDescent="0.3">
      <c r="A9568" s="9" t="s">
        <v>27263</v>
      </c>
      <c r="B9568" s="9" t="s">
        <v>27264</v>
      </c>
      <c r="C9568" s="11" t="s">
        <v>28</v>
      </c>
      <c r="D9568" s="9" t="s">
        <v>27265</v>
      </c>
      <c r="E9568" s="11" t="s">
        <v>28</v>
      </c>
      <c r="F9568" s="10" t="s">
        <v>28</v>
      </c>
      <c r="G9568" s="10" t="s">
        <v>28</v>
      </c>
      <c r="H9568" s="10" t="s">
        <v>28</v>
      </c>
      <c r="I9568" s="11" t="s">
        <v>28</v>
      </c>
      <c r="J9568" s="11" t="s">
        <v>28</v>
      </c>
      <c r="K9568" s="11" t="s">
        <v>28</v>
      </c>
      <c r="L9568" s="11" t="s">
        <v>28</v>
      </c>
      <c r="M9568" s="11" t="s">
        <v>28</v>
      </c>
      <c r="N9568" s="8">
        <v>42328</v>
      </c>
      <c r="O9568" s="9" t="s">
        <v>30</v>
      </c>
      <c r="P9568" s="12" t="s">
        <v>27266</v>
      </c>
      <c r="Q9568" s="9" t="s">
        <v>1051</v>
      </c>
      <c r="R9568" s="14" t="str">
        <f>HYPERLINK("https://my.pitchbook.com?c=201971-26T","View Company Online")</f>
        <v>View Company Online</v>
      </c>
    </row>
    <row r="9569" spans="1:18" hidden="1" x14ac:dyDescent="0.3">
      <c r="A9569" s="15" t="s">
        <v>27267</v>
      </c>
      <c r="B9569" s="15" t="s">
        <v>7643</v>
      </c>
      <c r="C9569" s="18" t="s">
        <v>28</v>
      </c>
      <c r="D9569" s="15" t="s">
        <v>7644</v>
      </c>
      <c r="E9569" s="18" t="s">
        <v>28</v>
      </c>
      <c r="F9569" s="19" t="s">
        <v>28</v>
      </c>
      <c r="G9569" s="19" t="s">
        <v>28</v>
      </c>
      <c r="H9569" s="19" t="s">
        <v>28</v>
      </c>
      <c r="I9569" s="18" t="s">
        <v>28</v>
      </c>
      <c r="J9569" s="18" t="s">
        <v>28</v>
      </c>
      <c r="K9569" s="18" t="s">
        <v>28</v>
      </c>
      <c r="L9569" s="18" t="s">
        <v>28</v>
      </c>
      <c r="M9569" s="18" t="s">
        <v>28</v>
      </c>
      <c r="N9569" s="17">
        <v>42326</v>
      </c>
      <c r="O9569" s="15" t="s">
        <v>73</v>
      </c>
      <c r="P9569" s="16" t="s">
        <v>27268</v>
      </c>
      <c r="Q9569" s="15" t="s">
        <v>607</v>
      </c>
      <c r="R9569" s="13" t="str">
        <f>HYPERLINK("https://my.pitchbook.com?c=133658-47T","View Company Online")</f>
        <v>View Company Online</v>
      </c>
    </row>
    <row r="9570" spans="1:18" hidden="1" x14ac:dyDescent="0.3">
      <c r="A9570" s="9" t="s">
        <v>27269</v>
      </c>
      <c r="B9570" s="9" t="s">
        <v>27270</v>
      </c>
      <c r="C9570" s="11" t="s">
        <v>28</v>
      </c>
      <c r="D9570" s="9" t="s">
        <v>27271</v>
      </c>
      <c r="E9570" s="11" t="s">
        <v>28</v>
      </c>
      <c r="F9570" s="10">
        <v>26</v>
      </c>
      <c r="G9570" s="10">
        <v>26</v>
      </c>
      <c r="H9570" s="10">
        <v>26</v>
      </c>
      <c r="I9570" s="11" t="s">
        <v>28</v>
      </c>
      <c r="J9570" s="11" t="s">
        <v>28</v>
      </c>
      <c r="K9570" s="11" t="s">
        <v>28</v>
      </c>
      <c r="L9570" s="11" t="s">
        <v>28</v>
      </c>
      <c r="M9570" s="11" t="s">
        <v>28</v>
      </c>
      <c r="N9570" s="8">
        <v>42325</v>
      </c>
      <c r="O9570" s="9" t="s">
        <v>30</v>
      </c>
      <c r="P9570" s="12" t="s">
        <v>2330</v>
      </c>
      <c r="Q9570" s="9" t="s">
        <v>43</v>
      </c>
      <c r="R9570" s="14" t="str">
        <f>HYPERLINK("https://my.pitchbook.com?c=112051-27T","View Company Online")</f>
        <v>View Company Online</v>
      </c>
    </row>
    <row r="9571" spans="1:18" hidden="1" x14ac:dyDescent="0.3">
      <c r="A9571" s="15" t="s">
        <v>27272</v>
      </c>
      <c r="B9571" s="15" t="s">
        <v>27273</v>
      </c>
      <c r="C9571" s="18" t="s">
        <v>28</v>
      </c>
      <c r="D9571" s="15" t="s">
        <v>27274</v>
      </c>
      <c r="E9571" s="18" t="s">
        <v>28</v>
      </c>
      <c r="F9571" s="19" t="s">
        <v>28</v>
      </c>
      <c r="G9571" s="19" t="s">
        <v>28</v>
      </c>
      <c r="H9571" s="19" t="s">
        <v>28</v>
      </c>
      <c r="I9571" s="18" t="s">
        <v>28</v>
      </c>
      <c r="J9571" s="18" t="s">
        <v>28</v>
      </c>
      <c r="K9571" s="18" t="s">
        <v>28</v>
      </c>
      <c r="L9571" s="18" t="s">
        <v>28</v>
      </c>
      <c r="M9571" s="18" t="s">
        <v>28</v>
      </c>
      <c r="N9571" s="17">
        <v>42325</v>
      </c>
      <c r="O9571" s="15" t="s">
        <v>30</v>
      </c>
      <c r="P9571" s="16" t="s">
        <v>27275</v>
      </c>
      <c r="Q9571" s="15" t="s">
        <v>331</v>
      </c>
      <c r="R9571" s="13" t="str">
        <f>HYPERLINK("https://my.pitchbook.com?c=64363-69T","View Company Online")</f>
        <v>View Company Online</v>
      </c>
    </row>
    <row r="9572" spans="1:18" hidden="1" x14ac:dyDescent="0.3">
      <c r="A9572" s="9" t="s">
        <v>27276</v>
      </c>
      <c r="B9572" s="9" t="s">
        <v>26903</v>
      </c>
      <c r="C9572" s="11" t="s">
        <v>28</v>
      </c>
      <c r="D9572" s="9" t="s">
        <v>26904</v>
      </c>
      <c r="E9572" s="11" t="s">
        <v>28</v>
      </c>
      <c r="F9572" s="10" t="s">
        <v>28</v>
      </c>
      <c r="G9572" s="10" t="s">
        <v>28</v>
      </c>
      <c r="H9572" s="10" t="s">
        <v>28</v>
      </c>
      <c r="I9572" s="11" t="s">
        <v>28</v>
      </c>
      <c r="J9572" s="11" t="s">
        <v>28</v>
      </c>
      <c r="K9572" s="11" t="s">
        <v>28</v>
      </c>
      <c r="L9572" s="11" t="s">
        <v>28</v>
      </c>
      <c r="M9572" s="11" t="s">
        <v>28</v>
      </c>
      <c r="N9572" s="8">
        <v>42324</v>
      </c>
      <c r="O9572" s="9" t="s">
        <v>52</v>
      </c>
      <c r="P9572" s="12" t="s">
        <v>25381</v>
      </c>
      <c r="Q9572" s="9" t="s">
        <v>419</v>
      </c>
      <c r="R9572" s="14" t="str">
        <f>HYPERLINK("https://my.pitchbook.com?c=67745-53T","View Company Online")</f>
        <v>View Company Online</v>
      </c>
    </row>
    <row r="9573" spans="1:18" hidden="1" x14ac:dyDescent="0.3">
      <c r="A9573" s="15" t="s">
        <v>27277</v>
      </c>
      <c r="B9573" s="15" t="s">
        <v>26740</v>
      </c>
      <c r="C9573" s="18" t="s">
        <v>28</v>
      </c>
      <c r="D9573" s="15" t="s">
        <v>26741</v>
      </c>
      <c r="E9573" s="18" t="s">
        <v>28</v>
      </c>
      <c r="F9573" s="19" t="s">
        <v>28</v>
      </c>
      <c r="G9573" s="19">
        <v>0.01</v>
      </c>
      <c r="H9573" s="19" t="s">
        <v>28</v>
      </c>
      <c r="I9573" s="18" t="s">
        <v>28</v>
      </c>
      <c r="J9573" s="18" t="s">
        <v>28</v>
      </c>
      <c r="K9573" s="18" t="s">
        <v>28</v>
      </c>
      <c r="L9573" s="18" t="s">
        <v>28</v>
      </c>
      <c r="M9573" s="18" t="s">
        <v>28</v>
      </c>
      <c r="N9573" s="17">
        <v>42321</v>
      </c>
      <c r="O9573" s="15" t="s">
        <v>8420</v>
      </c>
      <c r="P9573" s="16" t="s">
        <v>28</v>
      </c>
      <c r="Q9573" s="15" t="s">
        <v>75</v>
      </c>
      <c r="R9573" s="13" t="str">
        <f>HYPERLINK("https://my.pitchbook.com?c=127591-93T","View Company Online")</f>
        <v>View Company Online</v>
      </c>
    </row>
    <row r="9574" spans="1:18" hidden="1" x14ac:dyDescent="0.3">
      <c r="A9574" s="9" t="s">
        <v>27278</v>
      </c>
      <c r="B9574" s="9" t="s">
        <v>14964</v>
      </c>
      <c r="C9574" s="11" t="s">
        <v>28</v>
      </c>
      <c r="D9574" s="9" t="s">
        <v>14965</v>
      </c>
      <c r="E9574" s="11" t="s">
        <v>28</v>
      </c>
      <c r="F9574" s="10">
        <v>87.99</v>
      </c>
      <c r="G9574" s="10">
        <v>44</v>
      </c>
      <c r="H9574" s="10">
        <v>87.99</v>
      </c>
      <c r="I9574" s="11" t="s">
        <v>28</v>
      </c>
      <c r="J9574" s="11" t="s">
        <v>28</v>
      </c>
      <c r="K9574" s="11" t="s">
        <v>28</v>
      </c>
      <c r="L9574" s="11" t="s">
        <v>28</v>
      </c>
      <c r="M9574" s="11" t="s">
        <v>28</v>
      </c>
      <c r="N9574" s="8">
        <v>42317</v>
      </c>
      <c r="O9574" s="9" t="s">
        <v>30</v>
      </c>
      <c r="P9574" s="12" t="s">
        <v>27279</v>
      </c>
      <c r="Q9574" s="9" t="s">
        <v>37</v>
      </c>
      <c r="R9574" s="14" t="str">
        <f>HYPERLINK("https://my.pitchbook.com?c=73702-72T","View Company Online")</f>
        <v>View Company Online</v>
      </c>
    </row>
    <row r="9575" spans="1:18" hidden="1" x14ac:dyDescent="0.3">
      <c r="A9575" s="15" t="s">
        <v>27280</v>
      </c>
      <c r="B9575" s="15" t="s">
        <v>27281</v>
      </c>
      <c r="C9575" s="18" t="s">
        <v>28</v>
      </c>
      <c r="D9575" s="15" t="s">
        <v>27282</v>
      </c>
      <c r="E9575" s="18" t="s">
        <v>28</v>
      </c>
      <c r="F9575" s="19" t="s">
        <v>28</v>
      </c>
      <c r="G9575" s="19" t="s">
        <v>28</v>
      </c>
      <c r="H9575" s="19" t="s">
        <v>28</v>
      </c>
      <c r="I9575" s="18" t="s">
        <v>28</v>
      </c>
      <c r="J9575" s="18" t="s">
        <v>28</v>
      </c>
      <c r="K9575" s="18" t="s">
        <v>28</v>
      </c>
      <c r="L9575" s="18" t="s">
        <v>28</v>
      </c>
      <c r="M9575" s="18" t="s">
        <v>28</v>
      </c>
      <c r="N9575" s="17">
        <v>42317</v>
      </c>
      <c r="O9575" s="15" t="s">
        <v>30</v>
      </c>
      <c r="P9575" s="16" t="s">
        <v>5779</v>
      </c>
      <c r="Q9575" s="15" t="s">
        <v>409</v>
      </c>
      <c r="R9575" s="13" t="str">
        <f>HYPERLINK("https://my.pitchbook.com?c=202542-04T","View Company Online")</f>
        <v>View Company Online</v>
      </c>
    </row>
    <row r="9576" spans="1:18" x14ac:dyDescent="0.3">
      <c r="A9576" s="9" t="s">
        <v>27283</v>
      </c>
      <c r="B9576" s="9" t="s">
        <v>26466</v>
      </c>
      <c r="C9576" s="11">
        <v>4.91</v>
      </c>
      <c r="D9576" s="9" t="s">
        <v>26467</v>
      </c>
      <c r="E9576" s="11">
        <v>15.88</v>
      </c>
      <c r="F9576" s="10">
        <v>129.47</v>
      </c>
      <c r="G9576" s="10">
        <v>82.3</v>
      </c>
      <c r="H9576" s="10">
        <v>161.38999999999999</v>
      </c>
      <c r="I9576" s="11">
        <v>26.4</v>
      </c>
      <c r="J9576" s="11">
        <v>6.11</v>
      </c>
      <c r="K9576" s="11">
        <v>226.08</v>
      </c>
      <c r="L9576" s="11">
        <v>0.71</v>
      </c>
      <c r="M9576" s="11">
        <v>24.95</v>
      </c>
      <c r="N9576" s="8">
        <v>42317</v>
      </c>
      <c r="O9576" s="9" t="s">
        <v>41</v>
      </c>
      <c r="P9576" s="12" t="s">
        <v>27284</v>
      </c>
      <c r="Q9576" s="9" t="s">
        <v>8197</v>
      </c>
      <c r="R9576" s="14" t="str">
        <f>HYPERLINK("https://my.pitchbook.com?c=55500-85T","View Company Online")</f>
        <v>View Company Online</v>
      </c>
    </row>
    <row r="9577" spans="1:18" hidden="1" x14ac:dyDescent="0.3">
      <c r="A9577" s="15" t="s">
        <v>27285</v>
      </c>
      <c r="B9577" s="15" t="s">
        <v>27286</v>
      </c>
      <c r="C9577" s="18" t="s">
        <v>28</v>
      </c>
      <c r="D9577" s="15" t="s">
        <v>27287</v>
      </c>
      <c r="E9577" s="18" t="s">
        <v>28</v>
      </c>
      <c r="F9577" s="19" t="s">
        <v>28</v>
      </c>
      <c r="G9577" s="19">
        <v>4.25</v>
      </c>
      <c r="H9577" s="19">
        <v>10.11</v>
      </c>
      <c r="I9577" s="18" t="s">
        <v>28</v>
      </c>
      <c r="J9577" s="18" t="s">
        <v>28</v>
      </c>
      <c r="K9577" s="18" t="s">
        <v>28</v>
      </c>
      <c r="L9577" s="18" t="s">
        <v>28</v>
      </c>
      <c r="M9577" s="18" t="s">
        <v>28</v>
      </c>
      <c r="N9577" s="17">
        <v>42314</v>
      </c>
      <c r="O9577" s="15" t="s">
        <v>58</v>
      </c>
      <c r="P9577" s="16" t="s">
        <v>27288</v>
      </c>
      <c r="Q9577" s="15" t="s">
        <v>1336</v>
      </c>
      <c r="R9577" s="13" t="str">
        <f>HYPERLINK("https://my.pitchbook.com?c=62129-44T","View Company Online")</f>
        <v>View Company Online</v>
      </c>
    </row>
    <row r="9578" spans="1:18" hidden="1" x14ac:dyDescent="0.3">
      <c r="A9578" s="9" t="s">
        <v>27289</v>
      </c>
      <c r="B9578" s="9" t="s">
        <v>27290</v>
      </c>
      <c r="C9578" s="11" t="s">
        <v>28</v>
      </c>
      <c r="D9578" s="9" t="s">
        <v>27291</v>
      </c>
      <c r="E9578" s="11">
        <v>58.09</v>
      </c>
      <c r="F9578" s="10" t="s">
        <v>28</v>
      </c>
      <c r="G9578" s="10" t="s">
        <v>28</v>
      </c>
      <c r="H9578" s="10" t="s">
        <v>28</v>
      </c>
      <c r="I9578" s="11">
        <v>58.09</v>
      </c>
      <c r="J9578" s="11" t="s">
        <v>28</v>
      </c>
      <c r="K9578" s="11">
        <v>481</v>
      </c>
      <c r="L9578" s="11" t="s">
        <v>28</v>
      </c>
      <c r="M9578" s="11" t="s">
        <v>28</v>
      </c>
      <c r="N9578" s="8">
        <v>42313</v>
      </c>
      <c r="O9578" s="9" t="s">
        <v>73</v>
      </c>
      <c r="P9578" s="12" t="s">
        <v>28</v>
      </c>
      <c r="Q9578" s="9" t="s">
        <v>169</v>
      </c>
      <c r="R9578" s="14" t="str">
        <f>HYPERLINK("https://my.pitchbook.com?c=61754-32T","View Company Online")</f>
        <v>View Company Online</v>
      </c>
    </row>
    <row r="9579" spans="1:18" hidden="1" x14ac:dyDescent="0.3">
      <c r="A9579" s="15" t="s">
        <v>27292</v>
      </c>
      <c r="B9579" s="15" t="s">
        <v>14867</v>
      </c>
      <c r="C9579" s="18" t="s">
        <v>28</v>
      </c>
      <c r="D9579" s="15" t="s">
        <v>14868</v>
      </c>
      <c r="E9579" s="18" t="s">
        <v>28</v>
      </c>
      <c r="F9579" s="19" t="s">
        <v>28</v>
      </c>
      <c r="G9579" s="19">
        <v>0.13</v>
      </c>
      <c r="H9579" s="19">
        <v>2.5</v>
      </c>
      <c r="I9579" s="18" t="s">
        <v>28</v>
      </c>
      <c r="J9579" s="18" t="s">
        <v>28</v>
      </c>
      <c r="K9579" s="18" t="s">
        <v>28</v>
      </c>
      <c r="L9579" s="18" t="s">
        <v>28</v>
      </c>
      <c r="M9579" s="18" t="s">
        <v>28</v>
      </c>
      <c r="N9579" s="17">
        <v>42313</v>
      </c>
      <c r="O9579" s="15" t="s">
        <v>52</v>
      </c>
      <c r="P9579" s="16" t="s">
        <v>10628</v>
      </c>
      <c r="Q9579" s="15" t="s">
        <v>583</v>
      </c>
      <c r="R9579" s="13" t="str">
        <f>HYPERLINK("https://my.pitchbook.com?c=60637-24T","View Company Online")</f>
        <v>View Company Online</v>
      </c>
    </row>
    <row r="9580" spans="1:18" hidden="1" x14ac:dyDescent="0.3">
      <c r="A9580" s="9" t="s">
        <v>27293</v>
      </c>
      <c r="B9580" s="9" t="s">
        <v>27294</v>
      </c>
      <c r="C9580" s="11" t="s">
        <v>28</v>
      </c>
      <c r="D9580" s="9" t="s">
        <v>27295</v>
      </c>
      <c r="E9580" s="11" t="s">
        <v>28</v>
      </c>
      <c r="F9580" s="10" t="s">
        <v>28</v>
      </c>
      <c r="G9580" s="10" t="s">
        <v>28</v>
      </c>
      <c r="H9580" s="10" t="s">
        <v>28</v>
      </c>
      <c r="I9580" s="11" t="s">
        <v>28</v>
      </c>
      <c r="J9580" s="11" t="s">
        <v>28</v>
      </c>
      <c r="K9580" s="11" t="s">
        <v>28</v>
      </c>
      <c r="L9580" s="11" t="s">
        <v>28</v>
      </c>
      <c r="M9580" s="11" t="s">
        <v>28</v>
      </c>
      <c r="N9580" s="8">
        <v>42311</v>
      </c>
      <c r="O9580" s="9" t="s">
        <v>30</v>
      </c>
      <c r="P9580" s="12" t="s">
        <v>27100</v>
      </c>
      <c r="Q9580" s="9" t="s">
        <v>409</v>
      </c>
      <c r="R9580" s="14" t="str">
        <f>HYPERLINK("https://my.pitchbook.com?c=60663-34T","View Company Online")</f>
        <v>View Company Online</v>
      </c>
    </row>
    <row r="9581" spans="1:18" hidden="1" x14ac:dyDescent="0.3">
      <c r="A9581" s="15" t="s">
        <v>27296</v>
      </c>
      <c r="B9581" s="15" t="s">
        <v>27297</v>
      </c>
      <c r="C9581" s="18" t="s">
        <v>28</v>
      </c>
      <c r="D9581" s="15" t="s">
        <v>27298</v>
      </c>
      <c r="E9581" s="18" t="s">
        <v>28</v>
      </c>
      <c r="F9581" s="19" t="s">
        <v>28</v>
      </c>
      <c r="G9581" s="19" t="s">
        <v>28</v>
      </c>
      <c r="H9581" s="19" t="s">
        <v>28</v>
      </c>
      <c r="I9581" s="18" t="s">
        <v>28</v>
      </c>
      <c r="J9581" s="18" t="s">
        <v>28</v>
      </c>
      <c r="K9581" s="18" t="s">
        <v>28</v>
      </c>
      <c r="L9581" s="18" t="s">
        <v>28</v>
      </c>
      <c r="M9581" s="18" t="s">
        <v>28</v>
      </c>
      <c r="N9581" s="17">
        <v>42311</v>
      </c>
      <c r="O9581" s="15" t="s">
        <v>30</v>
      </c>
      <c r="P9581" s="16" t="s">
        <v>27299</v>
      </c>
      <c r="Q9581" s="15" t="s">
        <v>188</v>
      </c>
      <c r="R9581" s="13" t="str">
        <f>HYPERLINK("https://my.pitchbook.com?c=73694-53T","View Company Online")</f>
        <v>View Company Online</v>
      </c>
    </row>
    <row r="9582" spans="1:18" hidden="1" x14ac:dyDescent="0.3">
      <c r="A9582" s="9" t="s">
        <v>27300</v>
      </c>
      <c r="B9582" s="9" t="s">
        <v>21662</v>
      </c>
      <c r="C9582" s="11" t="s">
        <v>28</v>
      </c>
      <c r="D9582" s="9" t="s">
        <v>21663</v>
      </c>
      <c r="E9582" s="11" t="s">
        <v>28</v>
      </c>
      <c r="F9582" s="10" t="s">
        <v>28</v>
      </c>
      <c r="G9582" s="10" t="s">
        <v>28</v>
      </c>
      <c r="H9582" s="10" t="s">
        <v>28</v>
      </c>
      <c r="I9582" s="11" t="s">
        <v>28</v>
      </c>
      <c r="J9582" s="11" t="s">
        <v>28</v>
      </c>
      <c r="K9582" s="11" t="s">
        <v>28</v>
      </c>
      <c r="L9582" s="11" t="s">
        <v>28</v>
      </c>
      <c r="M9582" s="11" t="s">
        <v>28</v>
      </c>
      <c r="N9582" s="8">
        <v>42310</v>
      </c>
      <c r="O9582" s="9" t="s">
        <v>52</v>
      </c>
      <c r="P9582" s="12" t="s">
        <v>21790</v>
      </c>
      <c r="Q9582" s="9" t="s">
        <v>75</v>
      </c>
      <c r="R9582" s="14" t="str">
        <f>HYPERLINK("https://my.pitchbook.com?c=106420-24T","View Company Online")</f>
        <v>View Company Online</v>
      </c>
    </row>
    <row r="9583" spans="1:18" hidden="1" x14ac:dyDescent="0.3">
      <c r="A9583" s="15" t="s">
        <v>27301</v>
      </c>
      <c r="B9583" s="15" t="s">
        <v>22135</v>
      </c>
      <c r="C9583" s="18" t="s">
        <v>28</v>
      </c>
      <c r="D9583" s="15" t="s">
        <v>22136</v>
      </c>
      <c r="E9583" s="18" t="s">
        <v>28</v>
      </c>
      <c r="F9583" s="19" t="s">
        <v>28</v>
      </c>
      <c r="G9583" s="19">
        <v>0.05</v>
      </c>
      <c r="H9583" s="19" t="s">
        <v>28</v>
      </c>
      <c r="I9583" s="18" t="s">
        <v>28</v>
      </c>
      <c r="J9583" s="18" t="s">
        <v>28</v>
      </c>
      <c r="K9583" s="18" t="s">
        <v>28</v>
      </c>
      <c r="L9583" s="18" t="s">
        <v>28</v>
      </c>
      <c r="M9583" s="18" t="s">
        <v>28</v>
      </c>
      <c r="N9583" s="17">
        <v>42309</v>
      </c>
      <c r="O9583" s="15" t="s">
        <v>1639</v>
      </c>
      <c r="P9583" s="16" t="s">
        <v>27302</v>
      </c>
      <c r="Q9583" s="15" t="s">
        <v>136</v>
      </c>
      <c r="R9583" s="13" t="str">
        <f>HYPERLINK("https://my.pitchbook.com?c=126024-58T","View Company Online")</f>
        <v>View Company Online</v>
      </c>
    </row>
    <row r="9584" spans="1:18" hidden="1" x14ac:dyDescent="0.3">
      <c r="A9584" s="9" t="s">
        <v>27303</v>
      </c>
      <c r="B9584" s="9" t="s">
        <v>16453</v>
      </c>
      <c r="C9584" s="11" t="s">
        <v>28</v>
      </c>
      <c r="D9584" s="9" t="s">
        <v>16454</v>
      </c>
      <c r="E9584" s="11" t="s">
        <v>28</v>
      </c>
      <c r="F9584" s="10" t="s">
        <v>28</v>
      </c>
      <c r="G9584" s="10">
        <v>0.38</v>
      </c>
      <c r="H9584" s="10" t="s">
        <v>28</v>
      </c>
      <c r="I9584" s="11" t="s">
        <v>28</v>
      </c>
      <c r="J9584" s="11" t="s">
        <v>28</v>
      </c>
      <c r="K9584" s="11" t="s">
        <v>28</v>
      </c>
      <c r="L9584" s="11" t="s">
        <v>28</v>
      </c>
      <c r="M9584" s="11" t="s">
        <v>28</v>
      </c>
      <c r="N9584" s="8">
        <v>42309</v>
      </c>
      <c r="O9584" s="9" t="s">
        <v>73</v>
      </c>
      <c r="P9584" s="12" t="s">
        <v>27304</v>
      </c>
      <c r="Q9584" s="9" t="s">
        <v>75</v>
      </c>
      <c r="R9584" s="14" t="str">
        <f>HYPERLINK("https://my.pitchbook.com?c=210937-87T","View Company Online")</f>
        <v>View Company Online</v>
      </c>
    </row>
    <row r="9585" spans="1:18" hidden="1" x14ac:dyDescent="0.3">
      <c r="A9585" s="15" t="s">
        <v>27305</v>
      </c>
      <c r="B9585" s="15" t="s">
        <v>15575</v>
      </c>
      <c r="C9585" s="18" t="s">
        <v>28</v>
      </c>
      <c r="D9585" s="15" t="s">
        <v>15576</v>
      </c>
      <c r="E9585" s="18" t="s">
        <v>28</v>
      </c>
      <c r="F9585" s="19" t="s">
        <v>28</v>
      </c>
      <c r="G9585" s="19" t="s">
        <v>28</v>
      </c>
      <c r="H9585" s="19" t="s">
        <v>28</v>
      </c>
      <c r="I9585" s="18" t="s">
        <v>28</v>
      </c>
      <c r="J9585" s="18" t="s">
        <v>28</v>
      </c>
      <c r="K9585" s="18" t="s">
        <v>28</v>
      </c>
      <c r="L9585" s="18" t="s">
        <v>28</v>
      </c>
      <c r="M9585" s="18" t="s">
        <v>28</v>
      </c>
      <c r="N9585" s="17">
        <v>42309</v>
      </c>
      <c r="O9585" s="15" t="s">
        <v>379</v>
      </c>
      <c r="P9585" s="16" t="s">
        <v>27306</v>
      </c>
      <c r="Q9585" s="15" t="s">
        <v>37</v>
      </c>
      <c r="R9585" s="13" t="str">
        <f>HYPERLINK("https://my.pitchbook.com?c=109755-01T","View Company Online")</f>
        <v>View Company Online</v>
      </c>
    </row>
    <row r="9586" spans="1:18" hidden="1" x14ac:dyDescent="0.3">
      <c r="A9586" s="9" t="s">
        <v>27307</v>
      </c>
      <c r="B9586" s="9" t="s">
        <v>27308</v>
      </c>
      <c r="C9586" s="11" t="s">
        <v>28</v>
      </c>
      <c r="D9586" s="9" t="s">
        <v>27309</v>
      </c>
      <c r="E9586" s="11" t="s">
        <v>28</v>
      </c>
      <c r="F9586" s="10">
        <v>3525.65</v>
      </c>
      <c r="G9586" s="10">
        <v>3525.65</v>
      </c>
      <c r="H9586" s="10">
        <v>3525.65</v>
      </c>
      <c r="I9586" s="11" t="s">
        <v>28</v>
      </c>
      <c r="J9586" s="11" t="s">
        <v>28</v>
      </c>
      <c r="K9586" s="11" t="s">
        <v>28</v>
      </c>
      <c r="L9586" s="11" t="s">
        <v>28</v>
      </c>
      <c r="M9586" s="11" t="s">
        <v>28</v>
      </c>
      <c r="N9586" s="8">
        <v>42309</v>
      </c>
      <c r="O9586" s="9" t="s">
        <v>30</v>
      </c>
      <c r="P9586" s="12" t="s">
        <v>27310</v>
      </c>
      <c r="Q9586" s="9" t="s">
        <v>226</v>
      </c>
      <c r="R9586" s="14" t="str">
        <f>HYPERLINK("https://my.pitchbook.com?c=110454-58T","View Company Online")</f>
        <v>View Company Online</v>
      </c>
    </row>
    <row r="9587" spans="1:18" hidden="1" x14ac:dyDescent="0.3">
      <c r="A9587" s="15" t="s">
        <v>27311</v>
      </c>
      <c r="B9587" s="15" t="s">
        <v>27312</v>
      </c>
      <c r="C9587" s="18" t="s">
        <v>28</v>
      </c>
      <c r="D9587" s="15" t="s">
        <v>27313</v>
      </c>
      <c r="E9587" s="18" t="s">
        <v>28</v>
      </c>
      <c r="F9587" s="19" t="s">
        <v>28</v>
      </c>
      <c r="G9587" s="19" t="s">
        <v>28</v>
      </c>
      <c r="H9587" s="19" t="s">
        <v>28</v>
      </c>
      <c r="I9587" s="18" t="s">
        <v>28</v>
      </c>
      <c r="J9587" s="18" t="s">
        <v>28</v>
      </c>
      <c r="K9587" s="18" t="s">
        <v>28</v>
      </c>
      <c r="L9587" s="18" t="s">
        <v>28</v>
      </c>
      <c r="M9587" s="18" t="s">
        <v>28</v>
      </c>
      <c r="N9587" s="17">
        <v>42309</v>
      </c>
      <c r="O9587" s="15" t="s">
        <v>30</v>
      </c>
      <c r="P9587" s="16" t="s">
        <v>27314</v>
      </c>
      <c r="Q9587" s="15" t="s">
        <v>5347</v>
      </c>
      <c r="R9587" s="13" t="str">
        <f>HYPERLINK("https://my.pitchbook.com?c=101461-06T","View Company Online")</f>
        <v>View Company Online</v>
      </c>
    </row>
    <row r="9588" spans="1:18" hidden="1" x14ac:dyDescent="0.3">
      <c r="A9588" s="9" t="s">
        <v>27315</v>
      </c>
      <c r="B9588" s="9" t="s">
        <v>13944</v>
      </c>
      <c r="C9588" s="11" t="s">
        <v>28</v>
      </c>
      <c r="D9588" s="9" t="s">
        <v>13945</v>
      </c>
      <c r="E9588" s="11" t="s">
        <v>28</v>
      </c>
      <c r="F9588" s="10" t="s">
        <v>28</v>
      </c>
      <c r="G9588" s="10" t="s">
        <v>28</v>
      </c>
      <c r="H9588" s="10" t="s">
        <v>28</v>
      </c>
      <c r="I9588" s="11" t="s">
        <v>28</v>
      </c>
      <c r="J9588" s="11" t="s">
        <v>28</v>
      </c>
      <c r="K9588" s="11" t="s">
        <v>28</v>
      </c>
      <c r="L9588" s="11" t="s">
        <v>28</v>
      </c>
      <c r="M9588" s="11" t="s">
        <v>28</v>
      </c>
      <c r="N9588" s="8">
        <v>42309</v>
      </c>
      <c r="O9588" s="9" t="s">
        <v>99</v>
      </c>
      <c r="P9588" s="12" t="s">
        <v>28</v>
      </c>
      <c r="Q9588" s="9" t="s">
        <v>75</v>
      </c>
      <c r="R9588" s="14" t="str">
        <f>HYPERLINK("https://my.pitchbook.com?c=74266-75T","View Company Online")</f>
        <v>View Company Online</v>
      </c>
    </row>
    <row r="9589" spans="1:18" hidden="1" x14ac:dyDescent="0.3">
      <c r="A9589" s="15" t="s">
        <v>27316</v>
      </c>
      <c r="B9589" s="15" t="s">
        <v>27317</v>
      </c>
      <c r="C9589" s="18" t="s">
        <v>28</v>
      </c>
      <c r="D9589" s="15" t="s">
        <v>27318</v>
      </c>
      <c r="E9589" s="18" t="s">
        <v>28</v>
      </c>
      <c r="F9589" s="19" t="s">
        <v>28</v>
      </c>
      <c r="G9589" s="19" t="s">
        <v>28</v>
      </c>
      <c r="H9589" s="19" t="s">
        <v>28</v>
      </c>
      <c r="I9589" s="18" t="s">
        <v>28</v>
      </c>
      <c r="J9589" s="18" t="s">
        <v>28</v>
      </c>
      <c r="K9589" s="18" t="s">
        <v>28</v>
      </c>
      <c r="L9589" s="18" t="s">
        <v>28</v>
      </c>
      <c r="M9589" s="18" t="s">
        <v>28</v>
      </c>
      <c r="N9589" s="17">
        <v>42309</v>
      </c>
      <c r="O9589" s="15" t="s">
        <v>73</v>
      </c>
      <c r="P9589" s="16" t="s">
        <v>27319</v>
      </c>
      <c r="Q9589" s="15" t="s">
        <v>740</v>
      </c>
      <c r="R9589" s="13" t="str">
        <f>HYPERLINK("https://my.pitchbook.com?c=67662-46T","View Company Online")</f>
        <v>View Company Online</v>
      </c>
    </row>
    <row r="9590" spans="1:18" hidden="1" x14ac:dyDescent="0.3">
      <c r="A9590" s="9" t="s">
        <v>27320</v>
      </c>
      <c r="B9590" s="9" t="s">
        <v>22933</v>
      </c>
      <c r="C9590" s="11" t="s">
        <v>28</v>
      </c>
      <c r="D9590" s="9" t="s">
        <v>22934</v>
      </c>
      <c r="E9590" s="11" t="s">
        <v>28</v>
      </c>
      <c r="F9590" s="10" t="s">
        <v>28</v>
      </c>
      <c r="G9590" s="10">
        <v>0.04</v>
      </c>
      <c r="H9590" s="10" t="s">
        <v>28</v>
      </c>
      <c r="I9590" s="11" t="s">
        <v>28</v>
      </c>
      <c r="J9590" s="11" t="s">
        <v>28</v>
      </c>
      <c r="K9590" s="11" t="s">
        <v>28</v>
      </c>
      <c r="L9590" s="11" t="s">
        <v>28</v>
      </c>
      <c r="M9590" s="11" t="s">
        <v>28</v>
      </c>
      <c r="N9590" s="8">
        <v>42309</v>
      </c>
      <c r="O9590" s="9" t="s">
        <v>47</v>
      </c>
      <c r="P9590" s="12" t="s">
        <v>27321</v>
      </c>
      <c r="Q9590" s="9" t="s">
        <v>75</v>
      </c>
      <c r="R9590" s="14" t="str">
        <f>HYPERLINK("https://my.pitchbook.com?c=125339-95T","View Company Online")</f>
        <v>View Company Online</v>
      </c>
    </row>
    <row r="9591" spans="1:18" hidden="1" x14ac:dyDescent="0.3">
      <c r="A9591" s="15" t="s">
        <v>27322</v>
      </c>
      <c r="B9591" s="15" t="s">
        <v>14148</v>
      </c>
      <c r="C9591" s="18" t="s">
        <v>28</v>
      </c>
      <c r="D9591" s="15" t="s">
        <v>14149</v>
      </c>
      <c r="E9591" s="18" t="s">
        <v>28</v>
      </c>
      <c r="F9591" s="19">
        <v>49.64</v>
      </c>
      <c r="G9591" s="19">
        <v>49.64</v>
      </c>
      <c r="H9591" s="19">
        <v>49.64</v>
      </c>
      <c r="I9591" s="18" t="s">
        <v>28</v>
      </c>
      <c r="J9591" s="18" t="s">
        <v>28</v>
      </c>
      <c r="K9591" s="18" t="s">
        <v>28</v>
      </c>
      <c r="L9591" s="18" t="s">
        <v>28</v>
      </c>
      <c r="M9591" s="18" t="s">
        <v>28</v>
      </c>
      <c r="N9591" s="17">
        <v>42307</v>
      </c>
      <c r="O9591" s="15" t="s">
        <v>30</v>
      </c>
      <c r="P9591" s="16" t="s">
        <v>28</v>
      </c>
      <c r="Q9591" s="15" t="s">
        <v>692</v>
      </c>
      <c r="R9591" s="13" t="str">
        <f>HYPERLINK("https://my.pitchbook.com?c=51778-36T","View Company Online")</f>
        <v>View Company Online</v>
      </c>
    </row>
    <row r="9592" spans="1:18" hidden="1" x14ac:dyDescent="0.3">
      <c r="A9592" s="9" t="s">
        <v>27323</v>
      </c>
      <c r="B9592" s="9" t="s">
        <v>27324</v>
      </c>
      <c r="C9592" s="11" t="s">
        <v>28</v>
      </c>
      <c r="D9592" s="9" t="s">
        <v>27325</v>
      </c>
      <c r="E9592" s="11" t="s">
        <v>28</v>
      </c>
      <c r="F9592" s="10">
        <v>38.03</v>
      </c>
      <c r="G9592" s="10">
        <v>38.03</v>
      </c>
      <c r="H9592" s="10">
        <v>38.03</v>
      </c>
      <c r="I9592" s="11" t="s">
        <v>28</v>
      </c>
      <c r="J9592" s="11" t="s">
        <v>28</v>
      </c>
      <c r="K9592" s="11">
        <v>356</v>
      </c>
      <c r="L9592" s="11">
        <v>0.11</v>
      </c>
      <c r="M9592" s="11" t="s">
        <v>28</v>
      </c>
      <c r="N9592" s="8">
        <v>42307</v>
      </c>
      <c r="O9592" s="9" t="s">
        <v>30</v>
      </c>
      <c r="P9592" s="12" t="s">
        <v>27326</v>
      </c>
      <c r="Q9592" s="9" t="s">
        <v>85</v>
      </c>
      <c r="R9592" s="14" t="str">
        <f>HYPERLINK("https://my.pitchbook.com?c=60920-65T","View Company Online")</f>
        <v>View Company Online</v>
      </c>
    </row>
    <row r="9593" spans="1:18" hidden="1" x14ac:dyDescent="0.3">
      <c r="A9593" s="15" t="s">
        <v>27327</v>
      </c>
      <c r="B9593" s="15" t="s">
        <v>27328</v>
      </c>
      <c r="C9593" s="18" t="s">
        <v>28</v>
      </c>
      <c r="D9593" s="15" t="s">
        <v>27329</v>
      </c>
      <c r="E9593" s="18" t="s">
        <v>28</v>
      </c>
      <c r="F9593" s="19" t="s">
        <v>28</v>
      </c>
      <c r="G9593" s="19" t="s">
        <v>28</v>
      </c>
      <c r="H9593" s="19" t="s">
        <v>28</v>
      </c>
      <c r="I9593" s="18" t="s">
        <v>28</v>
      </c>
      <c r="J9593" s="18" t="s">
        <v>28</v>
      </c>
      <c r="K9593" s="18" t="s">
        <v>28</v>
      </c>
      <c r="L9593" s="18" t="s">
        <v>28</v>
      </c>
      <c r="M9593" s="18" t="s">
        <v>28</v>
      </c>
      <c r="N9593" s="17">
        <v>42307</v>
      </c>
      <c r="O9593" s="15" t="s">
        <v>30</v>
      </c>
      <c r="P9593" s="16" t="s">
        <v>28</v>
      </c>
      <c r="Q9593" s="15" t="s">
        <v>299</v>
      </c>
      <c r="R9593" s="13" t="str">
        <f>HYPERLINK("https://my.pitchbook.com?c=70319-17T","View Company Online")</f>
        <v>View Company Online</v>
      </c>
    </row>
    <row r="9594" spans="1:18" hidden="1" x14ac:dyDescent="0.3">
      <c r="A9594" s="9" t="s">
        <v>27330</v>
      </c>
      <c r="B9594" s="9" t="s">
        <v>27331</v>
      </c>
      <c r="C9594" s="11" t="s">
        <v>28</v>
      </c>
      <c r="D9594" s="9" t="s">
        <v>27332</v>
      </c>
      <c r="E9594" s="11" t="s">
        <v>28</v>
      </c>
      <c r="F9594" s="10">
        <v>270.52999999999997</v>
      </c>
      <c r="G9594" s="10">
        <v>270.52999999999997</v>
      </c>
      <c r="H9594" s="10">
        <v>270.52999999999997</v>
      </c>
      <c r="I9594" s="11" t="s">
        <v>28</v>
      </c>
      <c r="J9594" s="11" t="s">
        <v>28</v>
      </c>
      <c r="K9594" s="11" t="s">
        <v>28</v>
      </c>
      <c r="L9594" s="11" t="s">
        <v>28</v>
      </c>
      <c r="M9594" s="11" t="s">
        <v>28</v>
      </c>
      <c r="N9594" s="8">
        <v>42307</v>
      </c>
      <c r="O9594" s="9" t="s">
        <v>30</v>
      </c>
      <c r="P9594" s="12" t="s">
        <v>27333</v>
      </c>
      <c r="Q9594" s="9" t="s">
        <v>136</v>
      </c>
      <c r="R9594" s="14" t="str">
        <f>HYPERLINK("https://my.pitchbook.com?c=220174-21T","View Company Online")</f>
        <v>View Company Online</v>
      </c>
    </row>
    <row r="9595" spans="1:18" hidden="1" x14ac:dyDescent="0.3">
      <c r="A9595" s="15" t="s">
        <v>27334</v>
      </c>
      <c r="B9595" s="15" t="s">
        <v>25572</v>
      </c>
      <c r="C9595" s="18" t="s">
        <v>28</v>
      </c>
      <c r="D9595" s="15" t="s">
        <v>25573</v>
      </c>
      <c r="E9595" s="18" t="s">
        <v>28</v>
      </c>
      <c r="F9595" s="19" t="s">
        <v>28</v>
      </c>
      <c r="G9595" s="19" t="s">
        <v>28</v>
      </c>
      <c r="H9595" s="19" t="s">
        <v>28</v>
      </c>
      <c r="I9595" s="18" t="s">
        <v>28</v>
      </c>
      <c r="J9595" s="18" t="s">
        <v>28</v>
      </c>
      <c r="K9595" s="18" t="s">
        <v>28</v>
      </c>
      <c r="L9595" s="18" t="s">
        <v>28</v>
      </c>
      <c r="M9595" s="18" t="s">
        <v>28</v>
      </c>
      <c r="N9595" s="17">
        <v>42307</v>
      </c>
      <c r="O9595" s="15" t="s">
        <v>30</v>
      </c>
      <c r="P9595" s="16" t="s">
        <v>27335</v>
      </c>
      <c r="Q9595" s="15" t="s">
        <v>348</v>
      </c>
      <c r="R9595" s="13" t="str">
        <f>HYPERLINK("https://my.pitchbook.com?c=62363-08T","View Company Online")</f>
        <v>View Company Online</v>
      </c>
    </row>
    <row r="9596" spans="1:18" hidden="1" x14ac:dyDescent="0.3">
      <c r="A9596" s="9" t="s">
        <v>27336</v>
      </c>
      <c r="B9596" s="9" t="s">
        <v>20051</v>
      </c>
      <c r="C9596" s="11" t="s">
        <v>28</v>
      </c>
      <c r="D9596" s="9" t="s">
        <v>20052</v>
      </c>
      <c r="E9596" s="11" t="s">
        <v>28</v>
      </c>
      <c r="F9596" s="10" t="s">
        <v>28</v>
      </c>
      <c r="G9596" s="10">
        <v>2.57</v>
      </c>
      <c r="H9596" s="10" t="s">
        <v>28</v>
      </c>
      <c r="I9596" s="11" t="s">
        <v>28</v>
      </c>
      <c r="J9596" s="11" t="s">
        <v>28</v>
      </c>
      <c r="K9596" s="11" t="s">
        <v>28</v>
      </c>
      <c r="L9596" s="11" t="s">
        <v>28</v>
      </c>
      <c r="M9596" s="11" t="s">
        <v>28</v>
      </c>
      <c r="N9596" s="8">
        <v>42304</v>
      </c>
      <c r="O9596" s="9" t="s">
        <v>73</v>
      </c>
      <c r="P9596" s="12" t="s">
        <v>27337</v>
      </c>
      <c r="Q9596" s="9" t="s">
        <v>75</v>
      </c>
      <c r="R9596" s="14" t="str">
        <f>HYPERLINK("https://my.pitchbook.com?c=61746-04T","View Company Online")</f>
        <v>View Company Online</v>
      </c>
    </row>
    <row r="9597" spans="1:18" hidden="1" x14ac:dyDescent="0.3">
      <c r="A9597" s="15" t="s">
        <v>27338</v>
      </c>
      <c r="B9597" s="15" t="s">
        <v>27339</v>
      </c>
      <c r="C9597" s="18" t="s">
        <v>28</v>
      </c>
      <c r="D9597" s="15" t="s">
        <v>27340</v>
      </c>
      <c r="E9597" s="18" t="s">
        <v>28</v>
      </c>
      <c r="F9597" s="19" t="s">
        <v>28</v>
      </c>
      <c r="G9597" s="19" t="s">
        <v>28</v>
      </c>
      <c r="H9597" s="19" t="s">
        <v>28</v>
      </c>
      <c r="I9597" s="18" t="s">
        <v>28</v>
      </c>
      <c r="J9597" s="18" t="s">
        <v>28</v>
      </c>
      <c r="K9597" s="18" t="s">
        <v>28</v>
      </c>
      <c r="L9597" s="18" t="s">
        <v>28</v>
      </c>
      <c r="M9597" s="18" t="s">
        <v>28</v>
      </c>
      <c r="N9597" s="17">
        <v>42303</v>
      </c>
      <c r="O9597" s="15" t="s">
        <v>30</v>
      </c>
      <c r="P9597" s="16" t="s">
        <v>27341</v>
      </c>
      <c r="Q9597" s="15" t="s">
        <v>331</v>
      </c>
      <c r="R9597" s="13" t="str">
        <f>HYPERLINK("https://my.pitchbook.com?c=59746-96T","View Company Online")</f>
        <v>View Company Online</v>
      </c>
    </row>
    <row r="9598" spans="1:18" hidden="1" x14ac:dyDescent="0.3">
      <c r="A9598" s="9" t="s">
        <v>27342</v>
      </c>
      <c r="B9598" s="9" t="s">
        <v>27343</v>
      </c>
      <c r="C9598" s="11" t="s">
        <v>28</v>
      </c>
      <c r="D9598" s="9" t="s">
        <v>27344</v>
      </c>
      <c r="E9598" s="11" t="s">
        <v>28</v>
      </c>
      <c r="F9598" s="10" t="s">
        <v>28</v>
      </c>
      <c r="G9598" s="10" t="s">
        <v>28</v>
      </c>
      <c r="H9598" s="10" t="s">
        <v>28</v>
      </c>
      <c r="I9598" s="11" t="s">
        <v>28</v>
      </c>
      <c r="J9598" s="11" t="s">
        <v>28</v>
      </c>
      <c r="K9598" s="11" t="s">
        <v>28</v>
      </c>
      <c r="L9598" s="11" t="s">
        <v>28</v>
      </c>
      <c r="M9598" s="11" t="s">
        <v>28</v>
      </c>
      <c r="N9598" s="8">
        <v>42303</v>
      </c>
      <c r="O9598" s="9" t="s">
        <v>30</v>
      </c>
      <c r="P9598" s="12" t="s">
        <v>27345</v>
      </c>
      <c r="Q9598" s="9" t="s">
        <v>1088</v>
      </c>
      <c r="R9598" s="14" t="str">
        <f>HYPERLINK("https://my.pitchbook.com?c=62351-65T","View Company Online")</f>
        <v>View Company Online</v>
      </c>
    </row>
    <row r="9599" spans="1:18" hidden="1" x14ac:dyDescent="0.3">
      <c r="A9599" s="15" t="s">
        <v>27346</v>
      </c>
      <c r="B9599" s="15" t="s">
        <v>5533</v>
      </c>
      <c r="C9599" s="18" t="s">
        <v>28</v>
      </c>
      <c r="D9599" s="15" t="s">
        <v>5534</v>
      </c>
      <c r="E9599" s="18" t="s">
        <v>28</v>
      </c>
      <c r="F9599" s="19" t="s">
        <v>28</v>
      </c>
      <c r="G9599" s="19">
        <v>3.06</v>
      </c>
      <c r="H9599" s="19" t="s">
        <v>28</v>
      </c>
      <c r="I9599" s="18" t="s">
        <v>28</v>
      </c>
      <c r="J9599" s="18" t="s">
        <v>28</v>
      </c>
      <c r="K9599" s="18">
        <v>12.01</v>
      </c>
      <c r="L9599" s="18" t="s">
        <v>28</v>
      </c>
      <c r="M9599" s="18" t="s">
        <v>28</v>
      </c>
      <c r="N9599" s="17">
        <v>42300</v>
      </c>
      <c r="O9599" s="15" t="s">
        <v>73</v>
      </c>
      <c r="P9599" s="16" t="s">
        <v>27347</v>
      </c>
      <c r="Q9599" s="15" t="s">
        <v>409</v>
      </c>
      <c r="R9599" s="13" t="str">
        <f>HYPERLINK("https://my.pitchbook.com?c=61648-39T","View Company Online")</f>
        <v>View Company Online</v>
      </c>
    </row>
    <row r="9600" spans="1:18" hidden="1" x14ac:dyDescent="0.3">
      <c r="A9600" s="9" t="s">
        <v>27348</v>
      </c>
      <c r="B9600" s="9" t="s">
        <v>27349</v>
      </c>
      <c r="C9600" s="11" t="s">
        <v>28</v>
      </c>
      <c r="D9600" s="9" t="s">
        <v>27350</v>
      </c>
      <c r="E9600" s="11" t="s">
        <v>28</v>
      </c>
      <c r="F9600" s="10" t="s">
        <v>28</v>
      </c>
      <c r="G9600" s="10" t="s">
        <v>28</v>
      </c>
      <c r="H9600" s="10" t="s">
        <v>28</v>
      </c>
      <c r="I9600" s="11" t="s">
        <v>28</v>
      </c>
      <c r="J9600" s="11" t="s">
        <v>28</v>
      </c>
      <c r="K9600" s="11" t="s">
        <v>28</v>
      </c>
      <c r="L9600" s="11" t="s">
        <v>28</v>
      </c>
      <c r="M9600" s="11" t="s">
        <v>28</v>
      </c>
      <c r="N9600" s="8">
        <v>42299</v>
      </c>
      <c r="O9600" s="9" t="s">
        <v>30</v>
      </c>
      <c r="P9600" s="12" t="s">
        <v>27351</v>
      </c>
      <c r="Q9600" s="9" t="s">
        <v>19855</v>
      </c>
      <c r="R9600" s="14" t="str">
        <f>HYPERLINK("https://my.pitchbook.com?c=63194-68T","View Company Online")</f>
        <v>View Company Online</v>
      </c>
    </row>
    <row r="9601" spans="1:18" x14ac:dyDescent="0.3">
      <c r="A9601" s="15" t="s">
        <v>27352</v>
      </c>
      <c r="B9601" s="15" t="s">
        <v>20963</v>
      </c>
      <c r="C9601" s="18">
        <v>5.04</v>
      </c>
      <c r="D9601" s="15" t="s">
        <v>20964</v>
      </c>
      <c r="E9601" s="18">
        <v>20.37</v>
      </c>
      <c r="F9601" s="19">
        <v>133.36000000000001</v>
      </c>
      <c r="G9601" s="19">
        <v>157.4</v>
      </c>
      <c r="H9601" s="19">
        <v>157.4</v>
      </c>
      <c r="I9601" s="18">
        <v>26.47</v>
      </c>
      <c r="J9601" s="18">
        <v>5.95</v>
      </c>
      <c r="K9601" s="18">
        <v>161.25</v>
      </c>
      <c r="L9601" s="18">
        <v>0.98</v>
      </c>
      <c r="M9601" s="18">
        <v>17.440000000000001</v>
      </c>
      <c r="N9601" s="17">
        <v>42299</v>
      </c>
      <c r="O9601" s="15" t="s">
        <v>30</v>
      </c>
      <c r="P9601" s="16" t="s">
        <v>4262</v>
      </c>
      <c r="Q9601" s="15" t="s">
        <v>658</v>
      </c>
      <c r="R9601" s="13" t="str">
        <f>HYPERLINK("https://my.pitchbook.com?c=55885-15T","View Company Online")</f>
        <v>View Company Online</v>
      </c>
    </row>
    <row r="9602" spans="1:18" hidden="1" x14ac:dyDescent="0.3">
      <c r="A9602" s="9" t="s">
        <v>27353</v>
      </c>
      <c r="B9602" s="9" t="s">
        <v>27354</v>
      </c>
      <c r="C9602" s="11" t="s">
        <v>28</v>
      </c>
      <c r="D9602" s="9" t="s">
        <v>27355</v>
      </c>
      <c r="E9602" s="11" t="s">
        <v>28</v>
      </c>
      <c r="F9602" s="10" t="s">
        <v>28</v>
      </c>
      <c r="G9602" s="10" t="s">
        <v>28</v>
      </c>
      <c r="H9602" s="10" t="s">
        <v>28</v>
      </c>
      <c r="I9602" s="11" t="s">
        <v>28</v>
      </c>
      <c r="J9602" s="11" t="s">
        <v>28</v>
      </c>
      <c r="K9602" s="11" t="s">
        <v>28</v>
      </c>
      <c r="L9602" s="11" t="s">
        <v>28</v>
      </c>
      <c r="M9602" s="11" t="s">
        <v>28</v>
      </c>
      <c r="N9602" s="8">
        <v>42298</v>
      </c>
      <c r="O9602" s="9" t="s">
        <v>41</v>
      </c>
      <c r="P9602" s="12" t="s">
        <v>27356</v>
      </c>
      <c r="Q9602" s="9" t="s">
        <v>1286</v>
      </c>
      <c r="R9602" s="14" t="str">
        <f>HYPERLINK("https://my.pitchbook.com?c=103976-02T","View Company Online")</f>
        <v>View Company Online</v>
      </c>
    </row>
    <row r="9603" spans="1:18" hidden="1" x14ac:dyDescent="0.3">
      <c r="A9603" s="15" t="s">
        <v>27357</v>
      </c>
      <c r="B9603" s="15" t="s">
        <v>13944</v>
      </c>
      <c r="C9603" s="18" t="s">
        <v>28</v>
      </c>
      <c r="D9603" s="15" t="s">
        <v>13945</v>
      </c>
      <c r="E9603" s="18" t="s">
        <v>28</v>
      </c>
      <c r="F9603" s="19" t="s">
        <v>28</v>
      </c>
      <c r="G9603" s="19" t="s">
        <v>28</v>
      </c>
      <c r="H9603" s="19" t="s">
        <v>28</v>
      </c>
      <c r="I9603" s="18" t="s">
        <v>28</v>
      </c>
      <c r="J9603" s="18" t="s">
        <v>28</v>
      </c>
      <c r="K9603" s="18" t="s">
        <v>28</v>
      </c>
      <c r="L9603" s="18" t="s">
        <v>28</v>
      </c>
      <c r="M9603" s="18" t="s">
        <v>28</v>
      </c>
      <c r="N9603" s="17">
        <v>42298</v>
      </c>
      <c r="O9603" s="15" t="s">
        <v>52</v>
      </c>
      <c r="P9603" s="16" t="s">
        <v>27358</v>
      </c>
      <c r="Q9603" s="15" t="s">
        <v>75</v>
      </c>
      <c r="R9603" s="13" t="str">
        <f>HYPERLINK("https://my.pitchbook.com?c=83062-63T","View Company Online")</f>
        <v>View Company Online</v>
      </c>
    </row>
    <row r="9604" spans="1:18" hidden="1" x14ac:dyDescent="0.3">
      <c r="A9604" s="9" t="s">
        <v>27359</v>
      </c>
      <c r="B9604" s="9" t="s">
        <v>23471</v>
      </c>
      <c r="C9604" s="11" t="s">
        <v>28</v>
      </c>
      <c r="D9604" s="9" t="s">
        <v>23472</v>
      </c>
      <c r="E9604" s="11" t="s">
        <v>28</v>
      </c>
      <c r="F9604" s="10" t="s">
        <v>28</v>
      </c>
      <c r="G9604" s="10" t="s">
        <v>28</v>
      </c>
      <c r="H9604" s="10" t="s">
        <v>28</v>
      </c>
      <c r="I9604" s="11" t="s">
        <v>28</v>
      </c>
      <c r="J9604" s="11" t="s">
        <v>28</v>
      </c>
      <c r="K9604" s="11" t="s">
        <v>28</v>
      </c>
      <c r="L9604" s="11" t="s">
        <v>28</v>
      </c>
      <c r="M9604" s="11" t="s">
        <v>28</v>
      </c>
      <c r="N9604" s="8">
        <v>42297</v>
      </c>
      <c r="O9604" s="9" t="s">
        <v>52</v>
      </c>
      <c r="P9604" s="12" t="s">
        <v>4500</v>
      </c>
      <c r="Q9604" s="9" t="s">
        <v>43</v>
      </c>
      <c r="R9604" s="14" t="str">
        <f>HYPERLINK("https://my.pitchbook.com?c=250962-04T","View Company Online")</f>
        <v>View Company Online</v>
      </c>
    </row>
    <row r="9605" spans="1:18" hidden="1" x14ac:dyDescent="0.3">
      <c r="A9605" s="15" t="s">
        <v>27360</v>
      </c>
      <c r="B9605" s="15" t="s">
        <v>27361</v>
      </c>
      <c r="C9605" s="18" t="s">
        <v>28</v>
      </c>
      <c r="D9605" s="15" t="s">
        <v>27362</v>
      </c>
      <c r="E9605" s="18">
        <v>0.65</v>
      </c>
      <c r="F9605" s="19" t="s">
        <v>28</v>
      </c>
      <c r="G9605" s="19" t="s">
        <v>28</v>
      </c>
      <c r="H9605" s="19" t="s">
        <v>28</v>
      </c>
      <c r="I9605" s="18">
        <v>1.44</v>
      </c>
      <c r="J9605" s="18" t="s">
        <v>28</v>
      </c>
      <c r="K9605" s="18">
        <v>25.21</v>
      </c>
      <c r="L9605" s="18" t="s">
        <v>28</v>
      </c>
      <c r="M9605" s="18">
        <v>-0.46</v>
      </c>
      <c r="N9605" s="17">
        <v>42297</v>
      </c>
      <c r="O9605" s="15" t="s">
        <v>173</v>
      </c>
      <c r="P9605" s="16" t="s">
        <v>28</v>
      </c>
      <c r="Q9605" s="15" t="s">
        <v>517</v>
      </c>
      <c r="R9605" s="13" t="str">
        <f>HYPERLINK("https://my.pitchbook.com?c=131464-45T","View Company Online")</f>
        <v>View Company Online</v>
      </c>
    </row>
    <row r="9606" spans="1:18" hidden="1" x14ac:dyDescent="0.3">
      <c r="A9606" s="9" t="s">
        <v>27363</v>
      </c>
      <c r="B9606" s="9" t="s">
        <v>26205</v>
      </c>
      <c r="C9606" s="11" t="s">
        <v>28</v>
      </c>
      <c r="D9606" s="9" t="s">
        <v>26206</v>
      </c>
      <c r="E9606" s="11" t="s">
        <v>28</v>
      </c>
      <c r="F9606" s="10" t="s">
        <v>28</v>
      </c>
      <c r="G9606" s="10">
        <v>0.4</v>
      </c>
      <c r="H9606" s="10" t="s">
        <v>28</v>
      </c>
      <c r="I9606" s="11" t="s">
        <v>28</v>
      </c>
      <c r="J9606" s="11" t="s">
        <v>28</v>
      </c>
      <c r="K9606" s="11" t="s">
        <v>28</v>
      </c>
      <c r="L9606" s="11" t="s">
        <v>28</v>
      </c>
      <c r="M9606" s="11" t="s">
        <v>28</v>
      </c>
      <c r="N9606" s="8">
        <v>42297</v>
      </c>
      <c r="O9606" s="9" t="s">
        <v>79</v>
      </c>
      <c r="P9606" s="12" t="s">
        <v>27364</v>
      </c>
      <c r="Q9606" s="9" t="s">
        <v>85</v>
      </c>
      <c r="R9606" s="14" t="str">
        <f>HYPERLINK("https://my.pitchbook.com?c=83376-64T","View Company Online")</f>
        <v>View Company Online</v>
      </c>
    </row>
    <row r="9607" spans="1:18" hidden="1" x14ac:dyDescent="0.3">
      <c r="A9607" s="15" t="s">
        <v>27365</v>
      </c>
      <c r="B9607" s="15" t="s">
        <v>906</v>
      </c>
      <c r="C9607" s="18" t="s">
        <v>28</v>
      </c>
      <c r="D9607" s="15" t="s">
        <v>907</v>
      </c>
      <c r="E9607" s="18" t="s">
        <v>28</v>
      </c>
      <c r="F9607" s="19" t="s">
        <v>28</v>
      </c>
      <c r="G9607" s="19">
        <v>0.9</v>
      </c>
      <c r="H9607" s="19" t="s">
        <v>28</v>
      </c>
      <c r="I9607" s="18" t="s">
        <v>28</v>
      </c>
      <c r="J9607" s="18" t="s">
        <v>28</v>
      </c>
      <c r="K9607" s="18" t="s">
        <v>28</v>
      </c>
      <c r="L9607" s="18" t="s">
        <v>28</v>
      </c>
      <c r="M9607" s="18" t="s">
        <v>28</v>
      </c>
      <c r="N9607" s="17">
        <v>42296</v>
      </c>
      <c r="O9607" s="15" t="s">
        <v>79</v>
      </c>
      <c r="P9607" s="16" t="s">
        <v>11495</v>
      </c>
      <c r="Q9607" s="15" t="s">
        <v>280</v>
      </c>
      <c r="R9607" s="13" t="str">
        <f>HYPERLINK("https://my.pitchbook.com?c=86163-22T","View Company Online")</f>
        <v>View Company Online</v>
      </c>
    </row>
    <row r="9608" spans="1:18" hidden="1" x14ac:dyDescent="0.3">
      <c r="A9608" s="9" t="s">
        <v>27366</v>
      </c>
      <c r="B9608" s="9" t="s">
        <v>27367</v>
      </c>
      <c r="C9608" s="11" t="s">
        <v>28</v>
      </c>
      <c r="D9608" s="9" t="s">
        <v>27368</v>
      </c>
      <c r="E9608" s="11" t="s">
        <v>28</v>
      </c>
      <c r="F9608" s="10">
        <v>51.18</v>
      </c>
      <c r="G9608" s="10">
        <v>51.18</v>
      </c>
      <c r="H9608" s="10">
        <v>51.18</v>
      </c>
      <c r="I9608" s="11" t="s">
        <v>28</v>
      </c>
      <c r="J9608" s="11" t="s">
        <v>28</v>
      </c>
      <c r="K9608" s="11" t="s">
        <v>28</v>
      </c>
      <c r="L9608" s="11" t="s">
        <v>28</v>
      </c>
      <c r="M9608" s="11" t="s">
        <v>28</v>
      </c>
      <c r="N9608" s="8">
        <v>42296</v>
      </c>
      <c r="O9608" s="9" t="s">
        <v>30</v>
      </c>
      <c r="P9608" s="12" t="s">
        <v>27369</v>
      </c>
      <c r="Q9608" s="9" t="s">
        <v>404</v>
      </c>
      <c r="R9608" s="14" t="str">
        <f>HYPERLINK("https://my.pitchbook.com?c=59621-05T","View Company Online")</f>
        <v>View Company Online</v>
      </c>
    </row>
    <row r="9609" spans="1:18" hidden="1" x14ac:dyDescent="0.3">
      <c r="A9609" s="15" t="s">
        <v>27370</v>
      </c>
      <c r="B9609" s="15" t="s">
        <v>27371</v>
      </c>
      <c r="C9609" s="18" t="s">
        <v>28</v>
      </c>
      <c r="D9609" s="15" t="s">
        <v>27372</v>
      </c>
      <c r="E9609" s="18" t="s">
        <v>28</v>
      </c>
      <c r="F9609" s="19">
        <v>1.05</v>
      </c>
      <c r="G9609" s="19">
        <v>1.05</v>
      </c>
      <c r="H9609" s="19">
        <v>1.05</v>
      </c>
      <c r="I9609" s="18" t="s">
        <v>28</v>
      </c>
      <c r="J9609" s="18" t="s">
        <v>28</v>
      </c>
      <c r="K9609" s="18" t="s">
        <v>28</v>
      </c>
      <c r="L9609" s="18" t="s">
        <v>28</v>
      </c>
      <c r="M9609" s="18" t="s">
        <v>28</v>
      </c>
      <c r="N9609" s="17">
        <v>42296</v>
      </c>
      <c r="O9609" s="15" t="s">
        <v>30</v>
      </c>
      <c r="P9609" s="16" t="s">
        <v>21227</v>
      </c>
      <c r="Q9609" s="15" t="s">
        <v>583</v>
      </c>
      <c r="R9609" s="13" t="str">
        <f>HYPERLINK("https://my.pitchbook.com?c=202473-37T","View Company Online")</f>
        <v>View Company Online</v>
      </c>
    </row>
    <row r="9610" spans="1:18" hidden="1" x14ac:dyDescent="0.3">
      <c r="A9610" s="9" t="s">
        <v>27373</v>
      </c>
      <c r="B9610" s="9" t="s">
        <v>27374</v>
      </c>
      <c r="C9610" s="11" t="s">
        <v>28</v>
      </c>
      <c r="D9610" s="9" t="s">
        <v>27375</v>
      </c>
      <c r="E9610" s="11" t="s">
        <v>28</v>
      </c>
      <c r="F9610" s="10" t="s">
        <v>28</v>
      </c>
      <c r="G9610" s="10" t="s">
        <v>28</v>
      </c>
      <c r="H9610" s="10" t="s">
        <v>28</v>
      </c>
      <c r="I9610" s="11" t="s">
        <v>28</v>
      </c>
      <c r="J9610" s="11" t="s">
        <v>28</v>
      </c>
      <c r="K9610" s="11" t="s">
        <v>28</v>
      </c>
      <c r="L9610" s="11" t="s">
        <v>28</v>
      </c>
      <c r="M9610" s="11" t="s">
        <v>28</v>
      </c>
      <c r="N9610" s="8">
        <v>42295</v>
      </c>
      <c r="O9610" s="9" t="s">
        <v>41</v>
      </c>
      <c r="P9610" s="12" t="s">
        <v>27376</v>
      </c>
      <c r="Q9610" s="9" t="s">
        <v>183</v>
      </c>
      <c r="R9610" s="14" t="str">
        <f>HYPERLINK("https://my.pitchbook.com?c=59561-65T","View Company Online")</f>
        <v>View Company Online</v>
      </c>
    </row>
    <row r="9611" spans="1:18" hidden="1" x14ac:dyDescent="0.3">
      <c r="A9611" s="15" t="s">
        <v>27377</v>
      </c>
      <c r="B9611" s="15" t="s">
        <v>27378</v>
      </c>
      <c r="C9611" s="18" t="s">
        <v>28</v>
      </c>
      <c r="D9611" s="15" t="s">
        <v>27379</v>
      </c>
      <c r="E9611" s="18" t="s">
        <v>28</v>
      </c>
      <c r="F9611" s="19" t="s">
        <v>28</v>
      </c>
      <c r="G9611" s="19" t="s">
        <v>28</v>
      </c>
      <c r="H9611" s="19" t="s">
        <v>28</v>
      </c>
      <c r="I9611" s="18" t="s">
        <v>28</v>
      </c>
      <c r="J9611" s="18" t="s">
        <v>28</v>
      </c>
      <c r="K9611" s="18" t="s">
        <v>28</v>
      </c>
      <c r="L9611" s="18" t="s">
        <v>28</v>
      </c>
      <c r="M9611" s="18" t="s">
        <v>28</v>
      </c>
      <c r="N9611" s="17">
        <v>42293</v>
      </c>
      <c r="O9611" s="15" t="s">
        <v>30</v>
      </c>
      <c r="P9611" s="16" t="s">
        <v>26342</v>
      </c>
      <c r="Q9611" s="15" t="s">
        <v>449</v>
      </c>
      <c r="R9611" s="13" t="str">
        <f>HYPERLINK("https://my.pitchbook.com?c=66262-60T","View Company Online")</f>
        <v>View Company Online</v>
      </c>
    </row>
    <row r="9612" spans="1:18" hidden="1" x14ac:dyDescent="0.3">
      <c r="A9612" s="9" t="s">
        <v>27380</v>
      </c>
      <c r="B9612" s="9" t="s">
        <v>27381</v>
      </c>
      <c r="C9612" s="11" t="s">
        <v>28</v>
      </c>
      <c r="D9612" s="9" t="s">
        <v>27382</v>
      </c>
      <c r="E9612" s="11" t="s">
        <v>28</v>
      </c>
      <c r="F9612" s="10" t="s">
        <v>28</v>
      </c>
      <c r="G9612" s="10" t="s">
        <v>28</v>
      </c>
      <c r="H9612" s="10" t="s">
        <v>28</v>
      </c>
      <c r="I9612" s="11" t="s">
        <v>28</v>
      </c>
      <c r="J9612" s="11" t="s">
        <v>28</v>
      </c>
      <c r="K9612" s="11" t="s">
        <v>28</v>
      </c>
      <c r="L9612" s="11" t="s">
        <v>28</v>
      </c>
      <c r="M9612" s="11" t="s">
        <v>28</v>
      </c>
      <c r="N9612" s="8">
        <v>42292</v>
      </c>
      <c r="O9612" s="9" t="s">
        <v>41</v>
      </c>
      <c r="P9612" s="12" t="s">
        <v>27383</v>
      </c>
      <c r="Q9612" s="9" t="s">
        <v>8197</v>
      </c>
      <c r="R9612" s="14" t="str">
        <f>HYPERLINK("https://my.pitchbook.com?c=59737-60T","View Company Online")</f>
        <v>View Company Online</v>
      </c>
    </row>
    <row r="9613" spans="1:18" hidden="1" x14ac:dyDescent="0.3">
      <c r="A9613" s="15" t="s">
        <v>27384</v>
      </c>
      <c r="B9613" s="15" t="s">
        <v>12848</v>
      </c>
      <c r="C9613" s="18" t="s">
        <v>28</v>
      </c>
      <c r="D9613" s="15" t="s">
        <v>12849</v>
      </c>
      <c r="E9613" s="18" t="s">
        <v>28</v>
      </c>
      <c r="F9613" s="19" t="s">
        <v>28</v>
      </c>
      <c r="G9613" s="19" t="s">
        <v>28</v>
      </c>
      <c r="H9613" s="19" t="s">
        <v>28</v>
      </c>
      <c r="I9613" s="18" t="s">
        <v>28</v>
      </c>
      <c r="J9613" s="18" t="s">
        <v>28</v>
      </c>
      <c r="K9613" s="18" t="s">
        <v>28</v>
      </c>
      <c r="L9613" s="18" t="s">
        <v>28</v>
      </c>
      <c r="M9613" s="18" t="s">
        <v>28</v>
      </c>
      <c r="N9613" s="17">
        <v>42292</v>
      </c>
      <c r="O9613" s="15" t="s">
        <v>99</v>
      </c>
      <c r="P9613" s="16" t="s">
        <v>3430</v>
      </c>
      <c r="Q9613" s="15" t="s">
        <v>75</v>
      </c>
      <c r="R9613" s="13" t="str">
        <f>HYPERLINK("https://my.pitchbook.com?c=212272-66T","View Company Online")</f>
        <v>View Company Online</v>
      </c>
    </row>
    <row r="9614" spans="1:18" hidden="1" x14ac:dyDescent="0.3">
      <c r="A9614" s="9" t="s">
        <v>27385</v>
      </c>
      <c r="B9614" s="9" t="s">
        <v>27386</v>
      </c>
      <c r="C9614" s="11" t="s">
        <v>28</v>
      </c>
      <c r="D9614" s="9" t="s">
        <v>27387</v>
      </c>
      <c r="E9614" s="11" t="s">
        <v>28</v>
      </c>
      <c r="F9614" s="10" t="s">
        <v>28</v>
      </c>
      <c r="G9614" s="10" t="s">
        <v>28</v>
      </c>
      <c r="H9614" s="10" t="s">
        <v>28</v>
      </c>
      <c r="I9614" s="11" t="s">
        <v>28</v>
      </c>
      <c r="J9614" s="11" t="s">
        <v>28</v>
      </c>
      <c r="K9614" s="11" t="s">
        <v>28</v>
      </c>
      <c r="L9614" s="11" t="s">
        <v>28</v>
      </c>
      <c r="M9614" s="11" t="s">
        <v>28</v>
      </c>
      <c r="N9614" s="8">
        <v>42288</v>
      </c>
      <c r="O9614" s="9" t="s">
        <v>30</v>
      </c>
      <c r="P9614" s="12" t="s">
        <v>25876</v>
      </c>
      <c r="Q9614" s="9" t="s">
        <v>5628</v>
      </c>
      <c r="R9614" s="14" t="str">
        <f>HYPERLINK("https://my.pitchbook.com?c=59724-10T","View Company Online")</f>
        <v>View Company Online</v>
      </c>
    </row>
    <row r="9615" spans="1:18" hidden="1" x14ac:dyDescent="0.3">
      <c r="A9615" s="15" t="s">
        <v>27388</v>
      </c>
      <c r="B9615" s="15" t="s">
        <v>19710</v>
      </c>
      <c r="C9615" s="18" t="s">
        <v>28</v>
      </c>
      <c r="D9615" s="15" t="s">
        <v>19711</v>
      </c>
      <c r="E9615" s="18" t="s">
        <v>28</v>
      </c>
      <c r="F9615" s="19" t="s">
        <v>28</v>
      </c>
      <c r="G9615" s="19" t="s">
        <v>28</v>
      </c>
      <c r="H9615" s="19" t="s">
        <v>28</v>
      </c>
      <c r="I9615" s="18" t="s">
        <v>28</v>
      </c>
      <c r="J9615" s="18" t="s">
        <v>28</v>
      </c>
      <c r="K9615" s="18">
        <v>1212.8</v>
      </c>
      <c r="L9615" s="18" t="s">
        <v>28</v>
      </c>
      <c r="M9615" s="18" t="s">
        <v>28</v>
      </c>
      <c r="N9615" s="17">
        <v>42286</v>
      </c>
      <c r="O9615" s="15" t="s">
        <v>30</v>
      </c>
      <c r="P9615" s="16" t="s">
        <v>28</v>
      </c>
      <c r="Q9615" s="15" t="s">
        <v>692</v>
      </c>
      <c r="R9615" s="13" t="str">
        <f>HYPERLINK("https://my.pitchbook.com?c=58950-91T","View Company Online")</f>
        <v>View Company Online</v>
      </c>
    </row>
    <row r="9616" spans="1:18" hidden="1" x14ac:dyDescent="0.3">
      <c r="A9616" s="9" t="s">
        <v>27389</v>
      </c>
      <c r="B9616" s="9" t="s">
        <v>20489</v>
      </c>
      <c r="C9616" s="11" t="s">
        <v>28</v>
      </c>
      <c r="D9616" s="9" t="s">
        <v>20490</v>
      </c>
      <c r="E9616" s="11" t="s">
        <v>28</v>
      </c>
      <c r="F9616" s="10" t="s">
        <v>28</v>
      </c>
      <c r="G9616" s="10" t="s">
        <v>28</v>
      </c>
      <c r="H9616" s="10" t="s">
        <v>28</v>
      </c>
      <c r="I9616" s="11" t="s">
        <v>28</v>
      </c>
      <c r="J9616" s="11" t="s">
        <v>28</v>
      </c>
      <c r="K9616" s="11" t="s">
        <v>28</v>
      </c>
      <c r="L9616" s="11" t="s">
        <v>28</v>
      </c>
      <c r="M9616" s="11" t="s">
        <v>28</v>
      </c>
      <c r="N9616" s="8">
        <v>42285</v>
      </c>
      <c r="O9616" s="9" t="s">
        <v>47</v>
      </c>
      <c r="P9616" s="12" t="s">
        <v>13703</v>
      </c>
      <c r="Q9616" s="9" t="s">
        <v>583</v>
      </c>
      <c r="R9616" s="14" t="str">
        <f>HYPERLINK("https://my.pitchbook.com?c=76073-32T","View Company Online")</f>
        <v>View Company Online</v>
      </c>
    </row>
    <row r="9617" spans="1:18" hidden="1" x14ac:dyDescent="0.3">
      <c r="A9617" s="15" t="s">
        <v>27390</v>
      </c>
      <c r="B9617" s="15" t="s">
        <v>5142</v>
      </c>
      <c r="C9617" s="18" t="s">
        <v>28</v>
      </c>
      <c r="D9617" s="15" t="s">
        <v>5143</v>
      </c>
      <c r="E9617" s="18" t="s">
        <v>28</v>
      </c>
      <c r="F9617" s="19" t="s">
        <v>28</v>
      </c>
      <c r="G9617" s="19">
        <v>0.77</v>
      </c>
      <c r="H9617" s="19" t="s">
        <v>28</v>
      </c>
      <c r="I9617" s="18" t="s">
        <v>28</v>
      </c>
      <c r="J9617" s="18" t="s">
        <v>28</v>
      </c>
      <c r="K9617" s="18" t="s">
        <v>28</v>
      </c>
      <c r="L9617" s="18" t="s">
        <v>28</v>
      </c>
      <c r="M9617" s="18" t="s">
        <v>28</v>
      </c>
      <c r="N9617" s="17">
        <v>42285</v>
      </c>
      <c r="O9617" s="15" t="s">
        <v>79</v>
      </c>
      <c r="P9617" s="16" t="s">
        <v>16566</v>
      </c>
      <c r="Q9617" s="15" t="s">
        <v>583</v>
      </c>
      <c r="R9617" s="13" t="str">
        <f>HYPERLINK("https://my.pitchbook.com?c=66247-21T","View Company Online")</f>
        <v>View Company Online</v>
      </c>
    </row>
    <row r="9618" spans="1:18" hidden="1" x14ac:dyDescent="0.3">
      <c r="A9618" s="9" t="s">
        <v>27391</v>
      </c>
      <c r="B9618" s="9" t="s">
        <v>8877</v>
      </c>
      <c r="C9618" s="11" t="s">
        <v>28</v>
      </c>
      <c r="D9618" s="9" t="s">
        <v>8878</v>
      </c>
      <c r="E9618" s="11" t="s">
        <v>28</v>
      </c>
      <c r="F9618" s="10" t="s">
        <v>28</v>
      </c>
      <c r="G9618" s="10">
        <v>9.0299999999999994</v>
      </c>
      <c r="H9618" s="10" t="s">
        <v>28</v>
      </c>
      <c r="I9618" s="11" t="s">
        <v>28</v>
      </c>
      <c r="J9618" s="11" t="s">
        <v>28</v>
      </c>
      <c r="K9618" s="11" t="s">
        <v>28</v>
      </c>
      <c r="L9618" s="11" t="s">
        <v>28</v>
      </c>
      <c r="M9618" s="11" t="s">
        <v>28</v>
      </c>
      <c r="N9618" s="8">
        <v>42284</v>
      </c>
      <c r="O9618" s="9" t="s">
        <v>79</v>
      </c>
      <c r="P9618" s="12" t="s">
        <v>27392</v>
      </c>
      <c r="Q9618" s="9" t="s">
        <v>75</v>
      </c>
      <c r="R9618" s="14" t="str">
        <f>HYPERLINK("https://my.pitchbook.com?c=59362-48T","View Company Online")</f>
        <v>View Company Online</v>
      </c>
    </row>
    <row r="9619" spans="1:18" hidden="1" x14ac:dyDescent="0.3">
      <c r="A9619" s="15" t="s">
        <v>27393</v>
      </c>
      <c r="B9619" s="15" t="s">
        <v>17790</v>
      </c>
      <c r="C9619" s="18" t="s">
        <v>28</v>
      </c>
      <c r="D9619" s="15" t="s">
        <v>17791</v>
      </c>
      <c r="E9619" s="18" t="s">
        <v>28</v>
      </c>
      <c r="F9619" s="19" t="s">
        <v>28</v>
      </c>
      <c r="G9619" s="19">
        <v>2</v>
      </c>
      <c r="H9619" s="19">
        <v>13.33</v>
      </c>
      <c r="I9619" s="18" t="s">
        <v>28</v>
      </c>
      <c r="J9619" s="18" t="s">
        <v>28</v>
      </c>
      <c r="K9619" s="18" t="s">
        <v>28</v>
      </c>
      <c r="L9619" s="18" t="s">
        <v>28</v>
      </c>
      <c r="M9619" s="18" t="s">
        <v>28</v>
      </c>
      <c r="N9619" s="17">
        <v>42283</v>
      </c>
      <c r="O9619" s="15" t="s">
        <v>99</v>
      </c>
      <c r="P9619" s="16" t="s">
        <v>27394</v>
      </c>
      <c r="Q9619" s="15" t="s">
        <v>855</v>
      </c>
      <c r="R9619" s="13" t="str">
        <f>HYPERLINK("https://my.pitchbook.com?c=68312-44T","View Company Online")</f>
        <v>View Company Online</v>
      </c>
    </row>
    <row r="9620" spans="1:18" hidden="1" x14ac:dyDescent="0.3">
      <c r="A9620" s="9" t="s">
        <v>27395</v>
      </c>
      <c r="B9620" s="9" t="s">
        <v>27396</v>
      </c>
      <c r="C9620" s="11" t="s">
        <v>28</v>
      </c>
      <c r="D9620" s="9" t="s">
        <v>27397</v>
      </c>
      <c r="E9620" s="11" t="s">
        <v>28</v>
      </c>
      <c r="F9620" s="10" t="s">
        <v>28</v>
      </c>
      <c r="G9620" s="10">
        <v>40</v>
      </c>
      <c r="H9620" s="10" t="s">
        <v>28</v>
      </c>
      <c r="I9620" s="11" t="s">
        <v>28</v>
      </c>
      <c r="J9620" s="11" t="s">
        <v>28</v>
      </c>
      <c r="K9620" s="11" t="s">
        <v>28</v>
      </c>
      <c r="L9620" s="11" t="s">
        <v>28</v>
      </c>
      <c r="M9620" s="11" t="s">
        <v>28</v>
      </c>
      <c r="N9620" s="8">
        <v>42282</v>
      </c>
      <c r="O9620" s="9" t="s">
        <v>93</v>
      </c>
      <c r="P9620" s="12" t="s">
        <v>27398</v>
      </c>
      <c r="Q9620" s="9" t="s">
        <v>1007</v>
      </c>
      <c r="R9620" s="14" t="str">
        <f>HYPERLINK("https://my.pitchbook.com?c=58573-09T","View Company Online")</f>
        <v>View Company Online</v>
      </c>
    </row>
    <row r="9621" spans="1:18" hidden="1" x14ac:dyDescent="0.3">
      <c r="A9621" s="15" t="s">
        <v>27399</v>
      </c>
      <c r="B9621" s="15" t="s">
        <v>27400</v>
      </c>
      <c r="C9621" s="18" t="s">
        <v>28</v>
      </c>
      <c r="D9621" s="15" t="s">
        <v>27401</v>
      </c>
      <c r="E9621" s="18" t="s">
        <v>28</v>
      </c>
      <c r="F9621" s="19" t="s">
        <v>28</v>
      </c>
      <c r="G9621" s="19">
        <v>1.6</v>
      </c>
      <c r="H9621" s="19" t="s">
        <v>28</v>
      </c>
      <c r="I9621" s="18" t="s">
        <v>28</v>
      </c>
      <c r="J9621" s="18" t="s">
        <v>28</v>
      </c>
      <c r="K9621" s="18" t="s">
        <v>28</v>
      </c>
      <c r="L9621" s="18" t="s">
        <v>28</v>
      </c>
      <c r="M9621" s="18" t="s">
        <v>28</v>
      </c>
      <c r="N9621" s="17">
        <v>42279</v>
      </c>
      <c r="O9621" s="15" t="s">
        <v>73</v>
      </c>
      <c r="P9621" s="16" t="s">
        <v>27402</v>
      </c>
      <c r="Q9621" s="15" t="s">
        <v>95</v>
      </c>
      <c r="R9621" s="13" t="str">
        <f>HYPERLINK("https://my.pitchbook.com?c=61746-31T","View Company Online")</f>
        <v>View Company Online</v>
      </c>
    </row>
    <row r="9622" spans="1:18" hidden="1" x14ac:dyDescent="0.3">
      <c r="A9622" s="9" t="s">
        <v>27403</v>
      </c>
      <c r="B9622" s="9" t="s">
        <v>27404</v>
      </c>
      <c r="C9622" s="11" t="s">
        <v>28</v>
      </c>
      <c r="D9622" s="9" t="s">
        <v>27405</v>
      </c>
      <c r="E9622" s="11" t="s">
        <v>28</v>
      </c>
      <c r="F9622" s="10" t="s">
        <v>28</v>
      </c>
      <c r="G9622" s="10">
        <v>0.63</v>
      </c>
      <c r="H9622" s="10" t="s">
        <v>28</v>
      </c>
      <c r="I9622" s="11" t="s">
        <v>28</v>
      </c>
      <c r="J9622" s="11" t="s">
        <v>28</v>
      </c>
      <c r="K9622" s="11">
        <v>1.05</v>
      </c>
      <c r="L9622" s="11" t="s">
        <v>28</v>
      </c>
      <c r="M9622" s="11" t="s">
        <v>28</v>
      </c>
      <c r="N9622" s="8">
        <v>42279</v>
      </c>
      <c r="O9622" s="9" t="s">
        <v>73</v>
      </c>
      <c r="P9622" s="12" t="s">
        <v>19865</v>
      </c>
      <c r="Q9622" s="9" t="s">
        <v>22187</v>
      </c>
      <c r="R9622" s="14" t="str">
        <f>HYPERLINK("https://my.pitchbook.com?c=62149-96T","View Company Online")</f>
        <v>View Company Online</v>
      </c>
    </row>
    <row r="9623" spans="1:18" hidden="1" x14ac:dyDescent="0.3">
      <c r="A9623" s="15" t="s">
        <v>27406</v>
      </c>
      <c r="B9623" s="15" t="s">
        <v>27407</v>
      </c>
      <c r="C9623" s="18" t="s">
        <v>28</v>
      </c>
      <c r="D9623" s="15" t="s">
        <v>27408</v>
      </c>
      <c r="E9623" s="18" t="s">
        <v>28</v>
      </c>
      <c r="F9623" s="19">
        <v>4.18</v>
      </c>
      <c r="G9623" s="19">
        <v>4.18</v>
      </c>
      <c r="H9623" s="19">
        <v>4.18</v>
      </c>
      <c r="I9623" s="18" t="s">
        <v>28</v>
      </c>
      <c r="J9623" s="18" t="s">
        <v>28</v>
      </c>
      <c r="K9623" s="18" t="s">
        <v>28</v>
      </c>
      <c r="L9623" s="18" t="s">
        <v>28</v>
      </c>
      <c r="M9623" s="18" t="s">
        <v>28</v>
      </c>
      <c r="N9623" s="17">
        <v>42279</v>
      </c>
      <c r="O9623" s="15" t="s">
        <v>30</v>
      </c>
      <c r="P9623" s="16" t="s">
        <v>27409</v>
      </c>
      <c r="Q9623" s="15" t="s">
        <v>128</v>
      </c>
      <c r="R9623" s="13" t="str">
        <f>HYPERLINK("https://my.pitchbook.com?c=60364-99T","View Company Online")</f>
        <v>View Company Online</v>
      </c>
    </row>
    <row r="9624" spans="1:18" hidden="1" x14ac:dyDescent="0.3">
      <c r="A9624" s="9" t="s">
        <v>27410</v>
      </c>
      <c r="B9624" s="9" t="s">
        <v>26441</v>
      </c>
      <c r="C9624" s="11" t="s">
        <v>28</v>
      </c>
      <c r="D9624" s="9" t="s">
        <v>26442</v>
      </c>
      <c r="E9624" s="11" t="s">
        <v>28</v>
      </c>
      <c r="F9624" s="10" t="s">
        <v>28</v>
      </c>
      <c r="G9624" s="10" t="s">
        <v>28</v>
      </c>
      <c r="H9624" s="10" t="s">
        <v>28</v>
      </c>
      <c r="I9624" s="11" t="s">
        <v>28</v>
      </c>
      <c r="J9624" s="11" t="s">
        <v>28</v>
      </c>
      <c r="K9624" s="11" t="s">
        <v>28</v>
      </c>
      <c r="L9624" s="11" t="s">
        <v>28</v>
      </c>
      <c r="M9624" s="11" t="s">
        <v>28</v>
      </c>
      <c r="N9624" s="8">
        <v>42279</v>
      </c>
      <c r="O9624" s="9" t="s">
        <v>52</v>
      </c>
      <c r="P9624" s="12" t="s">
        <v>21790</v>
      </c>
      <c r="Q9624" s="9" t="s">
        <v>386</v>
      </c>
      <c r="R9624" s="14" t="str">
        <f>HYPERLINK("https://my.pitchbook.com?c=106419-16T","View Company Online")</f>
        <v>View Company Online</v>
      </c>
    </row>
    <row r="9625" spans="1:18" hidden="1" x14ac:dyDescent="0.3">
      <c r="A9625" s="15" t="s">
        <v>27411</v>
      </c>
      <c r="B9625" s="15" t="s">
        <v>27412</v>
      </c>
      <c r="C9625" s="18" t="s">
        <v>28</v>
      </c>
      <c r="D9625" s="15" t="s">
        <v>27413</v>
      </c>
      <c r="E9625" s="18" t="s">
        <v>28</v>
      </c>
      <c r="F9625" s="19" t="s">
        <v>28</v>
      </c>
      <c r="G9625" s="19">
        <v>0.06</v>
      </c>
      <c r="H9625" s="19" t="s">
        <v>28</v>
      </c>
      <c r="I9625" s="18" t="s">
        <v>28</v>
      </c>
      <c r="J9625" s="18" t="s">
        <v>28</v>
      </c>
      <c r="K9625" s="18" t="s">
        <v>28</v>
      </c>
      <c r="L9625" s="18" t="s">
        <v>28</v>
      </c>
      <c r="M9625" s="18" t="s">
        <v>28</v>
      </c>
      <c r="N9625" s="17">
        <v>42278</v>
      </c>
      <c r="O9625" s="15" t="s">
        <v>99</v>
      </c>
      <c r="P9625" s="16" t="s">
        <v>28</v>
      </c>
      <c r="Q9625" s="15" t="s">
        <v>1179</v>
      </c>
      <c r="R9625" s="13" t="str">
        <f>HYPERLINK("https://my.pitchbook.com?c=126023-14T","View Company Online")</f>
        <v>View Company Online</v>
      </c>
    </row>
    <row r="9626" spans="1:18" hidden="1" x14ac:dyDescent="0.3">
      <c r="A9626" s="9" t="s">
        <v>27414</v>
      </c>
      <c r="B9626" s="9" t="s">
        <v>14867</v>
      </c>
      <c r="C9626" s="11" t="s">
        <v>28</v>
      </c>
      <c r="D9626" s="9" t="s">
        <v>14868</v>
      </c>
      <c r="E9626" s="11" t="s">
        <v>28</v>
      </c>
      <c r="F9626" s="10" t="s">
        <v>28</v>
      </c>
      <c r="G9626" s="10" t="s">
        <v>28</v>
      </c>
      <c r="H9626" s="10" t="s">
        <v>28</v>
      </c>
      <c r="I9626" s="11" t="s">
        <v>28</v>
      </c>
      <c r="J9626" s="11" t="s">
        <v>28</v>
      </c>
      <c r="K9626" s="11" t="s">
        <v>28</v>
      </c>
      <c r="L9626" s="11" t="s">
        <v>28</v>
      </c>
      <c r="M9626" s="11" t="s">
        <v>28</v>
      </c>
      <c r="N9626" s="8">
        <v>42278</v>
      </c>
      <c r="O9626" s="9" t="s">
        <v>73</v>
      </c>
      <c r="P9626" s="12" t="s">
        <v>27415</v>
      </c>
      <c r="Q9626" s="9" t="s">
        <v>583</v>
      </c>
      <c r="R9626" s="14" t="str">
        <f>HYPERLINK("https://my.pitchbook.com?c=172352-17T","View Company Online")</f>
        <v>View Company Online</v>
      </c>
    </row>
    <row r="9627" spans="1:18" hidden="1" x14ac:dyDescent="0.3">
      <c r="A9627" s="15" t="s">
        <v>27416</v>
      </c>
      <c r="B9627" s="15" t="s">
        <v>22162</v>
      </c>
      <c r="C9627" s="18" t="s">
        <v>28</v>
      </c>
      <c r="D9627" s="15" t="s">
        <v>22163</v>
      </c>
      <c r="E9627" s="18" t="s">
        <v>28</v>
      </c>
      <c r="F9627" s="19" t="s">
        <v>28</v>
      </c>
      <c r="G9627" s="19">
        <v>39</v>
      </c>
      <c r="H9627" s="19">
        <v>156</v>
      </c>
      <c r="I9627" s="18" t="s">
        <v>28</v>
      </c>
      <c r="J9627" s="18" t="s">
        <v>28</v>
      </c>
      <c r="K9627" s="18" t="s">
        <v>28</v>
      </c>
      <c r="L9627" s="18" t="s">
        <v>28</v>
      </c>
      <c r="M9627" s="18" t="s">
        <v>28</v>
      </c>
      <c r="N9627" s="17">
        <v>42278</v>
      </c>
      <c r="O9627" s="15" t="s">
        <v>93</v>
      </c>
      <c r="P9627" s="16" t="s">
        <v>1833</v>
      </c>
      <c r="Q9627" s="15" t="s">
        <v>669</v>
      </c>
      <c r="R9627" s="13" t="str">
        <f>HYPERLINK("https://my.pitchbook.com?c=92308-42T","View Company Online")</f>
        <v>View Company Online</v>
      </c>
    </row>
    <row r="9628" spans="1:18" hidden="1" x14ac:dyDescent="0.3">
      <c r="A9628" s="9" t="s">
        <v>27417</v>
      </c>
      <c r="B9628" s="9" t="s">
        <v>27418</v>
      </c>
      <c r="C9628" s="11" t="s">
        <v>28</v>
      </c>
      <c r="D9628" s="9" t="s">
        <v>27419</v>
      </c>
      <c r="E9628" s="11" t="s">
        <v>28</v>
      </c>
      <c r="F9628" s="10" t="s">
        <v>28</v>
      </c>
      <c r="G9628" s="10" t="s">
        <v>28</v>
      </c>
      <c r="H9628" s="10" t="s">
        <v>28</v>
      </c>
      <c r="I9628" s="11" t="s">
        <v>28</v>
      </c>
      <c r="J9628" s="11" t="s">
        <v>28</v>
      </c>
      <c r="K9628" s="11" t="s">
        <v>28</v>
      </c>
      <c r="L9628" s="11" t="s">
        <v>28</v>
      </c>
      <c r="M9628" s="11" t="s">
        <v>28</v>
      </c>
      <c r="N9628" s="8">
        <v>42278</v>
      </c>
      <c r="O9628" s="9" t="s">
        <v>30</v>
      </c>
      <c r="P9628" s="12" t="s">
        <v>27420</v>
      </c>
      <c r="Q9628" s="9" t="s">
        <v>5347</v>
      </c>
      <c r="R9628" s="14" t="str">
        <f>HYPERLINK("https://my.pitchbook.com?c=69906-34T","View Company Online")</f>
        <v>View Company Online</v>
      </c>
    </row>
    <row r="9629" spans="1:18" hidden="1" x14ac:dyDescent="0.3">
      <c r="A9629" s="15" t="s">
        <v>27421</v>
      </c>
      <c r="B9629" s="15" t="s">
        <v>27422</v>
      </c>
      <c r="C9629" s="18" t="s">
        <v>28</v>
      </c>
      <c r="D9629" s="15" t="s">
        <v>27423</v>
      </c>
      <c r="E9629" s="18" t="s">
        <v>28</v>
      </c>
      <c r="F9629" s="19" t="s">
        <v>28</v>
      </c>
      <c r="G9629" s="19" t="s">
        <v>28</v>
      </c>
      <c r="H9629" s="19" t="s">
        <v>28</v>
      </c>
      <c r="I9629" s="18" t="s">
        <v>28</v>
      </c>
      <c r="J9629" s="18" t="s">
        <v>28</v>
      </c>
      <c r="K9629" s="18" t="s">
        <v>28</v>
      </c>
      <c r="L9629" s="18" t="s">
        <v>28</v>
      </c>
      <c r="M9629" s="18" t="s">
        <v>28</v>
      </c>
      <c r="N9629" s="17">
        <v>42278</v>
      </c>
      <c r="O9629" s="15" t="s">
        <v>73</v>
      </c>
      <c r="P9629" s="16" t="s">
        <v>27424</v>
      </c>
      <c r="Q9629" s="15" t="s">
        <v>95</v>
      </c>
      <c r="R9629" s="13" t="str">
        <f>HYPERLINK("https://my.pitchbook.com?c=36891-91T","View Company Online")</f>
        <v>View Company Online</v>
      </c>
    </row>
    <row r="9630" spans="1:18" hidden="1" x14ac:dyDescent="0.3">
      <c r="A9630" s="9" t="s">
        <v>27425</v>
      </c>
      <c r="B9630" s="9" t="s">
        <v>27426</v>
      </c>
      <c r="C9630" s="11" t="s">
        <v>28</v>
      </c>
      <c r="D9630" s="9" t="s">
        <v>27427</v>
      </c>
      <c r="E9630" s="11" t="s">
        <v>28</v>
      </c>
      <c r="F9630" s="10" t="s">
        <v>28</v>
      </c>
      <c r="G9630" s="10" t="s">
        <v>28</v>
      </c>
      <c r="H9630" s="10" t="s">
        <v>28</v>
      </c>
      <c r="I9630" s="11" t="s">
        <v>28</v>
      </c>
      <c r="J9630" s="11" t="s">
        <v>28</v>
      </c>
      <c r="K9630" s="11" t="s">
        <v>28</v>
      </c>
      <c r="L9630" s="11" t="s">
        <v>28</v>
      </c>
      <c r="M9630" s="11" t="s">
        <v>28</v>
      </c>
      <c r="N9630" s="8">
        <v>42278</v>
      </c>
      <c r="O9630" s="9" t="s">
        <v>30</v>
      </c>
      <c r="P9630" s="12" t="s">
        <v>27428</v>
      </c>
      <c r="Q9630" s="9" t="s">
        <v>1341</v>
      </c>
      <c r="R9630" s="14" t="str">
        <f>HYPERLINK("https://my.pitchbook.com?c=48717-73T","View Company Online")</f>
        <v>View Company Online</v>
      </c>
    </row>
    <row r="9631" spans="1:18" hidden="1" x14ac:dyDescent="0.3">
      <c r="A9631" s="15" t="s">
        <v>27429</v>
      </c>
      <c r="B9631" s="15" t="s">
        <v>27430</v>
      </c>
      <c r="C9631" s="18" t="s">
        <v>28</v>
      </c>
      <c r="D9631" s="15" t="s">
        <v>27431</v>
      </c>
      <c r="E9631" s="18" t="s">
        <v>28</v>
      </c>
      <c r="F9631" s="19" t="s">
        <v>28</v>
      </c>
      <c r="G9631" s="19">
        <v>370</v>
      </c>
      <c r="H9631" s="19">
        <v>717.05</v>
      </c>
      <c r="I9631" s="18" t="s">
        <v>28</v>
      </c>
      <c r="J9631" s="18" t="s">
        <v>28</v>
      </c>
      <c r="K9631" s="18" t="s">
        <v>28</v>
      </c>
      <c r="L9631" s="18" t="s">
        <v>28</v>
      </c>
      <c r="M9631" s="18" t="s">
        <v>28</v>
      </c>
      <c r="N9631" s="17">
        <v>42278</v>
      </c>
      <c r="O9631" s="15" t="s">
        <v>30</v>
      </c>
      <c r="P9631" s="16" t="s">
        <v>27428</v>
      </c>
      <c r="Q9631" s="15" t="s">
        <v>774</v>
      </c>
      <c r="R9631" s="13" t="str">
        <f>HYPERLINK("https://my.pitchbook.com?c=48372-40T","View Company Online")</f>
        <v>View Company Online</v>
      </c>
    </row>
    <row r="9632" spans="1:18" hidden="1" x14ac:dyDescent="0.3">
      <c r="A9632" s="9" t="s">
        <v>27432</v>
      </c>
      <c r="B9632" s="9" t="s">
        <v>17123</v>
      </c>
      <c r="C9632" s="11" t="s">
        <v>28</v>
      </c>
      <c r="D9632" s="9" t="s">
        <v>17124</v>
      </c>
      <c r="E9632" s="11" t="s">
        <v>28</v>
      </c>
      <c r="F9632" s="10" t="s">
        <v>28</v>
      </c>
      <c r="G9632" s="10" t="s">
        <v>28</v>
      </c>
      <c r="H9632" s="10" t="s">
        <v>28</v>
      </c>
      <c r="I9632" s="11" t="s">
        <v>28</v>
      </c>
      <c r="J9632" s="11" t="s">
        <v>28</v>
      </c>
      <c r="K9632" s="11" t="s">
        <v>28</v>
      </c>
      <c r="L9632" s="11" t="s">
        <v>28</v>
      </c>
      <c r="M9632" s="11" t="s">
        <v>28</v>
      </c>
      <c r="N9632" s="8">
        <v>42278</v>
      </c>
      <c r="O9632" s="9" t="s">
        <v>52</v>
      </c>
      <c r="P9632" s="12" t="s">
        <v>27433</v>
      </c>
      <c r="Q9632" s="9" t="s">
        <v>5347</v>
      </c>
      <c r="R9632" s="14" t="str">
        <f>HYPERLINK("https://my.pitchbook.com?c=94864-15T","View Company Online")</f>
        <v>View Company Online</v>
      </c>
    </row>
    <row r="9633" spans="1:18" hidden="1" x14ac:dyDescent="0.3">
      <c r="A9633" s="15" t="s">
        <v>27434</v>
      </c>
      <c r="B9633" s="15" t="s">
        <v>27435</v>
      </c>
      <c r="C9633" s="18" t="s">
        <v>28</v>
      </c>
      <c r="D9633" s="15" t="s">
        <v>27436</v>
      </c>
      <c r="E9633" s="18" t="s">
        <v>28</v>
      </c>
      <c r="F9633" s="19">
        <v>282</v>
      </c>
      <c r="G9633" s="19">
        <v>282</v>
      </c>
      <c r="H9633" s="19">
        <v>282</v>
      </c>
      <c r="I9633" s="18" t="s">
        <v>28</v>
      </c>
      <c r="J9633" s="18" t="s">
        <v>28</v>
      </c>
      <c r="K9633" s="18" t="s">
        <v>28</v>
      </c>
      <c r="L9633" s="18" t="s">
        <v>28</v>
      </c>
      <c r="M9633" s="18" t="s">
        <v>28</v>
      </c>
      <c r="N9633" s="17">
        <v>42278</v>
      </c>
      <c r="O9633" s="15" t="s">
        <v>30</v>
      </c>
      <c r="P9633" s="16" t="s">
        <v>27437</v>
      </c>
      <c r="Q9633" s="15" t="s">
        <v>69</v>
      </c>
      <c r="R9633" s="13" t="str">
        <f>HYPERLINK("https://my.pitchbook.com?c=56437-39T","View Company Online")</f>
        <v>View Company Online</v>
      </c>
    </row>
    <row r="9634" spans="1:18" hidden="1" x14ac:dyDescent="0.3">
      <c r="A9634" s="9" t="s">
        <v>27438</v>
      </c>
      <c r="B9634" s="9" t="s">
        <v>16901</v>
      </c>
      <c r="C9634" s="11" t="s">
        <v>28</v>
      </c>
      <c r="D9634" s="9" t="s">
        <v>16902</v>
      </c>
      <c r="E9634" s="11" t="s">
        <v>28</v>
      </c>
      <c r="F9634" s="10" t="s">
        <v>28</v>
      </c>
      <c r="G9634" s="10">
        <v>0.5</v>
      </c>
      <c r="H9634" s="10" t="s">
        <v>28</v>
      </c>
      <c r="I9634" s="11" t="s">
        <v>28</v>
      </c>
      <c r="J9634" s="11" t="s">
        <v>28</v>
      </c>
      <c r="K9634" s="11" t="s">
        <v>28</v>
      </c>
      <c r="L9634" s="11" t="s">
        <v>28</v>
      </c>
      <c r="M9634" s="11" t="s">
        <v>28</v>
      </c>
      <c r="N9634" s="8">
        <v>42278</v>
      </c>
      <c r="O9634" s="9" t="s">
        <v>73</v>
      </c>
      <c r="P9634" s="12" t="s">
        <v>28</v>
      </c>
      <c r="Q9634" s="9" t="s">
        <v>386</v>
      </c>
      <c r="R9634" s="14" t="str">
        <f>HYPERLINK("https://my.pitchbook.com?c=59383-81T","View Company Online")</f>
        <v>View Company Online</v>
      </c>
    </row>
    <row r="9635" spans="1:18" hidden="1" x14ac:dyDescent="0.3">
      <c r="A9635" s="15" t="s">
        <v>27439</v>
      </c>
      <c r="B9635" s="15" t="s">
        <v>14430</v>
      </c>
      <c r="C9635" s="18" t="s">
        <v>28</v>
      </c>
      <c r="D9635" s="15" t="s">
        <v>14431</v>
      </c>
      <c r="E9635" s="18" t="s">
        <v>28</v>
      </c>
      <c r="F9635" s="19" t="s">
        <v>28</v>
      </c>
      <c r="G9635" s="19" t="s">
        <v>28</v>
      </c>
      <c r="H9635" s="19" t="s">
        <v>28</v>
      </c>
      <c r="I9635" s="18" t="s">
        <v>28</v>
      </c>
      <c r="J9635" s="18" t="s">
        <v>28</v>
      </c>
      <c r="K9635" s="18">
        <v>0.45</v>
      </c>
      <c r="L9635" s="18" t="s">
        <v>28</v>
      </c>
      <c r="M9635" s="18" t="s">
        <v>28</v>
      </c>
      <c r="N9635" s="17">
        <v>42278</v>
      </c>
      <c r="O9635" s="15" t="s">
        <v>73</v>
      </c>
      <c r="P9635" s="16" t="s">
        <v>27440</v>
      </c>
      <c r="Q9635" s="15" t="s">
        <v>75</v>
      </c>
      <c r="R9635" s="13" t="str">
        <f>HYPERLINK("https://my.pitchbook.com?c=67664-53T","View Company Online")</f>
        <v>View Company Online</v>
      </c>
    </row>
    <row r="9636" spans="1:18" hidden="1" x14ac:dyDescent="0.3">
      <c r="A9636" s="9" t="s">
        <v>27441</v>
      </c>
      <c r="B9636" s="9" t="s">
        <v>27442</v>
      </c>
      <c r="C9636" s="11" t="s">
        <v>28</v>
      </c>
      <c r="D9636" s="9" t="s">
        <v>27443</v>
      </c>
      <c r="E9636" s="11" t="s">
        <v>28</v>
      </c>
      <c r="F9636" s="10">
        <v>3.91</v>
      </c>
      <c r="G9636" s="10">
        <v>3.91</v>
      </c>
      <c r="H9636" s="10">
        <v>3.91</v>
      </c>
      <c r="I9636" s="11" t="s">
        <v>28</v>
      </c>
      <c r="J9636" s="11" t="s">
        <v>28</v>
      </c>
      <c r="K9636" s="11" t="s">
        <v>28</v>
      </c>
      <c r="L9636" s="11" t="s">
        <v>28</v>
      </c>
      <c r="M9636" s="11" t="s">
        <v>28</v>
      </c>
      <c r="N9636" s="8">
        <v>42278</v>
      </c>
      <c r="O9636" s="9" t="s">
        <v>30</v>
      </c>
      <c r="P9636" s="12" t="s">
        <v>27444</v>
      </c>
      <c r="Q9636" s="9" t="s">
        <v>75</v>
      </c>
      <c r="R9636" s="14" t="str">
        <f>HYPERLINK("https://my.pitchbook.com?c=216191-17T","View Company Online")</f>
        <v>View Company Online</v>
      </c>
    </row>
    <row r="9637" spans="1:18" hidden="1" x14ac:dyDescent="0.3">
      <c r="A9637" s="15" t="s">
        <v>27445</v>
      </c>
      <c r="B9637" s="15" t="s">
        <v>27446</v>
      </c>
      <c r="C9637" s="18" t="s">
        <v>28</v>
      </c>
      <c r="D9637" s="15" t="s">
        <v>27447</v>
      </c>
      <c r="E9637" s="18" t="s">
        <v>28</v>
      </c>
      <c r="F9637" s="19">
        <v>101.62</v>
      </c>
      <c r="G9637" s="19">
        <v>101.62</v>
      </c>
      <c r="H9637" s="19">
        <v>101.62</v>
      </c>
      <c r="I9637" s="18" t="s">
        <v>28</v>
      </c>
      <c r="J9637" s="18" t="s">
        <v>28</v>
      </c>
      <c r="K9637" s="18" t="s">
        <v>28</v>
      </c>
      <c r="L9637" s="18" t="s">
        <v>28</v>
      </c>
      <c r="M9637" s="18" t="s">
        <v>28</v>
      </c>
      <c r="N9637" s="17">
        <v>42277</v>
      </c>
      <c r="O9637" s="15" t="s">
        <v>30</v>
      </c>
      <c r="P9637" s="16" t="s">
        <v>4868</v>
      </c>
      <c r="Q9637" s="15" t="s">
        <v>105</v>
      </c>
      <c r="R9637" s="13" t="str">
        <f>HYPERLINK("https://my.pitchbook.com?c=54067-60T","View Company Online")</f>
        <v>View Company Online</v>
      </c>
    </row>
    <row r="9638" spans="1:18" hidden="1" x14ac:dyDescent="0.3">
      <c r="A9638" s="9" t="s">
        <v>27448</v>
      </c>
      <c r="B9638" s="9" t="s">
        <v>27449</v>
      </c>
      <c r="C9638" s="11" t="s">
        <v>28</v>
      </c>
      <c r="D9638" s="9" t="s">
        <v>27450</v>
      </c>
      <c r="E9638" s="11" t="s">
        <v>28</v>
      </c>
      <c r="F9638" s="10" t="s">
        <v>28</v>
      </c>
      <c r="G9638" s="10" t="s">
        <v>28</v>
      </c>
      <c r="H9638" s="10" t="s">
        <v>28</v>
      </c>
      <c r="I9638" s="11" t="s">
        <v>28</v>
      </c>
      <c r="J9638" s="11" t="s">
        <v>28</v>
      </c>
      <c r="K9638" s="11" t="s">
        <v>28</v>
      </c>
      <c r="L9638" s="11" t="s">
        <v>28</v>
      </c>
      <c r="M9638" s="11" t="s">
        <v>28</v>
      </c>
      <c r="N9638" s="8">
        <v>42277</v>
      </c>
      <c r="O9638" s="9" t="s">
        <v>41</v>
      </c>
      <c r="P9638" s="12" t="s">
        <v>27451</v>
      </c>
      <c r="Q9638" s="9" t="s">
        <v>517</v>
      </c>
      <c r="R9638" s="14" t="str">
        <f>HYPERLINK("https://my.pitchbook.com?c=58436-56T","View Company Online")</f>
        <v>View Company Online</v>
      </c>
    </row>
    <row r="9639" spans="1:18" hidden="1" x14ac:dyDescent="0.3">
      <c r="A9639" s="15" t="s">
        <v>27452</v>
      </c>
      <c r="B9639" s="15" t="s">
        <v>27453</v>
      </c>
      <c r="C9639" s="18" t="s">
        <v>28</v>
      </c>
      <c r="D9639" s="15" t="s">
        <v>27454</v>
      </c>
      <c r="E9639" s="18" t="s">
        <v>28</v>
      </c>
      <c r="F9639" s="19">
        <v>60.43</v>
      </c>
      <c r="G9639" s="19">
        <v>60.43</v>
      </c>
      <c r="H9639" s="19">
        <v>60.43</v>
      </c>
      <c r="I9639" s="18" t="s">
        <v>28</v>
      </c>
      <c r="J9639" s="18" t="s">
        <v>28</v>
      </c>
      <c r="K9639" s="18" t="s">
        <v>28</v>
      </c>
      <c r="L9639" s="18" t="s">
        <v>28</v>
      </c>
      <c r="M9639" s="18" t="s">
        <v>28</v>
      </c>
      <c r="N9639" s="17">
        <v>42277</v>
      </c>
      <c r="O9639" s="15" t="s">
        <v>30</v>
      </c>
      <c r="P9639" s="16" t="s">
        <v>27455</v>
      </c>
      <c r="Q9639" s="15" t="s">
        <v>900</v>
      </c>
      <c r="R9639" s="13" t="str">
        <f>HYPERLINK("https://my.pitchbook.com?c=75000-16T","View Company Online")</f>
        <v>View Company Online</v>
      </c>
    </row>
    <row r="9640" spans="1:18" hidden="1" x14ac:dyDescent="0.3">
      <c r="A9640" s="9" t="s">
        <v>27456</v>
      </c>
      <c r="B9640" s="9" t="s">
        <v>4641</v>
      </c>
      <c r="C9640" s="11" t="s">
        <v>28</v>
      </c>
      <c r="D9640" s="9" t="s">
        <v>4642</v>
      </c>
      <c r="E9640" s="11" t="s">
        <v>28</v>
      </c>
      <c r="F9640" s="10" t="s">
        <v>28</v>
      </c>
      <c r="G9640" s="10" t="s">
        <v>28</v>
      </c>
      <c r="H9640" s="10" t="s">
        <v>28</v>
      </c>
      <c r="I9640" s="11" t="s">
        <v>28</v>
      </c>
      <c r="J9640" s="11" t="s">
        <v>28</v>
      </c>
      <c r="K9640" s="11" t="s">
        <v>28</v>
      </c>
      <c r="L9640" s="11" t="s">
        <v>28</v>
      </c>
      <c r="M9640" s="11" t="s">
        <v>28</v>
      </c>
      <c r="N9640" s="8">
        <v>42277</v>
      </c>
      <c r="O9640" s="9" t="s">
        <v>52</v>
      </c>
      <c r="P9640" s="12" t="s">
        <v>25170</v>
      </c>
      <c r="Q9640" s="9" t="s">
        <v>37</v>
      </c>
      <c r="R9640" s="14" t="str">
        <f>HYPERLINK("https://my.pitchbook.com?c=68422-33T","View Company Online")</f>
        <v>View Company Online</v>
      </c>
    </row>
    <row r="9641" spans="1:18" hidden="1" x14ac:dyDescent="0.3">
      <c r="A9641" s="15" t="s">
        <v>27457</v>
      </c>
      <c r="B9641" s="15" t="s">
        <v>10980</v>
      </c>
      <c r="C9641" s="18" t="s">
        <v>28</v>
      </c>
      <c r="D9641" s="15" t="s">
        <v>10981</v>
      </c>
      <c r="E9641" s="18" t="s">
        <v>28</v>
      </c>
      <c r="F9641" s="19" t="s">
        <v>28</v>
      </c>
      <c r="G9641" s="19">
        <v>3</v>
      </c>
      <c r="H9641" s="19" t="s">
        <v>28</v>
      </c>
      <c r="I9641" s="18" t="s">
        <v>28</v>
      </c>
      <c r="J9641" s="18" t="s">
        <v>28</v>
      </c>
      <c r="K9641" s="18" t="s">
        <v>28</v>
      </c>
      <c r="L9641" s="18" t="s">
        <v>28</v>
      </c>
      <c r="M9641" s="18" t="s">
        <v>28</v>
      </c>
      <c r="N9641" s="17">
        <v>42276</v>
      </c>
      <c r="O9641" s="15" t="s">
        <v>73</v>
      </c>
      <c r="P9641" s="16" t="s">
        <v>27458</v>
      </c>
      <c r="Q9641" s="15" t="s">
        <v>959</v>
      </c>
      <c r="R9641" s="13" t="str">
        <f>HYPERLINK("https://my.pitchbook.com?c=59561-47T","View Company Online")</f>
        <v>View Company Online</v>
      </c>
    </row>
    <row r="9642" spans="1:18" hidden="1" x14ac:dyDescent="0.3">
      <c r="A9642" s="9" t="s">
        <v>27459</v>
      </c>
      <c r="B9642" s="9" t="s">
        <v>27460</v>
      </c>
      <c r="C9642" s="11" t="s">
        <v>28</v>
      </c>
      <c r="D9642" s="9" t="s">
        <v>27461</v>
      </c>
      <c r="E9642" s="11" t="s">
        <v>28</v>
      </c>
      <c r="F9642" s="10" t="s">
        <v>28</v>
      </c>
      <c r="G9642" s="10" t="s">
        <v>28</v>
      </c>
      <c r="H9642" s="10" t="s">
        <v>28</v>
      </c>
      <c r="I9642" s="11" t="s">
        <v>28</v>
      </c>
      <c r="J9642" s="11" t="s">
        <v>28</v>
      </c>
      <c r="K9642" s="11" t="s">
        <v>28</v>
      </c>
      <c r="L9642" s="11" t="s">
        <v>28</v>
      </c>
      <c r="M9642" s="11" t="s">
        <v>28</v>
      </c>
      <c r="N9642" s="8">
        <v>42272</v>
      </c>
      <c r="O9642" s="9" t="s">
        <v>30</v>
      </c>
      <c r="P9642" s="12" t="s">
        <v>27462</v>
      </c>
      <c r="Q9642" s="9" t="s">
        <v>1286</v>
      </c>
      <c r="R9642" s="14" t="str">
        <f>HYPERLINK("https://my.pitchbook.com?c=58190-95T","View Company Online")</f>
        <v>View Company Online</v>
      </c>
    </row>
    <row r="9643" spans="1:18" hidden="1" x14ac:dyDescent="0.3">
      <c r="A9643" s="15" t="s">
        <v>27463</v>
      </c>
      <c r="B9643" s="15" t="s">
        <v>12620</v>
      </c>
      <c r="C9643" s="18" t="s">
        <v>28</v>
      </c>
      <c r="D9643" s="15" t="s">
        <v>12621</v>
      </c>
      <c r="E9643" s="18" t="s">
        <v>28</v>
      </c>
      <c r="F9643" s="19">
        <v>74.819999999999993</v>
      </c>
      <c r="G9643" s="19">
        <v>74.819999999999993</v>
      </c>
      <c r="H9643" s="19">
        <v>74.819999999999993</v>
      </c>
      <c r="I9643" s="18" t="s">
        <v>28</v>
      </c>
      <c r="J9643" s="18" t="s">
        <v>28</v>
      </c>
      <c r="K9643" s="18" t="s">
        <v>28</v>
      </c>
      <c r="L9643" s="18" t="s">
        <v>28</v>
      </c>
      <c r="M9643" s="18" t="s">
        <v>28</v>
      </c>
      <c r="N9643" s="17">
        <v>42272</v>
      </c>
      <c r="O9643" s="15" t="s">
        <v>30</v>
      </c>
      <c r="P9643" s="16" t="s">
        <v>27464</v>
      </c>
      <c r="Q9643" s="15" t="s">
        <v>566</v>
      </c>
      <c r="R9643" s="13" t="str">
        <f>HYPERLINK("https://my.pitchbook.com?c=74732-41T","View Company Online")</f>
        <v>View Company Online</v>
      </c>
    </row>
    <row r="9644" spans="1:18" hidden="1" x14ac:dyDescent="0.3">
      <c r="A9644" s="9" t="s">
        <v>27465</v>
      </c>
      <c r="B9644" s="9" t="s">
        <v>23543</v>
      </c>
      <c r="C9644" s="11" t="s">
        <v>28</v>
      </c>
      <c r="D9644" s="9" t="s">
        <v>23544</v>
      </c>
      <c r="E9644" s="11" t="s">
        <v>28</v>
      </c>
      <c r="F9644" s="10" t="s">
        <v>28</v>
      </c>
      <c r="G9644" s="10">
        <v>1</v>
      </c>
      <c r="H9644" s="10" t="s">
        <v>28</v>
      </c>
      <c r="I9644" s="11" t="s">
        <v>28</v>
      </c>
      <c r="J9644" s="11" t="s">
        <v>28</v>
      </c>
      <c r="K9644" s="11" t="s">
        <v>28</v>
      </c>
      <c r="L9644" s="11" t="s">
        <v>28</v>
      </c>
      <c r="M9644" s="11" t="s">
        <v>28</v>
      </c>
      <c r="N9644" s="8">
        <v>42272</v>
      </c>
      <c r="O9644" s="9" t="s">
        <v>99</v>
      </c>
      <c r="P9644" s="12" t="s">
        <v>13843</v>
      </c>
      <c r="Q9644" s="9" t="s">
        <v>75</v>
      </c>
      <c r="R9644" s="14" t="str">
        <f>HYPERLINK("https://my.pitchbook.com?c=93545-29T","View Company Online")</f>
        <v>View Company Online</v>
      </c>
    </row>
    <row r="9645" spans="1:18" hidden="1" x14ac:dyDescent="0.3">
      <c r="A9645" s="15" t="s">
        <v>27466</v>
      </c>
      <c r="B9645" s="15" t="s">
        <v>16355</v>
      </c>
      <c r="C9645" s="18" t="s">
        <v>28</v>
      </c>
      <c r="D9645" s="15" t="s">
        <v>16356</v>
      </c>
      <c r="E9645" s="18" t="s">
        <v>28</v>
      </c>
      <c r="F9645" s="19" t="s">
        <v>28</v>
      </c>
      <c r="G9645" s="19">
        <v>0.02</v>
      </c>
      <c r="H9645" s="19" t="s">
        <v>28</v>
      </c>
      <c r="I9645" s="18" t="s">
        <v>28</v>
      </c>
      <c r="J9645" s="18" t="s">
        <v>28</v>
      </c>
      <c r="K9645" s="18" t="s">
        <v>28</v>
      </c>
      <c r="L9645" s="18" t="s">
        <v>28</v>
      </c>
      <c r="M9645" s="18" t="s">
        <v>28</v>
      </c>
      <c r="N9645" s="17">
        <v>42270</v>
      </c>
      <c r="O9645" s="15" t="s">
        <v>8420</v>
      </c>
      <c r="P9645" s="16" t="s">
        <v>28</v>
      </c>
      <c r="Q9645" s="15" t="s">
        <v>85</v>
      </c>
      <c r="R9645" s="13" t="str">
        <f>HYPERLINK("https://my.pitchbook.com?c=155896-75T","View Company Online")</f>
        <v>View Company Online</v>
      </c>
    </row>
    <row r="9646" spans="1:18" hidden="1" x14ac:dyDescent="0.3">
      <c r="A9646" s="9" t="s">
        <v>27467</v>
      </c>
      <c r="B9646" s="9" t="s">
        <v>16901</v>
      </c>
      <c r="C9646" s="11" t="s">
        <v>28</v>
      </c>
      <c r="D9646" s="9" t="s">
        <v>16902</v>
      </c>
      <c r="E9646" s="11" t="s">
        <v>28</v>
      </c>
      <c r="F9646" s="10" t="s">
        <v>28</v>
      </c>
      <c r="G9646" s="10">
        <v>0.27</v>
      </c>
      <c r="H9646" s="10" t="s">
        <v>28</v>
      </c>
      <c r="I9646" s="11" t="s">
        <v>28</v>
      </c>
      <c r="J9646" s="11" t="s">
        <v>28</v>
      </c>
      <c r="K9646" s="11" t="s">
        <v>28</v>
      </c>
      <c r="L9646" s="11" t="s">
        <v>28</v>
      </c>
      <c r="M9646" s="11" t="s">
        <v>28</v>
      </c>
      <c r="N9646" s="8">
        <v>42269</v>
      </c>
      <c r="O9646" s="9" t="s">
        <v>73</v>
      </c>
      <c r="P9646" s="12" t="s">
        <v>27468</v>
      </c>
      <c r="Q9646" s="9" t="s">
        <v>386</v>
      </c>
      <c r="R9646" s="14" t="str">
        <f>HYPERLINK("https://my.pitchbook.com?c=58355-65T","View Company Online")</f>
        <v>View Company Online</v>
      </c>
    </row>
    <row r="9647" spans="1:18" hidden="1" x14ac:dyDescent="0.3">
      <c r="A9647" s="15" t="s">
        <v>27469</v>
      </c>
      <c r="B9647" s="15" t="s">
        <v>27470</v>
      </c>
      <c r="C9647" s="18" t="s">
        <v>28</v>
      </c>
      <c r="D9647" s="15" t="s">
        <v>27471</v>
      </c>
      <c r="E9647" s="18" t="s">
        <v>28</v>
      </c>
      <c r="F9647" s="19" t="s">
        <v>28</v>
      </c>
      <c r="G9647" s="19" t="s">
        <v>28</v>
      </c>
      <c r="H9647" s="19" t="s">
        <v>28</v>
      </c>
      <c r="I9647" s="18" t="s">
        <v>28</v>
      </c>
      <c r="J9647" s="18" t="s">
        <v>28</v>
      </c>
      <c r="K9647" s="18" t="s">
        <v>28</v>
      </c>
      <c r="L9647" s="18" t="s">
        <v>28</v>
      </c>
      <c r="M9647" s="18" t="s">
        <v>28</v>
      </c>
      <c r="N9647" s="17">
        <v>42268</v>
      </c>
      <c r="O9647" s="15" t="s">
        <v>30</v>
      </c>
      <c r="P9647" s="16" t="s">
        <v>27472</v>
      </c>
      <c r="Q9647" s="15" t="s">
        <v>136</v>
      </c>
      <c r="R9647" s="13" t="str">
        <f>HYPERLINK("https://my.pitchbook.com?c=264096-64T","View Company Online")</f>
        <v>View Company Online</v>
      </c>
    </row>
    <row r="9648" spans="1:18" hidden="1" x14ac:dyDescent="0.3">
      <c r="A9648" s="9" t="s">
        <v>27473</v>
      </c>
      <c r="B9648" s="9" t="s">
        <v>8234</v>
      </c>
      <c r="C9648" s="11" t="s">
        <v>28</v>
      </c>
      <c r="D9648" s="9" t="s">
        <v>8235</v>
      </c>
      <c r="E9648" s="11" t="s">
        <v>28</v>
      </c>
      <c r="F9648" s="10" t="s">
        <v>28</v>
      </c>
      <c r="G9648" s="10">
        <v>0.2</v>
      </c>
      <c r="H9648" s="10" t="s">
        <v>28</v>
      </c>
      <c r="I9648" s="11" t="s">
        <v>28</v>
      </c>
      <c r="J9648" s="11" t="s">
        <v>28</v>
      </c>
      <c r="K9648" s="11" t="s">
        <v>28</v>
      </c>
      <c r="L9648" s="11" t="s">
        <v>28</v>
      </c>
      <c r="M9648" s="11" t="s">
        <v>28</v>
      </c>
      <c r="N9648" s="8">
        <v>42264</v>
      </c>
      <c r="O9648" s="9" t="s">
        <v>99</v>
      </c>
      <c r="P9648" s="12" t="s">
        <v>27474</v>
      </c>
      <c r="Q9648" s="9" t="s">
        <v>75</v>
      </c>
      <c r="R9648" s="14" t="str">
        <f>HYPERLINK("https://my.pitchbook.com?c=207642-70T","View Company Online")</f>
        <v>View Company Online</v>
      </c>
    </row>
    <row r="9649" spans="1:18" hidden="1" x14ac:dyDescent="0.3">
      <c r="A9649" s="15" t="s">
        <v>27475</v>
      </c>
      <c r="B9649" s="15" t="s">
        <v>27476</v>
      </c>
      <c r="C9649" s="18" t="s">
        <v>28</v>
      </c>
      <c r="D9649" s="15" t="s">
        <v>27477</v>
      </c>
      <c r="E9649" s="18" t="s">
        <v>28</v>
      </c>
      <c r="F9649" s="19">
        <v>40.75</v>
      </c>
      <c r="G9649" s="19">
        <v>40.75</v>
      </c>
      <c r="H9649" s="19">
        <v>40.75</v>
      </c>
      <c r="I9649" s="18" t="s">
        <v>28</v>
      </c>
      <c r="J9649" s="18" t="s">
        <v>28</v>
      </c>
      <c r="K9649" s="18" t="s">
        <v>28</v>
      </c>
      <c r="L9649" s="18" t="s">
        <v>28</v>
      </c>
      <c r="M9649" s="18" t="s">
        <v>28</v>
      </c>
      <c r="N9649" s="17">
        <v>42263</v>
      </c>
      <c r="O9649" s="15" t="s">
        <v>30</v>
      </c>
      <c r="P9649" s="16" t="s">
        <v>27478</v>
      </c>
      <c r="Q9649" s="15" t="s">
        <v>900</v>
      </c>
      <c r="R9649" s="13" t="str">
        <f>HYPERLINK("https://my.pitchbook.com?c=73659-70T","View Company Online")</f>
        <v>View Company Online</v>
      </c>
    </row>
    <row r="9650" spans="1:18" hidden="1" x14ac:dyDescent="0.3">
      <c r="A9650" s="9" t="s">
        <v>27479</v>
      </c>
      <c r="B9650" s="9" t="s">
        <v>15786</v>
      </c>
      <c r="C9650" s="11" t="s">
        <v>28</v>
      </c>
      <c r="D9650" s="9" t="s">
        <v>15787</v>
      </c>
      <c r="E9650" s="11" t="s">
        <v>28</v>
      </c>
      <c r="F9650" s="10" t="s">
        <v>28</v>
      </c>
      <c r="G9650" s="10">
        <v>0.18</v>
      </c>
      <c r="H9650" s="10">
        <v>2.5099999999999998</v>
      </c>
      <c r="I9650" s="11" t="s">
        <v>28</v>
      </c>
      <c r="J9650" s="11" t="s">
        <v>28</v>
      </c>
      <c r="K9650" s="11" t="s">
        <v>28</v>
      </c>
      <c r="L9650" s="11" t="s">
        <v>28</v>
      </c>
      <c r="M9650" s="11" t="s">
        <v>28</v>
      </c>
      <c r="N9650" s="8">
        <v>42262</v>
      </c>
      <c r="O9650" s="9" t="s">
        <v>52</v>
      </c>
      <c r="P9650" s="12" t="s">
        <v>27480</v>
      </c>
      <c r="Q9650" s="9" t="s">
        <v>5628</v>
      </c>
      <c r="R9650" s="14" t="str">
        <f>HYPERLINK("https://my.pitchbook.com?c=69593-32T","View Company Online")</f>
        <v>View Company Online</v>
      </c>
    </row>
    <row r="9651" spans="1:18" hidden="1" x14ac:dyDescent="0.3">
      <c r="A9651" s="15" t="s">
        <v>27481</v>
      </c>
      <c r="B9651" s="15" t="s">
        <v>27482</v>
      </c>
      <c r="C9651" s="18" t="s">
        <v>28</v>
      </c>
      <c r="D9651" s="15" t="s">
        <v>27483</v>
      </c>
      <c r="E9651" s="18" t="s">
        <v>28</v>
      </c>
      <c r="F9651" s="19">
        <v>327.67</v>
      </c>
      <c r="G9651" s="19">
        <v>167.11</v>
      </c>
      <c r="H9651" s="19">
        <v>327.67</v>
      </c>
      <c r="I9651" s="18" t="s">
        <v>28</v>
      </c>
      <c r="J9651" s="18" t="s">
        <v>28</v>
      </c>
      <c r="K9651" s="18">
        <v>150.11000000000001</v>
      </c>
      <c r="L9651" s="18">
        <v>2.1800000000000002</v>
      </c>
      <c r="M9651" s="18" t="s">
        <v>28</v>
      </c>
      <c r="N9651" s="17">
        <v>42257</v>
      </c>
      <c r="O9651" s="15" t="s">
        <v>30</v>
      </c>
      <c r="P9651" s="16" t="s">
        <v>28</v>
      </c>
      <c r="Q9651" s="15" t="s">
        <v>470</v>
      </c>
      <c r="R9651" s="13" t="str">
        <f>HYPERLINK("https://my.pitchbook.com?c=58291-03T","View Company Online")</f>
        <v>View Company Online</v>
      </c>
    </row>
    <row r="9652" spans="1:18" hidden="1" x14ac:dyDescent="0.3">
      <c r="A9652" s="9" t="s">
        <v>27484</v>
      </c>
      <c r="B9652" s="9" t="s">
        <v>27485</v>
      </c>
      <c r="C9652" s="11" t="s">
        <v>28</v>
      </c>
      <c r="D9652" s="9" t="s">
        <v>27486</v>
      </c>
      <c r="E9652" s="11" t="s">
        <v>28</v>
      </c>
      <c r="F9652" s="10" t="s">
        <v>28</v>
      </c>
      <c r="G9652" s="10" t="s">
        <v>28</v>
      </c>
      <c r="H9652" s="10" t="s">
        <v>28</v>
      </c>
      <c r="I9652" s="11" t="s">
        <v>28</v>
      </c>
      <c r="J9652" s="11" t="s">
        <v>28</v>
      </c>
      <c r="K9652" s="11" t="s">
        <v>28</v>
      </c>
      <c r="L9652" s="11" t="s">
        <v>28</v>
      </c>
      <c r="M9652" s="11" t="s">
        <v>28</v>
      </c>
      <c r="N9652" s="8">
        <v>42257</v>
      </c>
      <c r="O9652" s="9" t="s">
        <v>30</v>
      </c>
      <c r="P9652" s="12" t="s">
        <v>6183</v>
      </c>
      <c r="Q9652" s="9" t="s">
        <v>75</v>
      </c>
      <c r="R9652" s="14" t="str">
        <f>HYPERLINK("https://my.pitchbook.com?c=193045-33T","View Company Online")</f>
        <v>View Company Online</v>
      </c>
    </row>
    <row r="9653" spans="1:18" hidden="1" x14ac:dyDescent="0.3">
      <c r="A9653" s="15" t="s">
        <v>27487</v>
      </c>
      <c r="B9653" s="15" t="s">
        <v>16355</v>
      </c>
      <c r="C9653" s="18" t="s">
        <v>28</v>
      </c>
      <c r="D9653" s="15" t="s">
        <v>16356</v>
      </c>
      <c r="E9653" s="18" t="s">
        <v>28</v>
      </c>
      <c r="F9653" s="19" t="s">
        <v>28</v>
      </c>
      <c r="G9653" s="19">
        <v>0.02</v>
      </c>
      <c r="H9653" s="19" t="s">
        <v>28</v>
      </c>
      <c r="I9653" s="18" t="s">
        <v>28</v>
      </c>
      <c r="J9653" s="18" t="s">
        <v>28</v>
      </c>
      <c r="K9653" s="18" t="s">
        <v>28</v>
      </c>
      <c r="L9653" s="18" t="s">
        <v>28</v>
      </c>
      <c r="M9653" s="18" t="s">
        <v>28</v>
      </c>
      <c r="N9653" s="17">
        <v>42256</v>
      </c>
      <c r="O9653" s="15" t="s">
        <v>8420</v>
      </c>
      <c r="P9653" s="16" t="s">
        <v>28</v>
      </c>
      <c r="Q9653" s="15" t="s">
        <v>85</v>
      </c>
      <c r="R9653" s="13" t="str">
        <f>HYPERLINK("https://my.pitchbook.com?c=155898-01T","View Company Online")</f>
        <v>View Company Online</v>
      </c>
    </row>
    <row r="9654" spans="1:18" hidden="1" x14ac:dyDescent="0.3">
      <c r="A9654" s="9" t="s">
        <v>27488</v>
      </c>
      <c r="B9654" s="9" t="s">
        <v>27489</v>
      </c>
      <c r="C9654" s="11" t="s">
        <v>28</v>
      </c>
      <c r="D9654" s="9" t="s">
        <v>27490</v>
      </c>
      <c r="E9654" s="11" t="s">
        <v>28</v>
      </c>
      <c r="F9654" s="10" t="s">
        <v>28</v>
      </c>
      <c r="G9654" s="10" t="s">
        <v>28</v>
      </c>
      <c r="H9654" s="10" t="s">
        <v>28</v>
      </c>
      <c r="I9654" s="11" t="s">
        <v>28</v>
      </c>
      <c r="J9654" s="11" t="s">
        <v>28</v>
      </c>
      <c r="K9654" s="11" t="s">
        <v>28</v>
      </c>
      <c r="L9654" s="11" t="s">
        <v>28</v>
      </c>
      <c r="M9654" s="11" t="s">
        <v>28</v>
      </c>
      <c r="N9654" s="8">
        <v>42254</v>
      </c>
      <c r="O9654" s="9" t="s">
        <v>30</v>
      </c>
      <c r="P9654" s="12" t="s">
        <v>3052</v>
      </c>
      <c r="Q9654" s="9" t="s">
        <v>37</v>
      </c>
      <c r="R9654" s="14" t="str">
        <f>HYPERLINK("https://my.pitchbook.com?c=60925-69T","View Company Online")</f>
        <v>View Company Online</v>
      </c>
    </row>
    <row r="9655" spans="1:18" hidden="1" x14ac:dyDescent="0.3">
      <c r="A9655" s="15" t="s">
        <v>27491</v>
      </c>
      <c r="B9655" s="15" t="s">
        <v>4089</v>
      </c>
      <c r="C9655" s="18" t="s">
        <v>28</v>
      </c>
      <c r="D9655" s="15" t="s">
        <v>4090</v>
      </c>
      <c r="E9655" s="18" t="s">
        <v>28</v>
      </c>
      <c r="F9655" s="19" t="s">
        <v>28</v>
      </c>
      <c r="G9655" s="19">
        <v>1</v>
      </c>
      <c r="H9655" s="19" t="s">
        <v>28</v>
      </c>
      <c r="I9655" s="18" t="s">
        <v>28</v>
      </c>
      <c r="J9655" s="18" t="s">
        <v>28</v>
      </c>
      <c r="K9655" s="18" t="s">
        <v>28</v>
      </c>
      <c r="L9655" s="18" t="s">
        <v>28</v>
      </c>
      <c r="M9655" s="18" t="s">
        <v>28</v>
      </c>
      <c r="N9655" s="17">
        <v>42251</v>
      </c>
      <c r="O9655" s="15" t="s">
        <v>73</v>
      </c>
      <c r="P9655" s="16" t="s">
        <v>19170</v>
      </c>
      <c r="Q9655" s="15" t="s">
        <v>75</v>
      </c>
      <c r="R9655" s="13" t="str">
        <f>HYPERLINK("https://my.pitchbook.com?c=302158-63T","View Company Online")</f>
        <v>View Company Online</v>
      </c>
    </row>
    <row r="9656" spans="1:18" hidden="1" x14ac:dyDescent="0.3">
      <c r="A9656" s="9" t="s">
        <v>27492</v>
      </c>
      <c r="B9656" s="9" t="s">
        <v>27493</v>
      </c>
      <c r="C9656" s="11" t="s">
        <v>28</v>
      </c>
      <c r="D9656" s="9" t="s">
        <v>27494</v>
      </c>
      <c r="E9656" s="11" t="s">
        <v>28</v>
      </c>
      <c r="F9656" s="10">
        <v>25.63</v>
      </c>
      <c r="G9656" s="10">
        <v>25.63</v>
      </c>
      <c r="H9656" s="10">
        <v>25.63</v>
      </c>
      <c r="I9656" s="11" t="s">
        <v>28</v>
      </c>
      <c r="J9656" s="11" t="s">
        <v>28</v>
      </c>
      <c r="K9656" s="11" t="s">
        <v>28</v>
      </c>
      <c r="L9656" s="11" t="s">
        <v>28</v>
      </c>
      <c r="M9656" s="11" t="s">
        <v>28</v>
      </c>
      <c r="N9656" s="8">
        <v>42250</v>
      </c>
      <c r="O9656" s="9" t="s">
        <v>30</v>
      </c>
      <c r="P9656" s="12" t="s">
        <v>2330</v>
      </c>
      <c r="Q9656" s="9" t="s">
        <v>43</v>
      </c>
      <c r="R9656" s="14" t="str">
        <f>HYPERLINK("https://my.pitchbook.com?c=211622-14T","View Company Online")</f>
        <v>View Company Online</v>
      </c>
    </row>
    <row r="9657" spans="1:18" hidden="1" x14ac:dyDescent="0.3">
      <c r="A9657" s="15" t="s">
        <v>27495</v>
      </c>
      <c r="B9657" s="15" t="s">
        <v>27496</v>
      </c>
      <c r="C9657" s="18" t="s">
        <v>28</v>
      </c>
      <c r="D9657" s="15" t="s">
        <v>27497</v>
      </c>
      <c r="E9657" s="18" t="s">
        <v>28</v>
      </c>
      <c r="F9657" s="19" t="s">
        <v>28</v>
      </c>
      <c r="G9657" s="19" t="s">
        <v>28</v>
      </c>
      <c r="H9657" s="19" t="s">
        <v>28</v>
      </c>
      <c r="I9657" s="18" t="s">
        <v>28</v>
      </c>
      <c r="J9657" s="18" t="s">
        <v>28</v>
      </c>
      <c r="K9657" s="18" t="s">
        <v>28</v>
      </c>
      <c r="L9657" s="18" t="s">
        <v>28</v>
      </c>
      <c r="M9657" s="18" t="s">
        <v>28</v>
      </c>
      <c r="N9657" s="17">
        <v>42250</v>
      </c>
      <c r="O9657" s="15" t="s">
        <v>30</v>
      </c>
      <c r="P9657" s="16" t="s">
        <v>27498</v>
      </c>
      <c r="Q9657" s="15" t="s">
        <v>75</v>
      </c>
      <c r="R9657" s="13" t="str">
        <f>HYPERLINK("https://my.pitchbook.com?c=112102-57T","View Company Online")</f>
        <v>View Company Online</v>
      </c>
    </row>
    <row r="9658" spans="1:18" hidden="1" x14ac:dyDescent="0.3">
      <c r="A9658" s="9" t="s">
        <v>27499</v>
      </c>
      <c r="B9658" s="9" t="s">
        <v>27500</v>
      </c>
      <c r="C9658" s="11" t="s">
        <v>28</v>
      </c>
      <c r="D9658" s="9" t="s">
        <v>27501</v>
      </c>
      <c r="E9658" s="11" t="s">
        <v>28</v>
      </c>
      <c r="F9658" s="10" t="s">
        <v>28</v>
      </c>
      <c r="G9658" s="10" t="s">
        <v>28</v>
      </c>
      <c r="H9658" s="10" t="s">
        <v>28</v>
      </c>
      <c r="I9658" s="11" t="s">
        <v>28</v>
      </c>
      <c r="J9658" s="11" t="s">
        <v>28</v>
      </c>
      <c r="K9658" s="11" t="s">
        <v>28</v>
      </c>
      <c r="L9658" s="11" t="s">
        <v>28</v>
      </c>
      <c r="M9658" s="11" t="s">
        <v>28</v>
      </c>
      <c r="N9658" s="8">
        <v>42248</v>
      </c>
      <c r="O9658" s="9" t="s">
        <v>30</v>
      </c>
      <c r="P9658" s="12" t="s">
        <v>27502</v>
      </c>
      <c r="Q9658" s="9" t="s">
        <v>5347</v>
      </c>
      <c r="R9658" s="14" t="str">
        <f>HYPERLINK("https://my.pitchbook.com?c=74289-16T","View Company Online")</f>
        <v>View Company Online</v>
      </c>
    </row>
    <row r="9659" spans="1:18" hidden="1" x14ac:dyDescent="0.3">
      <c r="A9659" s="15" t="s">
        <v>27503</v>
      </c>
      <c r="B9659" s="15" t="s">
        <v>27504</v>
      </c>
      <c r="C9659" s="18" t="s">
        <v>28</v>
      </c>
      <c r="D9659" s="15" t="s">
        <v>27505</v>
      </c>
      <c r="E9659" s="18" t="s">
        <v>28</v>
      </c>
      <c r="F9659" s="19" t="s">
        <v>28</v>
      </c>
      <c r="G9659" s="19">
        <v>2.87</v>
      </c>
      <c r="H9659" s="19" t="s">
        <v>28</v>
      </c>
      <c r="I9659" s="18" t="s">
        <v>28</v>
      </c>
      <c r="J9659" s="18" t="s">
        <v>28</v>
      </c>
      <c r="K9659" s="18" t="s">
        <v>28</v>
      </c>
      <c r="L9659" s="18" t="s">
        <v>28</v>
      </c>
      <c r="M9659" s="18" t="s">
        <v>28</v>
      </c>
      <c r="N9659" s="17">
        <v>42248</v>
      </c>
      <c r="O9659" s="15" t="s">
        <v>93</v>
      </c>
      <c r="P9659" s="16" t="s">
        <v>26574</v>
      </c>
      <c r="Q9659" s="15" t="s">
        <v>136</v>
      </c>
      <c r="R9659" s="13" t="str">
        <f>HYPERLINK("https://my.pitchbook.com?c=92863-90T","View Company Online")</f>
        <v>View Company Online</v>
      </c>
    </row>
    <row r="9660" spans="1:18" hidden="1" x14ac:dyDescent="0.3">
      <c r="A9660" s="9" t="s">
        <v>27506</v>
      </c>
      <c r="B9660" s="9" t="s">
        <v>11521</v>
      </c>
      <c r="C9660" s="11" t="s">
        <v>28</v>
      </c>
      <c r="D9660" s="9" t="s">
        <v>11522</v>
      </c>
      <c r="E9660" s="11" t="s">
        <v>28</v>
      </c>
      <c r="F9660" s="10" t="s">
        <v>28</v>
      </c>
      <c r="G9660" s="10">
        <v>1.1499999999999999</v>
      </c>
      <c r="H9660" s="10" t="s">
        <v>28</v>
      </c>
      <c r="I9660" s="11" t="s">
        <v>28</v>
      </c>
      <c r="J9660" s="11" t="s">
        <v>28</v>
      </c>
      <c r="K9660" s="11" t="s">
        <v>28</v>
      </c>
      <c r="L9660" s="11" t="s">
        <v>28</v>
      </c>
      <c r="M9660" s="11" t="s">
        <v>28</v>
      </c>
      <c r="N9660" s="8">
        <v>42248</v>
      </c>
      <c r="O9660" s="9" t="s">
        <v>99</v>
      </c>
      <c r="P9660" s="12" t="s">
        <v>27507</v>
      </c>
      <c r="Q9660" s="9" t="s">
        <v>75</v>
      </c>
      <c r="R9660" s="14" t="str">
        <f>HYPERLINK("https://my.pitchbook.com?c=133414-57T","View Company Online")</f>
        <v>View Company Online</v>
      </c>
    </row>
    <row r="9661" spans="1:18" hidden="1" x14ac:dyDescent="0.3">
      <c r="A9661" s="15" t="s">
        <v>27508</v>
      </c>
      <c r="B9661" s="15" t="s">
        <v>19518</v>
      </c>
      <c r="C9661" s="18" t="s">
        <v>28</v>
      </c>
      <c r="D9661" s="15" t="s">
        <v>19519</v>
      </c>
      <c r="E9661" s="18" t="s">
        <v>28</v>
      </c>
      <c r="F9661" s="19" t="s">
        <v>28</v>
      </c>
      <c r="G9661" s="19">
        <v>0.08</v>
      </c>
      <c r="H9661" s="19">
        <v>0.53</v>
      </c>
      <c r="I9661" s="18" t="s">
        <v>28</v>
      </c>
      <c r="J9661" s="18" t="s">
        <v>28</v>
      </c>
      <c r="K9661" s="18" t="s">
        <v>28</v>
      </c>
      <c r="L9661" s="18" t="s">
        <v>28</v>
      </c>
      <c r="M9661" s="18" t="s">
        <v>28</v>
      </c>
      <c r="N9661" s="17">
        <v>42248</v>
      </c>
      <c r="O9661" s="15" t="s">
        <v>99</v>
      </c>
      <c r="P9661" s="16" t="s">
        <v>17062</v>
      </c>
      <c r="Q9661" s="15" t="s">
        <v>3912</v>
      </c>
      <c r="R9661" s="13" t="str">
        <f>HYPERLINK("https://my.pitchbook.com?c=225016-84T","View Company Online")</f>
        <v>View Company Online</v>
      </c>
    </row>
    <row r="9662" spans="1:18" hidden="1" x14ac:dyDescent="0.3">
      <c r="A9662" s="9" t="s">
        <v>27509</v>
      </c>
      <c r="B9662" s="9" t="s">
        <v>22224</v>
      </c>
      <c r="C9662" s="11" t="s">
        <v>28</v>
      </c>
      <c r="D9662" s="9" t="s">
        <v>22225</v>
      </c>
      <c r="E9662" s="11" t="s">
        <v>28</v>
      </c>
      <c r="F9662" s="10" t="s">
        <v>28</v>
      </c>
      <c r="G9662" s="10">
        <v>0.16</v>
      </c>
      <c r="H9662" s="10" t="s">
        <v>28</v>
      </c>
      <c r="I9662" s="11" t="s">
        <v>28</v>
      </c>
      <c r="J9662" s="11" t="s">
        <v>28</v>
      </c>
      <c r="K9662" s="11" t="s">
        <v>28</v>
      </c>
      <c r="L9662" s="11" t="s">
        <v>28</v>
      </c>
      <c r="M9662" s="11" t="s">
        <v>28</v>
      </c>
      <c r="N9662" s="8">
        <v>42248</v>
      </c>
      <c r="O9662" s="9" t="s">
        <v>99</v>
      </c>
      <c r="P9662" s="12" t="s">
        <v>28</v>
      </c>
      <c r="Q9662" s="9" t="s">
        <v>2916</v>
      </c>
      <c r="R9662" s="14" t="str">
        <f>HYPERLINK("https://my.pitchbook.com?c=125987-41T","View Company Online")</f>
        <v>View Company Online</v>
      </c>
    </row>
    <row r="9663" spans="1:18" hidden="1" x14ac:dyDescent="0.3">
      <c r="A9663" s="15" t="s">
        <v>27510</v>
      </c>
      <c r="B9663" s="15" t="s">
        <v>27511</v>
      </c>
      <c r="C9663" s="18" t="s">
        <v>28</v>
      </c>
      <c r="D9663" s="15" t="s">
        <v>27512</v>
      </c>
      <c r="E9663" s="18" t="s">
        <v>28</v>
      </c>
      <c r="F9663" s="19" t="s">
        <v>28</v>
      </c>
      <c r="G9663" s="19">
        <v>0.05</v>
      </c>
      <c r="H9663" s="19" t="s">
        <v>28</v>
      </c>
      <c r="I9663" s="18" t="s">
        <v>28</v>
      </c>
      <c r="J9663" s="18" t="s">
        <v>28</v>
      </c>
      <c r="K9663" s="18" t="s">
        <v>28</v>
      </c>
      <c r="L9663" s="18" t="s">
        <v>28</v>
      </c>
      <c r="M9663" s="18" t="s">
        <v>28</v>
      </c>
      <c r="N9663" s="17">
        <v>42248</v>
      </c>
      <c r="O9663" s="15" t="s">
        <v>52</v>
      </c>
      <c r="P9663" s="16" t="s">
        <v>27513</v>
      </c>
      <c r="Q9663" s="15" t="s">
        <v>37</v>
      </c>
      <c r="R9663" s="13" t="str">
        <f>HYPERLINK("https://my.pitchbook.com?c=93602-62T","View Company Online")</f>
        <v>View Company Online</v>
      </c>
    </row>
    <row r="9664" spans="1:18" hidden="1" x14ac:dyDescent="0.3">
      <c r="A9664" s="9" t="s">
        <v>27514</v>
      </c>
      <c r="B9664" s="9" t="s">
        <v>27515</v>
      </c>
      <c r="C9664" s="11" t="s">
        <v>28</v>
      </c>
      <c r="D9664" s="9" t="s">
        <v>27516</v>
      </c>
      <c r="E9664" s="11" t="s">
        <v>28</v>
      </c>
      <c r="F9664" s="10">
        <v>27.59</v>
      </c>
      <c r="G9664" s="10">
        <v>27.59</v>
      </c>
      <c r="H9664" s="10">
        <v>27.59</v>
      </c>
      <c r="I9664" s="11" t="s">
        <v>28</v>
      </c>
      <c r="J9664" s="11" t="s">
        <v>28</v>
      </c>
      <c r="K9664" s="11">
        <v>60.04</v>
      </c>
      <c r="L9664" s="11">
        <v>0.46</v>
      </c>
      <c r="M9664" s="11" t="s">
        <v>28</v>
      </c>
      <c r="N9664" s="8">
        <v>42248</v>
      </c>
      <c r="O9664" s="9" t="s">
        <v>30</v>
      </c>
      <c r="P9664" s="12" t="s">
        <v>27517</v>
      </c>
      <c r="Q9664" s="9" t="s">
        <v>3048</v>
      </c>
      <c r="R9664" s="14" t="str">
        <f>HYPERLINK("https://my.pitchbook.com?c=48277-27T","View Company Online")</f>
        <v>View Company Online</v>
      </c>
    </row>
    <row r="9665" spans="1:18" hidden="1" x14ac:dyDescent="0.3">
      <c r="A9665" s="15" t="s">
        <v>27518</v>
      </c>
      <c r="B9665" s="15" t="s">
        <v>25463</v>
      </c>
      <c r="C9665" s="18" t="s">
        <v>28</v>
      </c>
      <c r="D9665" s="15" t="s">
        <v>25464</v>
      </c>
      <c r="E9665" s="18" t="s">
        <v>28</v>
      </c>
      <c r="F9665" s="19" t="s">
        <v>28</v>
      </c>
      <c r="G9665" s="19" t="s">
        <v>28</v>
      </c>
      <c r="H9665" s="19" t="s">
        <v>28</v>
      </c>
      <c r="I9665" s="18" t="s">
        <v>28</v>
      </c>
      <c r="J9665" s="18" t="s">
        <v>28</v>
      </c>
      <c r="K9665" s="18" t="s">
        <v>28</v>
      </c>
      <c r="L9665" s="18" t="s">
        <v>28</v>
      </c>
      <c r="M9665" s="18" t="s">
        <v>28</v>
      </c>
      <c r="N9665" s="17">
        <v>42248</v>
      </c>
      <c r="O9665" s="15" t="s">
        <v>73</v>
      </c>
      <c r="P9665" s="16" t="s">
        <v>27519</v>
      </c>
      <c r="Q9665" s="15" t="s">
        <v>404</v>
      </c>
      <c r="R9665" s="13" t="str">
        <f>HYPERLINK("https://my.pitchbook.com?c=33894-37T","View Company Online")</f>
        <v>View Company Online</v>
      </c>
    </row>
    <row r="9666" spans="1:18" hidden="1" x14ac:dyDescent="0.3">
      <c r="A9666" s="9" t="s">
        <v>27520</v>
      </c>
      <c r="B9666" s="9" t="s">
        <v>27521</v>
      </c>
      <c r="C9666" s="11" t="s">
        <v>28</v>
      </c>
      <c r="D9666" s="9" t="s">
        <v>27522</v>
      </c>
      <c r="E9666" s="11" t="s">
        <v>28</v>
      </c>
      <c r="F9666" s="10" t="s">
        <v>28</v>
      </c>
      <c r="G9666" s="10" t="s">
        <v>28</v>
      </c>
      <c r="H9666" s="10" t="s">
        <v>28</v>
      </c>
      <c r="I9666" s="11" t="s">
        <v>28</v>
      </c>
      <c r="J9666" s="11" t="s">
        <v>28</v>
      </c>
      <c r="K9666" s="11" t="s">
        <v>28</v>
      </c>
      <c r="L9666" s="11" t="s">
        <v>28</v>
      </c>
      <c r="M9666" s="11" t="s">
        <v>28</v>
      </c>
      <c r="N9666" s="8">
        <v>42248</v>
      </c>
      <c r="O9666" s="9" t="s">
        <v>30</v>
      </c>
      <c r="P9666" s="12" t="s">
        <v>864</v>
      </c>
      <c r="Q9666" s="9" t="s">
        <v>692</v>
      </c>
      <c r="R9666" s="14" t="str">
        <f>HYPERLINK("https://my.pitchbook.com?c=112183-03T","View Company Online")</f>
        <v>View Company Online</v>
      </c>
    </row>
    <row r="9667" spans="1:18" hidden="1" x14ac:dyDescent="0.3">
      <c r="A9667" s="15" t="s">
        <v>27523</v>
      </c>
      <c r="B9667" s="15" t="s">
        <v>24186</v>
      </c>
      <c r="C9667" s="18" t="s">
        <v>28</v>
      </c>
      <c r="D9667" s="15" t="s">
        <v>24187</v>
      </c>
      <c r="E9667" s="18" t="s">
        <v>28</v>
      </c>
      <c r="F9667" s="19" t="s">
        <v>28</v>
      </c>
      <c r="G9667" s="19">
        <v>2.9</v>
      </c>
      <c r="H9667" s="19">
        <v>9.9</v>
      </c>
      <c r="I9667" s="18" t="s">
        <v>28</v>
      </c>
      <c r="J9667" s="18" t="s">
        <v>28</v>
      </c>
      <c r="K9667" s="18" t="s">
        <v>28</v>
      </c>
      <c r="L9667" s="18" t="s">
        <v>28</v>
      </c>
      <c r="M9667" s="18" t="s">
        <v>28</v>
      </c>
      <c r="N9667" s="17">
        <v>42247</v>
      </c>
      <c r="O9667" s="15" t="s">
        <v>73</v>
      </c>
      <c r="P9667" s="16" t="s">
        <v>28</v>
      </c>
      <c r="Q9667" s="15" t="s">
        <v>54</v>
      </c>
      <c r="R9667" s="13" t="str">
        <f>HYPERLINK("https://my.pitchbook.com?c=66152-08T","View Company Online")</f>
        <v>View Company Online</v>
      </c>
    </row>
    <row r="9668" spans="1:18" hidden="1" x14ac:dyDescent="0.3">
      <c r="A9668" s="9" t="s">
        <v>27524</v>
      </c>
      <c r="B9668" s="9" t="s">
        <v>2679</v>
      </c>
      <c r="C9668" s="11" t="s">
        <v>28</v>
      </c>
      <c r="D9668" s="9" t="s">
        <v>17437</v>
      </c>
      <c r="E9668" s="11" t="s">
        <v>28</v>
      </c>
      <c r="F9668" s="10" t="s">
        <v>28</v>
      </c>
      <c r="G9668" s="10" t="s">
        <v>28</v>
      </c>
      <c r="H9668" s="10" t="s">
        <v>28</v>
      </c>
      <c r="I9668" s="11" t="s">
        <v>28</v>
      </c>
      <c r="J9668" s="11" t="s">
        <v>28</v>
      </c>
      <c r="K9668" s="11" t="s">
        <v>28</v>
      </c>
      <c r="L9668" s="11" t="s">
        <v>28</v>
      </c>
      <c r="M9668" s="11" t="s">
        <v>28</v>
      </c>
      <c r="N9668" s="8">
        <v>42247</v>
      </c>
      <c r="O9668" s="9" t="s">
        <v>99</v>
      </c>
      <c r="P9668" s="12" t="s">
        <v>27525</v>
      </c>
      <c r="Q9668" s="9" t="s">
        <v>37</v>
      </c>
      <c r="R9668" s="14" t="str">
        <f>HYPERLINK("https://my.pitchbook.com?c=56855-26T","View Company Online")</f>
        <v>View Company Online</v>
      </c>
    </row>
    <row r="9669" spans="1:18" hidden="1" x14ac:dyDescent="0.3">
      <c r="A9669" s="15" t="s">
        <v>27526</v>
      </c>
      <c r="B9669" s="15" t="s">
        <v>27527</v>
      </c>
      <c r="C9669" s="18" t="s">
        <v>28</v>
      </c>
      <c r="D9669" s="15" t="s">
        <v>27528</v>
      </c>
      <c r="E9669" s="18" t="s">
        <v>28</v>
      </c>
      <c r="F9669" s="19">
        <v>117.82</v>
      </c>
      <c r="G9669" s="19">
        <v>60.09</v>
      </c>
      <c r="H9669" s="19">
        <v>117.82</v>
      </c>
      <c r="I9669" s="18" t="s">
        <v>28</v>
      </c>
      <c r="J9669" s="18" t="s">
        <v>28</v>
      </c>
      <c r="K9669" s="18" t="s">
        <v>28</v>
      </c>
      <c r="L9669" s="18" t="s">
        <v>28</v>
      </c>
      <c r="M9669" s="18" t="s">
        <v>28</v>
      </c>
      <c r="N9669" s="17">
        <v>42247</v>
      </c>
      <c r="O9669" s="15" t="s">
        <v>30</v>
      </c>
      <c r="P9669" s="16" t="s">
        <v>27529</v>
      </c>
      <c r="Q9669" s="15" t="s">
        <v>1068</v>
      </c>
      <c r="R9669" s="13" t="str">
        <f>HYPERLINK("https://my.pitchbook.com?c=116924-05T","View Company Online")</f>
        <v>View Company Online</v>
      </c>
    </row>
    <row r="9670" spans="1:18" hidden="1" x14ac:dyDescent="0.3">
      <c r="A9670" s="9" t="s">
        <v>27530</v>
      </c>
      <c r="B9670" s="9" t="s">
        <v>5931</v>
      </c>
      <c r="C9670" s="11" t="s">
        <v>28</v>
      </c>
      <c r="D9670" s="9" t="s">
        <v>5932</v>
      </c>
      <c r="E9670" s="11" t="s">
        <v>28</v>
      </c>
      <c r="F9670" s="10" t="s">
        <v>28</v>
      </c>
      <c r="G9670" s="10">
        <v>0.04</v>
      </c>
      <c r="H9670" s="10" t="s">
        <v>28</v>
      </c>
      <c r="I9670" s="11" t="s">
        <v>28</v>
      </c>
      <c r="J9670" s="11" t="s">
        <v>28</v>
      </c>
      <c r="K9670" s="11" t="s">
        <v>28</v>
      </c>
      <c r="L9670" s="11" t="s">
        <v>28</v>
      </c>
      <c r="M9670" s="11" t="s">
        <v>28</v>
      </c>
      <c r="N9670" s="8">
        <v>42245</v>
      </c>
      <c r="O9670" s="9" t="s">
        <v>52</v>
      </c>
      <c r="P9670" s="12" t="s">
        <v>2915</v>
      </c>
      <c r="Q9670" s="9" t="s">
        <v>75</v>
      </c>
      <c r="R9670" s="14" t="str">
        <f>HYPERLINK("https://my.pitchbook.com?c=92132-65T","View Company Online")</f>
        <v>View Company Online</v>
      </c>
    </row>
    <row r="9671" spans="1:18" hidden="1" x14ac:dyDescent="0.3">
      <c r="A9671" s="15" t="s">
        <v>27531</v>
      </c>
      <c r="B9671" s="15" t="s">
        <v>7709</v>
      </c>
      <c r="C9671" s="18" t="s">
        <v>28</v>
      </c>
      <c r="D9671" s="15" t="s">
        <v>7710</v>
      </c>
      <c r="E9671" s="18" t="s">
        <v>28</v>
      </c>
      <c r="F9671" s="19" t="s">
        <v>28</v>
      </c>
      <c r="G9671" s="19">
        <v>0.06</v>
      </c>
      <c r="H9671" s="19" t="s">
        <v>28</v>
      </c>
      <c r="I9671" s="18" t="s">
        <v>28</v>
      </c>
      <c r="J9671" s="18" t="s">
        <v>28</v>
      </c>
      <c r="K9671" s="18" t="s">
        <v>28</v>
      </c>
      <c r="L9671" s="18" t="s">
        <v>28</v>
      </c>
      <c r="M9671" s="18" t="s">
        <v>28</v>
      </c>
      <c r="N9671" s="17">
        <v>42244</v>
      </c>
      <c r="O9671" s="15" t="s">
        <v>52</v>
      </c>
      <c r="P9671" s="16" t="s">
        <v>27532</v>
      </c>
      <c r="Q9671" s="15" t="s">
        <v>75</v>
      </c>
      <c r="R9671" s="13" t="str">
        <f>HYPERLINK("https://my.pitchbook.com?c=133051-69T","View Company Online")</f>
        <v>View Company Online</v>
      </c>
    </row>
    <row r="9672" spans="1:18" hidden="1" x14ac:dyDescent="0.3">
      <c r="A9672" s="9" t="s">
        <v>27533</v>
      </c>
      <c r="B9672" s="9" t="s">
        <v>27534</v>
      </c>
      <c r="C9672" s="11" t="s">
        <v>28</v>
      </c>
      <c r="D9672" s="9" t="s">
        <v>27535</v>
      </c>
      <c r="E9672" s="11" t="s">
        <v>28</v>
      </c>
      <c r="F9672" s="10" t="s">
        <v>28</v>
      </c>
      <c r="G9672" s="10" t="s">
        <v>28</v>
      </c>
      <c r="H9672" s="10" t="s">
        <v>28</v>
      </c>
      <c r="I9672" s="11" t="s">
        <v>28</v>
      </c>
      <c r="J9672" s="11" t="s">
        <v>28</v>
      </c>
      <c r="K9672" s="11" t="s">
        <v>28</v>
      </c>
      <c r="L9672" s="11" t="s">
        <v>28</v>
      </c>
      <c r="M9672" s="11" t="s">
        <v>28</v>
      </c>
      <c r="N9672" s="8">
        <v>42244</v>
      </c>
      <c r="O9672" s="9" t="s">
        <v>52</v>
      </c>
      <c r="P9672" s="12" t="s">
        <v>11539</v>
      </c>
      <c r="Q9672" s="9" t="s">
        <v>235</v>
      </c>
      <c r="R9672" s="14" t="str">
        <f>HYPERLINK("https://my.pitchbook.com?c=134890-84T","View Company Online")</f>
        <v>View Company Online</v>
      </c>
    </row>
    <row r="9673" spans="1:18" hidden="1" x14ac:dyDescent="0.3">
      <c r="A9673" s="15" t="s">
        <v>27536</v>
      </c>
      <c r="B9673" s="15" t="s">
        <v>27537</v>
      </c>
      <c r="C9673" s="18" t="s">
        <v>28</v>
      </c>
      <c r="D9673" s="15" t="s">
        <v>27538</v>
      </c>
      <c r="E9673" s="18" t="s">
        <v>28</v>
      </c>
      <c r="F9673" s="19">
        <v>5.98</v>
      </c>
      <c r="G9673" s="19">
        <v>5.98</v>
      </c>
      <c r="H9673" s="19">
        <v>5.98</v>
      </c>
      <c r="I9673" s="18" t="s">
        <v>28</v>
      </c>
      <c r="J9673" s="18" t="s">
        <v>28</v>
      </c>
      <c r="K9673" s="18" t="s">
        <v>28</v>
      </c>
      <c r="L9673" s="18" t="s">
        <v>28</v>
      </c>
      <c r="M9673" s="18" t="s">
        <v>28</v>
      </c>
      <c r="N9673" s="17">
        <v>42244</v>
      </c>
      <c r="O9673" s="15" t="s">
        <v>30</v>
      </c>
      <c r="P9673" s="16" t="s">
        <v>516</v>
      </c>
      <c r="Q9673" s="15" t="s">
        <v>85</v>
      </c>
      <c r="R9673" s="13" t="str">
        <f>HYPERLINK("https://my.pitchbook.com?c=50267-98T","View Company Online")</f>
        <v>View Company Online</v>
      </c>
    </row>
    <row r="9674" spans="1:18" hidden="1" x14ac:dyDescent="0.3">
      <c r="A9674" s="9" t="s">
        <v>27539</v>
      </c>
      <c r="B9674" s="9" t="s">
        <v>27540</v>
      </c>
      <c r="C9674" s="11" t="s">
        <v>28</v>
      </c>
      <c r="D9674" s="9" t="s">
        <v>27541</v>
      </c>
      <c r="E9674" s="11" t="s">
        <v>28</v>
      </c>
      <c r="F9674" s="10" t="s">
        <v>28</v>
      </c>
      <c r="G9674" s="10">
        <v>5</v>
      </c>
      <c r="H9674" s="10" t="s">
        <v>28</v>
      </c>
      <c r="I9674" s="11" t="s">
        <v>28</v>
      </c>
      <c r="J9674" s="11" t="s">
        <v>28</v>
      </c>
      <c r="K9674" s="11" t="s">
        <v>28</v>
      </c>
      <c r="L9674" s="11" t="s">
        <v>28</v>
      </c>
      <c r="M9674" s="11" t="s">
        <v>28</v>
      </c>
      <c r="N9674" s="8">
        <v>42243</v>
      </c>
      <c r="O9674" s="9" t="s">
        <v>58</v>
      </c>
      <c r="P9674" s="12" t="s">
        <v>27542</v>
      </c>
      <c r="Q9674" s="9" t="s">
        <v>75</v>
      </c>
      <c r="R9674" s="14" t="str">
        <f>HYPERLINK("https://my.pitchbook.com?c=67524-49T","View Company Online")</f>
        <v>View Company Online</v>
      </c>
    </row>
    <row r="9675" spans="1:18" hidden="1" x14ac:dyDescent="0.3">
      <c r="A9675" s="15" t="s">
        <v>27543</v>
      </c>
      <c r="B9675" s="15" t="s">
        <v>27544</v>
      </c>
      <c r="C9675" s="18" t="s">
        <v>28</v>
      </c>
      <c r="D9675" s="15" t="s">
        <v>27545</v>
      </c>
      <c r="E9675" s="18" t="s">
        <v>28</v>
      </c>
      <c r="F9675" s="19" t="s">
        <v>28</v>
      </c>
      <c r="G9675" s="19" t="s">
        <v>28</v>
      </c>
      <c r="H9675" s="19" t="s">
        <v>28</v>
      </c>
      <c r="I9675" s="18" t="s">
        <v>28</v>
      </c>
      <c r="J9675" s="18" t="s">
        <v>28</v>
      </c>
      <c r="K9675" s="18" t="s">
        <v>28</v>
      </c>
      <c r="L9675" s="18" t="s">
        <v>28</v>
      </c>
      <c r="M9675" s="18" t="s">
        <v>28</v>
      </c>
      <c r="N9675" s="17">
        <v>42243</v>
      </c>
      <c r="O9675" s="15" t="s">
        <v>41</v>
      </c>
      <c r="P9675" s="16" t="s">
        <v>27546</v>
      </c>
      <c r="Q9675" s="15" t="s">
        <v>24243</v>
      </c>
      <c r="R9675" s="13" t="str">
        <f>HYPERLINK("https://my.pitchbook.com?c=57379-06T","View Company Online")</f>
        <v>View Company Online</v>
      </c>
    </row>
    <row r="9676" spans="1:18" hidden="1" x14ac:dyDescent="0.3">
      <c r="A9676" s="9" t="s">
        <v>27547</v>
      </c>
      <c r="B9676" s="9" t="s">
        <v>6254</v>
      </c>
      <c r="C9676" s="11" t="s">
        <v>28</v>
      </c>
      <c r="D9676" s="9" t="s">
        <v>6255</v>
      </c>
      <c r="E9676" s="11" t="s">
        <v>28</v>
      </c>
      <c r="F9676" s="10">
        <v>6.52</v>
      </c>
      <c r="G9676" s="10">
        <v>5.87</v>
      </c>
      <c r="H9676" s="10">
        <v>6.52</v>
      </c>
      <c r="I9676" s="11" t="s">
        <v>28</v>
      </c>
      <c r="J9676" s="11" t="s">
        <v>28</v>
      </c>
      <c r="K9676" s="11" t="s">
        <v>28</v>
      </c>
      <c r="L9676" s="11" t="s">
        <v>28</v>
      </c>
      <c r="M9676" s="11" t="s">
        <v>28</v>
      </c>
      <c r="N9676" s="8">
        <v>42241</v>
      </c>
      <c r="O9676" s="9" t="s">
        <v>41</v>
      </c>
      <c r="P9676" s="12" t="s">
        <v>27548</v>
      </c>
      <c r="Q9676" s="9" t="s">
        <v>136</v>
      </c>
      <c r="R9676" s="14" t="str">
        <f>HYPERLINK("https://my.pitchbook.com?c=97285-33T","View Company Online")</f>
        <v>View Company Online</v>
      </c>
    </row>
    <row r="9677" spans="1:18" hidden="1" x14ac:dyDescent="0.3">
      <c r="A9677" s="15" t="s">
        <v>27549</v>
      </c>
      <c r="B9677" s="15" t="s">
        <v>3467</v>
      </c>
      <c r="C9677" s="18" t="s">
        <v>28</v>
      </c>
      <c r="D9677" s="15" t="s">
        <v>3468</v>
      </c>
      <c r="E9677" s="18" t="s">
        <v>28</v>
      </c>
      <c r="F9677" s="19" t="s">
        <v>28</v>
      </c>
      <c r="G9677" s="19">
        <v>21.16</v>
      </c>
      <c r="H9677" s="19">
        <v>43.08</v>
      </c>
      <c r="I9677" s="18" t="s">
        <v>28</v>
      </c>
      <c r="J9677" s="18" t="s">
        <v>28</v>
      </c>
      <c r="K9677" s="18">
        <v>79.98</v>
      </c>
      <c r="L9677" s="18">
        <v>0.54</v>
      </c>
      <c r="M9677" s="18">
        <v>-51.7</v>
      </c>
      <c r="N9677" s="17">
        <v>42240</v>
      </c>
      <c r="O9677" s="15" t="s">
        <v>423</v>
      </c>
      <c r="P9677" s="16" t="s">
        <v>28</v>
      </c>
      <c r="Q9677" s="15" t="s">
        <v>59</v>
      </c>
      <c r="R9677" s="13" t="str">
        <f>HYPERLINK("https://my.pitchbook.com?c=58754-62T","View Company Online")</f>
        <v>View Company Online</v>
      </c>
    </row>
    <row r="9678" spans="1:18" hidden="1" x14ac:dyDescent="0.3">
      <c r="A9678" s="9" t="s">
        <v>27550</v>
      </c>
      <c r="B9678" s="9" t="s">
        <v>27551</v>
      </c>
      <c r="C9678" s="11" t="s">
        <v>28</v>
      </c>
      <c r="D9678" s="9" t="s">
        <v>27552</v>
      </c>
      <c r="E9678" s="11" t="s">
        <v>28</v>
      </c>
      <c r="F9678" s="10" t="s">
        <v>28</v>
      </c>
      <c r="G9678" s="10" t="s">
        <v>28</v>
      </c>
      <c r="H9678" s="10" t="s">
        <v>28</v>
      </c>
      <c r="I9678" s="11" t="s">
        <v>28</v>
      </c>
      <c r="J9678" s="11" t="s">
        <v>28</v>
      </c>
      <c r="K9678" s="11" t="s">
        <v>28</v>
      </c>
      <c r="L9678" s="11" t="s">
        <v>28</v>
      </c>
      <c r="M9678" s="11" t="s">
        <v>28</v>
      </c>
      <c r="N9678" s="8">
        <v>42240</v>
      </c>
      <c r="O9678" s="9" t="s">
        <v>41</v>
      </c>
      <c r="P9678" s="12" t="s">
        <v>18205</v>
      </c>
      <c r="Q9678" s="9" t="s">
        <v>8669</v>
      </c>
      <c r="R9678" s="14" t="str">
        <f>HYPERLINK("https://my.pitchbook.com?c=56472-13T","View Company Online")</f>
        <v>View Company Online</v>
      </c>
    </row>
    <row r="9679" spans="1:18" hidden="1" x14ac:dyDescent="0.3">
      <c r="A9679" s="15" t="s">
        <v>27553</v>
      </c>
      <c r="B9679" s="15" t="s">
        <v>16272</v>
      </c>
      <c r="C9679" s="18" t="s">
        <v>28</v>
      </c>
      <c r="D9679" s="15" t="s">
        <v>16273</v>
      </c>
      <c r="E9679" s="18" t="s">
        <v>28</v>
      </c>
      <c r="F9679" s="19" t="s">
        <v>28</v>
      </c>
      <c r="G9679" s="19">
        <v>14.74</v>
      </c>
      <c r="H9679" s="19" t="s">
        <v>28</v>
      </c>
      <c r="I9679" s="18" t="s">
        <v>28</v>
      </c>
      <c r="J9679" s="18" t="s">
        <v>28</v>
      </c>
      <c r="K9679" s="18">
        <v>23.1</v>
      </c>
      <c r="L9679" s="18" t="s">
        <v>28</v>
      </c>
      <c r="M9679" s="18" t="s">
        <v>28</v>
      </c>
      <c r="N9679" s="17">
        <v>42240</v>
      </c>
      <c r="O9679" s="15" t="s">
        <v>73</v>
      </c>
      <c r="P9679" s="16" t="s">
        <v>27554</v>
      </c>
      <c r="Q9679" s="15" t="s">
        <v>5347</v>
      </c>
      <c r="R9679" s="13" t="str">
        <f>HYPERLINK("https://my.pitchbook.com?c=56158-39T","View Company Online")</f>
        <v>View Company Online</v>
      </c>
    </row>
    <row r="9680" spans="1:18" hidden="1" x14ac:dyDescent="0.3">
      <c r="A9680" s="9" t="s">
        <v>27555</v>
      </c>
      <c r="B9680" s="9" t="s">
        <v>21655</v>
      </c>
      <c r="C9680" s="11" t="s">
        <v>28</v>
      </c>
      <c r="D9680" s="9" t="s">
        <v>21656</v>
      </c>
      <c r="E9680" s="11" t="s">
        <v>28</v>
      </c>
      <c r="F9680" s="10" t="s">
        <v>28</v>
      </c>
      <c r="G9680" s="10" t="s">
        <v>28</v>
      </c>
      <c r="H9680" s="10" t="s">
        <v>28</v>
      </c>
      <c r="I9680" s="11" t="s">
        <v>28</v>
      </c>
      <c r="J9680" s="11" t="s">
        <v>28</v>
      </c>
      <c r="K9680" s="11" t="s">
        <v>28</v>
      </c>
      <c r="L9680" s="11" t="s">
        <v>28</v>
      </c>
      <c r="M9680" s="11" t="s">
        <v>28</v>
      </c>
      <c r="N9680" s="8">
        <v>42237</v>
      </c>
      <c r="O9680" s="9" t="s">
        <v>79</v>
      </c>
      <c r="P9680" s="12" t="s">
        <v>27556</v>
      </c>
      <c r="Q9680" s="9" t="s">
        <v>75</v>
      </c>
      <c r="R9680" s="14" t="str">
        <f>HYPERLINK("https://my.pitchbook.com?c=119640-97T","View Company Online")</f>
        <v>View Company Online</v>
      </c>
    </row>
    <row r="9681" spans="1:18" hidden="1" x14ac:dyDescent="0.3">
      <c r="A9681" s="15" t="s">
        <v>27557</v>
      </c>
      <c r="B9681" s="15" t="s">
        <v>14560</v>
      </c>
      <c r="C9681" s="18" t="s">
        <v>28</v>
      </c>
      <c r="D9681" s="15" t="s">
        <v>14561</v>
      </c>
      <c r="E9681" s="18" t="s">
        <v>28</v>
      </c>
      <c r="F9681" s="19" t="s">
        <v>28</v>
      </c>
      <c r="G9681" s="19">
        <v>7</v>
      </c>
      <c r="H9681" s="19" t="s">
        <v>28</v>
      </c>
      <c r="I9681" s="18" t="s">
        <v>28</v>
      </c>
      <c r="J9681" s="18" t="s">
        <v>28</v>
      </c>
      <c r="K9681" s="18" t="s">
        <v>28</v>
      </c>
      <c r="L9681" s="18" t="s">
        <v>28</v>
      </c>
      <c r="M9681" s="18" t="s">
        <v>28</v>
      </c>
      <c r="N9681" s="17">
        <v>42237</v>
      </c>
      <c r="O9681" s="15" t="s">
        <v>73</v>
      </c>
      <c r="P9681" s="16" t="s">
        <v>27558</v>
      </c>
      <c r="Q9681" s="15" t="s">
        <v>37</v>
      </c>
      <c r="R9681" s="13" t="str">
        <f>HYPERLINK("https://my.pitchbook.com?c=48039-04T","View Company Online")</f>
        <v>View Company Online</v>
      </c>
    </row>
    <row r="9682" spans="1:18" hidden="1" x14ac:dyDescent="0.3">
      <c r="A9682" s="9" t="s">
        <v>27559</v>
      </c>
      <c r="B9682" s="9" t="s">
        <v>27560</v>
      </c>
      <c r="C9682" s="11" t="s">
        <v>28</v>
      </c>
      <c r="D9682" s="9" t="s">
        <v>27561</v>
      </c>
      <c r="E9682" s="11" t="s">
        <v>28</v>
      </c>
      <c r="F9682" s="10" t="s">
        <v>28</v>
      </c>
      <c r="G9682" s="10" t="s">
        <v>28</v>
      </c>
      <c r="H9682" s="10" t="s">
        <v>28</v>
      </c>
      <c r="I9682" s="11" t="s">
        <v>28</v>
      </c>
      <c r="J9682" s="11" t="s">
        <v>28</v>
      </c>
      <c r="K9682" s="11" t="s">
        <v>28</v>
      </c>
      <c r="L9682" s="11" t="s">
        <v>28</v>
      </c>
      <c r="M9682" s="11" t="s">
        <v>28</v>
      </c>
      <c r="N9682" s="8">
        <v>42237</v>
      </c>
      <c r="O9682" s="9" t="s">
        <v>30</v>
      </c>
      <c r="P9682" s="12" t="s">
        <v>27562</v>
      </c>
      <c r="Q9682" s="9" t="s">
        <v>136</v>
      </c>
      <c r="R9682" s="14" t="str">
        <f>HYPERLINK("https://my.pitchbook.com?c=56059-84T","View Company Online")</f>
        <v>View Company Online</v>
      </c>
    </row>
    <row r="9683" spans="1:18" hidden="1" x14ac:dyDescent="0.3">
      <c r="A9683" s="15" t="s">
        <v>27563</v>
      </c>
      <c r="B9683" s="15" t="s">
        <v>27564</v>
      </c>
      <c r="C9683" s="18" t="s">
        <v>28</v>
      </c>
      <c r="D9683" s="15" t="s">
        <v>27565</v>
      </c>
      <c r="E9683" s="18" t="s">
        <v>28</v>
      </c>
      <c r="F9683" s="19" t="s">
        <v>28</v>
      </c>
      <c r="G9683" s="19" t="s">
        <v>28</v>
      </c>
      <c r="H9683" s="19" t="s">
        <v>28</v>
      </c>
      <c r="I9683" s="18" t="s">
        <v>28</v>
      </c>
      <c r="J9683" s="18" t="s">
        <v>28</v>
      </c>
      <c r="K9683" s="18" t="s">
        <v>28</v>
      </c>
      <c r="L9683" s="18" t="s">
        <v>28</v>
      </c>
      <c r="M9683" s="18" t="s">
        <v>28</v>
      </c>
      <c r="N9683" s="17">
        <v>42237</v>
      </c>
      <c r="O9683" s="15" t="s">
        <v>30</v>
      </c>
      <c r="P9683" s="16" t="s">
        <v>27566</v>
      </c>
      <c r="Q9683" s="15" t="s">
        <v>353</v>
      </c>
      <c r="R9683" s="13" t="str">
        <f>HYPERLINK("https://my.pitchbook.com?c=56460-34T","View Company Online")</f>
        <v>View Company Online</v>
      </c>
    </row>
    <row r="9684" spans="1:18" hidden="1" x14ac:dyDescent="0.3">
      <c r="A9684" s="9" t="s">
        <v>27567</v>
      </c>
      <c r="B9684" s="9" t="s">
        <v>27568</v>
      </c>
      <c r="C9684" s="11" t="s">
        <v>28</v>
      </c>
      <c r="D9684" s="9" t="s">
        <v>27569</v>
      </c>
      <c r="E9684" s="11" t="s">
        <v>28</v>
      </c>
      <c r="F9684" s="10" t="s">
        <v>28</v>
      </c>
      <c r="G9684" s="10" t="s">
        <v>28</v>
      </c>
      <c r="H9684" s="10" t="s">
        <v>28</v>
      </c>
      <c r="I9684" s="11" t="s">
        <v>28</v>
      </c>
      <c r="J9684" s="11" t="s">
        <v>28</v>
      </c>
      <c r="K9684" s="11" t="s">
        <v>28</v>
      </c>
      <c r="L9684" s="11" t="s">
        <v>28</v>
      </c>
      <c r="M9684" s="11" t="s">
        <v>28</v>
      </c>
      <c r="N9684" s="8">
        <v>42236</v>
      </c>
      <c r="O9684" s="9" t="s">
        <v>41</v>
      </c>
      <c r="P9684" s="12" t="s">
        <v>27570</v>
      </c>
      <c r="Q9684" s="9" t="s">
        <v>105</v>
      </c>
      <c r="R9684" s="14" t="str">
        <f>HYPERLINK("https://my.pitchbook.com?c=56532-70T","View Company Online")</f>
        <v>View Company Online</v>
      </c>
    </row>
    <row r="9685" spans="1:18" hidden="1" x14ac:dyDescent="0.3">
      <c r="A9685" s="15" t="s">
        <v>27571</v>
      </c>
      <c r="B9685" s="15" t="s">
        <v>27572</v>
      </c>
      <c r="C9685" s="18" t="s">
        <v>28</v>
      </c>
      <c r="D9685" s="15" t="s">
        <v>27573</v>
      </c>
      <c r="E9685" s="18" t="s">
        <v>28</v>
      </c>
      <c r="F9685" s="19" t="s">
        <v>28</v>
      </c>
      <c r="G9685" s="19" t="s">
        <v>28</v>
      </c>
      <c r="H9685" s="19" t="s">
        <v>28</v>
      </c>
      <c r="I9685" s="18" t="s">
        <v>28</v>
      </c>
      <c r="J9685" s="18" t="s">
        <v>28</v>
      </c>
      <c r="K9685" s="18" t="s">
        <v>28</v>
      </c>
      <c r="L9685" s="18" t="s">
        <v>28</v>
      </c>
      <c r="M9685" s="18" t="s">
        <v>28</v>
      </c>
      <c r="N9685" s="17">
        <v>42236</v>
      </c>
      <c r="O9685" s="15" t="s">
        <v>30</v>
      </c>
      <c r="P9685" s="16" t="s">
        <v>27574</v>
      </c>
      <c r="Q9685" s="15" t="s">
        <v>19850</v>
      </c>
      <c r="R9685" s="13" t="str">
        <f>HYPERLINK("https://my.pitchbook.com?c=73640-71T","View Company Online")</f>
        <v>View Company Online</v>
      </c>
    </row>
    <row r="9686" spans="1:18" hidden="1" x14ac:dyDescent="0.3">
      <c r="A9686" s="9" t="s">
        <v>27575</v>
      </c>
      <c r="B9686" s="9" t="s">
        <v>27576</v>
      </c>
      <c r="C9686" s="11" t="s">
        <v>28</v>
      </c>
      <c r="D9686" s="9" t="s">
        <v>27577</v>
      </c>
      <c r="E9686" s="11" t="s">
        <v>28</v>
      </c>
      <c r="F9686" s="10" t="s">
        <v>28</v>
      </c>
      <c r="G9686" s="10" t="s">
        <v>28</v>
      </c>
      <c r="H9686" s="10" t="s">
        <v>28</v>
      </c>
      <c r="I9686" s="11" t="s">
        <v>28</v>
      </c>
      <c r="J9686" s="11" t="s">
        <v>28</v>
      </c>
      <c r="K9686" s="11" t="s">
        <v>28</v>
      </c>
      <c r="L9686" s="11" t="s">
        <v>28</v>
      </c>
      <c r="M9686" s="11" t="s">
        <v>28</v>
      </c>
      <c r="N9686" s="8">
        <v>42235</v>
      </c>
      <c r="O9686" s="9" t="s">
        <v>30</v>
      </c>
      <c r="P9686" s="12" t="s">
        <v>8232</v>
      </c>
      <c r="Q9686" s="9" t="s">
        <v>75</v>
      </c>
      <c r="R9686" s="14" t="str">
        <f>HYPERLINK("https://my.pitchbook.com?c=131543-20T","View Company Online")</f>
        <v>View Company Online</v>
      </c>
    </row>
    <row r="9687" spans="1:18" hidden="1" x14ac:dyDescent="0.3">
      <c r="A9687" s="15" t="s">
        <v>27578</v>
      </c>
      <c r="B9687" s="15" t="s">
        <v>3076</v>
      </c>
      <c r="C9687" s="18" t="s">
        <v>28</v>
      </c>
      <c r="D9687" s="15" t="s">
        <v>3077</v>
      </c>
      <c r="E9687" s="18">
        <v>405.48</v>
      </c>
      <c r="F9687" s="19" t="s">
        <v>28</v>
      </c>
      <c r="G9687" s="19" t="s">
        <v>28</v>
      </c>
      <c r="H9687" s="19" t="s">
        <v>28</v>
      </c>
      <c r="I9687" s="18">
        <v>792.92</v>
      </c>
      <c r="J9687" s="18" t="s">
        <v>28</v>
      </c>
      <c r="K9687" s="18">
        <v>18404.830000000002</v>
      </c>
      <c r="L9687" s="18" t="s">
        <v>28</v>
      </c>
      <c r="M9687" s="18">
        <v>359.63</v>
      </c>
      <c r="N9687" s="17">
        <v>42234</v>
      </c>
      <c r="O9687" s="15" t="s">
        <v>30</v>
      </c>
      <c r="P9687" s="16" t="s">
        <v>27579</v>
      </c>
      <c r="Q9687" s="15" t="s">
        <v>109</v>
      </c>
      <c r="R9687" s="13" t="str">
        <f>HYPERLINK("https://my.pitchbook.com?c=86899-60T","View Company Online")</f>
        <v>View Company Online</v>
      </c>
    </row>
    <row r="9688" spans="1:18" hidden="1" x14ac:dyDescent="0.3">
      <c r="A9688" s="9" t="s">
        <v>27580</v>
      </c>
      <c r="B9688" s="9" t="s">
        <v>13832</v>
      </c>
      <c r="C9688" s="11" t="s">
        <v>28</v>
      </c>
      <c r="D9688" s="9" t="s">
        <v>13833</v>
      </c>
      <c r="E9688" s="11" t="s">
        <v>28</v>
      </c>
      <c r="F9688" s="10" t="s">
        <v>28</v>
      </c>
      <c r="G9688" s="10">
        <v>0.49</v>
      </c>
      <c r="H9688" s="10" t="s">
        <v>28</v>
      </c>
      <c r="I9688" s="11" t="s">
        <v>28</v>
      </c>
      <c r="J9688" s="11" t="s">
        <v>28</v>
      </c>
      <c r="K9688" s="11" t="s">
        <v>28</v>
      </c>
      <c r="L9688" s="11" t="s">
        <v>28</v>
      </c>
      <c r="M9688" s="11" t="s">
        <v>28</v>
      </c>
      <c r="N9688" s="8">
        <v>42234</v>
      </c>
      <c r="O9688" s="9" t="s">
        <v>99</v>
      </c>
      <c r="P9688" s="12" t="s">
        <v>27581</v>
      </c>
      <c r="Q9688" s="9" t="s">
        <v>37</v>
      </c>
      <c r="R9688" s="14" t="str">
        <f>HYPERLINK("https://my.pitchbook.com?c=62150-05T","View Company Online")</f>
        <v>View Company Online</v>
      </c>
    </row>
    <row r="9689" spans="1:18" hidden="1" x14ac:dyDescent="0.3">
      <c r="A9689" s="15" t="s">
        <v>27582</v>
      </c>
      <c r="B9689" s="15" t="s">
        <v>22603</v>
      </c>
      <c r="C9689" s="18" t="s">
        <v>28</v>
      </c>
      <c r="D9689" s="15" t="s">
        <v>22604</v>
      </c>
      <c r="E9689" s="18" t="s">
        <v>28</v>
      </c>
      <c r="F9689" s="19" t="s">
        <v>28</v>
      </c>
      <c r="G9689" s="19">
        <v>0.39</v>
      </c>
      <c r="H9689" s="19" t="s">
        <v>28</v>
      </c>
      <c r="I9689" s="18" t="s">
        <v>28</v>
      </c>
      <c r="J9689" s="18" t="s">
        <v>28</v>
      </c>
      <c r="K9689" s="18" t="s">
        <v>28</v>
      </c>
      <c r="L9689" s="18" t="s">
        <v>28</v>
      </c>
      <c r="M9689" s="18" t="s">
        <v>28</v>
      </c>
      <c r="N9689" s="17">
        <v>42231</v>
      </c>
      <c r="O9689" s="15" t="s">
        <v>99</v>
      </c>
      <c r="P9689" s="16" t="s">
        <v>27583</v>
      </c>
      <c r="Q9689" s="15" t="s">
        <v>386</v>
      </c>
      <c r="R9689" s="13" t="str">
        <f>HYPERLINK("https://my.pitchbook.com?c=72820-63T","View Company Online")</f>
        <v>View Company Online</v>
      </c>
    </row>
    <row r="9690" spans="1:18" hidden="1" x14ac:dyDescent="0.3">
      <c r="A9690" s="9" t="s">
        <v>27584</v>
      </c>
      <c r="B9690" s="9" t="s">
        <v>4641</v>
      </c>
      <c r="C9690" s="11" t="s">
        <v>28</v>
      </c>
      <c r="D9690" s="9" t="s">
        <v>4642</v>
      </c>
      <c r="E9690" s="11" t="s">
        <v>28</v>
      </c>
      <c r="F9690" s="10" t="s">
        <v>28</v>
      </c>
      <c r="G9690" s="10" t="s">
        <v>28</v>
      </c>
      <c r="H9690" s="10" t="s">
        <v>28</v>
      </c>
      <c r="I9690" s="11" t="s">
        <v>28</v>
      </c>
      <c r="J9690" s="11" t="s">
        <v>28</v>
      </c>
      <c r="K9690" s="11" t="s">
        <v>28</v>
      </c>
      <c r="L9690" s="11" t="s">
        <v>28</v>
      </c>
      <c r="M9690" s="11" t="s">
        <v>28</v>
      </c>
      <c r="N9690" s="8">
        <v>42231</v>
      </c>
      <c r="O9690" s="9" t="s">
        <v>52</v>
      </c>
      <c r="P9690" s="12" t="s">
        <v>17245</v>
      </c>
      <c r="Q9690" s="9" t="s">
        <v>37</v>
      </c>
      <c r="R9690" s="14" t="str">
        <f>HYPERLINK("https://my.pitchbook.com?c=68423-14T","View Company Online")</f>
        <v>View Company Online</v>
      </c>
    </row>
    <row r="9691" spans="1:18" hidden="1" x14ac:dyDescent="0.3">
      <c r="A9691" s="15" t="s">
        <v>27585</v>
      </c>
      <c r="B9691" s="15" t="s">
        <v>27586</v>
      </c>
      <c r="C9691" s="18" t="s">
        <v>28</v>
      </c>
      <c r="D9691" s="15" t="s">
        <v>27587</v>
      </c>
      <c r="E9691" s="18" t="s">
        <v>28</v>
      </c>
      <c r="F9691" s="19" t="s">
        <v>28</v>
      </c>
      <c r="G9691" s="19" t="s">
        <v>28</v>
      </c>
      <c r="H9691" s="19" t="s">
        <v>28</v>
      </c>
      <c r="I9691" s="18" t="s">
        <v>28</v>
      </c>
      <c r="J9691" s="18" t="s">
        <v>28</v>
      </c>
      <c r="K9691" s="18" t="s">
        <v>28</v>
      </c>
      <c r="L9691" s="18" t="s">
        <v>28</v>
      </c>
      <c r="M9691" s="18" t="s">
        <v>28</v>
      </c>
      <c r="N9691" s="17">
        <v>42230</v>
      </c>
      <c r="O9691" s="15" t="s">
        <v>30</v>
      </c>
      <c r="P9691" s="16" t="s">
        <v>28</v>
      </c>
      <c r="Q9691" s="15" t="s">
        <v>4087</v>
      </c>
      <c r="R9691" s="13" t="str">
        <f>HYPERLINK("https://my.pitchbook.com?c=73642-60T","View Company Online")</f>
        <v>View Company Online</v>
      </c>
    </row>
    <row r="9692" spans="1:18" hidden="1" x14ac:dyDescent="0.3">
      <c r="A9692" s="9" t="s">
        <v>27588</v>
      </c>
      <c r="B9692" s="9" t="s">
        <v>24817</v>
      </c>
      <c r="C9692" s="11" t="s">
        <v>28</v>
      </c>
      <c r="D9692" s="9" t="s">
        <v>24818</v>
      </c>
      <c r="E9692" s="11">
        <v>-130.5</v>
      </c>
      <c r="F9692" s="10" t="s">
        <v>28</v>
      </c>
      <c r="G9692" s="10">
        <v>100</v>
      </c>
      <c r="H9692" s="10" t="s">
        <v>28</v>
      </c>
      <c r="I9692" s="11">
        <v>-65.06</v>
      </c>
      <c r="J9692" s="11" t="s">
        <v>28</v>
      </c>
      <c r="K9692" s="11">
        <v>1878.66</v>
      </c>
      <c r="L9692" s="11" t="s">
        <v>28</v>
      </c>
      <c r="M9692" s="11">
        <v>-322.7</v>
      </c>
      <c r="N9692" s="8">
        <v>42228</v>
      </c>
      <c r="O9692" s="9" t="s">
        <v>173</v>
      </c>
      <c r="P9692" s="12" t="s">
        <v>28</v>
      </c>
      <c r="Q9692" s="9" t="s">
        <v>2168</v>
      </c>
      <c r="R9692" s="14" t="str">
        <f>HYPERLINK("https://my.pitchbook.com?c=82069-12T","View Company Online")</f>
        <v>View Company Online</v>
      </c>
    </row>
    <row r="9693" spans="1:18" hidden="1" x14ac:dyDescent="0.3">
      <c r="A9693" s="15" t="s">
        <v>27589</v>
      </c>
      <c r="B9693" s="15" t="s">
        <v>27590</v>
      </c>
      <c r="C9693" s="18" t="s">
        <v>28</v>
      </c>
      <c r="D9693" s="15" t="s">
        <v>27591</v>
      </c>
      <c r="E9693" s="18" t="s">
        <v>28</v>
      </c>
      <c r="F9693" s="19" t="s">
        <v>28</v>
      </c>
      <c r="G9693" s="19">
        <v>0.02</v>
      </c>
      <c r="H9693" s="19">
        <v>0.33</v>
      </c>
      <c r="I9693" s="18" t="s">
        <v>28</v>
      </c>
      <c r="J9693" s="18" t="s">
        <v>28</v>
      </c>
      <c r="K9693" s="18" t="s">
        <v>28</v>
      </c>
      <c r="L9693" s="18" t="s">
        <v>28</v>
      </c>
      <c r="M9693" s="18" t="s">
        <v>28</v>
      </c>
      <c r="N9693" s="17">
        <v>42228</v>
      </c>
      <c r="O9693" s="15" t="s">
        <v>52</v>
      </c>
      <c r="P9693" s="16" t="s">
        <v>27592</v>
      </c>
      <c r="Q9693" s="15" t="s">
        <v>43</v>
      </c>
      <c r="R9693" s="13" t="str">
        <f>HYPERLINK("https://my.pitchbook.com?c=124697-62T","View Company Online")</f>
        <v>View Company Online</v>
      </c>
    </row>
    <row r="9694" spans="1:18" hidden="1" x14ac:dyDescent="0.3">
      <c r="A9694" s="9" t="s">
        <v>27593</v>
      </c>
      <c r="B9694" s="9" t="s">
        <v>25042</v>
      </c>
      <c r="C9694" s="11" t="s">
        <v>28</v>
      </c>
      <c r="D9694" s="9" t="s">
        <v>25043</v>
      </c>
      <c r="E9694" s="11" t="s">
        <v>28</v>
      </c>
      <c r="F9694" s="10" t="s">
        <v>28</v>
      </c>
      <c r="G9694" s="10" t="s">
        <v>28</v>
      </c>
      <c r="H9694" s="10" t="s">
        <v>28</v>
      </c>
      <c r="I9694" s="11" t="s">
        <v>28</v>
      </c>
      <c r="J9694" s="11" t="s">
        <v>28</v>
      </c>
      <c r="K9694" s="11" t="s">
        <v>28</v>
      </c>
      <c r="L9694" s="11" t="s">
        <v>28</v>
      </c>
      <c r="M9694" s="11" t="s">
        <v>28</v>
      </c>
      <c r="N9694" s="8">
        <v>42227</v>
      </c>
      <c r="O9694" s="9" t="s">
        <v>52</v>
      </c>
      <c r="P9694" s="12" t="s">
        <v>27594</v>
      </c>
      <c r="Q9694" s="9" t="s">
        <v>75</v>
      </c>
      <c r="R9694" s="14" t="str">
        <f>HYPERLINK("https://my.pitchbook.com?c=134106-58T","View Company Online")</f>
        <v>View Company Online</v>
      </c>
    </row>
    <row r="9695" spans="1:18" hidden="1" x14ac:dyDescent="0.3">
      <c r="A9695" s="15" t="s">
        <v>27595</v>
      </c>
      <c r="B9695" s="15" t="s">
        <v>25074</v>
      </c>
      <c r="C9695" s="18" t="s">
        <v>28</v>
      </c>
      <c r="D9695" s="15" t="s">
        <v>25075</v>
      </c>
      <c r="E9695" s="18" t="s">
        <v>28</v>
      </c>
      <c r="F9695" s="19" t="s">
        <v>28</v>
      </c>
      <c r="G9695" s="19" t="s">
        <v>28</v>
      </c>
      <c r="H9695" s="19" t="s">
        <v>28</v>
      </c>
      <c r="I9695" s="18" t="s">
        <v>28</v>
      </c>
      <c r="J9695" s="18" t="s">
        <v>28</v>
      </c>
      <c r="K9695" s="18" t="s">
        <v>28</v>
      </c>
      <c r="L9695" s="18" t="s">
        <v>28</v>
      </c>
      <c r="M9695" s="18" t="s">
        <v>28</v>
      </c>
      <c r="N9695" s="17">
        <v>42227</v>
      </c>
      <c r="O9695" s="15" t="s">
        <v>52</v>
      </c>
      <c r="P9695" s="16" t="s">
        <v>1792</v>
      </c>
      <c r="Q9695" s="15" t="s">
        <v>740</v>
      </c>
      <c r="R9695" s="13" t="str">
        <f>HYPERLINK("https://my.pitchbook.com?c=123140-26T","View Company Online")</f>
        <v>View Company Online</v>
      </c>
    </row>
    <row r="9696" spans="1:18" hidden="1" x14ac:dyDescent="0.3">
      <c r="A9696" s="9" t="s">
        <v>27596</v>
      </c>
      <c r="B9696" s="9" t="s">
        <v>27597</v>
      </c>
      <c r="C9696" s="11" t="s">
        <v>28</v>
      </c>
      <c r="D9696" s="9" t="s">
        <v>27598</v>
      </c>
      <c r="E9696" s="11" t="s">
        <v>28</v>
      </c>
      <c r="F9696" s="10" t="s">
        <v>28</v>
      </c>
      <c r="G9696" s="10" t="s">
        <v>28</v>
      </c>
      <c r="H9696" s="10" t="s">
        <v>28</v>
      </c>
      <c r="I9696" s="11" t="s">
        <v>28</v>
      </c>
      <c r="J9696" s="11" t="s">
        <v>28</v>
      </c>
      <c r="K9696" s="11" t="s">
        <v>28</v>
      </c>
      <c r="L9696" s="11" t="s">
        <v>28</v>
      </c>
      <c r="M9696" s="11" t="s">
        <v>28</v>
      </c>
      <c r="N9696" s="8">
        <v>42227</v>
      </c>
      <c r="O9696" s="9" t="s">
        <v>30</v>
      </c>
      <c r="P9696" s="12" t="s">
        <v>1432</v>
      </c>
      <c r="Q9696" s="9" t="s">
        <v>136</v>
      </c>
      <c r="R9696" s="14" t="str">
        <f>HYPERLINK("https://my.pitchbook.com?c=68507-92T","View Company Online")</f>
        <v>View Company Online</v>
      </c>
    </row>
    <row r="9697" spans="1:18" hidden="1" x14ac:dyDescent="0.3">
      <c r="A9697" s="15" t="s">
        <v>27599</v>
      </c>
      <c r="B9697" s="15" t="s">
        <v>11202</v>
      </c>
      <c r="C9697" s="18" t="s">
        <v>28</v>
      </c>
      <c r="D9697" s="15" t="s">
        <v>11203</v>
      </c>
      <c r="E9697" s="18">
        <v>-86.14</v>
      </c>
      <c r="F9697" s="19" t="s">
        <v>28</v>
      </c>
      <c r="G9697" s="19">
        <v>55.7</v>
      </c>
      <c r="H9697" s="19">
        <v>586.32000000000005</v>
      </c>
      <c r="I9697" s="18">
        <v>-67.489999999999995</v>
      </c>
      <c r="J9697" s="18">
        <v>-8.69</v>
      </c>
      <c r="K9697" s="18">
        <v>2340.06</v>
      </c>
      <c r="L9697" s="18">
        <v>0.25</v>
      </c>
      <c r="M9697" s="18">
        <v>-75.8</v>
      </c>
      <c r="N9697" s="17">
        <v>42226</v>
      </c>
      <c r="O9697" s="15" t="s">
        <v>159</v>
      </c>
      <c r="P9697" s="16" t="s">
        <v>27600</v>
      </c>
      <c r="Q9697" s="15" t="s">
        <v>1007</v>
      </c>
      <c r="R9697" s="13" t="str">
        <f>HYPERLINK("https://my.pitchbook.com?c=46463-86T","View Company Online")</f>
        <v>View Company Online</v>
      </c>
    </row>
    <row r="9698" spans="1:18" hidden="1" x14ac:dyDescent="0.3">
      <c r="A9698" s="9" t="s">
        <v>27601</v>
      </c>
      <c r="B9698" s="9" t="s">
        <v>21320</v>
      </c>
      <c r="C9698" s="11" t="s">
        <v>28</v>
      </c>
      <c r="D9698" s="9" t="s">
        <v>21321</v>
      </c>
      <c r="E9698" s="11" t="s">
        <v>28</v>
      </c>
      <c r="F9698" s="10" t="s">
        <v>28</v>
      </c>
      <c r="G9698" s="10">
        <v>0.23</v>
      </c>
      <c r="H9698" s="10" t="s">
        <v>28</v>
      </c>
      <c r="I9698" s="11" t="s">
        <v>28</v>
      </c>
      <c r="J9698" s="11" t="s">
        <v>28</v>
      </c>
      <c r="K9698" s="11" t="s">
        <v>28</v>
      </c>
      <c r="L9698" s="11" t="s">
        <v>28</v>
      </c>
      <c r="M9698" s="11" t="s">
        <v>28</v>
      </c>
      <c r="N9698" s="8">
        <v>42224</v>
      </c>
      <c r="O9698" s="9" t="s">
        <v>8420</v>
      </c>
      <c r="P9698" s="12" t="s">
        <v>28</v>
      </c>
      <c r="Q9698" s="9" t="s">
        <v>5347</v>
      </c>
      <c r="R9698" s="14" t="str">
        <f>HYPERLINK("https://my.pitchbook.com?c=111466-36T","View Company Online")</f>
        <v>View Company Online</v>
      </c>
    </row>
    <row r="9699" spans="1:18" hidden="1" x14ac:dyDescent="0.3">
      <c r="A9699" s="15" t="s">
        <v>27602</v>
      </c>
      <c r="B9699" s="15" t="s">
        <v>3790</v>
      </c>
      <c r="C9699" s="18" t="s">
        <v>28</v>
      </c>
      <c r="D9699" s="15" t="s">
        <v>16374</v>
      </c>
      <c r="E9699" s="18" t="s">
        <v>28</v>
      </c>
      <c r="F9699" s="19">
        <v>120.08</v>
      </c>
      <c r="G9699" s="19">
        <v>120.08</v>
      </c>
      <c r="H9699" s="19">
        <v>120.08</v>
      </c>
      <c r="I9699" s="18" t="s">
        <v>28</v>
      </c>
      <c r="J9699" s="18" t="s">
        <v>28</v>
      </c>
      <c r="K9699" s="18">
        <v>30.04</v>
      </c>
      <c r="L9699" s="18">
        <v>4</v>
      </c>
      <c r="M9699" s="18" t="s">
        <v>28</v>
      </c>
      <c r="N9699" s="17">
        <v>42223</v>
      </c>
      <c r="O9699" s="15" t="s">
        <v>30</v>
      </c>
      <c r="P9699" s="16" t="s">
        <v>27603</v>
      </c>
      <c r="Q9699" s="15" t="s">
        <v>235</v>
      </c>
      <c r="R9699" s="13" t="str">
        <f>HYPERLINK("https://my.pitchbook.com?c=55141-21T","View Company Online")</f>
        <v>View Company Online</v>
      </c>
    </row>
    <row r="9700" spans="1:18" hidden="1" x14ac:dyDescent="0.3">
      <c r="A9700" s="9" t="s">
        <v>27604</v>
      </c>
      <c r="B9700" s="9" t="s">
        <v>27605</v>
      </c>
      <c r="C9700" s="11" t="s">
        <v>28</v>
      </c>
      <c r="D9700" s="9" t="s">
        <v>27606</v>
      </c>
      <c r="E9700" s="11" t="s">
        <v>28</v>
      </c>
      <c r="F9700" s="10" t="s">
        <v>28</v>
      </c>
      <c r="G9700" s="10" t="s">
        <v>28</v>
      </c>
      <c r="H9700" s="10" t="s">
        <v>28</v>
      </c>
      <c r="I9700" s="11" t="s">
        <v>28</v>
      </c>
      <c r="J9700" s="11" t="s">
        <v>28</v>
      </c>
      <c r="K9700" s="11" t="s">
        <v>28</v>
      </c>
      <c r="L9700" s="11" t="s">
        <v>28</v>
      </c>
      <c r="M9700" s="11" t="s">
        <v>28</v>
      </c>
      <c r="N9700" s="8">
        <v>42223</v>
      </c>
      <c r="O9700" s="9" t="s">
        <v>30</v>
      </c>
      <c r="P9700" s="12" t="s">
        <v>25522</v>
      </c>
      <c r="Q9700" s="9" t="s">
        <v>299</v>
      </c>
      <c r="R9700" s="14" t="str">
        <f>HYPERLINK("https://my.pitchbook.com?c=69876-46T","View Company Online")</f>
        <v>View Company Online</v>
      </c>
    </row>
    <row r="9701" spans="1:18" hidden="1" x14ac:dyDescent="0.3">
      <c r="A9701" s="15" t="s">
        <v>27607</v>
      </c>
      <c r="B9701" s="15" t="s">
        <v>27608</v>
      </c>
      <c r="C9701" s="18" t="s">
        <v>28</v>
      </c>
      <c r="D9701" s="15" t="s">
        <v>27609</v>
      </c>
      <c r="E9701" s="18" t="s">
        <v>28</v>
      </c>
      <c r="F9701" s="19">
        <v>1.77</v>
      </c>
      <c r="G9701" s="19">
        <v>0.55000000000000004</v>
      </c>
      <c r="H9701" s="19">
        <v>1.77</v>
      </c>
      <c r="I9701" s="18" t="s">
        <v>28</v>
      </c>
      <c r="J9701" s="18" t="s">
        <v>28</v>
      </c>
      <c r="K9701" s="18">
        <v>0.33</v>
      </c>
      <c r="L9701" s="18">
        <v>5.33</v>
      </c>
      <c r="M9701" s="18" t="s">
        <v>28</v>
      </c>
      <c r="N9701" s="17">
        <v>42223</v>
      </c>
      <c r="O9701" s="15" t="s">
        <v>30</v>
      </c>
      <c r="P9701" s="16" t="s">
        <v>27610</v>
      </c>
      <c r="Q9701" s="15" t="s">
        <v>3912</v>
      </c>
      <c r="R9701" s="13" t="str">
        <f>HYPERLINK("https://my.pitchbook.com?c=59401-36T","View Company Online")</f>
        <v>View Company Online</v>
      </c>
    </row>
    <row r="9702" spans="1:18" hidden="1" x14ac:dyDescent="0.3">
      <c r="A9702" s="9" t="s">
        <v>27611</v>
      </c>
      <c r="B9702" s="9" t="s">
        <v>27612</v>
      </c>
      <c r="C9702" s="11" t="s">
        <v>28</v>
      </c>
      <c r="D9702" s="9" t="s">
        <v>27613</v>
      </c>
      <c r="E9702" s="11" t="s">
        <v>28</v>
      </c>
      <c r="F9702" s="10" t="s">
        <v>28</v>
      </c>
      <c r="G9702" s="10" t="s">
        <v>28</v>
      </c>
      <c r="H9702" s="10" t="s">
        <v>28</v>
      </c>
      <c r="I9702" s="11" t="s">
        <v>28</v>
      </c>
      <c r="J9702" s="11" t="s">
        <v>28</v>
      </c>
      <c r="K9702" s="11" t="s">
        <v>28</v>
      </c>
      <c r="L9702" s="11" t="s">
        <v>28</v>
      </c>
      <c r="M9702" s="11" t="s">
        <v>28</v>
      </c>
      <c r="N9702" s="8">
        <v>42222</v>
      </c>
      <c r="O9702" s="9" t="s">
        <v>73</v>
      </c>
      <c r="P9702" s="12" t="s">
        <v>27614</v>
      </c>
      <c r="Q9702" s="9" t="s">
        <v>263</v>
      </c>
      <c r="R9702" s="14" t="str">
        <f>HYPERLINK("https://my.pitchbook.com?c=110402-38T","View Company Online")</f>
        <v>View Company Online</v>
      </c>
    </row>
    <row r="9703" spans="1:18" hidden="1" x14ac:dyDescent="0.3">
      <c r="A9703" s="15" t="s">
        <v>27615</v>
      </c>
      <c r="B9703" s="15" t="s">
        <v>27616</v>
      </c>
      <c r="C9703" s="18" t="s">
        <v>28</v>
      </c>
      <c r="D9703" s="15" t="s">
        <v>27617</v>
      </c>
      <c r="E9703" s="18" t="s">
        <v>28</v>
      </c>
      <c r="F9703" s="19" t="s">
        <v>28</v>
      </c>
      <c r="G9703" s="19" t="s">
        <v>28</v>
      </c>
      <c r="H9703" s="19" t="s">
        <v>28</v>
      </c>
      <c r="I9703" s="18" t="s">
        <v>28</v>
      </c>
      <c r="J9703" s="18" t="s">
        <v>28</v>
      </c>
      <c r="K9703" s="18" t="s">
        <v>28</v>
      </c>
      <c r="L9703" s="18" t="s">
        <v>28</v>
      </c>
      <c r="M9703" s="18" t="s">
        <v>28</v>
      </c>
      <c r="N9703" s="17">
        <v>42220</v>
      </c>
      <c r="O9703" s="15" t="s">
        <v>30</v>
      </c>
      <c r="P9703" s="16" t="s">
        <v>27618</v>
      </c>
      <c r="Q9703" s="15" t="s">
        <v>226</v>
      </c>
      <c r="R9703" s="13" t="str">
        <f>HYPERLINK("https://my.pitchbook.com?c=55173-52T","View Company Online")</f>
        <v>View Company Online</v>
      </c>
    </row>
    <row r="9704" spans="1:18" hidden="1" x14ac:dyDescent="0.3">
      <c r="A9704" s="9" t="s">
        <v>27619</v>
      </c>
      <c r="B9704" s="9" t="s">
        <v>13680</v>
      </c>
      <c r="C9704" s="11" t="s">
        <v>28</v>
      </c>
      <c r="D9704" s="9" t="s">
        <v>13681</v>
      </c>
      <c r="E9704" s="11" t="s">
        <v>28</v>
      </c>
      <c r="F9704" s="10" t="s">
        <v>28</v>
      </c>
      <c r="G9704" s="10">
        <v>1.5</v>
      </c>
      <c r="H9704" s="10" t="s">
        <v>28</v>
      </c>
      <c r="I9704" s="11" t="s">
        <v>28</v>
      </c>
      <c r="J9704" s="11" t="s">
        <v>28</v>
      </c>
      <c r="K9704" s="11" t="s">
        <v>28</v>
      </c>
      <c r="L9704" s="11" t="s">
        <v>28</v>
      </c>
      <c r="M9704" s="11" t="s">
        <v>28</v>
      </c>
      <c r="N9704" s="8">
        <v>42219</v>
      </c>
      <c r="O9704" s="9" t="s">
        <v>73</v>
      </c>
      <c r="P9704" s="12" t="s">
        <v>27620</v>
      </c>
      <c r="Q9704" s="9" t="s">
        <v>5347</v>
      </c>
      <c r="R9704" s="14" t="str">
        <f>HYPERLINK("https://my.pitchbook.com?c=54736-03T","View Company Online")</f>
        <v>View Company Online</v>
      </c>
    </row>
    <row r="9705" spans="1:18" hidden="1" x14ac:dyDescent="0.3">
      <c r="A9705" s="15" t="s">
        <v>27621</v>
      </c>
      <c r="B9705" s="15" t="s">
        <v>22236</v>
      </c>
      <c r="C9705" s="18" t="s">
        <v>28</v>
      </c>
      <c r="D9705" s="15" t="s">
        <v>22237</v>
      </c>
      <c r="E9705" s="18" t="s">
        <v>28</v>
      </c>
      <c r="F9705" s="19">
        <v>100.36</v>
      </c>
      <c r="G9705" s="19">
        <v>55.2</v>
      </c>
      <c r="H9705" s="19">
        <v>100.36</v>
      </c>
      <c r="I9705" s="18" t="s">
        <v>28</v>
      </c>
      <c r="J9705" s="18" t="s">
        <v>28</v>
      </c>
      <c r="K9705" s="18" t="s">
        <v>28</v>
      </c>
      <c r="L9705" s="18" t="s">
        <v>28</v>
      </c>
      <c r="M9705" s="18" t="s">
        <v>28</v>
      </c>
      <c r="N9705" s="17">
        <v>42219</v>
      </c>
      <c r="O9705" s="15" t="s">
        <v>30</v>
      </c>
      <c r="P9705" s="16" t="s">
        <v>27622</v>
      </c>
      <c r="Q9705" s="15" t="s">
        <v>114</v>
      </c>
      <c r="R9705" s="13" t="str">
        <f>HYPERLINK("https://my.pitchbook.com?c=55870-12T","View Company Online")</f>
        <v>View Company Online</v>
      </c>
    </row>
    <row r="9706" spans="1:18" hidden="1" x14ac:dyDescent="0.3">
      <c r="A9706" s="9" t="s">
        <v>27623</v>
      </c>
      <c r="B9706" s="9" t="s">
        <v>27624</v>
      </c>
      <c r="C9706" s="11" t="s">
        <v>28</v>
      </c>
      <c r="D9706" s="9" t="s">
        <v>27625</v>
      </c>
      <c r="E9706" s="11" t="s">
        <v>28</v>
      </c>
      <c r="F9706" s="10" t="s">
        <v>28</v>
      </c>
      <c r="G9706" s="10">
        <v>7.0000000000000007E-2</v>
      </c>
      <c r="H9706" s="10">
        <v>1.17</v>
      </c>
      <c r="I9706" s="11" t="s">
        <v>28</v>
      </c>
      <c r="J9706" s="11" t="s">
        <v>28</v>
      </c>
      <c r="K9706" s="11" t="s">
        <v>28</v>
      </c>
      <c r="L9706" s="11" t="s">
        <v>28</v>
      </c>
      <c r="M9706" s="11" t="s">
        <v>28</v>
      </c>
      <c r="N9706" s="8">
        <v>42217</v>
      </c>
      <c r="O9706" s="9" t="s">
        <v>73</v>
      </c>
      <c r="P9706" s="12" t="s">
        <v>27626</v>
      </c>
      <c r="Q9706" s="9" t="s">
        <v>583</v>
      </c>
      <c r="R9706" s="14" t="str">
        <f>HYPERLINK("https://my.pitchbook.com?c=65819-53T","View Company Online")</f>
        <v>View Company Online</v>
      </c>
    </row>
    <row r="9707" spans="1:18" hidden="1" x14ac:dyDescent="0.3">
      <c r="A9707" s="15" t="s">
        <v>27627</v>
      </c>
      <c r="B9707" s="15" t="s">
        <v>5097</v>
      </c>
      <c r="C9707" s="18" t="s">
        <v>28</v>
      </c>
      <c r="D9707" s="15" t="s">
        <v>5098</v>
      </c>
      <c r="E9707" s="18" t="s">
        <v>28</v>
      </c>
      <c r="F9707" s="19" t="s">
        <v>28</v>
      </c>
      <c r="G9707" s="19">
        <v>0.94</v>
      </c>
      <c r="H9707" s="19" t="s">
        <v>28</v>
      </c>
      <c r="I9707" s="18" t="s">
        <v>28</v>
      </c>
      <c r="J9707" s="18" t="s">
        <v>28</v>
      </c>
      <c r="K9707" s="18" t="s">
        <v>28</v>
      </c>
      <c r="L9707" s="18" t="s">
        <v>28</v>
      </c>
      <c r="M9707" s="18" t="s">
        <v>28</v>
      </c>
      <c r="N9707" s="17">
        <v>42217</v>
      </c>
      <c r="O9707" s="15" t="s">
        <v>99</v>
      </c>
      <c r="P9707" s="16" t="s">
        <v>27628</v>
      </c>
      <c r="Q9707" s="15" t="s">
        <v>37</v>
      </c>
      <c r="R9707" s="13" t="str">
        <f>HYPERLINK("https://my.pitchbook.com?c=59897-89T","View Company Online")</f>
        <v>View Company Online</v>
      </c>
    </row>
    <row r="9708" spans="1:18" hidden="1" x14ac:dyDescent="0.3">
      <c r="A9708" s="9" t="s">
        <v>27629</v>
      </c>
      <c r="B9708" s="9" t="s">
        <v>27630</v>
      </c>
      <c r="C9708" s="11" t="s">
        <v>28</v>
      </c>
      <c r="D9708" s="9" t="s">
        <v>27631</v>
      </c>
      <c r="E9708" s="11" t="s">
        <v>28</v>
      </c>
      <c r="F9708" s="10" t="s">
        <v>28</v>
      </c>
      <c r="G9708" s="10">
        <v>0.44</v>
      </c>
      <c r="H9708" s="10">
        <v>2.0699999999999998</v>
      </c>
      <c r="I9708" s="11" t="s">
        <v>28</v>
      </c>
      <c r="J9708" s="11" t="s">
        <v>28</v>
      </c>
      <c r="K9708" s="11" t="s">
        <v>28</v>
      </c>
      <c r="L9708" s="11" t="s">
        <v>28</v>
      </c>
      <c r="M9708" s="11" t="s">
        <v>28</v>
      </c>
      <c r="N9708" s="8">
        <v>42217</v>
      </c>
      <c r="O9708" s="9" t="s">
        <v>73</v>
      </c>
      <c r="P9708" s="12" t="s">
        <v>24284</v>
      </c>
      <c r="Q9708" s="9" t="s">
        <v>136</v>
      </c>
      <c r="R9708" s="14" t="str">
        <f>HYPERLINK("https://my.pitchbook.com?c=155524-15T","View Company Online")</f>
        <v>View Company Online</v>
      </c>
    </row>
    <row r="9709" spans="1:18" hidden="1" x14ac:dyDescent="0.3">
      <c r="A9709" s="15" t="s">
        <v>27632</v>
      </c>
      <c r="B9709" s="15" t="s">
        <v>8839</v>
      </c>
      <c r="C9709" s="18" t="s">
        <v>28</v>
      </c>
      <c r="D9709" s="15" t="s">
        <v>8840</v>
      </c>
      <c r="E9709" s="18" t="s">
        <v>28</v>
      </c>
      <c r="F9709" s="19" t="s">
        <v>28</v>
      </c>
      <c r="G9709" s="19" t="s">
        <v>28</v>
      </c>
      <c r="H9709" s="19" t="s">
        <v>28</v>
      </c>
      <c r="I9709" s="18" t="s">
        <v>28</v>
      </c>
      <c r="J9709" s="18" t="s">
        <v>28</v>
      </c>
      <c r="K9709" s="18">
        <v>7</v>
      </c>
      <c r="L9709" s="18" t="s">
        <v>28</v>
      </c>
      <c r="M9709" s="18" t="s">
        <v>28</v>
      </c>
      <c r="N9709" s="17">
        <v>42217</v>
      </c>
      <c r="O9709" s="15" t="s">
        <v>99</v>
      </c>
      <c r="P9709" s="16" t="s">
        <v>27415</v>
      </c>
      <c r="Q9709" s="15" t="s">
        <v>386</v>
      </c>
      <c r="R9709" s="13" t="str">
        <f>HYPERLINK("https://my.pitchbook.com?c=172350-82T","View Company Online")</f>
        <v>View Company Online</v>
      </c>
    </row>
    <row r="9710" spans="1:18" hidden="1" x14ac:dyDescent="0.3">
      <c r="A9710" s="9" t="s">
        <v>27633</v>
      </c>
      <c r="B9710" s="9" t="s">
        <v>27634</v>
      </c>
      <c r="C9710" s="11" t="s">
        <v>28</v>
      </c>
      <c r="D9710" s="9" t="s">
        <v>27635</v>
      </c>
      <c r="E9710" s="11">
        <v>0.06</v>
      </c>
      <c r="F9710" s="10" t="s">
        <v>28</v>
      </c>
      <c r="G9710" s="10" t="s">
        <v>28</v>
      </c>
      <c r="H9710" s="10" t="s">
        <v>28</v>
      </c>
      <c r="I9710" s="11" t="s">
        <v>28</v>
      </c>
      <c r="J9710" s="11" t="s">
        <v>28</v>
      </c>
      <c r="K9710" s="11">
        <v>99.73</v>
      </c>
      <c r="L9710" s="11" t="s">
        <v>28</v>
      </c>
      <c r="M9710" s="11">
        <v>8.4</v>
      </c>
      <c r="N9710" s="8">
        <v>42216</v>
      </c>
      <c r="O9710" s="9" t="s">
        <v>30</v>
      </c>
      <c r="P9710" s="12" t="s">
        <v>27636</v>
      </c>
      <c r="Q9710" s="9" t="s">
        <v>607</v>
      </c>
      <c r="R9710" s="14" t="str">
        <f>HYPERLINK("https://my.pitchbook.com?c=211380-58T","View Company Online")</f>
        <v>View Company Online</v>
      </c>
    </row>
    <row r="9711" spans="1:18" hidden="1" x14ac:dyDescent="0.3">
      <c r="A9711" s="15" t="s">
        <v>27637</v>
      </c>
      <c r="B9711" s="15" t="s">
        <v>27638</v>
      </c>
      <c r="C9711" s="18" t="s">
        <v>28</v>
      </c>
      <c r="D9711" s="15" t="s">
        <v>27639</v>
      </c>
      <c r="E9711" s="18" t="s">
        <v>28</v>
      </c>
      <c r="F9711" s="19" t="s">
        <v>28</v>
      </c>
      <c r="G9711" s="19" t="s">
        <v>28</v>
      </c>
      <c r="H9711" s="19" t="s">
        <v>28</v>
      </c>
      <c r="I9711" s="18" t="s">
        <v>28</v>
      </c>
      <c r="J9711" s="18" t="s">
        <v>28</v>
      </c>
      <c r="K9711" s="18" t="s">
        <v>28</v>
      </c>
      <c r="L9711" s="18" t="s">
        <v>28</v>
      </c>
      <c r="M9711" s="18" t="s">
        <v>28</v>
      </c>
      <c r="N9711" s="17">
        <v>42215</v>
      </c>
      <c r="O9711" s="15" t="s">
        <v>41</v>
      </c>
      <c r="P9711" s="16" t="s">
        <v>27640</v>
      </c>
      <c r="Q9711" s="15" t="s">
        <v>5628</v>
      </c>
      <c r="R9711" s="13" t="str">
        <f>HYPERLINK("https://my.pitchbook.com?c=67810-69T","View Company Online")</f>
        <v>View Company Online</v>
      </c>
    </row>
    <row r="9712" spans="1:18" hidden="1" x14ac:dyDescent="0.3">
      <c r="A9712" s="9" t="s">
        <v>27641</v>
      </c>
      <c r="B9712" s="9" t="s">
        <v>23300</v>
      </c>
      <c r="C9712" s="11" t="s">
        <v>28</v>
      </c>
      <c r="D9712" s="9" t="s">
        <v>23301</v>
      </c>
      <c r="E9712" s="11" t="s">
        <v>28</v>
      </c>
      <c r="F9712" s="10" t="s">
        <v>28</v>
      </c>
      <c r="G9712" s="10">
        <v>0.06</v>
      </c>
      <c r="H9712" s="10" t="s">
        <v>28</v>
      </c>
      <c r="I9712" s="11" t="s">
        <v>28</v>
      </c>
      <c r="J9712" s="11" t="s">
        <v>28</v>
      </c>
      <c r="K9712" s="11" t="s">
        <v>28</v>
      </c>
      <c r="L9712" s="11" t="s">
        <v>28</v>
      </c>
      <c r="M9712" s="11" t="s">
        <v>28</v>
      </c>
      <c r="N9712" s="8">
        <v>42214</v>
      </c>
      <c r="O9712" s="9" t="s">
        <v>52</v>
      </c>
      <c r="P9712" s="12" t="s">
        <v>11539</v>
      </c>
      <c r="Q9712" s="9" t="s">
        <v>37</v>
      </c>
      <c r="R9712" s="14" t="str">
        <f>HYPERLINK("https://my.pitchbook.com?c=65799-73T","View Company Online")</f>
        <v>View Company Online</v>
      </c>
    </row>
    <row r="9713" spans="1:18" hidden="1" x14ac:dyDescent="0.3">
      <c r="A9713" s="15" t="s">
        <v>27642</v>
      </c>
      <c r="B9713" s="15" t="s">
        <v>24430</v>
      </c>
      <c r="C9713" s="18" t="s">
        <v>28</v>
      </c>
      <c r="D9713" s="15" t="s">
        <v>24431</v>
      </c>
      <c r="E9713" s="18" t="s">
        <v>28</v>
      </c>
      <c r="F9713" s="19" t="s">
        <v>28</v>
      </c>
      <c r="G9713" s="19" t="s">
        <v>28</v>
      </c>
      <c r="H9713" s="19" t="s">
        <v>28</v>
      </c>
      <c r="I9713" s="18" t="s">
        <v>28</v>
      </c>
      <c r="J9713" s="18" t="s">
        <v>28</v>
      </c>
      <c r="K9713" s="18" t="s">
        <v>28</v>
      </c>
      <c r="L9713" s="18" t="s">
        <v>28</v>
      </c>
      <c r="M9713" s="18" t="s">
        <v>28</v>
      </c>
      <c r="N9713" s="17">
        <v>42212</v>
      </c>
      <c r="O9713" s="15" t="s">
        <v>52</v>
      </c>
      <c r="P9713" s="16" t="s">
        <v>27643</v>
      </c>
      <c r="Q9713" s="15" t="s">
        <v>692</v>
      </c>
      <c r="R9713" s="13" t="str">
        <f>HYPERLINK("https://my.pitchbook.com?c=92615-05T","View Company Online")</f>
        <v>View Company Online</v>
      </c>
    </row>
    <row r="9714" spans="1:18" hidden="1" x14ac:dyDescent="0.3">
      <c r="A9714" s="9" t="s">
        <v>27644</v>
      </c>
      <c r="B9714" s="9" t="s">
        <v>7462</v>
      </c>
      <c r="C9714" s="11" t="s">
        <v>28</v>
      </c>
      <c r="D9714" s="9" t="s">
        <v>7463</v>
      </c>
      <c r="E9714" s="11" t="s">
        <v>28</v>
      </c>
      <c r="F9714" s="10" t="s">
        <v>28</v>
      </c>
      <c r="G9714" s="10" t="s">
        <v>28</v>
      </c>
      <c r="H9714" s="10" t="s">
        <v>28</v>
      </c>
      <c r="I9714" s="11" t="s">
        <v>28</v>
      </c>
      <c r="J9714" s="11" t="s">
        <v>28</v>
      </c>
      <c r="K9714" s="11" t="s">
        <v>28</v>
      </c>
      <c r="L9714" s="11" t="s">
        <v>28</v>
      </c>
      <c r="M9714" s="11" t="s">
        <v>28</v>
      </c>
      <c r="N9714" s="8">
        <v>42209</v>
      </c>
      <c r="O9714" s="9" t="s">
        <v>30</v>
      </c>
      <c r="P9714" s="12" t="s">
        <v>27645</v>
      </c>
      <c r="Q9714" s="9" t="s">
        <v>59</v>
      </c>
      <c r="R9714" s="14" t="str">
        <f>HYPERLINK("https://my.pitchbook.com?c=83098-72T","View Company Online")</f>
        <v>View Company Online</v>
      </c>
    </row>
    <row r="9715" spans="1:18" hidden="1" x14ac:dyDescent="0.3">
      <c r="A9715" s="15" t="s">
        <v>27646</v>
      </c>
      <c r="B9715" s="15" t="s">
        <v>16209</v>
      </c>
      <c r="C9715" s="18" t="s">
        <v>28</v>
      </c>
      <c r="D9715" s="15" t="s">
        <v>16210</v>
      </c>
      <c r="E9715" s="18" t="s">
        <v>28</v>
      </c>
      <c r="F9715" s="19" t="s">
        <v>28</v>
      </c>
      <c r="G9715" s="19" t="s">
        <v>28</v>
      </c>
      <c r="H9715" s="19" t="s">
        <v>28</v>
      </c>
      <c r="I9715" s="18" t="s">
        <v>28</v>
      </c>
      <c r="J9715" s="18" t="s">
        <v>28</v>
      </c>
      <c r="K9715" s="18" t="s">
        <v>28</v>
      </c>
      <c r="L9715" s="18" t="s">
        <v>28</v>
      </c>
      <c r="M9715" s="18" t="s">
        <v>28</v>
      </c>
      <c r="N9715" s="17">
        <v>42209</v>
      </c>
      <c r="O9715" s="15" t="s">
        <v>73</v>
      </c>
      <c r="P9715" s="16" t="s">
        <v>27647</v>
      </c>
      <c r="Q9715" s="15" t="s">
        <v>245</v>
      </c>
      <c r="R9715" s="13" t="str">
        <f>HYPERLINK("https://my.pitchbook.com?c=77804-92T","View Company Online")</f>
        <v>View Company Online</v>
      </c>
    </row>
    <row r="9716" spans="1:18" hidden="1" x14ac:dyDescent="0.3">
      <c r="A9716" s="9" t="s">
        <v>27648</v>
      </c>
      <c r="B9716" s="9" t="s">
        <v>27649</v>
      </c>
      <c r="C9716" s="11" t="s">
        <v>28</v>
      </c>
      <c r="D9716" s="9" t="s">
        <v>27650</v>
      </c>
      <c r="E9716" s="11" t="s">
        <v>28</v>
      </c>
      <c r="F9716" s="10" t="s">
        <v>28</v>
      </c>
      <c r="G9716" s="10" t="s">
        <v>28</v>
      </c>
      <c r="H9716" s="10" t="s">
        <v>28</v>
      </c>
      <c r="I9716" s="11" t="s">
        <v>28</v>
      </c>
      <c r="J9716" s="11" t="s">
        <v>28</v>
      </c>
      <c r="K9716" s="11" t="s">
        <v>28</v>
      </c>
      <c r="L9716" s="11" t="s">
        <v>28</v>
      </c>
      <c r="M9716" s="11" t="s">
        <v>28</v>
      </c>
      <c r="N9716" s="8">
        <v>42209</v>
      </c>
      <c r="O9716" s="9" t="s">
        <v>30</v>
      </c>
      <c r="P9716" s="12" t="s">
        <v>26215</v>
      </c>
      <c r="Q9716" s="9" t="s">
        <v>75</v>
      </c>
      <c r="R9716" s="14" t="str">
        <f>HYPERLINK("https://my.pitchbook.com?c=66097-45T","View Company Online")</f>
        <v>View Company Online</v>
      </c>
    </row>
    <row r="9717" spans="1:18" hidden="1" x14ac:dyDescent="0.3">
      <c r="A9717" s="15" t="s">
        <v>27651</v>
      </c>
      <c r="B9717" s="15" t="s">
        <v>27652</v>
      </c>
      <c r="C9717" s="18" t="s">
        <v>28</v>
      </c>
      <c r="D9717" s="15" t="s">
        <v>27653</v>
      </c>
      <c r="E9717" s="18" t="s">
        <v>28</v>
      </c>
      <c r="F9717" s="19">
        <v>355.09</v>
      </c>
      <c r="G9717" s="19">
        <v>355.09</v>
      </c>
      <c r="H9717" s="19">
        <v>355.09</v>
      </c>
      <c r="I9717" s="18" t="s">
        <v>28</v>
      </c>
      <c r="J9717" s="18" t="s">
        <v>28</v>
      </c>
      <c r="K9717" s="18" t="s">
        <v>28</v>
      </c>
      <c r="L9717" s="18" t="s">
        <v>28</v>
      </c>
      <c r="M9717" s="18" t="s">
        <v>28</v>
      </c>
      <c r="N9717" s="17">
        <v>42209</v>
      </c>
      <c r="O9717" s="15" t="s">
        <v>30</v>
      </c>
      <c r="P9717" s="16" t="s">
        <v>27654</v>
      </c>
      <c r="Q9717" s="15" t="s">
        <v>226</v>
      </c>
      <c r="R9717" s="13" t="str">
        <f>HYPERLINK("https://my.pitchbook.com?c=243194-05T","View Company Online")</f>
        <v>View Company Online</v>
      </c>
    </row>
    <row r="9718" spans="1:18" hidden="1" x14ac:dyDescent="0.3">
      <c r="A9718" s="9" t="s">
        <v>27655</v>
      </c>
      <c r="B9718" s="9" t="s">
        <v>5094</v>
      </c>
      <c r="C9718" s="11" t="s">
        <v>28</v>
      </c>
      <c r="D9718" s="9" t="s">
        <v>5095</v>
      </c>
      <c r="E9718" s="11" t="s">
        <v>28</v>
      </c>
      <c r="F9718" s="10" t="s">
        <v>28</v>
      </c>
      <c r="G9718" s="10" t="s">
        <v>28</v>
      </c>
      <c r="H9718" s="10" t="s">
        <v>28</v>
      </c>
      <c r="I9718" s="11" t="s">
        <v>28</v>
      </c>
      <c r="J9718" s="11" t="s">
        <v>28</v>
      </c>
      <c r="K9718" s="11" t="s">
        <v>28</v>
      </c>
      <c r="L9718" s="11" t="s">
        <v>28</v>
      </c>
      <c r="M9718" s="11" t="s">
        <v>28</v>
      </c>
      <c r="N9718" s="8">
        <v>42208</v>
      </c>
      <c r="O9718" s="9" t="s">
        <v>99</v>
      </c>
      <c r="P9718" s="12" t="s">
        <v>3825</v>
      </c>
      <c r="Q9718" s="9" t="s">
        <v>75</v>
      </c>
      <c r="R9718" s="14" t="str">
        <f>HYPERLINK("https://my.pitchbook.com?c=125483-50T","View Company Online")</f>
        <v>View Company Online</v>
      </c>
    </row>
    <row r="9719" spans="1:18" hidden="1" x14ac:dyDescent="0.3">
      <c r="A9719" s="15" t="s">
        <v>27656</v>
      </c>
      <c r="B9719" s="15" t="s">
        <v>25074</v>
      </c>
      <c r="C9719" s="18" t="s">
        <v>28</v>
      </c>
      <c r="D9719" s="15" t="s">
        <v>25075</v>
      </c>
      <c r="E9719" s="18" t="s">
        <v>28</v>
      </c>
      <c r="F9719" s="19" t="s">
        <v>28</v>
      </c>
      <c r="G9719" s="19">
        <v>0.06</v>
      </c>
      <c r="H9719" s="19" t="s">
        <v>28</v>
      </c>
      <c r="I9719" s="18" t="s">
        <v>28</v>
      </c>
      <c r="J9719" s="18" t="s">
        <v>28</v>
      </c>
      <c r="K9719" s="18" t="s">
        <v>28</v>
      </c>
      <c r="L9719" s="18" t="s">
        <v>28</v>
      </c>
      <c r="M9719" s="18" t="s">
        <v>28</v>
      </c>
      <c r="N9719" s="17">
        <v>42208</v>
      </c>
      <c r="O9719" s="15" t="s">
        <v>1639</v>
      </c>
      <c r="P9719" s="16" t="s">
        <v>28</v>
      </c>
      <c r="Q9719" s="15" t="s">
        <v>740</v>
      </c>
      <c r="R9719" s="13" t="str">
        <f>HYPERLINK("https://my.pitchbook.com?c=123139-72T","View Company Online")</f>
        <v>View Company Online</v>
      </c>
    </row>
    <row r="9720" spans="1:18" hidden="1" x14ac:dyDescent="0.3">
      <c r="A9720" s="9" t="s">
        <v>27657</v>
      </c>
      <c r="B9720" s="9" t="s">
        <v>11147</v>
      </c>
      <c r="C9720" s="11" t="s">
        <v>28</v>
      </c>
      <c r="D9720" s="9" t="s">
        <v>11148</v>
      </c>
      <c r="E9720" s="11" t="s">
        <v>28</v>
      </c>
      <c r="F9720" s="10" t="s">
        <v>28</v>
      </c>
      <c r="G9720" s="10" t="s">
        <v>28</v>
      </c>
      <c r="H9720" s="10" t="s">
        <v>28</v>
      </c>
      <c r="I9720" s="11" t="s">
        <v>28</v>
      </c>
      <c r="J9720" s="11" t="s">
        <v>28</v>
      </c>
      <c r="K9720" s="11" t="s">
        <v>28</v>
      </c>
      <c r="L9720" s="11" t="s">
        <v>28</v>
      </c>
      <c r="M9720" s="11" t="s">
        <v>28</v>
      </c>
      <c r="N9720" s="8">
        <v>42206</v>
      </c>
      <c r="O9720" s="9" t="s">
        <v>93</v>
      </c>
      <c r="P9720" s="12" t="s">
        <v>27658</v>
      </c>
      <c r="Q9720" s="9" t="s">
        <v>880</v>
      </c>
      <c r="R9720" s="14" t="str">
        <f>HYPERLINK("https://my.pitchbook.com?c=71377-75T","View Company Online")</f>
        <v>View Company Online</v>
      </c>
    </row>
    <row r="9721" spans="1:18" hidden="1" x14ac:dyDescent="0.3">
      <c r="A9721" s="15" t="s">
        <v>27659</v>
      </c>
      <c r="B9721" s="15" t="s">
        <v>27660</v>
      </c>
      <c r="C9721" s="18" t="s">
        <v>28</v>
      </c>
      <c r="D9721" s="15" t="s">
        <v>27661</v>
      </c>
      <c r="E9721" s="18" t="s">
        <v>28</v>
      </c>
      <c r="F9721" s="19" t="s">
        <v>28</v>
      </c>
      <c r="G9721" s="19" t="s">
        <v>28</v>
      </c>
      <c r="H9721" s="19" t="s">
        <v>28</v>
      </c>
      <c r="I9721" s="18" t="s">
        <v>28</v>
      </c>
      <c r="J9721" s="18" t="s">
        <v>28</v>
      </c>
      <c r="K9721" s="18" t="s">
        <v>28</v>
      </c>
      <c r="L9721" s="18" t="s">
        <v>28</v>
      </c>
      <c r="M9721" s="18" t="s">
        <v>28</v>
      </c>
      <c r="N9721" s="17">
        <v>42206</v>
      </c>
      <c r="O9721" s="15" t="s">
        <v>30</v>
      </c>
      <c r="P9721" s="16" t="s">
        <v>28</v>
      </c>
      <c r="Q9721" s="15" t="s">
        <v>331</v>
      </c>
      <c r="R9721" s="13" t="str">
        <f>HYPERLINK("https://my.pitchbook.com?c=53976-43T","View Company Online")</f>
        <v>View Company Online</v>
      </c>
    </row>
    <row r="9722" spans="1:18" hidden="1" x14ac:dyDescent="0.3">
      <c r="A9722" s="9" t="s">
        <v>27662</v>
      </c>
      <c r="B9722" s="9" t="s">
        <v>27663</v>
      </c>
      <c r="C9722" s="11" t="s">
        <v>28</v>
      </c>
      <c r="D9722" s="9" t="s">
        <v>27664</v>
      </c>
      <c r="E9722" s="11" t="s">
        <v>28</v>
      </c>
      <c r="F9722" s="10" t="s">
        <v>28</v>
      </c>
      <c r="G9722" s="10" t="s">
        <v>28</v>
      </c>
      <c r="H9722" s="10" t="s">
        <v>28</v>
      </c>
      <c r="I9722" s="11" t="s">
        <v>28</v>
      </c>
      <c r="J9722" s="11" t="s">
        <v>28</v>
      </c>
      <c r="K9722" s="11" t="s">
        <v>28</v>
      </c>
      <c r="L9722" s="11" t="s">
        <v>28</v>
      </c>
      <c r="M9722" s="11" t="s">
        <v>28</v>
      </c>
      <c r="N9722" s="8">
        <v>42205</v>
      </c>
      <c r="O9722" s="9" t="s">
        <v>41</v>
      </c>
      <c r="P9722" s="12" t="s">
        <v>27665</v>
      </c>
      <c r="Q9722" s="9" t="s">
        <v>669</v>
      </c>
      <c r="R9722" s="14" t="str">
        <f>HYPERLINK("https://my.pitchbook.com?c=89426-26T","View Company Online")</f>
        <v>View Company Online</v>
      </c>
    </row>
    <row r="9723" spans="1:18" x14ac:dyDescent="0.3">
      <c r="A9723" s="15" t="s">
        <v>27666</v>
      </c>
      <c r="B9723" s="15" t="s">
        <v>23068</v>
      </c>
      <c r="C9723" s="18">
        <v>6.8</v>
      </c>
      <c r="D9723" s="15" t="s">
        <v>23069</v>
      </c>
      <c r="E9723" s="18">
        <v>15.9</v>
      </c>
      <c r="F9723" s="19">
        <v>169.73</v>
      </c>
      <c r="G9723" s="19">
        <v>191.67</v>
      </c>
      <c r="H9723" s="19">
        <v>191.67</v>
      </c>
      <c r="I9723" s="18">
        <v>24.98</v>
      </c>
      <c r="J9723" s="18">
        <v>7.67</v>
      </c>
      <c r="K9723" s="18">
        <v>292.27</v>
      </c>
      <c r="L9723" s="18">
        <v>0.66</v>
      </c>
      <c r="M9723" s="18">
        <v>13.3</v>
      </c>
      <c r="N9723" s="17">
        <v>42202</v>
      </c>
      <c r="O9723" s="15" t="s">
        <v>30</v>
      </c>
      <c r="P9723" s="16" t="s">
        <v>28</v>
      </c>
      <c r="Q9723" s="15" t="s">
        <v>15070</v>
      </c>
      <c r="R9723" s="13" t="str">
        <f>HYPERLINK("https://my.pitchbook.com?c=82001-17T","View Company Online")</f>
        <v>View Company Online</v>
      </c>
    </row>
    <row r="9724" spans="1:18" hidden="1" x14ac:dyDescent="0.3">
      <c r="A9724" s="9" t="s">
        <v>27667</v>
      </c>
      <c r="B9724" s="9" t="s">
        <v>27668</v>
      </c>
      <c r="C9724" s="11" t="s">
        <v>28</v>
      </c>
      <c r="D9724" s="9" t="s">
        <v>27669</v>
      </c>
      <c r="E9724" s="11" t="s">
        <v>28</v>
      </c>
      <c r="F9724" s="10" t="s">
        <v>28</v>
      </c>
      <c r="G9724" s="10" t="s">
        <v>28</v>
      </c>
      <c r="H9724" s="10" t="s">
        <v>28</v>
      </c>
      <c r="I9724" s="11" t="s">
        <v>28</v>
      </c>
      <c r="J9724" s="11" t="s">
        <v>28</v>
      </c>
      <c r="K9724" s="11" t="s">
        <v>28</v>
      </c>
      <c r="L9724" s="11" t="s">
        <v>28</v>
      </c>
      <c r="M9724" s="11" t="s">
        <v>28</v>
      </c>
      <c r="N9724" s="8">
        <v>42199</v>
      </c>
      <c r="O9724" s="9" t="s">
        <v>30</v>
      </c>
      <c r="P9724" s="12" t="s">
        <v>27670</v>
      </c>
      <c r="Q9724" s="9" t="s">
        <v>3048</v>
      </c>
      <c r="R9724" s="14" t="str">
        <f>HYPERLINK("https://my.pitchbook.com?c=53818-84T","View Company Online")</f>
        <v>View Company Online</v>
      </c>
    </row>
    <row r="9725" spans="1:18" hidden="1" x14ac:dyDescent="0.3">
      <c r="A9725" s="15" t="s">
        <v>27671</v>
      </c>
      <c r="B9725" s="15" t="s">
        <v>27672</v>
      </c>
      <c r="C9725" s="18" t="s">
        <v>28</v>
      </c>
      <c r="D9725" s="15" t="s">
        <v>27673</v>
      </c>
      <c r="E9725" s="18" t="s">
        <v>28</v>
      </c>
      <c r="F9725" s="19" t="s">
        <v>28</v>
      </c>
      <c r="G9725" s="19" t="s">
        <v>28</v>
      </c>
      <c r="H9725" s="19" t="s">
        <v>28</v>
      </c>
      <c r="I9725" s="18" t="s">
        <v>28</v>
      </c>
      <c r="J9725" s="18" t="s">
        <v>28</v>
      </c>
      <c r="K9725" s="18" t="s">
        <v>28</v>
      </c>
      <c r="L9725" s="18" t="s">
        <v>28</v>
      </c>
      <c r="M9725" s="18" t="s">
        <v>28</v>
      </c>
      <c r="N9725" s="17">
        <v>42198</v>
      </c>
      <c r="O9725" s="15" t="s">
        <v>30</v>
      </c>
      <c r="P9725" s="16" t="s">
        <v>3597</v>
      </c>
      <c r="Q9725" s="15" t="s">
        <v>285</v>
      </c>
      <c r="R9725" s="13" t="str">
        <f>HYPERLINK("https://my.pitchbook.com?c=116145-64T","View Company Online")</f>
        <v>View Company Online</v>
      </c>
    </row>
    <row r="9726" spans="1:18" hidden="1" x14ac:dyDescent="0.3">
      <c r="A9726" s="9" t="s">
        <v>27674</v>
      </c>
      <c r="B9726" s="9" t="s">
        <v>23459</v>
      </c>
      <c r="C9726" s="11" t="s">
        <v>28</v>
      </c>
      <c r="D9726" s="9" t="s">
        <v>23460</v>
      </c>
      <c r="E9726" s="11" t="s">
        <v>28</v>
      </c>
      <c r="F9726" s="10" t="s">
        <v>28</v>
      </c>
      <c r="G9726" s="10" t="s">
        <v>28</v>
      </c>
      <c r="H9726" s="10" t="s">
        <v>28</v>
      </c>
      <c r="I9726" s="11" t="s">
        <v>28</v>
      </c>
      <c r="J9726" s="11" t="s">
        <v>28</v>
      </c>
      <c r="K9726" s="11" t="s">
        <v>28</v>
      </c>
      <c r="L9726" s="11" t="s">
        <v>28</v>
      </c>
      <c r="M9726" s="11" t="s">
        <v>28</v>
      </c>
      <c r="N9726" s="8">
        <v>42198</v>
      </c>
      <c r="O9726" s="9" t="s">
        <v>58</v>
      </c>
      <c r="P9726" s="12" t="s">
        <v>27675</v>
      </c>
      <c r="Q9726" s="9" t="s">
        <v>114</v>
      </c>
      <c r="R9726" s="14" t="str">
        <f>HYPERLINK("https://my.pitchbook.com?c=55304-56T","View Company Online")</f>
        <v>View Company Online</v>
      </c>
    </row>
    <row r="9727" spans="1:18" hidden="1" x14ac:dyDescent="0.3">
      <c r="A9727" s="15" t="s">
        <v>27676</v>
      </c>
      <c r="B9727" s="15" t="s">
        <v>27677</v>
      </c>
      <c r="C9727" s="18" t="s">
        <v>28</v>
      </c>
      <c r="D9727" s="15" t="s">
        <v>27678</v>
      </c>
      <c r="E9727" s="18">
        <v>-19.95</v>
      </c>
      <c r="F9727" s="19" t="s">
        <v>28</v>
      </c>
      <c r="G9727" s="19" t="s">
        <v>28</v>
      </c>
      <c r="H9727" s="19" t="s">
        <v>28</v>
      </c>
      <c r="I9727" s="18">
        <v>2.75</v>
      </c>
      <c r="J9727" s="18" t="s">
        <v>28</v>
      </c>
      <c r="K9727" s="18">
        <v>86.55</v>
      </c>
      <c r="L9727" s="18" t="s">
        <v>28</v>
      </c>
      <c r="M9727" s="18">
        <v>-20.54</v>
      </c>
      <c r="N9727" s="17">
        <v>42198</v>
      </c>
      <c r="O9727" s="15" t="s">
        <v>30</v>
      </c>
      <c r="P9727" s="16" t="s">
        <v>27679</v>
      </c>
      <c r="Q9727" s="15" t="s">
        <v>226</v>
      </c>
      <c r="R9727" s="13" t="str">
        <f>HYPERLINK("https://my.pitchbook.com?c=45870-31T","View Company Online")</f>
        <v>View Company Online</v>
      </c>
    </row>
    <row r="9728" spans="1:18" hidden="1" x14ac:dyDescent="0.3">
      <c r="A9728" s="9" t="s">
        <v>27680</v>
      </c>
      <c r="B9728" s="9" t="s">
        <v>10956</v>
      </c>
      <c r="C9728" s="11" t="s">
        <v>28</v>
      </c>
      <c r="D9728" s="9" t="s">
        <v>10957</v>
      </c>
      <c r="E9728" s="11">
        <v>-414.42</v>
      </c>
      <c r="F9728" s="10" t="s">
        <v>28</v>
      </c>
      <c r="G9728" s="10">
        <v>50</v>
      </c>
      <c r="H9728" s="10">
        <v>526.32000000000005</v>
      </c>
      <c r="I9728" s="11">
        <v>-263.45</v>
      </c>
      <c r="J9728" s="11">
        <v>-2</v>
      </c>
      <c r="K9728" s="11">
        <v>3693.1</v>
      </c>
      <c r="L9728" s="11">
        <v>0.14000000000000001</v>
      </c>
      <c r="M9728" s="11">
        <v>-766.91</v>
      </c>
      <c r="N9728" s="8">
        <v>42195</v>
      </c>
      <c r="O9728" s="9" t="s">
        <v>159</v>
      </c>
      <c r="P9728" s="12" t="s">
        <v>27681</v>
      </c>
      <c r="Q9728" s="9" t="s">
        <v>2168</v>
      </c>
      <c r="R9728" s="14" t="str">
        <f>HYPERLINK("https://my.pitchbook.com?c=112267-45T","View Company Online")</f>
        <v>View Company Online</v>
      </c>
    </row>
    <row r="9729" spans="1:18" hidden="1" x14ac:dyDescent="0.3">
      <c r="A9729" s="15" t="s">
        <v>27682</v>
      </c>
      <c r="B9729" s="15" t="s">
        <v>13964</v>
      </c>
      <c r="C9729" s="18" t="s">
        <v>28</v>
      </c>
      <c r="D9729" s="15" t="s">
        <v>13965</v>
      </c>
      <c r="E9729" s="18" t="s">
        <v>28</v>
      </c>
      <c r="F9729" s="19" t="s">
        <v>28</v>
      </c>
      <c r="G9729" s="19">
        <v>0.16</v>
      </c>
      <c r="H9729" s="19" t="s">
        <v>28</v>
      </c>
      <c r="I9729" s="18" t="s">
        <v>28</v>
      </c>
      <c r="J9729" s="18" t="s">
        <v>28</v>
      </c>
      <c r="K9729" s="18" t="s">
        <v>28</v>
      </c>
      <c r="L9729" s="18" t="s">
        <v>28</v>
      </c>
      <c r="M9729" s="18" t="s">
        <v>28</v>
      </c>
      <c r="N9729" s="17">
        <v>42195</v>
      </c>
      <c r="O9729" s="15" t="s">
        <v>9098</v>
      </c>
      <c r="P9729" s="16" t="s">
        <v>28</v>
      </c>
      <c r="Q9729" s="15" t="s">
        <v>75</v>
      </c>
      <c r="R9729" s="13" t="str">
        <f>HYPERLINK("https://my.pitchbook.com?c=179907-22T","View Company Online")</f>
        <v>View Company Online</v>
      </c>
    </row>
    <row r="9730" spans="1:18" hidden="1" x14ac:dyDescent="0.3">
      <c r="A9730" s="9" t="s">
        <v>27683</v>
      </c>
      <c r="B9730" s="9" t="s">
        <v>27684</v>
      </c>
      <c r="C9730" s="11" t="s">
        <v>28</v>
      </c>
      <c r="D9730" s="9" t="s">
        <v>27685</v>
      </c>
      <c r="E9730" s="11" t="s">
        <v>28</v>
      </c>
      <c r="F9730" s="10" t="s">
        <v>28</v>
      </c>
      <c r="G9730" s="10" t="s">
        <v>28</v>
      </c>
      <c r="H9730" s="10" t="s">
        <v>28</v>
      </c>
      <c r="I9730" s="11" t="s">
        <v>28</v>
      </c>
      <c r="J9730" s="11" t="s">
        <v>28</v>
      </c>
      <c r="K9730" s="11">
        <v>30.02</v>
      </c>
      <c r="L9730" s="11" t="s">
        <v>28</v>
      </c>
      <c r="M9730" s="11" t="s">
        <v>28</v>
      </c>
      <c r="N9730" s="8">
        <v>42193</v>
      </c>
      <c r="O9730" s="9" t="s">
        <v>30</v>
      </c>
      <c r="P9730" s="12" t="s">
        <v>27686</v>
      </c>
      <c r="Q9730" s="9" t="s">
        <v>409</v>
      </c>
      <c r="R9730" s="14" t="str">
        <f>HYPERLINK("https://my.pitchbook.com?c=53398-90T","View Company Online")</f>
        <v>View Company Online</v>
      </c>
    </row>
    <row r="9731" spans="1:18" hidden="1" x14ac:dyDescent="0.3">
      <c r="A9731" s="15" t="s">
        <v>27687</v>
      </c>
      <c r="B9731" s="15" t="s">
        <v>27688</v>
      </c>
      <c r="C9731" s="18" t="s">
        <v>28</v>
      </c>
      <c r="D9731" s="15" t="s">
        <v>27689</v>
      </c>
      <c r="E9731" s="18" t="s">
        <v>28</v>
      </c>
      <c r="F9731" s="19" t="s">
        <v>28</v>
      </c>
      <c r="G9731" s="19" t="s">
        <v>28</v>
      </c>
      <c r="H9731" s="19" t="s">
        <v>28</v>
      </c>
      <c r="I9731" s="18" t="s">
        <v>28</v>
      </c>
      <c r="J9731" s="18" t="s">
        <v>28</v>
      </c>
      <c r="K9731" s="18" t="s">
        <v>28</v>
      </c>
      <c r="L9731" s="18" t="s">
        <v>28</v>
      </c>
      <c r="M9731" s="18" t="s">
        <v>28</v>
      </c>
      <c r="N9731" s="17">
        <v>42192</v>
      </c>
      <c r="O9731" s="15" t="s">
        <v>30</v>
      </c>
      <c r="P9731" s="16" t="s">
        <v>4468</v>
      </c>
      <c r="Q9731" s="15" t="s">
        <v>105</v>
      </c>
      <c r="R9731" s="13" t="str">
        <f>HYPERLINK("https://my.pitchbook.com?c=73627-39T","View Company Online")</f>
        <v>View Company Online</v>
      </c>
    </row>
    <row r="9732" spans="1:18" hidden="1" x14ac:dyDescent="0.3">
      <c r="A9732" s="9" t="s">
        <v>27690</v>
      </c>
      <c r="B9732" s="9" t="s">
        <v>27691</v>
      </c>
      <c r="C9732" s="11" t="s">
        <v>28</v>
      </c>
      <c r="D9732" s="9" t="s">
        <v>27692</v>
      </c>
      <c r="E9732" s="11" t="s">
        <v>28</v>
      </c>
      <c r="F9732" s="10" t="s">
        <v>28</v>
      </c>
      <c r="G9732" s="10">
        <v>78.599999999999994</v>
      </c>
      <c r="H9732" s="10">
        <v>393</v>
      </c>
      <c r="I9732" s="11" t="s">
        <v>28</v>
      </c>
      <c r="J9732" s="11" t="s">
        <v>28</v>
      </c>
      <c r="K9732" s="11" t="s">
        <v>28</v>
      </c>
      <c r="L9732" s="11" t="s">
        <v>28</v>
      </c>
      <c r="M9732" s="11" t="s">
        <v>28</v>
      </c>
      <c r="N9732" s="8">
        <v>42191</v>
      </c>
      <c r="O9732" s="9" t="s">
        <v>58</v>
      </c>
      <c r="P9732" s="12" t="s">
        <v>27693</v>
      </c>
      <c r="Q9732" s="9" t="s">
        <v>8999</v>
      </c>
      <c r="R9732" s="14" t="str">
        <f>HYPERLINK("https://my.pitchbook.com?c=53154-37T","View Company Online")</f>
        <v>View Company Online</v>
      </c>
    </row>
    <row r="9733" spans="1:18" x14ac:dyDescent="0.3">
      <c r="A9733" s="15" t="s">
        <v>27694</v>
      </c>
      <c r="B9733" s="15" t="s">
        <v>26287</v>
      </c>
      <c r="C9733" s="18">
        <v>2.25</v>
      </c>
      <c r="D9733" s="15" t="s">
        <v>26288</v>
      </c>
      <c r="E9733" s="18">
        <v>194.84</v>
      </c>
      <c r="F9733" s="19">
        <v>438.06</v>
      </c>
      <c r="G9733" s="19">
        <v>576.46</v>
      </c>
      <c r="H9733" s="19">
        <v>576.46</v>
      </c>
      <c r="I9733" s="18">
        <v>195.01</v>
      </c>
      <c r="J9733" s="18">
        <v>2.96</v>
      </c>
      <c r="K9733" s="18">
        <v>278.20999999999998</v>
      </c>
      <c r="L9733" s="18">
        <v>2.0699999999999998</v>
      </c>
      <c r="M9733" s="18">
        <v>32.74</v>
      </c>
      <c r="N9733" s="17">
        <v>42187</v>
      </c>
      <c r="O9733" s="15" t="s">
        <v>30</v>
      </c>
      <c r="P9733" s="16" t="s">
        <v>27695</v>
      </c>
      <c r="Q9733" s="15" t="s">
        <v>240</v>
      </c>
      <c r="R9733" s="13" t="str">
        <f>HYPERLINK("https://my.pitchbook.com?c=46403-56T","View Company Online")</f>
        <v>View Company Online</v>
      </c>
    </row>
    <row r="9734" spans="1:18" hidden="1" x14ac:dyDescent="0.3">
      <c r="A9734" s="9" t="s">
        <v>27696</v>
      </c>
      <c r="B9734" s="9" t="s">
        <v>27697</v>
      </c>
      <c r="C9734" s="11" t="s">
        <v>28</v>
      </c>
      <c r="D9734" s="9" t="s">
        <v>27698</v>
      </c>
      <c r="E9734" s="11" t="s">
        <v>28</v>
      </c>
      <c r="F9734" s="10">
        <v>209</v>
      </c>
      <c r="G9734" s="10">
        <v>209</v>
      </c>
      <c r="H9734" s="10">
        <v>209</v>
      </c>
      <c r="I9734" s="11" t="s">
        <v>28</v>
      </c>
      <c r="J9734" s="11" t="s">
        <v>28</v>
      </c>
      <c r="K9734" s="11" t="s">
        <v>28</v>
      </c>
      <c r="L9734" s="11" t="s">
        <v>28</v>
      </c>
      <c r="M9734" s="11" t="s">
        <v>28</v>
      </c>
      <c r="N9734" s="8">
        <v>42187</v>
      </c>
      <c r="O9734" s="9" t="s">
        <v>30</v>
      </c>
      <c r="P9734" s="12" t="s">
        <v>28</v>
      </c>
      <c r="Q9734" s="9" t="s">
        <v>119</v>
      </c>
      <c r="R9734" s="14" t="str">
        <f>HYPERLINK("https://my.pitchbook.com?c=64478-80T","View Company Online")</f>
        <v>View Company Online</v>
      </c>
    </row>
    <row r="9735" spans="1:18" hidden="1" x14ac:dyDescent="0.3">
      <c r="A9735" s="15" t="s">
        <v>27699</v>
      </c>
      <c r="B9735" s="15" t="s">
        <v>27700</v>
      </c>
      <c r="C9735" s="18" t="s">
        <v>28</v>
      </c>
      <c r="D9735" s="15" t="s">
        <v>27701</v>
      </c>
      <c r="E9735" s="18" t="s">
        <v>28</v>
      </c>
      <c r="F9735" s="19" t="s">
        <v>28</v>
      </c>
      <c r="G9735" s="19">
        <v>0.77</v>
      </c>
      <c r="H9735" s="19" t="s">
        <v>28</v>
      </c>
      <c r="I9735" s="18" t="s">
        <v>28</v>
      </c>
      <c r="J9735" s="18" t="s">
        <v>28</v>
      </c>
      <c r="K9735" s="18" t="s">
        <v>28</v>
      </c>
      <c r="L9735" s="18" t="s">
        <v>28</v>
      </c>
      <c r="M9735" s="18" t="s">
        <v>28</v>
      </c>
      <c r="N9735" s="17">
        <v>42186</v>
      </c>
      <c r="O9735" s="15" t="s">
        <v>99</v>
      </c>
      <c r="P9735" s="16" t="s">
        <v>27702</v>
      </c>
      <c r="Q9735" s="15" t="s">
        <v>119</v>
      </c>
      <c r="R9735" s="13" t="str">
        <f>HYPERLINK("https://my.pitchbook.com?c=126031-06T","View Company Online")</f>
        <v>View Company Online</v>
      </c>
    </row>
    <row r="9736" spans="1:18" hidden="1" x14ac:dyDescent="0.3">
      <c r="A9736" s="9" t="s">
        <v>27703</v>
      </c>
      <c r="B9736" s="9" t="s">
        <v>27704</v>
      </c>
      <c r="C9736" s="11" t="s">
        <v>28</v>
      </c>
      <c r="D9736" s="9" t="s">
        <v>27705</v>
      </c>
      <c r="E9736" s="11" t="s">
        <v>28</v>
      </c>
      <c r="F9736" s="10" t="s">
        <v>28</v>
      </c>
      <c r="G9736" s="10">
        <v>0.26</v>
      </c>
      <c r="H9736" s="10" t="s">
        <v>28</v>
      </c>
      <c r="I9736" s="11" t="s">
        <v>28</v>
      </c>
      <c r="J9736" s="11" t="s">
        <v>28</v>
      </c>
      <c r="K9736" s="11" t="s">
        <v>28</v>
      </c>
      <c r="L9736" s="11" t="s">
        <v>28</v>
      </c>
      <c r="M9736" s="11" t="s">
        <v>28</v>
      </c>
      <c r="N9736" s="8">
        <v>42186</v>
      </c>
      <c r="O9736" s="9" t="s">
        <v>99</v>
      </c>
      <c r="P9736" s="12" t="s">
        <v>10515</v>
      </c>
      <c r="Q9736" s="9" t="s">
        <v>75</v>
      </c>
      <c r="R9736" s="14" t="str">
        <f>HYPERLINK("https://my.pitchbook.com?c=126033-13T","View Company Online")</f>
        <v>View Company Online</v>
      </c>
    </row>
    <row r="9737" spans="1:18" hidden="1" x14ac:dyDescent="0.3">
      <c r="A9737" s="15" t="s">
        <v>27706</v>
      </c>
      <c r="B9737" s="15" t="s">
        <v>27707</v>
      </c>
      <c r="C9737" s="18" t="s">
        <v>28</v>
      </c>
      <c r="D9737" s="15" t="s">
        <v>27708</v>
      </c>
      <c r="E9737" s="18" t="s">
        <v>28</v>
      </c>
      <c r="F9737" s="19" t="s">
        <v>28</v>
      </c>
      <c r="G9737" s="19" t="s">
        <v>28</v>
      </c>
      <c r="H9737" s="19" t="s">
        <v>28</v>
      </c>
      <c r="I9737" s="18" t="s">
        <v>28</v>
      </c>
      <c r="J9737" s="18" t="s">
        <v>28</v>
      </c>
      <c r="K9737" s="18" t="s">
        <v>28</v>
      </c>
      <c r="L9737" s="18" t="s">
        <v>28</v>
      </c>
      <c r="M9737" s="18" t="s">
        <v>28</v>
      </c>
      <c r="N9737" s="17">
        <v>42186</v>
      </c>
      <c r="O9737" s="15" t="s">
        <v>52</v>
      </c>
      <c r="P9737" s="16" t="s">
        <v>27131</v>
      </c>
      <c r="Q9737" s="15" t="s">
        <v>14987</v>
      </c>
      <c r="R9737" s="13" t="str">
        <f>HYPERLINK("https://my.pitchbook.com?c=71064-28T","View Company Online")</f>
        <v>View Company Online</v>
      </c>
    </row>
    <row r="9738" spans="1:18" hidden="1" x14ac:dyDescent="0.3">
      <c r="A9738" s="9" t="s">
        <v>27709</v>
      </c>
      <c r="B9738" s="9" t="s">
        <v>27710</v>
      </c>
      <c r="C9738" s="11" t="s">
        <v>28</v>
      </c>
      <c r="D9738" s="9" t="s">
        <v>27711</v>
      </c>
      <c r="E9738" s="11" t="s">
        <v>28</v>
      </c>
      <c r="F9738" s="10" t="s">
        <v>28</v>
      </c>
      <c r="G9738" s="10" t="s">
        <v>28</v>
      </c>
      <c r="H9738" s="10" t="s">
        <v>28</v>
      </c>
      <c r="I9738" s="11" t="s">
        <v>28</v>
      </c>
      <c r="J9738" s="11" t="s">
        <v>28</v>
      </c>
      <c r="K9738" s="11" t="s">
        <v>28</v>
      </c>
      <c r="L9738" s="11" t="s">
        <v>28</v>
      </c>
      <c r="M9738" s="11" t="s">
        <v>28</v>
      </c>
      <c r="N9738" s="8">
        <v>42186</v>
      </c>
      <c r="O9738" s="9" t="s">
        <v>173</v>
      </c>
      <c r="P9738" s="12" t="s">
        <v>28</v>
      </c>
      <c r="Q9738" s="9" t="s">
        <v>174</v>
      </c>
      <c r="R9738" s="14" t="str">
        <f>HYPERLINK("https://my.pitchbook.com?c=221358-52T","View Company Online")</f>
        <v>View Company Online</v>
      </c>
    </row>
    <row r="9739" spans="1:18" hidden="1" x14ac:dyDescent="0.3">
      <c r="A9739" s="15" t="s">
        <v>27712</v>
      </c>
      <c r="B9739" s="15" t="s">
        <v>27713</v>
      </c>
      <c r="C9739" s="18" t="s">
        <v>28</v>
      </c>
      <c r="D9739" s="15" t="s">
        <v>27714</v>
      </c>
      <c r="E9739" s="18" t="s">
        <v>28</v>
      </c>
      <c r="F9739" s="19" t="s">
        <v>28</v>
      </c>
      <c r="G9739" s="19">
        <v>0.8</v>
      </c>
      <c r="H9739" s="19" t="s">
        <v>28</v>
      </c>
      <c r="I9739" s="18" t="s">
        <v>28</v>
      </c>
      <c r="J9739" s="18" t="s">
        <v>28</v>
      </c>
      <c r="K9739" s="18">
        <v>1.02</v>
      </c>
      <c r="L9739" s="18" t="s">
        <v>28</v>
      </c>
      <c r="M9739" s="18" t="s">
        <v>28</v>
      </c>
      <c r="N9739" s="17">
        <v>42186</v>
      </c>
      <c r="O9739" s="15" t="s">
        <v>79</v>
      </c>
      <c r="P9739" s="16" t="s">
        <v>22576</v>
      </c>
      <c r="Q9739" s="15" t="s">
        <v>19855</v>
      </c>
      <c r="R9739" s="13" t="str">
        <f>HYPERLINK("https://my.pitchbook.com?c=86439-07T","View Company Online")</f>
        <v>View Company Online</v>
      </c>
    </row>
    <row r="9740" spans="1:18" hidden="1" x14ac:dyDescent="0.3">
      <c r="A9740" s="9" t="s">
        <v>27715</v>
      </c>
      <c r="B9740" s="9" t="s">
        <v>27716</v>
      </c>
      <c r="C9740" s="11" t="s">
        <v>28</v>
      </c>
      <c r="D9740" s="9" t="s">
        <v>27717</v>
      </c>
      <c r="E9740" s="11" t="s">
        <v>28</v>
      </c>
      <c r="F9740" s="10">
        <v>10.69</v>
      </c>
      <c r="G9740" s="10">
        <v>5.35</v>
      </c>
      <c r="H9740" s="10">
        <v>10.69</v>
      </c>
      <c r="I9740" s="11" t="s">
        <v>28</v>
      </c>
      <c r="J9740" s="11" t="s">
        <v>28</v>
      </c>
      <c r="K9740" s="11" t="s">
        <v>28</v>
      </c>
      <c r="L9740" s="11" t="s">
        <v>28</v>
      </c>
      <c r="M9740" s="11" t="s">
        <v>28</v>
      </c>
      <c r="N9740" s="8">
        <v>42186</v>
      </c>
      <c r="O9740" s="9" t="s">
        <v>30</v>
      </c>
      <c r="P9740" s="12" t="s">
        <v>27718</v>
      </c>
      <c r="Q9740" s="9" t="s">
        <v>470</v>
      </c>
      <c r="R9740" s="14" t="str">
        <f>HYPERLINK("https://my.pitchbook.com?c=45977-50T","View Company Online")</f>
        <v>View Company Online</v>
      </c>
    </row>
    <row r="9741" spans="1:18" hidden="1" x14ac:dyDescent="0.3">
      <c r="A9741" s="15" t="s">
        <v>27719</v>
      </c>
      <c r="B9741" s="15" t="s">
        <v>20489</v>
      </c>
      <c r="C9741" s="18" t="s">
        <v>28</v>
      </c>
      <c r="D9741" s="15" t="s">
        <v>20490</v>
      </c>
      <c r="E9741" s="18" t="s">
        <v>28</v>
      </c>
      <c r="F9741" s="19" t="s">
        <v>28</v>
      </c>
      <c r="G9741" s="19" t="s">
        <v>28</v>
      </c>
      <c r="H9741" s="19" t="s">
        <v>28</v>
      </c>
      <c r="I9741" s="18" t="s">
        <v>28</v>
      </c>
      <c r="J9741" s="18" t="s">
        <v>28</v>
      </c>
      <c r="K9741" s="18" t="s">
        <v>28</v>
      </c>
      <c r="L9741" s="18" t="s">
        <v>28</v>
      </c>
      <c r="M9741" s="18" t="s">
        <v>28</v>
      </c>
      <c r="N9741" s="17">
        <v>42186</v>
      </c>
      <c r="O9741" s="15" t="s">
        <v>73</v>
      </c>
      <c r="P9741" s="16" t="s">
        <v>27720</v>
      </c>
      <c r="Q9741" s="15" t="s">
        <v>583</v>
      </c>
      <c r="R9741" s="13" t="str">
        <f>HYPERLINK("https://my.pitchbook.com?c=76071-88T","View Company Online")</f>
        <v>View Company Online</v>
      </c>
    </row>
    <row r="9742" spans="1:18" hidden="1" x14ac:dyDescent="0.3">
      <c r="A9742" s="9" t="s">
        <v>27721</v>
      </c>
      <c r="B9742" s="9" t="s">
        <v>24811</v>
      </c>
      <c r="C9742" s="11" t="s">
        <v>28</v>
      </c>
      <c r="D9742" s="9" t="s">
        <v>24812</v>
      </c>
      <c r="E9742" s="11" t="s">
        <v>28</v>
      </c>
      <c r="F9742" s="10" t="s">
        <v>28</v>
      </c>
      <c r="G9742" s="10">
        <v>3.2</v>
      </c>
      <c r="H9742" s="10" t="s">
        <v>28</v>
      </c>
      <c r="I9742" s="11" t="s">
        <v>28</v>
      </c>
      <c r="J9742" s="11" t="s">
        <v>28</v>
      </c>
      <c r="K9742" s="11">
        <v>12.74</v>
      </c>
      <c r="L9742" s="11" t="s">
        <v>28</v>
      </c>
      <c r="M9742" s="11" t="s">
        <v>28</v>
      </c>
      <c r="N9742" s="8">
        <v>42186</v>
      </c>
      <c r="O9742" s="9" t="s">
        <v>73</v>
      </c>
      <c r="P9742" s="12" t="s">
        <v>27722</v>
      </c>
      <c r="Q9742" s="9" t="s">
        <v>740</v>
      </c>
      <c r="R9742" s="14" t="str">
        <f>HYPERLINK("https://my.pitchbook.com?c=60561-19T","View Company Online")</f>
        <v>View Company Online</v>
      </c>
    </row>
    <row r="9743" spans="1:18" hidden="1" x14ac:dyDescent="0.3">
      <c r="A9743" s="15" t="s">
        <v>27723</v>
      </c>
      <c r="B9743" s="15" t="s">
        <v>27724</v>
      </c>
      <c r="C9743" s="18" t="s">
        <v>28</v>
      </c>
      <c r="D9743" s="15" t="s">
        <v>27725</v>
      </c>
      <c r="E9743" s="18" t="s">
        <v>28</v>
      </c>
      <c r="F9743" s="19" t="s">
        <v>28</v>
      </c>
      <c r="G9743" s="19" t="s">
        <v>28</v>
      </c>
      <c r="H9743" s="19" t="s">
        <v>28</v>
      </c>
      <c r="I9743" s="18" t="s">
        <v>28</v>
      </c>
      <c r="J9743" s="18" t="s">
        <v>28</v>
      </c>
      <c r="K9743" s="18" t="s">
        <v>28</v>
      </c>
      <c r="L9743" s="18" t="s">
        <v>28</v>
      </c>
      <c r="M9743" s="18" t="s">
        <v>28</v>
      </c>
      <c r="N9743" s="17">
        <v>42186</v>
      </c>
      <c r="O9743" s="15" t="s">
        <v>30</v>
      </c>
      <c r="P9743" s="16" t="s">
        <v>27726</v>
      </c>
      <c r="Q9743" s="15" t="s">
        <v>3912</v>
      </c>
      <c r="R9743" s="13" t="str">
        <f>HYPERLINK("https://my.pitchbook.com?c=52771-69T","View Company Online")</f>
        <v>View Company Online</v>
      </c>
    </row>
    <row r="9744" spans="1:18" hidden="1" x14ac:dyDescent="0.3">
      <c r="A9744" s="9" t="s">
        <v>27727</v>
      </c>
      <c r="B9744" s="9" t="s">
        <v>27728</v>
      </c>
      <c r="C9744" s="11" t="s">
        <v>28</v>
      </c>
      <c r="D9744" s="9" t="s">
        <v>17362</v>
      </c>
      <c r="E9744" s="11" t="s">
        <v>28</v>
      </c>
      <c r="F9744" s="10" t="s">
        <v>28</v>
      </c>
      <c r="G9744" s="10" t="s">
        <v>28</v>
      </c>
      <c r="H9744" s="10" t="s">
        <v>28</v>
      </c>
      <c r="I9744" s="11" t="s">
        <v>28</v>
      </c>
      <c r="J9744" s="11" t="s">
        <v>28</v>
      </c>
      <c r="K9744" s="11" t="s">
        <v>28</v>
      </c>
      <c r="L9744" s="11" t="s">
        <v>28</v>
      </c>
      <c r="M9744" s="11" t="s">
        <v>28</v>
      </c>
      <c r="N9744" s="8">
        <v>42186</v>
      </c>
      <c r="O9744" s="9" t="s">
        <v>379</v>
      </c>
      <c r="P9744" s="12" t="s">
        <v>28</v>
      </c>
      <c r="Q9744" s="9" t="s">
        <v>105</v>
      </c>
      <c r="R9744" s="14" t="str">
        <f>HYPERLINK("https://my.pitchbook.com?c=263266-66T","View Company Online")</f>
        <v>View Company Online</v>
      </c>
    </row>
    <row r="9745" spans="1:18" hidden="1" x14ac:dyDescent="0.3">
      <c r="A9745" s="15" t="s">
        <v>27729</v>
      </c>
      <c r="B9745" s="15" t="s">
        <v>16358</v>
      </c>
      <c r="C9745" s="18" t="s">
        <v>28</v>
      </c>
      <c r="D9745" s="15" t="s">
        <v>16359</v>
      </c>
      <c r="E9745" s="18" t="s">
        <v>28</v>
      </c>
      <c r="F9745" s="19" t="s">
        <v>28</v>
      </c>
      <c r="G9745" s="19">
        <v>30</v>
      </c>
      <c r="H9745" s="19">
        <v>320</v>
      </c>
      <c r="I9745" s="18" t="s">
        <v>28</v>
      </c>
      <c r="J9745" s="18" t="s">
        <v>28</v>
      </c>
      <c r="K9745" s="18" t="s">
        <v>28</v>
      </c>
      <c r="L9745" s="18" t="s">
        <v>28</v>
      </c>
      <c r="M9745" s="18" t="s">
        <v>28</v>
      </c>
      <c r="N9745" s="17">
        <v>42186</v>
      </c>
      <c r="O9745" s="15" t="s">
        <v>79</v>
      </c>
      <c r="P9745" s="16" t="s">
        <v>27730</v>
      </c>
      <c r="Q9745" s="15" t="s">
        <v>414</v>
      </c>
      <c r="R9745" s="13" t="str">
        <f>HYPERLINK("https://my.pitchbook.com?c=52920-82T","View Company Online")</f>
        <v>View Company Online</v>
      </c>
    </row>
    <row r="9746" spans="1:18" hidden="1" x14ac:dyDescent="0.3">
      <c r="A9746" s="9" t="s">
        <v>27731</v>
      </c>
      <c r="B9746" s="9" t="s">
        <v>27732</v>
      </c>
      <c r="C9746" s="11" t="s">
        <v>28</v>
      </c>
      <c r="D9746" s="9" t="s">
        <v>27733</v>
      </c>
      <c r="E9746" s="11" t="s">
        <v>28</v>
      </c>
      <c r="F9746" s="10" t="s">
        <v>28</v>
      </c>
      <c r="G9746" s="10">
        <v>3.2</v>
      </c>
      <c r="H9746" s="10" t="s">
        <v>28</v>
      </c>
      <c r="I9746" s="11" t="s">
        <v>28</v>
      </c>
      <c r="J9746" s="11" t="s">
        <v>28</v>
      </c>
      <c r="K9746" s="11">
        <v>0.47</v>
      </c>
      <c r="L9746" s="11" t="s">
        <v>28</v>
      </c>
      <c r="M9746" s="11" t="s">
        <v>28</v>
      </c>
      <c r="N9746" s="8">
        <v>42186</v>
      </c>
      <c r="O9746" s="9" t="s">
        <v>73</v>
      </c>
      <c r="P9746" s="12" t="s">
        <v>27734</v>
      </c>
      <c r="Q9746" s="9" t="s">
        <v>404</v>
      </c>
      <c r="R9746" s="14" t="str">
        <f>HYPERLINK("https://my.pitchbook.com?c=45120-34T","View Company Online")</f>
        <v>View Company Online</v>
      </c>
    </row>
    <row r="9747" spans="1:18" hidden="1" x14ac:dyDescent="0.3">
      <c r="A9747" s="15" t="s">
        <v>27735</v>
      </c>
      <c r="B9747" s="15" t="s">
        <v>27736</v>
      </c>
      <c r="C9747" s="18" t="s">
        <v>28</v>
      </c>
      <c r="D9747" s="15" t="s">
        <v>27737</v>
      </c>
      <c r="E9747" s="18" t="s">
        <v>28</v>
      </c>
      <c r="F9747" s="19" t="s">
        <v>28</v>
      </c>
      <c r="G9747" s="19" t="s">
        <v>28</v>
      </c>
      <c r="H9747" s="19" t="s">
        <v>28</v>
      </c>
      <c r="I9747" s="18" t="s">
        <v>28</v>
      </c>
      <c r="J9747" s="18" t="s">
        <v>28</v>
      </c>
      <c r="K9747" s="18">
        <v>26.53</v>
      </c>
      <c r="L9747" s="18" t="s">
        <v>28</v>
      </c>
      <c r="M9747" s="18" t="s">
        <v>28</v>
      </c>
      <c r="N9747" s="17">
        <v>42186</v>
      </c>
      <c r="O9747" s="15" t="s">
        <v>30</v>
      </c>
      <c r="P9747" s="16" t="s">
        <v>27738</v>
      </c>
      <c r="Q9747" s="15" t="s">
        <v>740</v>
      </c>
      <c r="R9747" s="13" t="str">
        <f>HYPERLINK("https://my.pitchbook.com?c=52785-64T","View Company Online")</f>
        <v>View Company Online</v>
      </c>
    </row>
    <row r="9748" spans="1:18" hidden="1" x14ac:dyDescent="0.3">
      <c r="A9748" s="9" t="s">
        <v>27739</v>
      </c>
      <c r="B9748" s="9" t="s">
        <v>27740</v>
      </c>
      <c r="C9748" s="11" t="s">
        <v>28</v>
      </c>
      <c r="D9748" s="9" t="s">
        <v>27741</v>
      </c>
      <c r="E9748" s="11" t="s">
        <v>28</v>
      </c>
      <c r="F9748" s="10" t="s">
        <v>28</v>
      </c>
      <c r="G9748" s="10" t="s">
        <v>28</v>
      </c>
      <c r="H9748" s="10" t="s">
        <v>28</v>
      </c>
      <c r="I9748" s="11" t="s">
        <v>28</v>
      </c>
      <c r="J9748" s="11" t="s">
        <v>28</v>
      </c>
      <c r="K9748" s="11" t="s">
        <v>28</v>
      </c>
      <c r="L9748" s="11" t="s">
        <v>28</v>
      </c>
      <c r="M9748" s="11" t="s">
        <v>28</v>
      </c>
      <c r="N9748" s="8">
        <v>42186</v>
      </c>
      <c r="O9748" s="9" t="s">
        <v>41</v>
      </c>
      <c r="P9748" s="12" t="s">
        <v>24116</v>
      </c>
      <c r="Q9748" s="9" t="s">
        <v>1051</v>
      </c>
      <c r="R9748" s="14" t="str">
        <f>HYPERLINK("https://my.pitchbook.com?c=58663-27T","View Company Online")</f>
        <v>View Company Online</v>
      </c>
    </row>
    <row r="9749" spans="1:18" hidden="1" x14ac:dyDescent="0.3">
      <c r="A9749" s="15" t="s">
        <v>27742</v>
      </c>
      <c r="B9749" s="15" t="s">
        <v>27743</v>
      </c>
      <c r="C9749" s="18" t="s">
        <v>28</v>
      </c>
      <c r="D9749" s="15" t="s">
        <v>27744</v>
      </c>
      <c r="E9749" s="18" t="s">
        <v>28</v>
      </c>
      <c r="F9749" s="19" t="s">
        <v>28</v>
      </c>
      <c r="G9749" s="19">
        <v>31.13</v>
      </c>
      <c r="H9749" s="19">
        <v>126.13</v>
      </c>
      <c r="I9749" s="18" t="s">
        <v>28</v>
      </c>
      <c r="J9749" s="18" t="s">
        <v>28</v>
      </c>
      <c r="K9749" s="18" t="s">
        <v>28</v>
      </c>
      <c r="L9749" s="18" t="s">
        <v>28</v>
      </c>
      <c r="M9749" s="18" t="s">
        <v>28</v>
      </c>
      <c r="N9749" s="17">
        <v>42185</v>
      </c>
      <c r="O9749" s="15" t="s">
        <v>159</v>
      </c>
      <c r="P9749" s="16" t="s">
        <v>27745</v>
      </c>
      <c r="Q9749" s="15" t="s">
        <v>169</v>
      </c>
      <c r="R9749" s="13" t="str">
        <f>HYPERLINK("https://my.pitchbook.com?c=47894-68T","View Company Online")</f>
        <v>View Company Online</v>
      </c>
    </row>
    <row r="9750" spans="1:18" hidden="1" x14ac:dyDescent="0.3">
      <c r="A9750" s="9" t="s">
        <v>27746</v>
      </c>
      <c r="B9750" s="9" t="s">
        <v>27747</v>
      </c>
      <c r="C9750" s="11" t="s">
        <v>28</v>
      </c>
      <c r="D9750" s="9" t="s">
        <v>27748</v>
      </c>
      <c r="E9750" s="11" t="s">
        <v>28</v>
      </c>
      <c r="F9750" s="10" t="s">
        <v>28</v>
      </c>
      <c r="G9750" s="10" t="s">
        <v>28</v>
      </c>
      <c r="H9750" s="10" t="s">
        <v>28</v>
      </c>
      <c r="I9750" s="11" t="s">
        <v>28</v>
      </c>
      <c r="J9750" s="11" t="s">
        <v>28</v>
      </c>
      <c r="K9750" s="11" t="s">
        <v>28</v>
      </c>
      <c r="L9750" s="11" t="s">
        <v>28</v>
      </c>
      <c r="M9750" s="11" t="s">
        <v>28</v>
      </c>
      <c r="N9750" s="8">
        <v>42185</v>
      </c>
      <c r="O9750" s="9" t="s">
        <v>30</v>
      </c>
      <c r="P9750" s="12" t="s">
        <v>27749</v>
      </c>
      <c r="Q9750" s="9" t="s">
        <v>188</v>
      </c>
      <c r="R9750" s="14" t="str">
        <f>HYPERLINK("https://my.pitchbook.com?c=54271-00T","View Company Online")</f>
        <v>View Company Online</v>
      </c>
    </row>
    <row r="9751" spans="1:18" hidden="1" x14ac:dyDescent="0.3">
      <c r="A9751" s="15" t="s">
        <v>27750</v>
      </c>
      <c r="B9751" s="15" t="s">
        <v>24817</v>
      </c>
      <c r="C9751" s="18" t="s">
        <v>28</v>
      </c>
      <c r="D9751" s="15" t="s">
        <v>24818</v>
      </c>
      <c r="E9751" s="18">
        <v>114.01</v>
      </c>
      <c r="F9751" s="19" t="s">
        <v>28</v>
      </c>
      <c r="G9751" s="19">
        <v>100.57</v>
      </c>
      <c r="H9751" s="19">
        <v>2011.47</v>
      </c>
      <c r="I9751" s="18">
        <v>197.99</v>
      </c>
      <c r="J9751" s="18">
        <v>10.16</v>
      </c>
      <c r="K9751" s="18">
        <v>2464.36</v>
      </c>
      <c r="L9751" s="18">
        <v>0.82</v>
      </c>
      <c r="M9751" s="18">
        <v>-27.62</v>
      </c>
      <c r="N9751" s="17">
        <v>42181</v>
      </c>
      <c r="O9751" s="15" t="s">
        <v>58</v>
      </c>
      <c r="P9751" s="16" t="s">
        <v>27751</v>
      </c>
      <c r="Q9751" s="15" t="s">
        <v>2168</v>
      </c>
      <c r="R9751" s="13" t="str">
        <f>HYPERLINK("https://my.pitchbook.com?c=55138-15T","View Company Online")</f>
        <v>View Company Online</v>
      </c>
    </row>
    <row r="9752" spans="1:18" hidden="1" x14ac:dyDescent="0.3">
      <c r="A9752" s="9" t="s">
        <v>27752</v>
      </c>
      <c r="B9752" s="9" t="s">
        <v>27233</v>
      </c>
      <c r="C9752" s="11" t="s">
        <v>28</v>
      </c>
      <c r="D9752" s="9" t="s">
        <v>27234</v>
      </c>
      <c r="E9752" s="11" t="s">
        <v>28</v>
      </c>
      <c r="F9752" s="10" t="s">
        <v>28</v>
      </c>
      <c r="G9752" s="10">
        <v>0.04</v>
      </c>
      <c r="H9752" s="10" t="s">
        <v>28</v>
      </c>
      <c r="I9752" s="11" t="s">
        <v>28</v>
      </c>
      <c r="J9752" s="11" t="s">
        <v>28</v>
      </c>
      <c r="K9752" s="11" t="s">
        <v>28</v>
      </c>
      <c r="L9752" s="11" t="s">
        <v>28</v>
      </c>
      <c r="M9752" s="11" t="s">
        <v>28</v>
      </c>
      <c r="N9752" s="8">
        <v>42181</v>
      </c>
      <c r="O9752" s="9" t="s">
        <v>52</v>
      </c>
      <c r="P9752" s="12" t="s">
        <v>27753</v>
      </c>
      <c r="Q9752" s="9" t="s">
        <v>449</v>
      </c>
      <c r="R9752" s="14" t="str">
        <f>HYPERLINK("https://my.pitchbook.com?c=126040-60T","View Company Online")</f>
        <v>View Company Online</v>
      </c>
    </row>
    <row r="9753" spans="1:18" hidden="1" x14ac:dyDescent="0.3">
      <c r="A9753" s="15" t="s">
        <v>27754</v>
      </c>
      <c r="B9753" s="15" t="s">
        <v>27755</v>
      </c>
      <c r="C9753" s="18" t="s">
        <v>28</v>
      </c>
      <c r="D9753" s="15" t="s">
        <v>27756</v>
      </c>
      <c r="E9753" s="18" t="s">
        <v>28</v>
      </c>
      <c r="F9753" s="19" t="s">
        <v>28</v>
      </c>
      <c r="G9753" s="19">
        <v>4.8</v>
      </c>
      <c r="H9753" s="19">
        <v>10.66</v>
      </c>
      <c r="I9753" s="18" t="s">
        <v>28</v>
      </c>
      <c r="J9753" s="18" t="s">
        <v>28</v>
      </c>
      <c r="K9753" s="18" t="s">
        <v>28</v>
      </c>
      <c r="L9753" s="18" t="s">
        <v>28</v>
      </c>
      <c r="M9753" s="18" t="s">
        <v>28</v>
      </c>
      <c r="N9753" s="17">
        <v>42181</v>
      </c>
      <c r="O9753" s="15" t="s">
        <v>58</v>
      </c>
      <c r="P9753" s="16" t="s">
        <v>27757</v>
      </c>
      <c r="Q9753" s="15" t="s">
        <v>4670</v>
      </c>
      <c r="R9753" s="13" t="str">
        <f>HYPERLINK("https://my.pitchbook.com?c=76104-82T","View Company Online")</f>
        <v>View Company Online</v>
      </c>
    </row>
    <row r="9754" spans="1:18" hidden="1" x14ac:dyDescent="0.3">
      <c r="A9754" s="9" t="s">
        <v>27758</v>
      </c>
      <c r="B9754" s="9" t="s">
        <v>22299</v>
      </c>
      <c r="C9754" s="11" t="s">
        <v>28</v>
      </c>
      <c r="D9754" s="9" t="s">
        <v>22300</v>
      </c>
      <c r="E9754" s="11" t="s">
        <v>28</v>
      </c>
      <c r="F9754" s="10" t="s">
        <v>28</v>
      </c>
      <c r="G9754" s="10">
        <v>53.31</v>
      </c>
      <c r="H9754" s="10" t="s">
        <v>28</v>
      </c>
      <c r="I9754" s="11" t="s">
        <v>28</v>
      </c>
      <c r="J9754" s="11" t="s">
        <v>28</v>
      </c>
      <c r="K9754" s="11" t="s">
        <v>28</v>
      </c>
      <c r="L9754" s="11" t="s">
        <v>28</v>
      </c>
      <c r="M9754" s="11" t="s">
        <v>28</v>
      </c>
      <c r="N9754" s="8">
        <v>42179</v>
      </c>
      <c r="O9754" s="9" t="s">
        <v>93</v>
      </c>
      <c r="P9754" s="12" t="s">
        <v>28</v>
      </c>
      <c r="Q9754" s="9" t="s">
        <v>880</v>
      </c>
      <c r="R9754" s="14" t="str">
        <f>HYPERLINK("https://my.pitchbook.com?c=52415-38T","View Company Online")</f>
        <v>View Company Online</v>
      </c>
    </row>
    <row r="9755" spans="1:18" hidden="1" x14ac:dyDescent="0.3">
      <c r="A9755" s="15" t="s">
        <v>27759</v>
      </c>
      <c r="B9755" s="15" t="s">
        <v>23531</v>
      </c>
      <c r="C9755" s="18" t="s">
        <v>28</v>
      </c>
      <c r="D9755" s="15" t="s">
        <v>23532</v>
      </c>
      <c r="E9755" s="18" t="s">
        <v>28</v>
      </c>
      <c r="F9755" s="19" t="s">
        <v>28</v>
      </c>
      <c r="G9755" s="19">
        <v>27.99</v>
      </c>
      <c r="H9755" s="19" t="s">
        <v>28</v>
      </c>
      <c r="I9755" s="18" t="s">
        <v>28</v>
      </c>
      <c r="J9755" s="18" t="s">
        <v>28</v>
      </c>
      <c r="K9755" s="18" t="s">
        <v>28</v>
      </c>
      <c r="L9755" s="18" t="s">
        <v>28</v>
      </c>
      <c r="M9755" s="18" t="s">
        <v>28</v>
      </c>
      <c r="N9755" s="17">
        <v>42178</v>
      </c>
      <c r="O9755" s="15" t="s">
        <v>73</v>
      </c>
      <c r="P9755" s="16" t="s">
        <v>27760</v>
      </c>
      <c r="Q9755" s="15" t="s">
        <v>85</v>
      </c>
      <c r="R9755" s="13" t="str">
        <f>HYPERLINK("https://my.pitchbook.com?c=48828-43T","View Company Online")</f>
        <v>View Company Online</v>
      </c>
    </row>
    <row r="9756" spans="1:18" hidden="1" x14ac:dyDescent="0.3">
      <c r="A9756" s="9" t="s">
        <v>27761</v>
      </c>
      <c r="B9756" s="9" t="s">
        <v>5837</v>
      </c>
      <c r="C9756" s="11" t="s">
        <v>28</v>
      </c>
      <c r="D9756" s="9" t="s">
        <v>5838</v>
      </c>
      <c r="E9756" s="11" t="s">
        <v>28</v>
      </c>
      <c r="F9756" s="10" t="s">
        <v>28</v>
      </c>
      <c r="G9756" s="10">
        <v>1.77</v>
      </c>
      <c r="H9756" s="10" t="s">
        <v>28</v>
      </c>
      <c r="I9756" s="11" t="s">
        <v>28</v>
      </c>
      <c r="J9756" s="11" t="s">
        <v>28</v>
      </c>
      <c r="K9756" s="11" t="s">
        <v>28</v>
      </c>
      <c r="L9756" s="11" t="s">
        <v>28</v>
      </c>
      <c r="M9756" s="11" t="s">
        <v>28</v>
      </c>
      <c r="N9756" s="8">
        <v>42178</v>
      </c>
      <c r="O9756" s="9" t="s">
        <v>73</v>
      </c>
      <c r="P9756" s="12" t="s">
        <v>27762</v>
      </c>
      <c r="Q9756" s="9" t="s">
        <v>75</v>
      </c>
      <c r="R9756" s="14" t="str">
        <f>HYPERLINK("https://my.pitchbook.com?c=74968-93T","View Company Online")</f>
        <v>View Company Online</v>
      </c>
    </row>
    <row r="9757" spans="1:18" hidden="1" x14ac:dyDescent="0.3">
      <c r="A9757" s="15" t="s">
        <v>27763</v>
      </c>
      <c r="B9757" s="15" t="s">
        <v>18592</v>
      </c>
      <c r="C9757" s="18" t="s">
        <v>28</v>
      </c>
      <c r="D9757" s="15" t="s">
        <v>18593</v>
      </c>
      <c r="E9757" s="18" t="s">
        <v>28</v>
      </c>
      <c r="F9757" s="19" t="s">
        <v>28</v>
      </c>
      <c r="G9757" s="19" t="s">
        <v>28</v>
      </c>
      <c r="H9757" s="19" t="s">
        <v>28</v>
      </c>
      <c r="I9757" s="18" t="s">
        <v>28</v>
      </c>
      <c r="J9757" s="18" t="s">
        <v>28</v>
      </c>
      <c r="K9757" s="18">
        <v>951.25</v>
      </c>
      <c r="L9757" s="18" t="s">
        <v>28</v>
      </c>
      <c r="M9757" s="18" t="s">
        <v>28</v>
      </c>
      <c r="N9757" s="17">
        <v>42177</v>
      </c>
      <c r="O9757" s="15" t="s">
        <v>93</v>
      </c>
      <c r="P9757" s="16" t="s">
        <v>27764</v>
      </c>
      <c r="Q9757" s="15" t="s">
        <v>6392</v>
      </c>
      <c r="R9757" s="13" t="str">
        <f>HYPERLINK("https://my.pitchbook.com?c=61681-69T","View Company Online")</f>
        <v>View Company Online</v>
      </c>
    </row>
    <row r="9758" spans="1:18" hidden="1" x14ac:dyDescent="0.3">
      <c r="A9758" s="9" t="s">
        <v>27765</v>
      </c>
      <c r="B9758" s="9" t="s">
        <v>26056</v>
      </c>
      <c r="C9758" s="11" t="s">
        <v>28</v>
      </c>
      <c r="D9758" s="9" t="s">
        <v>26057</v>
      </c>
      <c r="E9758" s="11" t="s">
        <v>28</v>
      </c>
      <c r="F9758" s="10" t="s">
        <v>28</v>
      </c>
      <c r="G9758" s="10" t="s">
        <v>28</v>
      </c>
      <c r="H9758" s="10" t="s">
        <v>28</v>
      </c>
      <c r="I9758" s="11" t="s">
        <v>28</v>
      </c>
      <c r="J9758" s="11" t="s">
        <v>28</v>
      </c>
      <c r="K9758" s="11" t="s">
        <v>28</v>
      </c>
      <c r="L9758" s="11" t="s">
        <v>28</v>
      </c>
      <c r="M9758" s="11" t="s">
        <v>28</v>
      </c>
      <c r="N9758" s="8">
        <v>42177</v>
      </c>
      <c r="O9758" s="9" t="s">
        <v>52</v>
      </c>
      <c r="P9758" s="12" t="s">
        <v>1792</v>
      </c>
      <c r="Q9758" s="9" t="s">
        <v>855</v>
      </c>
      <c r="R9758" s="14" t="str">
        <f>HYPERLINK("https://my.pitchbook.com?c=84787-84T","View Company Online")</f>
        <v>View Company Online</v>
      </c>
    </row>
    <row r="9759" spans="1:18" hidden="1" x14ac:dyDescent="0.3">
      <c r="A9759" s="15" t="s">
        <v>27766</v>
      </c>
      <c r="B9759" s="15" t="s">
        <v>27590</v>
      </c>
      <c r="C9759" s="18" t="s">
        <v>28</v>
      </c>
      <c r="D9759" s="15" t="s">
        <v>27591</v>
      </c>
      <c r="E9759" s="18" t="s">
        <v>28</v>
      </c>
      <c r="F9759" s="19" t="s">
        <v>28</v>
      </c>
      <c r="G9759" s="19">
        <v>0.02</v>
      </c>
      <c r="H9759" s="19" t="s">
        <v>28</v>
      </c>
      <c r="I9759" s="18" t="s">
        <v>28</v>
      </c>
      <c r="J9759" s="18" t="s">
        <v>28</v>
      </c>
      <c r="K9759" s="18" t="s">
        <v>28</v>
      </c>
      <c r="L9759" s="18" t="s">
        <v>28</v>
      </c>
      <c r="M9759" s="18" t="s">
        <v>28</v>
      </c>
      <c r="N9759" s="17">
        <v>42176</v>
      </c>
      <c r="O9759" s="15" t="s">
        <v>52</v>
      </c>
      <c r="P9759" s="16" t="s">
        <v>15600</v>
      </c>
      <c r="Q9759" s="15" t="s">
        <v>43</v>
      </c>
      <c r="R9759" s="13" t="str">
        <f>HYPERLINK("https://my.pitchbook.com?c=210457-27T","View Company Online")</f>
        <v>View Company Online</v>
      </c>
    </row>
    <row r="9760" spans="1:18" hidden="1" x14ac:dyDescent="0.3">
      <c r="A9760" s="9" t="s">
        <v>27767</v>
      </c>
      <c r="B9760" s="9" t="s">
        <v>22322</v>
      </c>
      <c r="C9760" s="11" t="s">
        <v>28</v>
      </c>
      <c r="D9760" s="9" t="s">
        <v>22323</v>
      </c>
      <c r="E9760" s="11" t="s">
        <v>28</v>
      </c>
      <c r="F9760" s="10" t="s">
        <v>28</v>
      </c>
      <c r="G9760" s="10" t="s">
        <v>28</v>
      </c>
      <c r="H9760" s="10" t="s">
        <v>28</v>
      </c>
      <c r="I9760" s="11" t="s">
        <v>28</v>
      </c>
      <c r="J9760" s="11" t="s">
        <v>28</v>
      </c>
      <c r="K9760" s="11" t="s">
        <v>28</v>
      </c>
      <c r="L9760" s="11" t="s">
        <v>28</v>
      </c>
      <c r="M9760" s="11" t="s">
        <v>28</v>
      </c>
      <c r="N9760" s="8">
        <v>42175</v>
      </c>
      <c r="O9760" s="9" t="s">
        <v>52</v>
      </c>
      <c r="P9760" s="12" t="s">
        <v>8261</v>
      </c>
      <c r="Q9760" s="9" t="s">
        <v>404</v>
      </c>
      <c r="R9760" s="14" t="str">
        <f>HYPERLINK("https://my.pitchbook.com?c=134137-81T","View Company Online")</f>
        <v>View Company Online</v>
      </c>
    </row>
    <row r="9761" spans="1:18" hidden="1" x14ac:dyDescent="0.3">
      <c r="A9761" s="15" t="s">
        <v>27768</v>
      </c>
      <c r="B9761" s="15" t="s">
        <v>27769</v>
      </c>
      <c r="C9761" s="18" t="s">
        <v>28</v>
      </c>
      <c r="D9761" s="15" t="s">
        <v>27770</v>
      </c>
      <c r="E9761" s="18" t="s">
        <v>28</v>
      </c>
      <c r="F9761" s="19" t="s">
        <v>28</v>
      </c>
      <c r="G9761" s="19" t="s">
        <v>28</v>
      </c>
      <c r="H9761" s="19" t="s">
        <v>28</v>
      </c>
      <c r="I9761" s="18" t="s">
        <v>28</v>
      </c>
      <c r="J9761" s="18" t="s">
        <v>28</v>
      </c>
      <c r="K9761" s="18" t="s">
        <v>28</v>
      </c>
      <c r="L9761" s="18" t="s">
        <v>28</v>
      </c>
      <c r="M9761" s="18" t="s">
        <v>28</v>
      </c>
      <c r="N9761" s="17">
        <v>42173</v>
      </c>
      <c r="O9761" s="15" t="s">
        <v>30</v>
      </c>
      <c r="P9761" s="16" t="s">
        <v>27771</v>
      </c>
      <c r="Q9761" s="15" t="s">
        <v>114</v>
      </c>
      <c r="R9761" s="13" t="str">
        <f>HYPERLINK("https://my.pitchbook.com?c=52036-66T","View Company Online")</f>
        <v>View Company Online</v>
      </c>
    </row>
    <row r="9762" spans="1:18" hidden="1" x14ac:dyDescent="0.3">
      <c r="A9762" s="9" t="s">
        <v>27772</v>
      </c>
      <c r="B9762" s="9" t="s">
        <v>27773</v>
      </c>
      <c r="C9762" s="11" t="s">
        <v>28</v>
      </c>
      <c r="D9762" s="9" t="s">
        <v>27774</v>
      </c>
      <c r="E9762" s="11" t="s">
        <v>28</v>
      </c>
      <c r="F9762" s="10" t="s">
        <v>28</v>
      </c>
      <c r="G9762" s="10" t="s">
        <v>28</v>
      </c>
      <c r="H9762" s="10" t="s">
        <v>28</v>
      </c>
      <c r="I9762" s="11" t="s">
        <v>28</v>
      </c>
      <c r="J9762" s="11" t="s">
        <v>28</v>
      </c>
      <c r="K9762" s="11" t="s">
        <v>28</v>
      </c>
      <c r="L9762" s="11" t="s">
        <v>28</v>
      </c>
      <c r="M9762" s="11" t="s">
        <v>28</v>
      </c>
      <c r="N9762" s="8">
        <v>42172</v>
      </c>
      <c r="O9762" s="9" t="s">
        <v>30</v>
      </c>
      <c r="P9762" s="12" t="s">
        <v>27775</v>
      </c>
      <c r="Q9762" s="9" t="s">
        <v>109</v>
      </c>
      <c r="R9762" s="14" t="str">
        <f>HYPERLINK("https://my.pitchbook.com?c=114191-83T","View Company Online")</f>
        <v>View Company Online</v>
      </c>
    </row>
    <row r="9763" spans="1:18" hidden="1" x14ac:dyDescent="0.3">
      <c r="A9763" s="15" t="s">
        <v>27776</v>
      </c>
      <c r="B9763" s="15" t="s">
        <v>239</v>
      </c>
      <c r="C9763" s="18" t="s">
        <v>28</v>
      </c>
      <c r="D9763" s="15" t="s">
        <v>4519</v>
      </c>
      <c r="E9763" s="18" t="s">
        <v>28</v>
      </c>
      <c r="F9763" s="19" t="s">
        <v>28</v>
      </c>
      <c r="G9763" s="19">
        <v>12.94</v>
      </c>
      <c r="H9763" s="19" t="s">
        <v>28</v>
      </c>
      <c r="I9763" s="18" t="s">
        <v>28</v>
      </c>
      <c r="J9763" s="18" t="s">
        <v>28</v>
      </c>
      <c r="K9763" s="18" t="s">
        <v>28</v>
      </c>
      <c r="L9763" s="18" t="s">
        <v>28</v>
      </c>
      <c r="M9763" s="18" t="s">
        <v>28</v>
      </c>
      <c r="N9763" s="17">
        <v>42172</v>
      </c>
      <c r="O9763" s="15" t="s">
        <v>73</v>
      </c>
      <c r="P9763" s="16" t="s">
        <v>27777</v>
      </c>
      <c r="Q9763" s="15" t="s">
        <v>95</v>
      </c>
      <c r="R9763" s="13" t="str">
        <f>HYPERLINK("https://my.pitchbook.com?c=52379-11T","View Company Online")</f>
        <v>View Company Online</v>
      </c>
    </row>
    <row r="9764" spans="1:18" hidden="1" x14ac:dyDescent="0.3">
      <c r="A9764" s="9" t="s">
        <v>27778</v>
      </c>
      <c r="B9764" s="9" t="s">
        <v>27779</v>
      </c>
      <c r="C9764" s="11" t="s">
        <v>28</v>
      </c>
      <c r="D9764" s="9" t="s">
        <v>27780</v>
      </c>
      <c r="E9764" s="11" t="s">
        <v>28</v>
      </c>
      <c r="F9764" s="10">
        <v>94.6</v>
      </c>
      <c r="G9764" s="10">
        <v>61.5</v>
      </c>
      <c r="H9764" s="10">
        <v>94.6</v>
      </c>
      <c r="I9764" s="11" t="s">
        <v>28</v>
      </c>
      <c r="J9764" s="11" t="s">
        <v>28</v>
      </c>
      <c r="K9764" s="11">
        <v>169.87</v>
      </c>
      <c r="L9764" s="11">
        <v>0.56000000000000005</v>
      </c>
      <c r="M9764" s="11" t="s">
        <v>28</v>
      </c>
      <c r="N9764" s="8">
        <v>42172</v>
      </c>
      <c r="O9764" s="9" t="s">
        <v>30</v>
      </c>
      <c r="P9764" s="12" t="s">
        <v>27781</v>
      </c>
      <c r="Q9764" s="9" t="s">
        <v>5347</v>
      </c>
      <c r="R9764" s="14" t="str">
        <f>HYPERLINK("https://my.pitchbook.com?c=68562-19T","View Company Online")</f>
        <v>View Company Online</v>
      </c>
    </row>
    <row r="9765" spans="1:18" hidden="1" x14ac:dyDescent="0.3">
      <c r="A9765" s="15" t="s">
        <v>27782</v>
      </c>
      <c r="B9765" s="15" t="s">
        <v>27783</v>
      </c>
      <c r="C9765" s="18" t="s">
        <v>28</v>
      </c>
      <c r="D9765" s="15" t="s">
        <v>24450</v>
      </c>
      <c r="E9765" s="18">
        <v>697.3</v>
      </c>
      <c r="F9765" s="19" t="s">
        <v>28</v>
      </c>
      <c r="G9765" s="19" t="s">
        <v>28</v>
      </c>
      <c r="H9765" s="19" t="s">
        <v>28</v>
      </c>
      <c r="I9765" s="18">
        <v>883.73</v>
      </c>
      <c r="J9765" s="18" t="s">
        <v>28</v>
      </c>
      <c r="K9765" s="18">
        <v>15606.91</v>
      </c>
      <c r="L9765" s="18" t="s">
        <v>28</v>
      </c>
      <c r="M9765" s="18">
        <v>224.22</v>
      </c>
      <c r="N9765" s="17">
        <v>42171</v>
      </c>
      <c r="O9765" s="15" t="s">
        <v>93</v>
      </c>
      <c r="P9765" s="16" t="s">
        <v>27784</v>
      </c>
      <c r="Q9765" s="15" t="s">
        <v>409</v>
      </c>
      <c r="R9765" s="13" t="str">
        <f>HYPERLINK("https://my.pitchbook.com?c=63560-98T","View Company Online")</f>
        <v>View Company Online</v>
      </c>
    </row>
    <row r="9766" spans="1:18" hidden="1" x14ac:dyDescent="0.3">
      <c r="A9766" s="9" t="s">
        <v>27785</v>
      </c>
      <c r="B9766" s="9" t="s">
        <v>20236</v>
      </c>
      <c r="C9766" s="11" t="s">
        <v>28</v>
      </c>
      <c r="D9766" s="9" t="s">
        <v>20237</v>
      </c>
      <c r="E9766" s="11" t="s">
        <v>28</v>
      </c>
      <c r="F9766" s="10" t="s">
        <v>28</v>
      </c>
      <c r="G9766" s="10">
        <v>30</v>
      </c>
      <c r="H9766" s="10" t="s">
        <v>28</v>
      </c>
      <c r="I9766" s="11" t="s">
        <v>28</v>
      </c>
      <c r="J9766" s="11" t="s">
        <v>28</v>
      </c>
      <c r="K9766" s="11" t="s">
        <v>28</v>
      </c>
      <c r="L9766" s="11" t="s">
        <v>28</v>
      </c>
      <c r="M9766" s="11" t="s">
        <v>28</v>
      </c>
      <c r="N9766" s="8">
        <v>42170</v>
      </c>
      <c r="O9766" s="9" t="s">
        <v>79</v>
      </c>
      <c r="P9766" s="12" t="s">
        <v>27786</v>
      </c>
      <c r="Q9766" s="9" t="s">
        <v>362</v>
      </c>
      <c r="R9766" s="14" t="str">
        <f>HYPERLINK("https://my.pitchbook.com?c=51853-60T","View Company Online")</f>
        <v>View Company Online</v>
      </c>
    </row>
    <row r="9767" spans="1:18" hidden="1" x14ac:dyDescent="0.3">
      <c r="A9767" s="15" t="s">
        <v>27787</v>
      </c>
      <c r="B9767" s="15" t="s">
        <v>27788</v>
      </c>
      <c r="C9767" s="18" t="s">
        <v>28</v>
      </c>
      <c r="D9767" s="15" t="s">
        <v>27789</v>
      </c>
      <c r="E9767" s="18" t="s">
        <v>28</v>
      </c>
      <c r="F9767" s="19" t="s">
        <v>28</v>
      </c>
      <c r="G9767" s="19" t="s">
        <v>28</v>
      </c>
      <c r="H9767" s="19" t="s">
        <v>28</v>
      </c>
      <c r="I9767" s="18" t="s">
        <v>28</v>
      </c>
      <c r="J9767" s="18" t="s">
        <v>28</v>
      </c>
      <c r="K9767" s="18" t="s">
        <v>28</v>
      </c>
      <c r="L9767" s="18" t="s">
        <v>28</v>
      </c>
      <c r="M9767" s="18" t="s">
        <v>28</v>
      </c>
      <c r="N9767" s="17">
        <v>42170</v>
      </c>
      <c r="O9767" s="15" t="s">
        <v>30</v>
      </c>
      <c r="P9767" s="16" t="s">
        <v>27790</v>
      </c>
      <c r="Q9767" s="15" t="s">
        <v>5347</v>
      </c>
      <c r="R9767" s="13" t="str">
        <f>HYPERLINK("https://my.pitchbook.com?c=73625-68T","View Company Online")</f>
        <v>View Company Online</v>
      </c>
    </row>
    <row r="9768" spans="1:18" hidden="1" x14ac:dyDescent="0.3">
      <c r="A9768" s="9" t="s">
        <v>27791</v>
      </c>
      <c r="B9768" s="9" t="s">
        <v>14153</v>
      </c>
      <c r="C9768" s="11" t="s">
        <v>28</v>
      </c>
      <c r="D9768" s="9" t="s">
        <v>14154</v>
      </c>
      <c r="E9768" s="11" t="s">
        <v>28</v>
      </c>
      <c r="F9768" s="10">
        <v>232</v>
      </c>
      <c r="G9768" s="10">
        <v>232</v>
      </c>
      <c r="H9768" s="10">
        <v>232</v>
      </c>
      <c r="I9768" s="11" t="s">
        <v>28</v>
      </c>
      <c r="J9768" s="11" t="s">
        <v>28</v>
      </c>
      <c r="K9768" s="11">
        <v>75</v>
      </c>
      <c r="L9768" s="11">
        <v>3.09</v>
      </c>
      <c r="M9768" s="11" t="s">
        <v>28</v>
      </c>
      <c r="N9768" s="8">
        <v>42170</v>
      </c>
      <c r="O9768" s="9" t="s">
        <v>41</v>
      </c>
      <c r="P9768" s="12" t="s">
        <v>27792</v>
      </c>
      <c r="Q9768" s="9" t="s">
        <v>692</v>
      </c>
      <c r="R9768" s="14" t="str">
        <f>HYPERLINK("https://my.pitchbook.com?c=51905-71T","View Company Online")</f>
        <v>View Company Online</v>
      </c>
    </row>
    <row r="9769" spans="1:18" hidden="1" x14ac:dyDescent="0.3">
      <c r="A9769" s="15" t="s">
        <v>27793</v>
      </c>
      <c r="B9769" s="15" t="s">
        <v>27794</v>
      </c>
      <c r="C9769" s="18" t="s">
        <v>28</v>
      </c>
      <c r="D9769" s="15" t="s">
        <v>27795</v>
      </c>
      <c r="E9769" s="18" t="s">
        <v>28</v>
      </c>
      <c r="F9769" s="19" t="s">
        <v>28</v>
      </c>
      <c r="G9769" s="19" t="s">
        <v>28</v>
      </c>
      <c r="H9769" s="19" t="s">
        <v>28</v>
      </c>
      <c r="I9769" s="18" t="s">
        <v>28</v>
      </c>
      <c r="J9769" s="18" t="s">
        <v>28</v>
      </c>
      <c r="K9769" s="18" t="s">
        <v>28</v>
      </c>
      <c r="L9769" s="18" t="s">
        <v>28</v>
      </c>
      <c r="M9769" s="18" t="s">
        <v>28</v>
      </c>
      <c r="N9769" s="17">
        <v>42170</v>
      </c>
      <c r="O9769" s="15" t="s">
        <v>41</v>
      </c>
      <c r="P9769" s="16" t="s">
        <v>27796</v>
      </c>
      <c r="Q9769" s="15" t="s">
        <v>1982</v>
      </c>
      <c r="R9769" s="13" t="str">
        <f>HYPERLINK("https://my.pitchbook.com?c=52224-85T","View Company Online")</f>
        <v>View Company Online</v>
      </c>
    </row>
    <row r="9770" spans="1:18" hidden="1" x14ac:dyDescent="0.3">
      <c r="A9770" s="9" t="s">
        <v>27797</v>
      </c>
      <c r="B9770" s="9" t="s">
        <v>27798</v>
      </c>
      <c r="C9770" s="11" t="s">
        <v>28</v>
      </c>
      <c r="D9770" s="9" t="s">
        <v>27799</v>
      </c>
      <c r="E9770" s="11" t="s">
        <v>28</v>
      </c>
      <c r="F9770" s="10" t="s">
        <v>28</v>
      </c>
      <c r="G9770" s="10" t="s">
        <v>28</v>
      </c>
      <c r="H9770" s="10" t="s">
        <v>28</v>
      </c>
      <c r="I9770" s="11" t="s">
        <v>28</v>
      </c>
      <c r="J9770" s="11" t="s">
        <v>28</v>
      </c>
      <c r="K9770" s="11" t="s">
        <v>28</v>
      </c>
      <c r="L9770" s="11" t="s">
        <v>28</v>
      </c>
      <c r="M9770" s="11" t="s">
        <v>28</v>
      </c>
      <c r="N9770" s="8">
        <v>42170</v>
      </c>
      <c r="O9770" s="9" t="s">
        <v>30</v>
      </c>
      <c r="P9770" s="12" t="s">
        <v>25762</v>
      </c>
      <c r="Q9770" s="9" t="s">
        <v>381</v>
      </c>
      <c r="R9770" s="14" t="str">
        <f>HYPERLINK("https://my.pitchbook.com?c=35734-69T","View Company Online")</f>
        <v>View Company Online</v>
      </c>
    </row>
    <row r="9771" spans="1:18" hidden="1" x14ac:dyDescent="0.3">
      <c r="A9771" s="15" t="s">
        <v>27800</v>
      </c>
      <c r="B9771" s="15" t="s">
        <v>27801</v>
      </c>
      <c r="C9771" s="18" t="s">
        <v>28</v>
      </c>
      <c r="D9771" s="15" t="s">
        <v>27802</v>
      </c>
      <c r="E9771" s="18" t="s">
        <v>28</v>
      </c>
      <c r="F9771" s="19" t="s">
        <v>28</v>
      </c>
      <c r="G9771" s="19" t="s">
        <v>28</v>
      </c>
      <c r="H9771" s="19" t="s">
        <v>28</v>
      </c>
      <c r="I9771" s="18" t="s">
        <v>28</v>
      </c>
      <c r="J9771" s="18" t="s">
        <v>28</v>
      </c>
      <c r="K9771" s="18" t="s">
        <v>28</v>
      </c>
      <c r="L9771" s="18" t="s">
        <v>28</v>
      </c>
      <c r="M9771" s="18" t="s">
        <v>28</v>
      </c>
      <c r="N9771" s="17">
        <v>42170</v>
      </c>
      <c r="O9771" s="15" t="s">
        <v>99</v>
      </c>
      <c r="P9771" s="16" t="s">
        <v>27803</v>
      </c>
      <c r="Q9771" s="15" t="s">
        <v>855</v>
      </c>
      <c r="R9771" s="13" t="str">
        <f>HYPERLINK("https://my.pitchbook.com?c=60497-47T","View Company Online")</f>
        <v>View Company Online</v>
      </c>
    </row>
    <row r="9772" spans="1:18" hidden="1" x14ac:dyDescent="0.3">
      <c r="A9772" s="9" t="s">
        <v>27804</v>
      </c>
      <c r="B9772" s="9" t="s">
        <v>27805</v>
      </c>
      <c r="C9772" s="11" t="s">
        <v>28</v>
      </c>
      <c r="D9772" s="9" t="s">
        <v>27806</v>
      </c>
      <c r="E9772" s="11" t="s">
        <v>28</v>
      </c>
      <c r="F9772" s="10" t="s">
        <v>28</v>
      </c>
      <c r="G9772" s="10" t="s">
        <v>28</v>
      </c>
      <c r="H9772" s="10" t="s">
        <v>28</v>
      </c>
      <c r="I9772" s="11" t="s">
        <v>28</v>
      </c>
      <c r="J9772" s="11" t="s">
        <v>28</v>
      </c>
      <c r="K9772" s="11" t="s">
        <v>28</v>
      </c>
      <c r="L9772" s="11" t="s">
        <v>28</v>
      </c>
      <c r="M9772" s="11" t="s">
        <v>28</v>
      </c>
      <c r="N9772" s="8">
        <v>42167</v>
      </c>
      <c r="O9772" s="9" t="s">
        <v>30</v>
      </c>
      <c r="P9772" s="12" t="s">
        <v>27807</v>
      </c>
      <c r="Q9772" s="9" t="s">
        <v>119</v>
      </c>
      <c r="R9772" s="14" t="str">
        <f>HYPERLINK("https://my.pitchbook.com?c=216181-54T","View Company Online")</f>
        <v>View Company Online</v>
      </c>
    </row>
    <row r="9773" spans="1:18" hidden="1" x14ac:dyDescent="0.3">
      <c r="A9773" s="15" t="s">
        <v>27808</v>
      </c>
      <c r="B9773" s="15" t="s">
        <v>17187</v>
      </c>
      <c r="C9773" s="18" t="s">
        <v>28</v>
      </c>
      <c r="D9773" s="15" t="s">
        <v>17188</v>
      </c>
      <c r="E9773" s="18" t="s">
        <v>28</v>
      </c>
      <c r="F9773" s="19" t="s">
        <v>28</v>
      </c>
      <c r="G9773" s="19" t="s">
        <v>28</v>
      </c>
      <c r="H9773" s="19" t="s">
        <v>28</v>
      </c>
      <c r="I9773" s="18" t="s">
        <v>28</v>
      </c>
      <c r="J9773" s="18" t="s">
        <v>28</v>
      </c>
      <c r="K9773" s="18" t="s">
        <v>28</v>
      </c>
      <c r="L9773" s="18" t="s">
        <v>28</v>
      </c>
      <c r="M9773" s="18" t="s">
        <v>28</v>
      </c>
      <c r="N9773" s="17">
        <v>42166</v>
      </c>
      <c r="O9773" s="15" t="s">
        <v>52</v>
      </c>
      <c r="P9773" s="16" t="s">
        <v>27809</v>
      </c>
      <c r="Q9773" s="15" t="s">
        <v>75</v>
      </c>
      <c r="R9773" s="13" t="str">
        <f>HYPERLINK("https://my.pitchbook.com?c=106422-22T","View Company Online")</f>
        <v>View Company Online</v>
      </c>
    </row>
    <row r="9774" spans="1:18" hidden="1" x14ac:dyDescent="0.3">
      <c r="A9774" s="9" t="s">
        <v>27810</v>
      </c>
      <c r="B9774" s="9" t="s">
        <v>27811</v>
      </c>
      <c r="C9774" s="11" t="s">
        <v>28</v>
      </c>
      <c r="D9774" s="9" t="s">
        <v>27812</v>
      </c>
      <c r="E9774" s="11" t="s">
        <v>28</v>
      </c>
      <c r="F9774" s="10" t="s">
        <v>28</v>
      </c>
      <c r="G9774" s="10" t="s">
        <v>28</v>
      </c>
      <c r="H9774" s="10" t="s">
        <v>28</v>
      </c>
      <c r="I9774" s="11" t="s">
        <v>28</v>
      </c>
      <c r="J9774" s="11" t="s">
        <v>28</v>
      </c>
      <c r="K9774" s="11" t="s">
        <v>28</v>
      </c>
      <c r="L9774" s="11" t="s">
        <v>28</v>
      </c>
      <c r="M9774" s="11" t="s">
        <v>28</v>
      </c>
      <c r="N9774" s="8">
        <v>42164</v>
      </c>
      <c r="O9774" s="9" t="s">
        <v>93</v>
      </c>
      <c r="P9774" s="12" t="s">
        <v>27813</v>
      </c>
      <c r="Q9774" s="9" t="s">
        <v>226</v>
      </c>
      <c r="R9774" s="14" t="str">
        <f>HYPERLINK("https://my.pitchbook.com?c=51771-61T","View Company Online")</f>
        <v>View Company Online</v>
      </c>
    </row>
    <row r="9775" spans="1:18" hidden="1" x14ac:dyDescent="0.3">
      <c r="A9775" s="15" t="s">
        <v>27814</v>
      </c>
      <c r="B9775" s="15" t="s">
        <v>27815</v>
      </c>
      <c r="C9775" s="18" t="s">
        <v>28</v>
      </c>
      <c r="D9775" s="15" t="s">
        <v>27816</v>
      </c>
      <c r="E9775" s="18" t="s">
        <v>28</v>
      </c>
      <c r="F9775" s="19" t="s">
        <v>28</v>
      </c>
      <c r="G9775" s="19" t="s">
        <v>28</v>
      </c>
      <c r="H9775" s="19" t="s">
        <v>28</v>
      </c>
      <c r="I9775" s="18" t="s">
        <v>28</v>
      </c>
      <c r="J9775" s="18" t="s">
        <v>28</v>
      </c>
      <c r="K9775" s="18" t="s">
        <v>28</v>
      </c>
      <c r="L9775" s="18" t="s">
        <v>28</v>
      </c>
      <c r="M9775" s="18" t="s">
        <v>28</v>
      </c>
      <c r="N9775" s="17">
        <v>42164</v>
      </c>
      <c r="O9775" s="15" t="s">
        <v>79</v>
      </c>
      <c r="P9775" s="16" t="s">
        <v>23995</v>
      </c>
      <c r="Q9775" s="15" t="s">
        <v>245</v>
      </c>
      <c r="R9775" s="13" t="str">
        <f>HYPERLINK("https://my.pitchbook.com?c=56637-64T","View Company Online")</f>
        <v>View Company Online</v>
      </c>
    </row>
    <row r="9776" spans="1:18" hidden="1" x14ac:dyDescent="0.3">
      <c r="A9776" s="9" t="s">
        <v>27817</v>
      </c>
      <c r="B9776" s="9" t="s">
        <v>8277</v>
      </c>
      <c r="C9776" s="11" t="s">
        <v>28</v>
      </c>
      <c r="D9776" s="9" t="s">
        <v>8278</v>
      </c>
      <c r="E9776" s="11">
        <v>0.1</v>
      </c>
      <c r="F9776" s="10">
        <v>1.05</v>
      </c>
      <c r="G9776" s="10">
        <v>0.52</v>
      </c>
      <c r="H9776" s="10">
        <v>1.06</v>
      </c>
      <c r="I9776" s="11" t="s">
        <v>28</v>
      </c>
      <c r="J9776" s="11" t="s">
        <v>28</v>
      </c>
      <c r="K9776" s="11">
        <v>11.1</v>
      </c>
      <c r="L9776" s="11">
        <v>0.1</v>
      </c>
      <c r="M9776" s="11" t="s">
        <v>28</v>
      </c>
      <c r="N9776" s="8">
        <v>42163</v>
      </c>
      <c r="O9776" s="9" t="s">
        <v>30</v>
      </c>
      <c r="P9776" s="12" t="s">
        <v>27818</v>
      </c>
      <c r="Q9776" s="9" t="s">
        <v>299</v>
      </c>
      <c r="R9776" s="14" t="str">
        <f>HYPERLINK("https://my.pitchbook.com?c=51498-82T","View Company Online")</f>
        <v>View Company Online</v>
      </c>
    </row>
    <row r="9777" spans="1:18" hidden="1" x14ac:dyDescent="0.3">
      <c r="A9777" s="15" t="s">
        <v>27819</v>
      </c>
      <c r="B9777" s="15" t="s">
        <v>26886</v>
      </c>
      <c r="C9777" s="18" t="s">
        <v>28</v>
      </c>
      <c r="D9777" s="15" t="s">
        <v>26887</v>
      </c>
      <c r="E9777" s="18" t="s">
        <v>28</v>
      </c>
      <c r="F9777" s="19" t="s">
        <v>28</v>
      </c>
      <c r="G9777" s="19">
        <v>3.5</v>
      </c>
      <c r="H9777" s="19" t="s">
        <v>28</v>
      </c>
      <c r="I9777" s="18" t="s">
        <v>28</v>
      </c>
      <c r="J9777" s="18" t="s">
        <v>28</v>
      </c>
      <c r="K9777" s="18" t="s">
        <v>28</v>
      </c>
      <c r="L9777" s="18" t="s">
        <v>28</v>
      </c>
      <c r="M9777" s="18" t="s">
        <v>28</v>
      </c>
      <c r="N9777" s="17">
        <v>42159</v>
      </c>
      <c r="O9777" s="15" t="s">
        <v>79</v>
      </c>
      <c r="P9777" s="16" t="s">
        <v>27820</v>
      </c>
      <c r="Q9777" s="15" t="s">
        <v>740</v>
      </c>
      <c r="R9777" s="13" t="str">
        <f>HYPERLINK("https://my.pitchbook.com?c=51167-62T","View Company Online")</f>
        <v>View Company Online</v>
      </c>
    </row>
    <row r="9778" spans="1:18" hidden="1" x14ac:dyDescent="0.3">
      <c r="A9778" s="9" t="s">
        <v>27821</v>
      </c>
      <c r="B9778" s="9" t="s">
        <v>11110</v>
      </c>
      <c r="C9778" s="11" t="s">
        <v>28</v>
      </c>
      <c r="D9778" s="9" t="s">
        <v>11111</v>
      </c>
      <c r="E9778" s="11" t="s">
        <v>28</v>
      </c>
      <c r="F9778" s="10" t="s">
        <v>28</v>
      </c>
      <c r="G9778" s="10">
        <v>29.49</v>
      </c>
      <c r="H9778" s="10">
        <v>73.73</v>
      </c>
      <c r="I9778" s="11" t="s">
        <v>28</v>
      </c>
      <c r="J9778" s="11" t="s">
        <v>28</v>
      </c>
      <c r="K9778" s="11">
        <v>57.33</v>
      </c>
      <c r="L9778" s="11">
        <v>1.29</v>
      </c>
      <c r="M9778" s="11" t="s">
        <v>28</v>
      </c>
      <c r="N9778" s="8">
        <v>42158</v>
      </c>
      <c r="O9778" s="9" t="s">
        <v>58</v>
      </c>
      <c r="P9778" s="12" t="s">
        <v>27822</v>
      </c>
      <c r="Q9778" s="9" t="s">
        <v>11113</v>
      </c>
      <c r="R9778" s="14" t="str">
        <f>HYPERLINK("https://my.pitchbook.com?c=62718-76T","View Company Online")</f>
        <v>View Company Online</v>
      </c>
    </row>
    <row r="9779" spans="1:18" hidden="1" x14ac:dyDescent="0.3">
      <c r="A9779" s="15" t="s">
        <v>27823</v>
      </c>
      <c r="B9779" s="15" t="s">
        <v>11110</v>
      </c>
      <c r="C9779" s="18" t="s">
        <v>28</v>
      </c>
      <c r="D9779" s="15" t="s">
        <v>11111</v>
      </c>
      <c r="E9779" s="18" t="s">
        <v>28</v>
      </c>
      <c r="F9779" s="19" t="s">
        <v>28</v>
      </c>
      <c r="G9779" s="19">
        <v>20.79</v>
      </c>
      <c r="H9779" s="19">
        <v>69.3</v>
      </c>
      <c r="I9779" s="18" t="s">
        <v>28</v>
      </c>
      <c r="J9779" s="18" t="s">
        <v>28</v>
      </c>
      <c r="K9779" s="18">
        <v>57.33</v>
      </c>
      <c r="L9779" s="18">
        <v>1.21</v>
      </c>
      <c r="M9779" s="18" t="s">
        <v>28</v>
      </c>
      <c r="N9779" s="17">
        <v>42158</v>
      </c>
      <c r="O9779" s="15" t="s">
        <v>93</v>
      </c>
      <c r="P9779" s="16" t="s">
        <v>27824</v>
      </c>
      <c r="Q9779" s="15" t="s">
        <v>11113</v>
      </c>
      <c r="R9779" s="13" t="str">
        <f>HYPERLINK("https://my.pitchbook.com?c=80040-07T","View Company Online")</f>
        <v>View Company Online</v>
      </c>
    </row>
    <row r="9780" spans="1:18" hidden="1" x14ac:dyDescent="0.3">
      <c r="A9780" s="9" t="s">
        <v>27825</v>
      </c>
      <c r="B9780" s="9" t="s">
        <v>985</v>
      </c>
      <c r="C9780" s="11" t="s">
        <v>28</v>
      </c>
      <c r="D9780" s="9" t="s">
        <v>986</v>
      </c>
      <c r="E9780" s="11" t="s">
        <v>28</v>
      </c>
      <c r="F9780" s="10" t="s">
        <v>28</v>
      </c>
      <c r="G9780" s="10">
        <v>7.0000000000000007E-2</v>
      </c>
      <c r="H9780" s="10" t="s">
        <v>28</v>
      </c>
      <c r="I9780" s="11" t="s">
        <v>28</v>
      </c>
      <c r="J9780" s="11" t="s">
        <v>28</v>
      </c>
      <c r="K9780" s="11" t="s">
        <v>28</v>
      </c>
      <c r="L9780" s="11" t="s">
        <v>28</v>
      </c>
      <c r="M9780" s="11" t="s">
        <v>28</v>
      </c>
      <c r="N9780" s="8">
        <v>42158</v>
      </c>
      <c r="O9780" s="9" t="s">
        <v>79</v>
      </c>
      <c r="P9780" s="12" t="s">
        <v>25829</v>
      </c>
      <c r="Q9780" s="9" t="s">
        <v>37</v>
      </c>
      <c r="R9780" s="14" t="str">
        <f>HYPERLINK("https://my.pitchbook.com?c=54902-53T","View Company Online")</f>
        <v>View Company Online</v>
      </c>
    </row>
    <row r="9781" spans="1:18" hidden="1" x14ac:dyDescent="0.3">
      <c r="A9781" s="15" t="s">
        <v>27826</v>
      </c>
      <c r="B9781" s="15" t="s">
        <v>27827</v>
      </c>
      <c r="C9781" s="18" t="s">
        <v>28</v>
      </c>
      <c r="D9781" s="15" t="s">
        <v>27828</v>
      </c>
      <c r="E9781" s="18" t="s">
        <v>28</v>
      </c>
      <c r="F9781" s="19" t="s">
        <v>28</v>
      </c>
      <c r="G9781" s="19" t="s">
        <v>28</v>
      </c>
      <c r="H9781" s="19" t="s">
        <v>28</v>
      </c>
      <c r="I9781" s="18" t="s">
        <v>28</v>
      </c>
      <c r="J9781" s="18" t="s">
        <v>28</v>
      </c>
      <c r="K9781" s="18" t="s">
        <v>28</v>
      </c>
      <c r="L9781" s="18" t="s">
        <v>28</v>
      </c>
      <c r="M9781" s="18" t="s">
        <v>28</v>
      </c>
      <c r="N9781" s="17">
        <v>42158</v>
      </c>
      <c r="O9781" s="15" t="s">
        <v>30</v>
      </c>
      <c r="P9781" s="16" t="s">
        <v>27829</v>
      </c>
      <c r="Q9781" s="15" t="s">
        <v>75</v>
      </c>
      <c r="R9781" s="13" t="str">
        <f>HYPERLINK("https://my.pitchbook.com?c=73653-40T","View Company Online")</f>
        <v>View Company Online</v>
      </c>
    </row>
    <row r="9782" spans="1:18" hidden="1" x14ac:dyDescent="0.3">
      <c r="A9782" s="9" t="s">
        <v>27830</v>
      </c>
      <c r="B9782" s="9" t="s">
        <v>27831</v>
      </c>
      <c r="C9782" s="11" t="s">
        <v>28</v>
      </c>
      <c r="D9782" s="9" t="s">
        <v>27832</v>
      </c>
      <c r="E9782" s="11" t="s">
        <v>28</v>
      </c>
      <c r="F9782" s="10" t="s">
        <v>28</v>
      </c>
      <c r="G9782" s="10" t="s">
        <v>28</v>
      </c>
      <c r="H9782" s="10" t="s">
        <v>28</v>
      </c>
      <c r="I9782" s="11" t="s">
        <v>28</v>
      </c>
      <c r="J9782" s="11" t="s">
        <v>28</v>
      </c>
      <c r="K9782" s="11" t="s">
        <v>28</v>
      </c>
      <c r="L9782" s="11" t="s">
        <v>28</v>
      </c>
      <c r="M9782" s="11" t="s">
        <v>28</v>
      </c>
      <c r="N9782" s="8">
        <v>42157</v>
      </c>
      <c r="O9782" s="9" t="s">
        <v>30</v>
      </c>
      <c r="P9782" s="12" t="s">
        <v>27833</v>
      </c>
      <c r="Q9782" s="9" t="s">
        <v>299</v>
      </c>
      <c r="R9782" s="14" t="str">
        <f>HYPERLINK("https://my.pitchbook.com?c=73632-43T","View Company Online")</f>
        <v>View Company Online</v>
      </c>
    </row>
    <row r="9783" spans="1:18" hidden="1" x14ac:dyDescent="0.3">
      <c r="A9783" s="15" t="s">
        <v>27834</v>
      </c>
      <c r="B9783" s="15" t="s">
        <v>5785</v>
      </c>
      <c r="C9783" s="18" t="s">
        <v>28</v>
      </c>
      <c r="D9783" s="15" t="s">
        <v>12775</v>
      </c>
      <c r="E9783" s="18" t="s">
        <v>28</v>
      </c>
      <c r="F9783" s="19" t="s">
        <v>28</v>
      </c>
      <c r="G9783" s="19">
        <v>30</v>
      </c>
      <c r="H9783" s="19" t="s">
        <v>28</v>
      </c>
      <c r="I9783" s="18" t="s">
        <v>28</v>
      </c>
      <c r="J9783" s="18" t="s">
        <v>28</v>
      </c>
      <c r="K9783" s="18" t="s">
        <v>28</v>
      </c>
      <c r="L9783" s="18" t="s">
        <v>28</v>
      </c>
      <c r="M9783" s="18" t="s">
        <v>28</v>
      </c>
      <c r="N9783" s="17">
        <v>42157</v>
      </c>
      <c r="O9783" s="15" t="s">
        <v>73</v>
      </c>
      <c r="P9783" s="16" t="s">
        <v>27835</v>
      </c>
      <c r="Q9783" s="15" t="s">
        <v>1213</v>
      </c>
      <c r="R9783" s="13" t="str">
        <f>HYPERLINK("https://my.pitchbook.com?c=51209-38T","View Company Online")</f>
        <v>View Company Online</v>
      </c>
    </row>
    <row r="9784" spans="1:18" hidden="1" x14ac:dyDescent="0.3">
      <c r="A9784" s="9" t="s">
        <v>27836</v>
      </c>
      <c r="B9784" s="9" t="s">
        <v>25948</v>
      </c>
      <c r="C9784" s="11" t="s">
        <v>28</v>
      </c>
      <c r="D9784" s="9" t="s">
        <v>25949</v>
      </c>
      <c r="E9784" s="11" t="s">
        <v>28</v>
      </c>
      <c r="F9784" s="10" t="s">
        <v>28</v>
      </c>
      <c r="G9784" s="10">
        <v>30</v>
      </c>
      <c r="H9784" s="10" t="s">
        <v>28</v>
      </c>
      <c r="I9784" s="11" t="s">
        <v>28</v>
      </c>
      <c r="J9784" s="11" t="s">
        <v>28</v>
      </c>
      <c r="K9784" s="11" t="s">
        <v>28</v>
      </c>
      <c r="L9784" s="11" t="s">
        <v>28</v>
      </c>
      <c r="M9784" s="11" t="s">
        <v>28</v>
      </c>
      <c r="N9784" s="8">
        <v>42157</v>
      </c>
      <c r="O9784" s="9" t="s">
        <v>73</v>
      </c>
      <c r="P9784" s="12" t="s">
        <v>28</v>
      </c>
      <c r="Q9784" s="9" t="s">
        <v>37</v>
      </c>
      <c r="R9784" s="14" t="str">
        <f>HYPERLINK("https://my.pitchbook.com?c=52735-42T","View Company Online")</f>
        <v>View Company Online</v>
      </c>
    </row>
    <row r="9785" spans="1:18" hidden="1" x14ac:dyDescent="0.3">
      <c r="A9785" s="15" t="s">
        <v>27837</v>
      </c>
      <c r="B9785" s="15" t="s">
        <v>12512</v>
      </c>
      <c r="C9785" s="18" t="s">
        <v>28</v>
      </c>
      <c r="D9785" s="15" t="s">
        <v>27838</v>
      </c>
      <c r="E9785" s="18">
        <v>54.34</v>
      </c>
      <c r="F9785" s="19" t="s">
        <v>28</v>
      </c>
      <c r="G9785" s="19" t="s">
        <v>28</v>
      </c>
      <c r="H9785" s="19" t="s">
        <v>28</v>
      </c>
      <c r="I9785" s="18">
        <v>54.95</v>
      </c>
      <c r="J9785" s="18" t="s">
        <v>28</v>
      </c>
      <c r="K9785" s="18">
        <v>116.8</v>
      </c>
      <c r="L9785" s="18" t="s">
        <v>28</v>
      </c>
      <c r="M9785" s="18">
        <v>38.85</v>
      </c>
      <c r="N9785" s="17">
        <v>42157</v>
      </c>
      <c r="O9785" s="15" t="s">
        <v>173</v>
      </c>
      <c r="P9785" s="16" t="s">
        <v>28</v>
      </c>
      <c r="Q9785" s="15" t="s">
        <v>188</v>
      </c>
      <c r="R9785" s="13" t="str">
        <f>HYPERLINK("https://my.pitchbook.com?c=117003-34T","View Company Online")</f>
        <v>View Company Online</v>
      </c>
    </row>
    <row r="9786" spans="1:18" hidden="1" x14ac:dyDescent="0.3">
      <c r="A9786" s="9" t="s">
        <v>27839</v>
      </c>
      <c r="B9786" s="9" t="s">
        <v>20629</v>
      </c>
      <c r="C9786" s="11" t="s">
        <v>28</v>
      </c>
      <c r="D9786" s="9" t="s">
        <v>20630</v>
      </c>
      <c r="E9786" s="11" t="s">
        <v>28</v>
      </c>
      <c r="F9786" s="10" t="s">
        <v>28</v>
      </c>
      <c r="G9786" s="10">
        <v>0.03</v>
      </c>
      <c r="H9786" s="10" t="s">
        <v>28</v>
      </c>
      <c r="I9786" s="11" t="s">
        <v>28</v>
      </c>
      <c r="J9786" s="11" t="s">
        <v>28</v>
      </c>
      <c r="K9786" s="11" t="s">
        <v>28</v>
      </c>
      <c r="L9786" s="11" t="s">
        <v>28</v>
      </c>
      <c r="M9786" s="11" t="s">
        <v>28</v>
      </c>
      <c r="N9786" s="8">
        <v>42156</v>
      </c>
      <c r="O9786" s="9" t="s">
        <v>52</v>
      </c>
      <c r="P9786" s="12" t="s">
        <v>27840</v>
      </c>
      <c r="Q9786" s="9" t="s">
        <v>1179</v>
      </c>
      <c r="R9786" s="14" t="str">
        <f>HYPERLINK("https://my.pitchbook.com?c=76839-85T","View Company Online")</f>
        <v>View Company Online</v>
      </c>
    </row>
    <row r="9787" spans="1:18" hidden="1" x14ac:dyDescent="0.3">
      <c r="A9787" s="15" t="s">
        <v>27841</v>
      </c>
      <c r="B9787" s="15" t="s">
        <v>7135</v>
      </c>
      <c r="C9787" s="18" t="s">
        <v>28</v>
      </c>
      <c r="D9787" s="15" t="s">
        <v>7136</v>
      </c>
      <c r="E9787" s="18" t="s">
        <v>28</v>
      </c>
      <c r="F9787" s="19" t="s">
        <v>28</v>
      </c>
      <c r="G9787" s="19">
        <v>0.33</v>
      </c>
      <c r="H9787" s="19" t="s">
        <v>28</v>
      </c>
      <c r="I9787" s="18" t="s">
        <v>28</v>
      </c>
      <c r="J9787" s="18" t="s">
        <v>28</v>
      </c>
      <c r="K9787" s="18" t="s">
        <v>28</v>
      </c>
      <c r="L9787" s="18" t="s">
        <v>28</v>
      </c>
      <c r="M9787" s="18" t="s">
        <v>28</v>
      </c>
      <c r="N9787" s="17">
        <v>42156</v>
      </c>
      <c r="O9787" s="15" t="s">
        <v>73</v>
      </c>
      <c r="P9787" s="16" t="s">
        <v>27842</v>
      </c>
      <c r="Q9787" s="15" t="s">
        <v>75</v>
      </c>
      <c r="R9787" s="13" t="str">
        <f>HYPERLINK("https://my.pitchbook.com?c=85334-23T","View Company Online")</f>
        <v>View Company Online</v>
      </c>
    </row>
    <row r="9788" spans="1:18" hidden="1" x14ac:dyDescent="0.3">
      <c r="A9788" s="9" t="s">
        <v>27843</v>
      </c>
      <c r="B9788" s="9" t="s">
        <v>27844</v>
      </c>
      <c r="C9788" s="11" t="s">
        <v>28</v>
      </c>
      <c r="D9788" s="9" t="s">
        <v>27845</v>
      </c>
      <c r="E9788" s="11" t="s">
        <v>28</v>
      </c>
      <c r="F9788" s="10" t="s">
        <v>28</v>
      </c>
      <c r="G9788" s="10">
        <v>0.5</v>
      </c>
      <c r="H9788" s="10" t="s">
        <v>28</v>
      </c>
      <c r="I9788" s="11" t="s">
        <v>28</v>
      </c>
      <c r="J9788" s="11" t="s">
        <v>28</v>
      </c>
      <c r="K9788" s="11" t="s">
        <v>28</v>
      </c>
      <c r="L9788" s="11" t="s">
        <v>28</v>
      </c>
      <c r="M9788" s="11" t="s">
        <v>28</v>
      </c>
      <c r="N9788" s="8">
        <v>42156</v>
      </c>
      <c r="O9788" s="9" t="s">
        <v>99</v>
      </c>
      <c r="P9788" s="12" t="s">
        <v>28</v>
      </c>
      <c r="Q9788" s="9" t="s">
        <v>85</v>
      </c>
      <c r="R9788" s="14" t="str">
        <f>HYPERLINK("https://my.pitchbook.com?c=61428-97T","View Company Online")</f>
        <v>View Company Online</v>
      </c>
    </row>
    <row r="9789" spans="1:18" hidden="1" x14ac:dyDescent="0.3">
      <c r="A9789" s="15" t="s">
        <v>27846</v>
      </c>
      <c r="B9789" s="15" t="s">
        <v>22084</v>
      </c>
      <c r="C9789" s="18" t="s">
        <v>28</v>
      </c>
      <c r="D9789" s="15" t="s">
        <v>22085</v>
      </c>
      <c r="E9789" s="18" t="s">
        <v>28</v>
      </c>
      <c r="F9789" s="19" t="s">
        <v>28</v>
      </c>
      <c r="G9789" s="19">
        <v>50</v>
      </c>
      <c r="H9789" s="19" t="s">
        <v>28</v>
      </c>
      <c r="I9789" s="18" t="s">
        <v>28</v>
      </c>
      <c r="J9789" s="18" t="s">
        <v>28</v>
      </c>
      <c r="K9789" s="18" t="s">
        <v>28</v>
      </c>
      <c r="L9789" s="18" t="s">
        <v>28</v>
      </c>
      <c r="M9789" s="18" t="s">
        <v>28</v>
      </c>
      <c r="N9789" s="17">
        <v>42156</v>
      </c>
      <c r="O9789" s="15" t="s">
        <v>79</v>
      </c>
      <c r="P9789" s="16" t="s">
        <v>27847</v>
      </c>
      <c r="Q9789" s="15" t="s">
        <v>566</v>
      </c>
      <c r="R9789" s="13" t="str">
        <f>HYPERLINK("https://my.pitchbook.com?c=51058-90T","View Company Online")</f>
        <v>View Company Online</v>
      </c>
    </row>
    <row r="9790" spans="1:18" hidden="1" x14ac:dyDescent="0.3">
      <c r="A9790" s="9" t="s">
        <v>27848</v>
      </c>
      <c r="B9790" s="9" t="s">
        <v>13289</v>
      </c>
      <c r="C9790" s="11" t="s">
        <v>28</v>
      </c>
      <c r="D9790" s="9" t="s">
        <v>13290</v>
      </c>
      <c r="E9790" s="11" t="s">
        <v>28</v>
      </c>
      <c r="F9790" s="10" t="s">
        <v>28</v>
      </c>
      <c r="G9790" s="10" t="s">
        <v>28</v>
      </c>
      <c r="H9790" s="10" t="s">
        <v>28</v>
      </c>
      <c r="I9790" s="11" t="s">
        <v>28</v>
      </c>
      <c r="J9790" s="11" t="s">
        <v>28</v>
      </c>
      <c r="K9790" s="11" t="s">
        <v>28</v>
      </c>
      <c r="L9790" s="11" t="s">
        <v>28</v>
      </c>
      <c r="M9790" s="11" t="s">
        <v>28</v>
      </c>
      <c r="N9790" s="8">
        <v>42156</v>
      </c>
      <c r="O9790" s="9" t="s">
        <v>30</v>
      </c>
      <c r="P9790" s="12" t="s">
        <v>8232</v>
      </c>
      <c r="Q9790" s="9" t="s">
        <v>5628</v>
      </c>
      <c r="R9790" s="14" t="str">
        <f>HYPERLINK("https://my.pitchbook.com?c=159860-26T","View Company Online")</f>
        <v>View Company Online</v>
      </c>
    </row>
    <row r="9791" spans="1:18" hidden="1" x14ac:dyDescent="0.3">
      <c r="A9791" s="15" t="s">
        <v>27849</v>
      </c>
      <c r="B9791" s="15" t="s">
        <v>26208</v>
      </c>
      <c r="C9791" s="18" t="s">
        <v>28</v>
      </c>
      <c r="D9791" s="15" t="s">
        <v>26209</v>
      </c>
      <c r="E9791" s="18" t="s">
        <v>28</v>
      </c>
      <c r="F9791" s="19" t="s">
        <v>28</v>
      </c>
      <c r="G9791" s="19">
        <v>1.67</v>
      </c>
      <c r="H9791" s="19" t="s">
        <v>28</v>
      </c>
      <c r="I9791" s="18" t="s">
        <v>28</v>
      </c>
      <c r="J9791" s="18" t="s">
        <v>28</v>
      </c>
      <c r="K9791" s="18" t="s">
        <v>28</v>
      </c>
      <c r="L9791" s="18" t="s">
        <v>28</v>
      </c>
      <c r="M9791" s="18" t="s">
        <v>28</v>
      </c>
      <c r="N9791" s="17">
        <v>42156</v>
      </c>
      <c r="O9791" s="15" t="s">
        <v>1639</v>
      </c>
      <c r="P9791" s="16" t="s">
        <v>27850</v>
      </c>
      <c r="Q9791" s="15" t="s">
        <v>136</v>
      </c>
      <c r="R9791" s="13" t="str">
        <f>HYPERLINK("https://my.pitchbook.com?c=67616-83T","View Company Online")</f>
        <v>View Company Online</v>
      </c>
    </row>
    <row r="9792" spans="1:18" hidden="1" x14ac:dyDescent="0.3">
      <c r="A9792" s="9" t="s">
        <v>27851</v>
      </c>
      <c r="B9792" s="9" t="s">
        <v>27852</v>
      </c>
      <c r="C9792" s="11" t="s">
        <v>28</v>
      </c>
      <c r="D9792" s="9" t="s">
        <v>27853</v>
      </c>
      <c r="E9792" s="11" t="s">
        <v>28</v>
      </c>
      <c r="F9792" s="10" t="s">
        <v>28</v>
      </c>
      <c r="G9792" s="10" t="s">
        <v>28</v>
      </c>
      <c r="H9792" s="10" t="s">
        <v>28</v>
      </c>
      <c r="I9792" s="11" t="s">
        <v>28</v>
      </c>
      <c r="J9792" s="11" t="s">
        <v>28</v>
      </c>
      <c r="K9792" s="11" t="s">
        <v>28</v>
      </c>
      <c r="L9792" s="11" t="s">
        <v>28</v>
      </c>
      <c r="M9792" s="11" t="s">
        <v>28</v>
      </c>
      <c r="N9792" s="8">
        <v>42156</v>
      </c>
      <c r="O9792" s="9" t="s">
        <v>41</v>
      </c>
      <c r="P9792" s="12" t="s">
        <v>27854</v>
      </c>
      <c r="Q9792" s="9" t="s">
        <v>1068</v>
      </c>
      <c r="R9792" s="14" t="str">
        <f>HYPERLINK("https://my.pitchbook.com?c=69867-91T","View Company Online")</f>
        <v>View Company Online</v>
      </c>
    </row>
    <row r="9793" spans="1:18" hidden="1" x14ac:dyDescent="0.3">
      <c r="A9793" s="15" t="s">
        <v>27855</v>
      </c>
      <c r="B9793" s="15" t="s">
        <v>27856</v>
      </c>
      <c r="C9793" s="18" t="s">
        <v>28</v>
      </c>
      <c r="D9793" s="15" t="s">
        <v>27857</v>
      </c>
      <c r="E9793" s="18" t="s">
        <v>28</v>
      </c>
      <c r="F9793" s="19" t="s">
        <v>28</v>
      </c>
      <c r="G9793" s="19" t="s">
        <v>28</v>
      </c>
      <c r="H9793" s="19" t="s">
        <v>28</v>
      </c>
      <c r="I9793" s="18" t="s">
        <v>28</v>
      </c>
      <c r="J9793" s="18" t="s">
        <v>28</v>
      </c>
      <c r="K9793" s="18" t="s">
        <v>28</v>
      </c>
      <c r="L9793" s="18" t="s">
        <v>28</v>
      </c>
      <c r="M9793" s="18" t="s">
        <v>28</v>
      </c>
      <c r="N9793" s="17">
        <v>42156</v>
      </c>
      <c r="O9793" s="15" t="s">
        <v>30</v>
      </c>
      <c r="P9793" s="16" t="s">
        <v>27858</v>
      </c>
      <c r="Q9793" s="15" t="s">
        <v>299</v>
      </c>
      <c r="R9793" s="13" t="str">
        <f>HYPERLINK("https://my.pitchbook.com?c=89727-94T","View Company Online")</f>
        <v>View Company Online</v>
      </c>
    </row>
    <row r="9794" spans="1:18" hidden="1" x14ac:dyDescent="0.3">
      <c r="A9794" s="9" t="s">
        <v>27859</v>
      </c>
      <c r="B9794" s="9" t="s">
        <v>20117</v>
      </c>
      <c r="C9794" s="11" t="s">
        <v>28</v>
      </c>
      <c r="D9794" s="9" t="s">
        <v>20118</v>
      </c>
      <c r="E9794" s="11" t="s">
        <v>28</v>
      </c>
      <c r="F9794" s="10" t="s">
        <v>28</v>
      </c>
      <c r="G9794" s="10">
        <v>1.64</v>
      </c>
      <c r="H9794" s="10" t="s">
        <v>28</v>
      </c>
      <c r="I9794" s="11" t="s">
        <v>28</v>
      </c>
      <c r="J9794" s="11" t="s">
        <v>28</v>
      </c>
      <c r="K9794" s="11" t="s">
        <v>28</v>
      </c>
      <c r="L9794" s="11" t="s">
        <v>28</v>
      </c>
      <c r="M9794" s="11" t="s">
        <v>28</v>
      </c>
      <c r="N9794" s="8">
        <v>42156</v>
      </c>
      <c r="O9794" s="9" t="s">
        <v>9098</v>
      </c>
      <c r="P9794" s="12" t="s">
        <v>28</v>
      </c>
      <c r="Q9794" s="9" t="s">
        <v>105</v>
      </c>
      <c r="R9794" s="14" t="str">
        <f>HYPERLINK("https://my.pitchbook.com?c=124822-36T","View Company Online")</f>
        <v>View Company Online</v>
      </c>
    </row>
    <row r="9795" spans="1:18" hidden="1" x14ac:dyDescent="0.3">
      <c r="A9795" s="15" t="s">
        <v>27860</v>
      </c>
      <c r="B9795" s="15" t="s">
        <v>5071</v>
      </c>
      <c r="C9795" s="18" t="s">
        <v>28</v>
      </c>
      <c r="D9795" s="15" t="s">
        <v>5072</v>
      </c>
      <c r="E9795" s="18" t="s">
        <v>28</v>
      </c>
      <c r="F9795" s="19" t="s">
        <v>28</v>
      </c>
      <c r="G9795" s="19">
        <v>2</v>
      </c>
      <c r="H9795" s="19" t="s">
        <v>28</v>
      </c>
      <c r="I9795" s="18" t="s">
        <v>28</v>
      </c>
      <c r="J9795" s="18" t="s">
        <v>28</v>
      </c>
      <c r="K9795" s="18" t="s">
        <v>28</v>
      </c>
      <c r="L9795" s="18" t="s">
        <v>28</v>
      </c>
      <c r="M9795" s="18" t="s">
        <v>28</v>
      </c>
      <c r="N9795" s="17">
        <v>42156</v>
      </c>
      <c r="O9795" s="15" t="s">
        <v>99</v>
      </c>
      <c r="P9795" s="16" t="s">
        <v>27861</v>
      </c>
      <c r="Q9795" s="15" t="s">
        <v>285</v>
      </c>
      <c r="R9795" s="13" t="str">
        <f>HYPERLINK("https://my.pitchbook.com?c=207400-15T","View Company Online")</f>
        <v>View Company Online</v>
      </c>
    </row>
    <row r="9796" spans="1:18" hidden="1" x14ac:dyDescent="0.3">
      <c r="A9796" s="9" t="s">
        <v>27862</v>
      </c>
      <c r="B9796" s="9" t="s">
        <v>27863</v>
      </c>
      <c r="C9796" s="11" t="s">
        <v>28</v>
      </c>
      <c r="D9796" s="9" t="s">
        <v>27864</v>
      </c>
      <c r="E9796" s="11" t="s">
        <v>28</v>
      </c>
      <c r="F9796" s="10" t="s">
        <v>28</v>
      </c>
      <c r="G9796" s="10">
        <v>2.63</v>
      </c>
      <c r="H9796" s="10" t="s">
        <v>28</v>
      </c>
      <c r="I9796" s="11" t="s">
        <v>28</v>
      </c>
      <c r="J9796" s="11" t="s">
        <v>28</v>
      </c>
      <c r="K9796" s="11" t="s">
        <v>28</v>
      </c>
      <c r="L9796" s="11" t="s">
        <v>28</v>
      </c>
      <c r="M9796" s="11" t="s">
        <v>28</v>
      </c>
      <c r="N9796" s="8">
        <v>42156</v>
      </c>
      <c r="O9796" s="9" t="s">
        <v>79</v>
      </c>
      <c r="P9796" s="12" t="s">
        <v>3430</v>
      </c>
      <c r="Q9796" s="9" t="s">
        <v>85</v>
      </c>
      <c r="R9796" s="14" t="str">
        <f>HYPERLINK("https://my.pitchbook.com?c=210590-92T","View Company Online")</f>
        <v>View Company Online</v>
      </c>
    </row>
    <row r="9797" spans="1:18" hidden="1" x14ac:dyDescent="0.3">
      <c r="A9797" s="15" t="s">
        <v>27865</v>
      </c>
      <c r="B9797" s="15" t="s">
        <v>27866</v>
      </c>
      <c r="C9797" s="18" t="s">
        <v>28</v>
      </c>
      <c r="D9797" s="15" t="s">
        <v>27867</v>
      </c>
      <c r="E9797" s="18" t="s">
        <v>28</v>
      </c>
      <c r="F9797" s="19" t="s">
        <v>28</v>
      </c>
      <c r="G9797" s="19" t="s">
        <v>28</v>
      </c>
      <c r="H9797" s="19" t="s">
        <v>28</v>
      </c>
      <c r="I9797" s="18" t="s">
        <v>28</v>
      </c>
      <c r="J9797" s="18" t="s">
        <v>28</v>
      </c>
      <c r="K9797" s="18">
        <v>42.47</v>
      </c>
      <c r="L9797" s="18" t="s">
        <v>28</v>
      </c>
      <c r="M9797" s="18" t="s">
        <v>28</v>
      </c>
      <c r="N9797" s="17">
        <v>42156</v>
      </c>
      <c r="O9797" s="15" t="s">
        <v>41</v>
      </c>
      <c r="P9797" s="16" t="s">
        <v>27868</v>
      </c>
      <c r="Q9797" s="15" t="s">
        <v>136</v>
      </c>
      <c r="R9797" s="13" t="str">
        <f>HYPERLINK("https://my.pitchbook.com?c=97630-12T","View Company Online")</f>
        <v>View Company Online</v>
      </c>
    </row>
    <row r="9798" spans="1:18" hidden="1" x14ac:dyDescent="0.3">
      <c r="A9798" s="9" t="s">
        <v>27869</v>
      </c>
      <c r="B9798" s="9" t="s">
        <v>27870</v>
      </c>
      <c r="C9798" s="11" t="s">
        <v>28</v>
      </c>
      <c r="D9798" s="9" t="s">
        <v>27871</v>
      </c>
      <c r="E9798" s="11" t="s">
        <v>28</v>
      </c>
      <c r="F9798" s="10" t="s">
        <v>28</v>
      </c>
      <c r="G9798" s="10" t="s">
        <v>28</v>
      </c>
      <c r="H9798" s="10" t="s">
        <v>28</v>
      </c>
      <c r="I9798" s="11" t="s">
        <v>28</v>
      </c>
      <c r="J9798" s="11" t="s">
        <v>28</v>
      </c>
      <c r="K9798" s="11" t="s">
        <v>28</v>
      </c>
      <c r="L9798" s="11" t="s">
        <v>28</v>
      </c>
      <c r="M9798" s="11" t="s">
        <v>28</v>
      </c>
      <c r="N9798" s="8">
        <v>42155</v>
      </c>
      <c r="O9798" s="9" t="s">
        <v>30</v>
      </c>
      <c r="P9798" s="12" t="s">
        <v>3516</v>
      </c>
      <c r="Q9798" s="9" t="s">
        <v>226</v>
      </c>
      <c r="R9798" s="14" t="str">
        <f>HYPERLINK("https://my.pitchbook.com?c=90119-08T","View Company Online")</f>
        <v>View Company Online</v>
      </c>
    </row>
    <row r="9799" spans="1:18" hidden="1" x14ac:dyDescent="0.3">
      <c r="A9799" s="15" t="s">
        <v>27872</v>
      </c>
      <c r="B9799" s="15" t="s">
        <v>27873</v>
      </c>
      <c r="C9799" s="18" t="s">
        <v>28</v>
      </c>
      <c r="D9799" s="15" t="s">
        <v>27874</v>
      </c>
      <c r="E9799" s="18" t="s">
        <v>28</v>
      </c>
      <c r="F9799" s="19" t="s">
        <v>28</v>
      </c>
      <c r="G9799" s="19" t="s">
        <v>28</v>
      </c>
      <c r="H9799" s="19" t="s">
        <v>28</v>
      </c>
      <c r="I9799" s="18" t="s">
        <v>28</v>
      </c>
      <c r="J9799" s="18" t="s">
        <v>28</v>
      </c>
      <c r="K9799" s="18" t="s">
        <v>28</v>
      </c>
      <c r="L9799" s="18" t="s">
        <v>28</v>
      </c>
      <c r="M9799" s="18" t="s">
        <v>28</v>
      </c>
      <c r="N9799" s="17">
        <v>42153</v>
      </c>
      <c r="O9799" s="15" t="s">
        <v>30</v>
      </c>
      <c r="P9799" s="16" t="s">
        <v>27875</v>
      </c>
      <c r="Q9799" s="15" t="s">
        <v>5347</v>
      </c>
      <c r="R9799" s="13" t="str">
        <f>HYPERLINK("https://my.pitchbook.com?c=89911-09T","View Company Online")</f>
        <v>View Company Online</v>
      </c>
    </row>
    <row r="9800" spans="1:18" hidden="1" x14ac:dyDescent="0.3">
      <c r="A9800" s="9" t="s">
        <v>27876</v>
      </c>
      <c r="B9800" s="9" t="s">
        <v>10237</v>
      </c>
      <c r="C9800" s="11" t="s">
        <v>28</v>
      </c>
      <c r="D9800" s="9" t="s">
        <v>10238</v>
      </c>
      <c r="E9800" s="11" t="s">
        <v>28</v>
      </c>
      <c r="F9800" s="10" t="s">
        <v>28</v>
      </c>
      <c r="G9800" s="10" t="s">
        <v>28</v>
      </c>
      <c r="H9800" s="10" t="s">
        <v>28</v>
      </c>
      <c r="I9800" s="11" t="s">
        <v>28</v>
      </c>
      <c r="J9800" s="11" t="s">
        <v>28</v>
      </c>
      <c r="K9800" s="11" t="s">
        <v>28</v>
      </c>
      <c r="L9800" s="11" t="s">
        <v>28</v>
      </c>
      <c r="M9800" s="11" t="s">
        <v>28</v>
      </c>
      <c r="N9800" s="8">
        <v>42153</v>
      </c>
      <c r="O9800" s="9" t="s">
        <v>79</v>
      </c>
      <c r="P9800" s="12" t="s">
        <v>27877</v>
      </c>
      <c r="Q9800" s="9" t="s">
        <v>583</v>
      </c>
      <c r="R9800" s="14" t="str">
        <f>HYPERLINK("https://my.pitchbook.com?c=93223-45T","View Company Online")</f>
        <v>View Company Online</v>
      </c>
    </row>
    <row r="9801" spans="1:18" hidden="1" x14ac:dyDescent="0.3">
      <c r="A9801" s="15" t="s">
        <v>27878</v>
      </c>
      <c r="B9801" s="15" t="s">
        <v>27879</v>
      </c>
      <c r="C9801" s="18" t="s">
        <v>28</v>
      </c>
      <c r="D9801" s="15" t="s">
        <v>27880</v>
      </c>
      <c r="E9801" s="18" t="s">
        <v>28</v>
      </c>
      <c r="F9801" s="19" t="s">
        <v>28</v>
      </c>
      <c r="G9801" s="19" t="s">
        <v>28</v>
      </c>
      <c r="H9801" s="19" t="s">
        <v>28</v>
      </c>
      <c r="I9801" s="18" t="s">
        <v>28</v>
      </c>
      <c r="J9801" s="18" t="s">
        <v>28</v>
      </c>
      <c r="K9801" s="18" t="s">
        <v>28</v>
      </c>
      <c r="L9801" s="18" t="s">
        <v>28</v>
      </c>
      <c r="M9801" s="18" t="s">
        <v>28</v>
      </c>
      <c r="N9801" s="17">
        <v>42153</v>
      </c>
      <c r="O9801" s="15" t="s">
        <v>30</v>
      </c>
      <c r="P9801" s="16" t="s">
        <v>27881</v>
      </c>
      <c r="Q9801" s="15" t="s">
        <v>13990</v>
      </c>
      <c r="R9801" s="13" t="str">
        <f>HYPERLINK("https://my.pitchbook.com?c=51346-09T","View Company Online")</f>
        <v>View Company Online</v>
      </c>
    </row>
    <row r="9802" spans="1:18" hidden="1" x14ac:dyDescent="0.3">
      <c r="A9802" s="9" t="s">
        <v>27882</v>
      </c>
      <c r="B9802" s="9" t="s">
        <v>27883</v>
      </c>
      <c r="C9802" s="11" t="s">
        <v>28</v>
      </c>
      <c r="D9802" s="9" t="s">
        <v>27884</v>
      </c>
      <c r="E9802" s="11" t="s">
        <v>28</v>
      </c>
      <c r="F9802" s="10">
        <v>8088.89</v>
      </c>
      <c r="G9802" s="10">
        <v>8088.89</v>
      </c>
      <c r="H9802" s="10">
        <v>8088.89</v>
      </c>
      <c r="I9802" s="11" t="s">
        <v>28</v>
      </c>
      <c r="J9802" s="11" t="s">
        <v>28</v>
      </c>
      <c r="K9802" s="11" t="s">
        <v>28</v>
      </c>
      <c r="L9802" s="11" t="s">
        <v>28</v>
      </c>
      <c r="M9802" s="11" t="s">
        <v>28</v>
      </c>
      <c r="N9802" s="8">
        <v>42152</v>
      </c>
      <c r="O9802" s="9" t="s">
        <v>30</v>
      </c>
      <c r="P9802" s="12" t="s">
        <v>9077</v>
      </c>
      <c r="Q9802" s="9" t="s">
        <v>692</v>
      </c>
      <c r="R9802" s="14" t="str">
        <f>HYPERLINK("https://my.pitchbook.com?c=36302-68T","View Company Online")</f>
        <v>View Company Online</v>
      </c>
    </row>
    <row r="9803" spans="1:18" hidden="1" x14ac:dyDescent="0.3">
      <c r="A9803" s="15" t="s">
        <v>27885</v>
      </c>
      <c r="B9803" s="15" t="s">
        <v>16003</v>
      </c>
      <c r="C9803" s="18" t="s">
        <v>28</v>
      </c>
      <c r="D9803" s="15" t="s">
        <v>16004</v>
      </c>
      <c r="E9803" s="18" t="s">
        <v>28</v>
      </c>
      <c r="F9803" s="19" t="s">
        <v>28</v>
      </c>
      <c r="G9803" s="19">
        <v>0.03</v>
      </c>
      <c r="H9803" s="19" t="s">
        <v>28</v>
      </c>
      <c r="I9803" s="18" t="s">
        <v>28</v>
      </c>
      <c r="J9803" s="18" t="s">
        <v>28</v>
      </c>
      <c r="K9803" s="18" t="s">
        <v>28</v>
      </c>
      <c r="L9803" s="18" t="s">
        <v>28</v>
      </c>
      <c r="M9803" s="18" t="s">
        <v>28</v>
      </c>
      <c r="N9803" s="17">
        <v>42151</v>
      </c>
      <c r="O9803" s="15" t="s">
        <v>93</v>
      </c>
      <c r="P9803" s="16" t="s">
        <v>27886</v>
      </c>
      <c r="Q9803" s="15" t="s">
        <v>6142</v>
      </c>
      <c r="R9803" s="13" t="str">
        <f>HYPERLINK("https://my.pitchbook.com?c=94359-07T","View Company Online")</f>
        <v>View Company Online</v>
      </c>
    </row>
    <row r="9804" spans="1:18" hidden="1" x14ac:dyDescent="0.3">
      <c r="A9804" s="9" t="s">
        <v>27887</v>
      </c>
      <c r="B9804" s="9" t="s">
        <v>27888</v>
      </c>
      <c r="C9804" s="11" t="s">
        <v>28</v>
      </c>
      <c r="D9804" s="9" t="s">
        <v>27889</v>
      </c>
      <c r="E9804" s="11" t="s">
        <v>28</v>
      </c>
      <c r="F9804" s="10" t="s">
        <v>28</v>
      </c>
      <c r="G9804" s="10" t="s">
        <v>28</v>
      </c>
      <c r="H9804" s="10" t="s">
        <v>28</v>
      </c>
      <c r="I9804" s="11" t="s">
        <v>28</v>
      </c>
      <c r="J9804" s="11" t="s">
        <v>28</v>
      </c>
      <c r="K9804" s="11" t="s">
        <v>28</v>
      </c>
      <c r="L9804" s="11" t="s">
        <v>28</v>
      </c>
      <c r="M9804" s="11" t="s">
        <v>28</v>
      </c>
      <c r="N9804" s="8">
        <v>42150</v>
      </c>
      <c r="O9804" s="9" t="s">
        <v>30</v>
      </c>
      <c r="P9804" s="12" t="s">
        <v>27890</v>
      </c>
      <c r="Q9804" s="9" t="s">
        <v>136</v>
      </c>
      <c r="R9804" s="14" t="str">
        <f>HYPERLINK("https://my.pitchbook.com?c=114193-09T","View Company Online")</f>
        <v>View Company Online</v>
      </c>
    </row>
    <row r="9805" spans="1:18" hidden="1" x14ac:dyDescent="0.3">
      <c r="A9805" s="15" t="s">
        <v>27891</v>
      </c>
      <c r="B9805" s="15" t="s">
        <v>27892</v>
      </c>
      <c r="C9805" s="18" t="s">
        <v>28</v>
      </c>
      <c r="D9805" s="15" t="s">
        <v>27893</v>
      </c>
      <c r="E9805" s="18" t="s">
        <v>28</v>
      </c>
      <c r="F9805" s="19" t="s">
        <v>28</v>
      </c>
      <c r="G9805" s="19">
        <v>28.14</v>
      </c>
      <c r="H9805" s="19" t="s">
        <v>28</v>
      </c>
      <c r="I9805" s="18" t="s">
        <v>28</v>
      </c>
      <c r="J9805" s="18" t="s">
        <v>28</v>
      </c>
      <c r="K9805" s="18" t="s">
        <v>28</v>
      </c>
      <c r="L9805" s="18" t="s">
        <v>28</v>
      </c>
      <c r="M9805" s="18" t="s">
        <v>28</v>
      </c>
      <c r="N9805" s="17">
        <v>42149</v>
      </c>
      <c r="O9805" s="15" t="s">
        <v>93</v>
      </c>
      <c r="P9805" s="16" t="s">
        <v>27894</v>
      </c>
      <c r="Q9805" s="15" t="s">
        <v>136</v>
      </c>
      <c r="R9805" s="13" t="str">
        <f>HYPERLINK("https://my.pitchbook.com?c=74292-31T","View Company Online")</f>
        <v>View Company Online</v>
      </c>
    </row>
    <row r="9806" spans="1:18" hidden="1" x14ac:dyDescent="0.3">
      <c r="A9806" s="9" t="s">
        <v>27895</v>
      </c>
      <c r="B9806" s="9" t="s">
        <v>12627</v>
      </c>
      <c r="C9806" s="11" t="s">
        <v>28</v>
      </c>
      <c r="D9806" s="9" t="s">
        <v>12628</v>
      </c>
      <c r="E9806" s="11" t="s">
        <v>28</v>
      </c>
      <c r="F9806" s="10" t="s">
        <v>28</v>
      </c>
      <c r="G9806" s="10" t="s">
        <v>28</v>
      </c>
      <c r="H9806" s="10" t="s">
        <v>28</v>
      </c>
      <c r="I9806" s="11" t="s">
        <v>28</v>
      </c>
      <c r="J9806" s="11" t="s">
        <v>28</v>
      </c>
      <c r="K9806" s="11" t="s">
        <v>28</v>
      </c>
      <c r="L9806" s="11" t="s">
        <v>28</v>
      </c>
      <c r="M9806" s="11" t="s">
        <v>28</v>
      </c>
      <c r="N9806" s="8">
        <v>42149</v>
      </c>
      <c r="O9806" s="9" t="s">
        <v>58</v>
      </c>
      <c r="P9806" s="12" t="s">
        <v>28</v>
      </c>
      <c r="Q9806" s="9" t="s">
        <v>1643</v>
      </c>
      <c r="R9806" s="14" t="str">
        <f>HYPERLINK("https://my.pitchbook.com?c=57990-25T","View Company Online")</f>
        <v>View Company Online</v>
      </c>
    </row>
    <row r="9807" spans="1:18" hidden="1" x14ac:dyDescent="0.3">
      <c r="A9807" s="15" t="s">
        <v>27896</v>
      </c>
      <c r="B9807" s="15" t="s">
        <v>27897</v>
      </c>
      <c r="C9807" s="18" t="s">
        <v>28</v>
      </c>
      <c r="D9807" s="15" t="s">
        <v>27898</v>
      </c>
      <c r="E9807" s="18" t="s">
        <v>28</v>
      </c>
      <c r="F9807" s="19" t="s">
        <v>28</v>
      </c>
      <c r="G9807" s="19">
        <v>44.75</v>
      </c>
      <c r="H9807" s="19">
        <v>44.75</v>
      </c>
      <c r="I9807" s="18" t="s">
        <v>28</v>
      </c>
      <c r="J9807" s="18" t="s">
        <v>28</v>
      </c>
      <c r="K9807" s="18">
        <v>0.09</v>
      </c>
      <c r="L9807" s="18">
        <v>477.86</v>
      </c>
      <c r="M9807" s="18" t="s">
        <v>28</v>
      </c>
      <c r="N9807" s="17">
        <v>42146</v>
      </c>
      <c r="O9807" s="15" t="s">
        <v>30</v>
      </c>
      <c r="P9807" s="16" t="s">
        <v>27899</v>
      </c>
      <c r="Q9807" s="15" t="s">
        <v>2988</v>
      </c>
      <c r="R9807" s="13" t="str">
        <f>HYPERLINK("https://my.pitchbook.com?c=50605-66T","View Company Online")</f>
        <v>View Company Online</v>
      </c>
    </row>
    <row r="9808" spans="1:18" x14ac:dyDescent="0.3">
      <c r="A9808" s="9" t="s">
        <v>27900</v>
      </c>
      <c r="B9808" s="9" t="s">
        <v>27901</v>
      </c>
      <c r="C9808" s="11">
        <v>5.3</v>
      </c>
      <c r="D9808" s="9" t="s">
        <v>27902</v>
      </c>
      <c r="E9808" s="11">
        <v>10.220000000000001</v>
      </c>
      <c r="F9808" s="10">
        <v>131.16999999999999</v>
      </c>
      <c r="G9808" s="10">
        <v>174.01</v>
      </c>
      <c r="H9808" s="10">
        <v>174.01</v>
      </c>
      <c r="I9808" s="11">
        <v>24.73</v>
      </c>
      <c r="J9808" s="11">
        <v>7.04</v>
      </c>
      <c r="K9808" s="11">
        <v>139.01</v>
      </c>
      <c r="L9808" s="11">
        <v>1.25</v>
      </c>
      <c r="M9808" s="11">
        <v>1.67</v>
      </c>
      <c r="N9808" s="8">
        <v>42145</v>
      </c>
      <c r="O9808" s="9" t="s">
        <v>41</v>
      </c>
      <c r="P9808" s="12" t="s">
        <v>27903</v>
      </c>
      <c r="Q9808" s="9" t="s">
        <v>32</v>
      </c>
      <c r="R9808" s="14" t="str">
        <f>HYPERLINK("https://my.pitchbook.com?c=39973-15T","View Company Online")</f>
        <v>View Company Online</v>
      </c>
    </row>
    <row r="9809" spans="1:18" hidden="1" x14ac:dyDescent="0.3">
      <c r="A9809" s="15" t="s">
        <v>27904</v>
      </c>
      <c r="B9809" s="15" t="s">
        <v>27905</v>
      </c>
      <c r="C9809" s="18" t="s">
        <v>28</v>
      </c>
      <c r="D9809" s="15" t="s">
        <v>27906</v>
      </c>
      <c r="E9809" s="18" t="s">
        <v>28</v>
      </c>
      <c r="F9809" s="19" t="s">
        <v>28</v>
      </c>
      <c r="G9809" s="19" t="s">
        <v>28</v>
      </c>
      <c r="H9809" s="19" t="s">
        <v>28</v>
      </c>
      <c r="I9809" s="18" t="s">
        <v>28</v>
      </c>
      <c r="J9809" s="18" t="s">
        <v>28</v>
      </c>
      <c r="K9809" s="18" t="s">
        <v>28</v>
      </c>
      <c r="L9809" s="18" t="s">
        <v>28</v>
      </c>
      <c r="M9809" s="18" t="s">
        <v>28</v>
      </c>
      <c r="N9809" s="17">
        <v>42145</v>
      </c>
      <c r="O9809" s="15" t="s">
        <v>30</v>
      </c>
      <c r="P9809" s="16" t="s">
        <v>24849</v>
      </c>
      <c r="Q9809" s="15" t="s">
        <v>245</v>
      </c>
      <c r="R9809" s="13" t="str">
        <f>HYPERLINK("https://my.pitchbook.com?c=254234-17T","View Company Online")</f>
        <v>View Company Online</v>
      </c>
    </row>
    <row r="9810" spans="1:18" hidden="1" x14ac:dyDescent="0.3">
      <c r="A9810" s="9" t="s">
        <v>27907</v>
      </c>
      <c r="B9810" s="9" t="s">
        <v>27908</v>
      </c>
      <c r="C9810" s="11" t="s">
        <v>28</v>
      </c>
      <c r="D9810" s="9" t="s">
        <v>27909</v>
      </c>
      <c r="E9810" s="11" t="s">
        <v>28</v>
      </c>
      <c r="F9810" s="10">
        <v>94.64</v>
      </c>
      <c r="G9810" s="10">
        <v>94.64</v>
      </c>
      <c r="H9810" s="10">
        <v>94.64</v>
      </c>
      <c r="I9810" s="11" t="s">
        <v>28</v>
      </c>
      <c r="J9810" s="11" t="s">
        <v>28</v>
      </c>
      <c r="K9810" s="11">
        <v>92.85</v>
      </c>
      <c r="L9810" s="11">
        <v>1.02</v>
      </c>
      <c r="M9810" s="11" t="s">
        <v>28</v>
      </c>
      <c r="N9810" s="8">
        <v>42144</v>
      </c>
      <c r="O9810" s="9" t="s">
        <v>30</v>
      </c>
      <c r="P9810" s="12" t="s">
        <v>27910</v>
      </c>
      <c r="Q9810" s="9" t="s">
        <v>5633</v>
      </c>
      <c r="R9810" s="14" t="str">
        <f>HYPERLINK("https://my.pitchbook.com?c=71528-77T","View Company Online")</f>
        <v>View Company Online</v>
      </c>
    </row>
    <row r="9811" spans="1:18" hidden="1" x14ac:dyDescent="0.3">
      <c r="A9811" s="15" t="s">
        <v>27911</v>
      </c>
      <c r="B9811" s="15" t="s">
        <v>27912</v>
      </c>
      <c r="C9811" s="18" t="s">
        <v>28</v>
      </c>
      <c r="D9811" s="15" t="s">
        <v>27913</v>
      </c>
      <c r="E9811" s="18" t="s">
        <v>28</v>
      </c>
      <c r="F9811" s="19" t="s">
        <v>28</v>
      </c>
      <c r="G9811" s="19">
        <v>173.9</v>
      </c>
      <c r="H9811" s="19">
        <v>217.38</v>
      </c>
      <c r="I9811" s="18" t="s">
        <v>28</v>
      </c>
      <c r="J9811" s="18" t="s">
        <v>28</v>
      </c>
      <c r="K9811" s="18" t="s">
        <v>28</v>
      </c>
      <c r="L9811" s="18" t="s">
        <v>28</v>
      </c>
      <c r="M9811" s="18" t="s">
        <v>28</v>
      </c>
      <c r="N9811" s="17">
        <v>42144</v>
      </c>
      <c r="O9811" s="15" t="s">
        <v>30</v>
      </c>
      <c r="P9811" s="16" t="s">
        <v>27914</v>
      </c>
      <c r="Q9811" s="15" t="s">
        <v>59</v>
      </c>
      <c r="R9811" s="13" t="str">
        <f>HYPERLINK("https://my.pitchbook.com?c=50159-44T","View Company Online")</f>
        <v>View Company Online</v>
      </c>
    </row>
    <row r="9812" spans="1:18" hidden="1" x14ac:dyDescent="0.3">
      <c r="A9812" s="9" t="s">
        <v>27915</v>
      </c>
      <c r="B9812" s="9" t="s">
        <v>3073</v>
      </c>
      <c r="C9812" s="11" t="s">
        <v>28</v>
      </c>
      <c r="D9812" s="9" t="s">
        <v>3074</v>
      </c>
      <c r="E9812" s="11" t="s">
        <v>28</v>
      </c>
      <c r="F9812" s="10" t="s">
        <v>28</v>
      </c>
      <c r="G9812" s="10">
        <v>13.24</v>
      </c>
      <c r="H9812" s="10">
        <v>33.090000000000003</v>
      </c>
      <c r="I9812" s="11" t="s">
        <v>28</v>
      </c>
      <c r="J9812" s="11" t="s">
        <v>28</v>
      </c>
      <c r="K9812" s="11" t="s">
        <v>28</v>
      </c>
      <c r="L9812" s="11" t="s">
        <v>28</v>
      </c>
      <c r="M9812" s="11" t="s">
        <v>28</v>
      </c>
      <c r="N9812" s="8">
        <v>42143</v>
      </c>
      <c r="O9812" s="9" t="s">
        <v>58</v>
      </c>
      <c r="P9812" s="12" t="s">
        <v>27916</v>
      </c>
      <c r="Q9812" s="9" t="s">
        <v>169</v>
      </c>
      <c r="R9812" s="14" t="str">
        <f>HYPERLINK("https://my.pitchbook.com?c=96891-40T","View Company Online")</f>
        <v>View Company Online</v>
      </c>
    </row>
    <row r="9813" spans="1:18" hidden="1" x14ac:dyDescent="0.3">
      <c r="A9813" s="15" t="s">
        <v>27917</v>
      </c>
      <c r="B9813" s="15" t="s">
        <v>27918</v>
      </c>
      <c r="C9813" s="18" t="s">
        <v>28</v>
      </c>
      <c r="D9813" s="15" t="s">
        <v>27919</v>
      </c>
      <c r="E9813" s="18" t="s">
        <v>28</v>
      </c>
      <c r="F9813" s="19" t="s">
        <v>28</v>
      </c>
      <c r="G9813" s="19" t="s">
        <v>28</v>
      </c>
      <c r="H9813" s="19" t="s">
        <v>28</v>
      </c>
      <c r="I9813" s="18" t="s">
        <v>28</v>
      </c>
      <c r="J9813" s="18" t="s">
        <v>28</v>
      </c>
      <c r="K9813" s="18" t="s">
        <v>28</v>
      </c>
      <c r="L9813" s="18" t="s">
        <v>28</v>
      </c>
      <c r="M9813" s="18" t="s">
        <v>28</v>
      </c>
      <c r="N9813" s="17">
        <v>42143</v>
      </c>
      <c r="O9813" s="15" t="s">
        <v>30</v>
      </c>
      <c r="P9813" s="16" t="s">
        <v>27920</v>
      </c>
      <c r="Q9813" s="15" t="s">
        <v>362</v>
      </c>
      <c r="R9813" s="13" t="str">
        <f>HYPERLINK("https://my.pitchbook.com?c=50836-51T","View Company Online")</f>
        <v>View Company Online</v>
      </c>
    </row>
    <row r="9814" spans="1:18" hidden="1" x14ac:dyDescent="0.3">
      <c r="A9814" s="9" t="s">
        <v>27921</v>
      </c>
      <c r="B9814" s="9" t="s">
        <v>4055</v>
      </c>
      <c r="C9814" s="11" t="s">
        <v>28</v>
      </c>
      <c r="D9814" s="9" t="s">
        <v>4056</v>
      </c>
      <c r="E9814" s="11" t="s">
        <v>28</v>
      </c>
      <c r="F9814" s="10" t="s">
        <v>28</v>
      </c>
      <c r="G9814" s="10" t="s">
        <v>28</v>
      </c>
      <c r="H9814" s="10" t="s">
        <v>28</v>
      </c>
      <c r="I9814" s="11" t="s">
        <v>28</v>
      </c>
      <c r="J9814" s="11" t="s">
        <v>28</v>
      </c>
      <c r="K9814" s="11" t="s">
        <v>28</v>
      </c>
      <c r="L9814" s="11" t="s">
        <v>28</v>
      </c>
      <c r="M9814" s="11" t="s">
        <v>28</v>
      </c>
      <c r="N9814" s="8">
        <v>42139</v>
      </c>
      <c r="O9814" s="9" t="s">
        <v>30</v>
      </c>
      <c r="P9814" s="12" t="s">
        <v>6802</v>
      </c>
      <c r="Q9814" s="9" t="s">
        <v>268</v>
      </c>
      <c r="R9814" s="14" t="str">
        <f>HYPERLINK("https://my.pitchbook.com?c=89518-60T","View Company Online")</f>
        <v>View Company Online</v>
      </c>
    </row>
    <row r="9815" spans="1:18" hidden="1" x14ac:dyDescent="0.3">
      <c r="A9815" s="15" t="s">
        <v>27922</v>
      </c>
      <c r="B9815" s="15" t="s">
        <v>18436</v>
      </c>
      <c r="C9815" s="18" t="s">
        <v>28</v>
      </c>
      <c r="D9815" s="15" t="s">
        <v>18437</v>
      </c>
      <c r="E9815" s="18" t="s">
        <v>28</v>
      </c>
      <c r="F9815" s="19" t="s">
        <v>28</v>
      </c>
      <c r="G9815" s="19">
        <v>7</v>
      </c>
      <c r="H9815" s="19" t="s">
        <v>28</v>
      </c>
      <c r="I9815" s="18" t="s">
        <v>28</v>
      </c>
      <c r="J9815" s="18" t="s">
        <v>28</v>
      </c>
      <c r="K9815" s="18" t="s">
        <v>28</v>
      </c>
      <c r="L9815" s="18" t="s">
        <v>28</v>
      </c>
      <c r="M9815" s="18" t="s">
        <v>28</v>
      </c>
      <c r="N9815" s="17">
        <v>42138</v>
      </c>
      <c r="O9815" s="15" t="s">
        <v>73</v>
      </c>
      <c r="P9815" s="16" t="s">
        <v>27923</v>
      </c>
      <c r="Q9815" s="15" t="s">
        <v>583</v>
      </c>
      <c r="R9815" s="13" t="str">
        <f>HYPERLINK("https://my.pitchbook.com?c=50155-93T","View Company Online")</f>
        <v>View Company Online</v>
      </c>
    </row>
    <row r="9816" spans="1:18" hidden="1" x14ac:dyDescent="0.3">
      <c r="A9816" s="9" t="s">
        <v>27924</v>
      </c>
      <c r="B9816" s="9" t="s">
        <v>11255</v>
      </c>
      <c r="C9816" s="11" t="s">
        <v>28</v>
      </c>
      <c r="D9816" s="9" t="s">
        <v>11256</v>
      </c>
      <c r="E9816" s="11" t="s">
        <v>28</v>
      </c>
      <c r="F9816" s="10" t="s">
        <v>28</v>
      </c>
      <c r="G9816" s="10">
        <v>10</v>
      </c>
      <c r="H9816" s="10" t="s">
        <v>28</v>
      </c>
      <c r="I9816" s="11" t="s">
        <v>28</v>
      </c>
      <c r="J9816" s="11" t="s">
        <v>28</v>
      </c>
      <c r="K9816" s="11">
        <v>8.49</v>
      </c>
      <c r="L9816" s="11" t="s">
        <v>28</v>
      </c>
      <c r="M9816" s="11" t="s">
        <v>28</v>
      </c>
      <c r="N9816" s="8">
        <v>42137</v>
      </c>
      <c r="O9816" s="9" t="s">
        <v>73</v>
      </c>
      <c r="P9816" s="12" t="s">
        <v>27925</v>
      </c>
      <c r="Q9816" s="9" t="s">
        <v>583</v>
      </c>
      <c r="R9816" s="14" t="str">
        <f>HYPERLINK("https://my.pitchbook.com?c=50025-52T","View Company Online")</f>
        <v>View Company Online</v>
      </c>
    </row>
    <row r="9817" spans="1:18" hidden="1" x14ac:dyDescent="0.3">
      <c r="A9817" s="15" t="s">
        <v>27926</v>
      </c>
      <c r="B9817" s="15" t="s">
        <v>27927</v>
      </c>
      <c r="C9817" s="18" t="s">
        <v>28</v>
      </c>
      <c r="D9817" s="15" t="s">
        <v>27928</v>
      </c>
      <c r="E9817" s="18" t="s">
        <v>28</v>
      </c>
      <c r="F9817" s="19">
        <v>1.65</v>
      </c>
      <c r="G9817" s="19">
        <v>1.65</v>
      </c>
      <c r="H9817" s="19">
        <v>1.65</v>
      </c>
      <c r="I9817" s="18" t="s">
        <v>28</v>
      </c>
      <c r="J9817" s="18" t="s">
        <v>28</v>
      </c>
      <c r="K9817" s="18" t="s">
        <v>28</v>
      </c>
      <c r="L9817" s="18" t="s">
        <v>28</v>
      </c>
      <c r="M9817" s="18" t="s">
        <v>28</v>
      </c>
      <c r="N9817" s="17">
        <v>42135</v>
      </c>
      <c r="O9817" s="15" t="s">
        <v>30</v>
      </c>
      <c r="P9817" s="16" t="s">
        <v>27929</v>
      </c>
      <c r="Q9817" s="15" t="s">
        <v>37</v>
      </c>
      <c r="R9817" s="13" t="str">
        <f>HYPERLINK("https://my.pitchbook.com?c=104053-51T","View Company Online")</f>
        <v>View Company Online</v>
      </c>
    </row>
    <row r="9818" spans="1:18" hidden="1" x14ac:dyDescent="0.3">
      <c r="A9818" s="9" t="s">
        <v>27930</v>
      </c>
      <c r="B9818" s="9" t="s">
        <v>6058</v>
      </c>
      <c r="C9818" s="11" t="s">
        <v>28</v>
      </c>
      <c r="D9818" s="9" t="s">
        <v>6059</v>
      </c>
      <c r="E9818" s="11" t="s">
        <v>28</v>
      </c>
      <c r="F9818" s="10" t="s">
        <v>28</v>
      </c>
      <c r="G9818" s="10">
        <v>0.99</v>
      </c>
      <c r="H9818" s="10">
        <v>3.29</v>
      </c>
      <c r="I9818" s="11" t="s">
        <v>28</v>
      </c>
      <c r="J9818" s="11" t="s">
        <v>28</v>
      </c>
      <c r="K9818" s="11" t="s">
        <v>28</v>
      </c>
      <c r="L9818" s="11" t="s">
        <v>28</v>
      </c>
      <c r="M9818" s="11" t="s">
        <v>28</v>
      </c>
      <c r="N9818" s="8">
        <v>42134</v>
      </c>
      <c r="O9818" s="9" t="s">
        <v>73</v>
      </c>
      <c r="P9818" s="12" t="s">
        <v>20455</v>
      </c>
      <c r="Q9818" s="9" t="s">
        <v>37</v>
      </c>
      <c r="R9818" s="14" t="str">
        <f>HYPERLINK("https://my.pitchbook.com?c=66253-42T","View Company Online")</f>
        <v>View Company Online</v>
      </c>
    </row>
    <row r="9819" spans="1:18" hidden="1" x14ac:dyDescent="0.3">
      <c r="A9819" s="15" t="s">
        <v>27931</v>
      </c>
      <c r="B9819" s="15" t="s">
        <v>24157</v>
      </c>
      <c r="C9819" s="18" t="s">
        <v>28</v>
      </c>
      <c r="D9819" s="15" t="s">
        <v>24158</v>
      </c>
      <c r="E9819" s="18" t="s">
        <v>28</v>
      </c>
      <c r="F9819" s="19" t="s">
        <v>28</v>
      </c>
      <c r="G9819" s="19" t="s">
        <v>28</v>
      </c>
      <c r="H9819" s="19" t="s">
        <v>28</v>
      </c>
      <c r="I9819" s="18" t="s">
        <v>28</v>
      </c>
      <c r="J9819" s="18" t="s">
        <v>28</v>
      </c>
      <c r="K9819" s="18" t="s">
        <v>28</v>
      </c>
      <c r="L9819" s="18" t="s">
        <v>28</v>
      </c>
      <c r="M9819" s="18" t="s">
        <v>28</v>
      </c>
      <c r="N9819" s="17">
        <v>42132</v>
      </c>
      <c r="O9819" s="15" t="s">
        <v>52</v>
      </c>
      <c r="P9819" s="16" t="s">
        <v>4500</v>
      </c>
      <c r="Q9819" s="15" t="s">
        <v>37</v>
      </c>
      <c r="R9819" s="13" t="str">
        <f>HYPERLINK("https://my.pitchbook.com?c=261624-88T","View Company Online")</f>
        <v>View Company Online</v>
      </c>
    </row>
    <row r="9820" spans="1:18" hidden="1" x14ac:dyDescent="0.3">
      <c r="A9820" s="9" t="s">
        <v>27932</v>
      </c>
      <c r="B9820" s="9" t="s">
        <v>27933</v>
      </c>
      <c r="C9820" s="11" t="s">
        <v>28</v>
      </c>
      <c r="D9820" s="9" t="s">
        <v>27934</v>
      </c>
      <c r="E9820" s="11" t="s">
        <v>28</v>
      </c>
      <c r="F9820" s="10" t="s">
        <v>28</v>
      </c>
      <c r="G9820" s="10" t="s">
        <v>28</v>
      </c>
      <c r="H9820" s="10" t="s">
        <v>28</v>
      </c>
      <c r="I9820" s="11" t="s">
        <v>28</v>
      </c>
      <c r="J9820" s="11" t="s">
        <v>28</v>
      </c>
      <c r="K9820" s="11" t="s">
        <v>28</v>
      </c>
      <c r="L9820" s="11" t="s">
        <v>28</v>
      </c>
      <c r="M9820" s="11" t="s">
        <v>28</v>
      </c>
      <c r="N9820" s="8">
        <v>42132</v>
      </c>
      <c r="O9820" s="9" t="s">
        <v>52</v>
      </c>
      <c r="P9820" s="12" t="s">
        <v>4500</v>
      </c>
      <c r="Q9820" s="9" t="s">
        <v>583</v>
      </c>
      <c r="R9820" s="14" t="str">
        <f>HYPERLINK("https://my.pitchbook.com?c=267943-60T","View Company Online")</f>
        <v>View Company Online</v>
      </c>
    </row>
    <row r="9821" spans="1:18" hidden="1" x14ac:dyDescent="0.3">
      <c r="A9821" s="15" t="s">
        <v>27935</v>
      </c>
      <c r="B9821" s="15" t="s">
        <v>27936</v>
      </c>
      <c r="C9821" s="18" t="s">
        <v>28</v>
      </c>
      <c r="D9821" s="15" t="s">
        <v>27937</v>
      </c>
      <c r="E9821" s="18" t="s">
        <v>28</v>
      </c>
      <c r="F9821" s="19">
        <v>4.26</v>
      </c>
      <c r="G9821" s="19">
        <v>4.26</v>
      </c>
      <c r="H9821" s="19">
        <v>4.26</v>
      </c>
      <c r="I9821" s="18" t="s">
        <v>28</v>
      </c>
      <c r="J9821" s="18" t="s">
        <v>28</v>
      </c>
      <c r="K9821" s="18" t="s">
        <v>28</v>
      </c>
      <c r="L9821" s="18" t="s">
        <v>28</v>
      </c>
      <c r="M9821" s="18" t="s">
        <v>28</v>
      </c>
      <c r="N9821" s="17">
        <v>42131</v>
      </c>
      <c r="O9821" s="15" t="s">
        <v>30</v>
      </c>
      <c r="P9821" s="16" t="s">
        <v>8232</v>
      </c>
      <c r="Q9821" s="15" t="s">
        <v>235</v>
      </c>
      <c r="R9821" s="13" t="str">
        <f>HYPERLINK("https://my.pitchbook.com?c=134632-63T","View Company Online")</f>
        <v>View Company Online</v>
      </c>
    </row>
    <row r="9822" spans="1:18" hidden="1" x14ac:dyDescent="0.3">
      <c r="A9822" s="9" t="s">
        <v>27938</v>
      </c>
      <c r="B9822" s="9" t="s">
        <v>9718</v>
      </c>
      <c r="C9822" s="11" t="s">
        <v>28</v>
      </c>
      <c r="D9822" s="9" t="s">
        <v>9719</v>
      </c>
      <c r="E9822" s="11" t="s">
        <v>28</v>
      </c>
      <c r="F9822" s="10" t="s">
        <v>28</v>
      </c>
      <c r="G9822" s="10" t="s">
        <v>28</v>
      </c>
      <c r="H9822" s="10" t="s">
        <v>28</v>
      </c>
      <c r="I9822" s="11" t="s">
        <v>28</v>
      </c>
      <c r="J9822" s="11" t="s">
        <v>28</v>
      </c>
      <c r="K9822" s="11" t="s">
        <v>28</v>
      </c>
      <c r="L9822" s="11" t="s">
        <v>28</v>
      </c>
      <c r="M9822" s="11" t="s">
        <v>28</v>
      </c>
      <c r="N9822" s="8">
        <v>42131</v>
      </c>
      <c r="O9822" s="9" t="s">
        <v>30</v>
      </c>
      <c r="P9822" s="12" t="s">
        <v>28</v>
      </c>
      <c r="Q9822" s="9" t="s">
        <v>362</v>
      </c>
      <c r="R9822" s="14" t="str">
        <f>HYPERLINK("https://my.pitchbook.com?c=49796-65T","View Company Online")</f>
        <v>View Company Online</v>
      </c>
    </row>
    <row r="9823" spans="1:18" hidden="1" x14ac:dyDescent="0.3">
      <c r="A9823" s="15" t="s">
        <v>27939</v>
      </c>
      <c r="B9823" s="15" t="s">
        <v>24070</v>
      </c>
      <c r="C9823" s="18" t="s">
        <v>28</v>
      </c>
      <c r="D9823" s="15" t="s">
        <v>24071</v>
      </c>
      <c r="E9823" s="18" t="s">
        <v>28</v>
      </c>
      <c r="F9823" s="19" t="s">
        <v>28</v>
      </c>
      <c r="G9823" s="19" t="s">
        <v>28</v>
      </c>
      <c r="H9823" s="19" t="s">
        <v>28</v>
      </c>
      <c r="I9823" s="18" t="s">
        <v>28</v>
      </c>
      <c r="J9823" s="18" t="s">
        <v>28</v>
      </c>
      <c r="K9823" s="18" t="s">
        <v>28</v>
      </c>
      <c r="L9823" s="18" t="s">
        <v>28</v>
      </c>
      <c r="M9823" s="18" t="s">
        <v>28</v>
      </c>
      <c r="N9823" s="17">
        <v>42130</v>
      </c>
      <c r="O9823" s="15" t="s">
        <v>30</v>
      </c>
      <c r="P9823" s="16" t="s">
        <v>28</v>
      </c>
      <c r="Q9823" s="15" t="s">
        <v>1144</v>
      </c>
      <c r="R9823" s="13" t="str">
        <f>HYPERLINK("https://my.pitchbook.com?c=49709-71T","View Company Online")</f>
        <v>View Company Online</v>
      </c>
    </row>
    <row r="9824" spans="1:18" hidden="1" x14ac:dyDescent="0.3">
      <c r="A9824" s="9" t="s">
        <v>27940</v>
      </c>
      <c r="B9824" s="9" t="s">
        <v>27941</v>
      </c>
      <c r="C9824" s="11" t="s">
        <v>28</v>
      </c>
      <c r="D9824" s="9" t="s">
        <v>27942</v>
      </c>
      <c r="E9824" s="11" t="s">
        <v>28</v>
      </c>
      <c r="F9824" s="10" t="s">
        <v>28</v>
      </c>
      <c r="G9824" s="10">
        <v>0.02</v>
      </c>
      <c r="H9824" s="10">
        <v>0.82</v>
      </c>
      <c r="I9824" s="11" t="s">
        <v>28</v>
      </c>
      <c r="J9824" s="11" t="s">
        <v>28</v>
      </c>
      <c r="K9824" s="11" t="s">
        <v>28</v>
      </c>
      <c r="L9824" s="11" t="s">
        <v>28</v>
      </c>
      <c r="M9824" s="11" t="s">
        <v>28</v>
      </c>
      <c r="N9824" s="8">
        <v>42130</v>
      </c>
      <c r="O9824" s="9" t="s">
        <v>52</v>
      </c>
      <c r="P9824" s="12" t="s">
        <v>27943</v>
      </c>
      <c r="Q9824" s="9" t="s">
        <v>583</v>
      </c>
      <c r="R9824" s="14" t="str">
        <f>HYPERLINK("https://my.pitchbook.com?c=131851-54T","View Company Online")</f>
        <v>View Company Online</v>
      </c>
    </row>
    <row r="9825" spans="1:18" hidden="1" x14ac:dyDescent="0.3">
      <c r="A9825" s="15" t="s">
        <v>27944</v>
      </c>
      <c r="B9825" s="15" t="s">
        <v>7535</v>
      </c>
      <c r="C9825" s="18" t="s">
        <v>28</v>
      </c>
      <c r="D9825" s="15" t="s">
        <v>7536</v>
      </c>
      <c r="E9825" s="18" t="s">
        <v>28</v>
      </c>
      <c r="F9825" s="19" t="s">
        <v>28</v>
      </c>
      <c r="G9825" s="19">
        <v>6.33</v>
      </c>
      <c r="H9825" s="19" t="s">
        <v>28</v>
      </c>
      <c r="I9825" s="18" t="s">
        <v>28</v>
      </c>
      <c r="J9825" s="18" t="s">
        <v>28</v>
      </c>
      <c r="K9825" s="18" t="s">
        <v>28</v>
      </c>
      <c r="L9825" s="18" t="s">
        <v>28</v>
      </c>
      <c r="M9825" s="18" t="s">
        <v>28</v>
      </c>
      <c r="N9825" s="17">
        <v>42130</v>
      </c>
      <c r="O9825" s="15" t="s">
        <v>73</v>
      </c>
      <c r="P9825" s="16" t="s">
        <v>28</v>
      </c>
      <c r="Q9825" s="15" t="s">
        <v>43</v>
      </c>
      <c r="R9825" s="13" t="str">
        <f>HYPERLINK("https://my.pitchbook.com?c=265377-61T","View Company Online")</f>
        <v>View Company Online</v>
      </c>
    </row>
    <row r="9826" spans="1:18" hidden="1" x14ac:dyDescent="0.3">
      <c r="A9826" s="9" t="s">
        <v>27945</v>
      </c>
      <c r="B9826" s="9" t="s">
        <v>20819</v>
      </c>
      <c r="C9826" s="11" t="s">
        <v>28</v>
      </c>
      <c r="D9826" s="9" t="s">
        <v>20820</v>
      </c>
      <c r="E9826" s="11" t="s">
        <v>28</v>
      </c>
      <c r="F9826" s="10" t="s">
        <v>28</v>
      </c>
      <c r="G9826" s="10" t="s">
        <v>28</v>
      </c>
      <c r="H9826" s="10" t="s">
        <v>28</v>
      </c>
      <c r="I9826" s="11" t="s">
        <v>28</v>
      </c>
      <c r="J9826" s="11" t="s">
        <v>28</v>
      </c>
      <c r="K9826" s="11" t="s">
        <v>28</v>
      </c>
      <c r="L9826" s="11" t="s">
        <v>28</v>
      </c>
      <c r="M9826" s="11" t="s">
        <v>28</v>
      </c>
      <c r="N9826" s="8">
        <v>42130</v>
      </c>
      <c r="O9826" s="9" t="s">
        <v>52</v>
      </c>
      <c r="P9826" s="12" t="s">
        <v>27946</v>
      </c>
      <c r="Q9826" s="9" t="s">
        <v>583</v>
      </c>
      <c r="R9826" s="14" t="str">
        <f>HYPERLINK("https://my.pitchbook.com?c=49773-25T","View Company Online")</f>
        <v>View Company Online</v>
      </c>
    </row>
    <row r="9827" spans="1:18" hidden="1" x14ac:dyDescent="0.3">
      <c r="A9827" s="15" t="s">
        <v>27947</v>
      </c>
      <c r="B9827" s="15" t="s">
        <v>27948</v>
      </c>
      <c r="C9827" s="18" t="s">
        <v>28</v>
      </c>
      <c r="D9827" s="15" t="s">
        <v>27949</v>
      </c>
      <c r="E9827" s="18" t="s">
        <v>28</v>
      </c>
      <c r="F9827" s="19" t="s">
        <v>28</v>
      </c>
      <c r="G9827" s="19" t="s">
        <v>28</v>
      </c>
      <c r="H9827" s="19" t="s">
        <v>28</v>
      </c>
      <c r="I9827" s="18" t="s">
        <v>28</v>
      </c>
      <c r="J9827" s="18" t="s">
        <v>28</v>
      </c>
      <c r="K9827" s="18" t="s">
        <v>28</v>
      </c>
      <c r="L9827" s="18" t="s">
        <v>28</v>
      </c>
      <c r="M9827" s="18" t="s">
        <v>28</v>
      </c>
      <c r="N9827" s="17">
        <v>42130</v>
      </c>
      <c r="O9827" s="15" t="s">
        <v>30</v>
      </c>
      <c r="P9827" s="16" t="s">
        <v>27950</v>
      </c>
      <c r="Q9827" s="15" t="s">
        <v>160</v>
      </c>
      <c r="R9827" s="13" t="str">
        <f>HYPERLINK("https://my.pitchbook.com?c=73646-65T","View Company Online")</f>
        <v>View Company Online</v>
      </c>
    </row>
    <row r="9828" spans="1:18" hidden="1" x14ac:dyDescent="0.3">
      <c r="A9828" s="9" t="s">
        <v>27951</v>
      </c>
      <c r="B9828" s="9" t="s">
        <v>27952</v>
      </c>
      <c r="C9828" s="11" t="s">
        <v>28</v>
      </c>
      <c r="D9828" s="9" t="s">
        <v>27953</v>
      </c>
      <c r="E9828" s="11" t="s">
        <v>28</v>
      </c>
      <c r="F9828" s="10" t="s">
        <v>28</v>
      </c>
      <c r="G9828" s="10" t="s">
        <v>28</v>
      </c>
      <c r="H9828" s="10" t="s">
        <v>28</v>
      </c>
      <c r="I9828" s="11" t="s">
        <v>28</v>
      </c>
      <c r="J9828" s="11" t="s">
        <v>28</v>
      </c>
      <c r="K9828" s="11" t="s">
        <v>28</v>
      </c>
      <c r="L9828" s="11" t="s">
        <v>28</v>
      </c>
      <c r="M9828" s="11" t="s">
        <v>28</v>
      </c>
      <c r="N9828" s="8">
        <v>42129</v>
      </c>
      <c r="O9828" s="9" t="s">
        <v>52</v>
      </c>
      <c r="P9828" s="12" t="s">
        <v>11539</v>
      </c>
      <c r="Q9828" s="9" t="s">
        <v>136</v>
      </c>
      <c r="R9828" s="14" t="str">
        <f>HYPERLINK("https://my.pitchbook.com?c=141377-68T","View Company Online")</f>
        <v>View Company Online</v>
      </c>
    </row>
    <row r="9829" spans="1:18" hidden="1" x14ac:dyDescent="0.3">
      <c r="A9829" s="15" t="s">
        <v>27954</v>
      </c>
      <c r="B9829" s="15" t="s">
        <v>27955</v>
      </c>
      <c r="C9829" s="18" t="s">
        <v>28</v>
      </c>
      <c r="D9829" s="15" t="s">
        <v>27956</v>
      </c>
      <c r="E9829" s="18" t="s">
        <v>28</v>
      </c>
      <c r="F9829" s="19" t="s">
        <v>28</v>
      </c>
      <c r="G9829" s="19">
        <v>4.8899999999999997</v>
      </c>
      <c r="H9829" s="19">
        <v>18.940000000000001</v>
      </c>
      <c r="I9829" s="18" t="s">
        <v>28</v>
      </c>
      <c r="J9829" s="18" t="s">
        <v>28</v>
      </c>
      <c r="K9829" s="18" t="s">
        <v>28</v>
      </c>
      <c r="L9829" s="18" t="s">
        <v>28</v>
      </c>
      <c r="M9829" s="18" t="s">
        <v>28</v>
      </c>
      <c r="N9829" s="17">
        <v>42128</v>
      </c>
      <c r="O9829" s="15" t="s">
        <v>93</v>
      </c>
      <c r="P9829" s="16" t="s">
        <v>27957</v>
      </c>
      <c r="Q9829" s="15" t="s">
        <v>37</v>
      </c>
      <c r="R9829" s="13" t="str">
        <f>HYPERLINK("https://my.pitchbook.com?c=61318-09T","View Company Online")</f>
        <v>View Company Online</v>
      </c>
    </row>
    <row r="9830" spans="1:18" hidden="1" x14ac:dyDescent="0.3">
      <c r="A9830" s="9" t="s">
        <v>27958</v>
      </c>
      <c r="B9830" s="9" t="s">
        <v>27959</v>
      </c>
      <c r="C9830" s="11" t="s">
        <v>28</v>
      </c>
      <c r="D9830" s="9" t="s">
        <v>27960</v>
      </c>
      <c r="E9830" s="11" t="s">
        <v>28</v>
      </c>
      <c r="F9830" s="10" t="s">
        <v>28</v>
      </c>
      <c r="G9830" s="10" t="s">
        <v>28</v>
      </c>
      <c r="H9830" s="10" t="s">
        <v>28</v>
      </c>
      <c r="I9830" s="11" t="s">
        <v>28</v>
      </c>
      <c r="J9830" s="11" t="s">
        <v>28</v>
      </c>
      <c r="K9830" s="11" t="s">
        <v>28</v>
      </c>
      <c r="L9830" s="11" t="s">
        <v>28</v>
      </c>
      <c r="M9830" s="11" t="s">
        <v>28</v>
      </c>
      <c r="N9830" s="8">
        <v>42128</v>
      </c>
      <c r="O9830" s="9" t="s">
        <v>52</v>
      </c>
      <c r="P9830" s="12" t="s">
        <v>27961</v>
      </c>
      <c r="Q9830" s="9" t="s">
        <v>245</v>
      </c>
      <c r="R9830" s="14" t="str">
        <f>HYPERLINK("https://my.pitchbook.com?c=255072-52T","View Company Online")</f>
        <v>View Company Online</v>
      </c>
    </row>
    <row r="9831" spans="1:18" x14ac:dyDescent="0.3">
      <c r="A9831" s="15" t="s">
        <v>27962</v>
      </c>
      <c r="B9831" s="15" t="s">
        <v>12054</v>
      </c>
      <c r="C9831" s="18">
        <v>4.2</v>
      </c>
      <c r="D9831" s="15" t="s">
        <v>22208</v>
      </c>
      <c r="E9831" s="18">
        <v>108.62</v>
      </c>
      <c r="F9831" s="19">
        <v>596.85</v>
      </c>
      <c r="G9831" s="19">
        <v>426.95</v>
      </c>
      <c r="H9831" s="19">
        <v>736.12</v>
      </c>
      <c r="I9831" s="18">
        <v>142.1</v>
      </c>
      <c r="J9831" s="18">
        <v>5.18</v>
      </c>
      <c r="K9831" s="18">
        <v>457.67</v>
      </c>
      <c r="L9831" s="18">
        <v>1.61</v>
      </c>
      <c r="M9831" s="18">
        <v>17.350000000000001</v>
      </c>
      <c r="N9831" s="17">
        <v>42128</v>
      </c>
      <c r="O9831" s="15" t="s">
        <v>41</v>
      </c>
      <c r="P9831" s="16" t="s">
        <v>27963</v>
      </c>
      <c r="Q9831" s="15" t="s">
        <v>43</v>
      </c>
      <c r="R9831" s="13" t="str">
        <f>HYPERLINK("https://my.pitchbook.com?c=68463-91T","View Company Online")</f>
        <v>View Company Online</v>
      </c>
    </row>
    <row r="9832" spans="1:18" x14ac:dyDescent="0.3">
      <c r="A9832" s="9" t="s">
        <v>27964</v>
      </c>
      <c r="B9832" s="9" t="s">
        <v>27965</v>
      </c>
      <c r="C9832" s="11">
        <v>48.44</v>
      </c>
      <c r="D9832" s="9" t="s">
        <v>27966</v>
      </c>
      <c r="E9832" s="11">
        <v>12.49</v>
      </c>
      <c r="F9832" s="10">
        <v>97.52</v>
      </c>
      <c r="G9832" s="10">
        <v>97.52</v>
      </c>
      <c r="H9832" s="10">
        <v>97.52</v>
      </c>
      <c r="I9832" s="11">
        <v>2.0099999999999998</v>
      </c>
      <c r="J9832" s="11">
        <v>48.44</v>
      </c>
      <c r="K9832" s="11">
        <v>126.2</v>
      </c>
      <c r="L9832" s="11">
        <v>0.77</v>
      </c>
      <c r="M9832" s="11">
        <v>7.99</v>
      </c>
      <c r="N9832" s="8">
        <v>42125</v>
      </c>
      <c r="O9832" s="9" t="s">
        <v>30</v>
      </c>
      <c r="P9832" s="12" t="s">
        <v>28</v>
      </c>
      <c r="Q9832" s="9" t="s">
        <v>160</v>
      </c>
      <c r="R9832" s="14" t="str">
        <f>HYPERLINK("https://my.pitchbook.com?c=86427-91T","View Company Online")</f>
        <v>View Company Online</v>
      </c>
    </row>
    <row r="9833" spans="1:18" hidden="1" x14ac:dyDescent="0.3">
      <c r="A9833" s="15" t="s">
        <v>27967</v>
      </c>
      <c r="B9833" s="15" t="s">
        <v>27968</v>
      </c>
      <c r="C9833" s="18" t="s">
        <v>28</v>
      </c>
      <c r="D9833" s="15" t="s">
        <v>27969</v>
      </c>
      <c r="E9833" s="18" t="s">
        <v>28</v>
      </c>
      <c r="F9833" s="19" t="s">
        <v>28</v>
      </c>
      <c r="G9833" s="19" t="s">
        <v>28</v>
      </c>
      <c r="H9833" s="19" t="s">
        <v>28</v>
      </c>
      <c r="I9833" s="18" t="s">
        <v>28</v>
      </c>
      <c r="J9833" s="18" t="s">
        <v>28</v>
      </c>
      <c r="K9833" s="18" t="s">
        <v>28</v>
      </c>
      <c r="L9833" s="18" t="s">
        <v>28</v>
      </c>
      <c r="M9833" s="18" t="s">
        <v>28</v>
      </c>
      <c r="N9833" s="17">
        <v>42125</v>
      </c>
      <c r="O9833" s="15" t="s">
        <v>30</v>
      </c>
      <c r="P9833" s="16" t="s">
        <v>27970</v>
      </c>
      <c r="Q9833" s="15" t="s">
        <v>399</v>
      </c>
      <c r="R9833" s="13" t="str">
        <f>HYPERLINK("https://my.pitchbook.com?c=96824-17T","View Company Online")</f>
        <v>View Company Online</v>
      </c>
    </row>
    <row r="9834" spans="1:18" hidden="1" x14ac:dyDescent="0.3">
      <c r="A9834" s="9" t="s">
        <v>27971</v>
      </c>
      <c r="B9834" s="9" t="s">
        <v>27972</v>
      </c>
      <c r="C9834" s="11" t="s">
        <v>28</v>
      </c>
      <c r="D9834" s="9" t="s">
        <v>27973</v>
      </c>
      <c r="E9834" s="11" t="s">
        <v>28</v>
      </c>
      <c r="F9834" s="10" t="s">
        <v>28</v>
      </c>
      <c r="G9834" s="10" t="s">
        <v>28</v>
      </c>
      <c r="H9834" s="10" t="s">
        <v>28</v>
      </c>
      <c r="I9834" s="11" t="s">
        <v>28</v>
      </c>
      <c r="J9834" s="11" t="s">
        <v>28</v>
      </c>
      <c r="K9834" s="11" t="s">
        <v>28</v>
      </c>
      <c r="L9834" s="11" t="s">
        <v>28</v>
      </c>
      <c r="M9834" s="11" t="s">
        <v>28</v>
      </c>
      <c r="N9834" s="8">
        <v>42125</v>
      </c>
      <c r="O9834" s="9" t="s">
        <v>173</v>
      </c>
      <c r="P9834" s="12" t="s">
        <v>28</v>
      </c>
      <c r="Q9834" s="9" t="s">
        <v>59</v>
      </c>
      <c r="R9834" s="14" t="str">
        <f>HYPERLINK("https://my.pitchbook.com?c=221444-02T","View Company Online")</f>
        <v>View Company Online</v>
      </c>
    </row>
    <row r="9835" spans="1:18" hidden="1" x14ac:dyDescent="0.3">
      <c r="A9835" s="15" t="s">
        <v>27974</v>
      </c>
      <c r="B9835" s="15" t="s">
        <v>10005</v>
      </c>
      <c r="C9835" s="18" t="s">
        <v>28</v>
      </c>
      <c r="D9835" s="15" t="s">
        <v>10006</v>
      </c>
      <c r="E9835" s="18" t="s">
        <v>28</v>
      </c>
      <c r="F9835" s="19" t="s">
        <v>28</v>
      </c>
      <c r="G9835" s="19">
        <v>3</v>
      </c>
      <c r="H9835" s="19" t="s">
        <v>28</v>
      </c>
      <c r="I9835" s="18" t="s">
        <v>28</v>
      </c>
      <c r="J9835" s="18" t="s">
        <v>28</v>
      </c>
      <c r="K9835" s="18" t="s">
        <v>28</v>
      </c>
      <c r="L9835" s="18" t="s">
        <v>28</v>
      </c>
      <c r="M9835" s="18" t="s">
        <v>28</v>
      </c>
      <c r="N9835" s="17">
        <v>42125</v>
      </c>
      <c r="O9835" s="15" t="s">
        <v>73</v>
      </c>
      <c r="P9835" s="16" t="s">
        <v>27975</v>
      </c>
      <c r="Q9835" s="15" t="s">
        <v>696</v>
      </c>
      <c r="R9835" s="13" t="str">
        <f>HYPERLINK("https://my.pitchbook.com?c=53307-01T","View Company Online")</f>
        <v>View Company Online</v>
      </c>
    </row>
    <row r="9836" spans="1:18" hidden="1" x14ac:dyDescent="0.3">
      <c r="A9836" s="9" t="s">
        <v>27976</v>
      </c>
      <c r="B9836" s="9" t="s">
        <v>5837</v>
      </c>
      <c r="C9836" s="11" t="s">
        <v>28</v>
      </c>
      <c r="D9836" s="9" t="s">
        <v>5838</v>
      </c>
      <c r="E9836" s="11" t="s">
        <v>28</v>
      </c>
      <c r="F9836" s="10" t="s">
        <v>28</v>
      </c>
      <c r="G9836" s="10" t="s">
        <v>28</v>
      </c>
      <c r="H9836" s="10" t="s">
        <v>28</v>
      </c>
      <c r="I9836" s="11" t="s">
        <v>28</v>
      </c>
      <c r="J9836" s="11" t="s">
        <v>28</v>
      </c>
      <c r="K9836" s="11" t="s">
        <v>28</v>
      </c>
      <c r="L9836" s="11" t="s">
        <v>28</v>
      </c>
      <c r="M9836" s="11" t="s">
        <v>28</v>
      </c>
      <c r="N9836" s="8">
        <v>42125</v>
      </c>
      <c r="O9836" s="9" t="s">
        <v>52</v>
      </c>
      <c r="P9836" s="12" t="s">
        <v>8013</v>
      </c>
      <c r="Q9836" s="9" t="s">
        <v>75</v>
      </c>
      <c r="R9836" s="14" t="str">
        <f>HYPERLINK("https://my.pitchbook.com?c=139536-64T","View Company Online")</f>
        <v>View Company Online</v>
      </c>
    </row>
    <row r="9837" spans="1:18" hidden="1" x14ac:dyDescent="0.3">
      <c r="A9837" s="15" t="s">
        <v>27977</v>
      </c>
      <c r="B9837" s="15" t="s">
        <v>27978</v>
      </c>
      <c r="C9837" s="18" t="s">
        <v>28</v>
      </c>
      <c r="D9837" s="15" t="s">
        <v>27979</v>
      </c>
      <c r="E9837" s="18" t="s">
        <v>28</v>
      </c>
      <c r="F9837" s="19" t="s">
        <v>28</v>
      </c>
      <c r="G9837" s="19" t="s">
        <v>28</v>
      </c>
      <c r="H9837" s="19" t="s">
        <v>28</v>
      </c>
      <c r="I9837" s="18" t="s">
        <v>28</v>
      </c>
      <c r="J9837" s="18" t="s">
        <v>28</v>
      </c>
      <c r="K9837" s="18" t="s">
        <v>28</v>
      </c>
      <c r="L9837" s="18" t="s">
        <v>28</v>
      </c>
      <c r="M9837" s="18" t="s">
        <v>28</v>
      </c>
      <c r="N9837" s="17">
        <v>42125</v>
      </c>
      <c r="O9837" s="15" t="s">
        <v>30</v>
      </c>
      <c r="P9837" s="16" t="s">
        <v>27980</v>
      </c>
      <c r="Q9837" s="15" t="s">
        <v>3912</v>
      </c>
      <c r="R9837" s="13" t="str">
        <f>HYPERLINK("https://my.pitchbook.com?c=85577-41T","View Company Online")</f>
        <v>View Company Online</v>
      </c>
    </row>
    <row r="9838" spans="1:18" hidden="1" x14ac:dyDescent="0.3">
      <c r="A9838" s="9" t="s">
        <v>27981</v>
      </c>
      <c r="B9838" s="9" t="s">
        <v>27982</v>
      </c>
      <c r="C9838" s="11" t="s">
        <v>28</v>
      </c>
      <c r="D9838" s="9" t="s">
        <v>27983</v>
      </c>
      <c r="E9838" s="11" t="s">
        <v>28</v>
      </c>
      <c r="F9838" s="10" t="s">
        <v>28</v>
      </c>
      <c r="G9838" s="10" t="s">
        <v>28</v>
      </c>
      <c r="H9838" s="10" t="s">
        <v>28</v>
      </c>
      <c r="I9838" s="11" t="s">
        <v>28</v>
      </c>
      <c r="J9838" s="11" t="s">
        <v>28</v>
      </c>
      <c r="K9838" s="11" t="s">
        <v>28</v>
      </c>
      <c r="L9838" s="11" t="s">
        <v>28</v>
      </c>
      <c r="M9838" s="11" t="s">
        <v>28</v>
      </c>
      <c r="N9838" s="8">
        <v>42125</v>
      </c>
      <c r="O9838" s="9" t="s">
        <v>30</v>
      </c>
      <c r="P9838" s="12" t="s">
        <v>2281</v>
      </c>
      <c r="Q9838" s="9" t="s">
        <v>136</v>
      </c>
      <c r="R9838" s="14" t="str">
        <f>HYPERLINK("https://my.pitchbook.com?c=257375-71T","View Company Online")</f>
        <v>View Company Online</v>
      </c>
    </row>
    <row r="9839" spans="1:18" hidden="1" x14ac:dyDescent="0.3">
      <c r="A9839" s="15" t="s">
        <v>27984</v>
      </c>
      <c r="B9839" s="15" t="s">
        <v>17551</v>
      </c>
      <c r="C9839" s="18" t="s">
        <v>28</v>
      </c>
      <c r="D9839" s="15" t="s">
        <v>17552</v>
      </c>
      <c r="E9839" s="18" t="s">
        <v>28</v>
      </c>
      <c r="F9839" s="19" t="s">
        <v>28</v>
      </c>
      <c r="G9839" s="19" t="s">
        <v>28</v>
      </c>
      <c r="H9839" s="19" t="s">
        <v>28</v>
      </c>
      <c r="I9839" s="18" t="s">
        <v>28</v>
      </c>
      <c r="J9839" s="18" t="s">
        <v>28</v>
      </c>
      <c r="K9839" s="18" t="s">
        <v>28</v>
      </c>
      <c r="L9839" s="18" t="s">
        <v>28</v>
      </c>
      <c r="M9839" s="18" t="s">
        <v>28</v>
      </c>
      <c r="N9839" s="17">
        <v>42125</v>
      </c>
      <c r="O9839" s="15" t="s">
        <v>79</v>
      </c>
      <c r="P9839" s="16" t="s">
        <v>27985</v>
      </c>
      <c r="Q9839" s="15" t="s">
        <v>409</v>
      </c>
      <c r="R9839" s="13" t="str">
        <f>HYPERLINK("https://my.pitchbook.com?c=158807-98T","View Company Online")</f>
        <v>View Company Online</v>
      </c>
    </row>
    <row r="9840" spans="1:18" hidden="1" x14ac:dyDescent="0.3">
      <c r="A9840" s="9" t="s">
        <v>27986</v>
      </c>
      <c r="B9840" s="9" t="s">
        <v>20426</v>
      </c>
      <c r="C9840" s="11" t="s">
        <v>28</v>
      </c>
      <c r="D9840" s="9" t="s">
        <v>20427</v>
      </c>
      <c r="E9840" s="11" t="s">
        <v>28</v>
      </c>
      <c r="F9840" s="10" t="s">
        <v>28</v>
      </c>
      <c r="G9840" s="10">
        <v>0.04</v>
      </c>
      <c r="H9840" s="10" t="s">
        <v>28</v>
      </c>
      <c r="I9840" s="11" t="s">
        <v>28</v>
      </c>
      <c r="J9840" s="11" t="s">
        <v>28</v>
      </c>
      <c r="K9840" s="11" t="s">
        <v>28</v>
      </c>
      <c r="L9840" s="11" t="s">
        <v>28</v>
      </c>
      <c r="M9840" s="11" t="s">
        <v>28</v>
      </c>
      <c r="N9840" s="8">
        <v>42124</v>
      </c>
      <c r="O9840" s="9" t="s">
        <v>52</v>
      </c>
      <c r="P9840" s="12" t="s">
        <v>1792</v>
      </c>
      <c r="Q9840" s="9" t="s">
        <v>522</v>
      </c>
      <c r="R9840" s="14" t="str">
        <f>HYPERLINK("https://my.pitchbook.com?c=59035-06T","View Company Online")</f>
        <v>View Company Online</v>
      </c>
    </row>
    <row r="9841" spans="1:18" hidden="1" x14ac:dyDescent="0.3">
      <c r="A9841" s="15" t="s">
        <v>27987</v>
      </c>
      <c r="B9841" s="15" t="s">
        <v>27988</v>
      </c>
      <c r="C9841" s="18" t="s">
        <v>28</v>
      </c>
      <c r="D9841" s="15" t="s">
        <v>27989</v>
      </c>
      <c r="E9841" s="18" t="s">
        <v>28</v>
      </c>
      <c r="F9841" s="19" t="s">
        <v>28</v>
      </c>
      <c r="G9841" s="19" t="s">
        <v>28</v>
      </c>
      <c r="H9841" s="19" t="s">
        <v>28</v>
      </c>
      <c r="I9841" s="18" t="s">
        <v>28</v>
      </c>
      <c r="J9841" s="18" t="s">
        <v>28</v>
      </c>
      <c r="K9841" s="18">
        <v>17.690000000000001</v>
      </c>
      <c r="L9841" s="18" t="s">
        <v>28</v>
      </c>
      <c r="M9841" s="18" t="s">
        <v>28</v>
      </c>
      <c r="N9841" s="17">
        <v>42123</v>
      </c>
      <c r="O9841" s="15" t="s">
        <v>93</v>
      </c>
      <c r="P9841" s="16" t="s">
        <v>21708</v>
      </c>
      <c r="Q9841" s="15" t="s">
        <v>75</v>
      </c>
      <c r="R9841" s="13" t="str">
        <f>HYPERLINK("https://my.pitchbook.com?c=73992-61T","View Company Online")</f>
        <v>View Company Online</v>
      </c>
    </row>
    <row r="9842" spans="1:18" hidden="1" x14ac:dyDescent="0.3">
      <c r="A9842" s="9" t="s">
        <v>27990</v>
      </c>
      <c r="B9842" s="9" t="s">
        <v>27991</v>
      </c>
      <c r="C9842" s="11" t="s">
        <v>28</v>
      </c>
      <c r="D9842" s="9" t="s">
        <v>27992</v>
      </c>
      <c r="E9842" s="11" t="s">
        <v>28</v>
      </c>
      <c r="F9842" s="10" t="s">
        <v>28</v>
      </c>
      <c r="G9842" s="10" t="s">
        <v>28</v>
      </c>
      <c r="H9842" s="10" t="s">
        <v>28</v>
      </c>
      <c r="I9842" s="11" t="s">
        <v>28</v>
      </c>
      <c r="J9842" s="11" t="s">
        <v>28</v>
      </c>
      <c r="K9842" s="11" t="s">
        <v>28</v>
      </c>
      <c r="L9842" s="11" t="s">
        <v>28</v>
      </c>
      <c r="M9842" s="11" t="s">
        <v>28</v>
      </c>
      <c r="N9842" s="8">
        <v>42122</v>
      </c>
      <c r="O9842" s="9" t="s">
        <v>30</v>
      </c>
      <c r="P9842" s="12" t="s">
        <v>22084</v>
      </c>
      <c r="Q9842" s="9" t="s">
        <v>566</v>
      </c>
      <c r="R9842" s="14" t="str">
        <f>HYPERLINK("https://my.pitchbook.com?c=52503-49T","View Company Online")</f>
        <v>View Company Online</v>
      </c>
    </row>
    <row r="9843" spans="1:18" hidden="1" x14ac:dyDescent="0.3">
      <c r="A9843" s="15" t="s">
        <v>27993</v>
      </c>
      <c r="B9843" s="15" t="s">
        <v>8637</v>
      </c>
      <c r="C9843" s="18" t="s">
        <v>28</v>
      </c>
      <c r="D9843" s="15" t="s">
        <v>8638</v>
      </c>
      <c r="E9843" s="18" t="s">
        <v>28</v>
      </c>
      <c r="F9843" s="19" t="s">
        <v>28</v>
      </c>
      <c r="G9843" s="19">
        <v>7.37</v>
      </c>
      <c r="H9843" s="19" t="s">
        <v>28</v>
      </c>
      <c r="I9843" s="18" t="s">
        <v>28</v>
      </c>
      <c r="J9843" s="18" t="s">
        <v>28</v>
      </c>
      <c r="K9843" s="18" t="s">
        <v>28</v>
      </c>
      <c r="L9843" s="18" t="s">
        <v>28</v>
      </c>
      <c r="M9843" s="18" t="s">
        <v>28</v>
      </c>
      <c r="N9843" s="17">
        <v>42122</v>
      </c>
      <c r="O9843" s="15" t="s">
        <v>73</v>
      </c>
      <c r="P9843" s="16" t="s">
        <v>27994</v>
      </c>
      <c r="Q9843" s="15" t="s">
        <v>119</v>
      </c>
      <c r="R9843" s="13" t="str">
        <f>HYPERLINK("https://my.pitchbook.com?c=49209-76T","View Company Online")</f>
        <v>View Company Online</v>
      </c>
    </row>
    <row r="9844" spans="1:18" hidden="1" x14ac:dyDescent="0.3">
      <c r="A9844" s="9" t="s">
        <v>27995</v>
      </c>
      <c r="B9844" s="9" t="s">
        <v>27996</v>
      </c>
      <c r="C9844" s="11" t="s">
        <v>28</v>
      </c>
      <c r="D9844" s="9" t="s">
        <v>27997</v>
      </c>
      <c r="E9844" s="11" t="s">
        <v>28</v>
      </c>
      <c r="F9844" s="10" t="s">
        <v>28</v>
      </c>
      <c r="G9844" s="10" t="s">
        <v>28</v>
      </c>
      <c r="H9844" s="10" t="s">
        <v>28</v>
      </c>
      <c r="I9844" s="11" t="s">
        <v>28</v>
      </c>
      <c r="J9844" s="11" t="s">
        <v>28</v>
      </c>
      <c r="K9844" s="11" t="s">
        <v>28</v>
      </c>
      <c r="L9844" s="11" t="s">
        <v>28</v>
      </c>
      <c r="M9844" s="11" t="s">
        <v>28</v>
      </c>
      <c r="N9844" s="8">
        <v>42122</v>
      </c>
      <c r="O9844" s="9" t="s">
        <v>30</v>
      </c>
      <c r="P9844" s="12" t="s">
        <v>27998</v>
      </c>
      <c r="Q9844" s="9" t="s">
        <v>75</v>
      </c>
      <c r="R9844" s="14" t="str">
        <f>HYPERLINK("https://my.pitchbook.com?c=49452-31T","View Company Online")</f>
        <v>View Company Online</v>
      </c>
    </row>
    <row r="9845" spans="1:18" hidden="1" x14ac:dyDescent="0.3">
      <c r="A9845" s="15" t="s">
        <v>27999</v>
      </c>
      <c r="B9845" s="15" t="s">
        <v>28000</v>
      </c>
      <c r="C9845" s="18" t="s">
        <v>28</v>
      </c>
      <c r="D9845" s="15" t="s">
        <v>28001</v>
      </c>
      <c r="E9845" s="18" t="s">
        <v>28</v>
      </c>
      <c r="F9845" s="19" t="s">
        <v>28</v>
      </c>
      <c r="G9845" s="19" t="s">
        <v>28</v>
      </c>
      <c r="H9845" s="19" t="s">
        <v>28</v>
      </c>
      <c r="I9845" s="18" t="s">
        <v>28</v>
      </c>
      <c r="J9845" s="18" t="s">
        <v>28</v>
      </c>
      <c r="K9845" s="18" t="s">
        <v>28</v>
      </c>
      <c r="L9845" s="18" t="s">
        <v>28</v>
      </c>
      <c r="M9845" s="18" t="s">
        <v>28</v>
      </c>
      <c r="N9845" s="17">
        <v>42122</v>
      </c>
      <c r="O9845" s="15" t="s">
        <v>30</v>
      </c>
      <c r="P9845" s="16" t="s">
        <v>28002</v>
      </c>
      <c r="Q9845" s="15" t="s">
        <v>136</v>
      </c>
      <c r="R9845" s="13" t="str">
        <f>HYPERLINK("https://my.pitchbook.com?c=49655-08T","View Company Online")</f>
        <v>View Company Online</v>
      </c>
    </row>
    <row r="9846" spans="1:18" hidden="1" x14ac:dyDescent="0.3">
      <c r="A9846" s="9" t="s">
        <v>28003</v>
      </c>
      <c r="B9846" s="9" t="s">
        <v>28004</v>
      </c>
      <c r="C9846" s="11" t="s">
        <v>28</v>
      </c>
      <c r="D9846" s="9" t="s">
        <v>28005</v>
      </c>
      <c r="E9846" s="11" t="s">
        <v>28</v>
      </c>
      <c r="F9846" s="10" t="s">
        <v>28</v>
      </c>
      <c r="G9846" s="10" t="s">
        <v>28</v>
      </c>
      <c r="H9846" s="10" t="s">
        <v>28</v>
      </c>
      <c r="I9846" s="11" t="s">
        <v>28</v>
      </c>
      <c r="J9846" s="11" t="s">
        <v>28</v>
      </c>
      <c r="K9846" s="11" t="s">
        <v>28</v>
      </c>
      <c r="L9846" s="11" t="s">
        <v>28</v>
      </c>
      <c r="M9846" s="11" t="s">
        <v>28</v>
      </c>
      <c r="N9846" s="8">
        <v>42119</v>
      </c>
      <c r="O9846" s="9" t="s">
        <v>52</v>
      </c>
      <c r="P9846" s="12" t="s">
        <v>27594</v>
      </c>
      <c r="Q9846" s="9" t="s">
        <v>75</v>
      </c>
      <c r="R9846" s="14" t="str">
        <f>HYPERLINK("https://my.pitchbook.com?c=133053-31T","View Company Online")</f>
        <v>View Company Online</v>
      </c>
    </row>
    <row r="9847" spans="1:18" hidden="1" x14ac:dyDescent="0.3">
      <c r="A9847" s="15" t="s">
        <v>28006</v>
      </c>
      <c r="B9847" s="15" t="s">
        <v>13289</v>
      </c>
      <c r="C9847" s="18" t="s">
        <v>28</v>
      </c>
      <c r="D9847" s="15" t="s">
        <v>13290</v>
      </c>
      <c r="E9847" s="18" t="s">
        <v>28</v>
      </c>
      <c r="F9847" s="19" t="s">
        <v>28</v>
      </c>
      <c r="G9847" s="19" t="s">
        <v>28</v>
      </c>
      <c r="H9847" s="19" t="s">
        <v>28</v>
      </c>
      <c r="I9847" s="18" t="s">
        <v>28</v>
      </c>
      <c r="J9847" s="18" t="s">
        <v>28</v>
      </c>
      <c r="K9847" s="18" t="s">
        <v>28</v>
      </c>
      <c r="L9847" s="18" t="s">
        <v>28</v>
      </c>
      <c r="M9847" s="18" t="s">
        <v>28</v>
      </c>
      <c r="N9847" s="17">
        <v>42118</v>
      </c>
      <c r="O9847" s="15" t="s">
        <v>52</v>
      </c>
      <c r="P9847" s="16" t="s">
        <v>21790</v>
      </c>
      <c r="Q9847" s="15" t="s">
        <v>5628</v>
      </c>
      <c r="R9847" s="13" t="str">
        <f>HYPERLINK("https://my.pitchbook.com?c=107906-32T","View Company Online")</f>
        <v>View Company Online</v>
      </c>
    </row>
    <row r="9848" spans="1:18" hidden="1" x14ac:dyDescent="0.3">
      <c r="A9848" s="9" t="s">
        <v>28007</v>
      </c>
      <c r="B9848" s="9" t="s">
        <v>5653</v>
      </c>
      <c r="C9848" s="11" t="s">
        <v>28</v>
      </c>
      <c r="D9848" s="9" t="s">
        <v>28008</v>
      </c>
      <c r="E9848" s="11" t="s">
        <v>28</v>
      </c>
      <c r="F9848" s="10">
        <v>41.37</v>
      </c>
      <c r="G9848" s="10">
        <v>24.82</v>
      </c>
      <c r="H9848" s="10">
        <v>41.37</v>
      </c>
      <c r="I9848" s="11" t="s">
        <v>28</v>
      </c>
      <c r="J9848" s="11" t="s">
        <v>28</v>
      </c>
      <c r="K9848" s="11" t="s">
        <v>28</v>
      </c>
      <c r="L9848" s="11" t="s">
        <v>28</v>
      </c>
      <c r="M9848" s="11" t="s">
        <v>28</v>
      </c>
      <c r="N9848" s="8">
        <v>42117</v>
      </c>
      <c r="O9848" s="9" t="s">
        <v>30</v>
      </c>
      <c r="P9848" s="12" t="s">
        <v>27288</v>
      </c>
      <c r="Q9848" s="9" t="s">
        <v>240</v>
      </c>
      <c r="R9848" s="14" t="str">
        <f>HYPERLINK("https://my.pitchbook.com?c=49097-08T","View Company Online")</f>
        <v>View Company Online</v>
      </c>
    </row>
    <row r="9849" spans="1:18" hidden="1" x14ac:dyDescent="0.3">
      <c r="A9849" s="15" t="s">
        <v>28009</v>
      </c>
      <c r="B9849" s="15" t="s">
        <v>28010</v>
      </c>
      <c r="C9849" s="18" t="s">
        <v>28</v>
      </c>
      <c r="D9849" s="15" t="s">
        <v>28011</v>
      </c>
      <c r="E9849" s="18" t="s">
        <v>28</v>
      </c>
      <c r="F9849" s="19" t="s">
        <v>28</v>
      </c>
      <c r="G9849" s="19" t="s">
        <v>28</v>
      </c>
      <c r="H9849" s="19" t="s">
        <v>28</v>
      </c>
      <c r="I9849" s="18" t="s">
        <v>28</v>
      </c>
      <c r="J9849" s="18" t="s">
        <v>28</v>
      </c>
      <c r="K9849" s="18" t="s">
        <v>28</v>
      </c>
      <c r="L9849" s="18" t="s">
        <v>28</v>
      </c>
      <c r="M9849" s="18" t="s">
        <v>28</v>
      </c>
      <c r="N9849" s="17">
        <v>42117</v>
      </c>
      <c r="O9849" s="15" t="s">
        <v>41</v>
      </c>
      <c r="P9849" s="16" t="s">
        <v>28012</v>
      </c>
      <c r="Q9849" s="15" t="s">
        <v>1007</v>
      </c>
      <c r="R9849" s="13" t="str">
        <f>HYPERLINK("https://my.pitchbook.com?c=49091-86T","View Company Online")</f>
        <v>View Company Online</v>
      </c>
    </row>
    <row r="9850" spans="1:18" hidden="1" x14ac:dyDescent="0.3">
      <c r="A9850" s="9" t="s">
        <v>28013</v>
      </c>
      <c r="B9850" s="9" t="s">
        <v>24931</v>
      </c>
      <c r="C9850" s="11" t="s">
        <v>28</v>
      </c>
      <c r="D9850" s="9" t="s">
        <v>24932</v>
      </c>
      <c r="E9850" s="11" t="s">
        <v>28</v>
      </c>
      <c r="F9850" s="10" t="s">
        <v>28</v>
      </c>
      <c r="G9850" s="10">
        <v>1</v>
      </c>
      <c r="H9850" s="10" t="s">
        <v>28</v>
      </c>
      <c r="I9850" s="11" t="s">
        <v>28</v>
      </c>
      <c r="J9850" s="11" t="s">
        <v>28</v>
      </c>
      <c r="K9850" s="11" t="s">
        <v>28</v>
      </c>
      <c r="L9850" s="11" t="s">
        <v>28</v>
      </c>
      <c r="M9850" s="11" t="s">
        <v>28</v>
      </c>
      <c r="N9850" s="8">
        <v>42117</v>
      </c>
      <c r="O9850" s="9" t="s">
        <v>73</v>
      </c>
      <c r="P9850" s="12" t="s">
        <v>28014</v>
      </c>
      <c r="Q9850" s="9" t="s">
        <v>419</v>
      </c>
      <c r="R9850" s="14" t="str">
        <f>HYPERLINK("https://my.pitchbook.com?c=49860-64T","View Company Online")</f>
        <v>View Company Online</v>
      </c>
    </row>
    <row r="9851" spans="1:18" hidden="1" x14ac:dyDescent="0.3">
      <c r="A9851" s="15" t="s">
        <v>28015</v>
      </c>
      <c r="B9851" s="15" t="s">
        <v>5384</v>
      </c>
      <c r="C9851" s="18" t="s">
        <v>28</v>
      </c>
      <c r="D9851" s="15" t="s">
        <v>5385</v>
      </c>
      <c r="E9851" s="18" t="s">
        <v>28</v>
      </c>
      <c r="F9851" s="19" t="s">
        <v>28</v>
      </c>
      <c r="G9851" s="19">
        <v>0.04</v>
      </c>
      <c r="H9851" s="19" t="s">
        <v>28</v>
      </c>
      <c r="I9851" s="18" t="s">
        <v>28</v>
      </c>
      <c r="J9851" s="18" t="s">
        <v>28</v>
      </c>
      <c r="K9851" s="18" t="s">
        <v>28</v>
      </c>
      <c r="L9851" s="18" t="s">
        <v>28</v>
      </c>
      <c r="M9851" s="18" t="s">
        <v>28</v>
      </c>
      <c r="N9851" s="17">
        <v>42116</v>
      </c>
      <c r="O9851" s="15" t="s">
        <v>99</v>
      </c>
      <c r="P9851" s="16" t="s">
        <v>28</v>
      </c>
      <c r="Q9851" s="15" t="s">
        <v>37</v>
      </c>
      <c r="R9851" s="13" t="str">
        <f>HYPERLINK("https://my.pitchbook.com?c=55077-22T","View Company Online")</f>
        <v>View Company Online</v>
      </c>
    </row>
    <row r="9852" spans="1:18" hidden="1" x14ac:dyDescent="0.3">
      <c r="A9852" s="9" t="s">
        <v>28016</v>
      </c>
      <c r="B9852" s="9" t="s">
        <v>28017</v>
      </c>
      <c r="C9852" s="11" t="s">
        <v>28</v>
      </c>
      <c r="D9852" s="9" t="s">
        <v>28018</v>
      </c>
      <c r="E9852" s="11" t="s">
        <v>28</v>
      </c>
      <c r="F9852" s="10" t="s">
        <v>28</v>
      </c>
      <c r="G9852" s="10" t="s">
        <v>28</v>
      </c>
      <c r="H9852" s="10" t="s">
        <v>28</v>
      </c>
      <c r="I9852" s="11" t="s">
        <v>28</v>
      </c>
      <c r="J9852" s="11" t="s">
        <v>28</v>
      </c>
      <c r="K9852" s="11" t="s">
        <v>28</v>
      </c>
      <c r="L9852" s="11" t="s">
        <v>28</v>
      </c>
      <c r="M9852" s="11" t="s">
        <v>28</v>
      </c>
      <c r="N9852" s="8">
        <v>42116</v>
      </c>
      <c r="O9852" s="9" t="s">
        <v>30</v>
      </c>
      <c r="P9852" s="12" t="s">
        <v>28019</v>
      </c>
      <c r="Q9852" s="9" t="s">
        <v>1643</v>
      </c>
      <c r="R9852" s="14" t="str">
        <f>HYPERLINK("https://my.pitchbook.com?c=47960-47T","View Company Online")</f>
        <v>View Company Online</v>
      </c>
    </row>
    <row r="9853" spans="1:18" hidden="1" x14ac:dyDescent="0.3">
      <c r="A9853" s="15" t="s">
        <v>28020</v>
      </c>
      <c r="B9853" s="15" t="s">
        <v>28021</v>
      </c>
      <c r="C9853" s="18" t="s">
        <v>28</v>
      </c>
      <c r="D9853" s="15" t="s">
        <v>28022</v>
      </c>
      <c r="E9853" s="18" t="s">
        <v>28</v>
      </c>
      <c r="F9853" s="19">
        <v>45</v>
      </c>
      <c r="G9853" s="19">
        <v>45</v>
      </c>
      <c r="H9853" s="19">
        <v>45</v>
      </c>
      <c r="I9853" s="18" t="s">
        <v>28</v>
      </c>
      <c r="J9853" s="18" t="s">
        <v>28</v>
      </c>
      <c r="K9853" s="18" t="s">
        <v>28</v>
      </c>
      <c r="L9853" s="18" t="s">
        <v>28</v>
      </c>
      <c r="M9853" s="18" t="s">
        <v>28</v>
      </c>
      <c r="N9853" s="17">
        <v>42111</v>
      </c>
      <c r="O9853" s="15" t="s">
        <v>30</v>
      </c>
      <c r="P9853" s="16" t="s">
        <v>28</v>
      </c>
      <c r="Q9853" s="15" t="s">
        <v>7449</v>
      </c>
      <c r="R9853" s="13" t="str">
        <f>HYPERLINK("https://my.pitchbook.com?c=48645-73T","View Company Online")</f>
        <v>View Company Online</v>
      </c>
    </row>
    <row r="9854" spans="1:18" hidden="1" x14ac:dyDescent="0.3">
      <c r="A9854" s="9" t="s">
        <v>28023</v>
      </c>
      <c r="B9854" s="9" t="s">
        <v>28024</v>
      </c>
      <c r="C9854" s="11" t="s">
        <v>28</v>
      </c>
      <c r="D9854" s="9" t="s">
        <v>28025</v>
      </c>
      <c r="E9854" s="11" t="s">
        <v>28</v>
      </c>
      <c r="F9854" s="10" t="s">
        <v>28</v>
      </c>
      <c r="G9854" s="10" t="s">
        <v>28</v>
      </c>
      <c r="H9854" s="10" t="s">
        <v>28</v>
      </c>
      <c r="I9854" s="11" t="s">
        <v>28</v>
      </c>
      <c r="J9854" s="11" t="s">
        <v>28</v>
      </c>
      <c r="K9854" s="11" t="s">
        <v>28</v>
      </c>
      <c r="L9854" s="11" t="s">
        <v>28</v>
      </c>
      <c r="M9854" s="11" t="s">
        <v>28</v>
      </c>
      <c r="N9854" s="8">
        <v>42111</v>
      </c>
      <c r="O9854" s="9" t="s">
        <v>173</v>
      </c>
      <c r="P9854" s="12" t="s">
        <v>28</v>
      </c>
      <c r="Q9854" s="9" t="s">
        <v>174</v>
      </c>
      <c r="R9854" s="14" t="str">
        <f>HYPERLINK("https://my.pitchbook.com?c=222632-83T","View Company Online")</f>
        <v>View Company Online</v>
      </c>
    </row>
    <row r="9855" spans="1:18" hidden="1" x14ac:dyDescent="0.3">
      <c r="A9855" s="15" t="s">
        <v>28026</v>
      </c>
      <c r="B9855" s="15" t="s">
        <v>28027</v>
      </c>
      <c r="C9855" s="18" t="s">
        <v>28</v>
      </c>
      <c r="D9855" s="15" t="s">
        <v>28028</v>
      </c>
      <c r="E9855" s="18" t="s">
        <v>28</v>
      </c>
      <c r="F9855" s="19">
        <v>243.92</v>
      </c>
      <c r="G9855" s="19">
        <v>203.19</v>
      </c>
      <c r="H9855" s="19">
        <v>243.92</v>
      </c>
      <c r="I9855" s="18" t="s">
        <v>28</v>
      </c>
      <c r="J9855" s="18" t="s">
        <v>28</v>
      </c>
      <c r="K9855" s="18" t="s">
        <v>28</v>
      </c>
      <c r="L9855" s="18" t="s">
        <v>28</v>
      </c>
      <c r="M9855" s="18" t="s">
        <v>28</v>
      </c>
      <c r="N9855" s="17">
        <v>42111</v>
      </c>
      <c r="O9855" s="15" t="s">
        <v>30</v>
      </c>
      <c r="P9855" s="16" t="s">
        <v>28029</v>
      </c>
      <c r="Q9855" s="15" t="s">
        <v>136</v>
      </c>
      <c r="R9855" s="13" t="str">
        <f>HYPERLINK("https://my.pitchbook.com?c=63006-31T","View Company Online")</f>
        <v>View Company Online</v>
      </c>
    </row>
    <row r="9856" spans="1:18" hidden="1" x14ac:dyDescent="0.3">
      <c r="A9856" s="9" t="s">
        <v>28030</v>
      </c>
      <c r="B9856" s="9" t="s">
        <v>11939</v>
      </c>
      <c r="C9856" s="11" t="s">
        <v>28</v>
      </c>
      <c r="D9856" s="9" t="s">
        <v>11940</v>
      </c>
      <c r="E9856" s="11" t="s">
        <v>28</v>
      </c>
      <c r="F9856" s="10" t="s">
        <v>28</v>
      </c>
      <c r="G9856" s="10">
        <v>0.04</v>
      </c>
      <c r="H9856" s="10" t="s">
        <v>28</v>
      </c>
      <c r="I9856" s="11" t="s">
        <v>28</v>
      </c>
      <c r="J9856" s="11" t="s">
        <v>28</v>
      </c>
      <c r="K9856" s="11" t="s">
        <v>28</v>
      </c>
      <c r="L9856" s="11" t="s">
        <v>28</v>
      </c>
      <c r="M9856" s="11" t="s">
        <v>28</v>
      </c>
      <c r="N9856" s="8">
        <v>42111</v>
      </c>
      <c r="O9856" s="9" t="s">
        <v>52</v>
      </c>
      <c r="P9856" s="12" t="s">
        <v>1792</v>
      </c>
      <c r="Q9856" s="9" t="s">
        <v>75</v>
      </c>
      <c r="R9856" s="14" t="str">
        <f>HYPERLINK("https://my.pitchbook.com?c=60080-32T","View Company Online")</f>
        <v>View Company Online</v>
      </c>
    </row>
    <row r="9857" spans="1:18" hidden="1" x14ac:dyDescent="0.3">
      <c r="A9857" s="15" t="s">
        <v>28031</v>
      </c>
      <c r="B9857" s="15" t="s">
        <v>27074</v>
      </c>
      <c r="C9857" s="18" t="s">
        <v>28</v>
      </c>
      <c r="D9857" s="15" t="s">
        <v>27075</v>
      </c>
      <c r="E9857" s="18" t="s">
        <v>28</v>
      </c>
      <c r="F9857" s="19" t="s">
        <v>28</v>
      </c>
      <c r="G9857" s="19">
        <v>50</v>
      </c>
      <c r="H9857" s="19" t="s">
        <v>28</v>
      </c>
      <c r="I9857" s="18" t="s">
        <v>28</v>
      </c>
      <c r="J9857" s="18" t="s">
        <v>28</v>
      </c>
      <c r="K9857" s="18" t="s">
        <v>28</v>
      </c>
      <c r="L9857" s="18" t="s">
        <v>28</v>
      </c>
      <c r="M9857" s="18" t="s">
        <v>28</v>
      </c>
      <c r="N9857" s="17">
        <v>42110</v>
      </c>
      <c r="O9857" s="15" t="s">
        <v>93</v>
      </c>
      <c r="P9857" s="16" t="s">
        <v>28032</v>
      </c>
      <c r="Q9857" s="15" t="s">
        <v>331</v>
      </c>
      <c r="R9857" s="13" t="str">
        <f>HYPERLINK("https://my.pitchbook.com?c=48682-63T","View Company Online")</f>
        <v>View Company Online</v>
      </c>
    </row>
    <row r="9858" spans="1:18" hidden="1" x14ac:dyDescent="0.3">
      <c r="A9858" s="9" t="s">
        <v>28033</v>
      </c>
      <c r="B9858" s="9" t="s">
        <v>27074</v>
      </c>
      <c r="C9858" s="11" t="s">
        <v>28</v>
      </c>
      <c r="D9858" s="9" t="s">
        <v>27075</v>
      </c>
      <c r="E9858" s="11" t="s">
        <v>28</v>
      </c>
      <c r="F9858" s="10" t="s">
        <v>28</v>
      </c>
      <c r="G9858" s="10">
        <v>250</v>
      </c>
      <c r="H9858" s="10" t="s">
        <v>28</v>
      </c>
      <c r="I9858" s="11" t="s">
        <v>28</v>
      </c>
      <c r="J9858" s="11" t="s">
        <v>28</v>
      </c>
      <c r="K9858" s="11" t="s">
        <v>28</v>
      </c>
      <c r="L9858" s="11" t="s">
        <v>28</v>
      </c>
      <c r="M9858" s="11" t="s">
        <v>28</v>
      </c>
      <c r="N9858" s="8">
        <v>42110</v>
      </c>
      <c r="O9858" s="9" t="s">
        <v>93</v>
      </c>
      <c r="P9858" s="12" t="s">
        <v>28032</v>
      </c>
      <c r="Q9858" s="9" t="s">
        <v>331</v>
      </c>
      <c r="R9858" s="14" t="str">
        <f>HYPERLINK("https://my.pitchbook.com?c=48683-08T","View Company Online")</f>
        <v>View Company Online</v>
      </c>
    </row>
    <row r="9859" spans="1:18" hidden="1" x14ac:dyDescent="0.3">
      <c r="A9859" s="15" t="s">
        <v>28034</v>
      </c>
      <c r="B9859" s="15" t="s">
        <v>28004</v>
      </c>
      <c r="C9859" s="18" t="s">
        <v>28</v>
      </c>
      <c r="D9859" s="15" t="s">
        <v>28005</v>
      </c>
      <c r="E9859" s="18" t="s">
        <v>28</v>
      </c>
      <c r="F9859" s="19" t="s">
        <v>28</v>
      </c>
      <c r="G9859" s="19" t="s">
        <v>28</v>
      </c>
      <c r="H9859" s="19" t="s">
        <v>28</v>
      </c>
      <c r="I9859" s="18" t="s">
        <v>28</v>
      </c>
      <c r="J9859" s="18" t="s">
        <v>28</v>
      </c>
      <c r="K9859" s="18" t="s">
        <v>28</v>
      </c>
      <c r="L9859" s="18" t="s">
        <v>28</v>
      </c>
      <c r="M9859" s="18" t="s">
        <v>28</v>
      </c>
      <c r="N9859" s="17">
        <v>42109</v>
      </c>
      <c r="O9859" s="15" t="s">
        <v>52</v>
      </c>
      <c r="P9859" s="16" t="s">
        <v>11539</v>
      </c>
      <c r="Q9859" s="15" t="s">
        <v>75</v>
      </c>
      <c r="R9859" s="13" t="str">
        <f>HYPERLINK("https://my.pitchbook.com?c=133053-40T","View Company Online")</f>
        <v>View Company Online</v>
      </c>
    </row>
    <row r="9860" spans="1:18" hidden="1" x14ac:dyDescent="0.3">
      <c r="A9860" s="9" t="s">
        <v>28035</v>
      </c>
      <c r="B9860" s="9" t="s">
        <v>28036</v>
      </c>
      <c r="C9860" s="11" t="s">
        <v>28</v>
      </c>
      <c r="D9860" s="9" t="s">
        <v>28037</v>
      </c>
      <c r="E9860" s="11" t="s">
        <v>28</v>
      </c>
      <c r="F9860" s="10" t="s">
        <v>28</v>
      </c>
      <c r="G9860" s="10">
        <v>0.32</v>
      </c>
      <c r="H9860" s="10">
        <v>1.04</v>
      </c>
      <c r="I9860" s="11" t="s">
        <v>28</v>
      </c>
      <c r="J9860" s="11" t="s">
        <v>28</v>
      </c>
      <c r="K9860" s="11" t="s">
        <v>28</v>
      </c>
      <c r="L9860" s="11" t="s">
        <v>28</v>
      </c>
      <c r="M9860" s="11" t="s">
        <v>28</v>
      </c>
      <c r="N9860" s="8">
        <v>42109</v>
      </c>
      <c r="O9860" s="9" t="s">
        <v>379</v>
      </c>
      <c r="P9860" s="12" t="s">
        <v>28</v>
      </c>
      <c r="Q9860" s="9" t="s">
        <v>449</v>
      </c>
      <c r="R9860" s="14" t="str">
        <f>HYPERLINK("https://my.pitchbook.com?c=263035-63T","View Company Online")</f>
        <v>View Company Online</v>
      </c>
    </row>
    <row r="9861" spans="1:18" hidden="1" x14ac:dyDescent="0.3">
      <c r="A9861" s="15" t="s">
        <v>28038</v>
      </c>
      <c r="B9861" s="15" t="s">
        <v>28039</v>
      </c>
      <c r="C9861" s="18" t="s">
        <v>28</v>
      </c>
      <c r="D9861" s="15" t="s">
        <v>28040</v>
      </c>
      <c r="E9861" s="18" t="s">
        <v>28</v>
      </c>
      <c r="F9861" s="19" t="s">
        <v>28</v>
      </c>
      <c r="G9861" s="19" t="s">
        <v>28</v>
      </c>
      <c r="H9861" s="19" t="s">
        <v>28</v>
      </c>
      <c r="I9861" s="18" t="s">
        <v>28</v>
      </c>
      <c r="J9861" s="18" t="s">
        <v>28</v>
      </c>
      <c r="K9861" s="18" t="s">
        <v>28</v>
      </c>
      <c r="L9861" s="18" t="s">
        <v>28</v>
      </c>
      <c r="M9861" s="18" t="s">
        <v>28</v>
      </c>
      <c r="N9861" s="17">
        <v>42108</v>
      </c>
      <c r="O9861" s="15" t="s">
        <v>52</v>
      </c>
      <c r="P9861" s="16" t="s">
        <v>11539</v>
      </c>
      <c r="Q9861" s="15" t="s">
        <v>75</v>
      </c>
      <c r="R9861" s="13" t="str">
        <f>HYPERLINK("https://my.pitchbook.com?c=133051-87T","View Company Online")</f>
        <v>View Company Online</v>
      </c>
    </row>
    <row r="9862" spans="1:18" hidden="1" x14ac:dyDescent="0.3">
      <c r="A9862" s="9" t="s">
        <v>28041</v>
      </c>
      <c r="B9862" s="9" t="s">
        <v>28042</v>
      </c>
      <c r="C9862" s="11" t="s">
        <v>28</v>
      </c>
      <c r="D9862" s="9" t="s">
        <v>28043</v>
      </c>
      <c r="E9862" s="11" t="s">
        <v>28</v>
      </c>
      <c r="F9862" s="10" t="s">
        <v>28</v>
      </c>
      <c r="G9862" s="10" t="s">
        <v>28</v>
      </c>
      <c r="H9862" s="10" t="s">
        <v>28</v>
      </c>
      <c r="I9862" s="11" t="s">
        <v>28</v>
      </c>
      <c r="J9862" s="11" t="s">
        <v>28</v>
      </c>
      <c r="K9862" s="11" t="s">
        <v>28</v>
      </c>
      <c r="L9862" s="11" t="s">
        <v>28</v>
      </c>
      <c r="M9862" s="11" t="s">
        <v>28</v>
      </c>
      <c r="N9862" s="8">
        <v>42108</v>
      </c>
      <c r="O9862" s="9" t="s">
        <v>52</v>
      </c>
      <c r="P9862" s="12" t="s">
        <v>4500</v>
      </c>
      <c r="Q9862" s="9" t="s">
        <v>583</v>
      </c>
      <c r="R9862" s="14" t="str">
        <f>HYPERLINK("https://my.pitchbook.com?c=268038-46T","View Company Online")</f>
        <v>View Company Online</v>
      </c>
    </row>
    <row r="9863" spans="1:18" x14ac:dyDescent="0.3">
      <c r="A9863" s="15" t="s">
        <v>28044</v>
      </c>
      <c r="B9863" s="15" t="s">
        <v>28045</v>
      </c>
      <c r="C9863" s="18" t="s">
        <v>28</v>
      </c>
      <c r="D9863" s="15" t="s">
        <v>28046</v>
      </c>
      <c r="E9863" s="18">
        <v>-14.3</v>
      </c>
      <c r="F9863" s="19">
        <v>5.28</v>
      </c>
      <c r="G9863" s="19">
        <v>12.03</v>
      </c>
      <c r="H9863" s="19">
        <v>12.03</v>
      </c>
      <c r="I9863" s="18">
        <v>-13.21</v>
      </c>
      <c r="J9863" s="18">
        <v>-0.91</v>
      </c>
      <c r="K9863" s="18">
        <v>303.62</v>
      </c>
      <c r="L9863" s="18">
        <v>0.04</v>
      </c>
      <c r="M9863" s="18">
        <v>-16.98</v>
      </c>
      <c r="N9863" s="17">
        <v>42107</v>
      </c>
      <c r="O9863" s="15" t="s">
        <v>30</v>
      </c>
      <c r="P9863" s="16" t="s">
        <v>28047</v>
      </c>
      <c r="Q9863" s="15" t="s">
        <v>517</v>
      </c>
      <c r="R9863" s="13" t="str">
        <f>HYPERLINK("https://my.pitchbook.com?c=67061-98T","View Company Online")</f>
        <v>View Company Online</v>
      </c>
    </row>
    <row r="9864" spans="1:18" hidden="1" x14ac:dyDescent="0.3">
      <c r="A9864" s="9" t="s">
        <v>28048</v>
      </c>
      <c r="B9864" s="9" t="s">
        <v>13289</v>
      </c>
      <c r="C9864" s="11" t="s">
        <v>28</v>
      </c>
      <c r="D9864" s="9" t="s">
        <v>13290</v>
      </c>
      <c r="E9864" s="11" t="s">
        <v>28</v>
      </c>
      <c r="F9864" s="10" t="s">
        <v>28</v>
      </c>
      <c r="G9864" s="10">
        <v>2</v>
      </c>
      <c r="H9864" s="10" t="s">
        <v>28</v>
      </c>
      <c r="I9864" s="11" t="s">
        <v>28</v>
      </c>
      <c r="J9864" s="11" t="s">
        <v>28</v>
      </c>
      <c r="K9864" s="11" t="s">
        <v>28</v>
      </c>
      <c r="L9864" s="11" t="s">
        <v>28</v>
      </c>
      <c r="M9864" s="11" t="s">
        <v>28</v>
      </c>
      <c r="N9864" s="8">
        <v>42107</v>
      </c>
      <c r="O9864" s="9" t="s">
        <v>58</v>
      </c>
      <c r="P9864" s="12" t="s">
        <v>28049</v>
      </c>
      <c r="Q9864" s="9" t="s">
        <v>5628</v>
      </c>
      <c r="R9864" s="14" t="str">
        <f>HYPERLINK("https://my.pitchbook.com?c=78853-78T","View Company Online")</f>
        <v>View Company Online</v>
      </c>
    </row>
    <row r="9865" spans="1:18" hidden="1" x14ac:dyDescent="0.3">
      <c r="A9865" s="15" t="s">
        <v>28050</v>
      </c>
      <c r="B9865" s="15" t="s">
        <v>13289</v>
      </c>
      <c r="C9865" s="18" t="s">
        <v>28</v>
      </c>
      <c r="D9865" s="15" t="s">
        <v>13290</v>
      </c>
      <c r="E9865" s="18" t="s">
        <v>28</v>
      </c>
      <c r="F9865" s="19" t="s">
        <v>28</v>
      </c>
      <c r="G9865" s="19">
        <v>0.64</v>
      </c>
      <c r="H9865" s="19" t="s">
        <v>28</v>
      </c>
      <c r="I9865" s="18" t="s">
        <v>28</v>
      </c>
      <c r="J9865" s="18" t="s">
        <v>28</v>
      </c>
      <c r="K9865" s="18" t="s">
        <v>28</v>
      </c>
      <c r="L9865" s="18" t="s">
        <v>28</v>
      </c>
      <c r="M9865" s="18" t="s">
        <v>28</v>
      </c>
      <c r="N9865" s="17">
        <v>42107</v>
      </c>
      <c r="O9865" s="15" t="s">
        <v>73</v>
      </c>
      <c r="P9865" s="16" t="s">
        <v>28051</v>
      </c>
      <c r="Q9865" s="15" t="s">
        <v>5628</v>
      </c>
      <c r="R9865" s="13" t="str">
        <f>HYPERLINK("https://my.pitchbook.com?c=107907-04T","View Company Online")</f>
        <v>View Company Online</v>
      </c>
    </row>
    <row r="9866" spans="1:18" hidden="1" x14ac:dyDescent="0.3">
      <c r="A9866" s="9" t="s">
        <v>28052</v>
      </c>
      <c r="B9866" s="9" t="s">
        <v>22493</v>
      </c>
      <c r="C9866" s="11" t="s">
        <v>28</v>
      </c>
      <c r="D9866" s="9" t="s">
        <v>22494</v>
      </c>
      <c r="E9866" s="11" t="s">
        <v>28</v>
      </c>
      <c r="F9866" s="10">
        <v>325</v>
      </c>
      <c r="G9866" s="10">
        <v>325</v>
      </c>
      <c r="H9866" s="10">
        <v>325</v>
      </c>
      <c r="I9866" s="11" t="s">
        <v>28</v>
      </c>
      <c r="J9866" s="11" t="s">
        <v>28</v>
      </c>
      <c r="K9866" s="11" t="s">
        <v>28</v>
      </c>
      <c r="L9866" s="11" t="s">
        <v>28</v>
      </c>
      <c r="M9866" s="11" t="s">
        <v>28</v>
      </c>
      <c r="N9866" s="8">
        <v>42105</v>
      </c>
      <c r="O9866" s="9" t="s">
        <v>41</v>
      </c>
      <c r="P9866" s="12" t="s">
        <v>28</v>
      </c>
      <c r="Q9866" s="9" t="s">
        <v>692</v>
      </c>
      <c r="R9866" s="14" t="str">
        <f>HYPERLINK("https://my.pitchbook.com?c=74090-44T","View Company Online")</f>
        <v>View Company Online</v>
      </c>
    </row>
    <row r="9867" spans="1:18" hidden="1" x14ac:dyDescent="0.3">
      <c r="A9867" s="15" t="s">
        <v>28053</v>
      </c>
      <c r="B9867" s="15" t="s">
        <v>28054</v>
      </c>
      <c r="C9867" s="18" t="s">
        <v>28</v>
      </c>
      <c r="D9867" s="15" t="s">
        <v>28055</v>
      </c>
      <c r="E9867" s="18" t="s">
        <v>28</v>
      </c>
      <c r="F9867" s="19" t="s">
        <v>28</v>
      </c>
      <c r="G9867" s="19" t="s">
        <v>28</v>
      </c>
      <c r="H9867" s="19" t="s">
        <v>28</v>
      </c>
      <c r="I9867" s="18" t="s">
        <v>28</v>
      </c>
      <c r="J9867" s="18" t="s">
        <v>28</v>
      </c>
      <c r="K9867" s="18" t="s">
        <v>28</v>
      </c>
      <c r="L9867" s="18" t="s">
        <v>28</v>
      </c>
      <c r="M9867" s="18" t="s">
        <v>28</v>
      </c>
      <c r="N9867" s="17">
        <v>42103</v>
      </c>
      <c r="O9867" s="15" t="s">
        <v>30</v>
      </c>
      <c r="P9867" s="16" t="s">
        <v>27749</v>
      </c>
      <c r="Q9867" s="15" t="s">
        <v>188</v>
      </c>
      <c r="R9867" s="13" t="str">
        <f>HYPERLINK("https://my.pitchbook.com?c=73622-35T","View Company Online")</f>
        <v>View Company Online</v>
      </c>
    </row>
    <row r="9868" spans="1:18" hidden="1" x14ac:dyDescent="0.3">
      <c r="A9868" s="9" t="s">
        <v>28056</v>
      </c>
      <c r="B9868" s="9" t="s">
        <v>28057</v>
      </c>
      <c r="C9868" s="11" t="s">
        <v>28</v>
      </c>
      <c r="D9868" s="9" t="s">
        <v>28058</v>
      </c>
      <c r="E9868" s="11" t="s">
        <v>28</v>
      </c>
      <c r="F9868" s="10" t="s">
        <v>28</v>
      </c>
      <c r="G9868" s="10" t="s">
        <v>28</v>
      </c>
      <c r="H9868" s="10" t="s">
        <v>28</v>
      </c>
      <c r="I9868" s="11" t="s">
        <v>28</v>
      </c>
      <c r="J9868" s="11" t="s">
        <v>28</v>
      </c>
      <c r="K9868" s="11" t="s">
        <v>28</v>
      </c>
      <c r="L9868" s="11" t="s">
        <v>28</v>
      </c>
      <c r="M9868" s="11" t="s">
        <v>28</v>
      </c>
      <c r="N9868" s="8">
        <v>42103</v>
      </c>
      <c r="O9868" s="9" t="s">
        <v>41</v>
      </c>
      <c r="P9868" s="12" t="s">
        <v>28059</v>
      </c>
      <c r="Q9868" s="9" t="s">
        <v>188</v>
      </c>
      <c r="R9868" s="14" t="str">
        <f>HYPERLINK("https://my.pitchbook.com?c=73644-94T","View Company Online")</f>
        <v>View Company Online</v>
      </c>
    </row>
    <row r="9869" spans="1:18" x14ac:dyDescent="0.3">
      <c r="A9869" s="15" t="s">
        <v>28060</v>
      </c>
      <c r="B9869" s="15" t="s">
        <v>28061</v>
      </c>
      <c r="C9869" s="18" t="s">
        <v>28</v>
      </c>
      <c r="D9869" s="15" t="s">
        <v>28062</v>
      </c>
      <c r="E9869" s="18">
        <v>-10.83</v>
      </c>
      <c r="F9869" s="19">
        <v>167.4</v>
      </c>
      <c r="G9869" s="19">
        <v>170</v>
      </c>
      <c r="H9869" s="19">
        <v>170</v>
      </c>
      <c r="I9869" s="18">
        <v>-10.79</v>
      </c>
      <c r="J9869" s="18">
        <v>-15.76</v>
      </c>
      <c r="K9869" s="18" t="s">
        <v>28</v>
      </c>
      <c r="L9869" s="18" t="s">
        <v>28</v>
      </c>
      <c r="M9869" s="18">
        <v>-10.87</v>
      </c>
      <c r="N9869" s="17">
        <v>42102</v>
      </c>
      <c r="O9869" s="15" t="s">
        <v>41</v>
      </c>
      <c r="P9869" s="16" t="s">
        <v>28</v>
      </c>
      <c r="Q9869" s="15" t="s">
        <v>28063</v>
      </c>
      <c r="R9869" s="13" t="str">
        <f>HYPERLINK("https://my.pitchbook.com?c=46966-15T","View Company Online")</f>
        <v>View Company Online</v>
      </c>
    </row>
    <row r="9870" spans="1:18" hidden="1" x14ac:dyDescent="0.3">
      <c r="A9870" s="9" t="s">
        <v>28064</v>
      </c>
      <c r="B9870" s="9" t="s">
        <v>24566</v>
      </c>
      <c r="C9870" s="11" t="s">
        <v>28</v>
      </c>
      <c r="D9870" s="9" t="s">
        <v>24567</v>
      </c>
      <c r="E9870" s="11" t="s">
        <v>28</v>
      </c>
      <c r="F9870" s="10" t="s">
        <v>28</v>
      </c>
      <c r="G9870" s="10">
        <v>0.96</v>
      </c>
      <c r="H9870" s="10" t="s">
        <v>28</v>
      </c>
      <c r="I9870" s="11" t="s">
        <v>28</v>
      </c>
      <c r="J9870" s="11" t="s">
        <v>28</v>
      </c>
      <c r="K9870" s="11" t="s">
        <v>28</v>
      </c>
      <c r="L9870" s="11" t="s">
        <v>28</v>
      </c>
      <c r="M9870" s="11" t="s">
        <v>28</v>
      </c>
      <c r="N9870" s="8">
        <v>42101</v>
      </c>
      <c r="O9870" s="9" t="s">
        <v>73</v>
      </c>
      <c r="P9870" s="12" t="s">
        <v>28065</v>
      </c>
      <c r="Q9870" s="9" t="s">
        <v>75</v>
      </c>
      <c r="R9870" s="14" t="str">
        <f>HYPERLINK("https://my.pitchbook.com?c=60180-67T","View Company Online")</f>
        <v>View Company Online</v>
      </c>
    </row>
    <row r="9871" spans="1:18" hidden="1" x14ac:dyDescent="0.3">
      <c r="A9871" s="15" t="s">
        <v>28066</v>
      </c>
      <c r="B9871" s="15" t="s">
        <v>25575</v>
      </c>
      <c r="C9871" s="18" t="s">
        <v>28</v>
      </c>
      <c r="D9871" s="15" t="s">
        <v>25576</v>
      </c>
      <c r="E9871" s="18" t="s">
        <v>28</v>
      </c>
      <c r="F9871" s="19" t="s">
        <v>28</v>
      </c>
      <c r="G9871" s="19">
        <v>0.05</v>
      </c>
      <c r="H9871" s="19">
        <v>0.24</v>
      </c>
      <c r="I9871" s="18" t="s">
        <v>28</v>
      </c>
      <c r="J9871" s="18" t="s">
        <v>28</v>
      </c>
      <c r="K9871" s="18" t="s">
        <v>28</v>
      </c>
      <c r="L9871" s="18" t="s">
        <v>28</v>
      </c>
      <c r="M9871" s="18" t="s">
        <v>28</v>
      </c>
      <c r="N9871" s="17">
        <v>42099</v>
      </c>
      <c r="O9871" s="15" t="s">
        <v>99</v>
      </c>
      <c r="P9871" s="16" t="s">
        <v>8261</v>
      </c>
      <c r="Q9871" s="15" t="s">
        <v>37</v>
      </c>
      <c r="R9871" s="13" t="str">
        <f>HYPERLINK("https://my.pitchbook.com?c=200062-63T","View Company Online")</f>
        <v>View Company Online</v>
      </c>
    </row>
    <row r="9872" spans="1:18" hidden="1" x14ac:dyDescent="0.3">
      <c r="A9872" s="9" t="s">
        <v>28067</v>
      </c>
      <c r="B9872" s="9" t="s">
        <v>21911</v>
      </c>
      <c r="C9872" s="11" t="s">
        <v>28</v>
      </c>
      <c r="D9872" s="9" t="s">
        <v>21912</v>
      </c>
      <c r="E9872" s="11" t="s">
        <v>28</v>
      </c>
      <c r="F9872" s="10" t="s">
        <v>28</v>
      </c>
      <c r="G9872" s="10">
        <v>0.39</v>
      </c>
      <c r="H9872" s="10" t="s">
        <v>28</v>
      </c>
      <c r="I9872" s="11" t="s">
        <v>28</v>
      </c>
      <c r="J9872" s="11" t="s">
        <v>28</v>
      </c>
      <c r="K9872" s="11" t="s">
        <v>28</v>
      </c>
      <c r="L9872" s="11" t="s">
        <v>28</v>
      </c>
      <c r="M9872" s="11" t="s">
        <v>28</v>
      </c>
      <c r="N9872" s="8">
        <v>42096</v>
      </c>
      <c r="O9872" s="9" t="s">
        <v>379</v>
      </c>
      <c r="P9872" s="12" t="s">
        <v>28068</v>
      </c>
      <c r="Q9872" s="9" t="s">
        <v>75</v>
      </c>
      <c r="R9872" s="14" t="str">
        <f>HYPERLINK("https://my.pitchbook.com?c=134664-76T","View Company Online")</f>
        <v>View Company Online</v>
      </c>
    </row>
    <row r="9873" spans="1:18" hidden="1" x14ac:dyDescent="0.3">
      <c r="A9873" s="15" t="s">
        <v>28069</v>
      </c>
      <c r="B9873" s="15" t="s">
        <v>28070</v>
      </c>
      <c r="C9873" s="18" t="s">
        <v>28</v>
      </c>
      <c r="D9873" s="15" t="s">
        <v>28071</v>
      </c>
      <c r="E9873" s="18" t="s">
        <v>28</v>
      </c>
      <c r="F9873" s="19" t="s">
        <v>28</v>
      </c>
      <c r="G9873" s="19" t="s">
        <v>28</v>
      </c>
      <c r="H9873" s="19" t="s">
        <v>28</v>
      </c>
      <c r="I9873" s="18" t="s">
        <v>28</v>
      </c>
      <c r="J9873" s="18" t="s">
        <v>28</v>
      </c>
      <c r="K9873" s="18">
        <v>40</v>
      </c>
      <c r="L9873" s="18" t="s">
        <v>28</v>
      </c>
      <c r="M9873" s="18" t="s">
        <v>28</v>
      </c>
      <c r="N9873" s="17">
        <v>42096</v>
      </c>
      <c r="O9873" s="15" t="s">
        <v>30</v>
      </c>
      <c r="P9873" s="16" t="s">
        <v>28072</v>
      </c>
      <c r="Q9873" s="15" t="s">
        <v>3912</v>
      </c>
      <c r="R9873" s="13" t="str">
        <f>HYPERLINK("https://my.pitchbook.com?c=47820-43T","View Company Online")</f>
        <v>View Company Online</v>
      </c>
    </row>
    <row r="9874" spans="1:18" hidden="1" x14ac:dyDescent="0.3">
      <c r="A9874" s="9" t="s">
        <v>28073</v>
      </c>
      <c r="B9874" s="9" t="s">
        <v>28074</v>
      </c>
      <c r="C9874" s="11" t="s">
        <v>28</v>
      </c>
      <c r="D9874" s="9" t="s">
        <v>28075</v>
      </c>
      <c r="E9874" s="11">
        <v>-878.09</v>
      </c>
      <c r="F9874" s="10" t="s">
        <v>28</v>
      </c>
      <c r="G9874" s="10" t="s">
        <v>28</v>
      </c>
      <c r="H9874" s="10" t="s">
        <v>28</v>
      </c>
      <c r="I9874" s="11">
        <v>-640.92999999999995</v>
      </c>
      <c r="J9874" s="11" t="s">
        <v>28</v>
      </c>
      <c r="K9874" s="11">
        <v>1462.23</v>
      </c>
      <c r="L9874" s="11" t="s">
        <v>28</v>
      </c>
      <c r="M9874" s="11">
        <v>-868.95</v>
      </c>
      <c r="N9874" s="8">
        <v>42095</v>
      </c>
      <c r="O9874" s="9" t="s">
        <v>30</v>
      </c>
      <c r="P9874" s="12" t="s">
        <v>782</v>
      </c>
      <c r="Q9874" s="9" t="s">
        <v>5347</v>
      </c>
      <c r="R9874" s="14" t="str">
        <f>HYPERLINK("https://my.pitchbook.com?c=72605-62T","View Company Online")</f>
        <v>View Company Online</v>
      </c>
    </row>
    <row r="9875" spans="1:18" hidden="1" x14ac:dyDescent="0.3">
      <c r="A9875" s="15" t="s">
        <v>28076</v>
      </c>
      <c r="B9875" s="15" t="s">
        <v>28077</v>
      </c>
      <c r="C9875" s="18" t="s">
        <v>28</v>
      </c>
      <c r="D9875" s="15" t="s">
        <v>28078</v>
      </c>
      <c r="E9875" s="18" t="s">
        <v>28</v>
      </c>
      <c r="F9875" s="19" t="s">
        <v>28</v>
      </c>
      <c r="G9875" s="19" t="s">
        <v>28</v>
      </c>
      <c r="H9875" s="19" t="s">
        <v>28</v>
      </c>
      <c r="I9875" s="18" t="s">
        <v>28</v>
      </c>
      <c r="J9875" s="18" t="s">
        <v>28</v>
      </c>
      <c r="K9875" s="18" t="s">
        <v>28</v>
      </c>
      <c r="L9875" s="18" t="s">
        <v>28</v>
      </c>
      <c r="M9875" s="18" t="s">
        <v>28</v>
      </c>
      <c r="N9875" s="17">
        <v>42095</v>
      </c>
      <c r="O9875" s="15" t="s">
        <v>30</v>
      </c>
      <c r="P9875" s="16" t="s">
        <v>28079</v>
      </c>
      <c r="Q9875" s="15" t="s">
        <v>226</v>
      </c>
      <c r="R9875" s="13" t="str">
        <f>HYPERLINK("https://my.pitchbook.com?c=80987-41T","View Company Online")</f>
        <v>View Company Online</v>
      </c>
    </row>
    <row r="9876" spans="1:18" hidden="1" x14ac:dyDescent="0.3">
      <c r="A9876" s="9" t="s">
        <v>28080</v>
      </c>
      <c r="B9876" s="9" t="s">
        <v>28081</v>
      </c>
      <c r="C9876" s="11" t="s">
        <v>28</v>
      </c>
      <c r="D9876" s="9" t="s">
        <v>28082</v>
      </c>
      <c r="E9876" s="11" t="s">
        <v>28</v>
      </c>
      <c r="F9876" s="10" t="s">
        <v>28</v>
      </c>
      <c r="G9876" s="10" t="s">
        <v>28</v>
      </c>
      <c r="H9876" s="10" t="s">
        <v>28</v>
      </c>
      <c r="I9876" s="11" t="s">
        <v>28</v>
      </c>
      <c r="J9876" s="11" t="s">
        <v>28</v>
      </c>
      <c r="K9876" s="11" t="s">
        <v>28</v>
      </c>
      <c r="L9876" s="11" t="s">
        <v>28</v>
      </c>
      <c r="M9876" s="11" t="s">
        <v>28</v>
      </c>
      <c r="N9876" s="8">
        <v>42095</v>
      </c>
      <c r="O9876" s="9" t="s">
        <v>30</v>
      </c>
      <c r="P9876" s="12" t="s">
        <v>28083</v>
      </c>
      <c r="Q9876" s="9" t="s">
        <v>285</v>
      </c>
      <c r="R9876" s="14" t="str">
        <f>HYPERLINK("https://my.pitchbook.com?c=189673-12T","View Company Online")</f>
        <v>View Company Online</v>
      </c>
    </row>
    <row r="9877" spans="1:18" hidden="1" x14ac:dyDescent="0.3">
      <c r="A9877" s="15" t="s">
        <v>28084</v>
      </c>
      <c r="B9877" s="15" t="s">
        <v>16209</v>
      </c>
      <c r="C9877" s="18" t="s">
        <v>28</v>
      </c>
      <c r="D9877" s="15" t="s">
        <v>16210</v>
      </c>
      <c r="E9877" s="18" t="s">
        <v>28</v>
      </c>
      <c r="F9877" s="19" t="s">
        <v>28</v>
      </c>
      <c r="G9877" s="19" t="s">
        <v>28</v>
      </c>
      <c r="H9877" s="19" t="s">
        <v>28</v>
      </c>
      <c r="I9877" s="18" t="s">
        <v>28</v>
      </c>
      <c r="J9877" s="18" t="s">
        <v>28</v>
      </c>
      <c r="K9877" s="18" t="s">
        <v>28</v>
      </c>
      <c r="L9877" s="18" t="s">
        <v>28</v>
      </c>
      <c r="M9877" s="18" t="s">
        <v>28</v>
      </c>
      <c r="N9877" s="17">
        <v>42095</v>
      </c>
      <c r="O9877" s="15" t="s">
        <v>379</v>
      </c>
      <c r="P9877" s="16" t="s">
        <v>28085</v>
      </c>
      <c r="Q9877" s="15" t="s">
        <v>245</v>
      </c>
      <c r="R9877" s="13" t="str">
        <f>HYPERLINK("https://my.pitchbook.com?c=77805-19T","View Company Online")</f>
        <v>View Company Online</v>
      </c>
    </row>
    <row r="9878" spans="1:18" hidden="1" x14ac:dyDescent="0.3">
      <c r="A9878" s="9" t="s">
        <v>28086</v>
      </c>
      <c r="B9878" s="9" t="s">
        <v>4725</v>
      </c>
      <c r="C9878" s="11" t="s">
        <v>28</v>
      </c>
      <c r="D9878" s="9" t="s">
        <v>28087</v>
      </c>
      <c r="E9878" s="11" t="s">
        <v>28</v>
      </c>
      <c r="F9878" s="10">
        <v>27.36</v>
      </c>
      <c r="G9878" s="10">
        <v>18.329999999999998</v>
      </c>
      <c r="H9878" s="10">
        <v>27.36</v>
      </c>
      <c r="I9878" s="11" t="s">
        <v>28</v>
      </c>
      <c r="J9878" s="11" t="s">
        <v>28</v>
      </c>
      <c r="K9878" s="11">
        <v>35</v>
      </c>
      <c r="L9878" s="11">
        <v>0.78</v>
      </c>
      <c r="M9878" s="11" t="s">
        <v>28</v>
      </c>
      <c r="N9878" s="8">
        <v>42095</v>
      </c>
      <c r="O9878" s="9" t="s">
        <v>30</v>
      </c>
      <c r="P9878" s="12" t="s">
        <v>28088</v>
      </c>
      <c r="Q9878" s="9" t="s">
        <v>1051</v>
      </c>
      <c r="R9878" s="14" t="str">
        <f>HYPERLINK("https://my.pitchbook.com?c=46684-27T","View Company Online")</f>
        <v>View Company Online</v>
      </c>
    </row>
    <row r="9879" spans="1:18" hidden="1" x14ac:dyDescent="0.3">
      <c r="A9879" s="15" t="s">
        <v>28089</v>
      </c>
      <c r="B9879" s="15" t="s">
        <v>22888</v>
      </c>
      <c r="C9879" s="18" t="s">
        <v>28</v>
      </c>
      <c r="D9879" s="15" t="s">
        <v>22889</v>
      </c>
      <c r="E9879" s="18" t="s">
        <v>28</v>
      </c>
      <c r="F9879" s="19" t="s">
        <v>28</v>
      </c>
      <c r="G9879" s="19">
        <v>0.05</v>
      </c>
      <c r="H9879" s="19">
        <v>1.4</v>
      </c>
      <c r="I9879" s="18" t="s">
        <v>28</v>
      </c>
      <c r="J9879" s="18" t="s">
        <v>28</v>
      </c>
      <c r="K9879" s="18" t="s">
        <v>28</v>
      </c>
      <c r="L9879" s="18" t="s">
        <v>28</v>
      </c>
      <c r="M9879" s="18" t="s">
        <v>28</v>
      </c>
      <c r="N9879" s="17">
        <v>42095</v>
      </c>
      <c r="O9879" s="15" t="s">
        <v>99</v>
      </c>
      <c r="P9879" s="16" t="s">
        <v>28</v>
      </c>
      <c r="Q9879" s="15" t="s">
        <v>75</v>
      </c>
      <c r="R9879" s="13" t="str">
        <f>HYPERLINK("https://my.pitchbook.com?c=110403-55T","View Company Online")</f>
        <v>View Company Online</v>
      </c>
    </row>
    <row r="9880" spans="1:18" hidden="1" x14ac:dyDescent="0.3">
      <c r="A9880" s="9" t="s">
        <v>28090</v>
      </c>
      <c r="B9880" s="9" t="s">
        <v>1279</v>
      </c>
      <c r="C9880" s="11" t="s">
        <v>28</v>
      </c>
      <c r="D9880" s="9" t="s">
        <v>1280</v>
      </c>
      <c r="E9880" s="11" t="s">
        <v>28</v>
      </c>
      <c r="F9880" s="10" t="s">
        <v>28</v>
      </c>
      <c r="G9880" s="10" t="s">
        <v>28</v>
      </c>
      <c r="H9880" s="10" t="s">
        <v>28</v>
      </c>
      <c r="I9880" s="11" t="s">
        <v>28</v>
      </c>
      <c r="J9880" s="11" t="s">
        <v>28</v>
      </c>
      <c r="K9880" s="11" t="s">
        <v>28</v>
      </c>
      <c r="L9880" s="11" t="s">
        <v>28</v>
      </c>
      <c r="M9880" s="11" t="s">
        <v>28</v>
      </c>
      <c r="N9880" s="8">
        <v>42095</v>
      </c>
      <c r="O9880" s="9" t="s">
        <v>52</v>
      </c>
      <c r="P9880" s="12" t="s">
        <v>4297</v>
      </c>
      <c r="Q9880" s="9" t="s">
        <v>1035</v>
      </c>
      <c r="R9880" s="14" t="str">
        <f>HYPERLINK("https://my.pitchbook.com?c=284311-54T","View Company Online")</f>
        <v>View Company Online</v>
      </c>
    </row>
    <row r="9881" spans="1:18" hidden="1" x14ac:dyDescent="0.3">
      <c r="A9881" s="15" t="s">
        <v>28091</v>
      </c>
      <c r="B9881" s="15" t="s">
        <v>28092</v>
      </c>
      <c r="C9881" s="18" t="s">
        <v>28</v>
      </c>
      <c r="D9881" s="15" t="s">
        <v>28093</v>
      </c>
      <c r="E9881" s="18" t="s">
        <v>28</v>
      </c>
      <c r="F9881" s="19" t="s">
        <v>28</v>
      </c>
      <c r="G9881" s="19" t="s">
        <v>28</v>
      </c>
      <c r="H9881" s="19" t="s">
        <v>28</v>
      </c>
      <c r="I9881" s="18" t="s">
        <v>28</v>
      </c>
      <c r="J9881" s="18" t="s">
        <v>28</v>
      </c>
      <c r="K9881" s="18" t="s">
        <v>28</v>
      </c>
      <c r="L9881" s="18" t="s">
        <v>28</v>
      </c>
      <c r="M9881" s="18" t="s">
        <v>28</v>
      </c>
      <c r="N9881" s="17">
        <v>42095</v>
      </c>
      <c r="O9881" s="15" t="s">
        <v>99</v>
      </c>
      <c r="P9881" s="16" t="s">
        <v>28094</v>
      </c>
      <c r="Q9881" s="15" t="s">
        <v>114</v>
      </c>
      <c r="R9881" s="13" t="str">
        <f>HYPERLINK("https://my.pitchbook.com?c=50198-32T","View Company Online")</f>
        <v>View Company Online</v>
      </c>
    </row>
    <row r="9882" spans="1:18" hidden="1" x14ac:dyDescent="0.3">
      <c r="A9882" s="9" t="s">
        <v>28095</v>
      </c>
      <c r="B9882" s="9" t="s">
        <v>28096</v>
      </c>
      <c r="C9882" s="11" t="s">
        <v>28</v>
      </c>
      <c r="D9882" s="9" t="s">
        <v>28097</v>
      </c>
      <c r="E9882" s="11" t="s">
        <v>28</v>
      </c>
      <c r="F9882" s="10" t="s">
        <v>28</v>
      </c>
      <c r="G9882" s="10" t="s">
        <v>28</v>
      </c>
      <c r="H9882" s="10" t="s">
        <v>28</v>
      </c>
      <c r="I9882" s="11" t="s">
        <v>28</v>
      </c>
      <c r="J9882" s="11" t="s">
        <v>28</v>
      </c>
      <c r="K9882" s="11" t="s">
        <v>28</v>
      </c>
      <c r="L9882" s="11" t="s">
        <v>28</v>
      </c>
      <c r="M9882" s="11" t="s">
        <v>28</v>
      </c>
      <c r="N9882" s="8">
        <v>42095</v>
      </c>
      <c r="O9882" s="9" t="s">
        <v>30</v>
      </c>
      <c r="P9882" s="12" t="s">
        <v>28</v>
      </c>
      <c r="Q9882" s="9" t="s">
        <v>119</v>
      </c>
      <c r="R9882" s="14" t="str">
        <f>HYPERLINK("https://my.pitchbook.com?c=256577-41T","View Company Online")</f>
        <v>View Company Online</v>
      </c>
    </row>
    <row r="9883" spans="1:18" hidden="1" x14ac:dyDescent="0.3">
      <c r="A9883" s="15" t="s">
        <v>28098</v>
      </c>
      <c r="B9883" s="15" t="s">
        <v>28099</v>
      </c>
      <c r="C9883" s="18" t="s">
        <v>28</v>
      </c>
      <c r="D9883" s="15" t="s">
        <v>28100</v>
      </c>
      <c r="E9883" s="18" t="s">
        <v>28</v>
      </c>
      <c r="F9883" s="19">
        <v>22.7</v>
      </c>
      <c r="G9883" s="19">
        <v>22.7</v>
      </c>
      <c r="H9883" s="19">
        <v>22.7</v>
      </c>
      <c r="I9883" s="18" t="s">
        <v>28</v>
      </c>
      <c r="J9883" s="18" t="s">
        <v>28</v>
      </c>
      <c r="K9883" s="18" t="s">
        <v>28</v>
      </c>
      <c r="L9883" s="18" t="s">
        <v>28</v>
      </c>
      <c r="M9883" s="18" t="s">
        <v>28</v>
      </c>
      <c r="N9883" s="17">
        <v>42095</v>
      </c>
      <c r="O9883" s="15" t="s">
        <v>30</v>
      </c>
      <c r="P9883" s="16" t="s">
        <v>28101</v>
      </c>
      <c r="Q9883" s="15" t="s">
        <v>75</v>
      </c>
      <c r="R9883" s="13" t="str">
        <f>HYPERLINK("https://my.pitchbook.com?c=48389-77T","View Company Online")</f>
        <v>View Company Online</v>
      </c>
    </row>
    <row r="9884" spans="1:18" hidden="1" x14ac:dyDescent="0.3">
      <c r="A9884" s="9" t="s">
        <v>28102</v>
      </c>
      <c r="B9884" s="9" t="s">
        <v>28103</v>
      </c>
      <c r="C9884" s="11" t="s">
        <v>28</v>
      </c>
      <c r="D9884" s="9" t="s">
        <v>28104</v>
      </c>
      <c r="E9884" s="11" t="s">
        <v>28</v>
      </c>
      <c r="F9884" s="10" t="s">
        <v>28</v>
      </c>
      <c r="G9884" s="10" t="s">
        <v>28</v>
      </c>
      <c r="H9884" s="10" t="s">
        <v>28</v>
      </c>
      <c r="I9884" s="11" t="s">
        <v>28</v>
      </c>
      <c r="J9884" s="11" t="s">
        <v>28</v>
      </c>
      <c r="K9884" s="11" t="s">
        <v>28</v>
      </c>
      <c r="L9884" s="11" t="s">
        <v>28</v>
      </c>
      <c r="M9884" s="11" t="s">
        <v>28</v>
      </c>
      <c r="N9884" s="8">
        <v>42095</v>
      </c>
      <c r="O9884" s="9" t="s">
        <v>30</v>
      </c>
      <c r="P9884" s="12" t="s">
        <v>28105</v>
      </c>
      <c r="Q9884" s="9" t="s">
        <v>136</v>
      </c>
      <c r="R9884" s="14" t="str">
        <f>HYPERLINK("https://my.pitchbook.com?c=192644-65T","View Company Online")</f>
        <v>View Company Online</v>
      </c>
    </row>
    <row r="9885" spans="1:18" hidden="1" x14ac:dyDescent="0.3">
      <c r="A9885" s="15" t="s">
        <v>28106</v>
      </c>
      <c r="B9885" s="15" t="s">
        <v>19908</v>
      </c>
      <c r="C9885" s="18" t="s">
        <v>28</v>
      </c>
      <c r="D9885" s="15" t="s">
        <v>22335</v>
      </c>
      <c r="E9885" s="18" t="s">
        <v>28</v>
      </c>
      <c r="F9885" s="19" t="s">
        <v>28</v>
      </c>
      <c r="G9885" s="19" t="s">
        <v>28</v>
      </c>
      <c r="H9885" s="19" t="s">
        <v>28</v>
      </c>
      <c r="I9885" s="18" t="s">
        <v>28</v>
      </c>
      <c r="J9885" s="18" t="s">
        <v>28</v>
      </c>
      <c r="K9885" s="18" t="s">
        <v>28</v>
      </c>
      <c r="L9885" s="18" t="s">
        <v>28</v>
      </c>
      <c r="M9885" s="18" t="s">
        <v>28</v>
      </c>
      <c r="N9885" s="17">
        <v>42095</v>
      </c>
      <c r="O9885" s="15" t="s">
        <v>79</v>
      </c>
      <c r="P9885" s="16" t="s">
        <v>28107</v>
      </c>
      <c r="Q9885" s="15" t="s">
        <v>95</v>
      </c>
      <c r="R9885" s="13" t="str">
        <f>HYPERLINK("https://my.pitchbook.com?c=215810-56T","View Company Online")</f>
        <v>View Company Online</v>
      </c>
    </row>
    <row r="9886" spans="1:18" hidden="1" x14ac:dyDescent="0.3">
      <c r="A9886" s="9" t="s">
        <v>28108</v>
      </c>
      <c r="B9886" s="9" t="s">
        <v>14908</v>
      </c>
      <c r="C9886" s="11" t="s">
        <v>28</v>
      </c>
      <c r="D9886" s="9" t="s">
        <v>14909</v>
      </c>
      <c r="E9886" s="11" t="s">
        <v>28</v>
      </c>
      <c r="F9886" s="10" t="s">
        <v>28</v>
      </c>
      <c r="G9886" s="10" t="s">
        <v>28</v>
      </c>
      <c r="H9886" s="10" t="s">
        <v>28</v>
      </c>
      <c r="I9886" s="11" t="s">
        <v>28</v>
      </c>
      <c r="J9886" s="11" t="s">
        <v>28</v>
      </c>
      <c r="K9886" s="11" t="s">
        <v>28</v>
      </c>
      <c r="L9886" s="11" t="s">
        <v>28</v>
      </c>
      <c r="M9886" s="11" t="s">
        <v>28</v>
      </c>
      <c r="N9886" s="8">
        <v>42095</v>
      </c>
      <c r="O9886" s="9" t="s">
        <v>52</v>
      </c>
      <c r="P9886" s="12" t="s">
        <v>14910</v>
      </c>
      <c r="Q9886" s="9" t="s">
        <v>43</v>
      </c>
      <c r="R9886" s="14" t="str">
        <f>HYPERLINK("https://my.pitchbook.com?c=61594-30T","View Company Online")</f>
        <v>View Company Online</v>
      </c>
    </row>
    <row r="9887" spans="1:18" hidden="1" x14ac:dyDescent="0.3">
      <c r="A9887" s="15" t="s">
        <v>28109</v>
      </c>
      <c r="B9887" s="15" t="s">
        <v>782</v>
      </c>
      <c r="C9887" s="18" t="s">
        <v>28</v>
      </c>
      <c r="D9887" s="15" t="s">
        <v>28110</v>
      </c>
      <c r="E9887" s="18">
        <v>59.94</v>
      </c>
      <c r="F9887" s="19" t="s">
        <v>28</v>
      </c>
      <c r="G9887" s="19" t="s">
        <v>28</v>
      </c>
      <c r="H9887" s="19" t="s">
        <v>28</v>
      </c>
      <c r="I9887" s="18" t="s">
        <v>28</v>
      </c>
      <c r="J9887" s="18" t="s">
        <v>28</v>
      </c>
      <c r="K9887" s="18">
        <v>370.98</v>
      </c>
      <c r="L9887" s="18" t="s">
        <v>28</v>
      </c>
      <c r="M9887" s="18">
        <v>29.65</v>
      </c>
      <c r="N9887" s="17">
        <v>42095</v>
      </c>
      <c r="O9887" s="15" t="s">
        <v>173</v>
      </c>
      <c r="P9887" s="16" t="s">
        <v>28</v>
      </c>
      <c r="Q9887" s="15" t="s">
        <v>5347</v>
      </c>
      <c r="R9887" s="13" t="str">
        <f>HYPERLINK("https://my.pitchbook.com?c=79842-34T","View Company Online")</f>
        <v>View Company Online</v>
      </c>
    </row>
    <row r="9888" spans="1:18" hidden="1" x14ac:dyDescent="0.3">
      <c r="A9888" s="9" t="s">
        <v>28111</v>
      </c>
      <c r="B9888" s="9" t="s">
        <v>14279</v>
      </c>
      <c r="C9888" s="11" t="s">
        <v>28</v>
      </c>
      <c r="D9888" s="9" t="s">
        <v>14280</v>
      </c>
      <c r="E9888" s="11" t="s">
        <v>28</v>
      </c>
      <c r="F9888" s="10" t="s">
        <v>28</v>
      </c>
      <c r="G9888" s="10" t="s">
        <v>28</v>
      </c>
      <c r="H9888" s="10" t="s">
        <v>28</v>
      </c>
      <c r="I9888" s="11" t="s">
        <v>28</v>
      </c>
      <c r="J9888" s="11" t="s">
        <v>28</v>
      </c>
      <c r="K9888" s="11" t="s">
        <v>28</v>
      </c>
      <c r="L9888" s="11" t="s">
        <v>28</v>
      </c>
      <c r="M9888" s="11" t="s">
        <v>28</v>
      </c>
      <c r="N9888" s="8">
        <v>42095</v>
      </c>
      <c r="O9888" s="9" t="s">
        <v>1285</v>
      </c>
      <c r="P9888" s="12" t="s">
        <v>2216</v>
      </c>
      <c r="Q9888" s="9" t="s">
        <v>692</v>
      </c>
      <c r="R9888" s="14" t="str">
        <f>HYPERLINK("https://my.pitchbook.com?c=107943-40T","View Company Online")</f>
        <v>View Company Online</v>
      </c>
    </row>
    <row r="9889" spans="1:18" hidden="1" x14ac:dyDescent="0.3">
      <c r="A9889" s="15" t="s">
        <v>28112</v>
      </c>
      <c r="B9889" s="15" t="s">
        <v>17843</v>
      </c>
      <c r="C9889" s="18" t="s">
        <v>28</v>
      </c>
      <c r="D9889" s="15" t="s">
        <v>17844</v>
      </c>
      <c r="E9889" s="18" t="s">
        <v>28</v>
      </c>
      <c r="F9889" s="19" t="s">
        <v>28</v>
      </c>
      <c r="G9889" s="19">
        <v>0.01</v>
      </c>
      <c r="H9889" s="19">
        <v>0.02</v>
      </c>
      <c r="I9889" s="18" t="s">
        <v>28</v>
      </c>
      <c r="J9889" s="18" t="s">
        <v>28</v>
      </c>
      <c r="K9889" s="18" t="s">
        <v>28</v>
      </c>
      <c r="L9889" s="18" t="s">
        <v>28</v>
      </c>
      <c r="M9889" s="18" t="s">
        <v>28</v>
      </c>
      <c r="N9889" s="17">
        <v>42095</v>
      </c>
      <c r="O9889" s="15" t="s">
        <v>79</v>
      </c>
      <c r="P9889" s="16" t="s">
        <v>4196</v>
      </c>
      <c r="Q9889" s="15" t="s">
        <v>75</v>
      </c>
      <c r="R9889" s="13" t="str">
        <f>HYPERLINK("https://my.pitchbook.com?c=140437-45T","View Company Online")</f>
        <v>View Company Online</v>
      </c>
    </row>
    <row r="9890" spans="1:18" hidden="1" x14ac:dyDescent="0.3">
      <c r="A9890" s="9" t="s">
        <v>28113</v>
      </c>
      <c r="B9890" s="9" t="s">
        <v>28114</v>
      </c>
      <c r="C9890" s="11" t="s">
        <v>28</v>
      </c>
      <c r="D9890" s="9" t="s">
        <v>28115</v>
      </c>
      <c r="E9890" s="11" t="s">
        <v>28</v>
      </c>
      <c r="F9890" s="10">
        <v>135.28</v>
      </c>
      <c r="G9890" s="10">
        <v>135.28</v>
      </c>
      <c r="H9890" s="10">
        <v>135.28</v>
      </c>
      <c r="I9890" s="11" t="s">
        <v>28</v>
      </c>
      <c r="J9890" s="11" t="s">
        <v>28</v>
      </c>
      <c r="K9890" s="11" t="s">
        <v>28</v>
      </c>
      <c r="L9890" s="11" t="s">
        <v>28</v>
      </c>
      <c r="M9890" s="11" t="s">
        <v>28</v>
      </c>
      <c r="N9890" s="8">
        <v>42094</v>
      </c>
      <c r="O9890" s="9" t="s">
        <v>30</v>
      </c>
      <c r="P9890" s="12" t="s">
        <v>2281</v>
      </c>
      <c r="Q9890" s="9" t="s">
        <v>136</v>
      </c>
      <c r="R9890" s="14" t="str">
        <f>HYPERLINK("https://my.pitchbook.com?c=75147-67T","View Company Online")</f>
        <v>View Company Online</v>
      </c>
    </row>
    <row r="9891" spans="1:18" hidden="1" x14ac:dyDescent="0.3">
      <c r="A9891" s="15" t="s">
        <v>28116</v>
      </c>
      <c r="B9891" s="15" t="s">
        <v>28117</v>
      </c>
      <c r="C9891" s="18" t="s">
        <v>28</v>
      </c>
      <c r="D9891" s="15" t="s">
        <v>28118</v>
      </c>
      <c r="E9891" s="18" t="s">
        <v>28</v>
      </c>
      <c r="F9891" s="19" t="s">
        <v>28</v>
      </c>
      <c r="G9891" s="19" t="s">
        <v>28</v>
      </c>
      <c r="H9891" s="19" t="s">
        <v>28</v>
      </c>
      <c r="I9891" s="18" t="s">
        <v>28</v>
      </c>
      <c r="J9891" s="18" t="s">
        <v>28</v>
      </c>
      <c r="K9891" s="18" t="s">
        <v>28</v>
      </c>
      <c r="L9891" s="18" t="s">
        <v>28</v>
      </c>
      <c r="M9891" s="18" t="s">
        <v>28</v>
      </c>
      <c r="N9891" s="17">
        <v>42094</v>
      </c>
      <c r="O9891" s="15" t="s">
        <v>30</v>
      </c>
      <c r="P9891" s="16" t="s">
        <v>28119</v>
      </c>
      <c r="Q9891" s="15" t="s">
        <v>381</v>
      </c>
      <c r="R9891" s="13" t="str">
        <f>HYPERLINK("https://my.pitchbook.com?c=75102-13T","View Company Online")</f>
        <v>View Company Online</v>
      </c>
    </row>
    <row r="9892" spans="1:18" hidden="1" x14ac:dyDescent="0.3">
      <c r="A9892" s="9" t="s">
        <v>28120</v>
      </c>
      <c r="B9892" s="9" t="s">
        <v>14287</v>
      </c>
      <c r="C9892" s="11" t="s">
        <v>28</v>
      </c>
      <c r="D9892" s="9" t="s">
        <v>14288</v>
      </c>
      <c r="E9892" s="11" t="s">
        <v>28</v>
      </c>
      <c r="F9892" s="10" t="s">
        <v>28</v>
      </c>
      <c r="G9892" s="10">
        <v>1.94</v>
      </c>
      <c r="H9892" s="10" t="s">
        <v>28</v>
      </c>
      <c r="I9892" s="11" t="s">
        <v>28</v>
      </c>
      <c r="J9892" s="11" t="s">
        <v>28</v>
      </c>
      <c r="K9892" s="11" t="s">
        <v>28</v>
      </c>
      <c r="L9892" s="11" t="s">
        <v>28</v>
      </c>
      <c r="M9892" s="11" t="s">
        <v>28</v>
      </c>
      <c r="N9892" s="8">
        <v>42094</v>
      </c>
      <c r="O9892" s="9" t="s">
        <v>73</v>
      </c>
      <c r="P9892" s="12" t="s">
        <v>28121</v>
      </c>
      <c r="Q9892" s="9" t="s">
        <v>75</v>
      </c>
      <c r="R9892" s="14" t="str">
        <f>HYPERLINK("https://my.pitchbook.com?c=45002-26T","View Company Online")</f>
        <v>View Company Online</v>
      </c>
    </row>
    <row r="9893" spans="1:18" hidden="1" x14ac:dyDescent="0.3">
      <c r="A9893" s="15" t="s">
        <v>28122</v>
      </c>
      <c r="B9893" s="15" t="s">
        <v>28123</v>
      </c>
      <c r="C9893" s="18" t="s">
        <v>28</v>
      </c>
      <c r="D9893" s="15" t="s">
        <v>28124</v>
      </c>
      <c r="E9893" s="18" t="s">
        <v>28</v>
      </c>
      <c r="F9893" s="19" t="s">
        <v>28</v>
      </c>
      <c r="G9893" s="19" t="s">
        <v>28</v>
      </c>
      <c r="H9893" s="19" t="s">
        <v>28</v>
      </c>
      <c r="I9893" s="18" t="s">
        <v>28</v>
      </c>
      <c r="J9893" s="18" t="s">
        <v>28</v>
      </c>
      <c r="K9893" s="18" t="s">
        <v>28</v>
      </c>
      <c r="L9893" s="18" t="s">
        <v>28</v>
      </c>
      <c r="M9893" s="18" t="s">
        <v>28</v>
      </c>
      <c r="N9893" s="17">
        <v>42094</v>
      </c>
      <c r="O9893" s="15" t="s">
        <v>30</v>
      </c>
      <c r="P9893" s="16" t="s">
        <v>28125</v>
      </c>
      <c r="Q9893" s="15" t="s">
        <v>362</v>
      </c>
      <c r="R9893" s="13" t="str">
        <f>HYPERLINK("https://my.pitchbook.com?c=37342-81T","View Company Online")</f>
        <v>View Company Online</v>
      </c>
    </row>
    <row r="9894" spans="1:18" hidden="1" x14ac:dyDescent="0.3">
      <c r="A9894" s="9" t="s">
        <v>28126</v>
      </c>
      <c r="B9894" s="9" t="s">
        <v>23035</v>
      </c>
      <c r="C9894" s="11" t="s">
        <v>28</v>
      </c>
      <c r="D9894" s="9" t="s">
        <v>23036</v>
      </c>
      <c r="E9894" s="11" t="s">
        <v>28</v>
      </c>
      <c r="F9894" s="10" t="s">
        <v>28</v>
      </c>
      <c r="G9894" s="10" t="s">
        <v>28</v>
      </c>
      <c r="H9894" s="10" t="s">
        <v>28</v>
      </c>
      <c r="I9894" s="11" t="s">
        <v>28</v>
      </c>
      <c r="J9894" s="11" t="s">
        <v>28</v>
      </c>
      <c r="K9894" s="11" t="s">
        <v>28</v>
      </c>
      <c r="L9894" s="11" t="s">
        <v>28</v>
      </c>
      <c r="M9894" s="11" t="s">
        <v>28</v>
      </c>
      <c r="N9894" s="8">
        <v>42094</v>
      </c>
      <c r="O9894" s="9" t="s">
        <v>379</v>
      </c>
      <c r="P9894" s="12" t="s">
        <v>28127</v>
      </c>
      <c r="Q9894" s="9" t="s">
        <v>119</v>
      </c>
      <c r="R9894" s="14" t="str">
        <f>HYPERLINK("https://my.pitchbook.com?c=99891-91T","View Company Online")</f>
        <v>View Company Online</v>
      </c>
    </row>
    <row r="9895" spans="1:18" hidden="1" x14ac:dyDescent="0.3">
      <c r="A9895" s="15" t="s">
        <v>28128</v>
      </c>
      <c r="B9895" s="15" t="s">
        <v>13944</v>
      </c>
      <c r="C9895" s="18" t="s">
        <v>28</v>
      </c>
      <c r="D9895" s="15" t="s">
        <v>13945</v>
      </c>
      <c r="E9895" s="18" t="s">
        <v>28</v>
      </c>
      <c r="F9895" s="19" t="s">
        <v>28</v>
      </c>
      <c r="G9895" s="19">
        <v>0.2</v>
      </c>
      <c r="H9895" s="19" t="s">
        <v>28</v>
      </c>
      <c r="I9895" s="18" t="s">
        <v>28</v>
      </c>
      <c r="J9895" s="18" t="s">
        <v>28</v>
      </c>
      <c r="K9895" s="18" t="s">
        <v>28</v>
      </c>
      <c r="L9895" s="18" t="s">
        <v>28</v>
      </c>
      <c r="M9895" s="18" t="s">
        <v>28</v>
      </c>
      <c r="N9895" s="17">
        <v>42094</v>
      </c>
      <c r="O9895" s="15" t="s">
        <v>99</v>
      </c>
      <c r="P9895" s="16" t="s">
        <v>28129</v>
      </c>
      <c r="Q9895" s="15" t="s">
        <v>75</v>
      </c>
      <c r="R9895" s="13" t="str">
        <f>HYPERLINK("https://my.pitchbook.com?c=74266-21T","View Company Online")</f>
        <v>View Company Online</v>
      </c>
    </row>
    <row r="9896" spans="1:18" hidden="1" x14ac:dyDescent="0.3">
      <c r="A9896" s="9" t="s">
        <v>28130</v>
      </c>
      <c r="B9896" s="9" t="s">
        <v>24219</v>
      </c>
      <c r="C9896" s="11" t="s">
        <v>28</v>
      </c>
      <c r="D9896" s="9" t="s">
        <v>24220</v>
      </c>
      <c r="E9896" s="11" t="s">
        <v>28</v>
      </c>
      <c r="F9896" s="10" t="s">
        <v>28</v>
      </c>
      <c r="G9896" s="10">
        <v>227.4</v>
      </c>
      <c r="H9896" s="10" t="s">
        <v>28</v>
      </c>
      <c r="I9896" s="11" t="s">
        <v>28</v>
      </c>
      <c r="J9896" s="11" t="s">
        <v>28</v>
      </c>
      <c r="K9896" s="11" t="s">
        <v>28</v>
      </c>
      <c r="L9896" s="11" t="s">
        <v>28</v>
      </c>
      <c r="M9896" s="11" t="s">
        <v>28</v>
      </c>
      <c r="N9896" s="8">
        <v>42094</v>
      </c>
      <c r="O9896" s="9" t="s">
        <v>93</v>
      </c>
      <c r="P9896" s="12" t="s">
        <v>24889</v>
      </c>
      <c r="Q9896" s="9" t="s">
        <v>299</v>
      </c>
      <c r="R9896" s="14" t="str">
        <f>HYPERLINK("https://my.pitchbook.com?c=98567-65T","View Company Online")</f>
        <v>View Company Online</v>
      </c>
    </row>
    <row r="9897" spans="1:18" hidden="1" x14ac:dyDescent="0.3">
      <c r="A9897" s="15" t="s">
        <v>28131</v>
      </c>
      <c r="B9897" s="15" t="s">
        <v>13779</v>
      </c>
      <c r="C9897" s="18" t="s">
        <v>28</v>
      </c>
      <c r="D9897" s="15" t="s">
        <v>13780</v>
      </c>
      <c r="E9897" s="18" t="s">
        <v>28</v>
      </c>
      <c r="F9897" s="19" t="s">
        <v>28</v>
      </c>
      <c r="G9897" s="19">
        <v>15.75</v>
      </c>
      <c r="H9897" s="19" t="s">
        <v>28</v>
      </c>
      <c r="I9897" s="18" t="s">
        <v>28</v>
      </c>
      <c r="J9897" s="18" t="s">
        <v>28</v>
      </c>
      <c r="K9897" s="18" t="s">
        <v>28</v>
      </c>
      <c r="L9897" s="18" t="s">
        <v>28</v>
      </c>
      <c r="M9897" s="18" t="s">
        <v>28</v>
      </c>
      <c r="N9897" s="17">
        <v>42093</v>
      </c>
      <c r="O9897" s="15" t="s">
        <v>79</v>
      </c>
      <c r="P9897" s="16" t="s">
        <v>28132</v>
      </c>
      <c r="Q9897" s="15" t="s">
        <v>1341</v>
      </c>
      <c r="R9897" s="13" t="str">
        <f>HYPERLINK("https://my.pitchbook.com?c=49005-91T","View Company Online")</f>
        <v>View Company Online</v>
      </c>
    </row>
    <row r="9898" spans="1:18" hidden="1" x14ac:dyDescent="0.3">
      <c r="A9898" s="9" t="s">
        <v>28133</v>
      </c>
      <c r="B9898" s="9" t="s">
        <v>1717</v>
      </c>
      <c r="C9898" s="11" t="s">
        <v>28</v>
      </c>
      <c r="D9898" s="9" t="s">
        <v>1718</v>
      </c>
      <c r="E9898" s="11" t="s">
        <v>28</v>
      </c>
      <c r="F9898" s="10" t="s">
        <v>28</v>
      </c>
      <c r="G9898" s="10" t="s">
        <v>28</v>
      </c>
      <c r="H9898" s="10" t="s">
        <v>28</v>
      </c>
      <c r="I9898" s="11" t="s">
        <v>28</v>
      </c>
      <c r="J9898" s="11" t="s">
        <v>28</v>
      </c>
      <c r="K9898" s="11" t="s">
        <v>28</v>
      </c>
      <c r="L9898" s="11" t="s">
        <v>28</v>
      </c>
      <c r="M9898" s="11" t="s">
        <v>28</v>
      </c>
      <c r="N9898" s="8">
        <v>42090</v>
      </c>
      <c r="O9898" s="9" t="s">
        <v>41</v>
      </c>
      <c r="P9898" s="12" t="s">
        <v>28134</v>
      </c>
      <c r="Q9898" s="9" t="s">
        <v>54</v>
      </c>
      <c r="R9898" s="14" t="str">
        <f>HYPERLINK("https://my.pitchbook.com?c=47760-04T","View Company Online")</f>
        <v>View Company Online</v>
      </c>
    </row>
    <row r="9899" spans="1:18" hidden="1" x14ac:dyDescent="0.3">
      <c r="A9899" s="15" t="s">
        <v>28135</v>
      </c>
      <c r="B9899" s="15" t="s">
        <v>28136</v>
      </c>
      <c r="C9899" s="18" t="s">
        <v>28</v>
      </c>
      <c r="D9899" s="15" t="s">
        <v>28137</v>
      </c>
      <c r="E9899" s="18" t="s">
        <v>28</v>
      </c>
      <c r="F9899" s="19" t="s">
        <v>28</v>
      </c>
      <c r="G9899" s="19" t="s">
        <v>28</v>
      </c>
      <c r="H9899" s="19" t="s">
        <v>28</v>
      </c>
      <c r="I9899" s="18" t="s">
        <v>28</v>
      </c>
      <c r="J9899" s="18" t="s">
        <v>28</v>
      </c>
      <c r="K9899" s="18" t="s">
        <v>28</v>
      </c>
      <c r="L9899" s="18" t="s">
        <v>28</v>
      </c>
      <c r="M9899" s="18" t="s">
        <v>28</v>
      </c>
      <c r="N9899" s="17">
        <v>42089</v>
      </c>
      <c r="O9899" s="15" t="s">
        <v>79</v>
      </c>
      <c r="P9899" s="16" t="s">
        <v>28138</v>
      </c>
      <c r="Q9899" s="15" t="s">
        <v>12903</v>
      </c>
      <c r="R9899" s="13" t="str">
        <f>HYPERLINK("https://my.pitchbook.com?c=90822-43T","View Company Online")</f>
        <v>View Company Online</v>
      </c>
    </row>
    <row r="9900" spans="1:18" hidden="1" x14ac:dyDescent="0.3">
      <c r="A9900" s="9" t="s">
        <v>28139</v>
      </c>
      <c r="B9900" s="9" t="s">
        <v>28140</v>
      </c>
      <c r="C9900" s="11" t="s">
        <v>28</v>
      </c>
      <c r="D9900" s="9" t="s">
        <v>28141</v>
      </c>
      <c r="E9900" s="11" t="s">
        <v>28</v>
      </c>
      <c r="F9900" s="10" t="s">
        <v>28</v>
      </c>
      <c r="G9900" s="10" t="s">
        <v>28</v>
      </c>
      <c r="H9900" s="10" t="s">
        <v>28</v>
      </c>
      <c r="I9900" s="11" t="s">
        <v>28</v>
      </c>
      <c r="J9900" s="11" t="s">
        <v>28</v>
      </c>
      <c r="K9900" s="11" t="s">
        <v>28</v>
      </c>
      <c r="L9900" s="11" t="s">
        <v>28</v>
      </c>
      <c r="M9900" s="11" t="s">
        <v>28</v>
      </c>
      <c r="N9900" s="8">
        <v>42087</v>
      </c>
      <c r="O9900" s="9" t="s">
        <v>30</v>
      </c>
      <c r="P9900" s="12" t="s">
        <v>28142</v>
      </c>
      <c r="Q9900" s="9" t="s">
        <v>119</v>
      </c>
      <c r="R9900" s="14" t="str">
        <f>HYPERLINK("https://my.pitchbook.com?c=47461-96T","View Company Online")</f>
        <v>View Company Online</v>
      </c>
    </row>
    <row r="9901" spans="1:18" hidden="1" x14ac:dyDescent="0.3">
      <c r="A9901" s="15" t="s">
        <v>28143</v>
      </c>
      <c r="B9901" s="15" t="s">
        <v>23334</v>
      </c>
      <c r="C9901" s="18" t="s">
        <v>28</v>
      </c>
      <c r="D9901" s="15" t="s">
        <v>23335</v>
      </c>
      <c r="E9901" s="18" t="s">
        <v>28</v>
      </c>
      <c r="F9901" s="19" t="s">
        <v>28</v>
      </c>
      <c r="G9901" s="19" t="s">
        <v>28</v>
      </c>
      <c r="H9901" s="19" t="s">
        <v>28</v>
      </c>
      <c r="I9901" s="18" t="s">
        <v>28</v>
      </c>
      <c r="J9901" s="18" t="s">
        <v>28</v>
      </c>
      <c r="K9901" s="18" t="s">
        <v>28</v>
      </c>
      <c r="L9901" s="18" t="s">
        <v>28</v>
      </c>
      <c r="M9901" s="18" t="s">
        <v>28</v>
      </c>
      <c r="N9901" s="17">
        <v>42087</v>
      </c>
      <c r="O9901" s="15" t="s">
        <v>41</v>
      </c>
      <c r="P9901" s="16" t="s">
        <v>28144</v>
      </c>
      <c r="Q9901" s="15" t="s">
        <v>43</v>
      </c>
      <c r="R9901" s="13" t="str">
        <f>HYPERLINK("https://my.pitchbook.com?c=47342-35T","View Company Online")</f>
        <v>View Company Online</v>
      </c>
    </row>
    <row r="9902" spans="1:18" hidden="1" x14ac:dyDescent="0.3">
      <c r="A9902" s="9" t="s">
        <v>28145</v>
      </c>
      <c r="B9902" s="9" t="s">
        <v>28146</v>
      </c>
      <c r="C9902" s="11" t="s">
        <v>28</v>
      </c>
      <c r="D9902" s="9" t="s">
        <v>28147</v>
      </c>
      <c r="E9902" s="11" t="s">
        <v>28</v>
      </c>
      <c r="F9902" s="10" t="s">
        <v>28</v>
      </c>
      <c r="G9902" s="10" t="s">
        <v>28</v>
      </c>
      <c r="H9902" s="10" t="s">
        <v>28</v>
      </c>
      <c r="I9902" s="11" t="s">
        <v>28</v>
      </c>
      <c r="J9902" s="11" t="s">
        <v>28</v>
      </c>
      <c r="K9902" s="11">
        <v>489</v>
      </c>
      <c r="L9902" s="11" t="s">
        <v>28</v>
      </c>
      <c r="M9902" s="11" t="s">
        <v>28</v>
      </c>
      <c r="N9902" s="8">
        <v>42087</v>
      </c>
      <c r="O9902" s="9" t="s">
        <v>30</v>
      </c>
      <c r="P9902" s="12" t="s">
        <v>14403</v>
      </c>
      <c r="Q9902" s="9" t="s">
        <v>4901</v>
      </c>
      <c r="R9902" s="14" t="str">
        <f>HYPERLINK("https://my.pitchbook.com?c=112170-07T","View Company Online")</f>
        <v>View Company Online</v>
      </c>
    </row>
    <row r="9903" spans="1:18" hidden="1" x14ac:dyDescent="0.3">
      <c r="A9903" s="15" t="s">
        <v>28148</v>
      </c>
      <c r="B9903" s="15" t="s">
        <v>20783</v>
      </c>
      <c r="C9903" s="18" t="s">
        <v>28</v>
      </c>
      <c r="D9903" s="15" t="s">
        <v>20784</v>
      </c>
      <c r="E9903" s="18">
        <v>-49.65</v>
      </c>
      <c r="F9903" s="19" t="s">
        <v>28</v>
      </c>
      <c r="G9903" s="19">
        <v>45</v>
      </c>
      <c r="H9903" s="19" t="s">
        <v>28</v>
      </c>
      <c r="I9903" s="18">
        <v>-42.42</v>
      </c>
      <c r="J9903" s="18" t="s">
        <v>28</v>
      </c>
      <c r="K9903" s="18">
        <v>478.09</v>
      </c>
      <c r="L9903" s="18" t="s">
        <v>28</v>
      </c>
      <c r="M9903" s="18">
        <v>-61.14</v>
      </c>
      <c r="N9903" s="17">
        <v>42087</v>
      </c>
      <c r="O9903" s="15" t="s">
        <v>79</v>
      </c>
      <c r="P9903" s="16" t="s">
        <v>28149</v>
      </c>
      <c r="Q9903" s="15" t="s">
        <v>740</v>
      </c>
      <c r="R9903" s="13" t="str">
        <f>HYPERLINK("https://my.pitchbook.com?c=47891-80T","View Company Online")</f>
        <v>View Company Online</v>
      </c>
    </row>
    <row r="9904" spans="1:18" hidden="1" x14ac:dyDescent="0.3">
      <c r="A9904" s="9" t="s">
        <v>28150</v>
      </c>
      <c r="B9904" s="9" t="s">
        <v>28151</v>
      </c>
      <c r="C9904" s="11" t="s">
        <v>28</v>
      </c>
      <c r="D9904" s="9" t="s">
        <v>28152</v>
      </c>
      <c r="E9904" s="11" t="s">
        <v>28</v>
      </c>
      <c r="F9904" s="10" t="s">
        <v>28</v>
      </c>
      <c r="G9904" s="10" t="s">
        <v>28</v>
      </c>
      <c r="H9904" s="10" t="s">
        <v>28</v>
      </c>
      <c r="I9904" s="11" t="s">
        <v>28</v>
      </c>
      <c r="J9904" s="11" t="s">
        <v>28</v>
      </c>
      <c r="K9904" s="11" t="s">
        <v>28</v>
      </c>
      <c r="L9904" s="11" t="s">
        <v>28</v>
      </c>
      <c r="M9904" s="11" t="s">
        <v>28</v>
      </c>
      <c r="N9904" s="8">
        <v>42087</v>
      </c>
      <c r="O9904" s="9" t="s">
        <v>30</v>
      </c>
      <c r="P9904" s="12" t="s">
        <v>28153</v>
      </c>
      <c r="Q9904" s="9" t="s">
        <v>880</v>
      </c>
      <c r="R9904" s="14" t="str">
        <f>HYPERLINK("https://my.pitchbook.com?c=47638-27T","View Company Online")</f>
        <v>View Company Online</v>
      </c>
    </row>
    <row r="9905" spans="1:18" hidden="1" x14ac:dyDescent="0.3">
      <c r="A9905" s="15" t="s">
        <v>28154</v>
      </c>
      <c r="B9905" s="15" t="s">
        <v>15558</v>
      </c>
      <c r="C9905" s="18" t="s">
        <v>28</v>
      </c>
      <c r="D9905" s="15" t="s">
        <v>15559</v>
      </c>
      <c r="E9905" s="18" t="s">
        <v>28</v>
      </c>
      <c r="F9905" s="19" t="s">
        <v>28</v>
      </c>
      <c r="G9905" s="19">
        <v>4.01</v>
      </c>
      <c r="H9905" s="19">
        <v>19.04</v>
      </c>
      <c r="I9905" s="18" t="s">
        <v>28</v>
      </c>
      <c r="J9905" s="18" t="s">
        <v>28</v>
      </c>
      <c r="K9905" s="18" t="s">
        <v>28</v>
      </c>
      <c r="L9905" s="18" t="s">
        <v>28</v>
      </c>
      <c r="M9905" s="18" t="s">
        <v>28</v>
      </c>
      <c r="N9905" s="17">
        <v>42083</v>
      </c>
      <c r="O9905" s="15" t="s">
        <v>73</v>
      </c>
      <c r="P9905" s="16" t="s">
        <v>24284</v>
      </c>
      <c r="Q9905" s="15" t="s">
        <v>114</v>
      </c>
      <c r="R9905" s="13" t="str">
        <f>HYPERLINK("https://my.pitchbook.com?c=129160-18T","View Company Online")</f>
        <v>View Company Online</v>
      </c>
    </row>
    <row r="9906" spans="1:18" hidden="1" x14ac:dyDescent="0.3">
      <c r="A9906" s="9" t="s">
        <v>28155</v>
      </c>
      <c r="B9906" s="9" t="s">
        <v>28156</v>
      </c>
      <c r="C9906" s="11" t="s">
        <v>28</v>
      </c>
      <c r="D9906" s="9" t="s">
        <v>28157</v>
      </c>
      <c r="E9906" s="11">
        <v>93.94</v>
      </c>
      <c r="F9906" s="10" t="s">
        <v>28</v>
      </c>
      <c r="G9906" s="10">
        <v>100.19</v>
      </c>
      <c r="H9906" s="10" t="s">
        <v>28</v>
      </c>
      <c r="I9906" s="11">
        <v>118.3</v>
      </c>
      <c r="J9906" s="11" t="s">
        <v>28</v>
      </c>
      <c r="K9906" s="11">
        <v>1807.64</v>
      </c>
      <c r="L9906" s="11" t="s">
        <v>28</v>
      </c>
      <c r="M9906" s="11">
        <v>-224.75</v>
      </c>
      <c r="N9906" s="8">
        <v>42083</v>
      </c>
      <c r="O9906" s="9" t="s">
        <v>159</v>
      </c>
      <c r="P9906" s="12" t="s">
        <v>168</v>
      </c>
      <c r="Q9906" s="9" t="s">
        <v>119</v>
      </c>
      <c r="R9906" s="14" t="str">
        <f>HYPERLINK("https://my.pitchbook.com?c=86888-71T","View Company Online")</f>
        <v>View Company Online</v>
      </c>
    </row>
    <row r="9907" spans="1:18" hidden="1" x14ac:dyDescent="0.3">
      <c r="A9907" s="15" t="s">
        <v>28158</v>
      </c>
      <c r="B9907" s="15" t="s">
        <v>28159</v>
      </c>
      <c r="C9907" s="18" t="s">
        <v>28</v>
      </c>
      <c r="D9907" s="15" t="s">
        <v>28160</v>
      </c>
      <c r="E9907" s="18" t="s">
        <v>28</v>
      </c>
      <c r="F9907" s="19" t="s">
        <v>28</v>
      </c>
      <c r="G9907" s="19" t="s">
        <v>28</v>
      </c>
      <c r="H9907" s="19" t="s">
        <v>28</v>
      </c>
      <c r="I9907" s="18" t="s">
        <v>28</v>
      </c>
      <c r="J9907" s="18" t="s">
        <v>28</v>
      </c>
      <c r="K9907" s="18" t="s">
        <v>28</v>
      </c>
      <c r="L9907" s="18" t="s">
        <v>28</v>
      </c>
      <c r="M9907" s="18" t="s">
        <v>28</v>
      </c>
      <c r="N9907" s="17">
        <v>42083</v>
      </c>
      <c r="O9907" s="15" t="s">
        <v>41</v>
      </c>
      <c r="P9907" s="16" t="s">
        <v>28161</v>
      </c>
      <c r="Q9907" s="15" t="s">
        <v>353</v>
      </c>
      <c r="R9907" s="13" t="str">
        <f>HYPERLINK("https://my.pitchbook.com?c=97892-29T","View Company Online")</f>
        <v>View Company Online</v>
      </c>
    </row>
    <row r="9908" spans="1:18" hidden="1" x14ac:dyDescent="0.3">
      <c r="A9908" s="9" t="s">
        <v>28162</v>
      </c>
      <c r="B9908" s="9" t="s">
        <v>28163</v>
      </c>
      <c r="C9908" s="11" t="s">
        <v>28</v>
      </c>
      <c r="D9908" s="9" t="s">
        <v>28164</v>
      </c>
      <c r="E9908" s="11" t="s">
        <v>28</v>
      </c>
      <c r="F9908" s="10" t="s">
        <v>28</v>
      </c>
      <c r="G9908" s="10" t="s">
        <v>28</v>
      </c>
      <c r="H9908" s="10" t="s">
        <v>28</v>
      </c>
      <c r="I9908" s="11" t="s">
        <v>28</v>
      </c>
      <c r="J9908" s="11" t="s">
        <v>28</v>
      </c>
      <c r="K9908" s="11" t="s">
        <v>28</v>
      </c>
      <c r="L9908" s="11" t="s">
        <v>28</v>
      </c>
      <c r="M9908" s="11" t="s">
        <v>28</v>
      </c>
      <c r="N9908" s="8">
        <v>42082</v>
      </c>
      <c r="O9908" s="9" t="s">
        <v>30</v>
      </c>
      <c r="P9908" s="12" t="s">
        <v>28165</v>
      </c>
      <c r="Q9908" s="9" t="s">
        <v>69</v>
      </c>
      <c r="R9908" s="14" t="str">
        <f>HYPERLINK("https://my.pitchbook.com?c=47257-12T","View Company Online")</f>
        <v>View Company Online</v>
      </c>
    </row>
    <row r="9909" spans="1:18" hidden="1" x14ac:dyDescent="0.3">
      <c r="A9909" s="15" t="s">
        <v>28166</v>
      </c>
      <c r="B9909" s="15" t="s">
        <v>28167</v>
      </c>
      <c r="C9909" s="18" t="s">
        <v>28</v>
      </c>
      <c r="D9909" s="15" t="s">
        <v>28168</v>
      </c>
      <c r="E9909" s="18" t="s">
        <v>28</v>
      </c>
      <c r="F9909" s="19" t="s">
        <v>28</v>
      </c>
      <c r="G9909" s="19" t="s">
        <v>28</v>
      </c>
      <c r="H9909" s="19" t="s">
        <v>28</v>
      </c>
      <c r="I9909" s="18" t="s">
        <v>28</v>
      </c>
      <c r="J9909" s="18" t="s">
        <v>28</v>
      </c>
      <c r="K9909" s="18" t="s">
        <v>28</v>
      </c>
      <c r="L9909" s="18" t="s">
        <v>28</v>
      </c>
      <c r="M9909" s="18" t="s">
        <v>28</v>
      </c>
      <c r="N9909" s="17">
        <v>42082</v>
      </c>
      <c r="O9909" s="15" t="s">
        <v>30</v>
      </c>
      <c r="P9909" s="16" t="s">
        <v>28169</v>
      </c>
      <c r="Q9909" s="15" t="s">
        <v>85</v>
      </c>
      <c r="R9909" s="13" t="str">
        <f>HYPERLINK("https://my.pitchbook.com?c=58490-65T","View Company Online")</f>
        <v>View Company Online</v>
      </c>
    </row>
    <row r="9910" spans="1:18" hidden="1" x14ac:dyDescent="0.3">
      <c r="A9910" s="9" t="s">
        <v>28170</v>
      </c>
      <c r="B9910" s="9" t="s">
        <v>28171</v>
      </c>
      <c r="C9910" s="11" t="s">
        <v>28</v>
      </c>
      <c r="D9910" s="9" t="s">
        <v>28172</v>
      </c>
      <c r="E9910" s="11" t="s">
        <v>28</v>
      </c>
      <c r="F9910" s="10" t="s">
        <v>28</v>
      </c>
      <c r="G9910" s="10" t="s">
        <v>28</v>
      </c>
      <c r="H9910" s="10" t="s">
        <v>28</v>
      </c>
      <c r="I9910" s="11" t="s">
        <v>28</v>
      </c>
      <c r="J9910" s="11" t="s">
        <v>28</v>
      </c>
      <c r="K9910" s="11" t="s">
        <v>28</v>
      </c>
      <c r="L9910" s="11" t="s">
        <v>28</v>
      </c>
      <c r="M9910" s="11" t="s">
        <v>28</v>
      </c>
      <c r="N9910" s="8">
        <v>42082</v>
      </c>
      <c r="O9910" s="9" t="s">
        <v>30</v>
      </c>
      <c r="P9910" s="12" t="s">
        <v>28173</v>
      </c>
      <c r="Q9910" s="9" t="s">
        <v>566</v>
      </c>
      <c r="R9910" s="14" t="str">
        <f>HYPERLINK("https://my.pitchbook.com?c=47267-74T","View Company Online")</f>
        <v>View Company Online</v>
      </c>
    </row>
    <row r="9911" spans="1:18" hidden="1" x14ac:dyDescent="0.3">
      <c r="A9911" s="15" t="s">
        <v>28174</v>
      </c>
      <c r="B9911" s="15" t="s">
        <v>28175</v>
      </c>
      <c r="C9911" s="18" t="s">
        <v>28</v>
      </c>
      <c r="D9911" s="15" t="s">
        <v>28176</v>
      </c>
      <c r="E9911" s="18" t="s">
        <v>28</v>
      </c>
      <c r="F9911" s="19">
        <v>87</v>
      </c>
      <c r="G9911" s="19">
        <v>87</v>
      </c>
      <c r="H9911" s="19">
        <v>87</v>
      </c>
      <c r="I9911" s="18" t="s">
        <v>28</v>
      </c>
      <c r="J9911" s="18" t="s">
        <v>28</v>
      </c>
      <c r="K9911" s="18" t="s">
        <v>28</v>
      </c>
      <c r="L9911" s="18" t="s">
        <v>28</v>
      </c>
      <c r="M9911" s="18" t="s">
        <v>28</v>
      </c>
      <c r="N9911" s="17">
        <v>42079</v>
      </c>
      <c r="O9911" s="15" t="s">
        <v>30</v>
      </c>
      <c r="P9911" s="16" t="s">
        <v>28177</v>
      </c>
      <c r="Q9911" s="15" t="s">
        <v>19855</v>
      </c>
      <c r="R9911" s="13" t="str">
        <f>HYPERLINK("https://my.pitchbook.com?c=47409-76T","View Company Online")</f>
        <v>View Company Online</v>
      </c>
    </row>
    <row r="9912" spans="1:18" hidden="1" x14ac:dyDescent="0.3">
      <c r="A9912" s="9" t="s">
        <v>28178</v>
      </c>
      <c r="B9912" s="9" t="s">
        <v>16672</v>
      </c>
      <c r="C9912" s="11" t="s">
        <v>28</v>
      </c>
      <c r="D9912" s="9" t="s">
        <v>16673</v>
      </c>
      <c r="E9912" s="11" t="s">
        <v>28</v>
      </c>
      <c r="F9912" s="10">
        <v>15.22</v>
      </c>
      <c r="G9912" s="10">
        <v>15.22</v>
      </c>
      <c r="H9912" s="10">
        <v>15.22</v>
      </c>
      <c r="I9912" s="11" t="s">
        <v>28</v>
      </c>
      <c r="J9912" s="11" t="s">
        <v>28</v>
      </c>
      <c r="K9912" s="11" t="s">
        <v>28</v>
      </c>
      <c r="L9912" s="11" t="s">
        <v>28</v>
      </c>
      <c r="M9912" s="11" t="s">
        <v>28</v>
      </c>
      <c r="N9912" s="8">
        <v>42079</v>
      </c>
      <c r="O9912" s="9" t="s">
        <v>30</v>
      </c>
      <c r="P9912" s="12" t="s">
        <v>28179</v>
      </c>
      <c r="Q9912" s="9" t="s">
        <v>692</v>
      </c>
      <c r="R9912" s="14" t="str">
        <f>HYPERLINK("https://my.pitchbook.com?c=59077-09T","View Company Online")</f>
        <v>View Company Online</v>
      </c>
    </row>
    <row r="9913" spans="1:18" hidden="1" x14ac:dyDescent="0.3">
      <c r="A9913" s="15" t="s">
        <v>28180</v>
      </c>
      <c r="B9913" s="15" t="s">
        <v>28181</v>
      </c>
      <c r="C9913" s="18" t="s">
        <v>28</v>
      </c>
      <c r="D9913" s="15" t="s">
        <v>28182</v>
      </c>
      <c r="E9913" s="18" t="s">
        <v>28</v>
      </c>
      <c r="F9913" s="19">
        <v>450</v>
      </c>
      <c r="G9913" s="19">
        <v>450</v>
      </c>
      <c r="H9913" s="19">
        <v>450</v>
      </c>
      <c r="I9913" s="18" t="s">
        <v>28</v>
      </c>
      <c r="J9913" s="18" t="s">
        <v>28</v>
      </c>
      <c r="K9913" s="18" t="s">
        <v>28</v>
      </c>
      <c r="L9913" s="18" t="s">
        <v>28</v>
      </c>
      <c r="M9913" s="18" t="s">
        <v>28</v>
      </c>
      <c r="N9913" s="17">
        <v>42078</v>
      </c>
      <c r="O9913" s="15" t="s">
        <v>30</v>
      </c>
      <c r="P9913" s="16" t="s">
        <v>28</v>
      </c>
      <c r="Q9913" s="15" t="s">
        <v>299</v>
      </c>
      <c r="R9913" s="13" t="str">
        <f>HYPERLINK("https://my.pitchbook.com?c=46660-78T","View Company Online")</f>
        <v>View Company Online</v>
      </c>
    </row>
    <row r="9914" spans="1:18" hidden="1" x14ac:dyDescent="0.3">
      <c r="A9914" s="9" t="s">
        <v>28183</v>
      </c>
      <c r="B9914" s="9" t="s">
        <v>28184</v>
      </c>
      <c r="C9914" s="11" t="s">
        <v>28</v>
      </c>
      <c r="D9914" s="9" t="s">
        <v>28185</v>
      </c>
      <c r="E9914" s="11" t="s">
        <v>28</v>
      </c>
      <c r="F9914" s="10" t="s">
        <v>28</v>
      </c>
      <c r="G9914" s="10" t="s">
        <v>28</v>
      </c>
      <c r="H9914" s="10" t="s">
        <v>28</v>
      </c>
      <c r="I9914" s="11" t="s">
        <v>28</v>
      </c>
      <c r="J9914" s="11" t="s">
        <v>28</v>
      </c>
      <c r="K9914" s="11" t="s">
        <v>28</v>
      </c>
      <c r="L9914" s="11" t="s">
        <v>28</v>
      </c>
      <c r="M9914" s="11" t="s">
        <v>28</v>
      </c>
      <c r="N9914" s="8">
        <v>42076</v>
      </c>
      <c r="O9914" s="9" t="s">
        <v>58</v>
      </c>
      <c r="P9914" s="12" t="s">
        <v>28186</v>
      </c>
      <c r="Q9914" s="9" t="s">
        <v>353</v>
      </c>
      <c r="R9914" s="14" t="str">
        <f>HYPERLINK("https://my.pitchbook.com?c=47040-58T","View Company Online")</f>
        <v>View Company Online</v>
      </c>
    </row>
    <row r="9915" spans="1:18" hidden="1" x14ac:dyDescent="0.3">
      <c r="A9915" s="15" t="s">
        <v>28187</v>
      </c>
      <c r="B9915" s="15" t="s">
        <v>28188</v>
      </c>
      <c r="C9915" s="18" t="s">
        <v>28</v>
      </c>
      <c r="D9915" s="15" t="s">
        <v>28189</v>
      </c>
      <c r="E9915" s="18" t="s">
        <v>28</v>
      </c>
      <c r="F9915" s="19" t="s">
        <v>28</v>
      </c>
      <c r="G9915" s="19" t="s">
        <v>28</v>
      </c>
      <c r="H9915" s="19" t="s">
        <v>28</v>
      </c>
      <c r="I9915" s="18" t="s">
        <v>28</v>
      </c>
      <c r="J9915" s="18" t="s">
        <v>28</v>
      </c>
      <c r="K9915" s="18" t="s">
        <v>28</v>
      </c>
      <c r="L9915" s="18" t="s">
        <v>28</v>
      </c>
      <c r="M9915" s="18" t="s">
        <v>28</v>
      </c>
      <c r="N9915" s="17">
        <v>42074</v>
      </c>
      <c r="O9915" s="15" t="s">
        <v>30</v>
      </c>
      <c r="P9915" s="16" t="s">
        <v>28190</v>
      </c>
      <c r="Q9915" s="15" t="s">
        <v>404</v>
      </c>
      <c r="R9915" s="13" t="str">
        <f>HYPERLINK("https://my.pitchbook.com?c=111569-50T","View Company Online")</f>
        <v>View Company Online</v>
      </c>
    </row>
    <row r="9916" spans="1:18" hidden="1" x14ac:dyDescent="0.3">
      <c r="A9916" s="9" t="s">
        <v>28191</v>
      </c>
      <c r="B9916" s="9" t="s">
        <v>28192</v>
      </c>
      <c r="C9916" s="11" t="s">
        <v>28</v>
      </c>
      <c r="D9916" s="9" t="s">
        <v>28193</v>
      </c>
      <c r="E9916" s="11" t="s">
        <v>28</v>
      </c>
      <c r="F9916" s="10" t="s">
        <v>28</v>
      </c>
      <c r="G9916" s="10" t="s">
        <v>28</v>
      </c>
      <c r="H9916" s="10" t="s">
        <v>28</v>
      </c>
      <c r="I9916" s="11" t="s">
        <v>28</v>
      </c>
      <c r="J9916" s="11" t="s">
        <v>28</v>
      </c>
      <c r="K9916" s="11" t="s">
        <v>28</v>
      </c>
      <c r="L9916" s="11" t="s">
        <v>28</v>
      </c>
      <c r="M9916" s="11" t="s">
        <v>28</v>
      </c>
      <c r="N9916" s="8">
        <v>42074</v>
      </c>
      <c r="O9916" s="9" t="s">
        <v>41</v>
      </c>
      <c r="P9916" s="12" t="s">
        <v>28194</v>
      </c>
      <c r="Q9916" s="9" t="s">
        <v>37</v>
      </c>
      <c r="R9916" s="14" t="str">
        <f>HYPERLINK("https://my.pitchbook.com?c=66979-36T","View Company Online")</f>
        <v>View Company Online</v>
      </c>
    </row>
    <row r="9917" spans="1:18" hidden="1" x14ac:dyDescent="0.3">
      <c r="A9917" s="15" t="s">
        <v>28195</v>
      </c>
      <c r="B9917" s="15" t="s">
        <v>28196</v>
      </c>
      <c r="C9917" s="18" t="s">
        <v>28</v>
      </c>
      <c r="D9917" s="15" t="s">
        <v>28197</v>
      </c>
      <c r="E9917" s="18" t="s">
        <v>28</v>
      </c>
      <c r="F9917" s="19" t="s">
        <v>28</v>
      </c>
      <c r="G9917" s="19">
        <v>7.0000000000000007E-2</v>
      </c>
      <c r="H9917" s="19" t="s">
        <v>28</v>
      </c>
      <c r="I9917" s="18" t="s">
        <v>28</v>
      </c>
      <c r="J9917" s="18" t="s">
        <v>28</v>
      </c>
      <c r="K9917" s="18" t="s">
        <v>28</v>
      </c>
      <c r="L9917" s="18" t="s">
        <v>28</v>
      </c>
      <c r="M9917" s="18" t="s">
        <v>28</v>
      </c>
      <c r="N9917" s="17">
        <v>42074</v>
      </c>
      <c r="O9917" s="15" t="s">
        <v>52</v>
      </c>
      <c r="P9917" s="16" t="s">
        <v>11539</v>
      </c>
      <c r="Q9917" s="15" t="s">
        <v>386</v>
      </c>
      <c r="R9917" s="13" t="str">
        <f>HYPERLINK("https://my.pitchbook.com?c=64913-50T","View Company Online")</f>
        <v>View Company Online</v>
      </c>
    </row>
    <row r="9918" spans="1:18" hidden="1" x14ac:dyDescent="0.3">
      <c r="A9918" s="9" t="s">
        <v>28198</v>
      </c>
      <c r="B9918" s="9" t="s">
        <v>28199</v>
      </c>
      <c r="C9918" s="11" t="s">
        <v>28</v>
      </c>
      <c r="D9918" s="9" t="s">
        <v>28200</v>
      </c>
      <c r="E9918" s="11" t="s">
        <v>28</v>
      </c>
      <c r="F9918" s="10" t="s">
        <v>28</v>
      </c>
      <c r="G9918" s="10" t="s">
        <v>28</v>
      </c>
      <c r="H9918" s="10" t="s">
        <v>28</v>
      </c>
      <c r="I9918" s="11" t="s">
        <v>28</v>
      </c>
      <c r="J9918" s="11" t="s">
        <v>28</v>
      </c>
      <c r="K9918" s="11" t="s">
        <v>28</v>
      </c>
      <c r="L9918" s="11" t="s">
        <v>28</v>
      </c>
      <c r="M9918" s="11" t="s">
        <v>28</v>
      </c>
      <c r="N9918" s="8">
        <v>42072</v>
      </c>
      <c r="O9918" s="9" t="s">
        <v>30</v>
      </c>
      <c r="P9918" s="12" t="s">
        <v>28201</v>
      </c>
      <c r="Q9918" s="9" t="s">
        <v>245</v>
      </c>
      <c r="R9918" s="14" t="str">
        <f>HYPERLINK("https://my.pitchbook.com?c=46255-87T","View Company Online")</f>
        <v>View Company Online</v>
      </c>
    </row>
    <row r="9919" spans="1:18" hidden="1" x14ac:dyDescent="0.3">
      <c r="A9919" s="15" t="s">
        <v>28202</v>
      </c>
      <c r="B9919" s="15" t="s">
        <v>28203</v>
      </c>
      <c r="C9919" s="18" t="s">
        <v>28</v>
      </c>
      <c r="D9919" s="15" t="s">
        <v>28204</v>
      </c>
      <c r="E9919" s="18" t="s">
        <v>28</v>
      </c>
      <c r="F9919" s="19" t="s">
        <v>28</v>
      </c>
      <c r="G9919" s="19" t="s">
        <v>28</v>
      </c>
      <c r="H9919" s="19" t="s">
        <v>28</v>
      </c>
      <c r="I9919" s="18" t="s">
        <v>28</v>
      </c>
      <c r="J9919" s="18" t="s">
        <v>28</v>
      </c>
      <c r="K9919" s="18" t="s">
        <v>28</v>
      </c>
      <c r="L9919" s="18" t="s">
        <v>28</v>
      </c>
      <c r="M9919" s="18" t="s">
        <v>28</v>
      </c>
      <c r="N9919" s="17">
        <v>42072</v>
      </c>
      <c r="O9919" s="15" t="s">
        <v>30</v>
      </c>
      <c r="P9919" s="16" t="s">
        <v>28205</v>
      </c>
      <c r="Q9919" s="15" t="s">
        <v>5347</v>
      </c>
      <c r="R9919" s="13" t="str">
        <f>HYPERLINK("https://my.pitchbook.com?c=99437-68T","View Company Online")</f>
        <v>View Company Online</v>
      </c>
    </row>
    <row r="9920" spans="1:18" hidden="1" x14ac:dyDescent="0.3">
      <c r="A9920" s="9" t="s">
        <v>28206</v>
      </c>
      <c r="B9920" s="9" t="s">
        <v>26056</v>
      </c>
      <c r="C9920" s="11" t="s">
        <v>28</v>
      </c>
      <c r="D9920" s="9" t="s">
        <v>26057</v>
      </c>
      <c r="E9920" s="11" t="s">
        <v>28</v>
      </c>
      <c r="F9920" s="10" t="s">
        <v>28</v>
      </c>
      <c r="G9920" s="10">
        <v>0.26</v>
      </c>
      <c r="H9920" s="10" t="s">
        <v>28</v>
      </c>
      <c r="I9920" s="11" t="s">
        <v>28</v>
      </c>
      <c r="J9920" s="11" t="s">
        <v>28</v>
      </c>
      <c r="K9920" s="11" t="s">
        <v>28</v>
      </c>
      <c r="L9920" s="11" t="s">
        <v>28</v>
      </c>
      <c r="M9920" s="11" t="s">
        <v>28</v>
      </c>
      <c r="N9920" s="8">
        <v>42072</v>
      </c>
      <c r="O9920" s="9" t="s">
        <v>1639</v>
      </c>
      <c r="P9920" s="12" t="s">
        <v>28</v>
      </c>
      <c r="Q9920" s="9" t="s">
        <v>855</v>
      </c>
      <c r="R9920" s="14" t="str">
        <f>HYPERLINK("https://my.pitchbook.com?c=84788-56T","View Company Online")</f>
        <v>View Company Online</v>
      </c>
    </row>
    <row r="9921" spans="1:18" hidden="1" x14ac:dyDescent="0.3">
      <c r="A9921" s="15" t="s">
        <v>28207</v>
      </c>
      <c r="B9921" s="15" t="s">
        <v>28208</v>
      </c>
      <c r="C9921" s="18" t="s">
        <v>28</v>
      </c>
      <c r="D9921" s="15" t="s">
        <v>28209</v>
      </c>
      <c r="E9921" s="18" t="s">
        <v>28</v>
      </c>
      <c r="F9921" s="19" t="s">
        <v>28</v>
      </c>
      <c r="G9921" s="19" t="s">
        <v>28</v>
      </c>
      <c r="H9921" s="19" t="s">
        <v>28</v>
      </c>
      <c r="I9921" s="18" t="s">
        <v>28</v>
      </c>
      <c r="J9921" s="18" t="s">
        <v>28</v>
      </c>
      <c r="K9921" s="18" t="s">
        <v>28</v>
      </c>
      <c r="L9921" s="18" t="s">
        <v>28</v>
      </c>
      <c r="M9921" s="18" t="s">
        <v>28</v>
      </c>
      <c r="N9921" s="17">
        <v>42067</v>
      </c>
      <c r="O9921" s="15" t="s">
        <v>52</v>
      </c>
      <c r="P9921" s="16" t="s">
        <v>28210</v>
      </c>
      <c r="Q9921" s="15" t="s">
        <v>855</v>
      </c>
      <c r="R9921" s="13" t="str">
        <f>HYPERLINK("https://my.pitchbook.com?c=54348-58T","View Company Online")</f>
        <v>View Company Online</v>
      </c>
    </row>
    <row r="9922" spans="1:18" hidden="1" x14ac:dyDescent="0.3">
      <c r="A9922" s="9" t="s">
        <v>28211</v>
      </c>
      <c r="B9922" s="9" t="s">
        <v>11015</v>
      </c>
      <c r="C9922" s="11" t="s">
        <v>28</v>
      </c>
      <c r="D9922" s="9" t="s">
        <v>11016</v>
      </c>
      <c r="E9922" s="11" t="s">
        <v>28</v>
      </c>
      <c r="F9922" s="10" t="s">
        <v>28</v>
      </c>
      <c r="G9922" s="10" t="s">
        <v>28</v>
      </c>
      <c r="H9922" s="10" t="s">
        <v>28</v>
      </c>
      <c r="I9922" s="11" t="s">
        <v>28</v>
      </c>
      <c r="J9922" s="11" t="s">
        <v>28</v>
      </c>
      <c r="K9922" s="11" t="s">
        <v>28</v>
      </c>
      <c r="L9922" s="11" t="s">
        <v>28</v>
      </c>
      <c r="M9922" s="11" t="s">
        <v>28</v>
      </c>
      <c r="N9922" s="8">
        <v>42067</v>
      </c>
      <c r="O9922" s="9" t="s">
        <v>30</v>
      </c>
      <c r="P9922" s="12" t="s">
        <v>28212</v>
      </c>
      <c r="Q9922" s="9" t="s">
        <v>386</v>
      </c>
      <c r="R9922" s="14" t="str">
        <f>HYPERLINK("https://my.pitchbook.com?c=134674-03T","View Company Online")</f>
        <v>View Company Online</v>
      </c>
    </row>
    <row r="9923" spans="1:18" hidden="1" x14ac:dyDescent="0.3">
      <c r="A9923" s="15" t="s">
        <v>28213</v>
      </c>
      <c r="B9923" s="15" t="s">
        <v>28214</v>
      </c>
      <c r="C9923" s="18" t="s">
        <v>28</v>
      </c>
      <c r="D9923" s="15" t="s">
        <v>7674</v>
      </c>
      <c r="E9923" s="18" t="s">
        <v>28</v>
      </c>
      <c r="F9923" s="19" t="s">
        <v>28</v>
      </c>
      <c r="G9923" s="19">
        <v>3</v>
      </c>
      <c r="H9923" s="19" t="s">
        <v>28</v>
      </c>
      <c r="I9923" s="18" t="s">
        <v>28</v>
      </c>
      <c r="J9923" s="18" t="s">
        <v>28</v>
      </c>
      <c r="K9923" s="18" t="s">
        <v>28</v>
      </c>
      <c r="L9923" s="18" t="s">
        <v>28</v>
      </c>
      <c r="M9923" s="18" t="s">
        <v>28</v>
      </c>
      <c r="N9923" s="17">
        <v>42066</v>
      </c>
      <c r="O9923" s="15" t="s">
        <v>73</v>
      </c>
      <c r="P9923" s="16" t="s">
        <v>28</v>
      </c>
      <c r="Q9923" s="15" t="s">
        <v>95</v>
      </c>
      <c r="R9923" s="13" t="str">
        <f>HYPERLINK("https://my.pitchbook.com?c=46564-84T","View Company Online")</f>
        <v>View Company Online</v>
      </c>
    </row>
    <row r="9924" spans="1:18" hidden="1" x14ac:dyDescent="0.3">
      <c r="A9924" s="9" t="s">
        <v>28215</v>
      </c>
      <c r="B9924" s="9" t="s">
        <v>24080</v>
      </c>
      <c r="C9924" s="11" t="s">
        <v>28</v>
      </c>
      <c r="D9924" s="9" t="s">
        <v>24081</v>
      </c>
      <c r="E9924" s="11" t="s">
        <v>28</v>
      </c>
      <c r="F9924" s="10" t="s">
        <v>28</v>
      </c>
      <c r="G9924" s="10">
        <v>0.11</v>
      </c>
      <c r="H9924" s="10" t="s">
        <v>28</v>
      </c>
      <c r="I9924" s="11" t="s">
        <v>28</v>
      </c>
      <c r="J9924" s="11" t="s">
        <v>28</v>
      </c>
      <c r="K9924" s="11" t="s">
        <v>28</v>
      </c>
      <c r="L9924" s="11" t="s">
        <v>28</v>
      </c>
      <c r="M9924" s="11" t="s">
        <v>28</v>
      </c>
      <c r="N9924" s="8">
        <v>42066</v>
      </c>
      <c r="O9924" s="9" t="s">
        <v>379</v>
      </c>
      <c r="P9924" s="12" t="s">
        <v>28216</v>
      </c>
      <c r="Q9924" s="9" t="s">
        <v>566</v>
      </c>
      <c r="R9924" s="14" t="str">
        <f>HYPERLINK("https://my.pitchbook.com?c=111451-42T","View Company Online")</f>
        <v>View Company Online</v>
      </c>
    </row>
    <row r="9925" spans="1:18" hidden="1" x14ac:dyDescent="0.3">
      <c r="A9925" s="15" t="s">
        <v>28217</v>
      </c>
      <c r="B9925" s="15" t="s">
        <v>28218</v>
      </c>
      <c r="C9925" s="18" t="s">
        <v>28</v>
      </c>
      <c r="D9925" s="15" t="s">
        <v>28219</v>
      </c>
      <c r="E9925" s="18" t="s">
        <v>28</v>
      </c>
      <c r="F9925" s="19" t="s">
        <v>28</v>
      </c>
      <c r="G9925" s="19" t="s">
        <v>28</v>
      </c>
      <c r="H9925" s="19" t="s">
        <v>28</v>
      </c>
      <c r="I9925" s="18" t="s">
        <v>28</v>
      </c>
      <c r="J9925" s="18" t="s">
        <v>28</v>
      </c>
      <c r="K9925" s="18" t="s">
        <v>28</v>
      </c>
      <c r="L9925" s="18" t="s">
        <v>28</v>
      </c>
      <c r="M9925" s="18" t="s">
        <v>28</v>
      </c>
      <c r="N9925" s="17">
        <v>42065</v>
      </c>
      <c r="O9925" s="15" t="s">
        <v>30</v>
      </c>
      <c r="P9925" s="16" t="s">
        <v>28220</v>
      </c>
      <c r="Q9925" s="15" t="s">
        <v>1643</v>
      </c>
      <c r="R9925" s="13" t="str">
        <f>HYPERLINK("https://my.pitchbook.com?c=58518-10T","View Company Online")</f>
        <v>View Company Online</v>
      </c>
    </row>
    <row r="9926" spans="1:18" hidden="1" x14ac:dyDescent="0.3">
      <c r="A9926" s="9" t="s">
        <v>28221</v>
      </c>
      <c r="B9926" s="9" t="s">
        <v>28222</v>
      </c>
      <c r="C9926" s="11" t="s">
        <v>28</v>
      </c>
      <c r="D9926" s="9" t="s">
        <v>28223</v>
      </c>
      <c r="E9926" s="11" t="s">
        <v>28</v>
      </c>
      <c r="F9926" s="10" t="s">
        <v>28</v>
      </c>
      <c r="G9926" s="10" t="s">
        <v>28</v>
      </c>
      <c r="H9926" s="10" t="s">
        <v>28</v>
      </c>
      <c r="I9926" s="11" t="s">
        <v>28</v>
      </c>
      <c r="J9926" s="11" t="s">
        <v>28</v>
      </c>
      <c r="K9926" s="11" t="s">
        <v>28</v>
      </c>
      <c r="L9926" s="11" t="s">
        <v>28</v>
      </c>
      <c r="M9926" s="11" t="s">
        <v>28</v>
      </c>
      <c r="N9926" s="8">
        <v>42064</v>
      </c>
      <c r="O9926" s="9" t="s">
        <v>30</v>
      </c>
      <c r="P9926" s="12" t="s">
        <v>12054</v>
      </c>
      <c r="Q9926" s="9" t="s">
        <v>43</v>
      </c>
      <c r="R9926" s="14" t="str">
        <f>HYPERLINK("https://my.pitchbook.com?c=204558-31T","View Company Online")</f>
        <v>View Company Online</v>
      </c>
    </row>
    <row r="9927" spans="1:18" hidden="1" x14ac:dyDescent="0.3">
      <c r="A9927" s="15" t="s">
        <v>28224</v>
      </c>
      <c r="B9927" s="15" t="s">
        <v>9155</v>
      </c>
      <c r="C9927" s="18" t="s">
        <v>28</v>
      </c>
      <c r="D9927" s="15" t="s">
        <v>9156</v>
      </c>
      <c r="E9927" s="18" t="s">
        <v>28</v>
      </c>
      <c r="F9927" s="19" t="s">
        <v>28</v>
      </c>
      <c r="G9927" s="19" t="s">
        <v>28</v>
      </c>
      <c r="H9927" s="19" t="s">
        <v>28</v>
      </c>
      <c r="I9927" s="18" t="s">
        <v>28</v>
      </c>
      <c r="J9927" s="18" t="s">
        <v>28</v>
      </c>
      <c r="K9927" s="18" t="s">
        <v>28</v>
      </c>
      <c r="L9927" s="18" t="s">
        <v>28</v>
      </c>
      <c r="M9927" s="18" t="s">
        <v>28</v>
      </c>
      <c r="N9927" s="17">
        <v>42064</v>
      </c>
      <c r="O9927" s="15" t="s">
        <v>79</v>
      </c>
      <c r="P9927" s="16" t="s">
        <v>28225</v>
      </c>
      <c r="Q9927" s="15" t="s">
        <v>75</v>
      </c>
      <c r="R9927" s="13" t="str">
        <f>HYPERLINK("https://my.pitchbook.com?c=57445-30T","View Company Online")</f>
        <v>View Company Online</v>
      </c>
    </row>
    <row r="9928" spans="1:18" hidden="1" x14ac:dyDescent="0.3">
      <c r="A9928" s="9" t="s">
        <v>28226</v>
      </c>
      <c r="B9928" s="9" t="s">
        <v>5553</v>
      </c>
      <c r="C9928" s="11" t="s">
        <v>28</v>
      </c>
      <c r="D9928" s="9" t="s">
        <v>5554</v>
      </c>
      <c r="E9928" s="11">
        <v>-7.86</v>
      </c>
      <c r="F9928" s="10" t="s">
        <v>28</v>
      </c>
      <c r="G9928" s="10" t="s">
        <v>28</v>
      </c>
      <c r="H9928" s="10" t="s">
        <v>28</v>
      </c>
      <c r="I9928" s="11">
        <v>-7.24</v>
      </c>
      <c r="J9928" s="11" t="s">
        <v>28</v>
      </c>
      <c r="K9928" s="11">
        <v>32.03</v>
      </c>
      <c r="L9928" s="11" t="s">
        <v>28</v>
      </c>
      <c r="M9928" s="11">
        <v>-6.92</v>
      </c>
      <c r="N9928" s="8">
        <v>42064</v>
      </c>
      <c r="O9928" s="9" t="s">
        <v>93</v>
      </c>
      <c r="P9928" s="12" t="s">
        <v>28227</v>
      </c>
      <c r="Q9928" s="9" t="s">
        <v>5347</v>
      </c>
      <c r="R9928" s="14" t="str">
        <f>HYPERLINK("https://my.pitchbook.com?c=96401-08T","View Company Online")</f>
        <v>View Company Online</v>
      </c>
    </row>
    <row r="9929" spans="1:18" hidden="1" x14ac:dyDescent="0.3">
      <c r="A9929" s="15" t="s">
        <v>28228</v>
      </c>
      <c r="B9929" s="15" t="s">
        <v>20946</v>
      </c>
      <c r="C9929" s="18" t="s">
        <v>28</v>
      </c>
      <c r="D9929" s="15" t="s">
        <v>20947</v>
      </c>
      <c r="E9929" s="18" t="s">
        <v>28</v>
      </c>
      <c r="F9929" s="19" t="s">
        <v>28</v>
      </c>
      <c r="G9929" s="19">
        <v>0.03</v>
      </c>
      <c r="H9929" s="19">
        <v>0.51</v>
      </c>
      <c r="I9929" s="18" t="s">
        <v>28</v>
      </c>
      <c r="J9929" s="18" t="s">
        <v>28</v>
      </c>
      <c r="K9929" s="18" t="s">
        <v>28</v>
      </c>
      <c r="L9929" s="18" t="s">
        <v>28</v>
      </c>
      <c r="M9929" s="18" t="s">
        <v>28</v>
      </c>
      <c r="N9929" s="17">
        <v>42064</v>
      </c>
      <c r="O9929" s="15" t="s">
        <v>52</v>
      </c>
      <c r="P9929" s="16" t="s">
        <v>28229</v>
      </c>
      <c r="Q9929" s="15" t="s">
        <v>75</v>
      </c>
      <c r="R9929" s="13" t="str">
        <f>HYPERLINK("https://my.pitchbook.com?c=75274-03T","View Company Online")</f>
        <v>View Company Online</v>
      </c>
    </row>
    <row r="9930" spans="1:18" hidden="1" x14ac:dyDescent="0.3">
      <c r="A9930" s="9" t="s">
        <v>28230</v>
      </c>
      <c r="B9930" s="9" t="s">
        <v>28231</v>
      </c>
      <c r="C9930" s="11" t="s">
        <v>28</v>
      </c>
      <c r="D9930" s="9" t="s">
        <v>28232</v>
      </c>
      <c r="E9930" s="11" t="s">
        <v>28</v>
      </c>
      <c r="F9930" s="10" t="s">
        <v>28</v>
      </c>
      <c r="G9930" s="10" t="s">
        <v>28</v>
      </c>
      <c r="H9930" s="10" t="s">
        <v>28</v>
      </c>
      <c r="I9930" s="11" t="s">
        <v>28</v>
      </c>
      <c r="J9930" s="11" t="s">
        <v>28</v>
      </c>
      <c r="K9930" s="11" t="s">
        <v>28</v>
      </c>
      <c r="L9930" s="11" t="s">
        <v>28</v>
      </c>
      <c r="M9930" s="11" t="s">
        <v>28</v>
      </c>
      <c r="N9930" s="8">
        <v>42064</v>
      </c>
      <c r="O9930" s="9" t="s">
        <v>41</v>
      </c>
      <c r="P9930" s="12" t="s">
        <v>28233</v>
      </c>
      <c r="Q9930" s="9" t="s">
        <v>692</v>
      </c>
      <c r="R9930" s="14" t="str">
        <f>HYPERLINK("https://my.pitchbook.com?c=108945-91T","View Company Online")</f>
        <v>View Company Online</v>
      </c>
    </row>
    <row r="9931" spans="1:18" hidden="1" x14ac:dyDescent="0.3">
      <c r="A9931" s="15" t="s">
        <v>28234</v>
      </c>
      <c r="B9931" s="15" t="s">
        <v>15209</v>
      </c>
      <c r="C9931" s="18" t="s">
        <v>28</v>
      </c>
      <c r="D9931" s="15" t="s">
        <v>15210</v>
      </c>
      <c r="E9931" s="18" t="s">
        <v>28</v>
      </c>
      <c r="F9931" s="19" t="s">
        <v>28</v>
      </c>
      <c r="G9931" s="19">
        <v>0.8</v>
      </c>
      <c r="H9931" s="19" t="s">
        <v>28</v>
      </c>
      <c r="I9931" s="18" t="s">
        <v>28</v>
      </c>
      <c r="J9931" s="18" t="s">
        <v>28</v>
      </c>
      <c r="K9931" s="18" t="s">
        <v>28</v>
      </c>
      <c r="L9931" s="18" t="s">
        <v>28</v>
      </c>
      <c r="M9931" s="18" t="s">
        <v>28</v>
      </c>
      <c r="N9931" s="17">
        <v>42064</v>
      </c>
      <c r="O9931" s="15" t="s">
        <v>99</v>
      </c>
      <c r="P9931" s="16" t="s">
        <v>28</v>
      </c>
      <c r="Q9931" s="15" t="s">
        <v>37</v>
      </c>
      <c r="R9931" s="13" t="str">
        <f>HYPERLINK("https://my.pitchbook.com?c=83337-49T","View Company Online")</f>
        <v>View Company Online</v>
      </c>
    </row>
    <row r="9932" spans="1:18" hidden="1" x14ac:dyDescent="0.3">
      <c r="A9932" s="9" t="s">
        <v>28235</v>
      </c>
      <c r="B9932" s="9" t="s">
        <v>28236</v>
      </c>
      <c r="C9932" s="11" t="s">
        <v>28</v>
      </c>
      <c r="D9932" s="9" t="s">
        <v>28237</v>
      </c>
      <c r="E9932" s="11" t="s">
        <v>28</v>
      </c>
      <c r="F9932" s="10">
        <v>1340.03</v>
      </c>
      <c r="G9932" s="10">
        <v>737.01</v>
      </c>
      <c r="H9932" s="10">
        <v>1340.03</v>
      </c>
      <c r="I9932" s="11" t="s">
        <v>28</v>
      </c>
      <c r="J9932" s="11" t="s">
        <v>28</v>
      </c>
      <c r="K9932" s="11" t="s">
        <v>28</v>
      </c>
      <c r="L9932" s="11" t="s">
        <v>28</v>
      </c>
      <c r="M9932" s="11" t="s">
        <v>28</v>
      </c>
      <c r="N9932" s="8">
        <v>42062</v>
      </c>
      <c r="O9932" s="9" t="s">
        <v>30</v>
      </c>
      <c r="P9932" s="12" t="s">
        <v>63</v>
      </c>
      <c r="Q9932" s="9" t="s">
        <v>226</v>
      </c>
      <c r="R9932" s="14" t="str">
        <f>HYPERLINK("https://my.pitchbook.com?c=78721-57T","View Company Online")</f>
        <v>View Company Online</v>
      </c>
    </row>
    <row r="9933" spans="1:18" hidden="1" x14ac:dyDescent="0.3">
      <c r="A9933" s="15" t="s">
        <v>28238</v>
      </c>
      <c r="B9933" s="15" t="s">
        <v>28239</v>
      </c>
      <c r="C9933" s="18" t="s">
        <v>28</v>
      </c>
      <c r="D9933" s="15" t="s">
        <v>28240</v>
      </c>
      <c r="E9933" s="18" t="s">
        <v>28</v>
      </c>
      <c r="F9933" s="19">
        <v>1.82</v>
      </c>
      <c r="G9933" s="19">
        <v>0.91</v>
      </c>
      <c r="H9933" s="19">
        <v>1.82</v>
      </c>
      <c r="I9933" s="18" t="s">
        <v>28</v>
      </c>
      <c r="J9933" s="18" t="s">
        <v>28</v>
      </c>
      <c r="K9933" s="18" t="s">
        <v>28</v>
      </c>
      <c r="L9933" s="18" t="s">
        <v>28</v>
      </c>
      <c r="M9933" s="18" t="s">
        <v>28</v>
      </c>
      <c r="N9933" s="17">
        <v>42062</v>
      </c>
      <c r="O9933" s="15" t="s">
        <v>30</v>
      </c>
      <c r="P9933" s="16" t="s">
        <v>27288</v>
      </c>
      <c r="Q9933" s="15" t="s">
        <v>353</v>
      </c>
      <c r="R9933" s="13" t="str">
        <f>HYPERLINK("https://my.pitchbook.com?c=44331-13T","View Company Online")</f>
        <v>View Company Online</v>
      </c>
    </row>
    <row r="9934" spans="1:18" hidden="1" x14ac:dyDescent="0.3">
      <c r="A9934" s="9" t="s">
        <v>28241</v>
      </c>
      <c r="B9934" s="9" t="s">
        <v>28242</v>
      </c>
      <c r="C9934" s="11" t="s">
        <v>28</v>
      </c>
      <c r="D9934" s="9" t="s">
        <v>28243</v>
      </c>
      <c r="E9934" s="11" t="s">
        <v>28</v>
      </c>
      <c r="F9934" s="10" t="s">
        <v>28</v>
      </c>
      <c r="G9934" s="10" t="s">
        <v>28</v>
      </c>
      <c r="H9934" s="10" t="s">
        <v>28</v>
      </c>
      <c r="I9934" s="11" t="s">
        <v>28</v>
      </c>
      <c r="J9934" s="11" t="s">
        <v>28</v>
      </c>
      <c r="K9934" s="11" t="s">
        <v>28</v>
      </c>
      <c r="L9934" s="11" t="s">
        <v>28</v>
      </c>
      <c r="M9934" s="11" t="s">
        <v>28</v>
      </c>
      <c r="N9934" s="8">
        <v>42060</v>
      </c>
      <c r="O9934" s="9" t="s">
        <v>30</v>
      </c>
      <c r="P9934" s="12" t="s">
        <v>28244</v>
      </c>
      <c r="Q9934" s="9" t="s">
        <v>855</v>
      </c>
      <c r="R9934" s="14" t="str">
        <f>HYPERLINK("https://my.pitchbook.com?c=59900-59T","View Company Online")</f>
        <v>View Company Online</v>
      </c>
    </row>
    <row r="9935" spans="1:18" hidden="1" x14ac:dyDescent="0.3">
      <c r="A9935" s="15" t="s">
        <v>28245</v>
      </c>
      <c r="B9935" s="15" t="s">
        <v>28246</v>
      </c>
      <c r="C9935" s="18" t="s">
        <v>28</v>
      </c>
      <c r="D9935" s="15" t="s">
        <v>28247</v>
      </c>
      <c r="E9935" s="18">
        <v>0</v>
      </c>
      <c r="F9935" s="19" t="s">
        <v>28</v>
      </c>
      <c r="G9935" s="19" t="s">
        <v>28</v>
      </c>
      <c r="H9935" s="19" t="s">
        <v>28</v>
      </c>
      <c r="I9935" s="18">
        <v>0</v>
      </c>
      <c r="J9935" s="18" t="s">
        <v>28</v>
      </c>
      <c r="K9935" s="18">
        <v>0</v>
      </c>
      <c r="L9935" s="18" t="s">
        <v>28</v>
      </c>
      <c r="M9935" s="18">
        <v>0</v>
      </c>
      <c r="N9935" s="17">
        <v>42060</v>
      </c>
      <c r="O9935" s="15" t="s">
        <v>173</v>
      </c>
      <c r="P9935" s="16" t="s">
        <v>28</v>
      </c>
      <c r="Q9935" s="15" t="s">
        <v>5347</v>
      </c>
      <c r="R9935" s="13" t="str">
        <f>HYPERLINK("https://my.pitchbook.com?c=78049-27T","View Company Online")</f>
        <v>View Company Online</v>
      </c>
    </row>
    <row r="9936" spans="1:18" hidden="1" x14ac:dyDescent="0.3">
      <c r="A9936" s="9" t="s">
        <v>28248</v>
      </c>
      <c r="B9936" s="9" t="s">
        <v>28249</v>
      </c>
      <c r="C9936" s="11" t="s">
        <v>28</v>
      </c>
      <c r="D9936" s="9" t="s">
        <v>28250</v>
      </c>
      <c r="E9936" s="11" t="s">
        <v>28</v>
      </c>
      <c r="F9936" s="10" t="s">
        <v>28</v>
      </c>
      <c r="G9936" s="10" t="s">
        <v>28</v>
      </c>
      <c r="H9936" s="10" t="s">
        <v>28</v>
      </c>
      <c r="I9936" s="11" t="s">
        <v>28</v>
      </c>
      <c r="J9936" s="11" t="s">
        <v>28</v>
      </c>
      <c r="K9936" s="11" t="s">
        <v>28</v>
      </c>
      <c r="L9936" s="11" t="s">
        <v>28</v>
      </c>
      <c r="M9936" s="11" t="s">
        <v>28</v>
      </c>
      <c r="N9936" s="8">
        <v>42059</v>
      </c>
      <c r="O9936" s="9" t="s">
        <v>30</v>
      </c>
      <c r="P9936" s="12" t="s">
        <v>28251</v>
      </c>
      <c r="Q9936" s="9" t="s">
        <v>75</v>
      </c>
      <c r="R9936" s="14" t="str">
        <f>HYPERLINK("https://my.pitchbook.com?c=70232-95T","View Company Online")</f>
        <v>View Company Online</v>
      </c>
    </row>
    <row r="9937" spans="1:18" hidden="1" x14ac:dyDescent="0.3">
      <c r="A9937" s="15" t="s">
        <v>28252</v>
      </c>
      <c r="B9937" s="15" t="s">
        <v>28253</v>
      </c>
      <c r="C9937" s="18" t="s">
        <v>28</v>
      </c>
      <c r="D9937" s="15" t="s">
        <v>28254</v>
      </c>
      <c r="E9937" s="18" t="s">
        <v>28</v>
      </c>
      <c r="F9937" s="19" t="s">
        <v>28</v>
      </c>
      <c r="G9937" s="19" t="s">
        <v>28</v>
      </c>
      <c r="H9937" s="19" t="s">
        <v>28</v>
      </c>
      <c r="I9937" s="18" t="s">
        <v>28</v>
      </c>
      <c r="J9937" s="18" t="s">
        <v>28</v>
      </c>
      <c r="K9937" s="18" t="s">
        <v>28</v>
      </c>
      <c r="L9937" s="18" t="s">
        <v>28</v>
      </c>
      <c r="M9937" s="18" t="s">
        <v>28</v>
      </c>
      <c r="N9937" s="17">
        <v>42059</v>
      </c>
      <c r="O9937" s="15" t="s">
        <v>52</v>
      </c>
      <c r="P9937" s="16" t="s">
        <v>28255</v>
      </c>
      <c r="Q9937" s="15" t="s">
        <v>249</v>
      </c>
      <c r="R9937" s="13" t="str">
        <f>HYPERLINK("https://my.pitchbook.com?c=146288-62T","View Company Online")</f>
        <v>View Company Online</v>
      </c>
    </row>
    <row r="9938" spans="1:18" hidden="1" x14ac:dyDescent="0.3">
      <c r="A9938" s="9" t="s">
        <v>28256</v>
      </c>
      <c r="B9938" s="9" t="s">
        <v>22752</v>
      </c>
      <c r="C9938" s="11" t="s">
        <v>28</v>
      </c>
      <c r="D9938" s="9" t="s">
        <v>23133</v>
      </c>
      <c r="E9938" s="11" t="s">
        <v>28</v>
      </c>
      <c r="F9938" s="10" t="s">
        <v>28</v>
      </c>
      <c r="G9938" s="10">
        <v>9.3000000000000007</v>
      </c>
      <c r="H9938" s="10" t="s">
        <v>28</v>
      </c>
      <c r="I9938" s="11" t="s">
        <v>28</v>
      </c>
      <c r="J9938" s="11" t="s">
        <v>28</v>
      </c>
      <c r="K9938" s="11" t="s">
        <v>28</v>
      </c>
      <c r="L9938" s="11" t="s">
        <v>28</v>
      </c>
      <c r="M9938" s="11" t="s">
        <v>28</v>
      </c>
      <c r="N9938" s="8">
        <v>42055</v>
      </c>
      <c r="O9938" s="9" t="s">
        <v>79</v>
      </c>
      <c r="P9938" s="12" t="s">
        <v>28257</v>
      </c>
      <c r="Q9938" s="9" t="s">
        <v>75</v>
      </c>
      <c r="R9938" s="14" t="str">
        <f>HYPERLINK("https://my.pitchbook.com?c=45653-32T","View Company Online")</f>
        <v>View Company Online</v>
      </c>
    </row>
    <row r="9939" spans="1:18" hidden="1" x14ac:dyDescent="0.3">
      <c r="A9939" s="15" t="s">
        <v>28258</v>
      </c>
      <c r="B9939" s="15" t="s">
        <v>28259</v>
      </c>
      <c r="C9939" s="18" t="s">
        <v>28</v>
      </c>
      <c r="D9939" s="15" t="s">
        <v>28260</v>
      </c>
      <c r="E9939" s="18" t="s">
        <v>28</v>
      </c>
      <c r="F9939" s="19" t="s">
        <v>28</v>
      </c>
      <c r="G9939" s="19">
        <v>0.04</v>
      </c>
      <c r="H9939" s="19">
        <v>0.67</v>
      </c>
      <c r="I9939" s="18" t="s">
        <v>28</v>
      </c>
      <c r="J9939" s="18" t="s">
        <v>28</v>
      </c>
      <c r="K9939" s="18" t="s">
        <v>28</v>
      </c>
      <c r="L9939" s="18" t="s">
        <v>28</v>
      </c>
      <c r="M9939" s="18" t="s">
        <v>28</v>
      </c>
      <c r="N9939" s="17">
        <v>42052</v>
      </c>
      <c r="O9939" s="15" t="s">
        <v>52</v>
      </c>
      <c r="P9939" s="16" t="s">
        <v>28261</v>
      </c>
      <c r="Q9939" s="15" t="s">
        <v>75</v>
      </c>
      <c r="R9939" s="13" t="str">
        <f>HYPERLINK("https://my.pitchbook.com?c=93227-41T","View Company Online")</f>
        <v>View Company Online</v>
      </c>
    </row>
    <row r="9940" spans="1:18" hidden="1" x14ac:dyDescent="0.3">
      <c r="A9940" s="9" t="s">
        <v>28262</v>
      </c>
      <c r="B9940" s="9" t="s">
        <v>28263</v>
      </c>
      <c r="C9940" s="11" t="s">
        <v>28</v>
      </c>
      <c r="D9940" s="9" t="s">
        <v>28264</v>
      </c>
      <c r="E9940" s="11" t="s">
        <v>28</v>
      </c>
      <c r="F9940" s="10" t="s">
        <v>28</v>
      </c>
      <c r="G9940" s="10">
        <v>5.58</v>
      </c>
      <c r="H9940" s="10" t="s">
        <v>28</v>
      </c>
      <c r="I9940" s="11" t="s">
        <v>28</v>
      </c>
      <c r="J9940" s="11" t="s">
        <v>28</v>
      </c>
      <c r="K9940" s="11" t="s">
        <v>28</v>
      </c>
      <c r="L9940" s="11" t="s">
        <v>28</v>
      </c>
      <c r="M9940" s="11" t="s">
        <v>28</v>
      </c>
      <c r="N9940" s="8">
        <v>42050</v>
      </c>
      <c r="O9940" s="9" t="s">
        <v>79</v>
      </c>
      <c r="P9940" s="12" t="s">
        <v>28265</v>
      </c>
      <c r="Q9940" s="9" t="s">
        <v>280</v>
      </c>
      <c r="R9940" s="14" t="str">
        <f>HYPERLINK("https://my.pitchbook.com?c=70127-74T","View Company Online")</f>
        <v>View Company Online</v>
      </c>
    </row>
    <row r="9941" spans="1:18" hidden="1" x14ac:dyDescent="0.3">
      <c r="A9941" s="15" t="s">
        <v>28266</v>
      </c>
      <c r="B9941" s="15" t="s">
        <v>14153</v>
      </c>
      <c r="C9941" s="18" t="s">
        <v>28</v>
      </c>
      <c r="D9941" s="15" t="s">
        <v>14154</v>
      </c>
      <c r="E9941" s="18" t="s">
        <v>28</v>
      </c>
      <c r="F9941" s="19" t="s">
        <v>28</v>
      </c>
      <c r="G9941" s="19" t="s">
        <v>28</v>
      </c>
      <c r="H9941" s="19" t="s">
        <v>28</v>
      </c>
      <c r="I9941" s="18" t="s">
        <v>28</v>
      </c>
      <c r="J9941" s="18" t="s">
        <v>28</v>
      </c>
      <c r="K9941" s="18">
        <v>75</v>
      </c>
      <c r="L9941" s="18" t="s">
        <v>28</v>
      </c>
      <c r="M9941" s="18" t="s">
        <v>28</v>
      </c>
      <c r="N9941" s="17">
        <v>42048</v>
      </c>
      <c r="O9941" s="15" t="s">
        <v>173</v>
      </c>
      <c r="P9941" s="16" t="s">
        <v>28</v>
      </c>
      <c r="Q9941" s="15" t="s">
        <v>692</v>
      </c>
      <c r="R9941" s="13" t="str">
        <f>HYPERLINK("https://my.pitchbook.com?c=51904-90T","View Company Online")</f>
        <v>View Company Online</v>
      </c>
    </row>
    <row r="9942" spans="1:18" hidden="1" x14ac:dyDescent="0.3">
      <c r="A9942" s="9" t="s">
        <v>28267</v>
      </c>
      <c r="B9942" s="9" t="s">
        <v>5559</v>
      </c>
      <c r="C9942" s="11" t="s">
        <v>28</v>
      </c>
      <c r="D9942" s="9" t="s">
        <v>5560</v>
      </c>
      <c r="E9942" s="11" t="s">
        <v>28</v>
      </c>
      <c r="F9942" s="10" t="s">
        <v>28</v>
      </c>
      <c r="G9942" s="10" t="s">
        <v>28</v>
      </c>
      <c r="H9942" s="10" t="s">
        <v>28</v>
      </c>
      <c r="I9942" s="11" t="s">
        <v>28</v>
      </c>
      <c r="J9942" s="11" t="s">
        <v>28</v>
      </c>
      <c r="K9942" s="11" t="s">
        <v>28</v>
      </c>
      <c r="L9942" s="11" t="s">
        <v>28</v>
      </c>
      <c r="M9942" s="11" t="s">
        <v>28</v>
      </c>
      <c r="N9942" s="8">
        <v>42047</v>
      </c>
      <c r="O9942" s="9" t="s">
        <v>93</v>
      </c>
      <c r="P9942" s="12" t="s">
        <v>28268</v>
      </c>
      <c r="Q9942" s="9" t="s">
        <v>692</v>
      </c>
      <c r="R9942" s="14" t="str">
        <f>HYPERLINK("https://my.pitchbook.com?c=76681-72T","View Company Online")</f>
        <v>View Company Online</v>
      </c>
    </row>
    <row r="9943" spans="1:18" hidden="1" x14ac:dyDescent="0.3">
      <c r="A9943" s="15" t="s">
        <v>28269</v>
      </c>
      <c r="B9943" s="15" t="s">
        <v>24169</v>
      </c>
      <c r="C9943" s="18" t="s">
        <v>28</v>
      </c>
      <c r="D9943" s="15" t="s">
        <v>24170</v>
      </c>
      <c r="E9943" s="18" t="s">
        <v>28</v>
      </c>
      <c r="F9943" s="19" t="s">
        <v>28</v>
      </c>
      <c r="G9943" s="19" t="s">
        <v>28</v>
      </c>
      <c r="H9943" s="19" t="s">
        <v>28</v>
      </c>
      <c r="I9943" s="18" t="s">
        <v>28</v>
      </c>
      <c r="J9943" s="18" t="s">
        <v>28</v>
      </c>
      <c r="K9943" s="18" t="s">
        <v>28</v>
      </c>
      <c r="L9943" s="18" t="s">
        <v>28</v>
      </c>
      <c r="M9943" s="18" t="s">
        <v>28</v>
      </c>
      <c r="N9943" s="17">
        <v>42046</v>
      </c>
      <c r="O9943" s="15" t="s">
        <v>41</v>
      </c>
      <c r="P9943" s="16" t="s">
        <v>24171</v>
      </c>
      <c r="Q9943" s="15" t="s">
        <v>136</v>
      </c>
      <c r="R9943" s="13" t="str">
        <f>HYPERLINK("https://my.pitchbook.com?c=53350-03T","View Company Online")</f>
        <v>View Company Online</v>
      </c>
    </row>
    <row r="9944" spans="1:18" hidden="1" x14ac:dyDescent="0.3">
      <c r="A9944" s="9" t="s">
        <v>28270</v>
      </c>
      <c r="B9944" s="9" t="s">
        <v>28271</v>
      </c>
      <c r="C9944" s="11" t="s">
        <v>28</v>
      </c>
      <c r="D9944" s="9" t="s">
        <v>28272</v>
      </c>
      <c r="E9944" s="11" t="s">
        <v>28</v>
      </c>
      <c r="F9944" s="10" t="s">
        <v>28</v>
      </c>
      <c r="G9944" s="10">
        <v>0.01</v>
      </c>
      <c r="H9944" s="10">
        <v>0.23</v>
      </c>
      <c r="I9944" s="11" t="s">
        <v>28</v>
      </c>
      <c r="J9944" s="11" t="s">
        <v>28</v>
      </c>
      <c r="K9944" s="11" t="s">
        <v>28</v>
      </c>
      <c r="L9944" s="11" t="s">
        <v>28</v>
      </c>
      <c r="M9944" s="11" t="s">
        <v>28</v>
      </c>
      <c r="N9944" s="8">
        <v>42046</v>
      </c>
      <c r="O9944" s="9" t="s">
        <v>52</v>
      </c>
      <c r="P9944" s="12" t="s">
        <v>11539</v>
      </c>
      <c r="Q9944" s="9" t="s">
        <v>245</v>
      </c>
      <c r="R9944" s="14" t="str">
        <f>HYPERLINK("https://my.pitchbook.com?c=66475-99T","View Company Online")</f>
        <v>View Company Online</v>
      </c>
    </row>
    <row r="9945" spans="1:18" hidden="1" x14ac:dyDescent="0.3">
      <c r="A9945" s="15" t="s">
        <v>28273</v>
      </c>
      <c r="B9945" s="15" t="s">
        <v>28274</v>
      </c>
      <c r="C9945" s="18" t="s">
        <v>28</v>
      </c>
      <c r="D9945" s="15" t="s">
        <v>28275</v>
      </c>
      <c r="E9945" s="18" t="s">
        <v>28</v>
      </c>
      <c r="F9945" s="19">
        <v>9.65</v>
      </c>
      <c r="G9945" s="19">
        <v>5.79</v>
      </c>
      <c r="H9945" s="19">
        <v>9.65</v>
      </c>
      <c r="I9945" s="18" t="s">
        <v>28</v>
      </c>
      <c r="J9945" s="18" t="s">
        <v>28</v>
      </c>
      <c r="K9945" s="18">
        <v>3.86</v>
      </c>
      <c r="L9945" s="18">
        <v>2.5</v>
      </c>
      <c r="M9945" s="18" t="s">
        <v>28</v>
      </c>
      <c r="N9945" s="17">
        <v>42046</v>
      </c>
      <c r="O9945" s="15" t="s">
        <v>30</v>
      </c>
      <c r="P9945" s="16" t="s">
        <v>4262</v>
      </c>
      <c r="Q9945" s="15" t="s">
        <v>75</v>
      </c>
      <c r="R9945" s="13" t="str">
        <f>HYPERLINK("https://my.pitchbook.com?c=73650-61T","View Company Online")</f>
        <v>View Company Online</v>
      </c>
    </row>
    <row r="9946" spans="1:18" hidden="1" x14ac:dyDescent="0.3">
      <c r="A9946" s="9" t="s">
        <v>28276</v>
      </c>
      <c r="B9946" s="9" t="s">
        <v>15824</v>
      </c>
      <c r="C9946" s="11" t="s">
        <v>28</v>
      </c>
      <c r="D9946" s="9" t="s">
        <v>15825</v>
      </c>
      <c r="E9946" s="11" t="s">
        <v>28</v>
      </c>
      <c r="F9946" s="10" t="s">
        <v>28</v>
      </c>
      <c r="G9946" s="10">
        <v>0.02</v>
      </c>
      <c r="H9946" s="10" t="s">
        <v>28</v>
      </c>
      <c r="I9946" s="11" t="s">
        <v>28</v>
      </c>
      <c r="J9946" s="11" t="s">
        <v>28</v>
      </c>
      <c r="K9946" s="11">
        <v>75</v>
      </c>
      <c r="L9946" s="11" t="s">
        <v>28</v>
      </c>
      <c r="M9946" s="11" t="s">
        <v>28</v>
      </c>
      <c r="N9946" s="8">
        <v>42045</v>
      </c>
      <c r="O9946" s="9" t="s">
        <v>52</v>
      </c>
      <c r="P9946" s="12" t="s">
        <v>11539</v>
      </c>
      <c r="Q9946" s="9" t="s">
        <v>75</v>
      </c>
      <c r="R9946" s="14" t="str">
        <f>HYPERLINK("https://my.pitchbook.com?c=65793-88T","View Company Online")</f>
        <v>View Company Online</v>
      </c>
    </row>
    <row r="9947" spans="1:18" hidden="1" x14ac:dyDescent="0.3">
      <c r="A9947" s="15" t="s">
        <v>28277</v>
      </c>
      <c r="B9947" s="15" t="s">
        <v>9937</v>
      </c>
      <c r="C9947" s="18" t="s">
        <v>28</v>
      </c>
      <c r="D9947" s="15" t="s">
        <v>9938</v>
      </c>
      <c r="E9947" s="18" t="s">
        <v>28</v>
      </c>
      <c r="F9947" s="19" t="s">
        <v>28</v>
      </c>
      <c r="G9947" s="19">
        <v>1.69</v>
      </c>
      <c r="H9947" s="19" t="s">
        <v>28</v>
      </c>
      <c r="I9947" s="18" t="s">
        <v>28</v>
      </c>
      <c r="J9947" s="18" t="s">
        <v>28</v>
      </c>
      <c r="K9947" s="18" t="s">
        <v>28</v>
      </c>
      <c r="L9947" s="18" t="s">
        <v>28</v>
      </c>
      <c r="M9947" s="18" t="s">
        <v>28</v>
      </c>
      <c r="N9947" s="17">
        <v>42045</v>
      </c>
      <c r="O9947" s="15" t="s">
        <v>73</v>
      </c>
      <c r="P9947" s="16" t="s">
        <v>28278</v>
      </c>
      <c r="Q9947" s="15" t="s">
        <v>855</v>
      </c>
      <c r="R9947" s="13" t="str">
        <f>HYPERLINK("https://my.pitchbook.com?c=72657-55T","View Company Online")</f>
        <v>View Company Online</v>
      </c>
    </row>
    <row r="9948" spans="1:18" hidden="1" x14ac:dyDescent="0.3">
      <c r="A9948" s="9" t="s">
        <v>28279</v>
      </c>
      <c r="B9948" s="9" t="s">
        <v>26332</v>
      </c>
      <c r="C9948" s="11" t="s">
        <v>28</v>
      </c>
      <c r="D9948" s="9" t="s">
        <v>26333</v>
      </c>
      <c r="E9948" s="11" t="s">
        <v>28</v>
      </c>
      <c r="F9948" s="10" t="s">
        <v>28</v>
      </c>
      <c r="G9948" s="10" t="s">
        <v>28</v>
      </c>
      <c r="H9948" s="10" t="s">
        <v>28</v>
      </c>
      <c r="I9948" s="11" t="s">
        <v>28</v>
      </c>
      <c r="J9948" s="11" t="s">
        <v>28</v>
      </c>
      <c r="K9948" s="11" t="s">
        <v>28</v>
      </c>
      <c r="L9948" s="11" t="s">
        <v>28</v>
      </c>
      <c r="M9948" s="11" t="s">
        <v>28</v>
      </c>
      <c r="N9948" s="8">
        <v>42043</v>
      </c>
      <c r="O9948" s="9" t="s">
        <v>52</v>
      </c>
      <c r="P9948" s="12" t="s">
        <v>11539</v>
      </c>
      <c r="Q9948" s="9" t="s">
        <v>75</v>
      </c>
      <c r="R9948" s="14" t="str">
        <f>HYPERLINK("https://my.pitchbook.com?c=156047-50T","View Company Online")</f>
        <v>View Company Online</v>
      </c>
    </row>
    <row r="9949" spans="1:18" hidden="1" x14ac:dyDescent="0.3">
      <c r="A9949" s="15" t="s">
        <v>28280</v>
      </c>
      <c r="B9949" s="15" t="s">
        <v>23531</v>
      </c>
      <c r="C9949" s="18" t="s">
        <v>28</v>
      </c>
      <c r="D9949" s="15" t="s">
        <v>23532</v>
      </c>
      <c r="E9949" s="18" t="s">
        <v>28</v>
      </c>
      <c r="F9949" s="19" t="s">
        <v>28</v>
      </c>
      <c r="G9949" s="19">
        <v>15</v>
      </c>
      <c r="H9949" s="19" t="s">
        <v>28</v>
      </c>
      <c r="I9949" s="18" t="s">
        <v>28</v>
      </c>
      <c r="J9949" s="18" t="s">
        <v>28</v>
      </c>
      <c r="K9949" s="18" t="s">
        <v>28</v>
      </c>
      <c r="L9949" s="18" t="s">
        <v>28</v>
      </c>
      <c r="M9949" s="18" t="s">
        <v>28</v>
      </c>
      <c r="N9949" s="17">
        <v>42039</v>
      </c>
      <c r="O9949" s="15" t="s">
        <v>73</v>
      </c>
      <c r="P9949" s="16" t="s">
        <v>28281</v>
      </c>
      <c r="Q9949" s="15" t="s">
        <v>85</v>
      </c>
      <c r="R9949" s="13" t="str">
        <f>HYPERLINK("https://my.pitchbook.com?c=45092-98T","View Company Online")</f>
        <v>View Company Online</v>
      </c>
    </row>
    <row r="9950" spans="1:18" hidden="1" x14ac:dyDescent="0.3">
      <c r="A9950" s="9" t="s">
        <v>28282</v>
      </c>
      <c r="B9950" s="9" t="s">
        <v>23899</v>
      </c>
      <c r="C9950" s="11" t="s">
        <v>28</v>
      </c>
      <c r="D9950" s="9" t="s">
        <v>23900</v>
      </c>
      <c r="E9950" s="11" t="s">
        <v>28</v>
      </c>
      <c r="F9950" s="10" t="s">
        <v>28</v>
      </c>
      <c r="G9950" s="10">
        <v>10</v>
      </c>
      <c r="H9950" s="10" t="s">
        <v>28</v>
      </c>
      <c r="I9950" s="11" t="s">
        <v>28</v>
      </c>
      <c r="J9950" s="11" t="s">
        <v>28</v>
      </c>
      <c r="K9950" s="11" t="s">
        <v>28</v>
      </c>
      <c r="L9950" s="11" t="s">
        <v>28</v>
      </c>
      <c r="M9950" s="11" t="s">
        <v>28</v>
      </c>
      <c r="N9950" s="8">
        <v>42039</v>
      </c>
      <c r="O9950" s="9" t="s">
        <v>58</v>
      </c>
      <c r="P9950" s="12" t="s">
        <v>23901</v>
      </c>
      <c r="Q9950" s="9" t="s">
        <v>245</v>
      </c>
      <c r="R9950" s="14" t="str">
        <f>HYPERLINK("https://my.pitchbook.com?c=46143-37T","View Company Online")</f>
        <v>View Company Online</v>
      </c>
    </row>
    <row r="9951" spans="1:18" hidden="1" x14ac:dyDescent="0.3">
      <c r="A9951" s="15" t="s">
        <v>28283</v>
      </c>
      <c r="B9951" s="15" t="s">
        <v>28284</v>
      </c>
      <c r="C9951" s="18" t="s">
        <v>28</v>
      </c>
      <c r="D9951" s="15" t="s">
        <v>28285</v>
      </c>
      <c r="E9951" s="18" t="s">
        <v>28</v>
      </c>
      <c r="F9951" s="19" t="s">
        <v>28</v>
      </c>
      <c r="G9951" s="19" t="s">
        <v>28</v>
      </c>
      <c r="H9951" s="19" t="s">
        <v>28</v>
      </c>
      <c r="I9951" s="18" t="s">
        <v>28</v>
      </c>
      <c r="J9951" s="18" t="s">
        <v>28</v>
      </c>
      <c r="K9951" s="18" t="s">
        <v>28</v>
      </c>
      <c r="L9951" s="18" t="s">
        <v>28</v>
      </c>
      <c r="M9951" s="18" t="s">
        <v>28</v>
      </c>
      <c r="N9951" s="17">
        <v>42039</v>
      </c>
      <c r="O9951" s="15" t="s">
        <v>30</v>
      </c>
      <c r="P9951" s="16" t="s">
        <v>9649</v>
      </c>
      <c r="Q9951" s="15" t="s">
        <v>299</v>
      </c>
      <c r="R9951" s="13" t="str">
        <f>HYPERLINK("https://my.pitchbook.com?c=45990-19T","View Company Online")</f>
        <v>View Company Online</v>
      </c>
    </row>
    <row r="9952" spans="1:18" hidden="1" x14ac:dyDescent="0.3">
      <c r="A9952" s="9" t="s">
        <v>28286</v>
      </c>
      <c r="B9952" s="9" t="s">
        <v>28287</v>
      </c>
      <c r="C9952" s="11" t="s">
        <v>28</v>
      </c>
      <c r="D9952" s="9" t="s">
        <v>28288</v>
      </c>
      <c r="E9952" s="11" t="s">
        <v>28</v>
      </c>
      <c r="F9952" s="10" t="s">
        <v>28</v>
      </c>
      <c r="G9952" s="10" t="s">
        <v>28</v>
      </c>
      <c r="H9952" s="10" t="s">
        <v>28</v>
      </c>
      <c r="I9952" s="11" t="s">
        <v>28</v>
      </c>
      <c r="J9952" s="11" t="s">
        <v>28</v>
      </c>
      <c r="K9952" s="11" t="s">
        <v>28</v>
      </c>
      <c r="L9952" s="11" t="s">
        <v>28</v>
      </c>
      <c r="M9952" s="11" t="s">
        <v>28</v>
      </c>
      <c r="N9952" s="8">
        <v>42039</v>
      </c>
      <c r="O9952" s="9" t="s">
        <v>41</v>
      </c>
      <c r="P9952" s="12" t="s">
        <v>12480</v>
      </c>
      <c r="Q9952" s="9" t="s">
        <v>75</v>
      </c>
      <c r="R9952" s="14" t="str">
        <f>HYPERLINK("https://my.pitchbook.com?c=45214-39T","View Company Online")</f>
        <v>View Company Online</v>
      </c>
    </row>
    <row r="9953" spans="1:18" hidden="1" x14ac:dyDescent="0.3">
      <c r="A9953" s="15" t="s">
        <v>28289</v>
      </c>
      <c r="B9953" s="15" t="s">
        <v>24916</v>
      </c>
      <c r="C9953" s="18" t="s">
        <v>28</v>
      </c>
      <c r="D9953" s="15" t="s">
        <v>24917</v>
      </c>
      <c r="E9953" s="18" t="s">
        <v>28</v>
      </c>
      <c r="F9953" s="19" t="s">
        <v>28</v>
      </c>
      <c r="G9953" s="19" t="s">
        <v>28</v>
      </c>
      <c r="H9953" s="19" t="s">
        <v>28</v>
      </c>
      <c r="I9953" s="18" t="s">
        <v>28</v>
      </c>
      <c r="J9953" s="18" t="s">
        <v>28</v>
      </c>
      <c r="K9953" s="18" t="s">
        <v>28</v>
      </c>
      <c r="L9953" s="18" t="s">
        <v>28</v>
      </c>
      <c r="M9953" s="18" t="s">
        <v>28</v>
      </c>
      <c r="N9953" s="17">
        <v>42038</v>
      </c>
      <c r="O9953" s="15" t="s">
        <v>99</v>
      </c>
      <c r="P9953" s="16" t="s">
        <v>27556</v>
      </c>
      <c r="Q9953" s="15" t="s">
        <v>43</v>
      </c>
      <c r="R9953" s="13" t="str">
        <f>HYPERLINK("https://my.pitchbook.com?c=65808-46T","View Company Online")</f>
        <v>View Company Online</v>
      </c>
    </row>
    <row r="9954" spans="1:18" hidden="1" x14ac:dyDescent="0.3">
      <c r="A9954" s="9" t="s">
        <v>28290</v>
      </c>
      <c r="B9954" s="9" t="s">
        <v>28291</v>
      </c>
      <c r="C9954" s="11" t="s">
        <v>28</v>
      </c>
      <c r="D9954" s="9" t="s">
        <v>28292</v>
      </c>
      <c r="E9954" s="11" t="s">
        <v>28</v>
      </c>
      <c r="F9954" s="10">
        <v>3.39</v>
      </c>
      <c r="G9954" s="10">
        <v>3.39</v>
      </c>
      <c r="H9954" s="10">
        <v>3.39</v>
      </c>
      <c r="I9954" s="11" t="s">
        <v>28</v>
      </c>
      <c r="J9954" s="11" t="s">
        <v>28</v>
      </c>
      <c r="K9954" s="11" t="s">
        <v>28</v>
      </c>
      <c r="L9954" s="11" t="s">
        <v>28</v>
      </c>
      <c r="M9954" s="11" t="s">
        <v>28</v>
      </c>
      <c r="N9954" s="8">
        <v>42037</v>
      </c>
      <c r="O9954" s="9" t="s">
        <v>30</v>
      </c>
      <c r="P9954" s="12" t="s">
        <v>4616</v>
      </c>
      <c r="Q9954" s="9" t="s">
        <v>245</v>
      </c>
      <c r="R9954" s="14" t="str">
        <f>HYPERLINK("https://my.pitchbook.com?c=45254-53T","View Company Online")</f>
        <v>View Company Online</v>
      </c>
    </row>
    <row r="9955" spans="1:18" hidden="1" x14ac:dyDescent="0.3">
      <c r="A9955" s="15" t="s">
        <v>28293</v>
      </c>
      <c r="B9955" s="15" t="s">
        <v>28294</v>
      </c>
      <c r="C9955" s="18" t="s">
        <v>28</v>
      </c>
      <c r="D9955" s="15" t="s">
        <v>28295</v>
      </c>
      <c r="E9955" s="18" t="s">
        <v>28</v>
      </c>
      <c r="F9955" s="19">
        <v>81.3</v>
      </c>
      <c r="G9955" s="19">
        <v>81.3</v>
      </c>
      <c r="H9955" s="19">
        <v>81.3</v>
      </c>
      <c r="I9955" s="18" t="s">
        <v>28</v>
      </c>
      <c r="J9955" s="18" t="s">
        <v>28</v>
      </c>
      <c r="K9955" s="18">
        <v>50</v>
      </c>
      <c r="L9955" s="18">
        <v>1.63</v>
      </c>
      <c r="M9955" s="18" t="s">
        <v>28</v>
      </c>
      <c r="N9955" s="17">
        <v>42037</v>
      </c>
      <c r="O9955" s="15" t="s">
        <v>30</v>
      </c>
      <c r="P9955" s="16" t="s">
        <v>26239</v>
      </c>
      <c r="Q9955" s="15" t="s">
        <v>43</v>
      </c>
      <c r="R9955" s="13" t="str">
        <f>HYPERLINK("https://my.pitchbook.com?c=40503-70T","View Company Online")</f>
        <v>View Company Online</v>
      </c>
    </row>
    <row r="9956" spans="1:18" hidden="1" x14ac:dyDescent="0.3">
      <c r="A9956" s="9" t="s">
        <v>28296</v>
      </c>
      <c r="B9956" s="9" t="s">
        <v>28297</v>
      </c>
      <c r="C9956" s="11" t="s">
        <v>28</v>
      </c>
      <c r="D9956" s="9" t="s">
        <v>28298</v>
      </c>
      <c r="E9956" s="11" t="s">
        <v>28</v>
      </c>
      <c r="F9956" s="10" t="s">
        <v>28</v>
      </c>
      <c r="G9956" s="10" t="s">
        <v>28</v>
      </c>
      <c r="H9956" s="10" t="s">
        <v>28</v>
      </c>
      <c r="I9956" s="11" t="s">
        <v>28</v>
      </c>
      <c r="J9956" s="11" t="s">
        <v>28</v>
      </c>
      <c r="K9956" s="11" t="s">
        <v>28</v>
      </c>
      <c r="L9956" s="11" t="s">
        <v>28</v>
      </c>
      <c r="M9956" s="11" t="s">
        <v>28</v>
      </c>
      <c r="N9956" s="8">
        <v>42037</v>
      </c>
      <c r="O9956" s="9" t="s">
        <v>58</v>
      </c>
      <c r="P9956" s="12" t="s">
        <v>28299</v>
      </c>
      <c r="Q9956" s="9" t="s">
        <v>386</v>
      </c>
      <c r="R9956" s="14" t="str">
        <f>HYPERLINK("https://my.pitchbook.com?c=47151-91T","View Company Online")</f>
        <v>View Company Online</v>
      </c>
    </row>
    <row r="9957" spans="1:18" hidden="1" x14ac:dyDescent="0.3">
      <c r="A9957" s="15" t="s">
        <v>28300</v>
      </c>
      <c r="B9957" s="15" t="s">
        <v>28301</v>
      </c>
      <c r="C9957" s="18" t="s">
        <v>28</v>
      </c>
      <c r="D9957" s="15" t="s">
        <v>28302</v>
      </c>
      <c r="E9957" s="18" t="s">
        <v>28</v>
      </c>
      <c r="F9957" s="19" t="s">
        <v>28</v>
      </c>
      <c r="G9957" s="19" t="s">
        <v>28</v>
      </c>
      <c r="H9957" s="19" t="s">
        <v>28</v>
      </c>
      <c r="I9957" s="18" t="s">
        <v>28</v>
      </c>
      <c r="J9957" s="18" t="s">
        <v>28</v>
      </c>
      <c r="K9957" s="18" t="s">
        <v>28</v>
      </c>
      <c r="L9957" s="18" t="s">
        <v>28</v>
      </c>
      <c r="M9957" s="18" t="s">
        <v>28</v>
      </c>
      <c r="N9957" s="17">
        <v>42037</v>
      </c>
      <c r="O9957" s="15" t="s">
        <v>52</v>
      </c>
      <c r="P9957" s="16" t="s">
        <v>28303</v>
      </c>
      <c r="Q9957" s="15" t="s">
        <v>1191</v>
      </c>
      <c r="R9957" s="13" t="str">
        <f>HYPERLINK("https://my.pitchbook.com?c=48716-83T","View Company Online")</f>
        <v>View Company Online</v>
      </c>
    </row>
    <row r="9958" spans="1:18" hidden="1" x14ac:dyDescent="0.3">
      <c r="A9958" s="9" t="s">
        <v>28304</v>
      </c>
      <c r="B9958" s="9" t="s">
        <v>28305</v>
      </c>
      <c r="C9958" s="11" t="s">
        <v>28</v>
      </c>
      <c r="D9958" s="9" t="s">
        <v>28306</v>
      </c>
      <c r="E9958" s="11" t="s">
        <v>28</v>
      </c>
      <c r="F9958" s="10">
        <v>63.99</v>
      </c>
      <c r="G9958" s="10">
        <v>63.99</v>
      </c>
      <c r="H9958" s="10">
        <v>63.99</v>
      </c>
      <c r="I9958" s="11" t="s">
        <v>28</v>
      </c>
      <c r="J9958" s="11" t="s">
        <v>28</v>
      </c>
      <c r="K9958" s="11" t="s">
        <v>28</v>
      </c>
      <c r="L9958" s="11" t="s">
        <v>28</v>
      </c>
      <c r="M9958" s="11" t="s">
        <v>28</v>
      </c>
      <c r="N9958" s="8">
        <v>42037</v>
      </c>
      <c r="O9958" s="9" t="s">
        <v>30</v>
      </c>
      <c r="P9958" s="12" t="s">
        <v>16459</v>
      </c>
      <c r="Q9958" s="9" t="s">
        <v>43</v>
      </c>
      <c r="R9958" s="14" t="str">
        <f>HYPERLINK("https://my.pitchbook.com?c=89535-25T","View Company Online")</f>
        <v>View Company Online</v>
      </c>
    </row>
    <row r="9959" spans="1:18" hidden="1" x14ac:dyDescent="0.3">
      <c r="A9959" s="15" t="s">
        <v>28307</v>
      </c>
      <c r="B9959" s="15" t="s">
        <v>14144</v>
      </c>
      <c r="C9959" s="18" t="s">
        <v>28</v>
      </c>
      <c r="D9959" s="15" t="s">
        <v>16710</v>
      </c>
      <c r="E9959" s="18" t="s">
        <v>28</v>
      </c>
      <c r="F9959" s="19">
        <v>502.36</v>
      </c>
      <c r="G9959" s="19">
        <v>376.87</v>
      </c>
      <c r="H9959" s="19">
        <v>502.36</v>
      </c>
      <c r="I9959" s="18" t="s">
        <v>28</v>
      </c>
      <c r="J9959" s="18" t="s">
        <v>28</v>
      </c>
      <c r="K9959" s="18" t="s">
        <v>28</v>
      </c>
      <c r="L9959" s="18" t="s">
        <v>28</v>
      </c>
      <c r="M9959" s="18" t="s">
        <v>28</v>
      </c>
      <c r="N9959" s="17">
        <v>42036</v>
      </c>
      <c r="O9959" s="15" t="s">
        <v>41</v>
      </c>
      <c r="P9959" s="16" t="s">
        <v>22511</v>
      </c>
      <c r="Q9959" s="15" t="s">
        <v>900</v>
      </c>
      <c r="R9959" s="13" t="str">
        <f>HYPERLINK("https://my.pitchbook.com?c=40576-15T","View Company Online")</f>
        <v>View Company Online</v>
      </c>
    </row>
    <row r="9960" spans="1:18" hidden="1" x14ac:dyDescent="0.3">
      <c r="A9960" s="9" t="s">
        <v>28308</v>
      </c>
      <c r="B9960" s="9" t="s">
        <v>28309</v>
      </c>
      <c r="C9960" s="11" t="s">
        <v>28</v>
      </c>
      <c r="D9960" s="9" t="s">
        <v>28310</v>
      </c>
      <c r="E9960" s="11" t="s">
        <v>28</v>
      </c>
      <c r="F9960" s="10" t="s">
        <v>28</v>
      </c>
      <c r="G9960" s="10" t="s">
        <v>28</v>
      </c>
      <c r="H9960" s="10" t="s">
        <v>28</v>
      </c>
      <c r="I9960" s="11" t="s">
        <v>28</v>
      </c>
      <c r="J9960" s="11" t="s">
        <v>28</v>
      </c>
      <c r="K9960" s="11" t="s">
        <v>28</v>
      </c>
      <c r="L9960" s="11" t="s">
        <v>28</v>
      </c>
      <c r="M9960" s="11" t="s">
        <v>28</v>
      </c>
      <c r="N9960" s="8">
        <v>42036</v>
      </c>
      <c r="O9960" s="9" t="s">
        <v>30</v>
      </c>
      <c r="P9960" s="12" t="s">
        <v>24057</v>
      </c>
      <c r="Q9960" s="9" t="s">
        <v>136</v>
      </c>
      <c r="R9960" s="14" t="str">
        <f>HYPERLINK("https://my.pitchbook.com?c=89428-87T","View Company Online")</f>
        <v>View Company Online</v>
      </c>
    </row>
    <row r="9961" spans="1:18" hidden="1" x14ac:dyDescent="0.3">
      <c r="A9961" s="15" t="s">
        <v>28311</v>
      </c>
      <c r="B9961" s="15" t="s">
        <v>5837</v>
      </c>
      <c r="C9961" s="18" t="s">
        <v>28</v>
      </c>
      <c r="D9961" s="15" t="s">
        <v>5838</v>
      </c>
      <c r="E9961" s="18" t="s">
        <v>28</v>
      </c>
      <c r="F9961" s="19" t="s">
        <v>28</v>
      </c>
      <c r="G9961" s="19">
        <v>1</v>
      </c>
      <c r="H9961" s="19" t="s">
        <v>28</v>
      </c>
      <c r="I9961" s="18" t="s">
        <v>28</v>
      </c>
      <c r="J9961" s="18" t="s">
        <v>28</v>
      </c>
      <c r="K9961" s="18" t="s">
        <v>28</v>
      </c>
      <c r="L9961" s="18" t="s">
        <v>28</v>
      </c>
      <c r="M9961" s="18" t="s">
        <v>28</v>
      </c>
      <c r="N9961" s="17">
        <v>42036</v>
      </c>
      <c r="O9961" s="15" t="s">
        <v>99</v>
      </c>
      <c r="P9961" s="16" t="s">
        <v>25829</v>
      </c>
      <c r="Q9961" s="15" t="s">
        <v>75</v>
      </c>
      <c r="R9961" s="13" t="str">
        <f>HYPERLINK("https://my.pitchbook.com?c=166278-79T","View Company Online")</f>
        <v>View Company Online</v>
      </c>
    </row>
    <row r="9962" spans="1:18" hidden="1" x14ac:dyDescent="0.3">
      <c r="A9962" s="9" t="s">
        <v>28312</v>
      </c>
      <c r="B9962" s="9" t="s">
        <v>28313</v>
      </c>
      <c r="C9962" s="11" t="s">
        <v>28</v>
      </c>
      <c r="D9962" s="9" t="s">
        <v>28314</v>
      </c>
      <c r="E9962" s="11" t="s">
        <v>28</v>
      </c>
      <c r="F9962" s="10" t="s">
        <v>28</v>
      </c>
      <c r="G9962" s="10" t="s">
        <v>28</v>
      </c>
      <c r="H9962" s="10" t="s">
        <v>28</v>
      </c>
      <c r="I9962" s="11" t="s">
        <v>28</v>
      </c>
      <c r="J9962" s="11" t="s">
        <v>28</v>
      </c>
      <c r="K9962" s="11" t="s">
        <v>28</v>
      </c>
      <c r="L9962" s="11" t="s">
        <v>28</v>
      </c>
      <c r="M9962" s="11" t="s">
        <v>28</v>
      </c>
      <c r="N9962" s="8">
        <v>42036</v>
      </c>
      <c r="O9962" s="9" t="s">
        <v>79</v>
      </c>
      <c r="P9962" s="12" t="s">
        <v>26574</v>
      </c>
      <c r="Q9962" s="9" t="s">
        <v>517</v>
      </c>
      <c r="R9962" s="14" t="str">
        <f>HYPERLINK("https://my.pitchbook.com?c=66238-48T","View Company Online")</f>
        <v>View Company Online</v>
      </c>
    </row>
    <row r="9963" spans="1:18" hidden="1" x14ac:dyDescent="0.3">
      <c r="A9963" s="15" t="s">
        <v>28315</v>
      </c>
      <c r="B9963" s="15" t="s">
        <v>11510</v>
      </c>
      <c r="C9963" s="18" t="s">
        <v>28</v>
      </c>
      <c r="D9963" s="15" t="s">
        <v>11511</v>
      </c>
      <c r="E9963" s="18" t="s">
        <v>28</v>
      </c>
      <c r="F9963" s="19" t="s">
        <v>28</v>
      </c>
      <c r="G9963" s="19">
        <v>0.02</v>
      </c>
      <c r="H9963" s="19" t="s">
        <v>28</v>
      </c>
      <c r="I9963" s="18" t="s">
        <v>28</v>
      </c>
      <c r="J9963" s="18" t="s">
        <v>28</v>
      </c>
      <c r="K9963" s="18" t="s">
        <v>28</v>
      </c>
      <c r="L9963" s="18" t="s">
        <v>28</v>
      </c>
      <c r="M9963" s="18" t="s">
        <v>28</v>
      </c>
      <c r="N9963" s="17">
        <v>42036</v>
      </c>
      <c r="O9963" s="15" t="s">
        <v>9098</v>
      </c>
      <c r="P9963" s="16" t="s">
        <v>28</v>
      </c>
      <c r="Q9963" s="15" t="s">
        <v>75</v>
      </c>
      <c r="R9963" s="13" t="str">
        <f>HYPERLINK("https://my.pitchbook.com?c=122760-73T","View Company Online")</f>
        <v>View Company Online</v>
      </c>
    </row>
    <row r="9964" spans="1:18" hidden="1" x14ac:dyDescent="0.3">
      <c r="A9964" s="9" t="s">
        <v>28316</v>
      </c>
      <c r="B9964" s="9" t="s">
        <v>16115</v>
      </c>
      <c r="C9964" s="11" t="s">
        <v>28</v>
      </c>
      <c r="D9964" s="9" t="s">
        <v>16116</v>
      </c>
      <c r="E9964" s="11" t="s">
        <v>28</v>
      </c>
      <c r="F9964" s="10" t="s">
        <v>28</v>
      </c>
      <c r="G9964" s="10" t="s">
        <v>28</v>
      </c>
      <c r="H9964" s="10" t="s">
        <v>28</v>
      </c>
      <c r="I9964" s="11" t="s">
        <v>28</v>
      </c>
      <c r="J9964" s="11" t="s">
        <v>28</v>
      </c>
      <c r="K9964" s="11" t="s">
        <v>28</v>
      </c>
      <c r="L9964" s="11" t="s">
        <v>28</v>
      </c>
      <c r="M9964" s="11" t="s">
        <v>28</v>
      </c>
      <c r="N9964" s="8">
        <v>42036</v>
      </c>
      <c r="O9964" s="9" t="s">
        <v>73</v>
      </c>
      <c r="P9964" s="12" t="s">
        <v>28317</v>
      </c>
      <c r="Q9964" s="9" t="s">
        <v>583</v>
      </c>
      <c r="R9964" s="14" t="str">
        <f>HYPERLINK("https://my.pitchbook.com?c=84541-15T","View Company Online")</f>
        <v>View Company Online</v>
      </c>
    </row>
    <row r="9965" spans="1:18" hidden="1" x14ac:dyDescent="0.3">
      <c r="A9965" s="15" t="s">
        <v>28318</v>
      </c>
      <c r="B9965" s="15" t="s">
        <v>28319</v>
      </c>
      <c r="C9965" s="18" t="s">
        <v>28</v>
      </c>
      <c r="D9965" s="15" t="s">
        <v>28320</v>
      </c>
      <c r="E9965" s="18" t="s">
        <v>28</v>
      </c>
      <c r="F9965" s="19" t="s">
        <v>28</v>
      </c>
      <c r="G9965" s="19" t="s">
        <v>28</v>
      </c>
      <c r="H9965" s="19" t="s">
        <v>28</v>
      </c>
      <c r="I9965" s="18" t="s">
        <v>28</v>
      </c>
      <c r="J9965" s="18" t="s">
        <v>28</v>
      </c>
      <c r="K9965" s="18" t="s">
        <v>28</v>
      </c>
      <c r="L9965" s="18" t="s">
        <v>28</v>
      </c>
      <c r="M9965" s="18" t="s">
        <v>28</v>
      </c>
      <c r="N9965" s="17">
        <v>42036</v>
      </c>
      <c r="O9965" s="15" t="s">
        <v>30</v>
      </c>
      <c r="P9965" s="16" t="s">
        <v>4089</v>
      </c>
      <c r="Q9965" s="15" t="s">
        <v>386</v>
      </c>
      <c r="R9965" s="13" t="str">
        <f>HYPERLINK("https://my.pitchbook.com?c=80637-85T","View Company Online")</f>
        <v>View Company Online</v>
      </c>
    </row>
    <row r="9966" spans="1:18" hidden="1" x14ac:dyDescent="0.3">
      <c r="A9966" s="9" t="s">
        <v>28321</v>
      </c>
      <c r="B9966" s="9" t="s">
        <v>28322</v>
      </c>
      <c r="C9966" s="11" t="s">
        <v>28</v>
      </c>
      <c r="D9966" s="9" t="s">
        <v>28323</v>
      </c>
      <c r="E9966" s="11" t="s">
        <v>28</v>
      </c>
      <c r="F9966" s="10" t="s">
        <v>28</v>
      </c>
      <c r="G9966" s="10" t="s">
        <v>28</v>
      </c>
      <c r="H9966" s="10" t="s">
        <v>28</v>
      </c>
      <c r="I9966" s="11" t="s">
        <v>28</v>
      </c>
      <c r="J9966" s="11" t="s">
        <v>28</v>
      </c>
      <c r="K9966" s="11" t="s">
        <v>28</v>
      </c>
      <c r="L9966" s="11" t="s">
        <v>28</v>
      </c>
      <c r="M9966" s="11" t="s">
        <v>28</v>
      </c>
      <c r="N9966" s="8">
        <v>42036</v>
      </c>
      <c r="O9966" s="9" t="s">
        <v>41</v>
      </c>
      <c r="P9966" s="12" t="s">
        <v>28233</v>
      </c>
      <c r="Q9966" s="9" t="s">
        <v>880</v>
      </c>
      <c r="R9966" s="14" t="str">
        <f>HYPERLINK("https://my.pitchbook.com?c=108946-45T","View Company Online")</f>
        <v>View Company Online</v>
      </c>
    </row>
    <row r="9967" spans="1:18" hidden="1" x14ac:dyDescent="0.3">
      <c r="A9967" s="15" t="s">
        <v>28324</v>
      </c>
      <c r="B9967" s="15" t="s">
        <v>9531</v>
      </c>
      <c r="C9967" s="18" t="s">
        <v>28</v>
      </c>
      <c r="D9967" s="15" t="s">
        <v>9532</v>
      </c>
      <c r="E9967" s="18" t="s">
        <v>28</v>
      </c>
      <c r="F9967" s="19" t="s">
        <v>28</v>
      </c>
      <c r="G9967" s="19">
        <v>0.65</v>
      </c>
      <c r="H9967" s="19" t="s">
        <v>28</v>
      </c>
      <c r="I9967" s="18" t="s">
        <v>28</v>
      </c>
      <c r="J9967" s="18" t="s">
        <v>28</v>
      </c>
      <c r="K9967" s="18" t="s">
        <v>28</v>
      </c>
      <c r="L9967" s="18" t="s">
        <v>28</v>
      </c>
      <c r="M9967" s="18" t="s">
        <v>28</v>
      </c>
      <c r="N9967" s="17">
        <v>42036</v>
      </c>
      <c r="O9967" s="15" t="s">
        <v>73</v>
      </c>
      <c r="P9967" s="16" t="s">
        <v>28325</v>
      </c>
      <c r="Q9967" s="15" t="s">
        <v>409</v>
      </c>
      <c r="R9967" s="13" t="str">
        <f>HYPERLINK("https://my.pitchbook.com?c=50838-58T","View Company Online")</f>
        <v>View Company Online</v>
      </c>
    </row>
    <row r="9968" spans="1:18" hidden="1" x14ac:dyDescent="0.3">
      <c r="A9968" s="9" t="s">
        <v>28326</v>
      </c>
      <c r="B9968" s="9" t="s">
        <v>17627</v>
      </c>
      <c r="C9968" s="11" t="s">
        <v>28</v>
      </c>
      <c r="D9968" s="9" t="s">
        <v>17628</v>
      </c>
      <c r="E9968" s="11" t="s">
        <v>28</v>
      </c>
      <c r="F9968" s="10" t="s">
        <v>28</v>
      </c>
      <c r="G9968" s="10">
        <v>0.1</v>
      </c>
      <c r="H9968" s="10">
        <v>0.47</v>
      </c>
      <c r="I9968" s="11" t="s">
        <v>28</v>
      </c>
      <c r="J9968" s="11" t="s">
        <v>28</v>
      </c>
      <c r="K9968" s="11" t="s">
        <v>28</v>
      </c>
      <c r="L9968" s="11" t="s">
        <v>28</v>
      </c>
      <c r="M9968" s="11" t="s">
        <v>28</v>
      </c>
      <c r="N9968" s="8">
        <v>42036</v>
      </c>
      <c r="O9968" s="9" t="s">
        <v>99</v>
      </c>
      <c r="P9968" s="12" t="s">
        <v>28327</v>
      </c>
      <c r="Q9968" s="9" t="s">
        <v>1793</v>
      </c>
      <c r="R9968" s="14" t="str">
        <f>HYPERLINK("https://my.pitchbook.com?c=217207-54T","View Company Online")</f>
        <v>View Company Online</v>
      </c>
    </row>
    <row r="9969" spans="1:18" hidden="1" x14ac:dyDescent="0.3">
      <c r="A9969" s="15" t="s">
        <v>28328</v>
      </c>
      <c r="B9969" s="15" t="s">
        <v>28329</v>
      </c>
      <c r="C9969" s="18" t="s">
        <v>28</v>
      </c>
      <c r="D9969" s="15" t="s">
        <v>28330</v>
      </c>
      <c r="E9969" s="18" t="s">
        <v>28</v>
      </c>
      <c r="F9969" s="19" t="s">
        <v>28</v>
      </c>
      <c r="G9969" s="19" t="s">
        <v>28</v>
      </c>
      <c r="H9969" s="19" t="s">
        <v>28</v>
      </c>
      <c r="I9969" s="18" t="s">
        <v>28</v>
      </c>
      <c r="J9969" s="18" t="s">
        <v>28</v>
      </c>
      <c r="K9969" s="18" t="s">
        <v>28</v>
      </c>
      <c r="L9969" s="18" t="s">
        <v>28</v>
      </c>
      <c r="M9969" s="18" t="s">
        <v>28</v>
      </c>
      <c r="N9969" s="17">
        <v>42035</v>
      </c>
      <c r="O9969" s="15" t="s">
        <v>58</v>
      </c>
      <c r="P9969" s="16" t="s">
        <v>28331</v>
      </c>
      <c r="Q9969" s="15" t="s">
        <v>5628</v>
      </c>
      <c r="R9969" s="13" t="str">
        <f>HYPERLINK("https://my.pitchbook.com?c=60226-30T","View Company Online")</f>
        <v>View Company Online</v>
      </c>
    </row>
    <row r="9970" spans="1:18" hidden="1" x14ac:dyDescent="0.3">
      <c r="A9970" s="9" t="s">
        <v>28332</v>
      </c>
      <c r="B9970" s="9" t="s">
        <v>28333</v>
      </c>
      <c r="C9970" s="11" t="s">
        <v>28</v>
      </c>
      <c r="D9970" s="9" t="s">
        <v>28334</v>
      </c>
      <c r="E9970" s="11" t="s">
        <v>28</v>
      </c>
      <c r="F9970" s="10" t="s">
        <v>28</v>
      </c>
      <c r="G9970" s="10" t="s">
        <v>28</v>
      </c>
      <c r="H9970" s="10" t="s">
        <v>28</v>
      </c>
      <c r="I9970" s="11" t="s">
        <v>28</v>
      </c>
      <c r="J9970" s="11" t="s">
        <v>28</v>
      </c>
      <c r="K9970" s="11">
        <v>2.5499999999999998</v>
      </c>
      <c r="L9970" s="11" t="s">
        <v>28</v>
      </c>
      <c r="M9970" s="11" t="s">
        <v>28</v>
      </c>
      <c r="N9970" s="8">
        <v>42034</v>
      </c>
      <c r="O9970" s="9" t="s">
        <v>30</v>
      </c>
      <c r="P9970" s="12" t="s">
        <v>28335</v>
      </c>
      <c r="Q9970" s="9" t="s">
        <v>1088</v>
      </c>
      <c r="R9970" s="14" t="str">
        <f>HYPERLINK("https://my.pitchbook.com?c=45074-98T","View Company Online")</f>
        <v>View Company Online</v>
      </c>
    </row>
    <row r="9971" spans="1:18" hidden="1" x14ac:dyDescent="0.3">
      <c r="A9971" s="15" t="s">
        <v>28336</v>
      </c>
      <c r="B9971" s="15" t="s">
        <v>28337</v>
      </c>
      <c r="C9971" s="18" t="s">
        <v>28</v>
      </c>
      <c r="D9971" s="15" t="s">
        <v>28338</v>
      </c>
      <c r="E9971" s="18" t="s">
        <v>28</v>
      </c>
      <c r="F9971" s="19" t="s">
        <v>28</v>
      </c>
      <c r="G9971" s="19" t="s">
        <v>28</v>
      </c>
      <c r="H9971" s="19" t="s">
        <v>28</v>
      </c>
      <c r="I9971" s="18" t="s">
        <v>28</v>
      </c>
      <c r="J9971" s="18" t="s">
        <v>28</v>
      </c>
      <c r="K9971" s="18">
        <v>2.12</v>
      </c>
      <c r="L9971" s="18" t="s">
        <v>28</v>
      </c>
      <c r="M9971" s="18" t="s">
        <v>28</v>
      </c>
      <c r="N9971" s="17">
        <v>42034</v>
      </c>
      <c r="O9971" s="15" t="s">
        <v>30</v>
      </c>
      <c r="P9971" s="16" t="s">
        <v>28335</v>
      </c>
      <c r="Q9971" s="15" t="s">
        <v>353</v>
      </c>
      <c r="R9971" s="13" t="str">
        <f>HYPERLINK("https://my.pitchbook.com?c=45088-03T","View Company Online")</f>
        <v>View Company Online</v>
      </c>
    </row>
    <row r="9972" spans="1:18" hidden="1" x14ac:dyDescent="0.3">
      <c r="A9972" s="9" t="s">
        <v>28339</v>
      </c>
      <c r="B9972" s="9" t="s">
        <v>28340</v>
      </c>
      <c r="C9972" s="11" t="s">
        <v>28</v>
      </c>
      <c r="D9972" s="9" t="s">
        <v>28341</v>
      </c>
      <c r="E9972" s="11" t="s">
        <v>28</v>
      </c>
      <c r="F9972" s="10" t="s">
        <v>28</v>
      </c>
      <c r="G9972" s="10" t="s">
        <v>28</v>
      </c>
      <c r="H9972" s="10" t="s">
        <v>28</v>
      </c>
      <c r="I9972" s="11" t="s">
        <v>28</v>
      </c>
      <c r="J9972" s="11" t="s">
        <v>28</v>
      </c>
      <c r="K9972" s="11" t="s">
        <v>28</v>
      </c>
      <c r="L9972" s="11" t="s">
        <v>28</v>
      </c>
      <c r="M9972" s="11" t="s">
        <v>28</v>
      </c>
      <c r="N9972" s="8">
        <v>42034</v>
      </c>
      <c r="O9972" s="9" t="s">
        <v>30</v>
      </c>
      <c r="P9972" s="12" t="s">
        <v>28342</v>
      </c>
      <c r="Q9972" s="9" t="s">
        <v>2916</v>
      </c>
      <c r="R9972" s="14" t="str">
        <f>HYPERLINK("https://my.pitchbook.com?c=45068-41T","View Company Online")</f>
        <v>View Company Online</v>
      </c>
    </row>
    <row r="9973" spans="1:18" hidden="1" x14ac:dyDescent="0.3">
      <c r="A9973" s="15" t="s">
        <v>28343</v>
      </c>
      <c r="B9973" s="15" t="s">
        <v>5553</v>
      </c>
      <c r="C9973" s="18" t="s">
        <v>28</v>
      </c>
      <c r="D9973" s="15" t="s">
        <v>5554</v>
      </c>
      <c r="E9973" s="18">
        <v>-7.86</v>
      </c>
      <c r="F9973" s="19" t="s">
        <v>28</v>
      </c>
      <c r="G9973" s="19">
        <v>537</v>
      </c>
      <c r="H9973" s="19" t="s">
        <v>28</v>
      </c>
      <c r="I9973" s="18">
        <v>-7.24</v>
      </c>
      <c r="J9973" s="18" t="s">
        <v>28</v>
      </c>
      <c r="K9973" s="18">
        <v>32.03</v>
      </c>
      <c r="L9973" s="18" t="s">
        <v>28</v>
      </c>
      <c r="M9973" s="18">
        <v>-6.92</v>
      </c>
      <c r="N9973" s="17">
        <v>42032</v>
      </c>
      <c r="O9973" s="15" t="s">
        <v>93</v>
      </c>
      <c r="P9973" s="16" t="s">
        <v>28344</v>
      </c>
      <c r="Q9973" s="15" t="s">
        <v>5347</v>
      </c>
      <c r="R9973" s="13" t="str">
        <f>HYPERLINK("https://my.pitchbook.com?c=45562-24T","View Company Online")</f>
        <v>View Company Online</v>
      </c>
    </row>
    <row r="9974" spans="1:18" hidden="1" x14ac:dyDescent="0.3">
      <c r="A9974" s="9" t="s">
        <v>28345</v>
      </c>
      <c r="B9974" s="9" t="s">
        <v>11193</v>
      </c>
      <c r="C9974" s="11" t="s">
        <v>28</v>
      </c>
      <c r="D9974" s="9" t="s">
        <v>22172</v>
      </c>
      <c r="E9974" s="11" t="s">
        <v>28</v>
      </c>
      <c r="F9974" s="10" t="s">
        <v>28</v>
      </c>
      <c r="G9974" s="10" t="s">
        <v>28</v>
      </c>
      <c r="H9974" s="10" t="s">
        <v>28</v>
      </c>
      <c r="I9974" s="11" t="s">
        <v>28</v>
      </c>
      <c r="J9974" s="11" t="s">
        <v>28</v>
      </c>
      <c r="K9974" s="11" t="s">
        <v>28</v>
      </c>
      <c r="L9974" s="11" t="s">
        <v>28</v>
      </c>
      <c r="M9974" s="11" t="s">
        <v>28</v>
      </c>
      <c r="N9974" s="8">
        <v>42032</v>
      </c>
      <c r="O9974" s="9" t="s">
        <v>73</v>
      </c>
      <c r="P9974" s="12" t="s">
        <v>28346</v>
      </c>
      <c r="Q9974" s="9" t="s">
        <v>37</v>
      </c>
      <c r="R9974" s="14" t="str">
        <f>HYPERLINK("https://my.pitchbook.com?c=93149-11T","View Company Online")</f>
        <v>View Company Online</v>
      </c>
    </row>
    <row r="9975" spans="1:18" hidden="1" x14ac:dyDescent="0.3">
      <c r="A9975" s="15" t="s">
        <v>28347</v>
      </c>
      <c r="B9975" s="15" t="s">
        <v>21255</v>
      </c>
      <c r="C9975" s="18" t="s">
        <v>28</v>
      </c>
      <c r="D9975" s="15" t="s">
        <v>21256</v>
      </c>
      <c r="E9975" s="18" t="s">
        <v>28</v>
      </c>
      <c r="F9975" s="19" t="s">
        <v>28</v>
      </c>
      <c r="G9975" s="19" t="s">
        <v>28</v>
      </c>
      <c r="H9975" s="19" t="s">
        <v>28</v>
      </c>
      <c r="I9975" s="18" t="s">
        <v>28</v>
      </c>
      <c r="J9975" s="18" t="s">
        <v>28</v>
      </c>
      <c r="K9975" s="18" t="s">
        <v>28</v>
      </c>
      <c r="L9975" s="18" t="s">
        <v>28</v>
      </c>
      <c r="M9975" s="18" t="s">
        <v>28</v>
      </c>
      <c r="N9975" s="17">
        <v>42031</v>
      </c>
      <c r="O9975" s="15" t="s">
        <v>52</v>
      </c>
      <c r="P9975" s="16" t="s">
        <v>27946</v>
      </c>
      <c r="Q9975" s="15" t="s">
        <v>75</v>
      </c>
      <c r="R9975" s="13" t="str">
        <f>HYPERLINK("https://my.pitchbook.com?c=64905-13T","View Company Online")</f>
        <v>View Company Online</v>
      </c>
    </row>
    <row r="9976" spans="1:18" hidden="1" x14ac:dyDescent="0.3">
      <c r="A9976" s="9" t="s">
        <v>28348</v>
      </c>
      <c r="B9976" s="9" t="s">
        <v>28349</v>
      </c>
      <c r="C9976" s="11" t="s">
        <v>28</v>
      </c>
      <c r="D9976" s="9" t="s">
        <v>28350</v>
      </c>
      <c r="E9976" s="11" t="s">
        <v>28</v>
      </c>
      <c r="F9976" s="10" t="s">
        <v>28</v>
      </c>
      <c r="G9976" s="10" t="s">
        <v>28</v>
      </c>
      <c r="H9976" s="10" t="s">
        <v>28</v>
      </c>
      <c r="I9976" s="11" t="s">
        <v>28</v>
      </c>
      <c r="J9976" s="11" t="s">
        <v>28</v>
      </c>
      <c r="K9976" s="11" t="s">
        <v>28</v>
      </c>
      <c r="L9976" s="11" t="s">
        <v>28</v>
      </c>
      <c r="M9976" s="11" t="s">
        <v>28</v>
      </c>
      <c r="N9976" s="8">
        <v>42031</v>
      </c>
      <c r="O9976" s="9" t="s">
        <v>30</v>
      </c>
      <c r="P9976" s="12" t="s">
        <v>28205</v>
      </c>
      <c r="Q9976" s="9" t="s">
        <v>470</v>
      </c>
      <c r="R9976" s="14" t="str">
        <f>HYPERLINK("https://my.pitchbook.com?c=44936-38T","View Company Online")</f>
        <v>View Company Online</v>
      </c>
    </row>
    <row r="9977" spans="1:18" hidden="1" x14ac:dyDescent="0.3">
      <c r="A9977" s="15" t="s">
        <v>28351</v>
      </c>
      <c r="B9977" s="15" t="s">
        <v>28352</v>
      </c>
      <c r="C9977" s="18" t="s">
        <v>28</v>
      </c>
      <c r="D9977" s="15" t="s">
        <v>28353</v>
      </c>
      <c r="E9977" s="18" t="s">
        <v>28</v>
      </c>
      <c r="F9977" s="19">
        <v>55.52</v>
      </c>
      <c r="G9977" s="19">
        <v>55.52</v>
      </c>
      <c r="H9977" s="19">
        <v>55.52</v>
      </c>
      <c r="I9977" s="18" t="s">
        <v>28</v>
      </c>
      <c r="J9977" s="18" t="s">
        <v>28</v>
      </c>
      <c r="K9977" s="18" t="s">
        <v>28</v>
      </c>
      <c r="L9977" s="18" t="s">
        <v>28</v>
      </c>
      <c r="M9977" s="18" t="s">
        <v>28</v>
      </c>
      <c r="N9977" s="17">
        <v>42031</v>
      </c>
      <c r="O9977" s="15" t="s">
        <v>30</v>
      </c>
      <c r="P9977" s="16" t="s">
        <v>28354</v>
      </c>
      <c r="Q9977" s="15" t="s">
        <v>32</v>
      </c>
      <c r="R9977" s="13" t="str">
        <f>HYPERLINK("https://my.pitchbook.com?c=73656-55T","View Company Online")</f>
        <v>View Company Online</v>
      </c>
    </row>
    <row r="9978" spans="1:18" hidden="1" x14ac:dyDescent="0.3">
      <c r="A9978" s="9" t="s">
        <v>28355</v>
      </c>
      <c r="B9978" s="9" t="s">
        <v>27317</v>
      </c>
      <c r="C9978" s="11" t="s">
        <v>28</v>
      </c>
      <c r="D9978" s="9" t="s">
        <v>27318</v>
      </c>
      <c r="E9978" s="11" t="s">
        <v>28</v>
      </c>
      <c r="F9978" s="10" t="s">
        <v>28</v>
      </c>
      <c r="G9978" s="10">
        <v>1.84</v>
      </c>
      <c r="H9978" s="10" t="s">
        <v>28</v>
      </c>
      <c r="I9978" s="11" t="s">
        <v>28</v>
      </c>
      <c r="J9978" s="11" t="s">
        <v>28</v>
      </c>
      <c r="K9978" s="11" t="s">
        <v>28</v>
      </c>
      <c r="L9978" s="11" t="s">
        <v>28</v>
      </c>
      <c r="M9978" s="11" t="s">
        <v>28</v>
      </c>
      <c r="N9978" s="8">
        <v>42031</v>
      </c>
      <c r="O9978" s="9" t="s">
        <v>73</v>
      </c>
      <c r="P9978" s="12" t="s">
        <v>28356</v>
      </c>
      <c r="Q9978" s="9" t="s">
        <v>740</v>
      </c>
      <c r="R9978" s="14" t="str">
        <f>HYPERLINK("https://my.pitchbook.com?c=46773-82T","View Company Online")</f>
        <v>View Company Online</v>
      </c>
    </row>
    <row r="9979" spans="1:18" hidden="1" x14ac:dyDescent="0.3">
      <c r="A9979" s="15" t="s">
        <v>28357</v>
      </c>
      <c r="B9979" s="15" t="s">
        <v>28358</v>
      </c>
      <c r="C9979" s="18" t="s">
        <v>28</v>
      </c>
      <c r="D9979" s="15" t="s">
        <v>28359</v>
      </c>
      <c r="E9979" s="18" t="s">
        <v>28</v>
      </c>
      <c r="F9979" s="19">
        <v>70.95</v>
      </c>
      <c r="G9979" s="19">
        <v>7.09</v>
      </c>
      <c r="H9979" s="19">
        <v>70.95</v>
      </c>
      <c r="I9979" s="18" t="s">
        <v>28</v>
      </c>
      <c r="J9979" s="18" t="s">
        <v>28</v>
      </c>
      <c r="K9979" s="18" t="s">
        <v>28</v>
      </c>
      <c r="L9979" s="18" t="s">
        <v>28</v>
      </c>
      <c r="M9979" s="18" t="s">
        <v>28</v>
      </c>
      <c r="N9979" s="17">
        <v>42030</v>
      </c>
      <c r="O9979" s="15" t="s">
        <v>30</v>
      </c>
      <c r="P9979" s="16" t="s">
        <v>28360</v>
      </c>
      <c r="Q9979" s="15" t="s">
        <v>268</v>
      </c>
      <c r="R9979" s="13" t="str">
        <f>HYPERLINK("https://my.pitchbook.com?c=233687-08T","View Company Online")</f>
        <v>View Company Online</v>
      </c>
    </row>
    <row r="9980" spans="1:18" hidden="1" x14ac:dyDescent="0.3">
      <c r="A9980" s="9" t="s">
        <v>28361</v>
      </c>
      <c r="B9980" s="9" t="s">
        <v>28362</v>
      </c>
      <c r="C9980" s="11" t="s">
        <v>28</v>
      </c>
      <c r="D9980" s="9" t="s">
        <v>28363</v>
      </c>
      <c r="E9980" s="11" t="s">
        <v>28</v>
      </c>
      <c r="F9980" s="10">
        <v>290.92</v>
      </c>
      <c r="G9980" s="10">
        <v>290.92</v>
      </c>
      <c r="H9980" s="10">
        <v>290.92</v>
      </c>
      <c r="I9980" s="11" t="s">
        <v>28</v>
      </c>
      <c r="J9980" s="11" t="s">
        <v>28</v>
      </c>
      <c r="K9980" s="11" t="s">
        <v>28</v>
      </c>
      <c r="L9980" s="11" t="s">
        <v>28</v>
      </c>
      <c r="M9980" s="11" t="s">
        <v>28</v>
      </c>
      <c r="N9980" s="8">
        <v>42030</v>
      </c>
      <c r="O9980" s="9" t="s">
        <v>30</v>
      </c>
      <c r="P9980" s="12" t="s">
        <v>14921</v>
      </c>
      <c r="Q9980" s="9" t="s">
        <v>114</v>
      </c>
      <c r="R9980" s="14" t="str">
        <f>HYPERLINK("https://my.pitchbook.com?c=89558-02T","View Company Online")</f>
        <v>View Company Online</v>
      </c>
    </row>
    <row r="9981" spans="1:18" hidden="1" x14ac:dyDescent="0.3">
      <c r="A9981" s="15" t="s">
        <v>28364</v>
      </c>
      <c r="B9981" s="15" t="s">
        <v>24222</v>
      </c>
      <c r="C9981" s="18" t="s">
        <v>28</v>
      </c>
      <c r="D9981" s="15" t="s">
        <v>24223</v>
      </c>
      <c r="E9981" s="18" t="s">
        <v>28</v>
      </c>
      <c r="F9981" s="19" t="s">
        <v>28</v>
      </c>
      <c r="G9981" s="19">
        <v>1.87</v>
      </c>
      <c r="H9981" s="19" t="s">
        <v>28</v>
      </c>
      <c r="I9981" s="18" t="s">
        <v>28</v>
      </c>
      <c r="J9981" s="18" t="s">
        <v>28</v>
      </c>
      <c r="K9981" s="18" t="s">
        <v>28</v>
      </c>
      <c r="L9981" s="18" t="s">
        <v>28</v>
      </c>
      <c r="M9981" s="18" t="s">
        <v>28</v>
      </c>
      <c r="N9981" s="17">
        <v>42027</v>
      </c>
      <c r="O9981" s="15" t="s">
        <v>73</v>
      </c>
      <c r="P9981" s="16" t="s">
        <v>28365</v>
      </c>
      <c r="Q9981" s="15" t="s">
        <v>75</v>
      </c>
      <c r="R9981" s="13" t="str">
        <f>HYPERLINK("https://my.pitchbook.com?c=52356-34T","View Company Online")</f>
        <v>View Company Online</v>
      </c>
    </row>
    <row r="9982" spans="1:18" hidden="1" x14ac:dyDescent="0.3">
      <c r="A9982" s="9" t="s">
        <v>28366</v>
      </c>
      <c r="B9982" s="9" t="s">
        <v>28367</v>
      </c>
      <c r="C9982" s="11" t="s">
        <v>28</v>
      </c>
      <c r="D9982" s="9" t="s">
        <v>28368</v>
      </c>
      <c r="E9982" s="11" t="s">
        <v>28</v>
      </c>
      <c r="F9982" s="10" t="s">
        <v>28</v>
      </c>
      <c r="G9982" s="10" t="s">
        <v>28</v>
      </c>
      <c r="H9982" s="10" t="s">
        <v>28</v>
      </c>
      <c r="I9982" s="11" t="s">
        <v>28</v>
      </c>
      <c r="J9982" s="11" t="s">
        <v>28</v>
      </c>
      <c r="K9982" s="11" t="s">
        <v>28</v>
      </c>
      <c r="L9982" s="11" t="s">
        <v>28</v>
      </c>
      <c r="M9982" s="11" t="s">
        <v>28</v>
      </c>
      <c r="N9982" s="8">
        <v>42026</v>
      </c>
      <c r="O9982" s="9" t="s">
        <v>41</v>
      </c>
      <c r="P9982" s="12" t="s">
        <v>28369</v>
      </c>
      <c r="Q9982" s="9" t="s">
        <v>85</v>
      </c>
      <c r="R9982" s="14" t="str">
        <f>HYPERLINK("https://my.pitchbook.com?c=44832-79T","View Company Online")</f>
        <v>View Company Online</v>
      </c>
    </row>
    <row r="9983" spans="1:18" hidden="1" x14ac:dyDescent="0.3">
      <c r="A9983" s="15" t="s">
        <v>28370</v>
      </c>
      <c r="B9983" s="15" t="s">
        <v>28371</v>
      </c>
      <c r="C9983" s="18" t="s">
        <v>28</v>
      </c>
      <c r="D9983" s="15" t="s">
        <v>28372</v>
      </c>
      <c r="E9983" s="18" t="s">
        <v>28</v>
      </c>
      <c r="F9983" s="19" t="s">
        <v>28</v>
      </c>
      <c r="G9983" s="19" t="s">
        <v>28</v>
      </c>
      <c r="H9983" s="19" t="s">
        <v>28</v>
      </c>
      <c r="I9983" s="18" t="s">
        <v>28</v>
      </c>
      <c r="J9983" s="18" t="s">
        <v>28</v>
      </c>
      <c r="K9983" s="18" t="s">
        <v>28</v>
      </c>
      <c r="L9983" s="18" t="s">
        <v>28</v>
      </c>
      <c r="M9983" s="18" t="s">
        <v>28</v>
      </c>
      <c r="N9983" s="17">
        <v>42024</v>
      </c>
      <c r="O9983" s="15" t="s">
        <v>30</v>
      </c>
      <c r="P9983" s="16" t="s">
        <v>28373</v>
      </c>
      <c r="Q9983" s="15" t="s">
        <v>37</v>
      </c>
      <c r="R9983" s="13" t="str">
        <f>HYPERLINK("https://my.pitchbook.com?c=44722-63T","View Company Online")</f>
        <v>View Company Online</v>
      </c>
    </row>
    <row r="9984" spans="1:18" hidden="1" x14ac:dyDescent="0.3">
      <c r="A9984" s="9" t="s">
        <v>28374</v>
      </c>
      <c r="B9984" s="9" t="s">
        <v>28375</v>
      </c>
      <c r="C9984" s="11" t="s">
        <v>28</v>
      </c>
      <c r="D9984" s="9" t="s">
        <v>28376</v>
      </c>
      <c r="E9984" s="11" t="s">
        <v>28</v>
      </c>
      <c r="F9984" s="10" t="s">
        <v>28</v>
      </c>
      <c r="G9984" s="10" t="s">
        <v>28</v>
      </c>
      <c r="H9984" s="10" t="s">
        <v>28</v>
      </c>
      <c r="I9984" s="11" t="s">
        <v>28</v>
      </c>
      <c r="J9984" s="11" t="s">
        <v>28</v>
      </c>
      <c r="K9984" s="11" t="s">
        <v>28</v>
      </c>
      <c r="L9984" s="11" t="s">
        <v>28</v>
      </c>
      <c r="M9984" s="11" t="s">
        <v>28</v>
      </c>
      <c r="N9984" s="8">
        <v>42020</v>
      </c>
      <c r="O9984" s="9" t="s">
        <v>30</v>
      </c>
      <c r="P9984" s="12" t="s">
        <v>28377</v>
      </c>
      <c r="Q9984" s="9" t="s">
        <v>119</v>
      </c>
      <c r="R9984" s="14" t="str">
        <f>HYPERLINK("https://my.pitchbook.com?c=216162-73T","View Company Online")</f>
        <v>View Company Online</v>
      </c>
    </row>
    <row r="9985" spans="1:18" hidden="1" x14ac:dyDescent="0.3">
      <c r="A9985" s="15" t="s">
        <v>28378</v>
      </c>
      <c r="B9985" s="15" t="s">
        <v>28377</v>
      </c>
      <c r="C9985" s="18" t="s">
        <v>28</v>
      </c>
      <c r="D9985" s="15" t="s">
        <v>28379</v>
      </c>
      <c r="E9985" s="18" t="s">
        <v>28</v>
      </c>
      <c r="F9985" s="19" t="s">
        <v>28</v>
      </c>
      <c r="G9985" s="19" t="s">
        <v>28</v>
      </c>
      <c r="H9985" s="19" t="s">
        <v>28</v>
      </c>
      <c r="I9985" s="18" t="s">
        <v>28</v>
      </c>
      <c r="J9985" s="18" t="s">
        <v>28</v>
      </c>
      <c r="K9985" s="18" t="s">
        <v>28</v>
      </c>
      <c r="L9985" s="18" t="s">
        <v>28</v>
      </c>
      <c r="M9985" s="18" t="s">
        <v>28</v>
      </c>
      <c r="N9985" s="17">
        <v>42020</v>
      </c>
      <c r="O9985" s="15" t="s">
        <v>30</v>
      </c>
      <c r="P9985" s="16" t="s">
        <v>28375</v>
      </c>
      <c r="Q9985" s="15" t="s">
        <v>119</v>
      </c>
      <c r="R9985" s="13" t="str">
        <f>HYPERLINK("https://my.pitchbook.com?c=216400-60T","View Company Online")</f>
        <v>View Company Online</v>
      </c>
    </row>
    <row r="9986" spans="1:18" hidden="1" x14ac:dyDescent="0.3">
      <c r="A9986" s="9" t="s">
        <v>28380</v>
      </c>
      <c r="B9986" s="9" t="s">
        <v>28381</v>
      </c>
      <c r="C9986" s="11" t="s">
        <v>28</v>
      </c>
      <c r="D9986" s="9" t="s">
        <v>28382</v>
      </c>
      <c r="E9986" s="11" t="s">
        <v>28</v>
      </c>
      <c r="F9986" s="10" t="s">
        <v>28</v>
      </c>
      <c r="G9986" s="10" t="s">
        <v>28</v>
      </c>
      <c r="H9986" s="10" t="s">
        <v>28</v>
      </c>
      <c r="I9986" s="11" t="s">
        <v>28</v>
      </c>
      <c r="J9986" s="11" t="s">
        <v>28</v>
      </c>
      <c r="K9986" s="11" t="s">
        <v>28</v>
      </c>
      <c r="L9986" s="11" t="s">
        <v>28</v>
      </c>
      <c r="M9986" s="11" t="s">
        <v>28</v>
      </c>
      <c r="N9986" s="8">
        <v>42019</v>
      </c>
      <c r="O9986" s="9" t="s">
        <v>41</v>
      </c>
      <c r="P9986" s="12" t="s">
        <v>28383</v>
      </c>
      <c r="Q9986" s="9" t="s">
        <v>517</v>
      </c>
      <c r="R9986" s="14" t="str">
        <f>HYPERLINK("https://my.pitchbook.com?c=63025-84T","View Company Online")</f>
        <v>View Company Online</v>
      </c>
    </row>
    <row r="9987" spans="1:18" hidden="1" x14ac:dyDescent="0.3">
      <c r="A9987" s="15" t="s">
        <v>28384</v>
      </c>
      <c r="B9987" s="15" t="s">
        <v>28385</v>
      </c>
      <c r="C9987" s="18" t="s">
        <v>28</v>
      </c>
      <c r="D9987" s="15" t="s">
        <v>28386</v>
      </c>
      <c r="E9987" s="18" t="s">
        <v>28</v>
      </c>
      <c r="F9987" s="19" t="s">
        <v>28</v>
      </c>
      <c r="G9987" s="19" t="s">
        <v>28</v>
      </c>
      <c r="H9987" s="19" t="s">
        <v>28</v>
      </c>
      <c r="I9987" s="18" t="s">
        <v>28</v>
      </c>
      <c r="J9987" s="18" t="s">
        <v>28</v>
      </c>
      <c r="K9987" s="18" t="s">
        <v>28</v>
      </c>
      <c r="L9987" s="18" t="s">
        <v>28</v>
      </c>
      <c r="M9987" s="18" t="s">
        <v>28</v>
      </c>
      <c r="N9987" s="17">
        <v>42018</v>
      </c>
      <c r="O9987" s="15" t="s">
        <v>30</v>
      </c>
      <c r="P9987" s="16" t="s">
        <v>28387</v>
      </c>
      <c r="Q9987" s="15" t="s">
        <v>517</v>
      </c>
      <c r="R9987" s="13" t="str">
        <f>HYPERLINK("https://my.pitchbook.com?c=44687-53T","View Company Online")</f>
        <v>View Company Online</v>
      </c>
    </row>
    <row r="9988" spans="1:18" hidden="1" x14ac:dyDescent="0.3">
      <c r="A9988" s="9" t="s">
        <v>28388</v>
      </c>
      <c r="B9988" s="9" t="s">
        <v>26526</v>
      </c>
      <c r="C9988" s="11" t="s">
        <v>28</v>
      </c>
      <c r="D9988" s="9" t="s">
        <v>26527</v>
      </c>
      <c r="E9988" s="11" t="s">
        <v>28</v>
      </c>
      <c r="F9988" s="10" t="s">
        <v>28</v>
      </c>
      <c r="G9988" s="10">
        <v>0.05</v>
      </c>
      <c r="H9988" s="10" t="s">
        <v>28</v>
      </c>
      <c r="I9988" s="11" t="s">
        <v>28</v>
      </c>
      <c r="J9988" s="11" t="s">
        <v>28</v>
      </c>
      <c r="K9988" s="11" t="s">
        <v>28</v>
      </c>
      <c r="L9988" s="11" t="s">
        <v>28</v>
      </c>
      <c r="M9988" s="11" t="s">
        <v>28</v>
      </c>
      <c r="N9988" s="8">
        <v>42017</v>
      </c>
      <c r="O9988" s="9" t="s">
        <v>52</v>
      </c>
      <c r="P9988" s="12" t="s">
        <v>28389</v>
      </c>
      <c r="Q9988" s="9" t="s">
        <v>7209</v>
      </c>
      <c r="R9988" s="14" t="str">
        <f>HYPERLINK("https://my.pitchbook.com?c=132877-18T","View Company Online")</f>
        <v>View Company Online</v>
      </c>
    </row>
    <row r="9989" spans="1:18" hidden="1" x14ac:dyDescent="0.3">
      <c r="A9989" s="15" t="s">
        <v>28390</v>
      </c>
      <c r="B9989" s="15" t="s">
        <v>28391</v>
      </c>
      <c r="C9989" s="18" t="s">
        <v>28</v>
      </c>
      <c r="D9989" s="15" t="s">
        <v>28392</v>
      </c>
      <c r="E9989" s="18" t="s">
        <v>28</v>
      </c>
      <c r="F9989" s="19">
        <v>29.1</v>
      </c>
      <c r="G9989" s="19">
        <v>29.1</v>
      </c>
      <c r="H9989" s="19">
        <v>29.1</v>
      </c>
      <c r="I9989" s="18" t="s">
        <v>28</v>
      </c>
      <c r="J9989" s="18" t="s">
        <v>28</v>
      </c>
      <c r="K9989" s="18" t="s">
        <v>28</v>
      </c>
      <c r="L9989" s="18" t="s">
        <v>28</v>
      </c>
      <c r="M9989" s="18" t="s">
        <v>28</v>
      </c>
      <c r="N9989" s="17">
        <v>42017</v>
      </c>
      <c r="O9989" s="15" t="s">
        <v>30</v>
      </c>
      <c r="P9989" s="16" t="s">
        <v>28393</v>
      </c>
      <c r="Q9989" s="15" t="s">
        <v>900</v>
      </c>
      <c r="R9989" s="13" t="str">
        <f>HYPERLINK("https://my.pitchbook.com?c=36662-86T","View Company Online")</f>
        <v>View Company Online</v>
      </c>
    </row>
    <row r="9990" spans="1:18" hidden="1" x14ac:dyDescent="0.3">
      <c r="A9990" s="9" t="s">
        <v>28394</v>
      </c>
      <c r="B9990" s="9" t="s">
        <v>28395</v>
      </c>
      <c r="C9990" s="11" t="s">
        <v>28</v>
      </c>
      <c r="D9990" s="9" t="s">
        <v>28396</v>
      </c>
      <c r="E9990" s="11" t="s">
        <v>28</v>
      </c>
      <c r="F9990" s="10" t="s">
        <v>28</v>
      </c>
      <c r="G9990" s="10">
        <v>0.05</v>
      </c>
      <c r="H9990" s="10" t="s">
        <v>28</v>
      </c>
      <c r="I9990" s="11" t="s">
        <v>28</v>
      </c>
      <c r="J9990" s="11" t="s">
        <v>28</v>
      </c>
      <c r="K9990" s="11" t="s">
        <v>28</v>
      </c>
      <c r="L9990" s="11" t="s">
        <v>28</v>
      </c>
      <c r="M9990" s="11" t="s">
        <v>28</v>
      </c>
      <c r="N9990" s="8">
        <v>42016</v>
      </c>
      <c r="O9990" s="9" t="s">
        <v>52</v>
      </c>
      <c r="P9990" s="12" t="s">
        <v>28397</v>
      </c>
      <c r="Q9990" s="9" t="s">
        <v>386</v>
      </c>
      <c r="R9990" s="14" t="str">
        <f>HYPERLINK("https://my.pitchbook.com?c=62785-45T","View Company Online")</f>
        <v>View Company Online</v>
      </c>
    </row>
    <row r="9991" spans="1:18" hidden="1" x14ac:dyDescent="0.3">
      <c r="A9991" s="15" t="s">
        <v>28398</v>
      </c>
      <c r="B9991" s="15" t="s">
        <v>11202</v>
      </c>
      <c r="C9991" s="18" t="s">
        <v>28</v>
      </c>
      <c r="D9991" s="15" t="s">
        <v>11203</v>
      </c>
      <c r="E9991" s="18">
        <v>39.71</v>
      </c>
      <c r="F9991" s="19" t="s">
        <v>28</v>
      </c>
      <c r="G9991" s="19">
        <v>54.47</v>
      </c>
      <c r="H9991" s="19">
        <v>544.69000000000005</v>
      </c>
      <c r="I9991" s="18">
        <v>60.01</v>
      </c>
      <c r="J9991" s="18">
        <v>9.08</v>
      </c>
      <c r="K9991" s="18">
        <v>2527.5300000000002</v>
      </c>
      <c r="L9991" s="18">
        <v>0.22</v>
      </c>
      <c r="M9991" s="18">
        <v>3.38</v>
      </c>
      <c r="N9991" s="17">
        <v>42016</v>
      </c>
      <c r="O9991" s="15" t="s">
        <v>159</v>
      </c>
      <c r="P9991" s="16" t="s">
        <v>28399</v>
      </c>
      <c r="Q9991" s="15" t="s">
        <v>1007</v>
      </c>
      <c r="R9991" s="13" t="str">
        <f>HYPERLINK("https://my.pitchbook.com?c=44916-49T","View Company Online")</f>
        <v>View Company Online</v>
      </c>
    </row>
    <row r="9992" spans="1:18" hidden="1" x14ac:dyDescent="0.3">
      <c r="A9992" s="9" t="s">
        <v>28400</v>
      </c>
      <c r="B9992" s="9" t="s">
        <v>28401</v>
      </c>
      <c r="C9992" s="11" t="s">
        <v>28</v>
      </c>
      <c r="D9992" s="9" t="s">
        <v>28402</v>
      </c>
      <c r="E9992" s="11" t="s">
        <v>28</v>
      </c>
      <c r="F9992" s="10" t="s">
        <v>28</v>
      </c>
      <c r="G9992" s="10">
        <v>0.05</v>
      </c>
      <c r="H9992" s="10" t="s">
        <v>28</v>
      </c>
      <c r="I9992" s="11" t="s">
        <v>28</v>
      </c>
      <c r="J9992" s="11" t="s">
        <v>28</v>
      </c>
      <c r="K9992" s="11" t="s">
        <v>28</v>
      </c>
      <c r="L9992" s="11" t="s">
        <v>28</v>
      </c>
      <c r="M9992" s="11" t="s">
        <v>28</v>
      </c>
      <c r="N9992" s="8">
        <v>42016</v>
      </c>
      <c r="O9992" s="9" t="s">
        <v>52</v>
      </c>
      <c r="P9992" s="12" t="s">
        <v>28389</v>
      </c>
      <c r="Q9992" s="9" t="s">
        <v>386</v>
      </c>
      <c r="R9992" s="14" t="str">
        <f>HYPERLINK("https://my.pitchbook.com?c=56402-56T","View Company Online")</f>
        <v>View Company Online</v>
      </c>
    </row>
    <row r="9993" spans="1:18" hidden="1" x14ac:dyDescent="0.3">
      <c r="A9993" s="15" t="s">
        <v>28403</v>
      </c>
      <c r="B9993" s="15" t="s">
        <v>28404</v>
      </c>
      <c r="C9993" s="18" t="s">
        <v>28</v>
      </c>
      <c r="D9993" s="15" t="s">
        <v>28405</v>
      </c>
      <c r="E9993" s="18">
        <v>-47.5</v>
      </c>
      <c r="F9993" s="19" t="s">
        <v>28</v>
      </c>
      <c r="G9993" s="19" t="s">
        <v>28</v>
      </c>
      <c r="H9993" s="19" t="s">
        <v>28</v>
      </c>
      <c r="I9993" s="18">
        <v>-44.43</v>
      </c>
      <c r="J9993" s="18" t="s">
        <v>28</v>
      </c>
      <c r="K9993" s="18">
        <v>30.57</v>
      </c>
      <c r="L9993" s="18" t="s">
        <v>28</v>
      </c>
      <c r="M9993" s="18">
        <v>-18.84</v>
      </c>
      <c r="N9993" s="17">
        <v>42016</v>
      </c>
      <c r="O9993" s="15" t="s">
        <v>159</v>
      </c>
      <c r="P9993" s="16" t="s">
        <v>28406</v>
      </c>
      <c r="Q9993" s="15" t="s">
        <v>5347</v>
      </c>
      <c r="R9993" s="13" t="str">
        <f>HYPERLINK("https://my.pitchbook.com?c=48027-16T","View Company Online")</f>
        <v>View Company Online</v>
      </c>
    </row>
    <row r="9994" spans="1:18" hidden="1" x14ac:dyDescent="0.3">
      <c r="A9994" s="9" t="s">
        <v>28407</v>
      </c>
      <c r="B9994" s="9" t="s">
        <v>13744</v>
      </c>
      <c r="C9994" s="11" t="s">
        <v>28</v>
      </c>
      <c r="D9994" s="9" t="s">
        <v>13745</v>
      </c>
      <c r="E9994" s="11" t="s">
        <v>28</v>
      </c>
      <c r="F9994" s="10" t="s">
        <v>28</v>
      </c>
      <c r="G9994" s="10" t="s">
        <v>28</v>
      </c>
      <c r="H9994" s="10" t="s">
        <v>28</v>
      </c>
      <c r="I9994" s="11" t="s">
        <v>28</v>
      </c>
      <c r="J9994" s="11" t="s">
        <v>28</v>
      </c>
      <c r="K9994" s="11" t="s">
        <v>28</v>
      </c>
      <c r="L9994" s="11" t="s">
        <v>28</v>
      </c>
      <c r="M9994" s="11" t="s">
        <v>28</v>
      </c>
      <c r="N9994" s="8">
        <v>42013</v>
      </c>
      <c r="O9994" s="9" t="s">
        <v>73</v>
      </c>
      <c r="P9994" s="12" t="s">
        <v>28408</v>
      </c>
      <c r="Q9994" s="9" t="s">
        <v>607</v>
      </c>
      <c r="R9994" s="14" t="str">
        <f>HYPERLINK("https://my.pitchbook.com?c=48037-15T","View Company Online")</f>
        <v>View Company Online</v>
      </c>
    </row>
    <row r="9995" spans="1:18" hidden="1" x14ac:dyDescent="0.3">
      <c r="A9995" s="15" t="s">
        <v>28409</v>
      </c>
      <c r="B9995" s="15" t="s">
        <v>28410</v>
      </c>
      <c r="C9995" s="18" t="s">
        <v>28</v>
      </c>
      <c r="D9995" s="15" t="s">
        <v>28411</v>
      </c>
      <c r="E9995" s="18" t="s">
        <v>28</v>
      </c>
      <c r="F9995" s="19" t="s">
        <v>28</v>
      </c>
      <c r="G9995" s="19" t="s">
        <v>28</v>
      </c>
      <c r="H9995" s="19" t="s">
        <v>28</v>
      </c>
      <c r="I9995" s="18" t="s">
        <v>28</v>
      </c>
      <c r="J9995" s="18" t="s">
        <v>28</v>
      </c>
      <c r="K9995" s="18" t="s">
        <v>28</v>
      </c>
      <c r="L9995" s="18" t="s">
        <v>28</v>
      </c>
      <c r="M9995" s="18" t="s">
        <v>28</v>
      </c>
      <c r="N9995" s="17">
        <v>42013</v>
      </c>
      <c r="O9995" s="15" t="s">
        <v>30</v>
      </c>
      <c r="P9995" s="16" t="s">
        <v>13920</v>
      </c>
      <c r="Q9995" s="15" t="s">
        <v>5760</v>
      </c>
      <c r="R9995" s="13" t="str">
        <f>HYPERLINK("https://my.pitchbook.com?c=45115-39T","View Company Online")</f>
        <v>View Company Online</v>
      </c>
    </row>
    <row r="9996" spans="1:18" hidden="1" x14ac:dyDescent="0.3">
      <c r="A9996" s="9" t="s">
        <v>28412</v>
      </c>
      <c r="B9996" s="9" t="s">
        <v>3530</v>
      </c>
      <c r="C9996" s="11" t="s">
        <v>28</v>
      </c>
      <c r="D9996" s="9" t="s">
        <v>3531</v>
      </c>
      <c r="E9996" s="11" t="s">
        <v>28</v>
      </c>
      <c r="F9996" s="10" t="s">
        <v>28</v>
      </c>
      <c r="G9996" s="10" t="s">
        <v>28</v>
      </c>
      <c r="H9996" s="10" t="s">
        <v>28</v>
      </c>
      <c r="I9996" s="11" t="s">
        <v>28</v>
      </c>
      <c r="J9996" s="11" t="s">
        <v>28</v>
      </c>
      <c r="K9996" s="11" t="s">
        <v>28</v>
      </c>
      <c r="L9996" s="11" t="s">
        <v>28</v>
      </c>
      <c r="M9996" s="11" t="s">
        <v>28</v>
      </c>
      <c r="N9996" s="8">
        <v>42012</v>
      </c>
      <c r="O9996" s="9" t="s">
        <v>41</v>
      </c>
      <c r="P9996" s="12" t="s">
        <v>28413</v>
      </c>
      <c r="Q9996" s="9" t="s">
        <v>1068</v>
      </c>
      <c r="R9996" s="14" t="str">
        <f>HYPERLINK("https://my.pitchbook.com?c=44387-38T","View Company Online")</f>
        <v>View Company Online</v>
      </c>
    </row>
    <row r="9997" spans="1:18" hidden="1" x14ac:dyDescent="0.3">
      <c r="A9997" s="15" t="s">
        <v>28414</v>
      </c>
      <c r="B9997" s="15" t="s">
        <v>28415</v>
      </c>
      <c r="C9997" s="18" t="s">
        <v>28</v>
      </c>
      <c r="D9997" s="15" t="s">
        <v>28416</v>
      </c>
      <c r="E9997" s="18" t="s">
        <v>28</v>
      </c>
      <c r="F9997" s="19" t="s">
        <v>28</v>
      </c>
      <c r="G9997" s="19" t="s">
        <v>28</v>
      </c>
      <c r="H9997" s="19" t="s">
        <v>28</v>
      </c>
      <c r="I9997" s="18" t="s">
        <v>28</v>
      </c>
      <c r="J9997" s="18" t="s">
        <v>28</v>
      </c>
      <c r="K9997" s="18" t="s">
        <v>28</v>
      </c>
      <c r="L9997" s="18" t="s">
        <v>28</v>
      </c>
      <c r="M9997" s="18" t="s">
        <v>28</v>
      </c>
      <c r="N9997" s="17">
        <v>42010</v>
      </c>
      <c r="O9997" s="15" t="s">
        <v>41</v>
      </c>
      <c r="P9997" s="16" t="s">
        <v>28417</v>
      </c>
      <c r="Q9997" s="15" t="s">
        <v>331</v>
      </c>
      <c r="R9997" s="13" t="str">
        <f>HYPERLINK("https://my.pitchbook.com?c=101969-11T","View Company Online")</f>
        <v>View Company Online</v>
      </c>
    </row>
    <row r="9998" spans="1:18" hidden="1" x14ac:dyDescent="0.3">
      <c r="A9998" s="9" t="s">
        <v>28418</v>
      </c>
      <c r="B9998" s="9" t="s">
        <v>28419</v>
      </c>
      <c r="C9998" s="11" t="s">
        <v>28</v>
      </c>
      <c r="D9998" s="9" t="s">
        <v>28420</v>
      </c>
      <c r="E9998" s="11" t="s">
        <v>28</v>
      </c>
      <c r="F9998" s="10">
        <v>49.33</v>
      </c>
      <c r="G9998" s="10">
        <v>49.33</v>
      </c>
      <c r="H9998" s="10">
        <v>49.33</v>
      </c>
      <c r="I9998" s="11" t="s">
        <v>28</v>
      </c>
      <c r="J9998" s="11" t="s">
        <v>28</v>
      </c>
      <c r="K9998" s="11">
        <v>71.23</v>
      </c>
      <c r="L9998" s="11">
        <v>0.69</v>
      </c>
      <c r="M9998" s="11">
        <v>8.01</v>
      </c>
      <c r="N9998" s="8">
        <v>42010</v>
      </c>
      <c r="O9998" s="9" t="s">
        <v>30</v>
      </c>
      <c r="P9998" s="12" t="s">
        <v>28421</v>
      </c>
      <c r="Q9998" s="9" t="s">
        <v>2939</v>
      </c>
      <c r="R9998" s="14" t="str">
        <f>HYPERLINK("https://my.pitchbook.com?c=176464-45T","View Company Online")</f>
        <v>View Company Online</v>
      </c>
    </row>
    <row r="9999" spans="1:18" hidden="1" x14ac:dyDescent="0.3">
      <c r="A9999" s="15" t="s">
        <v>28422</v>
      </c>
      <c r="B9999" s="15" t="s">
        <v>28423</v>
      </c>
      <c r="C9999" s="18" t="s">
        <v>28</v>
      </c>
      <c r="D9999" s="15" t="s">
        <v>28424</v>
      </c>
      <c r="E9999" s="18" t="s">
        <v>28</v>
      </c>
      <c r="F9999" s="19" t="s">
        <v>28</v>
      </c>
      <c r="G9999" s="19" t="s">
        <v>28</v>
      </c>
      <c r="H9999" s="19" t="s">
        <v>28</v>
      </c>
      <c r="I9999" s="18" t="s">
        <v>28</v>
      </c>
      <c r="J9999" s="18" t="s">
        <v>28</v>
      </c>
      <c r="K9999" s="18" t="s">
        <v>28</v>
      </c>
      <c r="L9999" s="18" t="s">
        <v>28</v>
      </c>
      <c r="M9999" s="18" t="s">
        <v>28</v>
      </c>
      <c r="N9999" s="17">
        <v>42009</v>
      </c>
      <c r="O9999" s="15" t="s">
        <v>41</v>
      </c>
      <c r="P9999" s="16" t="s">
        <v>28425</v>
      </c>
      <c r="Q9999" s="15" t="s">
        <v>1982</v>
      </c>
      <c r="R9999" s="13" t="str">
        <f>HYPERLINK("https://my.pitchbook.com?c=73153-36T","View Company Online")</f>
        <v>View Company Online</v>
      </c>
    </row>
    <row r="10000" spans="1:18" hidden="1" x14ac:dyDescent="0.3">
      <c r="A10000" s="9" t="s">
        <v>28426</v>
      </c>
      <c r="B10000" s="9" t="s">
        <v>20823</v>
      </c>
      <c r="C10000" s="11" t="s">
        <v>28</v>
      </c>
      <c r="D10000" s="9" t="s">
        <v>20824</v>
      </c>
      <c r="E10000" s="11" t="s">
        <v>28</v>
      </c>
      <c r="F10000" s="10" t="s">
        <v>28</v>
      </c>
      <c r="G10000" s="10">
        <v>0.3</v>
      </c>
      <c r="H10000" s="10" t="s">
        <v>28</v>
      </c>
      <c r="I10000" s="11" t="s">
        <v>28</v>
      </c>
      <c r="J10000" s="11" t="s">
        <v>28</v>
      </c>
      <c r="K10000" s="11" t="s">
        <v>28</v>
      </c>
      <c r="L10000" s="11" t="s">
        <v>28</v>
      </c>
      <c r="M10000" s="11" t="s">
        <v>28</v>
      </c>
      <c r="N10000" s="8">
        <v>42006</v>
      </c>
      <c r="O10000" s="9" t="s">
        <v>379</v>
      </c>
      <c r="P10000" s="12" t="s">
        <v>28</v>
      </c>
      <c r="Q10000" s="9" t="s">
        <v>75</v>
      </c>
      <c r="R10000" s="14" t="str">
        <f>HYPERLINK("https://my.pitchbook.com?c=209781-64T","View Company Online")</f>
        <v>View Company Online</v>
      </c>
    </row>
    <row r="10001" spans="1:18" hidden="1" x14ac:dyDescent="0.3">
      <c r="A10001" s="15" t="s">
        <v>28427</v>
      </c>
      <c r="B10001" s="15" t="s">
        <v>28428</v>
      </c>
      <c r="C10001" s="18" t="s">
        <v>28</v>
      </c>
      <c r="D10001" s="15" t="s">
        <v>28429</v>
      </c>
      <c r="E10001" s="18" t="s">
        <v>28</v>
      </c>
      <c r="F10001" s="19">
        <v>0.11</v>
      </c>
      <c r="G10001" s="19">
        <v>0.11</v>
      </c>
      <c r="H10001" s="19">
        <v>0.11</v>
      </c>
      <c r="I10001" s="18" t="s">
        <v>28</v>
      </c>
      <c r="J10001" s="18" t="s">
        <v>28</v>
      </c>
      <c r="K10001" s="18" t="s">
        <v>28</v>
      </c>
      <c r="L10001" s="18" t="s">
        <v>28</v>
      </c>
      <c r="M10001" s="18" t="s">
        <v>28</v>
      </c>
      <c r="N10001" s="17">
        <v>42006</v>
      </c>
      <c r="O10001" s="15" t="s">
        <v>30</v>
      </c>
      <c r="P10001" s="16" t="s">
        <v>26239</v>
      </c>
      <c r="Q10001" s="15" t="s">
        <v>43</v>
      </c>
      <c r="R10001" s="13" t="str">
        <f>HYPERLINK("https://my.pitchbook.com?c=40593-88T","View Company Online")</f>
        <v>View Company Online</v>
      </c>
    </row>
    <row r="10002" spans="1:18" hidden="1" x14ac:dyDescent="0.3">
      <c r="A10002" s="9" t="s">
        <v>28430</v>
      </c>
      <c r="B10002" s="9" t="s">
        <v>16643</v>
      </c>
      <c r="C10002" s="11" t="s">
        <v>28</v>
      </c>
      <c r="D10002" s="9" t="s">
        <v>16644</v>
      </c>
      <c r="E10002" s="11" t="s">
        <v>28</v>
      </c>
      <c r="F10002" s="10" t="s">
        <v>28</v>
      </c>
      <c r="G10002" s="10">
        <v>0.05</v>
      </c>
      <c r="H10002" s="10" t="s">
        <v>28</v>
      </c>
      <c r="I10002" s="11" t="s">
        <v>28</v>
      </c>
      <c r="J10002" s="11" t="s">
        <v>28</v>
      </c>
      <c r="K10002" s="11" t="s">
        <v>28</v>
      </c>
      <c r="L10002" s="11" t="s">
        <v>28</v>
      </c>
      <c r="M10002" s="11" t="s">
        <v>28</v>
      </c>
      <c r="N10002" s="8">
        <v>42006</v>
      </c>
      <c r="O10002" s="9" t="s">
        <v>379</v>
      </c>
      <c r="P10002" s="12" t="s">
        <v>28</v>
      </c>
      <c r="Q10002" s="9" t="s">
        <v>37</v>
      </c>
      <c r="R10002" s="14" t="str">
        <f>HYPERLINK("https://my.pitchbook.com?c=50716-45T","View Company Online")</f>
        <v>View Company Online</v>
      </c>
    </row>
    <row r="10003" spans="1:18" hidden="1" x14ac:dyDescent="0.3">
      <c r="A10003" s="15" t="s">
        <v>28431</v>
      </c>
      <c r="B10003" s="15" t="s">
        <v>28432</v>
      </c>
      <c r="C10003" s="18" t="s">
        <v>28</v>
      </c>
      <c r="D10003" s="15" t="s">
        <v>28433</v>
      </c>
      <c r="E10003" s="18" t="s">
        <v>28</v>
      </c>
      <c r="F10003" s="19">
        <v>16.53</v>
      </c>
      <c r="G10003" s="19">
        <v>9.09</v>
      </c>
      <c r="H10003" s="19">
        <v>16.53</v>
      </c>
      <c r="I10003" s="18" t="s">
        <v>28</v>
      </c>
      <c r="J10003" s="18" t="s">
        <v>28</v>
      </c>
      <c r="K10003" s="18" t="s">
        <v>28</v>
      </c>
      <c r="L10003" s="18" t="s">
        <v>28</v>
      </c>
      <c r="M10003" s="18" t="s">
        <v>28</v>
      </c>
      <c r="N10003" s="17">
        <v>42005</v>
      </c>
      <c r="O10003" s="15" t="s">
        <v>30</v>
      </c>
      <c r="P10003" s="16" t="s">
        <v>9549</v>
      </c>
      <c r="Q10003" s="15" t="s">
        <v>409</v>
      </c>
      <c r="R10003" s="13" t="str">
        <f>HYPERLINK("https://my.pitchbook.com?c=211853-26T","View Company Online")</f>
        <v>View Company Online</v>
      </c>
    </row>
    <row r="10004" spans="1:18" hidden="1" x14ac:dyDescent="0.3">
      <c r="A10004" s="9" t="s">
        <v>28434</v>
      </c>
      <c r="B10004" s="9" t="s">
        <v>4013</v>
      </c>
      <c r="C10004" s="11" t="s">
        <v>28</v>
      </c>
      <c r="D10004" s="9" t="s">
        <v>4014</v>
      </c>
      <c r="E10004" s="11" t="s">
        <v>28</v>
      </c>
      <c r="F10004" s="10" t="s">
        <v>28</v>
      </c>
      <c r="G10004" s="10" t="s">
        <v>28</v>
      </c>
      <c r="H10004" s="10" t="s">
        <v>28</v>
      </c>
      <c r="I10004" s="11" t="s">
        <v>28</v>
      </c>
      <c r="J10004" s="11" t="s">
        <v>28</v>
      </c>
      <c r="K10004" s="11">
        <v>0.03</v>
      </c>
      <c r="L10004" s="11" t="s">
        <v>28</v>
      </c>
      <c r="M10004" s="11" t="s">
        <v>28</v>
      </c>
      <c r="N10004" s="8">
        <v>42005</v>
      </c>
      <c r="O10004" s="9" t="s">
        <v>52</v>
      </c>
      <c r="P10004" s="12" t="s">
        <v>28435</v>
      </c>
      <c r="Q10004" s="9" t="s">
        <v>75</v>
      </c>
      <c r="R10004" s="14" t="str">
        <f>HYPERLINK("https://my.pitchbook.com?c=100598-41T","View Company Online")</f>
        <v>View Company Online</v>
      </c>
    </row>
    <row r="10005" spans="1:18" hidden="1" x14ac:dyDescent="0.3">
      <c r="A10005" s="15" t="s">
        <v>28436</v>
      </c>
      <c r="B10005" s="15" t="s">
        <v>4013</v>
      </c>
      <c r="C10005" s="18" t="s">
        <v>28</v>
      </c>
      <c r="D10005" s="15" t="s">
        <v>4014</v>
      </c>
      <c r="E10005" s="18" t="s">
        <v>28</v>
      </c>
      <c r="F10005" s="19" t="s">
        <v>28</v>
      </c>
      <c r="G10005" s="19" t="s">
        <v>28</v>
      </c>
      <c r="H10005" s="19" t="s">
        <v>28</v>
      </c>
      <c r="I10005" s="18" t="s">
        <v>28</v>
      </c>
      <c r="J10005" s="18" t="s">
        <v>28</v>
      </c>
      <c r="K10005" s="18">
        <v>0.03</v>
      </c>
      <c r="L10005" s="18" t="s">
        <v>28</v>
      </c>
      <c r="M10005" s="18" t="s">
        <v>28</v>
      </c>
      <c r="N10005" s="17">
        <v>42005</v>
      </c>
      <c r="O10005" s="15" t="s">
        <v>47</v>
      </c>
      <c r="P10005" s="16" t="s">
        <v>28437</v>
      </c>
      <c r="Q10005" s="15" t="s">
        <v>75</v>
      </c>
      <c r="R10005" s="13" t="str">
        <f>HYPERLINK("https://my.pitchbook.com?c=100598-59T","View Company Online")</f>
        <v>View Company Online</v>
      </c>
    </row>
    <row r="10006" spans="1:18" hidden="1" x14ac:dyDescent="0.3">
      <c r="A10006" s="9" t="s">
        <v>28438</v>
      </c>
      <c r="B10006" s="9" t="s">
        <v>28439</v>
      </c>
      <c r="C10006" s="11" t="s">
        <v>28</v>
      </c>
      <c r="D10006" s="9" t="s">
        <v>28440</v>
      </c>
      <c r="E10006" s="11" t="s">
        <v>28</v>
      </c>
      <c r="F10006" s="10" t="s">
        <v>28</v>
      </c>
      <c r="G10006" s="10" t="s">
        <v>28</v>
      </c>
      <c r="H10006" s="10" t="s">
        <v>28</v>
      </c>
      <c r="I10006" s="11" t="s">
        <v>28</v>
      </c>
      <c r="J10006" s="11" t="s">
        <v>28</v>
      </c>
      <c r="K10006" s="11" t="s">
        <v>28</v>
      </c>
      <c r="L10006" s="11" t="s">
        <v>28</v>
      </c>
      <c r="M10006" s="11" t="s">
        <v>28</v>
      </c>
      <c r="N10006" s="8">
        <v>42005</v>
      </c>
      <c r="O10006" s="9" t="s">
        <v>52</v>
      </c>
      <c r="P10006" s="12" t="s">
        <v>24901</v>
      </c>
      <c r="Q10006" s="9" t="s">
        <v>75</v>
      </c>
      <c r="R10006" s="14" t="str">
        <f>HYPERLINK("https://my.pitchbook.com?c=87260-59T","View Company Online")</f>
        <v>View Company Online</v>
      </c>
    </row>
    <row r="10007" spans="1:18" hidden="1" x14ac:dyDescent="0.3">
      <c r="A10007" s="15" t="s">
        <v>28441</v>
      </c>
      <c r="B10007" s="15" t="s">
        <v>767</v>
      </c>
      <c r="C10007" s="18" t="s">
        <v>28</v>
      </c>
      <c r="D10007" s="15" t="s">
        <v>768</v>
      </c>
      <c r="E10007" s="18" t="s">
        <v>28</v>
      </c>
      <c r="F10007" s="19" t="s">
        <v>28</v>
      </c>
      <c r="G10007" s="19" t="s">
        <v>28</v>
      </c>
      <c r="H10007" s="19" t="s">
        <v>28</v>
      </c>
      <c r="I10007" s="18" t="s">
        <v>28</v>
      </c>
      <c r="J10007" s="18" t="s">
        <v>28</v>
      </c>
      <c r="K10007" s="18" t="s">
        <v>28</v>
      </c>
      <c r="L10007" s="18" t="s">
        <v>28</v>
      </c>
      <c r="M10007" s="18" t="s">
        <v>28</v>
      </c>
      <c r="N10007" s="17">
        <v>42005</v>
      </c>
      <c r="O10007" s="15" t="s">
        <v>30</v>
      </c>
      <c r="P10007" s="16" t="s">
        <v>28</v>
      </c>
      <c r="Q10007" s="15" t="s">
        <v>188</v>
      </c>
      <c r="R10007" s="13" t="str">
        <f>HYPERLINK("https://my.pitchbook.com?c=279321-94T","View Company Online")</f>
        <v>View Company Online</v>
      </c>
    </row>
    <row r="10008" spans="1:18" hidden="1" x14ac:dyDescent="0.3">
      <c r="A10008" s="9" t="s">
        <v>28442</v>
      </c>
      <c r="B10008" s="9" t="s">
        <v>28443</v>
      </c>
      <c r="C10008" s="11" t="s">
        <v>28</v>
      </c>
      <c r="D10008" s="9" t="s">
        <v>28444</v>
      </c>
      <c r="E10008" s="11" t="s">
        <v>28</v>
      </c>
      <c r="F10008" s="10" t="s">
        <v>28</v>
      </c>
      <c r="G10008" s="10" t="s">
        <v>28</v>
      </c>
      <c r="H10008" s="10" t="s">
        <v>28</v>
      </c>
      <c r="I10008" s="11" t="s">
        <v>28</v>
      </c>
      <c r="J10008" s="11" t="s">
        <v>28</v>
      </c>
      <c r="K10008" s="11" t="s">
        <v>28</v>
      </c>
      <c r="L10008" s="11" t="s">
        <v>28</v>
      </c>
      <c r="M10008" s="11" t="s">
        <v>28</v>
      </c>
      <c r="N10008" s="8">
        <v>42005</v>
      </c>
      <c r="O10008" s="9" t="s">
        <v>30</v>
      </c>
      <c r="P10008" s="12" t="s">
        <v>28445</v>
      </c>
      <c r="Q10008" s="9" t="s">
        <v>280</v>
      </c>
      <c r="R10008" s="14" t="str">
        <f>HYPERLINK("https://my.pitchbook.com?c=209461-87T","View Company Online")</f>
        <v>View Company Online</v>
      </c>
    </row>
    <row r="10009" spans="1:18" hidden="1" x14ac:dyDescent="0.3">
      <c r="A10009" s="15" t="s">
        <v>28446</v>
      </c>
      <c r="B10009" s="15" t="s">
        <v>11298</v>
      </c>
      <c r="C10009" s="18" t="s">
        <v>28</v>
      </c>
      <c r="D10009" s="15" t="s">
        <v>11299</v>
      </c>
      <c r="E10009" s="18" t="s">
        <v>28</v>
      </c>
      <c r="F10009" s="19" t="s">
        <v>28</v>
      </c>
      <c r="G10009" s="19" t="s">
        <v>28</v>
      </c>
      <c r="H10009" s="19" t="s">
        <v>28</v>
      </c>
      <c r="I10009" s="18" t="s">
        <v>28</v>
      </c>
      <c r="J10009" s="18" t="s">
        <v>28</v>
      </c>
      <c r="K10009" s="18" t="s">
        <v>28</v>
      </c>
      <c r="L10009" s="18" t="s">
        <v>28</v>
      </c>
      <c r="M10009" s="18" t="s">
        <v>28</v>
      </c>
      <c r="N10009" s="17">
        <v>42005</v>
      </c>
      <c r="O10009" s="15" t="s">
        <v>379</v>
      </c>
      <c r="P10009" s="16" t="s">
        <v>28</v>
      </c>
      <c r="Q10009" s="15" t="s">
        <v>249</v>
      </c>
      <c r="R10009" s="13" t="str">
        <f>HYPERLINK("https://my.pitchbook.com?c=100659-43T","View Company Online")</f>
        <v>View Company Online</v>
      </c>
    </row>
    <row r="10010" spans="1:18" hidden="1" x14ac:dyDescent="0.3">
      <c r="A10010" s="9" t="s">
        <v>28447</v>
      </c>
      <c r="B10010" s="9" t="s">
        <v>11298</v>
      </c>
      <c r="C10010" s="11" t="s">
        <v>28</v>
      </c>
      <c r="D10010" s="9" t="s">
        <v>11299</v>
      </c>
      <c r="E10010" s="11" t="s">
        <v>28</v>
      </c>
      <c r="F10010" s="10" t="s">
        <v>28</v>
      </c>
      <c r="G10010" s="10" t="s">
        <v>28</v>
      </c>
      <c r="H10010" s="10" t="s">
        <v>28</v>
      </c>
      <c r="I10010" s="11" t="s">
        <v>28</v>
      </c>
      <c r="J10010" s="11" t="s">
        <v>28</v>
      </c>
      <c r="K10010" s="11" t="s">
        <v>28</v>
      </c>
      <c r="L10010" s="11" t="s">
        <v>28</v>
      </c>
      <c r="M10010" s="11" t="s">
        <v>28</v>
      </c>
      <c r="N10010" s="8">
        <v>42005</v>
      </c>
      <c r="O10010" s="9" t="s">
        <v>52</v>
      </c>
      <c r="P10010" s="12" t="s">
        <v>8895</v>
      </c>
      <c r="Q10010" s="9" t="s">
        <v>249</v>
      </c>
      <c r="R10010" s="14" t="str">
        <f>HYPERLINK("https://my.pitchbook.com?c=100663-66T","View Company Online")</f>
        <v>View Company Online</v>
      </c>
    </row>
    <row r="10011" spans="1:18" hidden="1" x14ac:dyDescent="0.3">
      <c r="A10011" s="15" t="s">
        <v>28448</v>
      </c>
      <c r="B10011" s="15" t="s">
        <v>25088</v>
      </c>
      <c r="C10011" s="18" t="s">
        <v>28</v>
      </c>
      <c r="D10011" s="15" t="s">
        <v>25089</v>
      </c>
      <c r="E10011" s="18" t="s">
        <v>28</v>
      </c>
      <c r="F10011" s="19" t="s">
        <v>28</v>
      </c>
      <c r="G10011" s="19" t="s">
        <v>28</v>
      </c>
      <c r="H10011" s="19" t="s">
        <v>28</v>
      </c>
      <c r="I10011" s="18" t="s">
        <v>28</v>
      </c>
      <c r="J10011" s="18" t="s">
        <v>28</v>
      </c>
      <c r="K10011" s="18" t="s">
        <v>28</v>
      </c>
      <c r="L10011" s="18" t="s">
        <v>28</v>
      </c>
      <c r="M10011" s="18" t="s">
        <v>28</v>
      </c>
      <c r="N10011" s="17">
        <v>42005</v>
      </c>
      <c r="O10011" s="15" t="s">
        <v>52</v>
      </c>
      <c r="P10011" s="16" t="s">
        <v>1792</v>
      </c>
      <c r="Q10011" s="15" t="s">
        <v>75</v>
      </c>
      <c r="R10011" s="13" t="str">
        <f>HYPERLINK("https://my.pitchbook.com?c=85533-94T","View Company Online")</f>
        <v>View Company Online</v>
      </c>
    </row>
    <row r="10012" spans="1:18" hidden="1" x14ac:dyDescent="0.3">
      <c r="A10012" s="9" t="s">
        <v>28449</v>
      </c>
      <c r="B10012" s="9" t="s">
        <v>23502</v>
      </c>
      <c r="C10012" s="11" t="s">
        <v>28</v>
      </c>
      <c r="D10012" s="9" t="s">
        <v>23503</v>
      </c>
      <c r="E10012" s="11" t="s">
        <v>28</v>
      </c>
      <c r="F10012" s="10" t="s">
        <v>28</v>
      </c>
      <c r="G10012" s="10">
        <v>1</v>
      </c>
      <c r="H10012" s="10">
        <v>4</v>
      </c>
      <c r="I10012" s="11" t="s">
        <v>28</v>
      </c>
      <c r="J10012" s="11" t="s">
        <v>28</v>
      </c>
      <c r="K10012" s="11" t="s">
        <v>28</v>
      </c>
      <c r="L10012" s="11" t="s">
        <v>28</v>
      </c>
      <c r="M10012" s="11" t="s">
        <v>28</v>
      </c>
      <c r="N10012" s="8">
        <v>42005</v>
      </c>
      <c r="O10012" s="9" t="s">
        <v>73</v>
      </c>
      <c r="P10012" s="12" t="s">
        <v>28450</v>
      </c>
      <c r="Q10012" s="9" t="s">
        <v>95</v>
      </c>
      <c r="R10012" s="14" t="str">
        <f>HYPERLINK("https://my.pitchbook.com?c=52348-96T","View Company Online")</f>
        <v>View Company Online</v>
      </c>
    </row>
    <row r="10013" spans="1:18" hidden="1" x14ac:dyDescent="0.3">
      <c r="A10013" s="15" t="s">
        <v>28451</v>
      </c>
      <c r="B10013" s="15" t="s">
        <v>25682</v>
      </c>
      <c r="C10013" s="18" t="s">
        <v>28</v>
      </c>
      <c r="D10013" s="15" t="s">
        <v>25683</v>
      </c>
      <c r="E10013" s="18" t="s">
        <v>28</v>
      </c>
      <c r="F10013" s="19" t="s">
        <v>28</v>
      </c>
      <c r="G10013" s="19">
        <v>0.95</v>
      </c>
      <c r="H10013" s="19" t="s">
        <v>28</v>
      </c>
      <c r="I10013" s="18" t="s">
        <v>28</v>
      </c>
      <c r="J10013" s="18" t="s">
        <v>28</v>
      </c>
      <c r="K10013" s="18" t="s">
        <v>28</v>
      </c>
      <c r="L10013" s="18" t="s">
        <v>28</v>
      </c>
      <c r="M10013" s="18" t="s">
        <v>28</v>
      </c>
      <c r="N10013" s="17">
        <v>42005</v>
      </c>
      <c r="O10013" s="15" t="s">
        <v>9098</v>
      </c>
      <c r="P10013" s="16" t="s">
        <v>28</v>
      </c>
      <c r="Q10013" s="15" t="s">
        <v>1191</v>
      </c>
      <c r="R10013" s="13" t="str">
        <f>HYPERLINK("https://my.pitchbook.com?c=193386-70T","View Company Online")</f>
        <v>View Company Online</v>
      </c>
    </row>
    <row r="10014" spans="1:18" hidden="1" x14ac:dyDescent="0.3">
      <c r="A10014" s="9" t="s">
        <v>28452</v>
      </c>
      <c r="B10014" s="9" t="s">
        <v>28453</v>
      </c>
      <c r="C10014" s="11" t="s">
        <v>28</v>
      </c>
      <c r="D10014" s="9" t="s">
        <v>28454</v>
      </c>
      <c r="E10014" s="11" t="s">
        <v>28</v>
      </c>
      <c r="F10014" s="10" t="s">
        <v>28</v>
      </c>
      <c r="G10014" s="10" t="s">
        <v>28</v>
      </c>
      <c r="H10014" s="10" t="s">
        <v>28</v>
      </c>
      <c r="I10014" s="11" t="s">
        <v>28</v>
      </c>
      <c r="J10014" s="11" t="s">
        <v>28</v>
      </c>
      <c r="K10014" s="11" t="s">
        <v>28</v>
      </c>
      <c r="L10014" s="11" t="s">
        <v>28</v>
      </c>
      <c r="M10014" s="11" t="s">
        <v>28</v>
      </c>
      <c r="N10014" s="8">
        <v>42005</v>
      </c>
      <c r="O10014" s="9" t="s">
        <v>52</v>
      </c>
      <c r="P10014" s="12" t="s">
        <v>11539</v>
      </c>
      <c r="Q10014" s="9" t="s">
        <v>362</v>
      </c>
      <c r="R10014" s="14" t="str">
        <f>HYPERLINK("https://my.pitchbook.com?c=79957-27T","View Company Online")</f>
        <v>View Company Online</v>
      </c>
    </row>
    <row r="10015" spans="1:18" hidden="1" x14ac:dyDescent="0.3">
      <c r="A10015" s="15" t="s">
        <v>28455</v>
      </c>
      <c r="B10015" s="15" t="s">
        <v>28456</v>
      </c>
      <c r="C10015" s="18" t="s">
        <v>28</v>
      </c>
      <c r="D10015" s="15" t="s">
        <v>28457</v>
      </c>
      <c r="E10015" s="18" t="s">
        <v>28</v>
      </c>
      <c r="F10015" s="19" t="s">
        <v>28</v>
      </c>
      <c r="G10015" s="19" t="s">
        <v>28</v>
      </c>
      <c r="H10015" s="19" t="s">
        <v>28</v>
      </c>
      <c r="I10015" s="18" t="s">
        <v>28</v>
      </c>
      <c r="J10015" s="18" t="s">
        <v>28</v>
      </c>
      <c r="K10015" s="18" t="s">
        <v>28</v>
      </c>
      <c r="L10015" s="18" t="s">
        <v>28</v>
      </c>
      <c r="M10015" s="18" t="s">
        <v>28</v>
      </c>
      <c r="N10015" s="17">
        <v>42005</v>
      </c>
      <c r="O10015" s="15" t="s">
        <v>30</v>
      </c>
      <c r="P10015" s="16" t="s">
        <v>28458</v>
      </c>
      <c r="Q10015" s="15" t="s">
        <v>280</v>
      </c>
      <c r="R10015" s="13" t="str">
        <f>HYPERLINK("https://my.pitchbook.com?c=242663-23T","View Company Online")</f>
        <v>View Company Online</v>
      </c>
    </row>
    <row r="10016" spans="1:18" hidden="1" x14ac:dyDescent="0.3">
      <c r="A10016" s="9" t="s">
        <v>28459</v>
      </c>
      <c r="B10016" s="9" t="s">
        <v>28460</v>
      </c>
      <c r="C10016" s="11" t="s">
        <v>28</v>
      </c>
      <c r="D10016" s="9" t="s">
        <v>28461</v>
      </c>
      <c r="E10016" s="11" t="s">
        <v>28</v>
      </c>
      <c r="F10016" s="10" t="s">
        <v>28</v>
      </c>
      <c r="G10016" s="10">
        <v>0.08</v>
      </c>
      <c r="H10016" s="10" t="s">
        <v>28</v>
      </c>
      <c r="I10016" s="11" t="s">
        <v>28</v>
      </c>
      <c r="J10016" s="11" t="s">
        <v>28</v>
      </c>
      <c r="K10016" s="11" t="s">
        <v>28</v>
      </c>
      <c r="L10016" s="11" t="s">
        <v>28</v>
      </c>
      <c r="M10016" s="11" t="s">
        <v>28</v>
      </c>
      <c r="N10016" s="8">
        <v>42005</v>
      </c>
      <c r="O10016" s="9" t="s">
        <v>52</v>
      </c>
      <c r="P10016" s="12" t="s">
        <v>11539</v>
      </c>
      <c r="Q10016" s="9" t="s">
        <v>1191</v>
      </c>
      <c r="R10016" s="14" t="str">
        <f>HYPERLINK("https://my.pitchbook.com?c=65930-32T","View Company Online")</f>
        <v>View Company Online</v>
      </c>
    </row>
    <row r="10017" spans="1:18" hidden="1" x14ac:dyDescent="0.3">
      <c r="A10017" s="15" t="s">
        <v>28462</v>
      </c>
      <c r="B10017" s="15" t="s">
        <v>28463</v>
      </c>
      <c r="C10017" s="18" t="s">
        <v>28</v>
      </c>
      <c r="D10017" s="15" t="s">
        <v>28464</v>
      </c>
      <c r="E10017" s="18" t="s">
        <v>28</v>
      </c>
      <c r="F10017" s="19" t="s">
        <v>28</v>
      </c>
      <c r="G10017" s="19" t="s">
        <v>28</v>
      </c>
      <c r="H10017" s="19" t="s">
        <v>28</v>
      </c>
      <c r="I10017" s="18" t="s">
        <v>28</v>
      </c>
      <c r="J10017" s="18" t="s">
        <v>28</v>
      </c>
      <c r="K10017" s="18" t="s">
        <v>28</v>
      </c>
      <c r="L10017" s="18" t="s">
        <v>28</v>
      </c>
      <c r="M10017" s="18" t="s">
        <v>28</v>
      </c>
      <c r="N10017" s="17">
        <v>42005</v>
      </c>
      <c r="O10017" s="15" t="s">
        <v>908</v>
      </c>
      <c r="P10017" s="16" t="s">
        <v>28</v>
      </c>
      <c r="Q10017" s="15" t="s">
        <v>54</v>
      </c>
      <c r="R10017" s="13" t="str">
        <f>HYPERLINK("https://my.pitchbook.com?c=110886-76T","View Company Online")</f>
        <v>View Company Online</v>
      </c>
    </row>
    <row r="10018" spans="1:18" hidden="1" x14ac:dyDescent="0.3">
      <c r="A10018" s="9" t="s">
        <v>28465</v>
      </c>
      <c r="B10018" s="9" t="s">
        <v>28466</v>
      </c>
      <c r="C10018" s="11" t="s">
        <v>28</v>
      </c>
      <c r="D10018" s="9" t="s">
        <v>28467</v>
      </c>
      <c r="E10018" s="11" t="s">
        <v>28</v>
      </c>
      <c r="F10018" s="10" t="s">
        <v>28</v>
      </c>
      <c r="G10018" s="10" t="s">
        <v>28</v>
      </c>
      <c r="H10018" s="10" t="s">
        <v>28</v>
      </c>
      <c r="I10018" s="11" t="s">
        <v>28</v>
      </c>
      <c r="J10018" s="11" t="s">
        <v>28</v>
      </c>
      <c r="K10018" s="11" t="s">
        <v>28</v>
      </c>
      <c r="L10018" s="11" t="s">
        <v>28</v>
      </c>
      <c r="M10018" s="11" t="s">
        <v>28</v>
      </c>
      <c r="N10018" s="8">
        <v>42005</v>
      </c>
      <c r="O10018" s="9" t="s">
        <v>93</v>
      </c>
      <c r="P10018" s="12" t="s">
        <v>28468</v>
      </c>
      <c r="Q10018" s="9" t="s">
        <v>409</v>
      </c>
      <c r="R10018" s="14" t="str">
        <f>HYPERLINK("https://my.pitchbook.com?c=81851-77T","View Company Online")</f>
        <v>View Company Online</v>
      </c>
    </row>
    <row r="10019" spans="1:18" hidden="1" x14ac:dyDescent="0.3">
      <c r="A10019" s="15" t="s">
        <v>28469</v>
      </c>
      <c r="B10019" s="15" t="s">
        <v>16062</v>
      </c>
      <c r="C10019" s="18" t="s">
        <v>28</v>
      </c>
      <c r="D10019" s="15" t="s">
        <v>16063</v>
      </c>
      <c r="E10019" s="18" t="s">
        <v>28</v>
      </c>
      <c r="F10019" s="19" t="s">
        <v>28</v>
      </c>
      <c r="G10019" s="19" t="s">
        <v>28</v>
      </c>
      <c r="H10019" s="19" t="s">
        <v>28</v>
      </c>
      <c r="I10019" s="18" t="s">
        <v>28</v>
      </c>
      <c r="J10019" s="18" t="s">
        <v>28</v>
      </c>
      <c r="K10019" s="18" t="s">
        <v>28</v>
      </c>
      <c r="L10019" s="18" t="s">
        <v>28</v>
      </c>
      <c r="M10019" s="18" t="s">
        <v>28</v>
      </c>
      <c r="N10019" s="17">
        <v>42005</v>
      </c>
      <c r="O10019" s="15" t="s">
        <v>379</v>
      </c>
      <c r="P10019" s="16" t="s">
        <v>28470</v>
      </c>
      <c r="Q10019" s="15" t="s">
        <v>3973</v>
      </c>
      <c r="R10019" s="13" t="str">
        <f>HYPERLINK("https://my.pitchbook.com?c=130554-19T","View Company Online")</f>
        <v>View Company Online</v>
      </c>
    </row>
    <row r="10020" spans="1:18" hidden="1" x14ac:dyDescent="0.3">
      <c r="A10020" s="9" t="s">
        <v>28471</v>
      </c>
      <c r="B10020" s="9" t="s">
        <v>28472</v>
      </c>
      <c r="C10020" s="11" t="s">
        <v>28</v>
      </c>
      <c r="D10020" s="9" t="s">
        <v>28473</v>
      </c>
      <c r="E10020" s="11" t="s">
        <v>28</v>
      </c>
      <c r="F10020" s="10" t="s">
        <v>28</v>
      </c>
      <c r="G10020" s="10" t="s">
        <v>28</v>
      </c>
      <c r="H10020" s="10" t="s">
        <v>28</v>
      </c>
      <c r="I10020" s="11" t="s">
        <v>28</v>
      </c>
      <c r="J10020" s="11" t="s">
        <v>28</v>
      </c>
      <c r="K10020" s="11" t="s">
        <v>28</v>
      </c>
      <c r="L10020" s="11" t="s">
        <v>28</v>
      </c>
      <c r="M10020" s="11" t="s">
        <v>28</v>
      </c>
      <c r="N10020" s="8">
        <v>42005</v>
      </c>
      <c r="O10020" s="9" t="s">
        <v>30</v>
      </c>
      <c r="P10020" s="12" t="s">
        <v>28474</v>
      </c>
      <c r="Q10020" s="9" t="s">
        <v>43</v>
      </c>
      <c r="R10020" s="14" t="str">
        <f>HYPERLINK("https://my.pitchbook.com?c=96090-13T","View Company Online")</f>
        <v>View Company Online</v>
      </c>
    </row>
    <row r="10021" spans="1:18" hidden="1" x14ac:dyDescent="0.3">
      <c r="A10021" s="15" t="s">
        <v>28475</v>
      </c>
      <c r="B10021" s="15" t="s">
        <v>20380</v>
      </c>
      <c r="C10021" s="18" t="s">
        <v>28</v>
      </c>
      <c r="D10021" s="15" t="s">
        <v>20381</v>
      </c>
      <c r="E10021" s="18" t="s">
        <v>28</v>
      </c>
      <c r="F10021" s="19" t="s">
        <v>28</v>
      </c>
      <c r="G10021" s="19">
        <v>0.02</v>
      </c>
      <c r="H10021" s="19" t="s">
        <v>28</v>
      </c>
      <c r="I10021" s="18" t="s">
        <v>28</v>
      </c>
      <c r="J10021" s="18" t="s">
        <v>28</v>
      </c>
      <c r="K10021" s="18" t="s">
        <v>28</v>
      </c>
      <c r="L10021" s="18" t="s">
        <v>28</v>
      </c>
      <c r="M10021" s="18" t="s">
        <v>28</v>
      </c>
      <c r="N10021" s="17">
        <v>42005</v>
      </c>
      <c r="O10021" s="15" t="s">
        <v>52</v>
      </c>
      <c r="P10021" s="16" t="s">
        <v>27753</v>
      </c>
      <c r="Q10021" s="15" t="s">
        <v>5628</v>
      </c>
      <c r="R10021" s="13" t="str">
        <f>HYPERLINK("https://my.pitchbook.com?c=114646-33T","View Company Online")</f>
        <v>View Company Online</v>
      </c>
    </row>
    <row r="10022" spans="1:18" hidden="1" x14ac:dyDescent="0.3">
      <c r="A10022" s="9" t="s">
        <v>28476</v>
      </c>
      <c r="B10022" s="9" t="s">
        <v>28477</v>
      </c>
      <c r="C10022" s="11" t="s">
        <v>28</v>
      </c>
      <c r="D10022" s="9" t="s">
        <v>28478</v>
      </c>
      <c r="E10022" s="11" t="s">
        <v>28</v>
      </c>
      <c r="F10022" s="10" t="s">
        <v>28</v>
      </c>
      <c r="G10022" s="10" t="s">
        <v>28</v>
      </c>
      <c r="H10022" s="10" t="s">
        <v>28</v>
      </c>
      <c r="I10022" s="11" t="s">
        <v>28</v>
      </c>
      <c r="J10022" s="11" t="s">
        <v>28</v>
      </c>
      <c r="K10022" s="11" t="s">
        <v>28</v>
      </c>
      <c r="L10022" s="11" t="s">
        <v>28</v>
      </c>
      <c r="M10022" s="11" t="s">
        <v>28</v>
      </c>
      <c r="N10022" s="8">
        <v>42005</v>
      </c>
      <c r="O10022" s="9" t="s">
        <v>52</v>
      </c>
      <c r="P10022" s="12" t="s">
        <v>9686</v>
      </c>
      <c r="Q10022" s="9" t="s">
        <v>75</v>
      </c>
      <c r="R10022" s="14" t="str">
        <f>HYPERLINK("https://my.pitchbook.com?c=146209-42T","View Company Online")</f>
        <v>View Company Online</v>
      </c>
    </row>
    <row r="10023" spans="1:18" hidden="1" x14ac:dyDescent="0.3">
      <c r="A10023" s="15" t="s">
        <v>28479</v>
      </c>
      <c r="B10023" s="15" t="s">
        <v>24672</v>
      </c>
      <c r="C10023" s="18" t="s">
        <v>28</v>
      </c>
      <c r="D10023" s="15" t="s">
        <v>24673</v>
      </c>
      <c r="E10023" s="18" t="s">
        <v>28</v>
      </c>
      <c r="F10023" s="19" t="s">
        <v>28</v>
      </c>
      <c r="G10023" s="19" t="s">
        <v>28</v>
      </c>
      <c r="H10023" s="19" t="s">
        <v>28</v>
      </c>
      <c r="I10023" s="18" t="s">
        <v>28</v>
      </c>
      <c r="J10023" s="18" t="s">
        <v>28</v>
      </c>
      <c r="K10023" s="18" t="s">
        <v>28</v>
      </c>
      <c r="L10023" s="18" t="s">
        <v>28</v>
      </c>
      <c r="M10023" s="18" t="s">
        <v>28</v>
      </c>
      <c r="N10023" s="17">
        <v>42005</v>
      </c>
      <c r="O10023" s="15" t="s">
        <v>52</v>
      </c>
      <c r="P10023" s="16" t="s">
        <v>16924</v>
      </c>
      <c r="Q10023" s="15" t="s">
        <v>54</v>
      </c>
      <c r="R10023" s="13" t="str">
        <f>HYPERLINK("https://my.pitchbook.com?c=166031-56T","View Company Online")</f>
        <v>View Company Online</v>
      </c>
    </row>
    <row r="10024" spans="1:18" hidden="1" x14ac:dyDescent="0.3">
      <c r="A10024" s="9" t="s">
        <v>28480</v>
      </c>
      <c r="B10024" s="9" t="s">
        <v>17535</v>
      </c>
      <c r="C10024" s="11" t="s">
        <v>28</v>
      </c>
      <c r="D10024" s="9" t="s">
        <v>17536</v>
      </c>
      <c r="E10024" s="11" t="s">
        <v>28</v>
      </c>
      <c r="F10024" s="10" t="s">
        <v>28</v>
      </c>
      <c r="G10024" s="10" t="s">
        <v>28</v>
      </c>
      <c r="H10024" s="10" t="s">
        <v>28</v>
      </c>
      <c r="I10024" s="11" t="s">
        <v>28</v>
      </c>
      <c r="J10024" s="11" t="s">
        <v>28</v>
      </c>
      <c r="K10024" s="11" t="s">
        <v>28</v>
      </c>
      <c r="L10024" s="11" t="s">
        <v>28</v>
      </c>
      <c r="M10024" s="11" t="s">
        <v>28</v>
      </c>
      <c r="N10024" s="8">
        <v>42005</v>
      </c>
      <c r="O10024" s="9" t="s">
        <v>99</v>
      </c>
      <c r="P10024" s="12" t="s">
        <v>28408</v>
      </c>
      <c r="Q10024" s="9" t="s">
        <v>95</v>
      </c>
      <c r="R10024" s="14" t="str">
        <f>HYPERLINK("https://my.pitchbook.com?c=74859-76T","View Company Online")</f>
        <v>View Company Online</v>
      </c>
    </row>
    <row r="10025" spans="1:18" hidden="1" x14ac:dyDescent="0.3">
      <c r="A10025" s="15" t="s">
        <v>28481</v>
      </c>
      <c r="B10025" s="15" t="s">
        <v>28482</v>
      </c>
      <c r="C10025" s="18" t="s">
        <v>28</v>
      </c>
      <c r="D10025" s="15" t="s">
        <v>28483</v>
      </c>
      <c r="E10025" s="18" t="s">
        <v>28</v>
      </c>
      <c r="F10025" s="19" t="s">
        <v>28</v>
      </c>
      <c r="G10025" s="19">
        <v>18.43</v>
      </c>
      <c r="H10025" s="19" t="s">
        <v>28</v>
      </c>
      <c r="I10025" s="18" t="s">
        <v>28</v>
      </c>
      <c r="J10025" s="18" t="s">
        <v>28</v>
      </c>
      <c r="K10025" s="18" t="s">
        <v>28</v>
      </c>
      <c r="L10025" s="18" t="s">
        <v>28</v>
      </c>
      <c r="M10025" s="18" t="s">
        <v>28</v>
      </c>
      <c r="N10025" s="17">
        <v>42005</v>
      </c>
      <c r="O10025" s="15" t="s">
        <v>93</v>
      </c>
      <c r="P10025" s="16" t="s">
        <v>28484</v>
      </c>
      <c r="Q10025" s="15" t="s">
        <v>136</v>
      </c>
      <c r="R10025" s="13" t="str">
        <f>HYPERLINK("https://my.pitchbook.com?c=207105-13T","View Company Online")</f>
        <v>View Company Online</v>
      </c>
    </row>
    <row r="10026" spans="1:18" hidden="1" x14ac:dyDescent="0.3">
      <c r="A10026" s="9" t="s">
        <v>28485</v>
      </c>
      <c r="B10026" s="9" t="s">
        <v>13597</v>
      </c>
      <c r="C10026" s="11" t="s">
        <v>28</v>
      </c>
      <c r="D10026" s="9" t="s">
        <v>13598</v>
      </c>
      <c r="E10026" s="11" t="s">
        <v>28</v>
      </c>
      <c r="F10026" s="10" t="s">
        <v>28</v>
      </c>
      <c r="G10026" s="10" t="s">
        <v>28</v>
      </c>
      <c r="H10026" s="10" t="s">
        <v>28</v>
      </c>
      <c r="I10026" s="11" t="s">
        <v>28</v>
      </c>
      <c r="J10026" s="11" t="s">
        <v>28</v>
      </c>
      <c r="K10026" s="11" t="s">
        <v>28</v>
      </c>
      <c r="L10026" s="11" t="s">
        <v>28</v>
      </c>
      <c r="M10026" s="11" t="s">
        <v>28</v>
      </c>
      <c r="N10026" s="8">
        <v>42005</v>
      </c>
      <c r="O10026" s="9" t="s">
        <v>379</v>
      </c>
      <c r="P10026" s="12" t="s">
        <v>28</v>
      </c>
      <c r="Q10026" s="9" t="s">
        <v>249</v>
      </c>
      <c r="R10026" s="14" t="str">
        <f>HYPERLINK("https://my.pitchbook.com?c=122937-13T","View Company Online")</f>
        <v>View Company Online</v>
      </c>
    </row>
    <row r="10027" spans="1:18" hidden="1" x14ac:dyDescent="0.3">
      <c r="A10027" s="15" t="s">
        <v>28486</v>
      </c>
      <c r="B10027" s="15" t="s">
        <v>13597</v>
      </c>
      <c r="C10027" s="18" t="s">
        <v>28</v>
      </c>
      <c r="D10027" s="15" t="s">
        <v>13598</v>
      </c>
      <c r="E10027" s="18" t="s">
        <v>28</v>
      </c>
      <c r="F10027" s="19" t="s">
        <v>28</v>
      </c>
      <c r="G10027" s="19">
        <v>0.04</v>
      </c>
      <c r="H10027" s="19" t="s">
        <v>28</v>
      </c>
      <c r="I10027" s="18" t="s">
        <v>28</v>
      </c>
      <c r="J10027" s="18" t="s">
        <v>28</v>
      </c>
      <c r="K10027" s="18" t="s">
        <v>28</v>
      </c>
      <c r="L10027" s="18" t="s">
        <v>28</v>
      </c>
      <c r="M10027" s="18" t="s">
        <v>28</v>
      </c>
      <c r="N10027" s="17">
        <v>42005</v>
      </c>
      <c r="O10027" s="15" t="s">
        <v>47</v>
      </c>
      <c r="P10027" s="16" t="s">
        <v>28487</v>
      </c>
      <c r="Q10027" s="15" t="s">
        <v>249</v>
      </c>
      <c r="R10027" s="13" t="str">
        <f>HYPERLINK("https://my.pitchbook.com?c=122937-31T","View Company Online")</f>
        <v>View Company Online</v>
      </c>
    </row>
    <row r="10028" spans="1:18" hidden="1" x14ac:dyDescent="0.3">
      <c r="A10028" s="9" t="s">
        <v>28488</v>
      </c>
      <c r="B10028" s="9" t="s">
        <v>10224</v>
      </c>
      <c r="C10028" s="11" t="s">
        <v>28</v>
      </c>
      <c r="D10028" s="9" t="s">
        <v>10225</v>
      </c>
      <c r="E10028" s="11" t="s">
        <v>28</v>
      </c>
      <c r="F10028" s="10" t="s">
        <v>28</v>
      </c>
      <c r="G10028" s="10">
        <v>0.15</v>
      </c>
      <c r="H10028" s="10" t="s">
        <v>28</v>
      </c>
      <c r="I10028" s="11" t="s">
        <v>28</v>
      </c>
      <c r="J10028" s="11" t="s">
        <v>28</v>
      </c>
      <c r="K10028" s="11" t="s">
        <v>28</v>
      </c>
      <c r="L10028" s="11" t="s">
        <v>28</v>
      </c>
      <c r="M10028" s="11" t="s">
        <v>28</v>
      </c>
      <c r="N10028" s="8">
        <v>42005</v>
      </c>
      <c r="O10028" s="9" t="s">
        <v>52</v>
      </c>
      <c r="P10028" s="12" t="s">
        <v>28489</v>
      </c>
      <c r="Q10028" s="9" t="s">
        <v>37</v>
      </c>
      <c r="R10028" s="14" t="str">
        <f>HYPERLINK("https://my.pitchbook.com?c=122377-24T","View Company Online")</f>
        <v>View Company Online</v>
      </c>
    </row>
    <row r="10029" spans="1:18" hidden="1" x14ac:dyDescent="0.3">
      <c r="A10029" s="15" t="s">
        <v>28490</v>
      </c>
      <c r="B10029" s="15" t="s">
        <v>28491</v>
      </c>
      <c r="C10029" s="18" t="s">
        <v>28</v>
      </c>
      <c r="D10029" s="15" t="s">
        <v>28492</v>
      </c>
      <c r="E10029" s="18" t="s">
        <v>28</v>
      </c>
      <c r="F10029" s="19" t="s">
        <v>28</v>
      </c>
      <c r="G10029" s="19" t="s">
        <v>28</v>
      </c>
      <c r="H10029" s="19" t="s">
        <v>28</v>
      </c>
      <c r="I10029" s="18" t="s">
        <v>28</v>
      </c>
      <c r="J10029" s="18" t="s">
        <v>28</v>
      </c>
      <c r="K10029" s="18" t="s">
        <v>28</v>
      </c>
      <c r="L10029" s="18" t="s">
        <v>28</v>
      </c>
      <c r="M10029" s="18" t="s">
        <v>28</v>
      </c>
      <c r="N10029" s="17">
        <v>42005</v>
      </c>
      <c r="O10029" s="15" t="s">
        <v>52</v>
      </c>
      <c r="P10029" s="16" t="s">
        <v>11539</v>
      </c>
      <c r="Q10029" s="15" t="s">
        <v>404</v>
      </c>
      <c r="R10029" s="13" t="str">
        <f>HYPERLINK("https://my.pitchbook.com?c=133034-05T","View Company Online")</f>
        <v>View Company Online</v>
      </c>
    </row>
    <row r="10030" spans="1:18" hidden="1" x14ac:dyDescent="0.3">
      <c r="A10030" s="9" t="s">
        <v>28493</v>
      </c>
      <c r="B10030" s="9" t="s">
        <v>28491</v>
      </c>
      <c r="C10030" s="11" t="s">
        <v>28</v>
      </c>
      <c r="D10030" s="9" t="s">
        <v>28492</v>
      </c>
      <c r="E10030" s="11" t="s">
        <v>28</v>
      </c>
      <c r="F10030" s="10" t="s">
        <v>28</v>
      </c>
      <c r="G10030" s="10" t="s">
        <v>28</v>
      </c>
      <c r="H10030" s="10" t="s">
        <v>28</v>
      </c>
      <c r="I10030" s="11" t="s">
        <v>28</v>
      </c>
      <c r="J10030" s="11" t="s">
        <v>28</v>
      </c>
      <c r="K10030" s="11" t="s">
        <v>28</v>
      </c>
      <c r="L10030" s="11" t="s">
        <v>28</v>
      </c>
      <c r="M10030" s="11" t="s">
        <v>28</v>
      </c>
      <c r="N10030" s="8">
        <v>42005</v>
      </c>
      <c r="O10030" s="9" t="s">
        <v>52</v>
      </c>
      <c r="P10030" s="12" t="s">
        <v>28494</v>
      </c>
      <c r="Q10030" s="9" t="s">
        <v>404</v>
      </c>
      <c r="R10030" s="14" t="str">
        <f>HYPERLINK("https://my.pitchbook.com?c=133042-51T","View Company Online")</f>
        <v>View Company Online</v>
      </c>
    </row>
    <row r="10031" spans="1:18" hidden="1" x14ac:dyDescent="0.3">
      <c r="A10031" s="15" t="s">
        <v>28495</v>
      </c>
      <c r="B10031" s="15" t="s">
        <v>14867</v>
      </c>
      <c r="C10031" s="18" t="s">
        <v>28</v>
      </c>
      <c r="D10031" s="15" t="s">
        <v>14868</v>
      </c>
      <c r="E10031" s="18" t="s">
        <v>28</v>
      </c>
      <c r="F10031" s="19" t="s">
        <v>28</v>
      </c>
      <c r="G10031" s="19" t="s">
        <v>28</v>
      </c>
      <c r="H10031" s="19" t="s">
        <v>28</v>
      </c>
      <c r="I10031" s="18" t="s">
        <v>28</v>
      </c>
      <c r="J10031" s="18" t="s">
        <v>28</v>
      </c>
      <c r="K10031" s="18" t="s">
        <v>28</v>
      </c>
      <c r="L10031" s="18" t="s">
        <v>28</v>
      </c>
      <c r="M10031" s="18" t="s">
        <v>28</v>
      </c>
      <c r="N10031" s="17">
        <v>42005</v>
      </c>
      <c r="O10031" s="15" t="s">
        <v>73</v>
      </c>
      <c r="P10031" s="16" t="s">
        <v>15304</v>
      </c>
      <c r="Q10031" s="15" t="s">
        <v>583</v>
      </c>
      <c r="R10031" s="13" t="str">
        <f>HYPERLINK("https://my.pitchbook.com?c=126645-49T","View Company Online")</f>
        <v>View Company Online</v>
      </c>
    </row>
    <row r="10032" spans="1:18" hidden="1" x14ac:dyDescent="0.3">
      <c r="A10032" s="9" t="s">
        <v>28496</v>
      </c>
      <c r="B10032" s="9" t="s">
        <v>16209</v>
      </c>
      <c r="C10032" s="11" t="s">
        <v>28</v>
      </c>
      <c r="D10032" s="9" t="s">
        <v>16210</v>
      </c>
      <c r="E10032" s="11" t="s">
        <v>28</v>
      </c>
      <c r="F10032" s="10" t="s">
        <v>28</v>
      </c>
      <c r="G10032" s="10" t="s">
        <v>28</v>
      </c>
      <c r="H10032" s="10" t="s">
        <v>28</v>
      </c>
      <c r="I10032" s="11" t="s">
        <v>28</v>
      </c>
      <c r="J10032" s="11" t="s">
        <v>28</v>
      </c>
      <c r="K10032" s="11" t="s">
        <v>28</v>
      </c>
      <c r="L10032" s="11" t="s">
        <v>28</v>
      </c>
      <c r="M10032" s="11" t="s">
        <v>28</v>
      </c>
      <c r="N10032" s="8">
        <v>42005</v>
      </c>
      <c r="O10032" s="9" t="s">
        <v>52</v>
      </c>
      <c r="P10032" s="12" t="s">
        <v>7022</v>
      </c>
      <c r="Q10032" s="9" t="s">
        <v>245</v>
      </c>
      <c r="R10032" s="14" t="str">
        <f>HYPERLINK("https://my.pitchbook.com?c=77804-20T","View Company Online")</f>
        <v>View Company Online</v>
      </c>
    </row>
    <row r="10033" spans="1:18" hidden="1" x14ac:dyDescent="0.3">
      <c r="A10033" s="15" t="s">
        <v>28497</v>
      </c>
      <c r="B10033" s="15" t="s">
        <v>18502</v>
      </c>
      <c r="C10033" s="18" t="s">
        <v>28</v>
      </c>
      <c r="D10033" s="15" t="s">
        <v>18503</v>
      </c>
      <c r="E10033" s="18" t="s">
        <v>28</v>
      </c>
      <c r="F10033" s="19" t="s">
        <v>28</v>
      </c>
      <c r="G10033" s="19" t="s">
        <v>28</v>
      </c>
      <c r="H10033" s="19" t="s">
        <v>28</v>
      </c>
      <c r="I10033" s="18" t="s">
        <v>28</v>
      </c>
      <c r="J10033" s="18" t="s">
        <v>28</v>
      </c>
      <c r="K10033" s="18" t="s">
        <v>28</v>
      </c>
      <c r="L10033" s="18" t="s">
        <v>28</v>
      </c>
      <c r="M10033" s="18" t="s">
        <v>28</v>
      </c>
      <c r="N10033" s="17">
        <v>42005</v>
      </c>
      <c r="O10033" s="15" t="s">
        <v>52</v>
      </c>
      <c r="P10033" s="16" t="s">
        <v>1970</v>
      </c>
      <c r="Q10033" s="15" t="s">
        <v>245</v>
      </c>
      <c r="R10033" s="13" t="str">
        <f>HYPERLINK("https://my.pitchbook.com?c=291128-59T","View Company Online")</f>
        <v>View Company Online</v>
      </c>
    </row>
    <row r="10034" spans="1:18" hidden="1" x14ac:dyDescent="0.3">
      <c r="A10034" s="9" t="s">
        <v>28498</v>
      </c>
      <c r="B10034" s="9" t="s">
        <v>27844</v>
      </c>
      <c r="C10034" s="11" t="s">
        <v>28</v>
      </c>
      <c r="D10034" s="9" t="s">
        <v>27845</v>
      </c>
      <c r="E10034" s="11" t="s">
        <v>28</v>
      </c>
      <c r="F10034" s="10" t="s">
        <v>28</v>
      </c>
      <c r="G10034" s="10" t="s">
        <v>28</v>
      </c>
      <c r="H10034" s="10" t="s">
        <v>28</v>
      </c>
      <c r="I10034" s="11" t="s">
        <v>28</v>
      </c>
      <c r="J10034" s="11" t="s">
        <v>28</v>
      </c>
      <c r="K10034" s="11" t="s">
        <v>28</v>
      </c>
      <c r="L10034" s="11" t="s">
        <v>28</v>
      </c>
      <c r="M10034" s="11" t="s">
        <v>28</v>
      </c>
      <c r="N10034" s="8">
        <v>42005</v>
      </c>
      <c r="O10034" s="9" t="s">
        <v>52</v>
      </c>
      <c r="P10034" s="12" t="s">
        <v>2235</v>
      </c>
      <c r="Q10034" s="9" t="s">
        <v>85</v>
      </c>
      <c r="R10034" s="14" t="str">
        <f>HYPERLINK("https://my.pitchbook.com?c=61427-89T","View Company Online")</f>
        <v>View Company Online</v>
      </c>
    </row>
    <row r="10035" spans="1:18" hidden="1" x14ac:dyDescent="0.3">
      <c r="A10035" s="15" t="s">
        <v>28499</v>
      </c>
      <c r="B10035" s="15" t="s">
        <v>12845</v>
      </c>
      <c r="C10035" s="18" t="s">
        <v>28</v>
      </c>
      <c r="D10035" s="15" t="s">
        <v>12846</v>
      </c>
      <c r="E10035" s="18" t="s">
        <v>28</v>
      </c>
      <c r="F10035" s="19" t="s">
        <v>28</v>
      </c>
      <c r="G10035" s="19">
        <v>0.02</v>
      </c>
      <c r="H10035" s="19">
        <v>0.38</v>
      </c>
      <c r="I10035" s="18" t="s">
        <v>28</v>
      </c>
      <c r="J10035" s="18" t="s">
        <v>28</v>
      </c>
      <c r="K10035" s="18" t="s">
        <v>28</v>
      </c>
      <c r="L10035" s="18" t="s">
        <v>28</v>
      </c>
      <c r="M10035" s="18" t="s">
        <v>28</v>
      </c>
      <c r="N10035" s="17">
        <v>42005</v>
      </c>
      <c r="O10035" s="15" t="s">
        <v>73</v>
      </c>
      <c r="P10035" s="16" t="s">
        <v>28</v>
      </c>
      <c r="Q10035" s="15" t="s">
        <v>6392</v>
      </c>
      <c r="R10035" s="13" t="str">
        <f>HYPERLINK("https://my.pitchbook.com?c=211098-61T","View Company Online")</f>
        <v>View Company Online</v>
      </c>
    </row>
    <row r="10036" spans="1:18" hidden="1" x14ac:dyDescent="0.3">
      <c r="A10036" s="9" t="s">
        <v>28500</v>
      </c>
      <c r="B10036" s="9" t="s">
        <v>28501</v>
      </c>
      <c r="C10036" s="11" t="s">
        <v>28</v>
      </c>
      <c r="D10036" s="9" t="s">
        <v>28502</v>
      </c>
      <c r="E10036" s="11" t="s">
        <v>28</v>
      </c>
      <c r="F10036" s="10" t="s">
        <v>28</v>
      </c>
      <c r="G10036" s="10">
        <v>3</v>
      </c>
      <c r="H10036" s="10" t="s">
        <v>28</v>
      </c>
      <c r="I10036" s="11" t="s">
        <v>28</v>
      </c>
      <c r="J10036" s="11" t="s">
        <v>28</v>
      </c>
      <c r="K10036" s="11" t="s">
        <v>28</v>
      </c>
      <c r="L10036" s="11" t="s">
        <v>28</v>
      </c>
      <c r="M10036" s="11" t="s">
        <v>28</v>
      </c>
      <c r="N10036" s="8">
        <v>42005</v>
      </c>
      <c r="O10036" s="9" t="s">
        <v>79</v>
      </c>
      <c r="P10036" s="12" t="s">
        <v>28503</v>
      </c>
      <c r="Q10036" s="9" t="s">
        <v>12903</v>
      </c>
      <c r="R10036" s="14" t="str">
        <f>HYPERLINK("https://my.pitchbook.com?c=90826-84T","View Company Online")</f>
        <v>View Company Online</v>
      </c>
    </row>
    <row r="10037" spans="1:18" hidden="1" x14ac:dyDescent="0.3">
      <c r="A10037" s="15" t="s">
        <v>28504</v>
      </c>
      <c r="B10037" s="15" t="s">
        <v>28505</v>
      </c>
      <c r="C10037" s="18" t="s">
        <v>28</v>
      </c>
      <c r="D10037" s="15" t="s">
        <v>28506</v>
      </c>
      <c r="E10037" s="18" t="s">
        <v>28</v>
      </c>
      <c r="F10037" s="19" t="s">
        <v>28</v>
      </c>
      <c r="G10037" s="19" t="s">
        <v>28</v>
      </c>
      <c r="H10037" s="19" t="s">
        <v>28</v>
      </c>
      <c r="I10037" s="18" t="s">
        <v>28</v>
      </c>
      <c r="J10037" s="18" t="s">
        <v>28</v>
      </c>
      <c r="K10037" s="18" t="s">
        <v>28</v>
      </c>
      <c r="L10037" s="18" t="s">
        <v>28</v>
      </c>
      <c r="M10037" s="18" t="s">
        <v>28</v>
      </c>
      <c r="N10037" s="17">
        <v>42005</v>
      </c>
      <c r="O10037" s="15" t="s">
        <v>79</v>
      </c>
      <c r="P10037" s="16" t="s">
        <v>23545</v>
      </c>
      <c r="Q10037" s="15" t="s">
        <v>4602</v>
      </c>
      <c r="R10037" s="13" t="str">
        <f>HYPERLINK("https://my.pitchbook.com?c=93174-22T","View Company Online")</f>
        <v>View Company Online</v>
      </c>
    </row>
    <row r="10038" spans="1:18" hidden="1" x14ac:dyDescent="0.3">
      <c r="A10038" s="9" t="s">
        <v>28507</v>
      </c>
      <c r="B10038" s="9" t="s">
        <v>5087</v>
      </c>
      <c r="C10038" s="11" t="s">
        <v>28</v>
      </c>
      <c r="D10038" s="9" t="s">
        <v>5088</v>
      </c>
      <c r="E10038" s="11" t="s">
        <v>28</v>
      </c>
      <c r="F10038" s="10" t="s">
        <v>28</v>
      </c>
      <c r="G10038" s="10" t="s">
        <v>28</v>
      </c>
      <c r="H10038" s="10" t="s">
        <v>28</v>
      </c>
      <c r="I10038" s="11" t="s">
        <v>28</v>
      </c>
      <c r="J10038" s="11" t="s">
        <v>28</v>
      </c>
      <c r="K10038" s="11" t="s">
        <v>28</v>
      </c>
      <c r="L10038" s="11" t="s">
        <v>28</v>
      </c>
      <c r="M10038" s="11" t="s">
        <v>28</v>
      </c>
      <c r="N10038" s="8">
        <v>42005</v>
      </c>
      <c r="O10038" s="9" t="s">
        <v>41</v>
      </c>
      <c r="P10038" s="12" t="s">
        <v>28508</v>
      </c>
      <c r="Q10038" s="9" t="s">
        <v>2043</v>
      </c>
      <c r="R10038" s="14" t="str">
        <f>HYPERLINK("https://my.pitchbook.com?c=113514-85T","View Company Online")</f>
        <v>View Company Online</v>
      </c>
    </row>
    <row r="10039" spans="1:18" hidden="1" x14ac:dyDescent="0.3">
      <c r="A10039" s="15" t="s">
        <v>28509</v>
      </c>
      <c r="B10039" s="15" t="s">
        <v>20992</v>
      </c>
      <c r="C10039" s="18" t="s">
        <v>28</v>
      </c>
      <c r="D10039" s="15" t="s">
        <v>20993</v>
      </c>
      <c r="E10039" s="18" t="s">
        <v>28</v>
      </c>
      <c r="F10039" s="19" t="s">
        <v>28</v>
      </c>
      <c r="G10039" s="19" t="s">
        <v>28</v>
      </c>
      <c r="H10039" s="19" t="s">
        <v>28</v>
      </c>
      <c r="I10039" s="18" t="s">
        <v>28</v>
      </c>
      <c r="J10039" s="18" t="s">
        <v>28</v>
      </c>
      <c r="K10039" s="18" t="s">
        <v>28</v>
      </c>
      <c r="L10039" s="18" t="s">
        <v>28</v>
      </c>
      <c r="M10039" s="18" t="s">
        <v>28</v>
      </c>
      <c r="N10039" s="17">
        <v>42005</v>
      </c>
      <c r="O10039" s="15" t="s">
        <v>52</v>
      </c>
      <c r="P10039" s="16" t="s">
        <v>1970</v>
      </c>
      <c r="Q10039" s="15" t="s">
        <v>583</v>
      </c>
      <c r="R10039" s="13" t="str">
        <f>HYPERLINK("https://my.pitchbook.com?c=291108-79T","View Company Online")</f>
        <v>View Company Online</v>
      </c>
    </row>
    <row r="10040" spans="1:18" hidden="1" x14ac:dyDescent="0.3">
      <c r="A10040" s="9" t="s">
        <v>28510</v>
      </c>
      <c r="B10040" s="9" t="s">
        <v>23625</v>
      </c>
      <c r="C10040" s="11" t="s">
        <v>28</v>
      </c>
      <c r="D10040" s="9" t="s">
        <v>23626</v>
      </c>
      <c r="E10040" s="11" t="s">
        <v>28</v>
      </c>
      <c r="F10040" s="10" t="s">
        <v>28</v>
      </c>
      <c r="G10040" s="10">
        <v>0.27</v>
      </c>
      <c r="H10040" s="10" t="s">
        <v>28</v>
      </c>
      <c r="I10040" s="11" t="s">
        <v>28</v>
      </c>
      <c r="J10040" s="11" t="s">
        <v>28</v>
      </c>
      <c r="K10040" s="11" t="s">
        <v>28</v>
      </c>
      <c r="L10040" s="11" t="s">
        <v>28</v>
      </c>
      <c r="M10040" s="11" t="s">
        <v>28</v>
      </c>
      <c r="N10040" s="8">
        <v>42005</v>
      </c>
      <c r="O10040" s="9" t="s">
        <v>9098</v>
      </c>
      <c r="P10040" s="12" t="s">
        <v>28</v>
      </c>
      <c r="Q10040" s="9" t="s">
        <v>43</v>
      </c>
      <c r="R10040" s="14" t="str">
        <f>HYPERLINK("https://my.pitchbook.com?c=123403-96T","View Company Online")</f>
        <v>View Company Online</v>
      </c>
    </row>
    <row r="10041" spans="1:18" hidden="1" x14ac:dyDescent="0.3">
      <c r="A10041" s="15" t="s">
        <v>28511</v>
      </c>
      <c r="B10041" s="15" t="s">
        <v>28512</v>
      </c>
      <c r="C10041" s="18" t="s">
        <v>28</v>
      </c>
      <c r="D10041" s="15" t="s">
        <v>28513</v>
      </c>
      <c r="E10041" s="18" t="s">
        <v>28</v>
      </c>
      <c r="F10041" s="19" t="s">
        <v>28</v>
      </c>
      <c r="G10041" s="19" t="s">
        <v>28</v>
      </c>
      <c r="H10041" s="19" t="s">
        <v>28</v>
      </c>
      <c r="I10041" s="18" t="s">
        <v>28</v>
      </c>
      <c r="J10041" s="18" t="s">
        <v>28</v>
      </c>
      <c r="K10041" s="18" t="s">
        <v>28</v>
      </c>
      <c r="L10041" s="18" t="s">
        <v>28</v>
      </c>
      <c r="M10041" s="18" t="s">
        <v>28</v>
      </c>
      <c r="N10041" s="17">
        <v>42005</v>
      </c>
      <c r="O10041" s="15" t="s">
        <v>73</v>
      </c>
      <c r="P10041" s="16" t="s">
        <v>22576</v>
      </c>
      <c r="Q10041" s="15" t="s">
        <v>75</v>
      </c>
      <c r="R10041" s="13" t="str">
        <f>HYPERLINK("https://my.pitchbook.com?c=94459-33T","View Company Online")</f>
        <v>View Company Online</v>
      </c>
    </row>
    <row r="10042" spans="1:18" hidden="1" x14ac:dyDescent="0.3">
      <c r="A10042" s="9" t="s">
        <v>28514</v>
      </c>
      <c r="B10042" s="9" t="s">
        <v>19496</v>
      </c>
      <c r="C10042" s="11" t="s">
        <v>28</v>
      </c>
      <c r="D10042" s="9" t="s">
        <v>19497</v>
      </c>
      <c r="E10042" s="11" t="s">
        <v>28</v>
      </c>
      <c r="F10042" s="10" t="s">
        <v>28</v>
      </c>
      <c r="G10042" s="10" t="s">
        <v>28</v>
      </c>
      <c r="H10042" s="10" t="s">
        <v>28</v>
      </c>
      <c r="I10042" s="11" t="s">
        <v>28</v>
      </c>
      <c r="J10042" s="11" t="s">
        <v>28</v>
      </c>
      <c r="K10042" s="11" t="s">
        <v>28</v>
      </c>
      <c r="L10042" s="11" t="s">
        <v>28</v>
      </c>
      <c r="M10042" s="11" t="s">
        <v>28</v>
      </c>
      <c r="N10042" s="8">
        <v>42005</v>
      </c>
      <c r="O10042" s="9" t="s">
        <v>52</v>
      </c>
      <c r="P10042" s="12" t="s">
        <v>28515</v>
      </c>
      <c r="Q10042" s="9" t="s">
        <v>409</v>
      </c>
      <c r="R10042" s="14" t="str">
        <f>HYPERLINK("https://my.pitchbook.com?c=69573-43T","View Company Online")</f>
        <v>View Company Online</v>
      </c>
    </row>
    <row r="10043" spans="1:18" hidden="1" x14ac:dyDescent="0.3">
      <c r="A10043" s="15" t="s">
        <v>28516</v>
      </c>
      <c r="B10043" s="15" t="s">
        <v>2854</v>
      </c>
      <c r="C10043" s="18" t="s">
        <v>28</v>
      </c>
      <c r="D10043" s="15" t="s">
        <v>2855</v>
      </c>
      <c r="E10043" s="18" t="s">
        <v>28</v>
      </c>
      <c r="F10043" s="19" t="s">
        <v>28</v>
      </c>
      <c r="G10043" s="19" t="s">
        <v>28</v>
      </c>
      <c r="H10043" s="19" t="s">
        <v>28</v>
      </c>
      <c r="I10043" s="18" t="s">
        <v>28</v>
      </c>
      <c r="J10043" s="18" t="s">
        <v>28</v>
      </c>
      <c r="K10043" s="18" t="s">
        <v>28</v>
      </c>
      <c r="L10043" s="18" t="s">
        <v>28</v>
      </c>
      <c r="M10043" s="18" t="s">
        <v>28</v>
      </c>
      <c r="N10043" s="17">
        <v>42005</v>
      </c>
      <c r="O10043" s="15" t="s">
        <v>99</v>
      </c>
      <c r="P10043" s="16" t="s">
        <v>28517</v>
      </c>
      <c r="Q10043" s="15" t="s">
        <v>85</v>
      </c>
      <c r="R10043" s="13" t="str">
        <f>HYPERLINK("https://my.pitchbook.com?c=205664-68T","View Company Online")</f>
        <v>View Company Online</v>
      </c>
    </row>
    <row r="10044" spans="1:18" hidden="1" x14ac:dyDescent="0.3">
      <c r="A10044" s="9" t="s">
        <v>28518</v>
      </c>
      <c r="B10044" s="9" t="s">
        <v>6277</v>
      </c>
      <c r="C10044" s="11" t="s">
        <v>28</v>
      </c>
      <c r="D10044" s="9" t="s">
        <v>6278</v>
      </c>
      <c r="E10044" s="11" t="s">
        <v>28</v>
      </c>
      <c r="F10044" s="10" t="s">
        <v>28</v>
      </c>
      <c r="G10044" s="10" t="s">
        <v>28</v>
      </c>
      <c r="H10044" s="10" t="s">
        <v>28</v>
      </c>
      <c r="I10044" s="11" t="s">
        <v>28</v>
      </c>
      <c r="J10044" s="11" t="s">
        <v>28</v>
      </c>
      <c r="K10044" s="11" t="s">
        <v>28</v>
      </c>
      <c r="L10044" s="11" t="s">
        <v>28</v>
      </c>
      <c r="M10044" s="11" t="s">
        <v>28</v>
      </c>
      <c r="N10044" s="8">
        <v>42005</v>
      </c>
      <c r="O10044" s="9" t="s">
        <v>52</v>
      </c>
      <c r="P10044" s="12" t="s">
        <v>1970</v>
      </c>
      <c r="Q10044" s="9" t="s">
        <v>75</v>
      </c>
      <c r="R10044" s="14" t="str">
        <f>HYPERLINK("https://my.pitchbook.com?c=100718-02T","View Company Online")</f>
        <v>View Company Online</v>
      </c>
    </row>
    <row r="10045" spans="1:18" hidden="1" x14ac:dyDescent="0.3">
      <c r="A10045" s="15" t="s">
        <v>28519</v>
      </c>
      <c r="B10045" s="15" t="s">
        <v>12074</v>
      </c>
      <c r="C10045" s="18" t="s">
        <v>28</v>
      </c>
      <c r="D10045" s="15" t="s">
        <v>12075</v>
      </c>
      <c r="E10045" s="18" t="s">
        <v>28</v>
      </c>
      <c r="F10045" s="19" t="s">
        <v>28</v>
      </c>
      <c r="G10045" s="19" t="s">
        <v>28</v>
      </c>
      <c r="H10045" s="19" t="s">
        <v>28</v>
      </c>
      <c r="I10045" s="18" t="s">
        <v>28</v>
      </c>
      <c r="J10045" s="18" t="s">
        <v>28</v>
      </c>
      <c r="K10045" s="18" t="s">
        <v>28</v>
      </c>
      <c r="L10045" s="18" t="s">
        <v>28</v>
      </c>
      <c r="M10045" s="18" t="s">
        <v>28</v>
      </c>
      <c r="N10045" s="17">
        <v>42005</v>
      </c>
      <c r="O10045" s="15" t="s">
        <v>52</v>
      </c>
      <c r="P10045" s="16" t="s">
        <v>25684</v>
      </c>
      <c r="Q10045" s="15" t="s">
        <v>583</v>
      </c>
      <c r="R10045" s="13" t="str">
        <f>HYPERLINK("https://my.pitchbook.com?c=110612-71T","View Company Online")</f>
        <v>View Company Online</v>
      </c>
    </row>
    <row r="10046" spans="1:18" hidden="1" x14ac:dyDescent="0.3">
      <c r="A10046" s="9" t="s">
        <v>28520</v>
      </c>
      <c r="B10046" s="9" t="s">
        <v>28521</v>
      </c>
      <c r="C10046" s="11" t="s">
        <v>28</v>
      </c>
      <c r="D10046" s="9" t="s">
        <v>28522</v>
      </c>
      <c r="E10046" s="11" t="s">
        <v>28</v>
      </c>
      <c r="F10046" s="10" t="s">
        <v>28</v>
      </c>
      <c r="G10046" s="10" t="s">
        <v>28</v>
      </c>
      <c r="H10046" s="10" t="s">
        <v>28</v>
      </c>
      <c r="I10046" s="11" t="s">
        <v>28</v>
      </c>
      <c r="J10046" s="11" t="s">
        <v>28</v>
      </c>
      <c r="K10046" s="11" t="s">
        <v>28</v>
      </c>
      <c r="L10046" s="11" t="s">
        <v>28</v>
      </c>
      <c r="M10046" s="11" t="s">
        <v>28</v>
      </c>
      <c r="N10046" s="8">
        <v>42005</v>
      </c>
      <c r="O10046" s="9" t="s">
        <v>30</v>
      </c>
      <c r="P10046" s="12" t="s">
        <v>2372</v>
      </c>
      <c r="Q10046" s="9" t="s">
        <v>37</v>
      </c>
      <c r="R10046" s="14" t="str">
        <f>HYPERLINK("https://my.pitchbook.com?c=138643-48T","View Company Online")</f>
        <v>View Company Online</v>
      </c>
    </row>
    <row r="10047" spans="1:18" hidden="1" x14ac:dyDescent="0.3">
      <c r="A10047" s="15" t="s">
        <v>28523</v>
      </c>
      <c r="B10047" s="15" t="s">
        <v>14700</v>
      </c>
      <c r="C10047" s="18" t="s">
        <v>28</v>
      </c>
      <c r="D10047" s="15" t="s">
        <v>14701</v>
      </c>
      <c r="E10047" s="18" t="s">
        <v>28</v>
      </c>
      <c r="F10047" s="19" t="s">
        <v>28</v>
      </c>
      <c r="G10047" s="19">
        <v>9.4700000000000006</v>
      </c>
      <c r="H10047" s="19" t="s">
        <v>28</v>
      </c>
      <c r="I10047" s="18" t="s">
        <v>28</v>
      </c>
      <c r="J10047" s="18" t="s">
        <v>28</v>
      </c>
      <c r="K10047" s="18" t="s">
        <v>28</v>
      </c>
      <c r="L10047" s="18" t="s">
        <v>28</v>
      </c>
      <c r="M10047" s="18" t="s">
        <v>28</v>
      </c>
      <c r="N10047" s="17">
        <v>42005</v>
      </c>
      <c r="O10047" s="15" t="s">
        <v>379</v>
      </c>
      <c r="P10047" s="16" t="s">
        <v>28</v>
      </c>
      <c r="Q10047" s="15" t="s">
        <v>75</v>
      </c>
      <c r="R10047" s="13" t="str">
        <f>HYPERLINK("https://my.pitchbook.com?c=178039-72T","View Company Online")</f>
        <v>View Company Online</v>
      </c>
    </row>
    <row r="10048" spans="1:18" hidden="1" x14ac:dyDescent="0.3">
      <c r="A10048" s="9" t="s">
        <v>28524</v>
      </c>
      <c r="B10048" s="9" t="s">
        <v>25172</v>
      </c>
      <c r="C10048" s="11" t="s">
        <v>28</v>
      </c>
      <c r="D10048" s="9" t="s">
        <v>25173</v>
      </c>
      <c r="E10048" s="11" t="s">
        <v>28</v>
      </c>
      <c r="F10048" s="10" t="s">
        <v>28</v>
      </c>
      <c r="G10048" s="10" t="s">
        <v>28</v>
      </c>
      <c r="H10048" s="10" t="s">
        <v>28</v>
      </c>
      <c r="I10048" s="11" t="s">
        <v>28</v>
      </c>
      <c r="J10048" s="11" t="s">
        <v>28</v>
      </c>
      <c r="K10048" s="11" t="s">
        <v>28</v>
      </c>
      <c r="L10048" s="11" t="s">
        <v>28</v>
      </c>
      <c r="M10048" s="11" t="s">
        <v>28</v>
      </c>
      <c r="N10048" s="8">
        <v>42005</v>
      </c>
      <c r="O10048" s="9" t="s">
        <v>41</v>
      </c>
      <c r="P10048" s="12" t="s">
        <v>2216</v>
      </c>
      <c r="Q10048" s="9" t="s">
        <v>95</v>
      </c>
      <c r="R10048" s="14" t="str">
        <f>HYPERLINK("https://my.pitchbook.com?c=107959-24T","View Company Online")</f>
        <v>View Company Online</v>
      </c>
    </row>
    <row r="10049" spans="1:18" hidden="1" x14ac:dyDescent="0.3">
      <c r="A10049" s="15" t="s">
        <v>28525</v>
      </c>
      <c r="B10049" s="15" t="s">
        <v>10515</v>
      </c>
      <c r="C10049" s="18" t="s">
        <v>28</v>
      </c>
      <c r="D10049" s="15" t="s">
        <v>10516</v>
      </c>
      <c r="E10049" s="18" t="s">
        <v>28</v>
      </c>
      <c r="F10049" s="19" t="s">
        <v>28</v>
      </c>
      <c r="G10049" s="19" t="s">
        <v>28</v>
      </c>
      <c r="H10049" s="19" t="s">
        <v>28</v>
      </c>
      <c r="I10049" s="18" t="s">
        <v>28</v>
      </c>
      <c r="J10049" s="18" t="s">
        <v>28</v>
      </c>
      <c r="K10049" s="18" t="s">
        <v>28</v>
      </c>
      <c r="L10049" s="18" t="s">
        <v>28</v>
      </c>
      <c r="M10049" s="18" t="s">
        <v>28</v>
      </c>
      <c r="N10049" s="17">
        <v>42005</v>
      </c>
      <c r="O10049" s="15" t="s">
        <v>73</v>
      </c>
      <c r="P10049" s="16" t="s">
        <v>15304</v>
      </c>
      <c r="Q10049" s="15" t="s">
        <v>832</v>
      </c>
      <c r="R10049" s="13" t="str">
        <f>HYPERLINK("https://my.pitchbook.com?c=126644-32T","View Company Online")</f>
        <v>View Company Online</v>
      </c>
    </row>
    <row r="10050" spans="1:18" hidden="1" x14ac:dyDescent="0.3">
      <c r="A10050" s="9" t="s">
        <v>28526</v>
      </c>
      <c r="B10050" s="9" t="s">
        <v>21255</v>
      </c>
      <c r="C10050" s="11" t="s">
        <v>28</v>
      </c>
      <c r="D10050" s="9" t="s">
        <v>21256</v>
      </c>
      <c r="E10050" s="11" t="s">
        <v>28</v>
      </c>
      <c r="F10050" s="10" t="s">
        <v>28</v>
      </c>
      <c r="G10050" s="10" t="s">
        <v>28</v>
      </c>
      <c r="H10050" s="10" t="s">
        <v>28</v>
      </c>
      <c r="I10050" s="11" t="s">
        <v>28</v>
      </c>
      <c r="J10050" s="11" t="s">
        <v>28</v>
      </c>
      <c r="K10050" s="11" t="s">
        <v>28</v>
      </c>
      <c r="L10050" s="11" t="s">
        <v>28</v>
      </c>
      <c r="M10050" s="11" t="s">
        <v>28</v>
      </c>
      <c r="N10050" s="8">
        <v>42005</v>
      </c>
      <c r="O10050" s="9" t="s">
        <v>99</v>
      </c>
      <c r="P10050" s="12" t="s">
        <v>15304</v>
      </c>
      <c r="Q10050" s="9" t="s">
        <v>75</v>
      </c>
      <c r="R10050" s="14" t="str">
        <f>HYPERLINK("https://my.pitchbook.com?c=126644-59T","View Company Online")</f>
        <v>View Company Online</v>
      </c>
    </row>
    <row r="10051" spans="1:18" hidden="1" x14ac:dyDescent="0.3">
      <c r="A10051" s="15" t="s">
        <v>28527</v>
      </c>
      <c r="B10051" s="15" t="s">
        <v>28528</v>
      </c>
      <c r="C10051" s="18" t="s">
        <v>28</v>
      </c>
      <c r="D10051" s="15" t="s">
        <v>28529</v>
      </c>
      <c r="E10051" s="18" t="s">
        <v>28</v>
      </c>
      <c r="F10051" s="19" t="s">
        <v>28</v>
      </c>
      <c r="G10051" s="19" t="s">
        <v>28</v>
      </c>
      <c r="H10051" s="19" t="s">
        <v>28</v>
      </c>
      <c r="I10051" s="18" t="s">
        <v>28</v>
      </c>
      <c r="J10051" s="18" t="s">
        <v>28</v>
      </c>
      <c r="K10051" s="18" t="s">
        <v>28</v>
      </c>
      <c r="L10051" s="18" t="s">
        <v>28</v>
      </c>
      <c r="M10051" s="18" t="s">
        <v>28</v>
      </c>
      <c r="N10051" s="17">
        <v>42005</v>
      </c>
      <c r="O10051" s="15" t="s">
        <v>30</v>
      </c>
      <c r="P10051" s="16" t="s">
        <v>28530</v>
      </c>
      <c r="Q10051" s="15" t="s">
        <v>240</v>
      </c>
      <c r="R10051" s="13" t="str">
        <f>HYPERLINK("https://my.pitchbook.com?c=130915-63T","View Company Online")</f>
        <v>View Company Online</v>
      </c>
    </row>
    <row r="10052" spans="1:18" hidden="1" x14ac:dyDescent="0.3">
      <c r="A10052" s="9" t="s">
        <v>28531</v>
      </c>
      <c r="B10052" s="9" t="s">
        <v>28532</v>
      </c>
      <c r="C10052" s="11" t="s">
        <v>28</v>
      </c>
      <c r="D10052" s="9" t="s">
        <v>28533</v>
      </c>
      <c r="E10052" s="11" t="s">
        <v>28</v>
      </c>
      <c r="F10052" s="10" t="s">
        <v>28</v>
      </c>
      <c r="G10052" s="10" t="s">
        <v>28</v>
      </c>
      <c r="H10052" s="10" t="s">
        <v>28</v>
      </c>
      <c r="I10052" s="11" t="s">
        <v>28</v>
      </c>
      <c r="J10052" s="11" t="s">
        <v>28</v>
      </c>
      <c r="K10052" s="11" t="s">
        <v>28</v>
      </c>
      <c r="L10052" s="11" t="s">
        <v>28</v>
      </c>
      <c r="M10052" s="11" t="s">
        <v>28</v>
      </c>
      <c r="N10052" s="8">
        <v>42005</v>
      </c>
      <c r="O10052" s="9" t="s">
        <v>1285</v>
      </c>
      <c r="P10052" s="12" t="s">
        <v>28534</v>
      </c>
      <c r="Q10052" s="9" t="s">
        <v>64</v>
      </c>
      <c r="R10052" s="14" t="str">
        <f>HYPERLINK("https://my.pitchbook.com?c=89599-78T","View Company Online")</f>
        <v>View Company Online</v>
      </c>
    </row>
    <row r="10053" spans="1:18" hidden="1" x14ac:dyDescent="0.3">
      <c r="A10053" s="15" t="s">
        <v>28535</v>
      </c>
      <c r="B10053" s="15" t="s">
        <v>28536</v>
      </c>
      <c r="C10053" s="18" t="s">
        <v>28</v>
      </c>
      <c r="D10053" s="15" t="s">
        <v>28537</v>
      </c>
      <c r="E10053" s="18" t="s">
        <v>28</v>
      </c>
      <c r="F10053" s="19" t="s">
        <v>28</v>
      </c>
      <c r="G10053" s="19" t="s">
        <v>28</v>
      </c>
      <c r="H10053" s="19" t="s">
        <v>28</v>
      </c>
      <c r="I10053" s="18" t="s">
        <v>28</v>
      </c>
      <c r="J10053" s="18" t="s">
        <v>28</v>
      </c>
      <c r="K10053" s="18" t="s">
        <v>28</v>
      </c>
      <c r="L10053" s="18" t="s">
        <v>28</v>
      </c>
      <c r="M10053" s="18" t="s">
        <v>28</v>
      </c>
      <c r="N10053" s="17">
        <v>42005</v>
      </c>
      <c r="O10053" s="15" t="s">
        <v>41</v>
      </c>
      <c r="P10053" s="16" t="s">
        <v>19274</v>
      </c>
      <c r="Q10053" s="15" t="s">
        <v>2181</v>
      </c>
      <c r="R10053" s="13" t="str">
        <f>HYPERLINK("https://my.pitchbook.com?c=111238-93T","View Company Online")</f>
        <v>View Company Online</v>
      </c>
    </row>
    <row r="10054" spans="1:18" hidden="1" x14ac:dyDescent="0.3">
      <c r="A10054" s="9" t="s">
        <v>28538</v>
      </c>
      <c r="B10054" s="9" t="s">
        <v>28539</v>
      </c>
      <c r="C10054" s="11" t="s">
        <v>28</v>
      </c>
      <c r="D10054" s="9" t="s">
        <v>28540</v>
      </c>
      <c r="E10054" s="11" t="s">
        <v>28</v>
      </c>
      <c r="F10054" s="10" t="s">
        <v>28</v>
      </c>
      <c r="G10054" s="10">
        <v>0.12</v>
      </c>
      <c r="H10054" s="10">
        <v>1.71</v>
      </c>
      <c r="I10054" s="11" t="s">
        <v>28</v>
      </c>
      <c r="J10054" s="11" t="s">
        <v>28</v>
      </c>
      <c r="K10054" s="11" t="s">
        <v>28</v>
      </c>
      <c r="L10054" s="11" t="s">
        <v>28</v>
      </c>
      <c r="M10054" s="11" t="s">
        <v>28</v>
      </c>
      <c r="N10054" s="8">
        <v>42005</v>
      </c>
      <c r="O10054" s="9" t="s">
        <v>52</v>
      </c>
      <c r="P10054" s="12" t="s">
        <v>3944</v>
      </c>
      <c r="Q10054" s="9" t="s">
        <v>3912</v>
      </c>
      <c r="R10054" s="14" t="str">
        <f>HYPERLINK("https://my.pitchbook.com?c=79322-86T","View Company Online")</f>
        <v>View Company Online</v>
      </c>
    </row>
    <row r="10055" spans="1:18" hidden="1" x14ac:dyDescent="0.3">
      <c r="A10055" s="15" t="s">
        <v>28541</v>
      </c>
      <c r="B10055" s="15" t="s">
        <v>28542</v>
      </c>
      <c r="C10055" s="18" t="s">
        <v>28</v>
      </c>
      <c r="D10055" s="15" t="s">
        <v>28543</v>
      </c>
      <c r="E10055" s="18" t="s">
        <v>28</v>
      </c>
      <c r="F10055" s="19">
        <v>13.64</v>
      </c>
      <c r="G10055" s="19">
        <v>13.64</v>
      </c>
      <c r="H10055" s="19">
        <v>13.64</v>
      </c>
      <c r="I10055" s="18" t="s">
        <v>28</v>
      </c>
      <c r="J10055" s="18" t="s">
        <v>28</v>
      </c>
      <c r="K10055" s="18" t="s">
        <v>28</v>
      </c>
      <c r="L10055" s="18" t="s">
        <v>28</v>
      </c>
      <c r="M10055" s="18" t="s">
        <v>28</v>
      </c>
      <c r="N10055" s="17">
        <v>42005</v>
      </c>
      <c r="O10055" s="15" t="s">
        <v>30</v>
      </c>
      <c r="P10055" s="16" t="s">
        <v>28544</v>
      </c>
      <c r="Q10055" s="15" t="s">
        <v>64</v>
      </c>
      <c r="R10055" s="13" t="str">
        <f>HYPERLINK("https://my.pitchbook.com?c=111135-88T","View Company Online")</f>
        <v>View Company Online</v>
      </c>
    </row>
    <row r="10056" spans="1:18" hidden="1" x14ac:dyDescent="0.3">
      <c r="A10056" s="9" t="s">
        <v>28545</v>
      </c>
      <c r="B10056" s="9" t="s">
        <v>28546</v>
      </c>
      <c r="C10056" s="11" t="s">
        <v>28</v>
      </c>
      <c r="D10056" s="9" t="s">
        <v>28547</v>
      </c>
      <c r="E10056" s="11" t="s">
        <v>28</v>
      </c>
      <c r="F10056" s="10" t="s">
        <v>28</v>
      </c>
      <c r="G10056" s="10" t="s">
        <v>28</v>
      </c>
      <c r="H10056" s="10" t="s">
        <v>28</v>
      </c>
      <c r="I10056" s="11" t="s">
        <v>28</v>
      </c>
      <c r="J10056" s="11" t="s">
        <v>28</v>
      </c>
      <c r="K10056" s="11" t="s">
        <v>28</v>
      </c>
      <c r="L10056" s="11" t="s">
        <v>28</v>
      </c>
      <c r="M10056" s="11" t="s">
        <v>28</v>
      </c>
      <c r="N10056" s="8">
        <v>42005</v>
      </c>
      <c r="O10056" s="9" t="s">
        <v>52</v>
      </c>
      <c r="P10056" s="12" t="s">
        <v>28548</v>
      </c>
      <c r="Q10056" s="9" t="s">
        <v>1263</v>
      </c>
      <c r="R10056" s="14" t="str">
        <f>HYPERLINK("https://my.pitchbook.com?c=276316-84T","View Company Online")</f>
        <v>View Company Online</v>
      </c>
    </row>
    <row r="10057" spans="1:18" hidden="1" x14ac:dyDescent="0.3">
      <c r="A10057" s="15" t="s">
        <v>28549</v>
      </c>
      <c r="B10057" s="15" t="s">
        <v>28550</v>
      </c>
      <c r="C10057" s="18" t="s">
        <v>28</v>
      </c>
      <c r="D10057" s="15" t="s">
        <v>28551</v>
      </c>
      <c r="E10057" s="18" t="s">
        <v>28</v>
      </c>
      <c r="F10057" s="19" t="s">
        <v>28</v>
      </c>
      <c r="G10057" s="19" t="s">
        <v>28</v>
      </c>
      <c r="H10057" s="19" t="s">
        <v>28</v>
      </c>
      <c r="I10057" s="18" t="s">
        <v>28</v>
      </c>
      <c r="J10057" s="18" t="s">
        <v>28</v>
      </c>
      <c r="K10057" s="18" t="s">
        <v>28</v>
      </c>
      <c r="L10057" s="18" t="s">
        <v>28</v>
      </c>
      <c r="M10057" s="18" t="s">
        <v>28</v>
      </c>
      <c r="N10057" s="17">
        <v>42005</v>
      </c>
      <c r="O10057" s="15" t="s">
        <v>52</v>
      </c>
      <c r="P10057" s="16" t="s">
        <v>28552</v>
      </c>
      <c r="Q10057" s="15" t="s">
        <v>119</v>
      </c>
      <c r="R10057" s="13" t="str">
        <f>HYPERLINK("https://my.pitchbook.com?c=96507-73T","View Company Online")</f>
        <v>View Company Online</v>
      </c>
    </row>
    <row r="10058" spans="1:18" hidden="1" x14ac:dyDescent="0.3">
      <c r="A10058" s="9" t="s">
        <v>28553</v>
      </c>
      <c r="B10058" s="9" t="s">
        <v>28554</v>
      </c>
      <c r="C10058" s="11" t="s">
        <v>28</v>
      </c>
      <c r="D10058" s="9" t="s">
        <v>28555</v>
      </c>
      <c r="E10058" s="11" t="s">
        <v>28</v>
      </c>
      <c r="F10058" s="10" t="s">
        <v>28</v>
      </c>
      <c r="G10058" s="10" t="s">
        <v>28</v>
      </c>
      <c r="H10058" s="10" t="s">
        <v>28</v>
      </c>
      <c r="I10058" s="11" t="s">
        <v>28</v>
      </c>
      <c r="J10058" s="11" t="s">
        <v>28</v>
      </c>
      <c r="K10058" s="11" t="s">
        <v>28</v>
      </c>
      <c r="L10058" s="11" t="s">
        <v>28</v>
      </c>
      <c r="M10058" s="11" t="s">
        <v>28</v>
      </c>
      <c r="N10058" s="8">
        <v>42005</v>
      </c>
      <c r="O10058" s="9" t="s">
        <v>30</v>
      </c>
      <c r="P10058" s="12" t="s">
        <v>16272</v>
      </c>
      <c r="Q10058" s="9" t="s">
        <v>95</v>
      </c>
      <c r="R10058" s="14" t="str">
        <f>HYPERLINK("https://my.pitchbook.com?c=138645-10T","View Company Online")</f>
        <v>View Company Online</v>
      </c>
    </row>
    <row r="10059" spans="1:18" hidden="1" x14ac:dyDescent="0.3">
      <c r="A10059" s="15" t="s">
        <v>28556</v>
      </c>
      <c r="B10059" s="15" t="s">
        <v>21772</v>
      </c>
      <c r="C10059" s="18" t="s">
        <v>28</v>
      </c>
      <c r="D10059" s="15" t="s">
        <v>21773</v>
      </c>
      <c r="E10059" s="18" t="s">
        <v>28</v>
      </c>
      <c r="F10059" s="19" t="s">
        <v>28</v>
      </c>
      <c r="G10059" s="19">
        <v>0.01</v>
      </c>
      <c r="H10059" s="19" t="s">
        <v>28</v>
      </c>
      <c r="I10059" s="18" t="s">
        <v>28</v>
      </c>
      <c r="J10059" s="18" t="s">
        <v>28</v>
      </c>
      <c r="K10059" s="18" t="s">
        <v>28</v>
      </c>
      <c r="L10059" s="18" t="s">
        <v>28</v>
      </c>
      <c r="M10059" s="18" t="s">
        <v>28</v>
      </c>
      <c r="N10059" s="17">
        <v>42005</v>
      </c>
      <c r="O10059" s="15" t="s">
        <v>52</v>
      </c>
      <c r="P10059" s="16" t="s">
        <v>7823</v>
      </c>
      <c r="Q10059" s="15" t="s">
        <v>245</v>
      </c>
      <c r="R10059" s="13" t="str">
        <f>HYPERLINK("https://my.pitchbook.com?c=158188-69T","View Company Online")</f>
        <v>View Company Online</v>
      </c>
    </row>
    <row r="10060" spans="1:18" hidden="1" x14ac:dyDescent="0.3">
      <c r="A10060" s="9" t="s">
        <v>28557</v>
      </c>
      <c r="B10060" s="9" t="s">
        <v>14899</v>
      </c>
      <c r="C10060" s="11" t="s">
        <v>28</v>
      </c>
      <c r="D10060" s="9" t="s">
        <v>14900</v>
      </c>
      <c r="E10060" s="11" t="s">
        <v>28</v>
      </c>
      <c r="F10060" s="10" t="s">
        <v>28</v>
      </c>
      <c r="G10060" s="10" t="s">
        <v>28</v>
      </c>
      <c r="H10060" s="10" t="s">
        <v>28</v>
      </c>
      <c r="I10060" s="11" t="s">
        <v>28</v>
      </c>
      <c r="J10060" s="11" t="s">
        <v>28</v>
      </c>
      <c r="K10060" s="11" t="s">
        <v>28</v>
      </c>
      <c r="L10060" s="11" t="s">
        <v>28</v>
      </c>
      <c r="M10060" s="11" t="s">
        <v>28</v>
      </c>
      <c r="N10060" s="8">
        <v>42005</v>
      </c>
      <c r="O10060" s="9" t="s">
        <v>73</v>
      </c>
      <c r="P10060" s="12" t="s">
        <v>611</v>
      </c>
      <c r="Q10060" s="9" t="s">
        <v>245</v>
      </c>
      <c r="R10060" s="14" t="str">
        <f>HYPERLINK("https://my.pitchbook.com?c=243415-54T","View Company Online")</f>
        <v>View Company Online</v>
      </c>
    </row>
    <row r="10061" spans="1:18" hidden="1" x14ac:dyDescent="0.3">
      <c r="A10061" s="15" t="s">
        <v>28558</v>
      </c>
      <c r="B10061" s="15" t="s">
        <v>10159</v>
      </c>
      <c r="C10061" s="18" t="s">
        <v>28</v>
      </c>
      <c r="D10061" s="15" t="s">
        <v>10160</v>
      </c>
      <c r="E10061" s="18" t="s">
        <v>28</v>
      </c>
      <c r="F10061" s="19" t="s">
        <v>28</v>
      </c>
      <c r="G10061" s="19" t="s">
        <v>28</v>
      </c>
      <c r="H10061" s="19" t="s">
        <v>28</v>
      </c>
      <c r="I10061" s="18" t="s">
        <v>28</v>
      </c>
      <c r="J10061" s="18" t="s">
        <v>28</v>
      </c>
      <c r="K10061" s="18" t="s">
        <v>28</v>
      </c>
      <c r="L10061" s="18" t="s">
        <v>28</v>
      </c>
      <c r="M10061" s="18" t="s">
        <v>28</v>
      </c>
      <c r="N10061" s="17">
        <v>42005</v>
      </c>
      <c r="O10061" s="15" t="s">
        <v>41</v>
      </c>
      <c r="P10061" s="16" t="s">
        <v>28559</v>
      </c>
      <c r="Q10061" s="15" t="s">
        <v>959</v>
      </c>
      <c r="R10061" s="13" t="str">
        <f>HYPERLINK("https://my.pitchbook.com?c=85006-54T","View Company Online")</f>
        <v>View Company Online</v>
      </c>
    </row>
    <row r="10062" spans="1:18" hidden="1" x14ac:dyDescent="0.3">
      <c r="A10062" s="9" t="s">
        <v>28560</v>
      </c>
      <c r="B10062" s="9" t="s">
        <v>18273</v>
      </c>
      <c r="C10062" s="11" t="s">
        <v>28</v>
      </c>
      <c r="D10062" s="9" t="s">
        <v>18274</v>
      </c>
      <c r="E10062" s="11" t="s">
        <v>28</v>
      </c>
      <c r="F10062" s="10" t="s">
        <v>28</v>
      </c>
      <c r="G10062" s="10">
        <v>0.08</v>
      </c>
      <c r="H10062" s="10">
        <v>1.08</v>
      </c>
      <c r="I10062" s="11" t="s">
        <v>28</v>
      </c>
      <c r="J10062" s="11" t="s">
        <v>28</v>
      </c>
      <c r="K10062" s="11" t="s">
        <v>28</v>
      </c>
      <c r="L10062" s="11" t="s">
        <v>28</v>
      </c>
      <c r="M10062" s="11" t="s">
        <v>28</v>
      </c>
      <c r="N10062" s="8">
        <v>42005</v>
      </c>
      <c r="O10062" s="9" t="s">
        <v>52</v>
      </c>
      <c r="P10062" s="12" t="s">
        <v>2915</v>
      </c>
      <c r="Q10062" s="9" t="s">
        <v>136</v>
      </c>
      <c r="R10062" s="14" t="str">
        <f>HYPERLINK("https://my.pitchbook.com?c=85976-29T","View Company Online")</f>
        <v>View Company Online</v>
      </c>
    </row>
    <row r="10063" spans="1:18" hidden="1" x14ac:dyDescent="0.3">
      <c r="A10063" s="15" t="s">
        <v>28561</v>
      </c>
      <c r="B10063" s="15" t="s">
        <v>28562</v>
      </c>
      <c r="C10063" s="18" t="s">
        <v>28</v>
      </c>
      <c r="D10063" s="15" t="s">
        <v>28563</v>
      </c>
      <c r="E10063" s="18" t="s">
        <v>28</v>
      </c>
      <c r="F10063" s="19" t="s">
        <v>28</v>
      </c>
      <c r="G10063" s="19" t="s">
        <v>28</v>
      </c>
      <c r="H10063" s="19" t="s">
        <v>28</v>
      </c>
      <c r="I10063" s="18" t="s">
        <v>28</v>
      </c>
      <c r="J10063" s="18" t="s">
        <v>28</v>
      </c>
      <c r="K10063" s="18" t="s">
        <v>28</v>
      </c>
      <c r="L10063" s="18" t="s">
        <v>28</v>
      </c>
      <c r="M10063" s="18" t="s">
        <v>28</v>
      </c>
      <c r="N10063" s="17">
        <v>42005</v>
      </c>
      <c r="O10063" s="15" t="s">
        <v>30</v>
      </c>
      <c r="P10063" s="16" t="s">
        <v>28564</v>
      </c>
      <c r="Q10063" s="15" t="s">
        <v>37</v>
      </c>
      <c r="R10063" s="13" t="str">
        <f>HYPERLINK("https://my.pitchbook.com?c=83877-94T","View Company Online")</f>
        <v>View Company Online</v>
      </c>
    </row>
    <row r="10064" spans="1:18" hidden="1" x14ac:dyDescent="0.3">
      <c r="A10064" s="9" t="s">
        <v>28565</v>
      </c>
      <c r="B10064" s="9" t="s">
        <v>28566</v>
      </c>
      <c r="C10064" s="11" t="s">
        <v>28</v>
      </c>
      <c r="D10064" s="9" t="s">
        <v>28567</v>
      </c>
      <c r="E10064" s="11" t="s">
        <v>28</v>
      </c>
      <c r="F10064" s="10" t="s">
        <v>28</v>
      </c>
      <c r="G10064" s="10" t="s">
        <v>28</v>
      </c>
      <c r="H10064" s="10" t="s">
        <v>28</v>
      </c>
      <c r="I10064" s="11" t="s">
        <v>28</v>
      </c>
      <c r="J10064" s="11" t="s">
        <v>28</v>
      </c>
      <c r="K10064" s="11" t="s">
        <v>28</v>
      </c>
      <c r="L10064" s="11" t="s">
        <v>28</v>
      </c>
      <c r="M10064" s="11" t="s">
        <v>28</v>
      </c>
      <c r="N10064" s="8">
        <v>42005</v>
      </c>
      <c r="O10064" s="9" t="s">
        <v>52</v>
      </c>
      <c r="P10064" s="12" t="s">
        <v>28568</v>
      </c>
      <c r="Q10064" s="9" t="s">
        <v>37</v>
      </c>
      <c r="R10064" s="14" t="str">
        <f>HYPERLINK("https://my.pitchbook.com?c=126518-41T","View Company Online")</f>
        <v>View Company Online</v>
      </c>
    </row>
    <row r="10065" spans="1:18" hidden="1" x14ac:dyDescent="0.3">
      <c r="A10065" s="15" t="s">
        <v>28569</v>
      </c>
      <c r="B10065" s="15" t="s">
        <v>27173</v>
      </c>
      <c r="C10065" s="18" t="s">
        <v>28</v>
      </c>
      <c r="D10065" s="15" t="s">
        <v>27174</v>
      </c>
      <c r="E10065" s="18" t="s">
        <v>28</v>
      </c>
      <c r="F10065" s="19" t="s">
        <v>28</v>
      </c>
      <c r="G10065" s="19" t="s">
        <v>28</v>
      </c>
      <c r="H10065" s="19" t="s">
        <v>28</v>
      </c>
      <c r="I10065" s="18" t="s">
        <v>28</v>
      </c>
      <c r="J10065" s="18" t="s">
        <v>28</v>
      </c>
      <c r="K10065" s="18" t="s">
        <v>28</v>
      </c>
      <c r="L10065" s="18" t="s">
        <v>28</v>
      </c>
      <c r="M10065" s="18" t="s">
        <v>28</v>
      </c>
      <c r="N10065" s="17">
        <v>42005</v>
      </c>
      <c r="O10065" s="15" t="s">
        <v>73</v>
      </c>
      <c r="P10065" s="16" t="s">
        <v>28570</v>
      </c>
      <c r="Q10065" s="15" t="s">
        <v>1191</v>
      </c>
      <c r="R10065" s="13" t="str">
        <f>HYPERLINK("https://my.pitchbook.com?c=120763-72T","View Company Online")</f>
        <v>View Company Online</v>
      </c>
    </row>
    <row r="10066" spans="1:18" hidden="1" x14ac:dyDescent="0.3">
      <c r="A10066" s="9" t="s">
        <v>28571</v>
      </c>
      <c r="B10066" s="9" t="s">
        <v>28572</v>
      </c>
      <c r="C10066" s="11" t="s">
        <v>28</v>
      </c>
      <c r="D10066" s="9" t="s">
        <v>28573</v>
      </c>
      <c r="E10066" s="11" t="s">
        <v>28</v>
      </c>
      <c r="F10066" s="10" t="s">
        <v>28</v>
      </c>
      <c r="G10066" s="10" t="s">
        <v>28</v>
      </c>
      <c r="H10066" s="10" t="s">
        <v>28</v>
      </c>
      <c r="I10066" s="11" t="s">
        <v>28</v>
      </c>
      <c r="J10066" s="11" t="s">
        <v>28</v>
      </c>
      <c r="K10066" s="11" t="s">
        <v>28</v>
      </c>
      <c r="L10066" s="11" t="s">
        <v>28</v>
      </c>
      <c r="M10066" s="11" t="s">
        <v>28</v>
      </c>
      <c r="N10066" s="8">
        <v>42005</v>
      </c>
      <c r="O10066" s="9" t="s">
        <v>52</v>
      </c>
      <c r="P10066" s="12" t="s">
        <v>25381</v>
      </c>
      <c r="Q10066" s="9" t="s">
        <v>419</v>
      </c>
      <c r="R10066" s="14" t="str">
        <f>HYPERLINK("https://my.pitchbook.com?c=132259-60T","View Company Online")</f>
        <v>View Company Online</v>
      </c>
    </row>
    <row r="10067" spans="1:18" hidden="1" x14ac:dyDescent="0.3">
      <c r="A10067" s="15" t="s">
        <v>28574</v>
      </c>
      <c r="B10067" s="15" t="s">
        <v>28575</v>
      </c>
      <c r="C10067" s="18" t="s">
        <v>28</v>
      </c>
      <c r="D10067" s="15" t="s">
        <v>28576</v>
      </c>
      <c r="E10067" s="18" t="s">
        <v>28</v>
      </c>
      <c r="F10067" s="19" t="s">
        <v>28</v>
      </c>
      <c r="G10067" s="19" t="s">
        <v>28</v>
      </c>
      <c r="H10067" s="19" t="s">
        <v>28</v>
      </c>
      <c r="I10067" s="18" t="s">
        <v>28</v>
      </c>
      <c r="J10067" s="18" t="s">
        <v>28</v>
      </c>
      <c r="K10067" s="18" t="s">
        <v>28</v>
      </c>
      <c r="L10067" s="18" t="s">
        <v>28</v>
      </c>
      <c r="M10067" s="18" t="s">
        <v>28</v>
      </c>
      <c r="N10067" s="17">
        <v>42005</v>
      </c>
      <c r="O10067" s="15" t="s">
        <v>52</v>
      </c>
      <c r="P10067" s="16" t="s">
        <v>23700</v>
      </c>
      <c r="Q10067" s="15" t="s">
        <v>386</v>
      </c>
      <c r="R10067" s="13" t="str">
        <f>HYPERLINK("https://my.pitchbook.com?c=73389-43T","View Company Online")</f>
        <v>View Company Online</v>
      </c>
    </row>
    <row r="10068" spans="1:18" hidden="1" x14ac:dyDescent="0.3">
      <c r="A10068" s="9" t="s">
        <v>28577</v>
      </c>
      <c r="B10068" s="9" t="s">
        <v>20946</v>
      </c>
      <c r="C10068" s="11" t="s">
        <v>28</v>
      </c>
      <c r="D10068" s="9" t="s">
        <v>20947</v>
      </c>
      <c r="E10068" s="11" t="s">
        <v>28</v>
      </c>
      <c r="F10068" s="10" t="s">
        <v>28</v>
      </c>
      <c r="G10068" s="10">
        <v>0.03</v>
      </c>
      <c r="H10068" s="10" t="s">
        <v>28</v>
      </c>
      <c r="I10068" s="11" t="s">
        <v>28</v>
      </c>
      <c r="J10068" s="11" t="s">
        <v>28</v>
      </c>
      <c r="K10068" s="11" t="s">
        <v>28</v>
      </c>
      <c r="L10068" s="11" t="s">
        <v>28</v>
      </c>
      <c r="M10068" s="11" t="s">
        <v>28</v>
      </c>
      <c r="N10068" s="8">
        <v>42005</v>
      </c>
      <c r="O10068" s="9" t="s">
        <v>52</v>
      </c>
      <c r="P10068" s="12" t="s">
        <v>1792</v>
      </c>
      <c r="Q10068" s="9" t="s">
        <v>75</v>
      </c>
      <c r="R10068" s="14" t="str">
        <f>HYPERLINK("https://my.pitchbook.com?c=75321-19T","View Company Online")</f>
        <v>View Company Online</v>
      </c>
    </row>
    <row r="10069" spans="1:18" hidden="1" x14ac:dyDescent="0.3">
      <c r="A10069" s="15" t="s">
        <v>28578</v>
      </c>
      <c r="B10069" s="15" t="s">
        <v>28579</v>
      </c>
      <c r="C10069" s="18" t="s">
        <v>28</v>
      </c>
      <c r="D10069" s="15" t="s">
        <v>28580</v>
      </c>
      <c r="E10069" s="18" t="s">
        <v>28</v>
      </c>
      <c r="F10069" s="19" t="s">
        <v>28</v>
      </c>
      <c r="G10069" s="19" t="s">
        <v>28</v>
      </c>
      <c r="H10069" s="19" t="s">
        <v>28</v>
      </c>
      <c r="I10069" s="18" t="s">
        <v>28</v>
      </c>
      <c r="J10069" s="18" t="s">
        <v>28</v>
      </c>
      <c r="K10069" s="18" t="s">
        <v>28</v>
      </c>
      <c r="L10069" s="18" t="s">
        <v>28</v>
      </c>
      <c r="M10069" s="18" t="s">
        <v>28</v>
      </c>
      <c r="N10069" s="17">
        <v>42005</v>
      </c>
      <c r="O10069" s="15" t="s">
        <v>52</v>
      </c>
      <c r="P10069" s="16" t="s">
        <v>28515</v>
      </c>
      <c r="Q10069" s="15" t="s">
        <v>4087</v>
      </c>
      <c r="R10069" s="13" t="str">
        <f>HYPERLINK("https://my.pitchbook.com?c=101882-62T","View Company Online")</f>
        <v>View Company Online</v>
      </c>
    </row>
    <row r="10070" spans="1:18" hidden="1" x14ac:dyDescent="0.3">
      <c r="A10070" s="9" t="s">
        <v>28581</v>
      </c>
      <c r="B10070" s="9" t="s">
        <v>28582</v>
      </c>
      <c r="C10070" s="11" t="s">
        <v>28</v>
      </c>
      <c r="D10070" s="9" t="s">
        <v>28583</v>
      </c>
      <c r="E10070" s="11" t="s">
        <v>28</v>
      </c>
      <c r="F10070" s="10" t="s">
        <v>28</v>
      </c>
      <c r="G10070" s="10" t="s">
        <v>28</v>
      </c>
      <c r="H10070" s="10" t="s">
        <v>28</v>
      </c>
      <c r="I10070" s="11" t="s">
        <v>28</v>
      </c>
      <c r="J10070" s="11" t="s">
        <v>28</v>
      </c>
      <c r="K10070" s="11" t="s">
        <v>28</v>
      </c>
      <c r="L10070" s="11" t="s">
        <v>28</v>
      </c>
      <c r="M10070" s="11" t="s">
        <v>28</v>
      </c>
      <c r="N10070" s="8">
        <v>42005</v>
      </c>
      <c r="O10070" s="9" t="s">
        <v>52</v>
      </c>
      <c r="P10070" s="12" t="s">
        <v>27131</v>
      </c>
      <c r="Q10070" s="9" t="s">
        <v>386</v>
      </c>
      <c r="R10070" s="14" t="str">
        <f>HYPERLINK("https://my.pitchbook.com?c=59448-61T","View Company Online")</f>
        <v>View Company Online</v>
      </c>
    </row>
    <row r="10071" spans="1:18" hidden="1" x14ac:dyDescent="0.3">
      <c r="A10071" s="15" t="s">
        <v>28584</v>
      </c>
      <c r="B10071" s="15" t="s">
        <v>28585</v>
      </c>
      <c r="C10071" s="18" t="s">
        <v>28</v>
      </c>
      <c r="D10071" s="15" t="s">
        <v>28586</v>
      </c>
      <c r="E10071" s="18" t="s">
        <v>28</v>
      </c>
      <c r="F10071" s="19" t="s">
        <v>28</v>
      </c>
      <c r="G10071" s="19" t="s">
        <v>28</v>
      </c>
      <c r="H10071" s="19" t="s">
        <v>28</v>
      </c>
      <c r="I10071" s="18" t="s">
        <v>28</v>
      </c>
      <c r="J10071" s="18" t="s">
        <v>28</v>
      </c>
      <c r="K10071" s="18" t="s">
        <v>28</v>
      </c>
      <c r="L10071" s="18" t="s">
        <v>28</v>
      </c>
      <c r="M10071" s="18" t="s">
        <v>28</v>
      </c>
      <c r="N10071" s="17">
        <v>42005</v>
      </c>
      <c r="O10071" s="15" t="s">
        <v>30</v>
      </c>
      <c r="P10071" s="16" t="s">
        <v>28587</v>
      </c>
      <c r="Q10071" s="15" t="s">
        <v>245</v>
      </c>
      <c r="R10071" s="13" t="str">
        <f>HYPERLINK("https://my.pitchbook.com?c=234907-84T","View Company Online")</f>
        <v>View Company Online</v>
      </c>
    </row>
    <row r="10072" spans="1:18" hidden="1" x14ac:dyDescent="0.3">
      <c r="A10072" s="9" t="s">
        <v>28588</v>
      </c>
      <c r="B10072" s="9" t="s">
        <v>12420</v>
      </c>
      <c r="C10072" s="11" t="s">
        <v>28</v>
      </c>
      <c r="D10072" s="9" t="s">
        <v>12421</v>
      </c>
      <c r="E10072" s="11" t="s">
        <v>28</v>
      </c>
      <c r="F10072" s="10" t="s">
        <v>28</v>
      </c>
      <c r="G10072" s="10" t="s">
        <v>28</v>
      </c>
      <c r="H10072" s="10" t="s">
        <v>28</v>
      </c>
      <c r="I10072" s="11" t="s">
        <v>28</v>
      </c>
      <c r="J10072" s="11" t="s">
        <v>28</v>
      </c>
      <c r="K10072" s="11" t="s">
        <v>28</v>
      </c>
      <c r="L10072" s="11" t="s">
        <v>28</v>
      </c>
      <c r="M10072" s="11" t="s">
        <v>28</v>
      </c>
      <c r="N10072" s="8">
        <v>42005</v>
      </c>
      <c r="O10072" s="9" t="s">
        <v>79</v>
      </c>
      <c r="P10072" s="12" t="s">
        <v>28589</v>
      </c>
      <c r="Q10072" s="9" t="s">
        <v>37</v>
      </c>
      <c r="R10072" s="14" t="str">
        <f>HYPERLINK("https://my.pitchbook.com?c=176482-36T","View Company Online")</f>
        <v>View Company Online</v>
      </c>
    </row>
    <row r="10073" spans="1:18" hidden="1" x14ac:dyDescent="0.3">
      <c r="A10073" s="15" t="s">
        <v>28590</v>
      </c>
      <c r="B10073" s="15" t="s">
        <v>28591</v>
      </c>
      <c r="C10073" s="18" t="s">
        <v>28</v>
      </c>
      <c r="D10073" s="15" t="s">
        <v>28592</v>
      </c>
      <c r="E10073" s="18" t="s">
        <v>28</v>
      </c>
      <c r="F10073" s="19" t="s">
        <v>28</v>
      </c>
      <c r="G10073" s="19" t="s">
        <v>28</v>
      </c>
      <c r="H10073" s="19" t="s">
        <v>28</v>
      </c>
      <c r="I10073" s="18" t="s">
        <v>28</v>
      </c>
      <c r="J10073" s="18" t="s">
        <v>28</v>
      </c>
      <c r="K10073" s="18" t="s">
        <v>28</v>
      </c>
      <c r="L10073" s="18" t="s">
        <v>28</v>
      </c>
      <c r="M10073" s="18" t="s">
        <v>28</v>
      </c>
      <c r="N10073" s="17">
        <v>42005</v>
      </c>
      <c r="O10073" s="15" t="s">
        <v>41</v>
      </c>
      <c r="P10073" s="16" t="s">
        <v>28233</v>
      </c>
      <c r="Q10073" s="15" t="s">
        <v>4670</v>
      </c>
      <c r="R10073" s="13" t="str">
        <f>HYPERLINK("https://my.pitchbook.com?c=108946-99T","View Company Online")</f>
        <v>View Company Online</v>
      </c>
    </row>
    <row r="10074" spans="1:18" hidden="1" x14ac:dyDescent="0.3">
      <c r="A10074" s="9" t="s">
        <v>28593</v>
      </c>
      <c r="B10074" s="9" t="s">
        <v>23843</v>
      </c>
      <c r="C10074" s="11" t="s">
        <v>28</v>
      </c>
      <c r="D10074" s="9" t="s">
        <v>23844</v>
      </c>
      <c r="E10074" s="11" t="s">
        <v>28</v>
      </c>
      <c r="F10074" s="10" t="s">
        <v>28</v>
      </c>
      <c r="G10074" s="10" t="s">
        <v>28</v>
      </c>
      <c r="H10074" s="10" t="s">
        <v>28</v>
      </c>
      <c r="I10074" s="11" t="s">
        <v>28</v>
      </c>
      <c r="J10074" s="11" t="s">
        <v>28</v>
      </c>
      <c r="K10074" s="11" t="s">
        <v>28</v>
      </c>
      <c r="L10074" s="11" t="s">
        <v>28</v>
      </c>
      <c r="M10074" s="11" t="s">
        <v>28</v>
      </c>
      <c r="N10074" s="8">
        <v>42005</v>
      </c>
      <c r="O10074" s="9" t="s">
        <v>73</v>
      </c>
      <c r="P10074" s="12" t="s">
        <v>26364</v>
      </c>
      <c r="Q10074" s="9" t="s">
        <v>2916</v>
      </c>
      <c r="R10074" s="14" t="str">
        <f>HYPERLINK("https://my.pitchbook.com?c=123154-93T","View Company Online")</f>
        <v>View Company Online</v>
      </c>
    </row>
    <row r="10075" spans="1:18" hidden="1" x14ac:dyDescent="0.3">
      <c r="A10075" s="15" t="s">
        <v>28594</v>
      </c>
      <c r="B10075" s="15" t="s">
        <v>28595</v>
      </c>
      <c r="C10075" s="18" t="s">
        <v>28</v>
      </c>
      <c r="D10075" s="15" t="s">
        <v>28596</v>
      </c>
      <c r="E10075" s="18" t="s">
        <v>28</v>
      </c>
      <c r="F10075" s="19" t="s">
        <v>28</v>
      </c>
      <c r="G10075" s="19" t="s">
        <v>28</v>
      </c>
      <c r="H10075" s="19" t="s">
        <v>28</v>
      </c>
      <c r="I10075" s="18" t="s">
        <v>28</v>
      </c>
      <c r="J10075" s="18" t="s">
        <v>28</v>
      </c>
      <c r="K10075" s="18" t="s">
        <v>28</v>
      </c>
      <c r="L10075" s="18" t="s">
        <v>28</v>
      </c>
      <c r="M10075" s="18" t="s">
        <v>28</v>
      </c>
      <c r="N10075" s="17">
        <v>42005</v>
      </c>
      <c r="O10075" s="15" t="s">
        <v>52</v>
      </c>
      <c r="P10075" s="16" t="s">
        <v>18449</v>
      </c>
      <c r="Q10075" s="15" t="s">
        <v>855</v>
      </c>
      <c r="R10075" s="13" t="str">
        <f>HYPERLINK("https://my.pitchbook.com?c=139402-99T","View Company Online")</f>
        <v>View Company Online</v>
      </c>
    </row>
    <row r="10076" spans="1:18" hidden="1" x14ac:dyDescent="0.3">
      <c r="A10076" s="9" t="s">
        <v>28597</v>
      </c>
      <c r="B10076" s="9" t="s">
        <v>28598</v>
      </c>
      <c r="C10076" s="11" t="s">
        <v>28</v>
      </c>
      <c r="D10076" s="9" t="s">
        <v>28599</v>
      </c>
      <c r="E10076" s="11" t="s">
        <v>28</v>
      </c>
      <c r="F10076" s="10" t="s">
        <v>28</v>
      </c>
      <c r="G10076" s="10" t="s">
        <v>28</v>
      </c>
      <c r="H10076" s="10" t="s">
        <v>28</v>
      </c>
      <c r="I10076" s="11" t="s">
        <v>28</v>
      </c>
      <c r="J10076" s="11" t="s">
        <v>28</v>
      </c>
      <c r="K10076" s="11" t="s">
        <v>28</v>
      </c>
      <c r="L10076" s="11" t="s">
        <v>28</v>
      </c>
      <c r="M10076" s="11" t="s">
        <v>28</v>
      </c>
      <c r="N10076" s="8">
        <v>42005</v>
      </c>
      <c r="O10076" s="9" t="s">
        <v>30</v>
      </c>
      <c r="P10076" s="12" t="s">
        <v>8232</v>
      </c>
      <c r="Q10076" s="9" t="s">
        <v>414</v>
      </c>
      <c r="R10076" s="14" t="str">
        <f>HYPERLINK("https://my.pitchbook.com?c=155343-52T","View Company Online")</f>
        <v>View Company Online</v>
      </c>
    </row>
    <row r="10077" spans="1:18" hidden="1" x14ac:dyDescent="0.3">
      <c r="A10077" s="15" t="s">
        <v>28600</v>
      </c>
      <c r="B10077" s="15" t="s">
        <v>28601</v>
      </c>
      <c r="C10077" s="18" t="s">
        <v>28</v>
      </c>
      <c r="D10077" s="15" t="s">
        <v>28602</v>
      </c>
      <c r="E10077" s="18" t="s">
        <v>28</v>
      </c>
      <c r="F10077" s="19" t="s">
        <v>28</v>
      </c>
      <c r="G10077" s="19">
        <v>0.06</v>
      </c>
      <c r="H10077" s="19" t="s">
        <v>28</v>
      </c>
      <c r="I10077" s="18" t="s">
        <v>28</v>
      </c>
      <c r="J10077" s="18" t="s">
        <v>28</v>
      </c>
      <c r="K10077" s="18" t="s">
        <v>28</v>
      </c>
      <c r="L10077" s="18" t="s">
        <v>28</v>
      </c>
      <c r="M10077" s="18" t="s">
        <v>28</v>
      </c>
      <c r="N10077" s="17">
        <v>42005</v>
      </c>
      <c r="O10077" s="15" t="s">
        <v>379</v>
      </c>
      <c r="P10077" s="16" t="s">
        <v>28</v>
      </c>
      <c r="Q10077" s="15" t="s">
        <v>75</v>
      </c>
      <c r="R10077" s="13" t="str">
        <f>HYPERLINK("https://my.pitchbook.com?c=213981-85T","View Company Online")</f>
        <v>View Company Online</v>
      </c>
    </row>
    <row r="10078" spans="1:18" hidden="1" x14ac:dyDescent="0.3">
      <c r="A10078" s="9" t="s">
        <v>28603</v>
      </c>
      <c r="B10078" s="9" t="s">
        <v>28604</v>
      </c>
      <c r="C10078" s="11" t="s">
        <v>28</v>
      </c>
      <c r="D10078" s="9" t="s">
        <v>28605</v>
      </c>
      <c r="E10078" s="11" t="s">
        <v>28</v>
      </c>
      <c r="F10078" s="10" t="s">
        <v>28</v>
      </c>
      <c r="G10078" s="10" t="s">
        <v>28</v>
      </c>
      <c r="H10078" s="10" t="s">
        <v>28</v>
      </c>
      <c r="I10078" s="11" t="s">
        <v>28</v>
      </c>
      <c r="J10078" s="11" t="s">
        <v>28</v>
      </c>
      <c r="K10078" s="11" t="s">
        <v>28</v>
      </c>
      <c r="L10078" s="11" t="s">
        <v>28</v>
      </c>
      <c r="M10078" s="11" t="s">
        <v>28</v>
      </c>
      <c r="N10078" s="8">
        <v>42005</v>
      </c>
      <c r="O10078" s="9" t="s">
        <v>30</v>
      </c>
      <c r="P10078" s="12" t="s">
        <v>28606</v>
      </c>
      <c r="Q10078" s="9" t="s">
        <v>85</v>
      </c>
      <c r="R10078" s="14" t="str">
        <f>HYPERLINK("https://my.pitchbook.com?c=277214-32T","View Company Online")</f>
        <v>View Company Online</v>
      </c>
    </row>
    <row r="10079" spans="1:18" hidden="1" x14ac:dyDescent="0.3">
      <c r="A10079" s="15" t="s">
        <v>28607</v>
      </c>
      <c r="B10079" s="15" t="s">
        <v>26056</v>
      </c>
      <c r="C10079" s="18" t="s">
        <v>28</v>
      </c>
      <c r="D10079" s="15" t="s">
        <v>26057</v>
      </c>
      <c r="E10079" s="18" t="s">
        <v>28</v>
      </c>
      <c r="F10079" s="19" t="s">
        <v>28</v>
      </c>
      <c r="G10079" s="19" t="s">
        <v>28</v>
      </c>
      <c r="H10079" s="19" t="s">
        <v>28</v>
      </c>
      <c r="I10079" s="18" t="s">
        <v>28</v>
      </c>
      <c r="J10079" s="18" t="s">
        <v>28</v>
      </c>
      <c r="K10079" s="18" t="s">
        <v>28</v>
      </c>
      <c r="L10079" s="18" t="s">
        <v>28</v>
      </c>
      <c r="M10079" s="18" t="s">
        <v>28</v>
      </c>
      <c r="N10079" s="17">
        <v>42005</v>
      </c>
      <c r="O10079" s="15" t="s">
        <v>52</v>
      </c>
      <c r="P10079" s="16" t="s">
        <v>5620</v>
      </c>
      <c r="Q10079" s="15" t="s">
        <v>855</v>
      </c>
      <c r="R10079" s="13" t="str">
        <f>HYPERLINK("https://my.pitchbook.com?c=84789-64T","View Company Online")</f>
        <v>View Company Online</v>
      </c>
    </row>
    <row r="10080" spans="1:18" hidden="1" x14ac:dyDescent="0.3">
      <c r="A10080" s="9" t="s">
        <v>28608</v>
      </c>
      <c r="B10080" s="9" t="s">
        <v>28609</v>
      </c>
      <c r="C10080" s="11" t="s">
        <v>28</v>
      </c>
      <c r="D10080" s="9" t="s">
        <v>28610</v>
      </c>
      <c r="E10080" s="11" t="s">
        <v>28</v>
      </c>
      <c r="F10080" s="10" t="s">
        <v>28</v>
      </c>
      <c r="G10080" s="10" t="s">
        <v>28</v>
      </c>
      <c r="H10080" s="10" t="s">
        <v>28</v>
      </c>
      <c r="I10080" s="11" t="s">
        <v>28</v>
      </c>
      <c r="J10080" s="11" t="s">
        <v>28</v>
      </c>
      <c r="K10080" s="11" t="s">
        <v>28</v>
      </c>
      <c r="L10080" s="11" t="s">
        <v>28</v>
      </c>
      <c r="M10080" s="11" t="s">
        <v>28</v>
      </c>
      <c r="N10080" s="8">
        <v>42005</v>
      </c>
      <c r="O10080" s="9" t="s">
        <v>99</v>
      </c>
      <c r="P10080" s="12" t="s">
        <v>28</v>
      </c>
      <c r="Q10080" s="9" t="s">
        <v>37</v>
      </c>
      <c r="R10080" s="14" t="str">
        <f>HYPERLINK("https://my.pitchbook.com?c=223468-57T","View Company Online")</f>
        <v>View Company Online</v>
      </c>
    </row>
    <row r="10081" spans="1:18" hidden="1" x14ac:dyDescent="0.3">
      <c r="A10081" s="15" t="s">
        <v>28611</v>
      </c>
      <c r="B10081" s="15" t="s">
        <v>28612</v>
      </c>
      <c r="C10081" s="18" t="s">
        <v>28</v>
      </c>
      <c r="D10081" s="15" t="s">
        <v>28613</v>
      </c>
      <c r="E10081" s="18" t="s">
        <v>28</v>
      </c>
      <c r="F10081" s="19" t="s">
        <v>28</v>
      </c>
      <c r="G10081" s="19" t="s">
        <v>28</v>
      </c>
      <c r="H10081" s="19" t="s">
        <v>28</v>
      </c>
      <c r="I10081" s="18" t="s">
        <v>28</v>
      </c>
      <c r="J10081" s="18" t="s">
        <v>28</v>
      </c>
      <c r="K10081" s="18" t="s">
        <v>28</v>
      </c>
      <c r="L10081" s="18" t="s">
        <v>28</v>
      </c>
      <c r="M10081" s="18" t="s">
        <v>28</v>
      </c>
      <c r="N10081" s="17">
        <v>42005</v>
      </c>
      <c r="O10081" s="15" t="s">
        <v>30</v>
      </c>
      <c r="P10081" s="16" t="s">
        <v>28614</v>
      </c>
      <c r="Q10081" s="15" t="s">
        <v>658</v>
      </c>
      <c r="R10081" s="13" t="str">
        <f>HYPERLINK("https://my.pitchbook.com?c=220178-08T","View Company Online")</f>
        <v>View Company Online</v>
      </c>
    </row>
    <row r="10082" spans="1:18" hidden="1" x14ac:dyDescent="0.3">
      <c r="A10082" s="9" t="s">
        <v>28615</v>
      </c>
      <c r="B10082" s="9" t="s">
        <v>28616</v>
      </c>
      <c r="C10082" s="11" t="s">
        <v>28</v>
      </c>
      <c r="D10082" s="9" t="s">
        <v>28617</v>
      </c>
      <c r="E10082" s="11" t="s">
        <v>28</v>
      </c>
      <c r="F10082" s="10" t="s">
        <v>28</v>
      </c>
      <c r="G10082" s="10" t="s">
        <v>28</v>
      </c>
      <c r="H10082" s="10" t="s">
        <v>28</v>
      </c>
      <c r="I10082" s="11" t="s">
        <v>28</v>
      </c>
      <c r="J10082" s="11" t="s">
        <v>28</v>
      </c>
      <c r="K10082" s="11" t="s">
        <v>28</v>
      </c>
      <c r="L10082" s="11" t="s">
        <v>28</v>
      </c>
      <c r="M10082" s="11" t="s">
        <v>28</v>
      </c>
      <c r="N10082" s="8">
        <v>42005</v>
      </c>
      <c r="O10082" s="9" t="s">
        <v>52</v>
      </c>
      <c r="P10082" s="12" t="s">
        <v>25302</v>
      </c>
      <c r="Q10082" s="9" t="s">
        <v>740</v>
      </c>
      <c r="R10082" s="14" t="str">
        <f>HYPERLINK("https://my.pitchbook.com?c=84839-41T","View Company Online")</f>
        <v>View Company Online</v>
      </c>
    </row>
    <row r="10083" spans="1:18" hidden="1" x14ac:dyDescent="0.3">
      <c r="A10083" s="15" t="s">
        <v>28618</v>
      </c>
      <c r="B10083" s="15" t="s">
        <v>12812</v>
      </c>
      <c r="C10083" s="18" t="s">
        <v>28</v>
      </c>
      <c r="D10083" s="15" t="s">
        <v>12813</v>
      </c>
      <c r="E10083" s="18" t="s">
        <v>28</v>
      </c>
      <c r="F10083" s="19" t="s">
        <v>28</v>
      </c>
      <c r="G10083" s="19">
        <v>1.82</v>
      </c>
      <c r="H10083" s="19" t="s">
        <v>28</v>
      </c>
      <c r="I10083" s="18" t="s">
        <v>28</v>
      </c>
      <c r="J10083" s="18" t="s">
        <v>28</v>
      </c>
      <c r="K10083" s="18" t="s">
        <v>28</v>
      </c>
      <c r="L10083" s="18" t="s">
        <v>28</v>
      </c>
      <c r="M10083" s="18" t="s">
        <v>28</v>
      </c>
      <c r="N10083" s="17">
        <v>42005</v>
      </c>
      <c r="O10083" s="15" t="s">
        <v>99</v>
      </c>
      <c r="P10083" s="16" t="s">
        <v>4301</v>
      </c>
      <c r="Q10083" s="15" t="s">
        <v>419</v>
      </c>
      <c r="R10083" s="13" t="str">
        <f>HYPERLINK("https://my.pitchbook.com?c=188233-66T","View Company Online")</f>
        <v>View Company Online</v>
      </c>
    </row>
    <row r="10084" spans="1:18" hidden="1" x14ac:dyDescent="0.3">
      <c r="A10084" s="9" t="s">
        <v>28619</v>
      </c>
      <c r="B10084" s="9" t="s">
        <v>13142</v>
      </c>
      <c r="C10084" s="11" t="s">
        <v>28</v>
      </c>
      <c r="D10084" s="9" t="s">
        <v>13143</v>
      </c>
      <c r="E10084" s="11" t="s">
        <v>28</v>
      </c>
      <c r="F10084" s="10" t="s">
        <v>28</v>
      </c>
      <c r="G10084" s="10">
        <v>0.1</v>
      </c>
      <c r="H10084" s="10" t="s">
        <v>28</v>
      </c>
      <c r="I10084" s="11" t="s">
        <v>28</v>
      </c>
      <c r="J10084" s="11" t="s">
        <v>28</v>
      </c>
      <c r="K10084" s="11" t="s">
        <v>28</v>
      </c>
      <c r="L10084" s="11" t="s">
        <v>28</v>
      </c>
      <c r="M10084" s="11" t="s">
        <v>28</v>
      </c>
      <c r="N10084" s="8">
        <v>42005</v>
      </c>
      <c r="O10084" s="9" t="s">
        <v>52</v>
      </c>
      <c r="P10084" s="12" t="s">
        <v>28620</v>
      </c>
      <c r="Q10084" s="9" t="s">
        <v>3912</v>
      </c>
      <c r="R10084" s="14" t="str">
        <f>HYPERLINK("https://my.pitchbook.com?c=183311-65T","View Company Online")</f>
        <v>View Company Online</v>
      </c>
    </row>
    <row r="10085" spans="1:18" hidden="1" x14ac:dyDescent="0.3">
      <c r="A10085" s="15" t="s">
        <v>28621</v>
      </c>
      <c r="B10085" s="15" t="s">
        <v>26080</v>
      </c>
      <c r="C10085" s="18" t="s">
        <v>28</v>
      </c>
      <c r="D10085" s="15" t="s">
        <v>26081</v>
      </c>
      <c r="E10085" s="18" t="s">
        <v>28</v>
      </c>
      <c r="F10085" s="19" t="s">
        <v>28</v>
      </c>
      <c r="G10085" s="19">
        <v>2.5</v>
      </c>
      <c r="H10085" s="19" t="s">
        <v>28</v>
      </c>
      <c r="I10085" s="18" t="s">
        <v>28</v>
      </c>
      <c r="J10085" s="18" t="s">
        <v>28</v>
      </c>
      <c r="K10085" s="18" t="s">
        <v>28</v>
      </c>
      <c r="L10085" s="18" t="s">
        <v>28</v>
      </c>
      <c r="M10085" s="18" t="s">
        <v>28</v>
      </c>
      <c r="N10085" s="17">
        <v>42005</v>
      </c>
      <c r="O10085" s="15" t="s">
        <v>99</v>
      </c>
      <c r="P10085" s="16" t="s">
        <v>28</v>
      </c>
      <c r="Q10085" s="15" t="s">
        <v>75</v>
      </c>
      <c r="R10085" s="13" t="str">
        <f>HYPERLINK("https://my.pitchbook.com?c=78578-29T","View Company Online")</f>
        <v>View Company Online</v>
      </c>
    </row>
    <row r="10086" spans="1:18" hidden="1" x14ac:dyDescent="0.3">
      <c r="A10086" s="9" t="s">
        <v>28622</v>
      </c>
      <c r="B10086" s="9" t="s">
        <v>26080</v>
      </c>
      <c r="C10086" s="11" t="s">
        <v>28</v>
      </c>
      <c r="D10086" s="9" t="s">
        <v>26081</v>
      </c>
      <c r="E10086" s="11" t="s">
        <v>28</v>
      </c>
      <c r="F10086" s="10" t="s">
        <v>28</v>
      </c>
      <c r="G10086" s="10" t="s">
        <v>28</v>
      </c>
      <c r="H10086" s="10" t="s">
        <v>28</v>
      </c>
      <c r="I10086" s="11" t="s">
        <v>28</v>
      </c>
      <c r="J10086" s="11" t="s">
        <v>28</v>
      </c>
      <c r="K10086" s="11" t="s">
        <v>28</v>
      </c>
      <c r="L10086" s="11" t="s">
        <v>28</v>
      </c>
      <c r="M10086" s="11" t="s">
        <v>28</v>
      </c>
      <c r="N10086" s="8">
        <v>42005</v>
      </c>
      <c r="O10086" s="9" t="s">
        <v>52</v>
      </c>
      <c r="P10086" s="12" t="s">
        <v>28623</v>
      </c>
      <c r="Q10086" s="9" t="s">
        <v>75</v>
      </c>
      <c r="R10086" s="14" t="str">
        <f>HYPERLINK("https://my.pitchbook.com?c=78579-37T","View Company Online")</f>
        <v>View Company Online</v>
      </c>
    </row>
    <row r="10087" spans="1:18" hidden="1" x14ac:dyDescent="0.3">
      <c r="A10087" s="15" t="s">
        <v>28624</v>
      </c>
      <c r="B10087" s="15" t="s">
        <v>15301</v>
      </c>
      <c r="C10087" s="18" t="s">
        <v>28</v>
      </c>
      <c r="D10087" s="15" t="s">
        <v>15302</v>
      </c>
      <c r="E10087" s="18" t="s">
        <v>28</v>
      </c>
      <c r="F10087" s="19" t="s">
        <v>28</v>
      </c>
      <c r="G10087" s="19">
        <v>0.03</v>
      </c>
      <c r="H10087" s="19" t="s">
        <v>28</v>
      </c>
      <c r="I10087" s="18" t="s">
        <v>28</v>
      </c>
      <c r="J10087" s="18" t="s">
        <v>28</v>
      </c>
      <c r="K10087" s="18" t="s">
        <v>28</v>
      </c>
      <c r="L10087" s="18" t="s">
        <v>28</v>
      </c>
      <c r="M10087" s="18" t="s">
        <v>28</v>
      </c>
      <c r="N10087" s="17">
        <v>42005</v>
      </c>
      <c r="O10087" s="15" t="s">
        <v>47</v>
      </c>
      <c r="P10087" s="16" t="s">
        <v>28625</v>
      </c>
      <c r="Q10087" s="15" t="s">
        <v>75</v>
      </c>
      <c r="R10087" s="13" t="str">
        <f>HYPERLINK("https://my.pitchbook.com?c=123217-21T","View Company Online")</f>
        <v>View Company Online</v>
      </c>
    </row>
    <row r="10088" spans="1:18" hidden="1" x14ac:dyDescent="0.3">
      <c r="A10088" s="9" t="s">
        <v>28626</v>
      </c>
      <c r="B10088" s="9" t="s">
        <v>28627</v>
      </c>
      <c r="C10088" s="11" t="s">
        <v>28</v>
      </c>
      <c r="D10088" s="9" t="s">
        <v>28628</v>
      </c>
      <c r="E10088" s="11" t="s">
        <v>28</v>
      </c>
      <c r="F10088" s="10" t="s">
        <v>28</v>
      </c>
      <c r="G10088" s="10" t="s">
        <v>28</v>
      </c>
      <c r="H10088" s="10" t="s">
        <v>28</v>
      </c>
      <c r="I10088" s="11" t="s">
        <v>28</v>
      </c>
      <c r="J10088" s="11" t="s">
        <v>28</v>
      </c>
      <c r="K10088" s="11" t="s">
        <v>28</v>
      </c>
      <c r="L10088" s="11" t="s">
        <v>28</v>
      </c>
      <c r="M10088" s="11" t="s">
        <v>28</v>
      </c>
      <c r="N10088" s="8">
        <v>42004</v>
      </c>
      <c r="O10088" s="9" t="s">
        <v>41</v>
      </c>
      <c r="P10088" s="12" t="s">
        <v>28629</v>
      </c>
      <c r="Q10088" s="9" t="s">
        <v>900</v>
      </c>
      <c r="R10088" s="14" t="str">
        <f>HYPERLINK("https://my.pitchbook.com?c=61693-21T","View Company Online")</f>
        <v>View Company Online</v>
      </c>
    </row>
    <row r="10089" spans="1:18" hidden="1" x14ac:dyDescent="0.3">
      <c r="A10089" s="15" t="s">
        <v>28630</v>
      </c>
      <c r="B10089" s="15" t="s">
        <v>28631</v>
      </c>
      <c r="C10089" s="18" t="s">
        <v>28</v>
      </c>
      <c r="D10089" s="15" t="s">
        <v>28632</v>
      </c>
      <c r="E10089" s="18" t="s">
        <v>28</v>
      </c>
      <c r="F10089" s="19" t="s">
        <v>28</v>
      </c>
      <c r="G10089" s="19" t="s">
        <v>28</v>
      </c>
      <c r="H10089" s="19" t="s">
        <v>28</v>
      </c>
      <c r="I10089" s="18" t="s">
        <v>28</v>
      </c>
      <c r="J10089" s="18" t="s">
        <v>28</v>
      </c>
      <c r="K10089" s="18" t="s">
        <v>28</v>
      </c>
      <c r="L10089" s="18" t="s">
        <v>28</v>
      </c>
      <c r="M10089" s="18" t="s">
        <v>28</v>
      </c>
      <c r="N10089" s="17">
        <v>42002</v>
      </c>
      <c r="O10089" s="15" t="s">
        <v>30</v>
      </c>
      <c r="P10089" s="16" t="s">
        <v>28</v>
      </c>
      <c r="Q10089" s="15" t="s">
        <v>1191</v>
      </c>
      <c r="R10089" s="13" t="str">
        <f>HYPERLINK("https://my.pitchbook.com?c=89596-90T","View Company Online")</f>
        <v>View Company Online</v>
      </c>
    </row>
    <row r="10090" spans="1:18" hidden="1" x14ac:dyDescent="0.3">
      <c r="A10090" s="9" t="s">
        <v>28633</v>
      </c>
      <c r="B10090" s="9" t="s">
        <v>7576</v>
      </c>
      <c r="C10090" s="11" t="s">
        <v>28</v>
      </c>
      <c r="D10090" s="9" t="s">
        <v>7577</v>
      </c>
      <c r="E10090" s="11">
        <v>4201.2700000000004</v>
      </c>
      <c r="F10090" s="10" t="s">
        <v>28</v>
      </c>
      <c r="G10090" s="10" t="s">
        <v>28</v>
      </c>
      <c r="H10090" s="10" t="s">
        <v>28</v>
      </c>
      <c r="I10090" s="11">
        <v>4239.8900000000003</v>
      </c>
      <c r="J10090" s="11" t="s">
        <v>28</v>
      </c>
      <c r="K10090" s="11">
        <v>420.03</v>
      </c>
      <c r="L10090" s="11" t="s">
        <v>28</v>
      </c>
      <c r="M10090" s="11">
        <v>4213.32</v>
      </c>
      <c r="N10090" s="8">
        <v>42002</v>
      </c>
      <c r="O10090" s="9" t="s">
        <v>173</v>
      </c>
      <c r="P10090" s="12" t="s">
        <v>28</v>
      </c>
      <c r="Q10090" s="9" t="s">
        <v>226</v>
      </c>
      <c r="R10090" s="14" t="str">
        <f>HYPERLINK("https://my.pitchbook.com?c=192502-72T","View Company Online")</f>
        <v>View Company Online</v>
      </c>
    </row>
    <row r="10091" spans="1:18" hidden="1" x14ac:dyDescent="0.3">
      <c r="A10091" s="15" t="s">
        <v>28634</v>
      </c>
      <c r="B10091" s="15" t="s">
        <v>9435</v>
      </c>
      <c r="C10091" s="18" t="s">
        <v>28</v>
      </c>
      <c r="D10091" s="15" t="s">
        <v>9436</v>
      </c>
      <c r="E10091" s="18" t="s">
        <v>28</v>
      </c>
      <c r="F10091" s="19" t="s">
        <v>28</v>
      </c>
      <c r="G10091" s="19" t="s">
        <v>28</v>
      </c>
      <c r="H10091" s="19" t="s">
        <v>28</v>
      </c>
      <c r="I10091" s="18" t="s">
        <v>28</v>
      </c>
      <c r="J10091" s="18" t="s">
        <v>28</v>
      </c>
      <c r="K10091" s="18" t="s">
        <v>28</v>
      </c>
      <c r="L10091" s="18" t="s">
        <v>28</v>
      </c>
      <c r="M10091" s="18" t="s">
        <v>28</v>
      </c>
      <c r="N10091" s="17">
        <v>42002</v>
      </c>
      <c r="O10091" s="15" t="s">
        <v>41</v>
      </c>
      <c r="P10091" s="16" t="s">
        <v>28635</v>
      </c>
      <c r="Q10091" s="15" t="s">
        <v>774</v>
      </c>
      <c r="R10091" s="13" t="str">
        <f>HYPERLINK("https://my.pitchbook.com?c=69345-64T","View Company Online")</f>
        <v>View Company Online</v>
      </c>
    </row>
    <row r="10092" spans="1:18" hidden="1" x14ac:dyDescent="0.3">
      <c r="A10092" s="9" t="s">
        <v>28636</v>
      </c>
      <c r="B10092" s="9" t="s">
        <v>8826</v>
      </c>
      <c r="C10092" s="11" t="s">
        <v>28</v>
      </c>
      <c r="D10092" s="9" t="s">
        <v>8827</v>
      </c>
      <c r="E10092" s="11" t="s">
        <v>28</v>
      </c>
      <c r="F10092" s="10" t="s">
        <v>28</v>
      </c>
      <c r="G10092" s="10" t="s">
        <v>28</v>
      </c>
      <c r="H10092" s="10" t="s">
        <v>28</v>
      </c>
      <c r="I10092" s="11" t="s">
        <v>28</v>
      </c>
      <c r="J10092" s="11" t="s">
        <v>28</v>
      </c>
      <c r="K10092" s="11" t="s">
        <v>28</v>
      </c>
      <c r="L10092" s="11" t="s">
        <v>28</v>
      </c>
      <c r="M10092" s="11">
        <v>24.89</v>
      </c>
      <c r="N10092" s="8">
        <v>42002</v>
      </c>
      <c r="O10092" s="9" t="s">
        <v>41</v>
      </c>
      <c r="P10092" s="12" t="s">
        <v>343</v>
      </c>
      <c r="Q10092" s="9" t="s">
        <v>774</v>
      </c>
      <c r="R10092" s="14" t="str">
        <f>HYPERLINK("https://my.pitchbook.com?c=69210-28T","View Company Online")</f>
        <v>View Company Online</v>
      </c>
    </row>
    <row r="10093" spans="1:18" hidden="1" x14ac:dyDescent="0.3">
      <c r="A10093" s="15" t="s">
        <v>28637</v>
      </c>
      <c r="B10093" s="15" t="s">
        <v>9444</v>
      </c>
      <c r="C10093" s="18" t="s">
        <v>28</v>
      </c>
      <c r="D10093" s="15" t="s">
        <v>9445</v>
      </c>
      <c r="E10093" s="18" t="s">
        <v>28</v>
      </c>
      <c r="F10093" s="19">
        <v>229.48</v>
      </c>
      <c r="G10093" s="19">
        <v>114.97</v>
      </c>
      <c r="H10093" s="19">
        <v>229.48</v>
      </c>
      <c r="I10093" s="18" t="s">
        <v>28</v>
      </c>
      <c r="J10093" s="18" t="s">
        <v>28</v>
      </c>
      <c r="K10093" s="18" t="s">
        <v>28</v>
      </c>
      <c r="L10093" s="18" t="s">
        <v>28</v>
      </c>
      <c r="M10093" s="18" t="s">
        <v>28</v>
      </c>
      <c r="N10093" s="17">
        <v>41996</v>
      </c>
      <c r="O10093" s="15" t="s">
        <v>41</v>
      </c>
      <c r="P10093" s="16" t="s">
        <v>28638</v>
      </c>
      <c r="Q10093" s="15" t="s">
        <v>54</v>
      </c>
      <c r="R10093" s="13" t="str">
        <f>HYPERLINK("https://my.pitchbook.com?c=108003-79T","View Company Online")</f>
        <v>View Company Online</v>
      </c>
    </row>
    <row r="10094" spans="1:18" hidden="1" x14ac:dyDescent="0.3">
      <c r="A10094" s="9" t="s">
        <v>28639</v>
      </c>
      <c r="B10094" s="9" t="s">
        <v>28640</v>
      </c>
      <c r="C10094" s="11" t="s">
        <v>28</v>
      </c>
      <c r="D10094" s="9" t="s">
        <v>28641</v>
      </c>
      <c r="E10094" s="11" t="s">
        <v>28</v>
      </c>
      <c r="F10094" s="10" t="s">
        <v>28</v>
      </c>
      <c r="G10094" s="10" t="s">
        <v>28</v>
      </c>
      <c r="H10094" s="10" t="s">
        <v>28</v>
      </c>
      <c r="I10094" s="11" t="s">
        <v>28</v>
      </c>
      <c r="J10094" s="11" t="s">
        <v>28</v>
      </c>
      <c r="K10094" s="11" t="s">
        <v>28</v>
      </c>
      <c r="L10094" s="11" t="s">
        <v>28</v>
      </c>
      <c r="M10094" s="11" t="s">
        <v>28</v>
      </c>
      <c r="N10094" s="8">
        <v>41995</v>
      </c>
      <c r="O10094" s="9" t="s">
        <v>30</v>
      </c>
      <c r="P10094" s="12" t="s">
        <v>28642</v>
      </c>
      <c r="Q10094" s="9" t="s">
        <v>280</v>
      </c>
      <c r="R10094" s="14" t="str">
        <f>HYPERLINK("https://my.pitchbook.com?c=70238-17T","View Company Online")</f>
        <v>View Company Online</v>
      </c>
    </row>
    <row r="10095" spans="1:18" hidden="1" x14ac:dyDescent="0.3">
      <c r="A10095" s="15" t="s">
        <v>28643</v>
      </c>
      <c r="B10095" s="15" t="s">
        <v>28644</v>
      </c>
      <c r="C10095" s="18" t="s">
        <v>28</v>
      </c>
      <c r="D10095" s="15" t="s">
        <v>28645</v>
      </c>
      <c r="E10095" s="18" t="s">
        <v>28</v>
      </c>
      <c r="F10095" s="19" t="s">
        <v>28</v>
      </c>
      <c r="G10095" s="19" t="s">
        <v>28</v>
      </c>
      <c r="H10095" s="19" t="s">
        <v>28</v>
      </c>
      <c r="I10095" s="18" t="s">
        <v>28</v>
      </c>
      <c r="J10095" s="18" t="s">
        <v>28</v>
      </c>
      <c r="K10095" s="18" t="s">
        <v>28</v>
      </c>
      <c r="L10095" s="18" t="s">
        <v>28</v>
      </c>
      <c r="M10095" s="18" t="s">
        <v>28</v>
      </c>
      <c r="N10095" s="17">
        <v>41995</v>
      </c>
      <c r="O10095" s="15" t="s">
        <v>30</v>
      </c>
      <c r="P10095" s="16" t="s">
        <v>28646</v>
      </c>
      <c r="Q10095" s="15" t="s">
        <v>4753</v>
      </c>
      <c r="R10095" s="13" t="str">
        <f>HYPERLINK("https://my.pitchbook.com?c=68972-68T","View Company Online")</f>
        <v>View Company Online</v>
      </c>
    </row>
    <row r="10096" spans="1:18" hidden="1" x14ac:dyDescent="0.3">
      <c r="A10096" s="9" t="s">
        <v>28647</v>
      </c>
      <c r="B10096" s="9" t="s">
        <v>28648</v>
      </c>
      <c r="C10096" s="11" t="s">
        <v>28</v>
      </c>
      <c r="D10096" s="9" t="s">
        <v>28649</v>
      </c>
      <c r="E10096" s="11" t="s">
        <v>28</v>
      </c>
      <c r="F10096" s="10" t="s">
        <v>28</v>
      </c>
      <c r="G10096" s="10" t="s">
        <v>28</v>
      </c>
      <c r="H10096" s="10" t="s">
        <v>28</v>
      </c>
      <c r="I10096" s="11" t="s">
        <v>28</v>
      </c>
      <c r="J10096" s="11" t="s">
        <v>28</v>
      </c>
      <c r="K10096" s="11" t="s">
        <v>28</v>
      </c>
      <c r="L10096" s="11" t="s">
        <v>28</v>
      </c>
      <c r="M10096" s="11" t="s">
        <v>28</v>
      </c>
      <c r="N10096" s="8">
        <v>41991</v>
      </c>
      <c r="O10096" s="9" t="s">
        <v>30</v>
      </c>
      <c r="P10096" s="12" t="s">
        <v>28650</v>
      </c>
      <c r="Q10096" s="9" t="s">
        <v>4753</v>
      </c>
      <c r="R10096" s="14" t="str">
        <f>HYPERLINK("https://my.pitchbook.com?c=40687-57T","View Company Online")</f>
        <v>View Company Online</v>
      </c>
    </row>
    <row r="10097" spans="1:18" hidden="1" x14ac:dyDescent="0.3">
      <c r="A10097" s="15" t="s">
        <v>28651</v>
      </c>
      <c r="B10097" s="15" t="s">
        <v>28652</v>
      </c>
      <c r="C10097" s="18" t="s">
        <v>28</v>
      </c>
      <c r="D10097" s="15" t="s">
        <v>28653</v>
      </c>
      <c r="E10097" s="18" t="s">
        <v>28</v>
      </c>
      <c r="F10097" s="19" t="s">
        <v>28</v>
      </c>
      <c r="G10097" s="19" t="s">
        <v>28</v>
      </c>
      <c r="H10097" s="19" t="s">
        <v>28</v>
      </c>
      <c r="I10097" s="18" t="s">
        <v>28</v>
      </c>
      <c r="J10097" s="18" t="s">
        <v>28</v>
      </c>
      <c r="K10097" s="18" t="s">
        <v>28</v>
      </c>
      <c r="L10097" s="18" t="s">
        <v>28</v>
      </c>
      <c r="M10097" s="18" t="s">
        <v>28</v>
      </c>
      <c r="N10097" s="17">
        <v>41991</v>
      </c>
      <c r="O10097" s="15" t="s">
        <v>30</v>
      </c>
      <c r="P10097" s="16" t="s">
        <v>28654</v>
      </c>
      <c r="Q10097" s="15" t="s">
        <v>362</v>
      </c>
      <c r="R10097" s="13" t="str">
        <f>HYPERLINK("https://my.pitchbook.com?c=40620-97T","View Company Online")</f>
        <v>View Company Online</v>
      </c>
    </row>
    <row r="10098" spans="1:18" hidden="1" x14ac:dyDescent="0.3">
      <c r="A10098" s="9" t="s">
        <v>28655</v>
      </c>
      <c r="B10098" s="9" t="s">
        <v>28656</v>
      </c>
      <c r="C10098" s="11" t="s">
        <v>28</v>
      </c>
      <c r="D10098" s="9" t="s">
        <v>28657</v>
      </c>
      <c r="E10098" s="11" t="s">
        <v>28</v>
      </c>
      <c r="F10098" s="10" t="s">
        <v>28</v>
      </c>
      <c r="G10098" s="10" t="s">
        <v>28</v>
      </c>
      <c r="H10098" s="10" t="s">
        <v>28</v>
      </c>
      <c r="I10098" s="11" t="s">
        <v>28</v>
      </c>
      <c r="J10098" s="11" t="s">
        <v>28</v>
      </c>
      <c r="K10098" s="11" t="s">
        <v>28</v>
      </c>
      <c r="L10098" s="11" t="s">
        <v>28</v>
      </c>
      <c r="M10098" s="11" t="s">
        <v>28</v>
      </c>
      <c r="N10098" s="8">
        <v>41991</v>
      </c>
      <c r="O10098" s="9" t="s">
        <v>30</v>
      </c>
      <c r="P10098" s="12" t="s">
        <v>28658</v>
      </c>
      <c r="Q10098" s="9" t="s">
        <v>900</v>
      </c>
      <c r="R10098" s="14" t="str">
        <f>HYPERLINK("https://my.pitchbook.com?c=89509-96T","View Company Online")</f>
        <v>View Company Online</v>
      </c>
    </row>
    <row r="10099" spans="1:18" x14ac:dyDescent="0.3">
      <c r="A10099" s="15" t="s">
        <v>28659</v>
      </c>
      <c r="B10099" s="15" t="s">
        <v>27783</v>
      </c>
      <c r="C10099" s="18" t="s">
        <v>28</v>
      </c>
      <c r="D10099" s="15" t="s">
        <v>24450</v>
      </c>
      <c r="E10099" s="18">
        <v>697.3</v>
      </c>
      <c r="F10099" s="19" t="s">
        <v>28</v>
      </c>
      <c r="G10099" s="19">
        <v>652.04999999999995</v>
      </c>
      <c r="H10099" s="19">
        <v>6520.47</v>
      </c>
      <c r="I10099" s="18">
        <v>883.73</v>
      </c>
      <c r="J10099" s="18">
        <v>7.38</v>
      </c>
      <c r="K10099" s="18">
        <v>15606.91</v>
      </c>
      <c r="L10099" s="18">
        <v>0.42</v>
      </c>
      <c r="M10099" s="18">
        <v>224.22</v>
      </c>
      <c r="N10099" s="17">
        <v>41990</v>
      </c>
      <c r="O10099" s="15" t="s">
        <v>93</v>
      </c>
      <c r="P10099" s="16" t="s">
        <v>27784</v>
      </c>
      <c r="Q10099" s="15" t="s">
        <v>409</v>
      </c>
      <c r="R10099" s="13" t="str">
        <f>HYPERLINK("https://my.pitchbook.com?c=40618-99T","View Company Online")</f>
        <v>View Company Online</v>
      </c>
    </row>
    <row r="10100" spans="1:18" hidden="1" x14ac:dyDescent="0.3">
      <c r="A10100" s="9" t="s">
        <v>28660</v>
      </c>
      <c r="B10100" s="9" t="s">
        <v>24149</v>
      </c>
      <c r="C10100" s="11" t="s">
        <v>28</v>
      </c>
      <c r="D10100" s="9" t="s">
        <v>24150</v>
      </c>
      <c r="E10100" s="11" t="s">
        <v>28</v>
      </c>
      <c r="F10100" s="10" t="s">
        <v>28</v>
      </c>
      <c r="G10100" s="10">
        <v>2.1</v>
      </c>
      <c r="H10100" s="10" t="s">
        <v>28</v>
      </c>
      <c r="I10100" s="11" t="s">
        <v>28</v>
      </c>
      <c r="J10100" s="11" t="s">
        <v>28</v>
      </c>
      <c r="K10100" s="11" t="s">
        <v>28</v>
      </c>
      <c r="L10100" s="11" t="s">
        <v>28</v>
      </c>
      <c r="M10100" s="11" t="s">
        <v>28</v>
      </c>
      <c r="N10100" s="8">
        <v>41990</v>
      </c>
      <c r="O10100" s="9" t="s">
        <v>99</v>
      </c>
      <c r="P10100" s="12" t="s">
        <v>11495</v>
      </c>
      <c r="Q10100" s="9" t="s">
        <v>249</v>
      </c>
      <c r="R10100" s="14" t="str">
        <f>HYPERLINK("https://my.pitchbook.com?c=46058-95T","View Company Online")</f>
        <v>View Company Online</v>
      </c>
    </row>
    <row r="10101" spans="1:18" hidden="1" x14ac:dyDescent="0.3">
      <c r="A10101" s="15" t="s">
        <v>28661</v>
      </c>
      <c r="B10101" s="15" t="s">
        <v>22583</v>
      </c>
      <c r="C10101" s="18" t="s">
        <v>28</v>
      </c>
      <c r="D10101" s="15" t="s">
        <v>22584</v>
      </c>
      <c r="E10101" s="18" t="s">
        <v>28</v>
      </c>
      <c r="F10101" s="19" t="s">
        <v>28</v>
      </c>
      <c r="G10101" s="19">
        <v>0.31</v>
      </c>
      <c r="H10101" s="19" t="s">
        <v>28</v>
      </c>
      <c r="I10101" s="18" t="s">
        <v>28</v>
      </c>
      <c r="J10101" s="18" t="s">
        <v>28</v>
      </c>
      <c r="K10101" s="18" t="s">
        <v>28</v>
      </c>
      <c r="L10101" s="18" t="s">
        <v>28</v>
      </c>
      <c r="M10101" s="18" t="s">
        <v>28</v>
      </c>
      <c r="N10101" s="17">
        <v>41989</v>
      </c>
      <c r="O10101" s="15" t="s">
        <v>73</v>
      </c>
      <c r="P10101" s="16" t="s">
        <v>28662</v>
      </c>
      <c r="Q10101" s="15" t="s">
        <v>95</v>
      </c>
      <c r="R10101" s="13" t="str">
        <f>HYPERLINK("https://my.pitchbook.com?c=65866-87T","View Company Online")</f>
        <v>View Company Online</v>
      </c>
    </row>
    <row r="10102" spans="1:18" hidden="1" x14ac:dyDescent="0.3">
      <c r="A10102" s="9" t="s">
        <v>28663</v>
      </c>
      <c r="B10102" s="9" t="s">
        <v>28664</v>
      </c>
      <c r="C10102" s="11" t="s">
        <v>28</v>
      </c>
      <c r="D10102" s="9" t="s">
        <v>28665</v>
      </c>
      <c r="E10102" s="11" t="s">
        <v>28</v>
      </c>
      <c r="F10102" s="10" t="s">
        <v>28</v>
      </c>
      <c r="G10102" s="10" t="s">
        <v>28</v>
      </c>
      <c r="H10102" s="10" t="s">
        <v>28</v>
      </c>
      <c r="I10102" s="11" t="s">
        <v>28</v>
      </c>
      <c r="J10102" s="11" t="s">
        <v>28</v>
      </c>
      <c r="K10102" s="11" t="s">
        <v>28</v>
      </c>
      <c r="L10102" s="11" t="s">
        <v>28</v>
      </c>
      <c r="M10102" s="11" t="s">
        <v>28</v>
      </c>
      <c r="N10102" s="8">
        <v>41988</v>
      </c>
      <c r="O10102" s="9" t="s">
        <v>93</v>
      </c>
      <c r="P10102" s="12" t="s">
        <v>20951</v>
      </c>
      <c r="Q10102" s="9" t="s">
        <v>226</v>
      </c>
      <c r="R10102" s="14" t="str">
        <f>HYPERLINK("https://my.pitchbook.com?c=109927-09T","View Company Online")</f>
        <v>View Company Online</v>
      </c>
    </row>
    <row r="10103" spans="1:18" hidden="1" x14ac:dyDescent="0.3">
      <c r="A10103" s="15" t="s">
        <v>28666</v>
      </c>
      <c r="B10103" s="15" t="s">
        <v>28667</v>
      </c>
      <c r="C10103" s="18" t="s">
        <v>28</v>
      </c>
      <c r="D10103" s="15" t="s">
        <v>28668</v>
      </c>
      <c r="E10103" s="18" t="s">
        <v>28</v>
      </c>
      <c r="F10103" s="19">
        <v>772.21</v>
      </c>
      <c r="G10103" s="19">
        <v>279.54000000000002</v>
      </c>
      <c r="H10103" s="19">
        <v>772.2</v>
      </c>
      <c r="I10103" s="18" t="s">
        <v>28</v>
      </c>
      <c r="J10103" s="18" t="s">
        <v>28</v>
      </c>
      <c r="K10103" s="18" t="s">
        <v>28</v>
      </c>
      <c r="L10103" s="18" t="s">
        <v>28</v>
      </c>
      <c r="M10103" s="18" t="s">
        <v>28</v>
      </c>
      <c r="N10103" s="17">
        <v>41988</v>
      </c>
      <c r="O10103" s="15" t="s">
        <v>30</v>
      </c>
      <c r="P10103" s="16" t="s">
        <v>28669</v>
      </c>
      <c r="Q10103" s="15" t="s">
        <v>226</v>
      </c>
      <c r="R10103" s="13" t="str">
        <f>HYPERLINK("https://my.pitchbook.com?c=96168-43T","View Company Online")</f>
        <v>View Company Online</v>
      </c>
    </row>
    <row r="10104" spans="1:18" hidden="1" x14ac:dyDescent="0.3">
      <c r="A10104" s="9" t="s">
        <v>28670</v>
      </c>
      <c r="B10104" s="9" t="s">
        <v>28671</v>
      </c>
      <c r="C10104" s="11" t="s">
        <v>28</v>
      </c>
      <c r="D10104" s="9" t="s">
        <v>28672</v>
      </c>
      <c r="E10104" s="11" t="s">
        <v>28</v>
      </c>
      <c r="F10104" s="10" t="s">
        <v>28</v>
      </c>
      <c r="G10104" s="10" t="s">
        <v>28</v>
      </c>
      <c r="H10104" s="10" t="s">
        <v>28</v>
      </c>
      <c r="I10104" s="11" t="s">
        <v>28</v>
      </c>
      <c r="J10104" s="11" t="s">
        <v>28</v>
      </c>
      <c r="K10104" s="11" t="s">
        <v>28</v>
      </c>
      <c r="L10104" s="11" t="s">
        <v>28</v>
      </c>
      <c r="M10104" s="11" t="s">
        <v>28</v>
      </c>
      <c r="N10104" s="8">
        <v>41985</v>
      </c>
      <c r="O10104" s="9" t="s">
        <v>30</v>
      </c>
      <c r="P10104" s="12" t="s">
        <v>28673</v>
      </c>
      <c r="Q10104" s="9" t="s">
        <v>5110</v>
      </c>
      <c r="R10104" s="14" t="str">
        <f>HYPERLINK("https://my.pitchbook.com?c=40402-90T","View Company Online")</f>
        <v>View Company Online</v>
      </c>
    </row>
    <row r="10105" spans="1:18" hidden="1" x14ac:dyDescent="0.3">
      <c r="A10105" s="15" t="s">
        <v>28674</v>
      </c>
      <c r="B10105" s="15" t="s">
        <v>6820</v>
      </c>
      <c r="C10105" s="18" t="s">
        <v>28</v>
      </c>
      <c r="D10105" s="15" t="s">
        <v>6821</v>
      </c>
      <c r="E10105" s="18" t="s">
        <v>28</v>
      </c>
      <c r="F10105" s="19" t="s">
        <v>28</v>
      </c>
      <c r="G10105" s="19" t="s">
        <v>28</v>
      </c>
      <c r="H10105" s="19" t="s">
        <v>28</v>
      </c>
      <c r="I10105" s="18" t="s">
        <v>28</v>
      </c>
      <c r="J10105" s="18" t="s">
        <v>28</v>
      </c>
      <c r="K10105" s="18" t="s">
        <v>28</v>
      </c>
      <c r="L10105" s="18" t="s">
        <v>28</v>
      </c>
      <c r="M10105" s="18" t="s">
        <v>28</v>
      </c>
      <c r="N10105" s="17">
        <v>41985</v>
      </c>
      <c r="O10105" s="15" t="s">
        <v>52</v>
      </c>
      <c r="P10105" s="16" t="s">
        <v>3375</v>
      </c>
      <c r="Q10105" s="15" t="s">
        <v>75</v>
      </c>
      <c r="R10105" s="13" t="str">
        <f>HYPERLINK("https://my.pitchbook.com?c=212470-03T","View Company Online")</f>
        <v>View Company Online</v>
      </c>
    </row>
    <row r="10106" spans="1:18" hidden="1" x14ac:dyDescent="0.3">
      <c r="A10106" s="9" t="s">
        <v>28675</v>
      </c>
      <c r="B10106" s="9" t="s">
        <v>28676</v>
      </c>
      <c r="C10106" s="11" t="s">
        <v>28</v>
      </c>
      <c r="D10106" s="9" t="s">
        <v>28677</v>
      </c>
      <c r="E10106" s="11" t="s">
        <v>28</v>
      </c>
      <c r="F10106" s="10" t="s">
        <v>28</v>
      </c>
      <c r="G10106" s="10" t="s">
        <v>28</v>
      </c>
      <c r="H10106" s="10" t="s">
        <v>28</v>
      </c>
      <c r="I10106" s="11" t="s">
        <v>28</v>
      </c>
      <c r="J10106" s="11" t="s">
        <v>28</v>
      </c>
      <c r="K10106" s="11" t="s">
        <v>28</v>
      </c>
      <c r="L10106" s="11" t="s">
        <v>28</v>
      </c>
      <c r="M10106" s="11" t="s">
        <v>28</v>
      </c>
      <c r="N10106" s="8">
        <v>41985</v>
      </c>
      <c r="O10106" s="9" t="s">
        <v>30</v>
      </c>
      <c r="P10106" s="12" t="s">
        <v>28678</v>
      </c>
      <c r="Q10106" s="9" t="s">
        <v>226</v>
      </c>
      <c r="R10106" s="14" t="str">
        <f>HYPERLINK("https://my.pitchbook.com?c=40388-05T","View Company Online")</f>
        <v>View Company Online</v>
      </c>
    </row>
    <row r="10107" spans="1:18" hidden="1" x14ac:dyDescent="0.3">
      <c r="A10107" s="15" t="s">
        <v>28679</v>
      </c>
      <c r="B10107" s="15" t="s">
        <v>28680</v>
      </c>
      <c r="C10107" s="18" t="s">
        <v>28</v>
      </c>
      <c r="D10107" s="15" t="s">
        <v>28681</v>
      </c>
      <c r="E10107" s="18" t="s">
        <v>28</v>
      </c>
      <c r="F10107" s="19" t="s">
        <v>28</v>
      </c>
      <c r="G10107" s="19" t="s">
        <v>28</v>
      </c>
      <c r="H10107" s="19" t="s">
        <v>28</v>
      </c>
      <c r="I10107" s="18" t="s">
        <v>28</v>
      </c>
      <c r="J10107" s="18" t="s">
        <v>28</v>
      </c>
      <c r="K10107" s="18" t="s">
        <v>28</v>
      </c>
      <c r="L10107" s="18" t="s">
        <v>28</v>
      </c>
      <c r="M10107" s="18" t="s">
        <v>28</v>
      </c>
      <c r="N10107" s="17">
        <v>41984</v>
      </c>
      <c r="O10107" s="15" t="s">
        <v>30</v>
      </c>
      <c r="P10107" s="16" t="s">
        <v>28682</v>
      </c>
      <c r="Q10107" s="15" t="s">
        <v>59</v>
      </c>
      <c r="R10107" s="13" t="str">
        <f>HYPERLINK("https://my.pitchbook.com?c=89398-27T","View Company Online")</f>
        <v>View Company Online</v>
      </c>
    </row>
    <row r="10108" spans="1:18" hidden="1" x14ac:dyDescent="0.3">
      <c r="A10108" s="9" t="s">
        <v>28683</v>
      </c>
      <c r="B10108" s="9" t="s">
        <v>28684</v>
      </c>
      <c r="C10108" s="11" t="s">
        <v>28</v>
      </c>
      <c r="D10108" s="9" t="s">
        <v>28685</v>
      </c>
      <c r="E10108" s="11" t="s">
        <v>28</v>
      </c>
      <c r="F10108" s="10" t="s">
        <v>28</v>
      </c>
      <c r="G10108" s="10" t="s">
        <v>28</v>
      </c>
      <c r="H10108" s="10" t="s">
        <v>28</v>
      </c>
      <c r="I10108" s="11" t="s">
        <v>28</v>
      </c>
      <c r="J10108" s="11" t="s">
        <v>28</v>
      </c>
      <c r="K10108" s="11" t="s">
        <v>28</v>
      </c>
      <c r="L10108" s="11" t="s">
        <v>28</v>
      </c>
      <c r="M10108" s="11" t="s">
        <v>28</v>
      </c>
      <c r="N10108" s="8">
        <v>41982</v>
      </c>
      <c r="O10108" s="9" t="s">
        <v>30</v>
      </c>
      <c r="P10108" s="12" t="s">
        <v>28686</v>
      </c>
      <c r="Q10108" s="9" t="s">
        <v>362</v>
      </c>
      <c r="R10108" s="14" t="str">
        <f>HYPERLINK("https://my.pitchbook.com?c=89571-70T","View Company Online")</f>
        <v>View Company Online</v>
      </c>
    </row>
    <row r="10109" spans="1:18" hidden="1" x14ac:dyDescent="0.3">
      <c r="A10109" s="15" t="s">
        <v>28687</v>
      </c>
      <c r="B10109" s="15" t="s">
        <v>28688</v>
      </c>
      <c r="C10109" s="18" t="s">
        <v>28</v>
      </c>
      <c r="D10109" s="15" t="s">
        <v>28689</v>
      </c>
      <c r="E10109" s="18" t="s">
        <v>28</v>
      </c>
      <c r="F10109" s="19">
        <v>350.49</v>
      </c>
      <c r="G10109" s="19">
        <v>350.49</v>
      </c>
      <c r="H10109" s="19">
        <v>350.49</v>
      </c>
      <c r="I10109" s="18" t="s">
        <v>28</v>
      </c>
      <c r="J10109" s="18" t="s">
        <v>28</v>
      </c>
      <c r="K10109" s="18" t="s">
        <v>28</v>
      </c>
      <c r="L10109" s="18" t="s">
        <v>28</v>
      </c>
      <c r="M10109" s="18" t="s">
        <v>28</v>
      </c>
      <c r="N10109" s="17">
        <v>41982</v>
      </c>
      <c r="O10109" s="15" t="s">
        <v>41</v>
      </c>
      <c r="P10109" s="16" t="s">
        <v>28</v>
      </c>
      <c r="Q10109" s="15" t="s">
        <v>183</v>
      </c>
      <c r="R10109" s="13" t="str">
        <f>HYPERLINK("https://my.pitchbook.com?c=43902-01T","View Company Online")</f>
        <v>View Company Online</v>
      </c>
    </row>
    <row r="10110" spans="1:18" hidden="1" x14ac:dyDescent="0.3">
      <c r="A10110" s="9" t="s">
        <v>28690</v>
      </c>
      <c r="B10110" s="9" t="s">
        <v>28691</v>
      </c>
      <c r="C10110" s="11" t="s">
        <v>28</v>
      </c>
      <c r="D10110" s="9" t="s">
        <v>28692</v>
      </c>
      <c r="E10110" s="11" t="s">
        <v>28</v>
      </c>
      <c r="F10110" s="10" t="s">
        <v>28</v>
      </c>
      <c r="G10110" s="10">
        <v>2.11</v>
      </c>
      <c r="H10110" s="10">
        <v>10.06</v>
      </c>
      <c r="I10110" s="11" t="s">
        <v>28</v>
      </c>
      <c r="J10110" s="11" t="s">
        <v>28</v>
      </c>
      <c r="K10110" s="11" t="s">
        <v>28</v>
      </c>
      <c r="L10110" s="11" t="s">
        <v>28</v>
      </c>
      <c r="M10110" s="11" t="s">
        <v>28</v>
      </c>
      <c r="N10110" s="8">
        <v>41981</v>
      </c>
      <c r="O10110" s="9" t="s">
        <v>58</v>
      </c>
      <c r="P10110" s="12" t="s">
        <v>28693</v>
      </c>
      <c r="Q10110" s="9" t="s">
        <v>2916</v>
      </c>
      <c r="R10110" s="14" t="str">
        <f>HYPERLINK("https://my.pitchbook.com?c=211166-56T","View Company Online")</f>
        <v>View Company Online</v>
      </c>
    </row>
    <row r="10111" spans="1:18" hidden="1" x14ac:dyDescent="0.3">
      <c r="A10111" s="15" t="s">
        <v>28694</v>
      </c>
      <c r="B10111" s="15" t="s">
        <v>28695</v>
      </c>
      <c r="C10111" s="18" t="s">
        <v>28</v>
      </c>
      <c r="D10111" s="15" t="s">
        <v>28696</v>
      </c>
      <c r="E10111" s="18" t="s">
        <v>28</v>
      </c>
      <c r="F10111" s="19">
        <v>704.62</v>
      </c>
      <c r="G10111" s="19">
        <v>704.62</v>
      </c>
      <c r="H10111" s="19">
        <v>704.62</v>
      </c>
      <c r="I10111" s="18" t="s">
        <v>28</v>
      </c>
      <c r="J10111" s="18" t="s">
        <v>28</v>
      </c>
      <c r="K10111" s="18" t="s">
        <v>28</v>
      </c>
      <c r="L10111" s="18" t="s">
        <v>28</v>
      </c>
      <c r="M10111" s="18" t="s">
        <v>28</v>
      </c>
      <c r="N10111" s="17">
        <v>41978</v>
      </c>
      <c r="O10111" s="15" t="s">
        <v>30</v>
      </c>
      <c r="P10111" s="16" t="s">
        <v>15076</v>
      </c>
      <c r="Q10111" s="15" t="s">
        <v>136</v>
      </c>
      <c r="R10111" s="13" t="str">
        <f>HYPERLINK("https://my.pitchbook.com?c=37281-34T","View Company Online")</f>
        <v>View Company Online</v>
      </c>
    </row>
    <row r="10112" spans="1:18" hidden="1" x14ac:dyDescent="0.3">
      <c r="A10112" s="9" t="s">
        <v>28697</v>
      </c>
      <c r="B10112" s="9" t="s">
        <v>6831</v>
      </c>
      <c r="C10112" s="11" t="s">
        <v>28</v>
      </c>
      <c r="D10112" s="9" t="s">
        <v>6832</v>
      </c>
      <c r="E10112" s="11" t="s">
        <v>28</v>
      </c>
      <c r="F10112" s="10" t="s">
        <v>28</v>
      </c>
      <c r="G10112" s="10" t="s">
        <v>28</v>
      </c>
      <c r="H10112" s="10" t="s">
        <v>28</v>
      </c>
      <c r="I10112" s="11" t="s">
        <v>28</v>
      </c>
      <c r="J10112" s="11" t="s">
        <v>28</v>
      </c>
      <c r="K10112" s="11" t="s">
        <v>28</v>
      </c>
      <c r="L10112" s="11" t="s">
        <v>28</v>
      </c>
      <c r="M10112" s="11" t="s">
        <v>28</v>
      </c>
      <c r="N10112" s="8">
        <v>41978</v>
      </c>
      <c r="O10112" s="9" t="s">
        <v>93</v>
      </c>
      <c r="P10112" s="12" t="s">
        <v>28698</v>
      </c>
      <c r="Q10112" s="9" t="s">
        <v>5347</v>
      </c>
      <c r="R10112" s="14" t="str">
        <f>HYPERLINK("https://my.pitchbook.com?c=44225-83T","View Company Online")</f>
        <v>View Company Online</v>
      </c>
    </row>
    <row r="10113" spans="1:18" hidden="1" x14ac:dyDescent="0.3">
      <c r="A10113" s="15" t="s">
        <v>28699</v>
      </c>
      <c r="B10113" s="15" t="s">
        <v>28700</v>
      </c>
      <c r="C10113" s="18" t="s">
        <v>28</v>
      </c>
      <c r="D10113" s="15" t="s">
        <v>28701</v>
      </c>
      <c r="E10113" s="18" t="s">
        <v>28</v>
      </c>
      <c r="F10113" s="19" t="s">
        <v>28</v>
      </c>
      <c r="G10113" s="19" t="s">
        <v>28</v>
      </c>
      <c r="H10113" s="19" t="s">
        <v>28</v>
      </c>
      <c r="I10113" s="18" t="s">
        <v>28</v>
      </c>
      <c r="J10113" s="18" t="s">
        <v>28</v>
      </c>
      <c r="K10113" s="18" t="s">
        <v>28</v>
      </c>
      <c r="L10113" s="18" t="s">
        <v>28</v>
      </c>
      <c r="M10113" s="18" t="s">
        <v>28</v>
      </c>
      <c r="N10113" s="17">
        <v>41977</v>
      </c>
      <c r="O10113" s="15" t="s">
        <v>30</v>
      </c>
      <c r="P10113" s="16" t="s">
        <v>28702</v>
      </c>
      <c r="Q10113" s="15" t="s">
        <v>1853</v>
      </c>
      <c r="R10113" s="13" t="str">
        <f>HYPERLINK("https://my.pitchbook.com?c=40101-31T","View Company Online")</f>
        <v>View Company Online</v>
      </c>
    </row>
    <row r="10114" spans="1:18" hidden="1" x14ac:dyDescent="0.3">
      <c r="A10114" s="9" t="s">
        <v>28703</v>
      </c>
      <c r="B10114" s="9" t="s">
        <v>25022</v>
      </c>
      <c r="C10114" s="11" t="s">
        <v>28</v>
      </c>
      <c r="D10114" s="9" t="s">
        <v>25023</v>
      </c>
      <c r="E10114" s="11" t="s">
        <v>28</v>
      </c>
      <c r="F10114" s="10" t="s">
        <v>28</v>
      </c>
      <c r="G10114" s="10">
        <v>0.04</v>
      </c>
      <c r="H10114" s="10" t="s">
        <v>28</v>
      </c>
      <c r="I10114" s="11" t="s">
        <v>28</v>
      </c>
      <c r="J10114" s="11" t="s">
        <v>28</v>
      </c>
      <c r="K10114" s="11" t="s">
        <v>28</v>
      </c>
      <c r="L10114" s="11" t="s">
        <v>28</v>
      </c>
      <c r="M10114" s="11" t="s">
        <v>28</v>
      </c>
      <c r="N10114" s="8">
        <v>41977</v>
      </c>
      <c r="O10114" s="9" t="s">
        <v>52</v>
      </c>
      <c r="P10114" s="12" t="s">
        <v>28704</v>
      </c>
      <c r="Q10114" s="9" t="s">
        <v>419</v>
      </c>
      <c r="R10114" s="14" t="str">
        <f>HYPERLINK("https://my.pitchbook.com?c=47512-45T","View Company Online")</f>
        <v>View Company Online</v>
      </c>
    </row>
    <row r="10115" spans="1:18" hidden="1" x14ac:dyDescent="0.3">
      <c r="A10115" s="15" t="s">
        <v>28705</v>
      </c>
      <c r="B10115" s="15" t="s">
        <v>28706</v>
      </c>
      <c r="C10115" s="18" t="s">
        <v>28</v>
      </c>
      <c r="D10115" s="15" t="s">
        <v>28707</v>
      </c>
      <c r="E10115" s="18" t="s">
        <v>28</v>
      </c>
      <c r="F10115" s="19">
        <v>47.18</v>
      </c>
      <c r="G10115" s="19">
        <v>42.46</v>
      </c>
      <c r="H10115" s="19">
        <v>47.18</v>
      </c>
      <c r="I10115" s="18" t="s">
        <v>28</v>
      </c>
      <c r="J10115" s="18" t="s">
        <v>28</v>
      </c>
      <c r="K10115" s="18">
        <v>30</v>
      </c>
      <c r="L10115" s="18">
        <v>1.57</v>
      </c>
      <c r="M10115" s="18" t="s">
        <v>28</v>
      </c>
      <c r="N10115" s="17">
        <v>41977</v>
      </c>
      <c r="O10115" s="15" t="s">
        <v>30</v>
      </c>
      <c r="P10115" s="16" t="s">
        <v>28708</v>
      </c>
      <c r="Q10115" s="15" t="s">
        <v>280</v>
      </c>
      <c r="R10115" s="13" t="str">
        <f>HYPERLINK("https://my.pitchbook.com?c=89452-90T","View Company Online")</f>
        <v>View Company Online</v>
      </c>
    </row>
    <row r="10116" spans="1:18" hidden="1" x14ac:dyDescent="0.3">
      <c r="A10116" s="9" t="s">
        <v>28709</v>
      </c>
      <c r="B10116" s="9" t="s">
        <v>28710</v>
      </c>
      <c r="C10116" s="11" t="s">
        <v>28</v>
      </c>
      <c r="D10116" s="9" t="s">
        <v>28711</v>
      </c>
      <c r="E10116" s="11" t="s">
        <v>28</v>
      </c>
      <c r="F10116" s="10" t="s">
        <v>28</v>
      </c>
      <c r="G10116" s="10" t="s">
        <v>28</v>
      </c>
      <c r="H10116" s="10" t="s">
        <v>28</v>
      </c>
      <c r="I10116" s="11" t="s">
        <v>28</v>
      </c>
      <c r="J10116" s="11" t="s">
        <v>28</v>
      </c>
      <c r="K10116" s="11" t="s">
        <v>28</v>
      </c>
      <c r="L10116" s="11" t="s">
        <v>28</v>
      </c>
      <c r="M10116" s="11" t="s">
        <v>28</v>
      </c>
      <c r="N10116" s="8">
        <v>41977</v>
      </c>
      <c r="O10116" s="9" t="s">
        <v>30</v>
      </c>
      <c r="P10116" s="12" t="s">
        <v>28</v>
      </c>
      <c r="Q10116" s="9" t="s">
        <v>136</v>
      </c>
      <c r="R10116" s="14" t="str">
        <f>HYPERLINK("https://my.pitchbook.com?c=89487-82T","View Company Online")</f>
        <v>View Company Online</v>
      </c>
    </row>
    <row r="10117" spans="1:18" hidden="1" x14ac:dyDescent="0.3">
      <c r="A10117" s="15" t="s">
        <v>28712</v>
      </c>
      <c r="B10117" s="15" t="s">
        <v>15222</v>
      </c>
      <c r="C10117" s="18" t="s">
        <v>28</v>
      </c>
      <c r="D10117" s="15" t="s">
        <v>15223</v>
      </c>
      <c r="E10117" s="18" t="s">
        <v>28</v>
      </c>
      <c r="F10117" s="19">
        <v>38.72</v>
      </c>
      <c r="G10117" s="19">
        <v>29.04</v>
      </c>
      <c r="H10117" s="19">
        <v>38.72</v>
      </c>
      <c r="I10117" s="18" t="s">
        <v>28</v>
      </c>
      <c r="J10117" s="18" t="s">
        <v>28</v>
      </c>
      <c r="K10117" s="18" t="s">
        <v>28</v>
      </c>
      <c r="L10117" s="18" t="s">
        <v>28</v>
      </c>
      <c r="M10117" s="18" t="s">
        <v>28</v>
      </c>
      <c r="N10117" s="17">
        <v>41977</v>
      </c>
      <c r="O10117" s="15" t="s">
        <v>41</v>
      </c>
      <c r="P10117" s="16" t="s">
        <v>28713</v>
      </c>
      <c r="Q10117" s="15" t="s">
        <v>43</v>
      </c>
      <c r="R10117" s="13" t="str">
        <f>HYPERLINK("https://my.pitchbook.com?c=40144-78T","View Company Online")</f>
        <v>View Company Online</v>
      </c>
    </row>
    <row r="10118" spans="1:18" hidden="1" x14ac:dyDescent="0.3">
      <c r="A10118" s="9" t="s">
        <v>28714</v>
      </c>
      <c r="B10118" s="9" t="s">
        <v>28439</v>
      </c>
      <c r="C10118" s="11" t="s">
        <v>28</v>
      </c>
      <c r="D10118" s="9" t="s">
        <v>28440</v>
      </c>
      <c r="E10118" s="11" t="s">
        <v>28</v>
      </c>
      <c r="F10118" s="10" t="s">
        <v>28</v>
      </c>
      <c r="G10118" s="10" t="s">
        <v>28</v>
      </c>
      <c r="H10118" s="10" t="s">
        <v>28</v>
      </c>
      <c r="I10118" s="11" t="s">
        <v>28</v>
      </c>
      <c r="J10118" s="11" t="s">
        <v>28</v>
      </c>
      <c r="K10118" s="11" t="s">
        <v>28</v>
      </c>
      <c r="L10118" s="11" t="s">
        <v>28</v>
      </c>
      <c r="M10118" s="11" t="s">
        <v>28</v>
      </c>
      <c r="N10118" s="8">
        <v>41976</v>
      </c>
      <c r="O10118" s="9" t="s">
        <v>52</v>
      </c>
      <c r="P10118" s="12" t="s">
        <v>11539</v>
      </c>
      <c r="Q10118" s="9" t="s">
        <v>75</v>
      </c>
      <c r="R10118" s="14" t="str">
        <f>HYPERLINK("https://my.pitchbook.com?c=87261-31T","View Company Online")</f>
        <v>View Company Online</v>
      </c>
    </row>
    <row r="10119" spans="1:18" hidden="1" x14ac:dyDescent="0.3">
      <c r="A10119" s="15" t="s">
        <v>28715</v>
      </c>
      <c r="B10119" s="15" t="s">
        <v>24516</v>
      </c>
      <c r="C10119" s="18" t="s">
        <v>28</v>
      </c>
      <c r="D10119" s="15" t="s">
        <v>24517</v>
      </c>
      <c r="E10119" s="18" t="s">
        <v>28</v>
      </c>
      <c r="F10119" s="19" t="s">
        <v>28</v>
      </c>
      <c r="G10119" s="19" t="s">
        <v>28</v>
      </c>
      <c r="H10119" s="19" t="s">
        <v>28</v>
      </c>
      <c r="I10119" s="18" t="s">
        <v>28</v>
      </c>
      <c r="J10119" s="18" t="s">
        <v>28</v>
      </c>
      <c r="K10119" s="18" t="s">
        <v>28</v>
      </c>
      <c r="L10119" s="18" t="s">
        <v>28</v>
      </c>
      <c r="M10119" s="18" t="s">
        <v>28</v>
      </c>
      <c r="N10119" s="17">
        <v>41976</v>
      </c>
      <c r="O10119" s="15" t="s">
        <v>99</v>
      </c>
      <c r="P10119" s="16" t="s">
        <v>28716</v>
      </c>
      <c r="Q10119" s="15" t="s">
        <v>880</v>
      </c>
      <c r="R10119" s="13" t="str">
        <f>HYPERLINK("https://my.pitchbook.com?c=45001-72T","View Company Online")</f>
        <v>View Company Online</v>
      </c>
    </row>
    <row r="10120" spans="1:18" hidden="1" x14ac:dyDescent="0.3">
      <c r="A10120" s="9" t="s">
        <v>28717</v>
      </c>
      <c r="B10120" s="9" t="s">
        <v>26370</v>
      </c>
      <c r="C10120" s="11" t="s">
        <v>28</v>
      </c>
      <c r="D10120" s="9" t="s">
        <v>26371</v>
      </c>
      <c r="E10120" s="11" t="s">
        <v>28</v>
      </c>
      <c r="F10120" s="10" t="s">
        <v>28</v>
      </c>
      <c r="G10120" s="10">
        <v>0.08</v>
      </c>
      <c r="H10120" s="10" t="s">
        <v>28</v>
      </c>
      <c r="I10120" s="11" t="s">
        <v>28</v>
      </c>
      <c r="J10120" s="11" t="s">
        <v>28</v>
      </c>
      <c r="K10120" s="11" t="s">
        <v>28</v>
      </c>
      <c r="L10120" s="11" t="s">
        <v>28</v>
      </c>
      <c r="M10120" s="11" t="s">
        <v>28</v>
      </c>
      <c r="N10120" s="8">
        <v>41976</v>
      </c>
      <c r="O10120" s="9" t="s">
        <v>52</v>
      </c>
      <c r="P10120" s="12" t="s">
        <v>11539</v>
      </c>
      <c r="Q10120" s="9" t="s">
        <v>85</v>
      </c>
      <c r="R10120" s="14" t="str">
        <f>HYPERLINK("https://my.pitchbook.com?c=134900-11T","View Company Online")</f>
        <v>View Company Online</v>
      </c>
    </row>
    <row r="10121" spans="1:18" hidden="1" x14ac:dyDescent="0.3">
      <c r="A10121" s="15" t="s">
        <v>28718</v>
      </c>
      <c r="B10121" s="15" t="s">
        <v>28719</v>
      </c>
      <c r="C10121" s="18" t="s">
        <v>28</v>
      </c>
      <c r="D10121" s="15" t="s">
        <v>28720</v>
      </c>
      <c r="E10121" s="18" t="s">
        <v>28</v>
      </c>
      <c r="F10121" s="19" t="s">
        <v>28</v>
      </c>
      <c r="G10121" s="19" t="s">
        <v>28</v>
      </c>
      <c r="H10121" s="19" t="s">
        <v>28</v>
      </c>
      <c r="I10121" s="18" t="s">
        <v>28</v>
      </c>
      <c r="J10121" s="18" t="s">
        <v>28</v>
      </c>
      <c r="K10121" s="18" t="s">
        <v>28</v>
      </c>
      <c r="L10121" s="18" t="s">
        <v>28</v>
      </c>
      <c r="M10121" s="18" t="s">
        <v>28</v>
      </c>
      <c r="N10121" s="17">
        <v>41976</v>
      </c>
      <c r="O10121" s="15" t="s">
        <v>30</v>
      </c>
      <c r="P10121" s="16" t="s">
        <v>28721</v>
      </c>
      <c r="Q10121" s="15" t="s">
        <v>1793</v>
      </c>
      <c r="R10121" s="13" t="str">
        <f>HYPERLINK("https://my.pitchbook.com?c=40057-21T","View Company Online")</f>
        <v>View Company Online</v>
      </c>
    </row>
    <row r="10122" spans="1:18" hidden="1" x14ac:dyDescent="0.3">
      <c r="A10122" s="9" t="s">
        <v>28722</v>
      </c>
      <c r="B10122" s="9" t="s">
        <v>28723</v>
      </c>
      <c r="C10122" s="11" t="s">
        <v>28</v>
      </c>
      <c r="D10122" s="9" t="s">
        <v>28724</v>
      </c>
      <c r="E10122" s="11" t="s">
        <v>28</v>
      </c>
      <c r="F10122" s="10" t="s">
        <v>28</v>
      </c>
      <c r="G10122" s="10" t="s">
        <v>28</v>
      </c>
      <c r="H10122" s="10" t="s">
        <v>28</v>
      </c>
      <c r="I10122" s="11" t="s">
        <v>28</v>
      </c>
      <c r="J10122" s="11" t="s">
        <v>28</v>
      </c>
      <c r="K10122" s="11" t="s">
        <v>28</v>
      </c>
      <c r="L10122" s="11" t="s">
        <v>28</v>
      </c>
      <c r="M10122" s="11" t="s">
        <v>28</v>
      </c>
      <c r="N10122" s="8">
        <v>41975</v>
      </c>
      <c r="O10122" s="9" t="s">
        <v>52</v>
      </c>
      <c r="P10122" s="12" t="s">
        <v>18449</v>
      </c>
      <c r="Q10122" s="9" t="s">
        <v>75</v>
      </c>
      <c r="R10122" s="14" t="str">
        <f>HYPERLINK("https://my.pitchbook.com?c=55563-49T","View Company Online")</f>
        <v>View Company Online</v>
      </c>
    </row>
    <row r="10123" spans="1:18" hidden="1" x14ac:dyDescent="0.3">
      <c r="A10123" s="15" t="s">
        <v>28725</v>
      </c>
      <c r="B10123" s="15" t="s">
        <v>28726</v>
      </c>
      <c r="C10123" s="18" t="s">
        <v>28</v>
      </c>
      <c r="D10123" s="15" t="s">
        <v>28727</v>
      </c>
      <c r="E10123" s="18" t="s">
        <v>28</v>
      </c>
      <c r="F10123" s="19" t="s">
        <v>28</v>
      </c>
      <c r="G10123" s="19">
        <v>2</v>
      </c>
      <c r="H10123" s="19" t="s">
        <v>28</v>
      </c>
      <c r="I10123" s="18" t="s">
        <v>28</v>
      </c>
      <c r="J10123" s="18" t="s">
        <v>28</v>
      </c>
      <c r="K10123" s="18" t="s">
        <v>28</v>
      </c>
      <c r="L10123" s="18" t="s">
        <v>28</v>
      </c>
      <c r="M10123" s="18" t="s">
        <v>28</v>
      </c>
      <c r="N10123" s="17">
        <v>41975</v>
      </c>
      <c r="O10123" s="15" t="s">
        <v>93</v>
      </c>
      <c r="P10123" s="16" t="s">
        <v>28728</v>
      </c>
      <c r="Q10123" s="15" t="s">
        <v>240</v>
      </c>
      <c r="R10123" s="13" t="str">
        <f>HYPERLINK("https://my.pitchbook.com?c=227243-80T","View Company Online")</f>
        <v>View Company Online</v>
      </c>
    </row>
    <row r="10124" spans="1:18" hidden="1" x14ac:dyDescent="0.3">
      <c r="A10124" s="9" t="s">
        <v>28729</v>
      </c>
      <c r="B10124" s="9" t="s">
        <v>22299</v>
      </c>
      <c r="C10124" s="11" t="s">
        <v>28</v>
      </c>
      <c r="D10124" s="9" t="s">
        <v>22300</v>
      </c>
      <c r="E10124" s="11" t="s">
        <v>28</v>
      </c>
      <c r="F10124" s="10" t="s">
        <v>28</v>
      </c>
      <c r="G10124" s="10">
        <v>130</v>
      </c>
      <c r="H10124" s="10" t="s">
        <v>28</v>
      </c>
      <c r="I10124" s="11" t="s">
        <v>28</v>
      </c>
      <c r="J10124" s="11" t="s">
        <v>28</v>
      </c>
      <c r="K10124" s="11" t="s">
        <v>28</v>
      </c>
      <c r="L10124" s="11" t="s">
        <v>28</v>
      </c>
      <c r="M10124" s="11" t="s">
        <v>28</v>
      </c>
      <c r="N10124" s="8">
        <v>41974</v>
      </c>
      <c r="O10124" s="9" t="s">
        <v>93</v>
      </c>
      <c r="P10124" s="12" t="s">
        <v>28</v>
      </c>
      <c r="Q10124" s="9" t="s">
        <v>880</v>
      </c>
      <c r="R10124" s="14" t="str">
        <f>HYPERLINK("https://my.pitchbook.com?c=40064-05T","View Company Online")</f>
        <v>View Company Online</v>
      </c>
    </row>
    <row r="10125" spans="1:18" hidden="1" x14ac:dyDescent="0.3">
      <c r="A10125" s="15" t="s">
        <v>28730</v>
      </c>
      <c r="B10125" s="15" t="s">
        <v>28731</v>
      </c>
      <c r="C10125" s="18" t="s">
        <v>28</v>
      </c>
      <c r="D10125" s="15" t="s">
        <v>28732</v>
      </c>
      <c r="E10125" s="18" t="s">
        <v>28</v>
      </c>
      <c r="F10125" s="19" t="s">
        <v>28</v>
      </c>
      <c r="G10125" s="19" t="s">
        <v>28</v>
      </c>
      <c r="H10125" s="19" t="s">
        <v>28</v>
      </c>
      <c r="I10125" s="18" t="s">
        <v>28</v>
      </c>
      <c r="J10125" s="18" t="s">
        <v>28</v>
      </c>
      <c r="K10125" s="18" t="s">
        <v>28</v>
      </c>
      <c r="L10125" s="18" t="s">
        <v>28</v>
      </c>
      <c r="M10125" s="18" t="s">
        <v>28</v>
      </c>
      <c r="N10125" s="17">
        <v>41974</v>
      </c>
      <c r="O10125" s="15" t="s">
        <v>30</v>
      </c>
      <c r="P10125" s="16" t="s">
        <v>28733</v>
      </c>
      <c r="Q10125" s="15" t="s">
        <v>136</v>
      </c>
      <c r="R10125" s="13" t="str">
        <f>HYPERLINK("https://my.pitchbook.com?c=39964-96T","View Company Online")</f>
        <v>View Company Online</v>
      </c>
    </row>
    <row r="10126" spans="1:18" hidden="1" x14ac:dyDescent="0.3">
      <c r="A10126" s="9" t="s">
        <v>28734</v>
      </c>
      <c r="B10126" s="9" t="s">
        <v>28735</v>
      </c>
      <c r="C10126" s="11" t="s">
        <v>28</v>
      </c>
      <c r="D10126" s="9" t="s">
        <v>28736</v>
      </c>
      <c r="E10126" s="11" t="s">
        <v>28</v>
      </c>
      <c r="F10126" s="10" t="s">
        <v>28</v>
      </c>
      <c r="G10126" s="10" t="s">
        <v>28</v>
      </c>
      <c r="H10126" s="10" t="s">
        <v>28</v>
      </c>
      <c r="I10126" s="11" t="s">
        <v>28</v>
      </c>
      <c r="J10126" s="11" t="s">
        <v>28</v>
      </c>
      <c r="K10126" s="11" t="s">
        <v>28</v>
      </c>
      <c r="L10126" s="11" t="s">
        <v>28</v>
      </c>
      <c r="M10126" s="11" t="s">
        <v>28</v>
      </c>
      <c r="N10126" s="8">
        <v>41974</v>
      </c>
      <c r="O10126" s="9" t="s">
        <v>30</v>
      </c>
      <c r="P10126" s="12" t="s">
        <v>28733</v>
      </c>
      <c r="Q10126" s="9" t="s">
        <v>753</v>
      </c>
      <c r="R10126" s="14" t="str">
        <f>HYPERLINK("https://my.pitchbook.com?c=39965-59T","View Company Online")</f>
        <v>View Company Online</v>
      </c>
    </row>
    <row r="10127" spans="1:18" hidden="1" x14ac:dyDescent="0.3">
      <c r="A10127" s="15" t="s">
        <v>28737</v>
      </c>
      <c r="B10127" s="15" t="s">
        <v>11606</v>
      </c>
      <c r="C10127" s="18" t="s">
        <v>28</v>
      </c>
      <c r="D10127" s="15" t="s">
        <v>11607</v>
      </c>
      <c r="E10127" s="18" t="s">
        <v>28</v>
      </c>
      <c r="F10127" s="19" t="s">
        <v>28</v>
      </c>
      <c r="G10127" s="19">
        <v>0.02</v>
      </c>
      <c r="H10127" s="19">
        <v>0.23</v>
      </c>
      <c r="I10127" s="18" t="s">
        <v>28</v>
      </c>
      <c r="J10127" s="18" t="s">
        <v>28</v>
      </c>
      <c r="K10127" s="18" t="s">
        <v>28</v>
      </c>
      <c r="L10127" s="18" t="s">
        <v>28</v>
      </c>
      <c r="M10127" s="18" t="s">
        <v>28</v>
      </c>
      <c r="N10127" s="17">
        <v>41974</v>
      </c>
      <c r="O10127" s="15" t="s">
        <v>99</v>
      </c>
      <c r="P10127" s="16" t="s">
        <v>28</v>
      </c>
      <c r="Q10127" s="15" t="s">
        <v>37</v>
      </c>
      <c r="R10127" s="13" t="str">
        <f>HYPERLINK("https://my.pitchbook.com?c=215877-70T","View Company Online")</f>
        <v>View Company Online</v>
      </c>
    </row>
    <row r="10128" spans="1:18" hidden="1" x14ac:dyDescent="0.3">
      <c r="A10128" s="9" t="s">
        <v>28738</v>
      </c>
      <c r="B10128" s="9" t="s">
        <v>28739</v>
      </c>
      <c r="C10128" s="11" t="s">
        <v>28</v>
      </c>
      <c r="D10128" s="9" t="s">
        <v>28740</v>
      </c>
      <c r="E10128" s="11" t="s">
        <v>28</v>
      </c>
      <c r="F10128" s="10">
        <v>318</v>
      </c>
      <c r="G10128" s="10">
        <v>318</v>
      </c>
      <c r="H10128" s="10">
        <v>530</v>
      </c>
      <c r="I10128" s="11" t="s">
        <v>28</v>
      </c>
      <c r="J10128" s="11" t="s">
        <v>28</v>
      </c>
      <c r="K10128" s="11" t="s">
        <v>28</v>
      </c>
      <c r="L10128" s="11" t="s">
        <v>28</v>
      </c>
      <c r="M10128" s="11" t="s">
        <v>28</v>
      </c>
      <c r="N10128" s="8">
        <v>41974</v>
      </c>
      <c r="O10128" s="9" t="s">
        <v>30</v>
      </c>
      <c r="P10128" s="12" t="s">
        <v>28741</v>
      </c>
      <c r="Q10128" s="9" t="s">
        <v>1007</v>
      </c>
      <c r="R10128" s="14" t="str">
        <f>HYPERLINK("https://my.pitchbook.com?c=36301-69T","View Company Online")</f>
        <v>View Company Online</v>
      </c>
    </row>
    <row r="10129" spans="1:18" hidden="1" x14ac:dyDescent="0.3">
      <c r="A10129" s="15" t="s">
        <v>28742</v>
      </c>
      <c r="B10129" s="15" t="s">
        <v>10980</v>
      </c>
      <c r="C10129" s="18" t="s">
        <v>28</v>
      </c>
      <c r="D10129" s="15" t="s">
        <v>10981</v>
      </c>
      <c r="E10129" s="18" t="s">
        <v>28</v>
      </c>
      <c r="F10129" s="19" t="s">
        <v>28</v>
      </c>
      <c r="G10129" s="19">
        <v>1.69</v>
      </c>
      <c r="H10129" s="19" t="s">
        <v>28</v>
      </c>
      <c r="I10129" s="18" t="s">
        <v>28</v>
      </c>
      <c r="J10129" s="18" t="s">
        <v>28</v>
      </c>
      <c r="K10129" s="18" t="s">
        <v>28</v>
      </c>
      <c r="L10129" s="18" t="s">
        <v>28</v>
      </c>
      <c r="M10129" s="18" t="s">
        <v>28</v>
      </c>
      <c r="N10129" s="17">
        <v>41974</v>
      </c>
      <c r="O10129" s="15" t="s">
        <v>99</v>
      </c>
      <c r="P10129" s="16" t="s">
        <v>28743</v>
      </c>
      <c r="Q10129" s="15" t="s">
        <v>959</v>
      </c>
      <c r="R10129" s="13" t="str">
        <f>HYPERLINK("https://my.pitchbook.com?c=59561-29T","View Company Online")</f>
        <v>View Company Online</v>
      </c>
    </row>
    <row r="10130" spans="1:18" hidden="1" x14ac:dyDescent="0.3">
      <c r="A10130" s="9" t="s">
        <v>28744</v>
      </c>
      <c r="B10130" s="9" t="s">
        <v>27590</v>
      </c>
      <c r="C10130" s="11" t="s">
        <v>28</v>
      </c>
      <c r="D10130" s="9" t="s">
        <v>27591</v>
      </c>
      <c r="E10130" s="11" t="s">
        <v>28</v>
      </c>
      <c r="F10130" s="10" t="s">
        <v>28</v>
      </c>
      <c r="G10130" s="10">
        <v>0.2</v>
      </c>
      <c r="H10130" s="10" t="s">
        <v>28</v>
      </c>
      <c r="I10130" s="11" t="s">
        <v>28</v>
      </c>
      <c r="J10130" s="11" t="s">
        <v>28</v>
      </c>
      <c r="K10130" s="11" t="s">
        <v>28</v>
      </c>
      <c r="L10130" s="11" t="s">
        <v>28</v>
      </c>
      <c r="M10130" s="11" t="s">
        <v>28</v>
      </c>
      <c r="N10130" s="8">
        <v>41974</v>
      </c>
      <c r="O10130" s="9" t="s">
        <v>379</v>
      </c>
      <c r="P10130" s="12" t="s">
        <v>28745</v>
      </c>
      <c r="Q10130" s="9" t="s">
        <v>43</v>
      </c>
      <c r="R10130" s="14" t="str">
        <f>HYPERLINK("https://my.pitchbook.com?c=210458-26T","View Company Online")</f>
        <v>View Company Online</v>
      </c>
    </row>
    <row r="10131" spans="1:18" hidden="1" x14ac:dyDescent="0.3">
      <c r="A10131" s="15" t="s">
        <v>28746</v>
      </c>
      <c r="B10131" s="15" t="s">
        <v>16016</v>
      </c>
      <c r="C10131" s="18" t="s">
        <v>28</v>
      </c>
      <c r="D10131" s="15" t="s">
        <v>16017</v>
      </c>
      <c r="E10131" s="18" t="s">
        <v>28</v>
      </c>
      <c r="F10131" s="19" t="s">
        <v>28</v>
      </c>
      <c r="G10131" s="19" t="s">
        <v>28</v>
      </c>
      <c r="H10131" s="19" t="s">
        <v>28</v>
      </c>
      <c r="I10131" s="18" t="s">
        <v>28</v>
      </c>
      <c r="J10131" s="18" t="s">
        <v>28</v>
      </c>
      <c r="K10131" s="18" t="s">
        <v>28</v>
      </c>
      <c r="L10131" s="18" t="s">
        <v>28</v>
      </c>
      <c r="M10131" s="18" t="s">
        <v>28</v>
      </c>
      <c r="N10131" s="17">
        <v>41974</v>
      </c>
      <c r="O10131" s="15" t="s">
        <v>73</v>
      </c>
      <c r="P10131" s="16" t="s">
        <v>28747</v>
      </c>
      <c r="Q10131" s="15" t="s">
        <v>583</v>
      </c>
      <c r="R10131" s="13" t="str">
        <f>HYPERLINK("https://my.pitchbook.com?c=46774-27T","View Company Online")</f>
        <v>View Company Online</v>
      </c>
    </row>
    <row r="10132" spans="1:18" hidden="1" x14ac:dyDescent="0.3">
      <c r="A10132" s="9" t="s">
        <v>28748</v>
      </c>
      <c r="B10132" s="9" t="s">
        <v>28749</v>
      </c>
      <c r="C10132" s="11" t="s">
        <v>28</v>
      </c>
      <c r="D10132" s="9" t="s">
        <v>28750</v>
      </c>
      <c r="E10132" s="11" t="s">
        <v>28</v>
      </c>
      <c r="F10132" s="10" t="s">
        <v>28</v>
      </c>
      <c r="G10132" s="10" t="s">
        <v>28</v>
      </c>
      <c r="H10132" s="10" t="s">
        <v>28</v>
      </c>
      <c r="I10132" s="11" t="s">
        <v>28</v>
      </c>
      <c r="J10132" s="11" t="s">
        <v>28</v>
      </c>
      <c r="K10132" s="11" t="s">
        <v>28</v>
      </c>
      <c r="L10132" s="11" t="s">
        <v>28</v>
      </c>
      <c r="M10132" s="11" t="s">
        <v>28</v>
      </c>
      <c r="N10132" s="8">
        <v>41974</v>
      </c>
      <c r="O10132" s="9" t="s">
        <v>30</v>
      </c>
      <c r="P10132" s="12" t="s">
        <v>28751</v>
      </c>
      <c r="Q10132" s="9" t="s">
        <v>1007</v>
      </c>
      <c r="R10132" s="14" t="str">
        <f>HYPERLINK("https://my.pitchbook.com?c=211902-22T","View Company Online")</f>
        <v>View Company Online</v>
      </c>
    </row>
    <row r="10133" spans="1:18" hidden="1" x14ac:dyDescent="0.3">
      <c r="A10133" s="15" t="s">
        <v>28752</v>
      </c>
      <c r="B10133" s="15" t="s">
        <v>28753</v>
      </c>
      <c r="C10133" s="18" t="s">
        <v>28</v>
      </c>
      <c r="D10133" s="15" t="s">
        <v>28754</v>
      </c>
      <c r="E10133" s="18" t="s">
        <v>28</v>
      </c>
      <c r="F10133" s="19" t="s">
        <v>28</v>
      </c>
      <c r="G10133" s="19" t="s">
        <v>28</v>
      </c>
      <c r="H10133" s="19" t="s">
        <v>28</v>
      </c>
      <c r="I10133" s="18" t="s">
        <v>28</v>
      </c>
      <c r="J10133" s="18" t="s">
        <v>28</v>
      </c>
      <c r="K10133" s="18" t="s">
        <v>28</v>
      </c>
      <c r="L10133" s="18" t="s">
        <v>28</v>
      </c>
      <c r="M10133" s="18" t="s">
        <v>28</v>
      </c>
      <c r="N10133" s="17">
        <v>41974</v>
      </c>
      <c r="O10133" s="15" t="s">
        <v>30</v>
      </c>
      <c r="P10133" s="16" t="s">
        <v>28755</v>
      </c>
      <c r="Q10133" s="15" t="s">
        <v>4670</v>
      </c>
      <c r="R10133" s="13" t="str">
        <f>HYPERLINK("https://my.pitchbook.com?c=44565-13T","View Company Online")</f>
        <v>View Company Online</v>
      </c>
    </row>
    <row r="10134" spans="1:18" hidden="1" x14ac:dyDescent="0.3">
      <c r="A10134" s="9" t="s">
        <v>28756</v>
      </c>
      <c r="B10134" s="9" t="s">
        <v>28757</v>
      </c>
      <c r="C10134" s="11" t="s">
        <v>28</v>
      </c>
      <c r="D10134" s="9" t="s">
        <v>28758</v>
      </c>
      <c r="E10134" s="11" t="s">
        <v>28</v>
      </c>
      <c r="F10134" s="10">
        <v>153.72</v>
      </c>
      <c r="G10134" s="10">
        <v>153.72</v>
      </c>
      <c r="H10134" s="10">
        <v>153.72</v>
      </c>
      <c r="I10134" s="11" t="s">
        <v>28</v>
      </c>
      <c r="J10134" s="11" t="s">
        <v>28</v>
      </c>
      <c r="K10134" s="11">
        <v>350</v>
      </c>
      <c r="L10134" s="11">
        <v>0.44</v>
      </c>
      <c r="M10134" s="11" t="s">
        <v>28</v>
      </c>
      <c r="N10134" s="8">
        <v>41974</v>
      </c>
      <c r="O10134" s="9" t="s">
        <v>30</v>
      </c>
      <c r="P10134" s="12" t="s">
        <v>3647</v>
      </c>
      <c r="Q10134" s="9" t="s">
        <v>136</v>
      </c>
      <c r="R10134" s="14" t="str">
        <f>HYPERLINK("https://my.pitchbook.com?c=70381-27T","View Company Online")</f>
        <v>View Company Online</v>
      </c>
    </row>
    <row r="10135" spans="1:18" hidden="1" x14ac:dyDescent="0.3">
      <c r="A10135" s="15" t="s">
        <v>28759</v>
      </c>
      <c r="B10135" s="15" t="s">
        <v>28760</v>
      </c>
      <c r="C10135" s="18" t="s">
        <v>28</v>
      </c>
      <c r="D10135" s="15" t="s">
        <v>28761</v>
      </c>
      <c r="E10135" s="18" t="s">
        <v>28</v>
      </c>
      <c r="F10135" s="19" t="s">
        <v>28</v>
      </c>
      <c r="G10135" s="19" t="s">
        <v>28</v>
      </c>
      <c r="H10135" s="19" t="s">
        <v>28</v>
      </c>
      <c r="I10135" s="18" t="s">
        <v>28</v>
      </c>
      <c r="J10135" s="18" t="s">
        <v>28</v>
      </c>
      <c r="K10135" s="18" t="s">
        <v>28</v>
      </c>
      <c r="L10135" s="18" t="s">
        <v>28</v>
      </c>
      <c r="M10135" s="18" t="s">
        <v>28</v>
      </c>
      <c r="N10135" s="17">
        <v>41974</v>
      </c>
      <c r="O10135" s="15" t="s">
        <v>30</v>
      </c>
      <c r="P10135" s="16" t="s">
        <v>28762</v>
      </c>
      <c r="Q10135" s="15" t="s">
        <v>740</v>
      </c>
      <c r="R10135" s="13" t="str">
        <f>HYPERLINK("https://my.pitchbook.com?c=46211-14T","View Company Online")</f>
        <v>View Company Online</v>
      </c>
    </row>
    <row r="10136" spans="1:18" hidden="1" x14ac:dyDescent="0.3">
      <c r="A10136" s="9" t="s">
        <v>28763</v>
      </c>
      <c r="B10136" s="9" t="s">
        <v>22299</v>
      </c>
      <c r="C10136" s="11" t="s">
        <v>28</v>
      </c>
      <c r="D10136" s="9" t="s">
        <v>22300</v>
      </c>
      <c r="E10136" s="11" t="s">
        <v>28</v>
      </c>
      <c r="F10136" s="10">
        <v>70</v>
      </c>
      <c r="G10136" s="10">
        <v>70</v>
      </c>
      <c r="H10136" s="10">
        <v>70</v>
      </c>
      <c r="I10136" s="11" t="s">
        <v>28</v>
      </c>
      <c r="J10136" s="11" t="s">
        <v>28</v>
      </c>
      <c r="K10136" s="11" t="s">
        <v>28</v>
      </c>
      <c r="L10136" s="11" t="s">
        <v>28</v>
      </c>
      <c r="M10136" s="11" t="s">
        <v>28</v>
      </c>
      <c r="N10136" s="8">
        <v>41971</v>
      </c>
      <c r="O10136" s="9" t="s">
        <v>41</v>
      </c>
      <c r="P10136" s="12" t="s">
        <v>28764</v>
      </c>
      <c r="Q10136" s="9" t="s">
        <v>880</v>
      </c>
      <c r="R10136" s="14" t="str">
        <f>HYPERLINK("https://my.pitchbook.com?c=40063-87T","View Company Online")</f>
        <v>View Company Online</v>
      </c>
    </row>
    <row r="10137" spans="1:18" hidden="1" x14ac:dyDescent="0.3">
      <c r="A10137" s="15" t="s">
        <v>28765</v>
      </c>
      <c r="B10137" s="15" t="s">
        <v>28766</v>
      </c>
      <c r="C10137" s="18" t="s">
        <v>28</v>
      </c>
      <c r="D10137" s="15" t="s">
        <v>28767</v>
      </c>
      <c r="E10137" s="18" t="s">
        <v>28</v>
      </c>
      <c r="F10137" s="19" t="s">
        <v>28</v>
      </c>
      <c r="G10137" s="19" t="s">
        <v>28</v>
      </c>
      <c r="H10137" s="19" t="s">
        <v>28</v>
      </c>
      <c r="I10137" s="18" t="s">
        <v>28</v>
      </c>
      <c r="J10137" s="18" t="s">
        <v>28</v>
      </c>
      <c r="K10137" s="18" t="s">
        <v>28</v>
      </c>
      <c r="L10137" s="18" t="s">
        <v>28</v>
      </c>
      <c r="M10137" s="18" t="s">
        <v>28</v>
      </c>
      <c r="N10137" s="17">
        <v>41970</v>
      </c>
      <c r="O10137" s="15" t="s">
        <v>30</v>
      </c>
      <c r="P10137" s="16" t="s">
        <v>27060</v>
      </c>
      <c r="Q10137" s="15" t="s">
        <v>4602</v>
      </c>
      <c r="R10137" s="13" t="str">
        <f>HYPERLINK("https://my.pitchbook.com?c=39684-70T","View Company Online")</f>
        <v>View Company Online</v>
      </c>
    </row>
    <row r="10138" spans="1:18" hidden="1" x14ac:dyDescent="0.3">
      <c r="A10138" s="9" t="s">
        <v>28768</v>
      </c>
      <c r="B10138" s="9" t="s">
        <v>28769</v>
      </c>
      <c r="C10138" s="11" t="s">
        <v>28</v>
      </c>
      <c r="D10138" s="9" t="s">
        <v>28770</v>
      </c>
      <c r="E10138" s="11" t="s">
        <v>28</v>
      </c>
      <c r="F10138" s="10" t="s">
        <v>28</v>
      </c>
      <c r="G10138" s="10" t="s">
        <v>28</v>
      </c>
      <c r="H10138" s="10" t="s">
        <v>28</v>
      </c>
      <c r="I10138" s="11" t="s">
        <v>28</v>
      </c>
      <c r="J10138" s="11" t="s">
        <v>28</v>
      </c>
      <c r="K10138" s="11" t="s">
        <v>28</v>
      </c>
      <c r="L10138" s="11" t="s">
        <v>28</v>
      </c>
      <c r="M10138" s="11" t="s">
        <v>28</v>
      </c>
      <c r="N10138" s="8">
        <v>41969</v>
      </c>
      <c r="O10138" s="9" t="s">
        <v>41</v>
      </c>
      <c r="P10138" s="12" t="s">
        <v>28771</v>
      </c>
      <c r="Q10138" s="9" t="s">
        <v>299</v>
      </c>
      <c r="R10138" s="14" t="str">
        <f>HYPERLINK("https://my.pitchbook.com?c=39988-09T","View Company Online")</f>
        <v>View Company Online</v>
      </c>
    </row>
    <row r="10139" spans="1:18" hidden="1" x14ac:dyDescent="0.3">
      <c r="A10139" s="15" t="s">
        <v>28772</v>
      </c>
      <c r="B10139" s="15" t="s">
        <v>28773</v>
      </c>
      <c r="C10139" s="18" t="s">
        <v>28</v>
      </c>
      <c r="D10139" s="15" t="s">
        <v>28774</v>
      </c>
      <c r="E10139" s="18" t="s">
        <v>28</v>
      </c>
      <c r="F10139" s="19" t="s">
        <v>28</v>
      </c>
      <c r="G10139" s="19" t="s">
        <v>28</v>
      </c>
      <c r="H10139" s="19" t="s">
        <v>28</v>
      </c>
      <c r="I10139" s="18" t="s">
        <v>28</v>
      </c>
      <c r="J10139" s="18" t="s">
        <v>28</v>
      </c>
      <c r="K10139" s="18" t="s">
        <v>28</v>
      </c>
      <c r="L10139" s="18" t="s">
        <v>28</v>
      </c>
      <c r="M10139" s="18" t="s">
        <v>28</v>
      </c>
      <c r="N10139" s="17">
        <v>41969</v>
      </c>
      <c r="O10139" s="15" t="s">
        <v>58</v>
      </c>
      <c r="P10139" s="16" t="s">
        <v>28775</v>
      </c>
      <c r="Q10139" s="15" t="s">
        <v>1238</v>
      </c>
      <c r="R10139" s="13" t="str">
        <f>HYPERLINK("https://my.pitchbook.com?c=39833-56T","View Company Online")</f>
        <v>View Company Online</v>
      </c>
    </row>
    <row r="10140" spans="1:18" hidden="1" x14ac:dyDescent="0.3">
      <c r="A10140" s="9" t="s">
        <v>28776</v>
      </c>
      <c r="B10140" s="9" t="s">
        <v>28777</v>
      </c>
      <c r="C10140" s="11" t="s">
        <v>28</v>
      </c>
      <c r="D10140" s="9" t="s">
        <v>28778</v>
      </c>
      <c r="E10140" s="11" t="s">
        <v>28</v>
      </c>
      <c r="F10140" s="10" t="s">
        <v>28</v>
      </c>
      <c r="G10140" s="10" t="s">
        <v>28</v>
      </c>
      <c r="H10140" s="10" t="s">
        <v>28</v>
      </c>
      <c r="I10140" s="11" t="s">
        <v>28</v>
      </c>
      <c r="J10140" s="11" t="s">
        <v>28</v>
      </c>
      <c r="K10140" s="11" t="s">
        <v>28</v>
      </c>
      <c r="L10140" s="11" t="s">
        <v>28</v>
      </c>
      <c r="M10140" s="11" t="s">
        <v>28</v>
      </c>
      <c r="N10140" s="8">
        <v>41968</v>
      </c>
      <c r="O10140" s="9" t="s">
        <v>30</v>
      </c>
      <c r="P10140" s="12" t="s">
        <v>28779</v>
      </c>
      <c r="Q10140" s="9" t="s">
        <v>607</v>
      </c>
      <c r="R10140" s="14" t="str">
        <f>HYPERLINK("https://my.pitchbook.com?c=39771-55T","View Company Online")</f>
        <v>View Company Online</v>
      </c>
    </row>
    <row r="10141" spans="1:18" hidden="1" x14ac:dyDescent="0.3">
      <c r="A10141" s="15" t="s">
        <v>28780</v>
      </c>
      <c r="B10141" s="15" t="s">
        <v>28781</v>
      </c>
      <c r="C10141" s="18" t="s">
        <v>28</v>
      </c>
      <c r="D10141" s="15" t="s">
        <v>28782</v>
      </c>
      <c r="E10141" s="18" t="s">
        <v>28</v>
      </c>
      <c r="F10141" s="19">
        <v>31.26</v>
      </c>
      <c r="G10141" s="19">
        <v>21.88</v>
      </c>
      <c r="H10141" s="19">
        <v>31.26</v>
      </c>
      <c r="I10141" s="18" t="s">
        <v>28</v>
      </c>
      <c r="J10141" s="18" t="s">
        <v>28</v>
      </c>
      <c r="K10141" s="18" t="s">
        <v>28</v>
      </c>
      <c r="L10141" s="18" t="s">
        <v>28</v>
      </c>
      <c r="M10141" s="18" t="s">
        <v>28</v>
      </c>
      <c r="N10141" s="17">
        <v>41968</v>
      </c>
      <c r="O10141" s="15" t="s">
        <v>30</v>
      </c>
      <c r="P10141" s="16" t="s">
        <v>28783</v>
      </c>
      <c r="Q10141" s="15" t="s">
        <v>5760</v>
      </c>
      <c r="R10141" s="13" t="str">
        <f>HYPERLINK("https://my.pitchbook.com?c=39873-25T","View Company Online")</f>
        <v>View Company Online</v>
      </c>
    </row>
    <row r="10142" spans="1:18" hidden="1" x14ac:dyDescent="0.3">
      <c r="A10142" s="9" t="s">
        <v>28784</v>
      </c>
      <c r="B10142" s="9" t="s">
        <v>18532</v>
      </c>
      <c r="C10142" s="11" t="s">
        <v>28</v>
      </c>
      <c r="D10142" s="9" t="s">
        <v>18533</v>
      </c>
      <c r="E10142" s="11" t="s">
        <v>28</v>
      </c>
      <c r="F10142" s="10" t="s">
        <v>28</v>
      </c>
      <c r="G10142" s="10">
        <v>1.58</v>
      </c>
      <c r="H10142" s="10">
        <v>7.12</v>
      </c>
      <c r="I10142" s="11" t="s">
        <v>28</v>
      </c>
      <c r="J10142" s="11" t="s">
        <v>28</v>
      </c>
      <c r="K10142" s="11" t="s">
        <v>28</v>
      </c>
      <c r="L10142" s="11" t="s">
        <v>28</v>
      </c>
      <c r="M10142" s="11" t="s">
        <v>28</v>
      </c>
      <c r="N10142" s="8">
        <v>41967</v>
      </c>
      <c r="O10142" s="9" t="s">
        <v>73</v>
      </c>
      <c r="P10142" s="12" t="s">
        <v>20455</v>
      </c>
      <c r="Q10142" s="9" t="s">
        <v>1336</v>
      </c>
      <c r="R10142" s="14" t="str">
        <f>HYPERLINK("https://my.pitchbook.com?c=212795-29T","View Company Online")</f>
        <v>View Company Online</v>
      </c>
    </row>
    <row r="10143" spans="1:18" hidden="1" x14ac:dyDescent="0.3">
      <c r="A10143" s="15" t="s">
        <v>28785</v>
      </c>
      <c r="B10143" s="15" t="s">
        <v>28786</v>
      </c>
      <c r="C10143" s="18" t="s">
        <v>28</v>
      </c>
      <c r="D10143" s="15" t="s">
        <v>28787</v>
      </c>
      <c r="E10143" s="18" t="s">
        <v>28</v>
      </c>
      <c r="F10143" s="19" t="s">
        <v>28</v>
      </c>
      <c r="G10143" s="19" t="s">
        <v>28</v>
      </c>
      <c r="H10143" s="19" t="s">
        <v>28</v>
      </c>
      <c r="I10143" s="18" t="s">
        <v>28</v>
      </c>
      <c r="J10143" s="18" t="s">
        <v>28</v>
      </c>
      <c r="K10143" s="18" t="s">
        <v>28</v>
      </c>
      <c r="L10143" s="18" t="s">
        <v>28</v>
      </c>
      <c r="M10143" s="18" t="s">
        <v>28</v>
      </c>
      <c r="N10143" s="17">
        <v>41967</v>
      </c>
      <c r="O10143" s="15" t="s">
        <v>52</v>
      </c>
      <c r="P10143" s="16" t="s">
        <v>15600</v>
      </c>
      <c r="Q10143" s="15" t="s">
        <v>1793</v>
      </c>
      <c r="R10143" s="13" t="str">
        <f>HYPERLINK("https://my.pitchbook.com?c=140999-77T","View Company Online")</f>
        <v>View Company Online</v>
      </c>
    </row>
    <row r="10144" spans="1:18" hidden="1" x14ac:dyDescent="0.3">
      <c r="A10144" s="9" t="s">
        <v>28788</v>
      </c>
      <c r="B10144" s="9" t="s">
        <v>10645</v>
      </c>
      <c r="C10144" s="11" t="s">
        <v>28</v>
      </c>
      <c r="D10144" s="9" t="s">
        <v>10646</v>
      </c>
      <c r="E10144" s="11" t="s">
        <v>28</v>
      </c>
      <c r="F10144" s="10" t="s">
        <v>28</v>
      </c>
      <c r="G10144" s="10" t="s">
        <v>28</v>
      </c>
      <c r="H10144" s="10" t="s">
        <v>28</v>
      </c>
      <c r="I10144" s="11" t="s">
        <v>28</v>
      </c>
      <c r="J10144" s="11" t="s">
        <v>28</v>
      </c>
      <c r="K10144" s="11" t="s">
        <v>28</v>
      </c>
      <c r="L10144" s="11" t="s">
        <v>28</v>
      </c>
      <c r="M10144" s="11" t="s">
        <v>28</v>
      </c>
      <c r="N10144" s="8">
        <v>41967</v>
      </c>
      <c r="O10144" s="9" t="s">
        <v>41</v>
      </c>
      <c r="P10144" s="12" t="s">
        <v>28789</v>
      </c>
      <c r="Q10144" s="9" t="s">
        <v>37</v>
      </c>
      <c r="R10144" s="14" t="str">
        <f>HYPERLINK("https://my.pitchbook.com?c=39773-80T","View Company Online")</f>
        <v>View Company Online</v>
      </c>
    </row>
    <row r="10145" spans="1:18" hidden="1" x14ac:dyDescent="0.3">
      <c r="A10145" s="15" t="s">
        <v>28790</v>
      </c>
      <c r="B10145" s="15" t="s">
        <v>16358</v>
      </c>
      <c r="C10145" s="18" t="s">
        <v>28</v>
      </c>
      <c r="D10145" s="15" t="s">
        <v>16359</v>
      </c>
      <c r="E10145" s="18" t="s">
        <v>28</v>
      </c>
      <c r="F10145" s="19" t="s">
        <v>28</v>
      </c>
      <c r="G10145" s="19">
        <v>14.91</v>
      </c>
      <c r="H10145" s="19" t="s">
        <v>28</v>
      </c>
      <c r="I10145" s="18" t="s">
        <v>28</v>
      </c>
      <c r="J10145" s="18" t="s">
        <v>28</v>
      </c>
      <c r="K10145" s="18" t="s">
        <v>28</v>
      </c>
      <c r="L10145" s="18" t="s">
        <v>28</v>
      </c>
      <c r="M10145" s="18" t="s">
        <v>28</v>
      </c>
      <c r="N10145" s="17">
        <v>41967</v>
      </c>
      <c r="O10145" s="15" t="s">
        <v>79</v>
      </c>
      <c r="P10145" s="16" t="s">
        <v>28791</v>
      </c>
      <c r="Q10145" s="15" t="s">
        <v>414</v>
      </c>
      <c r="R10145" s="13" t="str">
        <f>HYPERLINK("https://my.pitchbook.com?c=133207-48T","View Company Online")</f>
        <v>View Company Online</v>
      </c>
    </row>
    <row r="10146" spans="1:18" hidden="1" x14ac:dyDescent="0.3">
      <c r="A10146" s="9" t="s">
        <v>28792</v>
      </c>
      <c r="B10146" s="9" t="s">
        <v>28793</v>
      </c>
      <c r="C10146" s="11" t="s">
        <v>28</v>
      </c>
      <c r="D10146" s="9" t="s">
        <v>28794</v>
      </c>
      <c r="E10146" s="11" t="s">
        <v>28</v>
      </c>
      <c r="F10146" s="10">
        <v>0.71</v>
      </c>
      <c r="G10146" s="10">
        <v>0.71</v>
      </c>
      <c r="H10146" s="10">
        <v>0.71</v>
      </c>
      <c r="I10146" s="11" t="s">
        <v>28</v>
      </c>
      <c r="J10146" s="11" t="s">
        <v>28</v>
      </c>
      <c r="K10146" s="11" t="s">
        <v>28</v>
      </c>
      <c r="L10146" s="11" t="s">
        <v>28</v>
      </c>
      <c r="M10146" s="11" t="s">
        <v>28</v>
      </c>
      <c r="N10146" s="8">
        <v>41964</v>
      </c>
      <c r="O10146" s="9" t="s">
        <v>30</v>
      </c>
      <c r="P10146" s="12" t="s">
        <v>28795</v>
      </c>
      <c r="Q10146" s="9" t="s">
        <v>1643</v>
      </c>
      <c r="R10146" s="14" t="str">
        <f>HYPERLINK("https://my.pitchbook.com?c=39178-09T","View Company Online")</f>
        <v>View Company Online</v>
      </c>
    </row>
    <row r="10147" spans="1:18" hidden="1" x14ac:dyDescent="0.3">
      <c r="A10147" s="15" t="s">
        <v>28796</v>
      </c>
      <c r="B10147" s="15" t="s">
        <v>28797</v>
      </c>
      <c r="C10147" s="18" t="s">
        <v>28</v>
      </c>
      <c r="D10147" s="15" t="s">
        <v>28798</v>
      </c>
      <c r="E10147" s="18" t="s">
        <v>28</v>
      </c>
      <c r="F10147" s="19" t="s">
        <v>28</v>
      </c>
      <c r="G10147" s="19" t="s">
        <v>28</v>
      </c>
      <c r="H10147" s="19" t="s">
        <v>28</v>
      </c>
      <c r="I10147" s="18" t="s">
        <v>28</v>
      </c>
      <c r="J10147" s="18" t="s">
        <v>28</v>
      </c>
      <c r="K10147" s="18" t="s">
        <v>28</v>
      </c>
      <c r="L10147" s="18" t="s">
        <v>28</v>
      </c>
      <c r="M10147" s="18" t="s">
        <v>28</v>
      </c>
      <c r="N10147" s="17">
        <v>41964</v>
      </c>
      <c r="O10147" s="15" t="s">
        <v>30</v>
      </c>
      <c r="P10147" s="16" t="s">
        <v>27060</v>
      </c>
      <c r="Q10147" s="15" t="s">
        <v>22648</v>
      </c>
      <c r="R10147" s="13" t="str">
        <f>HYPERLINK("https://my.pitchbook.com?c=39677-86T","View Company Online")</f>
        <v>View Company Online</v>
      </c>
    </row>
    <row r="10148" spans="1:18" hidden="1" x14ac:dyDescent="0.3">
      <c r="A10148" s="9" t="s">
        <v>28799</v>
      </c>
      <c r="B10148" s="9" t="s">
        <v>28800</v>
      </c>
      <c r="C10148" s="11" t="s">
        <v>28</v>
      </c>
      <c r="D10148" s="9" t="s">
        <v>28801</v>
      </c>
      <c r="E10148" s="11">
        <v>26.26</v>
      </c>
      <c r="F10148" s="10" t="s">
        <v>28</v>
      </c>
      <c r="G10148" s="10" t="s">
        <v>28</v>
      </c>
      <c r="H10148" s="10" t="s">
        <v>28</v>
      </c>
      <c r="I10148" s="11">
        <v>26.26</v>
      </c>
      <c r="J10148" s="11" t="s">
        <v>28</v>
      </c>
      <c r="K10148" s="11">
        <v>1.34</v>
      </c>
      <c r="L10148" s="11" t="s">
        <v>28</v>
      </c>
      <c r="M10148" s="11">
        <v>26.15</v>
      </c>
      <c r="N10148" s="8">
        <v>41964</v>
      </c>
      <c r="O10148" s="9" t="s">
        <v>173</v>
      </c>
      <c r="P10148" s="12" t="s">
        <v>28</v>
      </c>
      <c r="Q10148" s="9" t="s">
        <v>240</v>
      </c>
      <c r="R10148" s="14" t="str">
        <f>HYPERLINK("https://my.pitchbook.com?c=224391-43T","View Company Online")</f>
        <v>View Company Online</v>
      </c>
    </row>
    <row r="10149" spans="1:18" hidden="1" x14ac:dyDescent="0.3">
      <c r="A10149" s="15" t="s">
        <v>28802</v>
      </c>
      <c r="B10149" s="15" t="s">
        <v>28803</v>
      </c>
      <c r="C10149" s="18" t="s">
        <v>28</v>
      </c>
      <c r="D10149" s="15" t="s">
        <v>28804</v>
      </c>
      <c r="E10149" s="18" t="s">
        <v>28</v>
      </c>
      <c r="F10149" s="19">
        <v>558.70000000000005</v>
      </c>
      <c r="G10149" s="19">
        <v>558.70000000000005</v>
      </c>
      <c r="H10149" s="19">
        <v>558.70000000000005</v>
      </c>
      <c r="I10149" s="18" t="s">
        <v>28</v>
      </c>
      <c r="J10149" s="18" t="s">
        <v>28</v>
      </c>
      <c r="K10149" s="18" t="s">
        <v>28</v>
      </c>
      <c r="L10149" s="18" t="s">
        <v>28</v>
      </c>
      <c r="M10149" s="18" t="s">
        <v>28</v>
      </c>
      <c r="N10149" s="17">
        <v>41962</v>
      </c>
      <c r="O10149" s="15" t="s">
        <v>30</v>
      </c>
      <c r="P10149" s="16" t="s">
        <v>28805</v>
      </c>
      <c r="Q10149" s="15" t="s">
        <v>692</v>
      </c>
      <c r="R10149" s="13" t="str">
        <f>HYPERLINK("https://my.pitchbook.com?c=54882-82T","View Company Online")</f>
        <v>View Company Online</v>
      </c>
    </row>
    <row r="10150" spans="1:18" hidden="1" x14ac:dyDescent="0.3">
      <c r="A10150" s="9" t="s">
        <v>28806</v>
      </c>
      <c r="B10150" s="9" t="s">
        <v>28807</v>
      </c>
      <c r="C10150" s="11" t="s">
        <v>28</v>
      </c>
      <c r="D10150" s="9" t="s">
        <v>28808</v>
      </c>
      <c r="E10150" s="11" t="s">
        <v>28</v>
      </c>
      <c r="F10150" s="10">
        <v>13.04</v>
      </c>
      <c r="G10150" s="10">
        <v>7.83</v>
      </c>
      <c r="H10150" s="10">
        <v>13.04</v>
      </c>
      <c r="I10150" s="11" t="s">
        <v>28</v>
      </c>
      <c r="J10150" s="11" t="s">
        <v>28</v>
      </c>
      <c r="K10150" s="11" t="s">
        <v>28</v>
      </c>
      <c r="L10150" s="11" t="s">
        <v>28</v>
      </c>
      <c r="M10150" s="11" t="s">
        <v>28</v>
      </c>
      <c r="N10150" s="8">
        <v>41962</v>
      </c>
      <c r="O10150" s="9" t="s">
        <v>30</v>
      </c>
      <c r="P10150" s="12" t="s">
        <v>28809</v>
      </c>
      <c r="Q10150" s="9" t="s">
        <v>285</v>
      </c>
      <c r="R10150" s="14" t="str">
        <f>HYPERLINK("https://my.pitchbook.com?c=39584-26T","View Company Online")</f>
        <v>View Company Online</v>
      </c>
    </row>
    <row r="10151" spans="1:18" hidden="1" x14ac:dyDescent="0.3">
      <c r="A10151" s="15" t="s">
        <v>28810</v>
      </c>
      <c r="B10151" s="15" t="s">
        <v>28811</v>
      </c>
      <c r="C10151" s="18" t="s">
        <v>28</v>
      </c>
      <c r="D10151" s="15" t="s">
        <v>28812</v>
      </c>
      <c r="E10151" s="18" t="s">
        <v>28</v>
      </c>
      <c r="F10151" s="19">
        <v>13.13</v>
      </c>
      <c r="G10151" s="19">
        <v>13.13</v>
      </c>
      <c r="H10151" s="19">
        <v>13.13</v>
      </c>
      <c r="I10151" s="18" t="s">
        <v>28</v>
      </c>
      <c r="J10151" s="18" t="s">
        <v>28</v>
      </c>
      <c r="K10151" s="18" t="s">
        <v>28</v>
      </c>
      <c r="L10151" s="18" t="s">
        <v>28</v>
      </c>
      <c r="M10151" s="18" t="s">
        <v>28</v>
      </c>
      <c r="N10151" s="17">
        <v>41961</v>
      </c>
      <c r="O10151" s="15" t="s">
        <v>30</v>
      </c>
      <c r="P10151" s="16" t="s">
        <v>2330</v>
      </c>
      <c r="Q10151" s="15" t="s">
        <v>43</v>
      </c>
      <c r="R10151" s="13" t="str">
        <f>HYPERLINK("https://my.pitchbook.com?c=211621-96T","View Company Online")</f>
        <v>View Company Online</v>
      </c>
    </row>
    <row r="10152" spans="1:18" hidden="1" x14ac:dyDescent="0.3">
      <c r="A10152" s="9" t="s">
        <v>28813</v>
      </c>
      <c r="B10152" s="9" t="s">
        <v>22081</v>
      </c>
      <c r="C10152" s="11" t="s">
        <v>28</v>
      </c>
      <c r="D10152" s="9" t="s">
        <v>22082</v>
      </c>
      <c r="E10152" s="11" t="s">
        <v>28</v>
      </c>
      <c r="F10152" s="10" t="s">
        <v>28</v>
      </c>
      <c r="G10152" s="10" t="s">
        <v>28</v>
      </c>
      <c r="H10152" s="10" t="s">
        <v>28</v>
      </c>
      <c r="I10152" s="11" t="s">
        <v>28</v>
      </c>
      <c r="J10152" s="11" t="s">
        <v>28</v>
      </c>
      <c r="K10152" s="11" t="s">
        <v>28</v>
      </c>
      <c r="L10152" s="11" t="s">
        <v>28</v>
      </c>
      <c r="M10152" s="11" t="s">
        <v>28</v>
      </c>
      <c r="N10152" s="8">
        <v>41960</v>
      </c>
      <c r="O10152" s="9" t="s">
        <v>30</v>
      </c>
      <c r="P10152" s="12" t="s">
        <v>28814</v>
      </c>
      <c r="Q10152" s="9" t="s">
        <v>169</v>
      </c>
      <c r="R10152" s="14" t="str">
        <f>HYPERLINK("https://my.pitchbook.com?c=107207-47T","View Company Online")</f>
        <v>View Company Online</v>
      </c>
    </row>
    <row r="10153" spans="1:18" hidden="1" x14ac:dyDescent="0.3">
      <c r="A10153" s="15" t="s">
        <v>28815</v>
      </c>
      <c r="B10153" s="15" t="s">
        <v>28816</v>
      </c>
      <c r="C10153" s="18" t="s">
        <v>28</v>
      </c>
      <c r="D10153" s="15" t="s">
        <v>28817</v>
      </c>
      <c r="E10153" s="18" t="s">
        <v>28</v>
      </c>
      <c r="F10153" s="19" t="s">
        <v>28</v>
      </c>
      <c r="G10153" s="19" t="s">
        <v>28</v>
      </c>
      <c r="H10153" s="19" t="s">
        <v>28</v>
      </c>
      <c r="I10153" s="18" t="s">
        <v>28</v>
      </c>
      <c r="J10153" s="18" t="s">
        <v>28</v>
      </c>
      <c r="K10153" s="18" t="s">
        <v>28</v>
      </c>
      <c r="L10153" s="18" t="s">
        <v>28</v>
      </c>
      <c r="M10153" s="18" t="s">
        <v>28</v>
      </c>
      <c r="N10153" s="17">
        <v>41960</v>
      </c>
      <c r="O10153" s="15" t="s">
        <v>52</v>
      </c>
      <c r="P10153" s="16" t="s">
        <v>15600</v>
      </c>
      <c r="Q10153" s="15" t="s">
        <v>43</v>
      </c>
      <c r="R10153" s="13" t="str">
        <f>HYPERLINK("https://my.pitchbook.com?c=149091-76T","View Company Online")</f>
        <v>View Company Online</v>
      </c>
    </row>
    <row r="10154" spans="1:18" hidden="1" x14ac:dyDescent="0.3">
      <c r="A10154" s="9" t="s">
        <v>28818</v>
      </c>
      <c r="B10154" s="9" t="s">
        <v>28819</v>
      </c>
      <c r="C10154" s="11" t="s">
        <v>28</v>
      </c>
      <c r="D10154" s="9" t="s">
        <v>28820</v>
      </c>
      <c r="E10154" s="11" t="s">
        <v>28</v>
      </c>
      <c r="F10154" s="10">
        <v>35.96</v>
      </c>
      <c r="G10154" s="10">
        <v>35.96</v>
      </c>
      <c r="H10154" s="10">
        <v>35.96</v>
      </c>
      <c r="I10154" s="11" t="s">
        <v>28</v>
      </c>
      <c r="J10154" s="11" t="s">
        <v>28</v>
      </c>
      <c r="K10154" s="11" t="s">
        <v>28</v>
      </c>
      <c r="L10154" s="11" t="s">
        <v>28</v>
      </c>
      <c r="M10154" s="11" t="s">
        <v>28</v>
      </c>
      <c r="N10154" s="8">
        <v>41957</v>
      </c>
      <c r="O10154" s="9" t="s">
        <v>30</v>
      </c>
      <c r="P10154" s="12" t="s">
        <v>25538</v>
      </c>
      <c r="Q10154" s="9" t="s">
        <v>404</v>
      </c>
      <c r="R10154" s="14" t="str">
        <f>HYPERLINK("https://my.pitchbook.com?c=36667-00T","View Company Online")</f>
        <v>View Company Online</v>
      </c>
    </row>
    <row r="10155" spans="1:18" hidden="1" x14ac:dyDescent="0.3">
      <c r="A10155" s="15" t="s">
        <v>28821</v>
      </c>
      <c r="B10155" s="15" t="s">
        <v>28822</v>
      </c>
      <c r="C10155" s="18" t="s">
        <v>28</v>
      </c>
      <c r="D10155" s="15" t="s">
        <v>28823</v>
      </c>
      <c r="E10155" s="18" t="s">
        <v>28</v>
      </c>
      <c r="F10155" s="19" t="s">
        <v>28</v>
      </c>
      <c r="G10155" s="19" t="s">
        <v>28</v>
      </c>
      <c r="H10155" s="19" t="s">
        <v>28</v>
      </c>
      <c r="I10155" s="18" t="s">
        <v>28</v>
      </c>
      <c r="J10155" s="18" t="s">
        <v>28</v>
      </c>
      <c r="K10155" s="18" t="s">
        <v>28</v>
      </c>
      <c r="L10155" s="18" t="s">
        <v>28</v>
      </c>
      <c r="M10155" s="18" t="s">
        <v>28</v>
      </c>
      <c r="N10155" s="17">
        <v>41956</v>
      </c>
      <c r="O10155" s="15" t="s">
        <v>30</v>
      </c>
      <c r="P10155" s="16" t="s">
        <v>28824</v>
      </c>
      <c r="Q10155" s="15" t="s">
        <v>188</v>
      </c>
      <c r="R10155" s="13" t="str">
        <f>HYPERLINK("https://my.pitchbook.com?c=39429-37T","View Company Online")</f>
        <v>View Company Online</v>
      </c>
    </row>
    <row r="10156" spans="1:18" hidden="1" x14ac:dyDescent="0.3">
      <c r="A10156" s="9" t="s">
        <v>28825</v>
      </c>
      <c r="B10156" s="9" t="s">
        <v>28826</v>
      </c>
      <c r="C10156" s="11" t="s">
        <v>28</v>
      </c>
      <c r="D10156" s="9" t="s">
        <v>28827</v>
      </c>
      <c r="E10156" s="11" t="s">
        <v>28</v>
      </c>
      <c r="F10156" s="10" t="s">
        <v>28</v>
      </c>
      <c r="G10156" s="10">
        <v>0.93</v>
      </c>
      <c r="H10156" s="10" t="s">
        <v>28</v>
      </c>
      <c r="I10156" s="11" t="s">
        <v>28</v>
      </c>
      <c r="J10156" s="11" t="s">
        <v>28</v>
      </c>
      <c r="K10156" s="11" t="s">
        <v>28</v>
      </c>
      <c r="L10156" s="11" t="s">
        <v>28</v>
      </c>
      <c r="M10156" s="11" t="s">
        <v>28</v>
      </c>
      <c r="N10156" s="8">
        <v>41955</v>
      </c>
      <c r="O10156" s="9" t="s">
        <v>73</v>
      </c>
      <c r="P10156" s="12" t="s">
        <v>28828</v>
      </c>
      <c r="Q10156" s="9" t="s">
        <v>1179</v>
      </c>
      <c r="R10156" s="14" t="str">
        <f>HYPERLINK("https://my.pitchbook.com?c=72277-21T","View Company Online")</f>
        <v>View Company Online</v>
      </c>
    </row>
    <row r="10157" spans="1:18" hidden="1" x14ac:dyDescent="0.3">
      <c r="A10157" s="15" t="s">
        <v>28829</v>
      </c>
      <c r="B10157" s="15" t="s">
        <v>5533</v>
      </c>
      <c r="C10157" s="18" t="s">
        <v>28</v>
      </c>
      <c r="D10157" s="15" t="s">
        <v>5534</v>
      </c>
      <c r="E10157" s="18" t="s">
        <v>28</v>
      </c>
      <c r="F10157" s="19" t="s">
        <v>28</v>
      </c>
      <c r="G10157" s="19">
        <v>1.62</v>
      </c>
      <c r="H10157" s="19" t="s">
        <v>28</v>
      </c>
      <c r="I10157" s="18" t="s">
        <v>28</v>
      </c>
      <c r="J10157" s="18" t="s">
        <v>28</v>
      </c>
      <c r="K10157" s="18" t="s">
        <v>28</v>
      </c>
      <c r="L10157" s="18" t="s">
        <v>28</v>
      </c>
      <c r="M10157" s="18" t="s">
        <v>28</v>
      </c>
      <c r="N10157" s="17">
        <v>41954</v>
      </c>
      <c r="O10157" s="15" t="s">
        <v>99</v>
      </c>
      <c r="P10157" s="16" t="s">
        <v>28830</v>
      </c>
      <c r="Q10157" s="15" t="s">
        <v>409</v>
      </c>
      <c r="R10157" s="13" t="str">
        <f>HYPERLINK("https://my.pitchbook.com?c=39593-71T","View Company Online")</f>
        <v>View Company Online</v>
      </c>
    </row>
    <row r="10158" spans="1:18" hidden="1" x14ac:dyDescent="0.3">
      <c r="A10158" s="9" t="s">
        <v>28831</v>
      </c>
      <c r="B10158" s="9" t="s">
        <v>8234</v>
      </c>
      <c r="C10158" s="11" t="s">
        <v>28</v>
      </c>
      <c r="D10158" s="9" t="s">
        <v>8235</v>
      </c>
      <c r="E10158" s="11" t="s">
        <v>28</v>
      </c>
      <c r="F10158" s="10" t="s">
        <v>28</v>
      </c>
      <c r="G10158" s="10">
        <v>0.2</v>
      </c>
      <c r="H10158" s="10" t="s">
        <v>28</v>
      </c>
      <c r="I10158" s="11" t="s">
        <v>28</v>
      </c>
      <c r="J10158" s="11" t="s">
        <v>28</v>
      </c>
      <c r="K10158" s="11" t="s">
        <v>28</v>
      </c>
      <c r="L10158" s="11" t="s">
        <v>28</v>
      </c>
      <c r="M10158" s="11" t="s">
        <v>28</v>
      </c>
      <c r="N10158" s="8">
        <v>41953</v>
      </c>
      <c r="O10158" s="9" t="s">
        <v>99</v>
      </c>
      <c r="P10158" s="12" t="s">
        <v>28832</v>
      </c>
      <c r="Q10158" s="9" t="s">
        <v>75</v>
      </c>
      <c r="R10158" s="14" t="str">
        <f>HYPERLINK("https://my.pitchbook.com?c=61693-12T","View Company Online")</f>
        <v>View Company Online</v>
      </c>
    </row>
    <row r="10159" spans="1:18" hidden="1" x14ac:dyDescent="0.3">
      <c r="A10159" s="15" t="s">
        <v>28833</v>
      </c>
      <c r="B10159" s="15" t="s">
        <v>8862</v>
      </c>
      <c r="C10159" s="18" t="s">
        <v>28</v>
      </c>
      <c r="D10159" s="15" t="s">
        <v>8863</v>
      </c>
      <c r="E10159" s="18" t="s">
        <v>28</v>
      </c>
      <c r="F10159" s="19" t="s">
        <v>28</v>
      </c>
      <c r="G10159" s="19" t="s">
        <v>28</v>
      </c>
      <c r="H10159" s="19" t="s">
        <v>28</v>
      </c>
      <c r="I10159" s="18" t="s">
        <v>28</v>
      </c>
      <c r="J10159" s="18" t="s">
        <v>28</v>
      </c>
      <c r="K10159" s="18" t="s">
        <v>28</v>
      </c>
      <c r="L10159" s="18" t="s">
        <v>28</v>
      </c>
      <c r="M10159" s="18" t="s">
        <v>28</v>
      </c>
      <c r="N10159" s="17">
        <v>41953</v>
      </c>
      <c r="O10159" s="15" t="s">
        <v>52</v>
      </c>
      <c r="P10159" s="16" t="s">
        <v>408</v>
      </c>
      <c r="Q10159" s="15" t="s">
        <v>740</v>
      </c>
      <c r="R10159" s="13" t="str">
        <f>HYPERLINK("https://my.pitchbook.com?c=252602-74T","View Company Online")</f>
        <v>View Company Online</v>
      </c>
    </row>
    <row r="10160" spans="1:18" hidden="1" x14ac:dyDescent="0.3">
      <c r="A10160" s="9" t="s">
        <v>28834</v>
      </c>
      <c r="B10160" s="9" t="s">
        <v>13747</v>
      </c>
      <c r="C10160" s="11" t="s">
        <v>28</v>
      </c>
      <c r="D10160" s="9" t="s">
        <v>13748</v>
      </c>
      <c r="E10160" s="11" t="s">
        <v>28</v>
      </c>
      <c r="F10160" s="10" t="s">
        <v>28</v>
      </c>
      <c r="G10160" s="10">
        <v>7.05</v>
      </c>
      <c r="H10160" s="10" t="s">
        <v>28</v>
      </c>
      <c r="I10160" s="11" t="s">
        <v>28</v>
      </c>
      <c r="J10160" s="11" t="s">
        <v>28</v>
      </c>
      <c r="K10160" s="11" t="s">
        <v>28</v>
      </c>
      <c r="L10160" s="11" t="s">
        <v>28</v>
      </c>
      <c r="M10160" s="11" t="s">
        <v>28</v>
      </c>
      <c r="N10160" s="8">
        <v>41953</v>
      </c>
      <c r="O10160" s="9" t="s">
        <v>73</v>
      </c>
      <c r="P10160" s="12" t="s">
        <v>28835</v>
      </c>
      <c r="Q10160" s="9" t="s">
        <v>740</v>
      </c>
      <c r="R10160" s="14" t="str">
        <f>HYPERLINK("https://my.pitchbook.com?c=45339-67T","View Company Online")</f>
        <v>View Company Online</v>
      </c>
    </row>
    <row r="10161" spans="1:18" hidden="1" x14ac:dyDescent="0.3">
      <c r="A10161" s="15" t="s">
        <v>28836</v>
      </c>
      <c r="B10161" s="15" t="s">
        <v>28837</v>
      </c>
      <c r="C10161" s="18" t="s">
        <v>28</v>
      </c>
      <c r="D10161" s="15" t="s">
        <v>28838</v>
      </c>
      <c r="E10161" s="18" t="s">
        <v>28</v>
      </c>
      <c r="F10161" s="19" t="s">
        <v>28</v>
      </c>
      <c r="G10161" s="19" t="s">
        <v>28</v>
      </c>
      <c r="H10161" s="19" t="s">
        <v>28</v>
      </c>
      <c r="I10161" s="18" t="s">
        <v>28</v>
      </c>
      <c r="J10161" s="18" t="s">
        <v>28</v>
      </c>
      <c r="K10161" s="18" t="s">
        <v>28</v>
      </c>
      <c r="L10161" s="18" t="s">
        <v>28</v>
      </c>
      <c r="M10161" s="18" t="s">
        <v>28</v>
      </c>
      <c r="N10161" s="17">
        <v>41952</v>
      </c>
      <c r="O10161" s="15" t="s">
        <v>79</v>
      </c>
      <c r="P10161" s="16" t="s">
        <v>28839</v>
      </c>
      <c r="Q10161" s="15" t="s">
        <v>75</v>
      </c>
      <c r="R10161" s="13" t="str">
        <f>HYPERLINK("https://my.pitchbook.com?c=82236-52T","View Company Online")</f>
        <v>View Company Online</v>
      </c>
    </row>
    <row r="10162" spans="1:18" hidden="1" x14ac:dyDescent="0.3">
      <c r="A10162" s="9" t="s">
        <v>28840</v>
      </c>
      <c r="B10162" s="9" t="s">
        <v>3486</v>
      </c>
      <c r="C10162" s="11" t="s">
        <v>28</v>
      </c>
      <c r="D10162" s="9" t="s">
        <v>3487</v>
      </c>
      <c r="E10162" s="11" t="s">
        <v>28</v>
      </c>
      <c r="F10162" s="10" t="s">
        <v>28</v>
      </c>
      <c r="G10162" s="10">
        <v>28.97</v>
      </c>
      <c r="H10162" s="10" t="s">
        <v>28</v>
      </c>
      <c r="I10162" s="11" t="s">
        <v>28</v>
      </c>
      <c r="J10162" s="11" t="s">
        <v>28</v>
      </c>
      <c r="K10162" s="11">
        <v>63.7</v>
      </c>
      <c r="L10162" s="11" t="s">
        <v>28</v>
      </c>
      <c r="M10162" s="11" t="s">
        <v>28</v>
      </c>
      <c r="N10162" s="8">
        <v>41948</v>
      </c>
      <c r="O10162" s="9" t="s">
        <v>93</v>
      </c>
      <c r="P10162" s="12" t="s">
        <v>28841</v>
      </c>
      <c r="Q10162" s="9" t="s">
        <v>263</v>
      </c>
      <c r="R10162" s="14" t="str">
        <f>HYPERLINK("https://my.pitchbook.com?c=61319-80T","View Company Online")</f>
        <v>View Company Online</v>
      </c>
    </row>
    <row r="10163" spans="1:18" hidden="1" x14ac:dyDescent="0.3">
      <c r="A10163" s="15" t="s">
        <v>28842</v>
      </c>
      <c r="B10163" s="15" t="s">
        <v>28843</v>
      </c>
      <c r="C10163" s="18" t="s">
        <v>28</v>
      </c>
      <c r="D10163" s="15" t="s">
        <v>28844</v>
      </c>
      <c r="E10163" s="18" t="s">
        <v>28</v>
      </c>
      <c r="F10163" s="19" t="s">
        <v>28</v>
      </c>
      <c r="G10163" s="19" t="s">
        <v>28</v>
      </c>
      <c r="H10163" s="19" t="s">
        <v>28</v>
      </c>
      <c r="I10163" s="18" t="s">
        <v>28</v>
      </c>
      <c r="J10163" s="18" t="s">
        <v>28</v>
      </c>
      <c r="K10163" s="18" t="s">
        <v>28</v>
      </c>
      <c r="L10163" s="18" t="s">
        <v>28</v>
      </c>
      <c r="M10163" s="18" t="s">
        <v>28</v>
      </c>
      <c r="N10163" s="17">
        <v>41947</v>
      </c>
      <c r="O10163" s="15" t="s">
        <v>41</v>
      </c>
      <c r="P10163" s="16" t="s">
        <v>20409</v>
      </c>
      <c r="Q10163" s="15" t="s">
        <v>188</v>
      </c>
      <c r="R10163" s="13" t="str">
        <f>HYPERLINK("https://my.pitchbook.com?c=97893-46T","View Company Online")</f>
        <v>View Company Online</v>
      </c>
    </row>
    <row r="10164" spans="1:18" hidden="1" x14ac:dyDescent="0.3">
      <c r="A10164" s="9" t="s">
        <v>28845</v>
      </c>
      <c r="B10164" s="9" t="s">
        <v>28846</v>
      </c>
      <c r="C10164" s="11" t="s">
        <v>28</v>
      </c>
      <c r="D10164" s="9" t="s">
        <v>28847</v>
      </c>
      <c r="E10164" s="11" t="s">
        <v>28</v>
      </c>
      <c r="F10164" s="10" t="s">
        <v>28</v>
      </c>
      <c r="G10164" s="10" t="s">
        <v>28</v>
      </c>
      <c r="H10164" s="10" t="s">
        <v>28</v>
      </c>
      <c r="I10164" s="11" t="s">
        <v>28</v>
      </c>
      <c r="J10164" s="11" t="s">
        <v>28</v>
      </c>
      <c r="K10164" s="11" t="s">
        <v>28</v>
      </c>
      <c r="L10164" s="11" t="s">
        <v>28</v>
      </c>
      <c r="M10164" s="11" t="s">
        <v>28</v>
      </c>
      <c r="N10164" s="8">
        <v>41947</v>
      </c>
      <c r="O10164" s="9" t="s">
        <v>41</v>
      </c>
      <c r="P10164" s="12" t="s">
        <v>20409</v>
      </c>
      <c r="Q10164" s="9" t="s">
        <v>353</v>
      </c>
      <c r="R10164" s="14" t="str">
        <f>HYPERLINK("https://my.pitchbook.com?c=97961-32T","View Company Online")</f>
        <v>View Company Online</v>
      </c>
    </row>
    <row r="10165" spans="1:18" hidden="1" x14ac:dyDescent="0.3">
      <c r="A10165" s="15" t="s">
        <v>28848</v>
      </c>
      <c r="B10165" s="15" t="s">
        <v>28849</v>
      </c>
      <c r="C10165" s="18" t="s">
        <v>28</v>
      </c>
      <c r="D10165" s="15" t="s">
        <v>28850</v>
      </c>
      <c r="E10165" s="18" t="s">
        <v>28</v>
      </c>
      <c r="F10165" s="19" t="s">
        <v>28</v>
      </c>
      <c r="G10165" s="19" t="s">
        <v>28</v>
      </c>
      <c r="H10165" s="19" t="s">
        <v>28</v>
      </c>
      <c r="I10165" s="18" t="s">
        <v>28</v>
      </c>
      <c r="J10165" s="18" t="s">
        <v>28</v>
      </c>
      <c r="K10165" s="18" t="s">
        <v>28</v>
      </c>
      <c r="L10165" s="18" t="s">
        <v>28</v>
      </c>
      <c r="M10165" s="18" t="s">
        <v>28</v>
      </c>
      <c r="N10165" s="17">
        <v>41947</v>
      </c>
      <c r="O10165" s="15" t="s">
        <v>41</v>
      </c>
      <c r="P10165" s="16" t="s">
        <v>20409</v>
      </c>
      <c r="Q10165" s="15" t="s">
        <v>188</v>
      </c>
      <c r="R10165" s="13" t="str">
        <f>HYPERLINK("https://my.pitchbook.com?c=98021-71T","View Company Online")</f>
        <v>View Company Online</v>
      </c>
    </row>
    <row r="10166" spans="1:18" hidden="1" x14ac:dyDescent="0.3">
      <c r="A10166" s="9" t="s">
        <v>28851</v>
      </c>
      <c r="B10166" s="9" t="s">
        <v>28852</v>
      </c>
      <c r="C10166" s="11" t="s">
        <v>28</v>
      </c>
      <c r="D10166" s="9" t="s">
        <v>28853</v>
      </c>
      <c r="E10166" s="11" t="s">
        <v>28</v>
      </c>
      <c r="F10166" s="10" t="s">
        <v>28</v>
      </c>
      <c r="G10166" s="10" t="s">
        <v>28</v>
      </c>
      <c r="H10166" s="10" t="s">
        <v>28</v>
      </c>
      <c r="I10166" s="11" t="s">
        <v>28</v>
      </c>
      <c r="J10166" s="11" t="s">
        <v>28</v>
      </c>
      <c r="K10166" s="11" t="s">
        <v>28</v>
      </c>
      <c r="L10166" s="11" t="s">
        <v>28</v>
      </c>
      <c r="M10166" s="11" t="s">
        <v>28</v>
      </c>
      <c r="N10166" s="8">
        <v>41946</v>
      </c>
      <c r="O10166" s="9" t="s">
        <v>41</v>
      </c>
      <c r="P10166" s="12" t="s">
        <v>28854</v>
      </c>
      <c r="Q10166" s="9" t="s">
        <v>280</v>
      </c>
      <c r="R10166" s="14" t="str">
        <f>HYPERLINK("https://my.pitchbook.com?c=39047-05T","View Company Online")</f>
        <v>View Company Online</v>
      </c>
    </row>
    <row r="10167" spans="1:18" hidden="1" x14ac:dyDescent="0.3">
      <c r="A10167" s="15" t="s">
        <v>28855</v>
      </c>
      <c r="B10167" s="15" t="s">
        <v>28856</v>
      </c>
      <c r="C10167" s="18" t="s">
        <v>28</v>
      </c>
      <c r="D10167" s="15" t="s">
        <v>28857</v>
      </c>
      <c r="E10167" s="18" t="s">
        <v>28</v>
      </c>
      <c r="F10167" s="19">
        <v>44.11</v>
      </c>
      <c r="G10167" s="19">
        <v>30.88</v>
      </c>
      <c r="H10167" s="19">
        <v>44.11</v>
      </c>
      <c r="I10167" s="18" t="s">
        <v>28</v>
      </c>
      <c r="J10167" s="18" t="s">
        <v>28</v>
      </c>
      <c r="K10167" s="18" t="s">
        <v>28</v>
      </c>
      <c r="L10167" s="18" t="s">
        <v>28</v>
      </c>
      <c r="M10167" s="18" t="s">
        <v>28</v>
      </c>
      <c r="N10167" s="17">
        <v>41946</v>
      </c>
      <c r="O10167" s="15" t="s">
        <v>30</v>
      </c>
      <c r="P10167" s="16" t="s">
        <v>28858</v>
      </c>
      <c r="Q10167" s="15" t="s">
        <v>19855</v>
      </c>
      <c r="R10167" s="13" t="str">
        <f>HYPERLINK("https://my.pitchbook.com?c=100302-04T","View Company Online")</f>
        <v>View Company Online</v>
      </c>
    </row>
    <row r="10168" spans="1:18" hidden="1" x14ac:dyDescent="0.3">
      <c r="A10168" s="9" t="s">
        <v>28859</v>
      </c>
      <c r="B10168" s="9" t="s">
        <v>28860</v>
      </c>
      <c r="C10168" s="11" t="s">
        <v>28</v>
      </c>
      <c r="D10168" s="9" t="s">
        <v>28861</v>
      </c>
      <c r="E10168" s="11" t="s">
        <v>28</v>
      </c>
      <c r="F10168" s="10">
        <v>120</v>
      </c>
      <c r="G10168" s="10">
        <v>60</v>
      </c>
      <c r="H10168" s="10">
        <v>120</v>
      </c>
      <c r="I10168" s="11" t="s">
        <v>28</v>
      </c>
      <c r="J10168" s="11" t="s">
        <v>28</v>
      </c>
      <c r="K10168" s="11" t="s">
        <v>28</v>
      </c>
      <c r="L10168" s="11" t="s">
        <v>28</v>
      </c>
      <c r="M10168" s="11" t="s">
        <v>28</v>
      </c>
      <c r="N10168" s="8">
        <v>41944</v>
      </c>
      <c r="O10168" s="9" t="s">
        <v>30</v>
      </c>
      <c r="P10168" s="12" t="s">
        <v>28862</v>
      </c>
      <c r="Q10168" s="9" t="s">
        <v>85</v>
      </c>
      <c r="R10168" s="14" t="str">
        <f>HYPERLINK("https://my.pitchbook.com?c=256428-55T","View Company Online")</f>
        <v>View Company Online</v>
      </c>
    </row>
    <row r="10169" spans="1:18" hidden="1" x14ac:dyDescent="0.3">
      <c r="A10169" s="15" t="s">
        <v>28863</v>
      </c>
      <c r="B10169" s="15" t="s">
        <v>17523</v>
      </c>
      <c r="C10169" s="18" t="s">
        <v>28</v>
      </c>
      <c r="D10169" s="15" t="s">
        <v>17524</v>
      </c>
      <c r="E10169" s="18" t="s">
        <v>28</v>
      </c>
      <c r="F10169" s="19" t="s">
        <v>28</v>
      </c>
      <c r="G10169" s="19" t="s">
        <v>28</v>
      </c>
      <c r="H10169" s="19" t="s">
        <v>28</v>
      </c>
      <c r="I10169" s="18" t="s">
        <v>28</v>
      </c>
      <c r="J10169" s="18" t="s">
        <v>28</v>
      </c>
      <c r="K10169" s="18" t="s">
        <v>28</v>
      </c>
      <c r="L10169" s="18" t="s">
        <v>28</v>
      </c>
      <c r="M10169" s="18" t="s">
        <v>28</v>
      </c>
      <c r="N10169" s="17">
        <v>41944</v>
      </c>
      <c r="O10169" s="15" t="s">
        <v>379</v>
      </c>
      <c r="P10169" s="16" t="s">
        <v>28864</v>
      </c>
      <c r="Q10169" s="15" t="s">
        <v>95</v>
      </c>
      <c r="R10169" s="13" t="str">
        <f>HYPERLINK("https://my.pitchbook.com?c=77795-56T","View Company Online")</f>
        <v>View Company Online</v>
      </c>
    </row>
    <row r="10170" spans="1:18" hidden="1" x14ac:dyDescent="0.3">
      <c r="A10170" s="9" t="s">
        <v>28865</v>
      </c>
      <c r="B10170" s="9" t="s">
        <v>25903</v>
      </c>
      <c r="C10170" s="11" t="s">
        <v>28</v>
      </c>
      <c r="D10170" s="9" t="s">
        <v>25904</v>
      </c>
      <c r="E10170" s="11" t="s">
        <v>28</v>
      </c>
      <c r="F10170" s="10" t="s">
        <v>28</v>
      </c>
      <c r="G10170" s="10">
        <v>0.06</v>
      </c>
      <c r="H10170" s="10" t="s">
        <v>28</v>
      </c>
      <c r="I10170" s="11" t="s">
        <v>28</v>
      </c>
      <c r="J10170" s="11" t="s">
        <v>28</v>
      </c>
      <c r="K10170" s="11" t="s">
        <v>28</v>
      </c>
      <c r="L10170" s="11" t="s">
        <v>28</v>
      </c>
      <c r="M10170" s="11" t="s">
        <v>28</v>
      </c>
      <c r="N10170" s="8">
        <v>41944</v>
      </c>
      <c r="O10170" s="9" t="s">
        <v>99</v>
      </c>
      <c r="P10170" s="12" t="s">
        <v>28866</v>
      </c>
      <c r="Q10170" s="9" t="s">
        <v>696</v>
      </c>
      <c r="R10170" s="14" t="str">
        <f>HYPERLINK("https://my.pitchbook.com?c=210979-99T","View Company Online")</f>
        <v>View Company Online</v>
      </c>
    </row>
    <row r="10171" spans="1:18" hidden="1" x14ac:dyDescent="0.3">
      <c r="A10171" s="15" t="s">
        <v>28867</v>
      </c>
      <c r="B10171" s="15" t="s">
        <v>24186</v>
      </c>
      <c r="C10171" s="18" t="s">
        <v>28</v>
      </c>
      <c r="D10171" s="15" t="s">
        <v>24187</v>
      </c>
      <c r="E10171" s="18" t="s">
        <v>28</v>
      </c>
      <c r="F10171" s="19" t="s">
        <v>28</v>
      </c>
      <c r="G10171" s="19">
        <v>1.4</v>
      </c>
      <c r="H10171" s="19" t="s">
        <v>28</v>
      </c>
      <c r="I10171" s="18" t="s">
        <v>28</v>
      </c>
      <c r="J10171" s="18" t="s">
        <v>28</v>
      </c>
      <c r="K10171" s="18" t="s">
        <v>28</v>
      </c>
      <c r="L10171" s="18" t="s">
        <v>28</v>
      </c>
      <c r="M10171" s="18" t="s">
        <v>28</v>
      </c>
      <c r="N10171" s="17">
        <v>41944</v>
      </c>
      <c r="O10171" s="15" t="s">
        <v>99</v>
      </c>
      <c r="P10171" s="16" t="s">
        <v>28</v>
      </c>
      <c r="Q10171" s="15" t="s">
        <v>54</v>
      </c>
      <c r="R10171" s="13" t="str">
        <f>HYPERLINK("https://my.pitchbook.com?c=66151-36T","View Company Online")</f>
        <v>View Company Online</v>
      </c>
    </row>
    <row r="10172" spans="1:18" hidden="1" x14ac:dyDescent="0.3">
      <c r="A10172" s="9" t="s">
        <v>28868</v>
      </c>
      <c r="B10172" s="9" t="s">
        <v>21459</v>
      </c>
      <c r="C10172" s="11" t="s">
        <v>28</v>
      </c>
      <c r="D10172" s="9" t="s">
        <v>21460</v>
      </c>
      <c r="E10172" s="11" t="s">
        <v>28</v>
      </c>
      <c r="F10172" s="10" t="s">
        <v>28</v>
      </c>
      <c r="G10172" s="10" t="s">
        <v>28</v>
      </c>
      <c r="H10172" s="10" t="s">
        <v>28</v>
      </c>
      <c r="I10172" s="11" t="s">
        <v>28</v>
      </c>
      <c r="J10172" s="11" t="s">
        <v>28</v>
      </c>
      <c r="K10172" s="11" t="s">
        <v>28</v>
      </c>
      <c r="L10172" s="11" t="s">
        <v>28</v>
      </c>
      <c r="M10172" s="11" t="s">
        <v>28</v>
      </c>
      <c r="N10172" s="8">
        <v>41944</v>
      </c>
      <c r="O10172" s="9" t="s">
        <v>79</v>
      </c>
      <c r="P10172" s="12" t="s">
        <v>3430</v>
      </c>
      <c r="Q10172" s="9" t="s">
        <v>75</v>
      </c>
      <c r="R10172" s="14" t="str">
        <f>HYPERLINK("https://my.pitchbook.com?c=212273-29T","View Company Online")</f>
        <v>View Company Online</v>
      </c>
    </row>
    <row r="10173" spans="1:18" hidden="1" x14ac:dyDescent="0.3">
      <c r="A10173" s="15" t="s">
        <v>28869</v>
      </c>
      <c r="B10173" s="15" t="s">
        <v>28870</v>
      </c>
      <c r="C10173" s="18" t="s">
        <v>28</v>
      </c>
      <c r="D10173" s="15" t="s">
        <v>28871</v>
      </c>
      <c r="E10173" s="18" t="s">
        <v>28</v>
      </c>
      <c r="F10173" s="19" t="s">
        <v>28</v>
      </c>
      <c r="G10173" s="19">
        <v>2</v>
      </c>
      <c r="H10173" s="19" t="s">
        <v>28</v>
      </c>
      <c r="I10173" s="18" t="s">
        <v>28</v>
      </c>
      <c r="J10173" s="18" t="s">
        <v>28</v>
      </c>
      <c r="K10173" s="18" t="s">
        <v>28</v>
      </c>
      <c r="L10173" s="18" t="s">
        <v>28</v>
      </c>
      <c r="M10173" s="18" t="s">
        <v>28</v>
      </c>
      <c r="N10173" s="17">
        <v>41944</v>
      </c>
      <c r="O10173" s="15" t="s">
        <v>73</v>
      </c>
      <c r="P10173" s="16" t="s">
        <v>28</v>
      </c>
      <c r="Q10173" s="15" t="s">
        <v>740</v>
      </c>
      <c r="R10173" s="13" t="str">
        <f>HYPERLINK("https://my.pitchbook.com?c=50694-94T","View Company Online")</f>
        <v>View Company Online</v>
      </c>
    </row>
    <row r="10174" spans="1:18" hidden="1" x14ac:dyDescent="0.3">
      <c r="A10174" s="9" t="s">
        <v>28872</v>
      </c>
      <c r="B10174" s="9" t="s">
        <v>18243</v>
      </c>
      <c r="C10174" s="11" t="s">
        <v>28</v>
      </c>
      <c r="D10174" s="9" t="s">
        <v>18244</v>
      </c>
      <c r="E10174" s="11" t="s">
        <v>28</v>
      </c>
      <c r="F10174" s="10" t="s">
        <v>28</v>
      </c>
      <c r="G10174" s="10">
        <v>0.25</v>
      </c>
      <c r="H10174" s="10" t="s">
        <v>28</v>
      </c>
      <c r="I10174" s="11" t="s">
        <v>28</v>
      </c>
      <c r="J10174" s="11" t="s">
        <v>28</v>
      </c>
      <c r="K10174" s="11" t="s">
        <v>28</v>
      </c>
      <c r="L10174" s="11" t="s">
        <v>28</v>
      </c>
      <c r="M10174" s="11" t="s">
        <v>28</v>
      </c>
      <c r="N10174" s="8">
        <v>41944</v>
      </c>
      <c r="O10174" s="9" t="s">
        <v>52</v>
      </c>
      <c r="P10174" s="12" t="s">
        <v>11539</v>
      </c>
      <c r="Q10174" s="9" t="s">
        <v>386</v>
      </c>
      <c r="R10174" s="14" t="str">
        <f>HYPERLINK("https://my.pitchbook.com?c=65116-36T","View Company Online")</f>
        <v>View Company Online</v>
      </c>
    </row>
    <row r="10175" spans="1:18" hidden="1" x14ac:dyDescent="0.3">
      <c r="A10175" s="15" t="s">
        <v>28873</v>
      </c>
      <c r="B10175" s="15" t="s">
        <v>455</v>
      </c>
      <c r="C10175" s="18" t="s">
        <v>28</v>
      </c>
      <c r="D10175" s="15" t="s">
        <v>456</v>
      </c>
      <c r="E10175" s="18" t="s">
        <v>28</v>
      </c>
      <c r="F10175" s="19" t="s">
        <v>28</v>
      </c>
      <c r="G10175" s="19">
        <v>1.92</v>
      </c>
      <c r="H10175" s="19" t="s">
        <v>28</v>
      </c>
      <c r="I10175" s="18" t="s">
        <v>28</v>
      </c>
      <c r="J10175" s="18" t="s">
        <v>28</v>
      </c>
      <c r="K10175" s="18" t="s">
        <v>28</v>
      </c>
      <c r="L10175" s="18" t="s">
        <v>28</v>
      </c>
      <c r="M10175" s="18" t="s">
        <v>28</v>
      </c>
      <c r="N10175" s="17">
        <v>41944</v>
      </c>
      <c r="O10175" s="15" t="s">
        <v>73</v>
      </c>
      <c r="P10175" s="16" t="s">
        <v>28</v>
      </c>
      <c r="Q10175" s="15" t="s">
        <v>75</v>
      </c>
      <c r="R10175" s="13" t="str">
        <f>HYPERLINK("https://my.pitchbook.com?c=47097-55T","View Company Online")</f>
        <v>View Company Online</v>
      </c>
    </row>
    <row r="10176" spans="1:18" hidden="1" x14ac:dyDescent="0.3">
      <c r="A10176" s="9" t="s">
        <v>28874</v>
      </c>
      <c r="B10176" s="9" t="s">
        <v>9217</v>
      </c>
      <c r="C10176" s="11" t="s">
        <v>28</v>
      </c>
      <c r="D10176" s="9" t="s">
        <v>9218</v>
      </c>
      <c r="E10176" s="11" t="s">
        <v>28</v>
      </c>
      <c r="F10176" s="10" t="s">
        <v>28</v>
      </c>
      <c r="G10176" s="10" t="s">
        <v>28</v>
      </c>
      <c r="H10176" s="10" t="s">
        <v>28</v>
      </c>
      <c r="I10176" s="11" t="s">
        <v>28</v>
      </c>
      <c r="J10176" s="11" t="s">
        <v>28</v>
      </c>
      <c r="K10176" s="11" t="s">
        <v>28</v>
      </c>
      <c r="L10176" s="11" t="s">
        <v>28</v>
      </c>
      <c r="M10176" s="11" t="s">
        <v>28</v>
      </c>
      <c r="N10176" s="8">
        <v>41944</v>
      </c>
      <c r="O10176" s="9" t="s">
        <v>93</v>
      </c>
      <c r="P10176" s="12" t="s">
        <v>28875</v>
      </c>
      <c r="Q10176" s="9" t="s">
        <v>5347</v>
      </c>
      <c r="R10176" s="14" t="str">
        <f>HYPERLINK("https://my.pitchbook.com?c=73021-15T","View Company Online")</f>
        <v>View Company Online</v>
      </c>
    </row>
    <row r="10177" spans="1:18" hidden="1" x14ac:dyDescent="0.3">
      <c r="A10177" s="15" t="s">
        <v>28876</v>
      </c>
      <c r="B10177" s="15" t="s">
        <v>28877</v>
      </c>
      <c r="C10177" s="18" t="s">
        <v>28</v>
      </c>
      <c r="D10177" s="15" t="s">
        <v>28878</v>
      </c>
      <c r="E10177" s="18" t="s">
        <v>28</v>
      </c>
      <c r="F10177" s="19" t="s">
        <v>28</v>
      </c>
      <c r="G10177" s="19" t="s">
        <v>28</v>
      </c>
      <c r="H10177" s="19" t="s">
        <v>28</v>
      </c>
      <c r="I10177" s="18" t="s">
        <v>28</v>
      </c>
      <c r="J10177" s="18" t="s">
        <v>28</v>
      </c>
      <c r="K10177" s="18" t="s">
        <v>28</v>
      </c>
      <c r="L10177" s="18" t="s">
        <v>28</v>
      </c>
      <c r="M10177" s="18" t="s">
        <v>28</v>
      </c>
      <c r="N10177" s="17">
        <v>41944</v>
      </c>
      <c r="O10177" s="15" t="s">
        <v>30</v>
      </c>
      <c r="P10177" s="16" t="s">
        <v>28</v>
      </c>
      <c r="Q10177" s="15" t="s">
        <v>240</v>
      </c>
      <c r="R10177" s="13" t="str">
        <f>HYPERLINK("https://my.pitchbook.com?c=245587-42T","View Company Online")</f>
        <v>View Company Online</v>
      </c>
    </row>
    <row r="10178" spans="1:18" hidden="1" x14ac:dyDescent="0.3">
      <c r="A10178" s="9" t="s">
        <v>28879</v>
      </c>
      <c r="B10178" s="9" t="s">
        <v>28880</v>
      </c>
      <c r="C10178" s="11" t="s">
        <v>28</v>
      </c>
      <c r="D10178" s="9" t="s">
        <v>28881</v>
      </c>
      <c r="E10178" s="11" t="s">
        <v>28</v>
      </c>
      <c r="F10178" s="10" t="s">
        <v>28</v>
      </c>
      <c r="G10178" s="10" t="s">
        <v>28</v>
      </c>
      <c r="H10178" s="10" t="s">
        <v>28</v>
      </c>
      <c r="I10178" s="11" t="s">
        <v>28</v>
      </c>
      <c r="J10178" s="11" t="s">
        <v>28</v>
      </c>
      <c r="K10178" s="11" t="s">
        <v>28</v>
      </c>
      <c r="L10178" s="11" t="s">
        <v>28</v>
      </c>
      <c r="M10178" s="11" t="s">
        <v>28</v>
      </c>
      <c r="N10178" s="8">
        <v>41943</v>
      </c>
      <c r="O10178" s="9" t="s">
        <v>41</v>
      </c>
      <c r="P10178" s="12" t="s">
        <v>28882</v>
      </c>
      <c r="Q10178" s="9" t="s">
        <v>1862</v>
      </c>
      <c r="R10178" s="14" t="str">
        <f>HYPERLINK("https://my.pitchbook.com?c=92023-21T","View Company Online")</f>
        <v>View Company Online</v>
      </c>
    </row>
    <row r="10179" spans="1:18" hidden="1" x14ac:dyDescent="0.3">
      <c r="A10179" s="15" t="s">
        <v>28883</v>
      </c>
      <c r="B10179" s="15" t="s">
        <v>13674</v>
      </c>
      <c r="C10179" s="18" t="s">
        <v>28</v>
      </c>
      <c r="D10179" s="15" t="s">
        <v>28884</v>
      </c>
      <c r="E10179" s="18" t="s">
        <v>28</v>
      </c>
      <c r="F10179" s="19" t="s">
        <v>28</v>
      </c>
      <c r="G10179" s="19">
        <v>5942.02</v>
      </c>
      <c r="H10179" s="19">
        <v>43531.29</v>
      </c>
      <c r="I10179" s="18" t="s">
        <v>28</v>
      </c>
      <c r="J10179" s="18" t="s">
        <v>28</v>
      </c>
      <c r="K10179" s="18">
        <v>10563.12</v>
      </c>
      <c r="L10179" s="18">
        <v>4.12</v>
      </c>
      <c r="M10179" s="18">
        <v>2455.38</v>
      </c>
      <c r="N10179" s="17">
        <v>41943</v>
      </c>
      <c r="O10179" s="15" t="s">
        <v>159</v>
      </c>
      <c r="P10179" s="16" t="s">
        <v>28885</v>
      </c>
      <c r="Q10179" s="15" t="s">
        <v>8754</v>
      </c>
      <c r="R10179" s="13" t="str">
        <f>HYPERLINK("https://my.pitchbook.com?c=35950-06T","View Company Online")</f>
        <v>View Company Online</v>
      </c>
    </row>
    <row r="10180" spans="1:18" hidden="1" x14ac:dyDescent="0.3">
      <c r="A10180" s="9" t="s">
        <v>28886</v>
      </c>
      <c r="B10180" s="9" t="s">
        <v>28477</v>
      </c>
      <c r="C10180" s="11" t="s">
        <v>28</v>
      </c>
      <c r="D10180" s="9" t="s">
        <v>28478</v>
      </c>
      <c r="E10180" s="11" t="s">
        <v>28</v>
      </c>
      <c r="F10180" s="10" t="s">
        <v>28</v>
      </c>
      <c r="G10180" s="10" t="s">
        <v>28</v>
      </c>
      <c r="H10180" s="10" t="s">
        <v>28</v>
      </c>
      <c r="I10180" s="11" t="s">
        <v>28</v>
      </c>
      <c r="J10180" s="11" t="s">
        <v>28</v>
      </c>
      <c r="K10180" s="11" t="s">
        <v>28</v>
      </c>
      <c r="L10180" s="11" t="s">
        <v>28</v>
      </c>
      <c r="M10180" s="11" t="s">
        <v>28</v>
      </c>
      <c r="N10180" s="8">
        <v>41943</v>
      </c>
      <c r="O10180" s="9" t="s">
        <v>52</v>
      </c>
      <c r="P10180" s="12" t="s">
        <v>15600</v>
      </c>
      <c r="Q10180" s="9" t="s">
        <v>75</v>
      </c>
      <c r="R10180" s="14" t="str">
        <f>HYPERLINK("https://my.pitchbook.com?c=146208-97T","View Company Online")</f>
        <v>View Company Online</v>
      </c>
    </row>
    <row r="10181" spans="1:18" hidden="1" x14ac:dyDescent="0.3">
      <c r="A10181" s="15" t="s">
        <v>28887</v>
      </c>
      <c r="B10181" s="15" t="s">
        <v>28888</v>
      </c>
      <c r="C10181" s="18" t="s">
        <v>28</v>
      </c>
      <c r="D10181" s="15" t="s">
        <v>28889</v>
      </c>
      <c r="E10181" s="18" t="s">
        <v>28</v>
      </c>
      <c r="F10181" s="19" t="s">
        <v>28</v>
      </c>
      <c r="G10181" s="19" t="s">
        <v>28</v>
      </c>
      <c r="H10181" s="19" t="s">
        <v>28</v>
      </c>
      <c r="I10181" s="18" t="s">
        <v>28</v>
      </c>
      <c r="J10181" s="18" t="s">
        <v>28</v>
      </c>
      <c r="K10181" s="18" t="s">
        <v>28</v>
      </c>
      <c r="L10181" s="18" t="s">
        <v>28</v>
      </c>
      <c r="M10181" s="18" t="s">
        <v>28</v>
      </c>
      <c r="N10181" s="17">
        <v>41943</v>
      </c>
      <c r="O10181" s="15" t="s">
        <v>30</v>
      </c>
      <c r="P10181" s="16" t="s">
        <v>28890</v>
      </c>
      <c r="Q10181" s="15" t="s">
        <v>136</v>
      </c>
      <c r="R10181" s="13" t="str">
        <f>HYPERLINK("https://my.pitchbook.com?c=38483-47T","View Company Online")</f>
        <v>View Company Online</v>
      </c>
    </row>
    <row r="10182" spans="1:18" hidden="1" x14ac:dyDescent="0.3">
      <c r="A10182" s="9" t="s">
        <v>28891</v>
      </c>
      <c r="B10182" s="9" t="s">
        <v>25402</v>
      </c>
      <c r="C10182" s="11" t="s">
        <v>28</v>
      </c>
      <c r="D10182" s="9" t="s">
        <v>25403</v>
      </c>
      <c r="E10182" s="11" t="s">
        <v>28</v>
      </c>
      <c r="F10182" s="10" t="s">
        <v>28</v>
      </c>
      <c r="G10182" s="10">
        <v>41.3</v>
      </c>
      <c r="H10182" s="10" t="s">
        <v>28</v>
      </c>
      <c r="I10182" s="11" t="s">
        <v>28</v>
      </c>
      <c r="J10182" s="11" t="s">
        <v>28</v>
      </c>
      <c r="K10182" s="11" t="s">
        <v>28</v>
      </c>
      <c r="L10182" s="11" t="s">
        <v>28</v>
      </c>
      <c r="M10182" s="11" t="s">
        <v>28</v>
      </c>
      <c r="N10182" s="8">
        <v>41943</v>
      </c>
      <c r="O10182" s="9" t="s">
        <v>79</v>
      </c>
      <c r="P10182" s="12" t="s">
        <v>28892</v>
      </c>
      <c r="Q10182" s="9" t="s">
        <v>119</v>
      </c>
      <c r="R10182" s="14" t="str">
        <f>HYPERLINK("https://my.pitchbook.com?c=38968-30T","View Company Online")</f>
        <v>View Company Online</v>
      </c>
    </row>
    <row r="10183" spans="1:18" hidden="1" x14ac:dyDescent="0.3">
      <c r="A10183" s="15" t="s">
        <v>28893</v>
      </c>
      <c r="B10183" s="15" t="s">
        <v>10279</v>
      </c>
      <c r="C10183" s="18" t="s">
        <v>28</v>
      </c>
      <c r="D10183" s="15" t="s">
        <v>18134</v>
      </c>
      <c r="E10183" s="18">
        <v>25.18</v>
      </c>
      <c r="F10183" s="19" t="s">
        <v>28</v>
      </c>
      <c r="G10183" s="19" t="s">
        <v>28</v>
      </c>
      <c r="H10183" s="19" t="s">
        <v>28</v>
      </c>
      <c r="I10183" s="18">
        <v>41.01</v>
      </c>
      <c r="J10183" s="18" t="s">
        <v>28</v>
      </c>
      <c r="K10183" s="18">
        <v>151.22</v>
      </c>
      <c r="L10183" s="18" t="s">
        <v>28</v>
      </c>
      <c r="M10183" s="18">
        <v>30.67</v>
      </c>
      <c r="N10183" s="17">
        <v>41942</v>
      </c>
      <c r="O10183" s="15" t="s">
        <v>159</v>
      </c>
      <c r="P10183" s="16" t="s">
        <v>28894</v>
      </c>
      <c r="Q10183" s="15" t="s">
        <v>75</v>
      </c>
      <c r="R10183" s="13" t="str">
        <f>HYPERLINK("https://my.pitchbook.com?c=72805-24T","View Company Online")</f>
        <v>View Company Online</v>
      </c>
    </row>
    <row r="10184" spans="1:18" hidden="1" x14ac:dyDescent="0.3">
      <c r="A10184" s="9" t="s">
        <v>28895</v>
      </c>
      <c r="B10184" s="9" t="s">
        <v>28896</v>
      </c>
      <c r="C10184" s="11" t="s">
        <v>28</v>
      </c>
      <c r="D10184" s="9" t="s">
        <v>28897</v>
      </c>
      <c r="E10184" s="11" t="s">
        <v>28</v>
      </c>
      <c r="F10184" s="10" t="s">
        <v>28</v>
      </c>
      <c r="G10184" s="10" t="s">
        <v>28</v>
      </c>
      <c r="H10184" s="10" t="s">
        <v>28</v>
      </c>
      <c r="I10184" s="11" t="s">
        <v>28</v>
      </c>
      <c r="J10184" s="11" t="s">
        <v>28</v>
      </c>
      <c r="K10184" s="11" t="s">
        <v>28</v>
      </c>
      <c r="L10184" s="11" t="s">
        <v>28</v>
      </c>
      <c r="M10184" s="11" t="s">
        <v>28</v>
      </c>
      <c r="N10184" s="8">
        <v>41939</v>
      </c>
      <c r="O10184" s="9" t="s">
        <v>30</v>
      </c>
      <c r="P10184" s="12" t="s">
        <v>28898</v>
      </c>
      <c r="Q10184" s="9" t="s">
        <v>54</v>
      </c>
      <c r="R10184" s="14" t="str">
        <f>HYPERLINK("https://my.pitchbook.com?c=112456-99T","View Company Online")</f>
        <v>View Company Online</v>
      </c>
    </row>
    <row r="10185" spans="1:18" hidden="1" x14ac:dyDescent="0.3">
      <c r="A10185" s="15" t="s">
        <v>28899</v>
      </c>
      <c r="B10185" s="15" t="s">
        <v>28900</v>
      </c>
      <c r="C10185" s="18" t="s">
        <v>28</v>
      </c>
      <c r="D10185" s="15" t="s">
        <v>28901</v>
      </c>
      <c r="E10185" s="18" t="s">
        <v>28</v>
      </c>
      <c r="F10185" s="19" t="s">
        <v>28</v>
      </c>
      <c r="G10185" s="19" t="s">
        <v>28</v>
      </c>
      <c r="H10185" s="19" t="s">
        <v>28</v>
      </c>
      <c r="I10185" s="18" t="s">
        <v>28</v>
      </c>
      <c r="J10185" s="18" t="s">
        <v>28</v>
      </c>
      <c r="K10185" s="18" t="s">
        <v>28</v>
      </c>
      <c r="L10185" s="18" t="s">
        <v>28</v>
      </c>
      <c r="M10185" s="18" t="s">
        <v>28</v>
      </c>
      <c r="N10185" s="17">
        <v>41939</v>
      </c>
      <c r="O10185" s="15" t="s">
        <v>30</v>
      </c>
      <c r="P10185" s="16" t="s">
        <v>28902</v>
      </c>
      <c r="Q10185" s="15" t="s">
        <v>136</v>
      </c>
      <c r="R10185" s="13" t="str">
        <f>HYPERLINK("https://my.pitchbook.com?c=70657-66T","View Company Online")</f>
        <v>View Company Online</v>
      </c>
    </row>
    <row r="10186" spans="1:18" hidden="1" x14ac:dyDescent="0.3">
      <c r="A10186" s="9" t="s">
        <v>28903</v>
      </c>
      <c r="B10186" s="9" t="s">
        <v>28904</v>
      </c>
      <c r="C10186" s="11" t="s">
        <v>28</v>
      </c>
      <c r="D10186" s="9" t="s">
        <v>28905</v>
      </c>
      <c r="E10186" s="11" t="s">
        <v>28</v>
      </c>
      <c r="F10186" s="10" t="s">
        <v>28</v>
      </c>
      <c r="G10186" s="10" t="s">
        <v>28</v>
      </c>
      <c r="H10186" s="10" t="s">
        <v>28</v>
      </c>
      <c r="I10186" s="11" t="s">
        <v>28</v>
      </c>
      <c r="J10186" s="11" t="s">
        <v>28</v>
      </c>
      <c r="K10186" s="11" t="s">
        <v>28</v>
      </c>
      <c r="L10186" s="11" t="s">
        <v>28</v>
      </c>
      <c r="M10186" s="11" t="s">
        <v>28</v>
      </c>
      <c r="N10186" s="8">
        <v>41936</v>
      </c>
      <c r="O10186" s="9" t="s">
        <v>30</v>
      </c>
      <c r="P10186" s="12" t="s">
        <v>28</v>
      </c>
      <c r="Q10186" s="9" t="s">
        <v>7449</v>
      </c>
      <c r="R10186" s="14" t="str">
        <f>HYPERLINK("https://my.pitchbook.com?c=38766-88T","View Company Online")</f>
        <v>View Company Online</v>
      </c>
    </row>
    <row r="10187" spans="1:18" hidden="1" x14ac:dyDescent="0.3">
      <c r="A10187" s="15" t="s">
        <v>28906</v>
      </c>
      <c r="B10187" s="15" t="s">
        <v>28907</v>
      </c>
      <c r="C10187" s="18" t="s">
        <v>28</v>
      </c>
      <c r="D10187" s="15" t="s">
        <v>28908</v>
      </c>
      <c r="E10187" s="18" t="s">
        <v>28</v>
      </c>
      <c r="F10187" s="19">
        <v>5.4</v>
      </c>
      <c r="G10187" s="19">
        <v>5.4</v>
      </c>
      <c r="H10187" s="19">
        <v>5.4</v>
      </c>
      <c r="I10187" s="18" t="s">
        <v>28</v>
      </c>
      <c r="J10187" s="18" t="s">
        <v>28</v>
      </c>
      <c r="K10187" s="18" t="s">
        <v>28</v>
      </c>
      <c r="L10187" s="18" t="s">
        <v>28</v>
      </c>
      <c r="M10187" s="18" t="s">
        <v>28</v>
      </c>
      <c r="N10187" s="17">
        <v>41936</v>
      </c>
      <c r="O10187" s="15" t="s">
        <v>30</v>
      </c>
      <c r="P10187" s="16" t="s">
        <v>28909</v>
      </c>
      <c r="Q10187" s="15" t="s">
        <v>43</v>
      </c>
      <c r="R10187" s="13" t="str">
        <f>HYPERLINK("https://my.pitchbook.com?c=89467-93T","View Company Online")</f>
        <v>View Company Online</v>
      </c>
    </row>
    <row r="10188" spans="1:18" hidden="1" x14ac:dyDescent="0.3">
      <c r="A10188" s="9" t="s">
        <v>28910</v>
      </c>
      <c r="B10188" s="9" t="s">
        <v>28911</v>
      </c>
      <c r="C10188" s="11" t="s">
        <v>28</v>
      </c>
      <c r="D10188" s="9" t="s">
        <v>28912</v>
      </c>
      <c r="E10188" s="11" t="s">
        <v>28</v>
      </c>
      <c r="F10188" s="10">
        <v>27.26</v>
      </c>
      <c r="G10188" s="10">
        <v>27.26</v>
      </c>
      <c r="H10188" s="10">
        <v>27.26</v>
      </c>
      <c r="I10188" s="11" t="s">
        <v>28</v>
      </c>
      <c r="J10188" s="11" t="s">
        <v>28</v>
      </c>
      <c r="K10188" s="11" t="s">
        <v>28</v>
      </c>
      <c r="L10188" s="11" t="s">
        <v>28</v>
      </c>
      <c r="M10188" s="11" t="s">
        <v>28</v>
      </c>
      <c r="N10188" s="8">
        <v>41936</v>
      </c>
      <c r="O10188" s="9" t="s">
        <v>30</v>
      </c>
      <c r="P10188" s="12" t="s">
        <v>16459</v>
      </c>
      <c r="Q10188" s="9" t="s">
        <v>43</v>
      </c>
      <c r="R10188" s="14" t="str">
        <f>HYPERLINK("https://my.pitchbook.com?c=89553-79T","View Company Online")</f>
        <v>View Company Online</v>
      </c>
    </row>
    <row r="10189" spans="1:18" hidden="1" x14ac:dyDescent="0.3">
      <c r="A10189" s="15" t="s">
        <v>28913</v>
      </c>
      <c r="B10189" s="15" t="s">
        <v>28914</v>
      </c>
      <c r="C10189" s="18" t="s">
        <v>28</v>
      </c>
      <c r="D10189" s="15" t="s">
        <v>28915</v>
      </c>
      <c r="E10189" s="18" t="s">
        <v>28</v>
      </c>
      <c r="F10189" s="19" t="s">
        <v>28</v>
      </c>
      <c r="G10189" s="19" t="s">
        <v>28</v>
      </c>
      <c r="H10189" s="19" t="s">
        <v>28</v>
      </c>
      <c r="I10189" s="18" t="s">
        <v>28</v>
      </c>
      <c r="J10189" s="18" t="s">
        <v>28</v>
      </c>
      <c r="K10189" s="18" t="s">
        <v>28</v>
      </c>
      <c r="L10189" s="18" t="s">
        <v>28</v>
      </c>
      <c r="M10189" s="18" t="s">
        <v>28</v>
      </c>
      <c r="N10189" s="17">
        <v>41935</v>
      </c>
      <c r="O10189" s="15" t="s">
        <v>30</v>
      </c>
      <c r="P10189" s="16" t="s">
        <v>28916</v>
      </c>
      <c r="Q10189" s="15" t="s">
        <v>95</v>
      </c>
      <c r="R10189" s="13" t="str">
        <f>HYPERLINK("https://my.pitchbook.com?c=38683-99T","View Company Online")</f>
        <v>View Company Online</v>
      </c>
    </row>
    <row r="10190" spans="1:18" hidden="1" x14ac:dyDescent="0.3">
      <c r="A10190" s="9" t="s">
        <v>28917</v>
      </c>
      <c r="B10190" s="9" t="s">
        <v>2294</v>
      </c>
      <c r="C10190" s="11" t="s">
        <v>28</v>
      </c>
      <c r="D10190" s="9" t="s">
        <v>2295</v>
      </c>
      <c r="E10190" s="11" t="s">
        <v>28</v>
      </c>
      <c r="F10190" s="10" t="s">
        <v>28</v>
      </c>
      <c r="G10190" s="10" t="s">
        <v>28</v>
      </c>
      <c r="H10190" s="10" t="s">
        <v>28</v>
      </c>
      <c r="I10190" s="11" t="s">
        <v>28</v>
      </c>
      <c r="J10190" s="11" t="s">
        <v>28</v>
      </c>
      <c r="K10190" s="11" t="s">
        <v>28</v>
      </c>
      <c r="L10190" s="11" t="s">
        <v>28</v>
      </c>
      <c r="M10190" s="11" t="s">
        <v>28</v>
      </c>
      <c r="N10190" s="8">
        <v>41935</v>
      </c>
      <c r="O10190" s="9" t="s">
        <v>41</v>
      </c>
      <c r="P10190" s="12" t="s">
        <v>28918</v>
      </c>
      <c r="Q10190" s="9" t="s">
        <v>32</v>
      </c>
      <c r="R10190" s="14" t="str">
        <f>HYPERLINK("https://my.pitchbook.com?c=38722-24T","View Company Online")</f>
        <v>View Company Online</v>
      </c>
    </row>
    <row r="10191" spans="1:18" hidden="1" x14ac:dyDescent="0.3">
      <c r="A10191" s="15" t="s">
        <v>28919</v>
      </c>
      <c r="B10191" s="15" t="s">
        <v>28920</v>
      </c>
      <c r="C10191" s="18" t="s">
        <v>28</v>
      </c>
      <c r="D10191" s="15" t="s">
        <v>28921</v>
      </c>
      <c r="E10191" s="18" t="s">
        <v>28</v>
      </c>
      <c r="F10191" s="19" t="s">
        <v>28</v>
      </c>
      <c r="G10191" s="19" t="s">
        <v>28</v>
      </c>
      <c r="H10191" s="19" t="s">
        <v>28</v>
      </c>
      <c r="I10191" s="18" t="s">
        <v>28</v>
      </c>
      <c r="J10191" s="18" t="s">
        <v>28</v>
      </c>
      <c r="K10191" s="18" t="s">
        <v>28</v>
      </c>
      <c r="L10191" s="18" t="s">
        <v>28</v>
      </c>
      <c r="M10191" s="18" t="s">
        <v>28</v>
      </c>
      <c r="N10191" s="17">
        <v>41935</v>
      </c>
      <c r="O10191" s="15" t="s">
        <v>30</v>
      </c>
      <c r="P10191" s="16" t="s">
        <v>28922</v>
      </c>
      <c r="Q10191" s="15" t="s">
        <v>566</v>
      </c>
      <c r="R10191" s="13" t="str">
        <f>HYPERLINK("https://my.pitchbook.com?c=38684-71T","View Company Online")</f>
        <v>View Company Online</v>
      </c>
    </row>
    <row r="10192" spans="1:18" hidden="1" x14ac:dyDescent="0.3">
      <c r="A10192" s="9" t="s">
        <v>28923</v>
      </c>
      <c r="B10192" s="9" t="s">
        <v>28924</v>
      </c>
      <c r="C10192" s="11" t="s">
        <v>28</v>
      </c>
      <c r="D10192" s="9" t="s">
        <v>28925</v>
      </c>
      <c r="E10192" s="11" t="s">
        <v>28</v>
      </c>
      <c r="F10192" s="10" t="s">
        <v>28</v>
      </c>
      <c r="G10192" s="10">
        <v>82.08</v>
      </c>
      <c r="H10192" s="10">
        <v>578.01</v>
      </c>
      <c r="I10192" s="11" t="s">
        <v>28</v>
      </c>
      <c r="J10192" s="11" t="s">
        <v>28</v>
      </c>
      <c r="K10192" s="11" t="s">
        <v>28</v>
      </c>
      <c r="L10192" s="11" t="s">
        <v>28</v>
      </c>
      <c r="M10192" s="11" t="s">
        <v>28</v>
      </c>
      <c r="N10192" s="8">
        <v>41934</v>
      </c>
      <c r="O10192" s="9" t="s">
        <v>93</v>
      </c>
      <c r="P10192" s="12" t="s">
        <v>28926</v>
      </c>
      <c r="Q10192" s="9" t="s">
        <v>5347</v>
      </c>
      <c r="R10192" s="14" t="str">
        <f>HYPERLINK("https://my.pitchbook.com?c=38948-68T","View Company Online")</f>
        <v>View Company Online</v>
      </c>
    </row>
    <row r="10193" spans="1:18" hidden="1" x14ac:dyDescent="0.3">
      <c r="A10193" s="15" t="s">
        <v>28927</v>
      </c>
      <c r="B10193" s="15" t="s">
        <v>15824</v>
      </c>
      <c r="C10193" s="18" t="s">
        <v>28</v>
      </c>
      <c r="D10193" s="15" t="s">
        <v>15825</v>
      </c>
      <c r="E10193" s="18" t="s">
        <v>28</v>
      </c>
      <c r="F10193" s="19" t="s">
        <v>28</v>
      </c>
      <c r="G10193" s="19" t="s">
        <v>28</v>
      </c>
      <c r="H10193" s="19" t="s">
        <v>28</v>
      </c>
      <c r="I10193" s="18" t="s">
        <v>28</v>
      </c>
      <c r="J10193" s="18" t="s">
        <v>28</v>
      </c>
      <c r="K10193" s="18">
        <v>75</v>
      </c>
      <c r="L10193" s="18" t="s">
        <v>28</v>
      </c>
      <c r="M10193" s="18" t="s">
        <v>28</v>
      </c>
      <c r="N10193" s="17">
        <v>41933</v>
      </c>
      <c r="O10193" s="15" t="s">
        <v>47</v>
      </c>
      <c r="P10193" s="16" t="s">
        <v>12516</v>
      </c>
      <c r="Q10193" s="15" t="s">
        <v>75</v>
      </c>
      <c r="R10193" s="13" t="str">
        <f>HYPERLINK("https://my.pitchbook.com?c=113177-53T","View Company Online")</f>
        <v>View Company Online</v>
      </c>
    </row>
    <row r="10194" spans="1:18" hidden="1" x14ac:dyDescent="0.3">
      <c r="A10194" s="9" t="s">
        <v>28928</v>
      </c>
      <c r="B10194" s="9" t="s">
        <v>28929</v>
      </c>
      <c r="C10194" s="11" t="s">
        <v>28</v>
      </c>
      <c r="D10194" s="9" t="s">
        <v>28930</v>
      </c>
      <c r="E10194" s="11">
        <v>25.6</v>
      </c>
      <c r="F10194" s="10" t="s">
        <v>28</v>
      </c>
      <c r="G10194" s="10">
        <v>171.82</v>
      </c>
      <c r="H10194" s="10" t="s">
        <v>28</v>
      </c>
      <c r="I10194" s="11">
        <v>30.4</v>
      </c>
      <c r="J10194" s="11" t="s">
        <v>28</v>
      </c>
      <c r="K10194" s="11">
        <v>139.02000000000001</v>
      </c>
      <c r="L10194" s="11" t="s">
        <v>28</v>
      </c>
      <c r="M10194" s="11">
        <v>16.02</v>
      </c>
      <c r="N10194" s="8">
        <v>41933</v>
      </c>
      <c r="O10194" s="9" t="s">
        <v>173</v>
      </c>
      <c r="P10194" s="12" t="s">
        <v>28931</v>
      </c>
      <c r="Q10194" s="9" t="s">
        <v>616</v>
      </c>
      <c r="R10194" s="14" t="str">
        <f>HYPERLINK("https://my.pitchbook.com?c=38077-39T","View Company Online")</f>
        <v>View Company Online</v>
      </c>
    </row>
    <row r="10195" spans="1:18" hidden="1" x14ac:dyDescent="0.3">
      <c r="A10195" s="15" t="s">
        <v>28932</v>
      </c>
      <c r="B10195" s="15" t="s">
        <v>28933</v>
      </c>
      <c r="C10195" s="18" t="s">
        <v>28</v>
      </c>
      <c r="D10195" s="15" t="s">
        <v>28934</v>
      </c>
      <c r="E10195" s="18" t="s">
        <v>28</v>
      </c>
      <c r="F10195" s="19">
        <v>6.61</v>
      </c>
      <c r="G10195" s="19">
        <v>6.61</v>
      </c>
      <c r="H10195" s="19">
        <v>6.61</v>
      </c>
      <c r="I10195" s="18" t="s">
        <v>28</v>
      </c>
      <c r="J10195" s="18" t="s">
        <v>28</v>
      </c>
      <c r="K10195" s="18" t="s">
        <v>28</v>
      </c>
      <c r="L10195" s="18" t="s">
        <v>28</v>
      </c>
      <c r="M10195" s="18" t="s">
        <v>28</v>
      </c>
      <c r="N10195" s="17">
        <v>41932</v>
      </c>
      <c r="O10195" s="15" t="s">
        <v>30</v>
      </c>
      <c r="P10195" s="16" t="s">
        <v>28</v>
      </c>
      <c r="Q10195" s="15" t="s">
        <v>54</v>
      </c>
      <c r="R10195" s="13" t="str">
        <f>HYPERLINK("https://my.pitchbook.com?c=38596-42T","View Company Online")</f>
        <v>View Company Online</v>
      </c>
    </row>
    <row r="10196" spans="1:18" hidden="1" x14ac:dyDescent="0.3">
      <c r="A10196" s="9" t="s">
        <v>28935</v>
      </c>
      <c r="B10196" s="9" t="s">
        <v>28936</v>
      </c>
      <c r="C10196" s="11" t="s">
        <v>28</v>
      </c>
      <c r="D10196" s="9" t="s">
        <v>28937</v>
      </c>
      <c r="E10196" s="11" t="s">
        <v>28</v>
      </c>
      <c r="F10196" s="10" t="s">
        <v>28</v>
      </c>
      <c r="G10196" s="10" t="s">
        <v>28</v>
      </c>
      <c r="H10196" s="10" t="s">
        <v>28</v>
      </c>
      <c r="I10196" s="11" t="s">
        <v>28</v>
      </c>
      <c r="J10196" s="11" t="s">
        <v>28</v>
      </c>
      <c r="K10196" s="11" t="s">
        <v>28</v>
      </c>
      <c r="L10196" s="11" t="s">
        <v>28</v>
      </c>
      <c r="M10196" s="11" t="s">
        <v>28</v>
      </c>
      <c r="N10196" s="8">
        <v>41932</v>
      </c>
      <c r="O10196" s="9" t="s">
        <v>173</v>
      </c>
      <c r="P10196" s="12" t="s">
        <v>28</v>
      </c>
      <c r="Q10196" s="9" t="s">
        <v>174</v>
      </c>
      <c r="R10196" s="14" t="str">
        <f>HYPERLINK("https://my.pitchbook.com?c=226878-40T","View Company Online")</f>
        <v>View Company Online</v>
      </c>
    </row>
    <row r="10197" spans="1:18" hidden="1" x14ac:dyDescent="0.3">
      <c r="A10197" s="15" t="s">
        <v>28938</v>
      </c>
      <c r="B10197" s="15" t="s">
        <v>28939</v>
      </c>
      <c r="C10197" s="18" t="s">
        <v>28</v>
      </c>
      <c r="D10197" s="15" t="s">
        <v>28940</v>
      </c>
      <c r="E10197" s="18" t="s">
        <v>28</v>
      </c>
      <c r="F10197" s="19" t="s">
        <v>28</v>
      </c>
      <c r="G10197" s="19" t="s">
        <v>28</v>
      </c>
      <c r="H10197" s="19" t="s">
        <v>28</v>
      </c>
      <c r="I10197" s="18" t="s">
        <v>28</v>
      </c>
      <c r="J10197" s="18" t="s">
        <v>28</v>
      </c>
      <c r="K10197" s="18" t="s">
        <v>28</v>
      </c>
      <c r="L10197" s="18" t="s">
        <v>28</v>
      </c>
      <c r="M10197" s="18" t="s">
        <v>28</v>
      </c>
      <c r="N10197" s="17">
        <v>41927</v>
      </c>
      <c r="O10197" s="15" t="s">
        <v>379</v>
      </c>
      <c r="P10197" s="16" t="s">
        <v>28941</v>
      </c>
      <c r="Q10197" s="15" t="s">
        <v>419</v>
      </c>
      <c r="R10197" s="13" t="str">
        <f>HYPERLINK("https://my.pitchbook.com?c=55421-65T","View Company Online")</f>
        <v>View Company Online</v>
      </c>
    </row>
    <row r="10198" spans="1:18" hidden="1" x14ac:dyDescent="0.3">
      <c r="A10198" s="9" t="s">
        <v>28942</v>
      </c>
      <c r="B10198" s="9" t="s">
        <v>25168</v>
      </c>
      <c r="C10198" s="11" t="s">
        <v>28</v>
      </c>
      <c r="D10198" s="9" t="s">
        <v>25169</v>
      </c>
      <c r="E10198" s="11" t="s">
        <v>28</v>
      </c>
      <c r="F10198" s="10" t="s">
        <v>28</v>
      </c>
      <c r="G10198" s="10" t="s">
        <v>28</v>
      </c>
      <c r="H10198" s="10" t="s">
        <v>28</v>
      </c>
      <c r="I10198" s="11" t="s">
        <v>28</v>
      </c>
      <c r="J10198" s="11" t="s">
        <v>28</v>
      </c>
      <c r="K10198" s="11" t="s">
        <v>28</v>
      </c>
      <c r="L10198" s="11" t="s">
        <v>28</v>
      </c>
      <c r="M10198" s="11" t="s">
        <v>28</v>
      </c>
      <c r="N10198" s="8">
        <v>41927</v>
      </c>
      <c r="O10198" s="9" t="s">
        <v>99</v>
      </c>
      <c r="P10198" s="12" t="s">
        <v>3430</v>
      </c>
      <c r="Q10198" s="9" t="s">
        <v>75</v>
      </c>
      <c r="R10198" s="14" t="str">
        <f>HYPERLINK("https://my.pitchbook.com?c=212273-47T","View Company Online")</f>
        <v>View Company Online</v>
      </c>
    </row>
    <row r="10199" spans="1:18" hidden="1" x14ac:dyDescent="0.3">
      <c r="A10199" s="15" t="s">
        <v>28943</v>
      </c>
      <c r="B10199" s="15" t="s">
        <v>28944</v>
      </c>
      <c r="C10199" s="18" t="s">
        <v>28</v>
      </c>
      <c r="D10199" s="15" t="s">
        <v>28945</v>
      </c>
      <c r="E10199" s="18" t="s">
        <v>28</v>
      </c>
      <c r="F10199" s="19" t="s">
        <v>28</v>
      </c>
      <c r="G10199" s="19" t="s">
        <v>28</v>
      </c>
      <c r="H10199" s="19" t="s">
        <v>28</v>
      </c>
      <c r="I10199" s="18" t="s">
        <v>28</v>
      </c>
      <c r="J10199" s="18" t="s">
        <v>28</v>
      </c>
      <c r="K10199" s="18" t="s">
        <v>28</v>
      </c>
      <c r="L10199" s="18" t="s">
        <v>28</v>
      </c>
      <c r="M10199" s="18" t="s">
        <v>28</v>
      </c>
      <c r="N10199" s="17">
        <v>41926</v>
      </c>
      <c r="O10199" s="15" t="s">
        <v>30</v>
      </c>
      <c r="P10199" s="16" t="s">
        <v>28946</v>
      </c>
      <c r="Q10199" s="15" t="s">
        <v>740</v>
      </c>
      <c r="R10199" s="13" t="str">
        <f>HYPERLINK("https://my.pitchbook.com?c=38338-57T","View Company Online")</f>
        <v>View Company Online</v>
      </c>
    </row>
    <row r="10200" spans="1:18" hidden="1" x14ac:dyDescent="0.3">
      <c r="A10200" s="9" t="s">
        <v>28947</v>
      </c>
      <c r="B10200" s="9" t="s">
        <v>28948</v>
      </c>
      <c r="C10200" s="11" t="s">
        <v>28</v>
      </c>
      <c r="D10200" s="9" t="s">
        <v>28949</v>
      </c>
      <c r="E10200" s="11" t="s">
        <v>28</v>
      </c>
      <c r="F10200" s="10" t="s">
        <v>28</v>
      </c>
      <c r="G10200" s="10">
        <v>0.08</v>
      </c>
      <c r="H10200" s="10" t="s">
        <v>28</v>
      </c>
      <c r="I10200" s="11" t="s">
        <v>28</v>
      </c>
      <c r="J10200" s="11" t="s">
        <v>28</v>
      </c>
      <c r="K10200" s="11" t="s">
        <v>28</v>
      </c>
      <c r="L10200" s="11" t="s">
        <v>28</v>
      </c>
      <c r="M10200" s="11" t="s">
        <v>28</v>
      </c>
      <c r="N10200" s="8">
        <v>41926</v>
      </c>
      <c r="O10200" s="9" t="s">
        <v>52</v>
      </c>
      <c r="P10200" s="12" t="s">
        <v>28950</v>
      </c>
      <c r="Q10200" s="9" t="s">
        <v>3912</v>
      </c>
      <c r="R10200" s="14" t="str">
        <f>HYPERLINK("https://my.pitchbook.com?c=39229-12T","View Company Online")</f>
        <v>View Company Online</v>
      </c>
    </row>
    <row r="10201" spans="1:18" hidden="1" x14ac:dyDescent="0.3">
      <c r="A10201" s="15" t="s">
        <v>28951</v>
      </c>
      <c r="B10201" s="15" t="s">
        <v>28952</v>
      </c>
      <c r="C10201" s="18" t="s">
        <v>28</v>
      </c>
      <c r="D10201" s="15" t="s">
        <v>28953</v>
      </c>
      <c r="E10201" s="18" t="s">
        <v>28</v>
      </c>
      <c r="F10201" s="19" t="s">
        <v>28</v>
      </c>
      <c r="G10201" s="19" t="s">
        <v>28</v>
      </c>
      <c r="H10201" s="19" t="s">
        <v>28</v>
      </c>
      <c r="I10201" s="18" t="s">
        <v>28</v>
      </c>
      <c r="J10201" s="18" t="s">
        <v>28</v>
      </c>
      <c r="K10201" s="18" t="s">
        <v>28</v>
      </c>
      <c r="L10201" s="18" t="s">
        <v>28</v>
      </c>
      <c r="M10201" s="18" t="s">
        <v>28</v>
      </c>
      <c r="N10201" s="17">
        <v>41925</v>
      </c>
      <c r="O10201" s="15" t="s">
        <v>52</v>
      </c>
      <c r="P10201" s="16" t="s">
        <v>221</v>
      </c>
      <c r="Q10201" s="15" t="s">
        <v>95</v>
      </c>
      <c r="R10201" s="13" t="str">
        <f>HYPERLINK("https://my.pitchbook.com?c=134868-88T","View Company Online")</f>
        <v>View Company Online</v>
      </c>
    </row>
    <row r="10202" spans="1:18" hidden="1" x14ac:dyDescent="0.3">
      <c r="A10202" s="9" t="s">
        <v>28954</v>
      </c>
      <c r="B10202" s="9" t="s">
        <v>28955</v>
      </c>
      <c r="C10202" s="11" t="s">
        <v>28</v>
      </c>
      <c r="D10202" s="9" t="s">
        <v>28956</v>
      </c>
      <c r="E10202" s="11" t="s">
        <v>28</v>
      </c>
      <c r="F10202" s="10">
        <v>0.88</v>
      </c>
      <c r="G10202" s="10">
        <v>0.88</v>
      </c>
      <c r="H10202" s="10">
        <v>0.88</v>
      </c>
      <c r="I10202" s="11" t="s">
        <v>28</v>
      </c>
      <c r="J10202" s="11" t="s">
        <v>28</v>
      </c>
      <c r="K10202" s="11" t="s">
        <v>28</v>
      </c>
      <c r="L10202" s="11" t="s">
        <v>28</v>
      </c>
      <c r="M10202" s="11" t="s">
        <v>28</v>
      </c>
      <c r="N10202" s="8">
        <v>41921</v>
      </c>
      <c r="O10202" s="9" t="s">
        <v>30</v>
      </c>
      <c r="P10202" s="12" t="s">
        <v>16459</v>
      </c>
      <c r="Q10202" s="9" t="s">
        <v>43</v>
      </c>
      <c r="R10202" s="14" t="str">
        <f>HYPERLINK("https://my.pitchbook.com?c=257806-36T","View Company Online")</f>
        <v>View Company Online</v>
      </c>
    </row>
    <row r="10203" spans="1:18" hidden="1" x14ac:dyDescent="0.3">
      <c r="A10203" s="15" t="s">
        <v>28957</v>
      </c>
      <c r="B10203" s="15" t="s">
        <v>18971</v>
      </c>
      <c r="C10203" s="18" t="s">
        <v>28</v>
      </c>
      <c r="D10203" s="15" t="s">
        <v>23891</v>
      </c>
      <c r="E10203" s="18" t="s">
        <v>28</v>
      </c>
      <c r="F10203" s="19" t="s">
        <v>28</v>
      </c>
      <c r="G10203" s="19" t="s">
        <v>28</v>
      </c>
      <c r="H10203" s="19" t="s">
        <v>28</v>
      </c>
      <c r="I10203" s="18" t="s">
        <v>28</v>
      </c>
      <c r="J10203" s="18" t="s">
        <v>28</v>
      </c>
      <c r="K10203" s="18" t="s">
        <v>28</v>
      </c>
      <c r="L10203" s="18" t="s">
        <v>28</v>
      </c>
      <c r="M10203" s="18" t="s">
        <v>28</v>
      </c>
      <c r="N10203" s="17">
        <v>41921</v>
      </c>
      <c r="O10203" s="15" t="s">
        <v>30</v>
      </c>
      <c r="P10203" s="16" t="s">
        <v>28958</v>
      </c>
      <c r="Q10203" s="15" t="s">
        <v>386</v>
      </c>
      <c r="R10203" s="13" t="str">
        <f>HYPERLINK("https://my.pitchbook.com?c=44501-59T","View Company Online")</f>
        <v>View Company Online</v>
      </c>
    </row>
    <row r="10204" spans="1:18" hidden="1" x14ac:dyDescent="0.3">
      <c r="A10204" s="9" t="s">
        <v>28959</v>
      </c>
      <c r="B10204" s="9" t="s">
        <v>28960</v>
      </c>
      <c r="C10204" s="11" t="s">
        <v>28</v>
      </c>
      <c r="D10204" s="9" t="s">
        <v>28961</v>
      </c>
      <c r="E10204" s="11" t="s">
        <v>28</v>
      </c>
      <c r="F10204" s="10" t="s">
        <v>28</v>
      </c>
      <c r="G10204" s="10">
        <v>0.03</v>
      </c>
      <c r="H10204" s="10" t="s">
        <v>28</v>
      </c>
      <c r="I10204" s="11" t="s">
        <v>28</v>
      </c>
      <c r="J10204" s="11" t="s">
        <v>28</v>
      </c>
      <c r="K10204" s="11" t="s">
        <v>28</v>
      </c>
      <c r="L10204" s="11" t="s">
        <v>28</v>
      </c>
      <c r="M10204" s="11" t="s">
        <v>28</v>
      </c>
      <c r="N10204" s="8">
        <v>41920</v>
      </c>
      <c r="O10204" s="9" t="s">
        <v>99</v>
      </c>
      <c r="P10204" s="12" t="s">
        <v>28962</v>
      </c>
      <c r="Q10204" s="9" t="s">
        <v>245</v>
      </c>
      <c r="R10204" s="14" t="str">
        <f>HYPERLINK("https://my.pitchbook.com?c=78197-77T","View Company Online")</f>
        <v>View Company Online</v>
      </c>
    </row>
    <row r="10205" spans="1:18" hidden="1" x14ac:dyDescent="0.3">
      <c r="A10205" s="15" t="s">
        <v>28963</v>
      </c>
      <c r="B10205" s="15" t="s">
        <v>28964</v>
      </c>
      <c r="C10205" s="18" t="s">
        <v>28</v>
      </c>
      <c r="D10205" s="15" t="s">
        <v>28965</v>
      </c>
      <c r="E10205" s="18" t="s">
        <v>28</v>
      </c>
      <c r="F10205" s="19" t="s">
        <v>28</v>
      </c>
      <c r="G10205" s="19">
        <v>0.04</v>
      </c>
      <c r="H10205" s="19">
        <v>0.28000000000000003</v>
      </c>
      <c r="I10205" s="18" t="s">
        <v>28</v>
      </c>
      <c r="J10205" s="18" t="s">
        <v>28</v>
      </c>
      <c r="K10205" s="18" t="s">
        <v>28</v>
      </c>
      <c r="L10205" s="18" t="s">
        <v>28</v>
      </c>
      <c r="M10205" s="18" t="s">
        <v>28</v>
      </c>
      <c r="N10205" s="17">
        <v>41920</v>
      </c>
      <c r="O10205" s="15" t="s">
        <v>52</v>
      </c>
      <c r="P10205" s="16" t="s">
        <v>11539</v>
      </c>
      <c r="Q10205" s="15" t="s">
        <v>245</v>
      </c>
      <c r="R10205" s="13" t="str">
        <f>HYPERLINK("https://my.pitchbook.com?c=66656-71T","View Company Online")</f>
        <v>View Company Online</v>
      </c>
    </row>
    <row r="10206" spans="1:18" hidden="1" x14ac:dyDescent="0.3">
      <c r="A10206" s="9" t="s">
        <v>28966</v>
      </c>
      <c r="B10206" s="9" t="s">
        <v>28967</v>
      </c>
      <c r="C10206" s="11" t="s">
        <v>28</v>
      </c>
      <c r="D10206" s="9" t="s">
        <v>28968</v>
      </c>
      <c r="E10206" s="11" t="s">
        <v>28</v>
      </c>
      <c r="F10206" s="10" t="s">
        <v>28</v>
      </c>
      <c r="G10206" s="10" t="s">
        <v>28</v>
      </c>
      <c r="H10206" s="10" t="s">
        <v>28</v>
      </c>
      <c r="I10206" s="11" t="s">
        <v>28</v>
      </c>
      <c r="J10206" s="11" t="s">
        <v>28</v>
      </c>
      <c r="K10206" s="11" t="s">
        <v>28</v>
      </c>
      <c r="L10206" s="11" t="s">
        <v>28</v>
      </c>
      <c r="M10206" s="11" t="s">
        <v>28</v>
      </c>
      <c r="N10206" s="8">
        <v>41919</v>
      </c>
      <c r="O10206" s="9" t="s">
        <v>41</v>
      </c>
      <c r="P10206" s="12" t="s">
        <v>28969</v>
      </c>
      <c r="Q10206" s="9" t="s">
        <v>22648</v>
      </c>
      <c r="R10206" s="14" t="str">
        <f>HYPERLINK("https://my.pitchbook.com?c=74159-29T","View Company Online")</f>
        <v>View Company Online</v>
      </c>
    </row>
    <row r="10207" spans="1:18" hidden="1" x14ac:dyDescent="0.3">
      <c r="A10207" s="15" t="s">
        <v>28970</v>
      </c>
      <c r="B10207" s="15" t="s">
        <v>28971</v>
      </c>
      <c r="C10207" s="18" t="s">
        <v>28</v>
      </c>
      <c r="D10207" s="15" t="s">
        <v>28972</v>
      </c>
      <c r="E10207" s="18" t="s">
        <v>28</v>
      </c>
      <c r="F10207" s="19" t="s">
        <v>28</v>
      </c>
      <c r="G10207" s="19" t="s">
        <v>28</v>
      </c>
      <c r="H10207" s="19" t="s">
        <v>28</v>
      </c>
      <c r="I10207" s="18" t="s">
        <v>28</v>
      </c>
      <c r="J10207" s="18" t="s">
        <v>28</v>
      </c>
      <c r="K10207" s="18" t="s">
        <v>28</v>
      </c>
      <c r="L10207" s="18" t="s">
        <v>28</v>
      </c>
      <c r="M10207" s="18" t="s">
        <v>28</v>
      </c>
      <c r="N10207" s="17">
        <v>41919</v>
      </c>
      <c r="O10207" s="15" t="s">
        <v>58</v>
      </c>
      <c r="P10207" s="16" t="s">
        <v>28973</v>
      </c>
      <c r="Q10207" s="15" t="s">
        <v>975</v>
      </c>
      <c r="R10207" s="13" t="str">
        <f>HYPERLINK("https://my.pitchbook.com?c=89685-91T","View Company Online")</f>
        <v>View Company Online</v>
      </c>
    </row>
    <row r="10208" spans="1:18" hidden="1" x14ac:dyDescent="0.3">
      <c r="A10208" s="9" t="s">
        <v>28974</v>
      </c>
      <c r="B10208" s="9" t="s">
        <v>5263</v>
      </c>
      <c r="C10208" s="11" t="s">
        <v>28</v>
      </c>
      <c r="D10208" s="9" t="s">
        <v>5264</v>
      </c>
      <c r="E10208" s="11" t="s">
        <v>28</v>
      </c>
      <c r="F10208" s="10" t="s">
        <v>28</v>
      </c>
      <c r="G10208" s="10">
        <v>11</v>
      </c>
      <c r="H10208" s="10" t="s">
        <v>28</v>
      </c>
      <c r="I10208" s="11" t="s">
        <v>28</v>
      </c>
      <c r="J10208" s="11" t="s">
        <v>28</v>
      </c>
      <c r="K10208" s="11" t="s">
        <v>28</v>
      </c>
      <c r="L10208" s="11" t="s">
        <v>28</v>
      </c>
      <c r="M10208" s="11" t="s">
        <v>28</v>
      </c>
      <c r="N10208" s="8">
        <v>41918</v>
      </c>
      <c r="O10208" s="9" t="s">
        <v>79</v>
      </c>
      <c r="P10208" s="12" t="s">
        <v>28975</v>
      </c>
      <c r="Q10208" s="9" t="s">
        <v>740</v>
      </c>
      <c r="R10208" s="14" t="str">
        <f>HYPERLINK("https://my.pitchbook.com?c=39030-31T","View Company Online")</f>
        <v>View Company Online</v>
      </c>
    </row>
    <row r="10209" spans="1:18" hidden="1" x14ac:dyDescent="0.3">
      <c r="A10209" s="15" t="s">
        <v>28976</v>
      </c>
      <c r="B10209" s="15" t="s">
        <v>28977</v>
      </c>
      <c r="C10209" s="18" t="s">
        <v>28</v>
      </c>
      <c r="D10209" s="15" t="s">
        <v>28978</v>
      </c>
      <c r="E10209" s="18" t="s">
        <v>28</v>
      </c>
      <c r="F10209" s="19" t="s">
        <v>28</v>
      </c>
      <c r="G10209" s="19">
        <v>25</v>
      </c>
      <c r="H10209" s="19" t="s">
        <v>28</v>
      </c>
      <c r="I10209" s="18" t="s">
        <v>28</v>
      </c>
      <c r="J10209" s="18" t="s">
        <v>28</v>
      </c>
      <c r="K10209" s="18" t="s">
        <v>28</v>
      </c>
      <c r="L10209" s="18" t="s">
        <v>28</v>
      </c>
      <c r="M10209" s="18" t="s">
        <v>28</v>
      </c>
      <c r="N10209" s="17">
        <v>41918</v>
      </c>
      <c r="O10209" s="15" t="s">
        <v>58</v>
      </c>
      <c r="P10209" s="16" t="s">
        <v>28979</v>
      </c>
      <c r="Q10209" s="15" t="s">
        <v>5760</v>
      </c>
      <c r="R10209" s="13" t="str">
        <f>HYPERLINK("https://my.pitchbook.com?c=38279-26T","View Company Online")</f>
        <v>View Company Online</v>
      </c>
    </row>
    <row r="10210" spans="1:18" hidden="1" x14ac:dyDescent="0.3">
      <c r="A10210" s="9" t="s">
        <v>28980</v>
      </c>
      <c r="B10210" s="9" t="s">
        <v>28981</v>
      </c>
      <c r="C10210" s="11" t="s">
        <v>28</v>
      </c>
      <c r="D10210" s="9" t="s">
        <v>28982</v>
      </c>
      <c r="E10210" s="11" t="s">
        <v>28</v>
      </c>
      <c r="F10210" s="10" t="s">
        <v>28</v>
      </c>
      <c r="G10210" s="10">
        <v>0.09</v>
      </c>
      <c r="H10210" s="10" t="s">
        <v>28</v>
      </c>
      <c r="I10210" s="11" t="s">
        <v>28</v>
      </c>
      <c r="J10210" s="11" t="s">
        <v>28</v>
      </c>
      <c r="K10210" s="11" t="s">
        <v>28</v>
      </c>
      <c r="L10210" s="11" t="s">
        <v>28</v>
      </c>
      <c r="M10210" s="11" t="s">
        <v>28</v>
      </c>
      <c r="N10210" s="8">
        <v>41916</v>
      </c>
      <c r="O10210" s="9" t="s">
        <v>99</v>
      </c>
      <c r="P10210" s="12" t="s">
        <v>28983</v>
      </c>
      <c r="Q10210" s="9" t="s">
        <v>95</v>
      </c>
      <c r="R10210" s="14" t="str">
        <f>HYPERLINK("https://my.pitchbook.com?c=57514-42T","View Company Online")</f>
        <v>View Company Online</v>
      </c>
    </row>
    <row r="10211" spans="1:18" hidden="1" x14ac:dyDescent="0.3">
      <c r="A10211" s="15" t="s">
        <v>28984</v>
      </c>
      <c r="B10211" s="15" t="s">
        <v>23325</v>
      </c>
      <c r="C10211" s="18" t="s">
        <v>28</v>
      </c>
      <c r="D10211" s="15" t="s">
        <v>23326</v>
      </c>
      <c r="E10211" s="18" t="s">
        <v>28</v>
      </c>
      <c r="F10211" s="19" t="s">
        <v>28</v>
      </c>
      <c r="G10211" s="19" t="s">
        <v>28</v>
      </c>
      <c r="H10211" s="19" t="s">
        <v>28</v>
      </c>
      <c r="I10211" s="18" t="s">
        <v>28</v>
      </c>
      <c r="J10211" s="18" t="s">
        <v>28</v>
      </c>
      <c r="K10211" s="18" t="s">
        <v>28</v>
      </c>
      <c r="L10211" s="18" t="s">
        <v>28</v>
      </c>
      <c r="M10211" s="18" t="s">
        <v>28</v>
      </c>
      <c r="N10211" s="17">
        <v>41915</v>
      </c>
      <c r="O10211" s="15" t="s">
        <v>52</v>
      </c>
      <c r="P10211" s="16" t="s">
        <v>28985</v>
      </c>
      <c r="Q10211" s="15" t="s">
        <v>740</v>
      </c>
      <c r="R10211" s="13" t="str">
        <f>HYPERLINK("https://my.pitchbook.com?c=39108-25T","View Company Online")</f>
        <v>View Company Online</v>
      </c>
    </row>
    <row r="10212" spans="1:18" hidden="1" x14ac:dyDescent="0.3">
      <c r="A10212" s="9" t="s">
        <v>28986</v>
      </c>
      <c r="B10212" s="9" t="s">
        <v>28987</v>
      </c>
      <c r="C10212" s="11" t="s">
        <v>28</v>
      </c>
      <c r="D10212" s="9" t="s">
        <v>28988</v>
      </c>
      <c r="E10212" s="11" t="s">
        <v>28</v>
      </c>
      <c r="F10212" s="10" t="s">
        <v>28</v>
      </c>
      <c r="G10212" s="10" t="s">
        <v>28</v>
      </c>
      <c r="H10212" s="10" t="s">
        <v>28</v>
      </c>
      <c r="I10212" s="11" t="s">
        <v>28</v>
      </c>
      <c r="J10212" s="11" t="s">
        <v>28</v>
      </c>
      <c r="K10212" s="11" t="s">
        <v>28</v>
      </c>
      <c r="L10212" s="11" t="s">
        <v>28</v>
      </c>
      <c r="M10212" s="11" t="s">
        <v>28</v>
      </c>
      <c r="N10212" s="8">
        <v>41914</v>
      </c>
      <c r="O10212" s="9" t="s">
        <v>52</v>
      </c>
      <c r="P10212" s="12" t="s">
        <v>23700</v>
      </c>
      <c r="Q10212" s="9" t="s">
        <v>75</v>
      </c>
      <c r="R10212" s="14" t="str">
        <f>HYPERLINK("https://my.pitchbook.com?c=96579-64T","View Company Online")</f>
        <v>View Company Online</v>
      </c>
    </row>
    <row r="10213" spans="1:18" hidden="1" x14ac:dyDescent="0.3">
      <c r="A10213" s="15" t="s">
        <v>28989</v>
      </c>
      <c r="B10213" s="15" t="s">
        <v>28990</v>
      </c>
      <c r="C10213" s="18" t="s">
        <v>28</v>
      </c>
      <c r="D10213" s="15" t="s">
        <v>28991</v>
      </c>
      <c r="E10213" s="18" t="s">
        <v>28</v>
      </c>
      <c r="F10213" s="19" t="s">
        <v>28</v>
      </c>
      <c r="G10213" s="19">
        <v>0.04</v>
      </c>
      <c r="H10213" s="19" t="s">
        <v>28</v>
      </c>
      <c r="I10213" s="18" t="s">
        <v>28</v>
      </c>
      <c r="J10213" s="18" t="s">
        <v>28</v>
      </c>
      <c r="K10213" s="18" t="s">
        <v>28</v>
      </c>
      <c r="L10213" s="18" t="s">
        <v>28</v>
      </c>
      <c r="M10213" s="18" t="s">
        <v>28</v>
      </c>
      <c r="N10213" s="17">
        <v>41913</v>
      </c>
      <c r="O10213" s="15" t="s">
        <v>52</v>
      </c>
      <c r="P10213" s="16" t="s">
        <v>28992</v>
      </c>
      <c r="Q10213" s="15" t="s">
        <v>3912</v>
      </c>
      <c r="R10213" s="13" t="str">
        <f>HYPERLINK("https://my.pitchbook.com?c=62074-99T","View Company Online")</f>
        <v>View Company Online</v>
      </c>
    </row>
    <row r="10214" spans="1:18" hidden="1" x14ac:dyDescent="0.3">
      <c r="A10214" s="9" t="s">
        <v>28993</v>
      </c>
      <c r="B10214" s="9" t="s">
        <v>28994</v>
      </c>
      <c r="C10214" s="11" t="s">
        <v>28</v>
      </c>
      <c r="D10214" s="9" t="s">
        <v>28995</v>
      </c>
      <c r="E10214" s="11" t="s">
        <v>28</v>
      </c>
      <c r="F10214" s="10" t="s">
        <v>28</v>
      </c>
      <c r="G10214" s="10">
        <v>0.04</v>
      </c>
      <c r="H10214" s="10" t="s">
        <v>28</v>
      </c>
      <c r="I10214" s="11" t="s">
        <v>28</v>
      </c>
      <c r="J10214" s="11" t="s">
        <v>28</v>
      </c>
      <c r="K10214" s="11" t="s">
        <v>28</v>
      </c>
      <c r="L10214" s="11" t="s">
        <v>28</v>
      </c>
      <c r="M10214" s="11" t="s">
        <v>28</v>
      </c>
      <c r="N10214" s="8">
        <v>41913</v>
      </c>
      <c r="O10214" s="9" t="s">
        <v>73</v>
      </c>
      <c r="P10214" s="12" t="s">
        <v>28996</v>
      </c>
      <c r="Q10214" s="9" t="s">
        <v>3912</v>
      </c>
      <c r="R10214" s="14" t="str">
        <f>HYPERLINK("https://my.pitchbook.com?c=50676-49T","View Company Online")</f>
        <v>View Company Online</v>
      </c>
    </row>
    <row r="10215" spans="1:18" hidden="1" x14ac:dyDescent="0.3">
      <c r="A10215" s="15" t="s">
        <v>28997</v>
      </c>
      <c r="B10215" s="15" t="s">
        <v>28081</v>
      </c>
      <c r="C10215" s="18" t="s">
        <v>28</v>
      </c>
      <c r="D10215" s="15" t="s">
        <v>28082</v>
      </c>
      <c r="E10215" s="18" t="s">
        <v>28</v>
      </c>
      <c r="F10215" s="19" t="s">
        <v>28</v>
      </c>
      <c r="G10215" s="19" t="s">
        <v>28</v>
      </c>
      <c r="H10215" s="19" t="s">
        <v>28</v>
      </c>
      <c r="I10215" s="18" t="s">
        <v>28</v>
      </c>
      <c r="J10215" s="18" t="s">
        <v>28</v>
      </c>
      <c r="K10215" s="18" t="s">
        <v>28</v>
      </c>
      <c r="L10215" s="18" t="s">
        <v>28</v>
      </c>
      <c r="M10215" s="18" t="s">
        <v>28</v>
      </c>
      <c r="N10215" s="17">
        <v>41913</v>
      </c>
      <c r="O10215" s="15" t="s">
        <v>30</v>
      </c>
      <c r="P10215" s="16" t="s">
        <v>28998</v>
      </c>
      <c r="Q10215" s="15" t="s">
        <v>285</v>
      </c>
      <c r="R10215" s="13" t="str">
        <f>HYPERLINK("https://my.pitchbook.com?c=189672-40T","View Company Online")</f>
        <v>View Company Online</v>
      </c>
    </row>
    <row r="10216" spans="1:18" hidden="1" x14ac:dyDescent="0.3">
      <c r="A10216" s="9" t="s">
        <v>28999</v>
      </c>
      <c r="B10216" s="9" t="s">
        <v>29000</v>
      </c>
      <c r="C10216" s="11" t="s">
        <v>28</v>
      </c>
      <c r="D10216" s="9" t="s">
        <v>29001</v>
      </c>
      <c r="E10216" s="11" t="s">
        <v>28</v>
      </c>
      <c r="F10216" s="10" t="s">
        <v>28</v>
      </c>
      <c r="G10216" s="10" t="s">
        <v>28</v>
      </c>
      <c r="H10216" s="10" t="s">
        <v>28</v>
      </c>
      <c r="I10216" s="11" t="s">
        <v>28</v>
      </c>
      <c r="J10216" s="11" t="s">
        <v>28</v>
      </c>
      <c r="K10216" s="11" t="s">
        <v>28</v>
      </c>
      <c r="L10216" s="11" t="s">
        <v>28</v>
      </c>
      <c r="M10216" s="11" t="s">
        <v>28</v>
      </c>
      <c r="N10216" s="8">
        <v>41913</v>
      </c>
      <c r="O10216" s="9" t="s">
        <v>52</v>
      </c>
      <c r="P10216" s="12" t="s">
        <v>7022</v>
      </c>
      <c r="Q10216" s="9" t="s">
        <v>43</v>
      </c>
      <c r="R10216" s="14" t="str">
        <f>HYPERLINK("https://my.pitchbook.com?c=73373-05T","View Company Online")</f>
        <v>View Company Online</v>
      </c>
    </row>
    <row r="10217" spans="1:18" hidden="1" x14ac:dyDescent="0.3">
      <c r="A10217" s="15" t="s">
        <v>29002</v>
      </c>
      <c r="B10217" s="15" t="s">
        <v>29003</v>
      </c>
      <c r="C10217" s="18" t="s">
        <v>28</v>
      </c>
      <c r="D10217" s="15" t="s">
        <v>29004</v>
      </c>
      <c r="E10217" s="18" t="s">
        <v>28</v>
      </c>
      <c r="F10217" s="19" t="s">
        <v>28</v>
      </c>
      <c r="G10217" s="19">
        <v>0.09</v>
      </c>
      <c r="H10217" s="19" t="s">
        <v>28</v>
      </c>
      <c r="I10217" s="18" t="s">
        <v>28</v>
      </c>
      <c r="J10217" s="18" t="s">
        <v>28</v>
      </c>
      <c r="K10217" s="18" t="s">
        <v>28</v>
      </c>
      <c r="L10217" s="18" t="s">
        <v>28</v>
      </c>
      <c r="M10217" s="18" t="s">
        <v>28</v>
      </c>
      <c r="N10217" s="17">
        <v>41913</v>
      </c>
      <c r="O10217" s="15" t="s">
        <v>52</v>
      </c>
      <c r="P10217" s="16" t="s">
        <v>28992</v>
      </c>
      <c r="Q10217" s="15" t="s">
        <v>855</v>
      </c>
      <c r="R10217" s="13" t="str">
        <f>HYPERLINK("https://my.pitchbook.com?c=57728-08T","View Company Online")</f>
        <v>View Company Online</v>
      </c>
    </row>
    <row r="10218" spans="1:18" hidden="1" x14ac:dyDescent="0.3">
      <c r="A10218" s="9" t="s">
        <v>29005</v>
      </c>
      <c r="B10218" s="9" t="s">
        <v>14989</v>
      </c>
      <c r="C10218" s="11" t="s">
        <v>28</v>
      </c>
      <c r="D10218" s="9" t="s">
        <v>14990</v>
      </c>
      <c r="E10218" s="11" t="s">
        <v>28</v>
      </c>
      <c r="F10218" s="10" t="s">
        <v>28</v>
      </c>
      <c r="G10218" s="10">
        <v>0.05</v>
      </c>
      <c r="H10218" s="10">
        <v>0.61</v>
      </c>
      <c r="I10218" s="11" t="s">
        <v>28</v>
      </c>
      <c r="J10218" s="11" t="s">
        <v>28</v>
      </c>
      <c r="K10218" s="11" t="s">
        <v>28</v>
      </c>
      <c r="L10218" s="11" t="s">
        <v>28</v>
      </c>
      <c r="M10218" s="11" t="s">
        <v>28</v>
      </c>
      <c r="N10218" s="8">
        <v>41913</v>
      </c>
      <c r="O10218" s="9" t="s">
        <v>52</v>
      </c>
      <c r="P10218" s="12" t="s">
        <v>24901</v>
      </c>
      <c r="Q10218" s="9" t="s">
        <v>75</v>
      </c>
      <c r="R10218" s="14" t="str">
        <f>HYPERLINK("https://my.pitchbook.com?c=57904-12T","View Company Online")</f>
        <v>View Company Online</v>
      </c>
    </row>
    <row r="10219" spans="1:18" hidden="1" x14ac:dyDescent="0.3">
      <c r="A10219" s="15" t="s">
        <v>29006</v>
      </c>
      <c r="B10219" s="15" t="s">
        <v>29007</v>
      </c>
      <c r="C10219" s="18" t="s">
        <v>28</v>
      </c>
      <c r="D10219" s="15" t="s">
        <v>29008</v>
      </c>
      <c r="E10219" s="18" t="s">
        <v>28</v>
      </c>
      <c r="F10219" s="19" t="s">
        <v>28</v>
      </c>
      <c r="G10219" s="19" t="s">
        <v>28</v>
      </c>
      <c r="H10219" s="19" t="s">
        <v>28</v>
      </c>
      <c r="I10219" s="18" t="s">
        <v>28</v>
      </c>
      <c r="J10219" s="18" t="s">
        <v>28</v>
      </c>
      <c r="K10219" s="18" t="s">
        <v>28</v>
      </c>
      <c r="L10219" s="18" t="s">
        <v>28</v>
      </c>
      <c r="M10219" s="18" t="s">
        <v>28</v>
      </c>
      <c r="N10219" s="17">
        <v>41913</v>
      </c>
      <c r="O10219" s="15" t="s">
        <v>52</v>
      </c>
      <c r="P10219" s="16" t="s">
        <v>27943</v>
      </c>
      <c r="Q10219" s="15" t="s">
        <v>75</v>
      </c>
      <c r="R10219" s="13" t="str">
        <f>HYPERLINK("https://my.pitchbook.com?c=132281-38T","View Company Online")</f>
        <v>View Company Online</v>
      </c>
    </row>
    <row r="10220" spans="1:18" hidden="1" x14ac:dyDescent="0.3">
      <c r="A10220" s="9" t="s">
        <v>29009</v>
      </c>
      <c r="B10220" s="9" t="s">
        <v>29010</v>
      </c>
      <c r="C10220" s="11" t="s">
        <v>28</v>
      </c>
      <c r="D10220" s="9" t="s">
        <v>29011</v>
      </c>
      <c r="E10220" s="11" t="s">
        <v>28</v>
      </c>
      <c r="F10220" s="10" t="s">
        <v>28</v>
      </c>
      <c r="G10220" s="10">
        <v>0.05</v>
      </c>
      <c r="H10220" s="10" t="s">
        <v>28</v>
      </c>
      <c r="I10220" s="11" t="s">
        <v>28</v>
      </c>
      <c r="J10220" s="11" t="s">
        <v>28</v>
      </c>
      <c r="K10220" s="11" t="s">
        <v>28</v>
      </c>
      <c r="L10220" s="11" t="s">
        <v>28</v>
      </c>
      <c r="M10220" s="11" t="s">
        <v>28</v>
      </c>
      <c r="N10220" s="8">
        <v>41913</v>
      </c>
      <c r="O10220" s="9" t="s">
        <v>52</v>
      </c>
      <c r="P10220" s="12" t="s">
        <v>28992</v>
      </c>
      <c r="Q10220" s="9" t="s">
        <v>95</v>
      </c>
      <c r="R10220" s="14" t="str">
        <f>HYPERLINK("https://my.pitchbook.com?c=57745-81T","View Company Online")</f>
        <v>View Company Online</v>
      </c>
    </row>
    <row r="10221" spans="1:18" hidden="1" x14ac:dyDescent="0.3">
      <c r="A10221" s="15" t="s">
        <v>29012</v>
      </c>
      <c r="B10221" s="15" t="s">
        <v>29013</v>
      </c>
      <c r="C10221" s="18" t="s">
        <v>28</v>
      </c>
      <c r="D10221" s="15" t="s">
        <v>29014</v>
      </c>
      <c r="E10221" s="18" t="s">
        <v>28</v>
      </c>
      <c r="F10221" s="19">
        <v>76.97</v>
      </c>
      <c r="G10221" s="19">
        <v>76.97</v>
      </c>
      <c r="H10221" s="19">
        <v>76.97</v>
      </c>
      <c r="I10221" s="18" t="s">
        <v>28</v>
      </c>
      <c r="J10221" s="18" t="s">
        <v>28</v>
      </c>
      <c r="K10221" s="18" t="s">
        <v>28</v>
      </c>
      <c r="L10221" s="18" t="s">
        <v>28</v>
      </c>
      <c r="M10221" s="18" t="s">
        <v>28</v>
      </c>
      <c r="N10221" s="17">
        <v>41913</v>
      </c>
      <c r="O10221" s="15" t="s">
        <v>30</v>
      </c>
      <c r="P10221" s="16" t="s">
        <v>3329</v>
      </c>
      <c r="Q10221" s="15" t="s">
        <v>900</v>
      </c>
      <c r="R10221" s="13" t="str">
        <f>HYPERLINK("https://my.pitchbook.com?c=89679-88T","View Company Online")</f>
        <v>View Company Online</v>
      </c>
    </row>
    <row r="10222" spans="1:18" hidden="1" x14ac:dyDescent="0.3">
      <c r="A10222" s="9" t="s">
        <v>29015</v>
      </c>
      <c r="B10222" s="9" t="s">
        <v>21068</v>
      </c>
      <c r="C10222" s="11" t="s">
        <v>28</v>
      </c>
      <c r="D10222" s="9" t="s">
        <v>21069</v>
      </c>
      <c r="E10222" s="11" t="s">
        <v>28</v>
      </c>
      <c r="F10222" s="10" t="s">
        <v>28</v>
      </c>
      <c r="G10222" s="10" t="s">
        <v>28</v>
      </c>
      <c r="H10222" s="10" t="s">
        <v>28</v>
      </c>
      <c r="I10222" s="11" t="s">
        <v>28</v>
      </c>
      <c r="J10222" s="11" t="s">
        <v>28</v>
      </c>
      <c r="K10222" s="11" t="s">
        <v>28</v>
      </c>
      <c r="L10222" s="11" t="s">
        <v>28</v>
      </c>
      <c r="M10222" s="11" t="s">
        <v>28</v>
      </c>
      <c r="N10222" s="8">
        <v>41913</v>
      </c>
      <c r="O10222" s="9" t="s">
        <v>73</v>
      </c>
      <c r="P10222" s="12" t="s">
        <v>29016</v>
      </c>
      <c r="Q10222" s="9" t="s">
        <v>37</v>
      </c>
      <c r="R10222" s="14" t="str">
        <f>HYPERLINK("https://my.pitchbook.com?c=45142-21T","View Company Online")</f>
        <v>View Company Online</v>
      </c>
    </row>
    <row r="10223" spans="1:18" hidden="1" x14ac:dyDescent="0.3">
      <c r="A10223" s="15" t="s">
        <v>29017</v>
      </c>
      <c r="B10223" s="15" t="s">
        <v>29018</v>
      </c>
      <c r="C10223" s="18" t="s">
        <v>28</v>
      </c>
      <c r="D10223" s="15" t="s">
        <v>29019</v>
      </c>
      <c r="E10223" s="18" t="s">
        <v>28</v>
      </c>
      <c r="F10223" s="19" t="s">
        <v>28</v>
      </c>
      <c r="G10223" s="19">
        <v>0.09</v>
      </c>
      <c r="H10223" s="19" t="s">
        <v>28</v>
      </c>
      <c r="I10223" s="18" t="s">
        <v>28</v>
      </c>
      <c r="J10223" s="18" t="s">
        <v>28</v>
      </c>
      <c r="K10223" s="18" t="s">
        <v>28</v>
      </c>
      <c r="L10223" s="18" t="s">
        <v>28</v>
      </c>
      <c r="M10223" s="18" t="s">
        <v>28</v>
      </c>
      <c r="N10223" s="17">
        <v>41913</v>
      </c>
      <c r="O10223" s="15" t="s">
        <v>52</v>
      </c>
      <c r="P10223" s="16" t="s">
        <v>11539</v>
      </c>
      <c r="Q10223" s="15" t="s">
        <v>37</v>
      </c>
      <c r="R10223" s="13" t="str">
        <f>HYPERLINK("https://my.pitchbook.com?c=65668-33T","View Company Online")</f>
        <v>View Company Online</v>
      </c>
    </row>
    <row r="10224" spans="1:18" hidden="1" x14ac:dyDescent="0.3">
      <c r="A10224" s="9" t="s">
        <v>29020</v>
      </c>
      <c r="B10224" s="9" t="s">
        <v>29021</v>
      </c>
      <c r="C10224" s="11" t="s">
        <v>28</v>
      </c>
      <c r="D10224" s="9" t="s">
        <v>29022</v>
      </c>
      <c r="E10224" s="11" t="s">
        <v>28</v>
      </c>
      <c r="F10224" s="10" t="s">
        <v>28</v>
      </c>
      <c r="G10224" s="10" t="s">
        <v>28</v>
      </c>
      <c r="H10224" s="10" t="s">
        <v>28</v>
      </c>
      <c r="I10224" s="11" t="s">
        <v>28</v>
      </c>
      <c r="J10224" s="11" t="s">
        <v>28</v>
      </c>
      <c r="K10224" s="11" t="s">
        <v>28</v>
      </c>
      <c r="L10224" s="11" t="s">
        <v>28</v>
      </c>
      <c r="M10224" s="11" t="s">
        <v>28</v>
      </c>
      <c r="N10224" s="8">
        <v>41913</v>
      </c>
      <c r="O10224" s="9" t="s">
        <v>30</v>
      </c>
      <c r="P10224" s="12" t="s">
        <v>29023</v>
      </c>
      <c r="Q10224" s="9" t="s">
        <v>566</v>
      </c>
      <c r="R10224" s="14" t="str">
        <f>HYPERLINK("https://my.pitchbook.com?c=126150-22T","View Company Online")</f>
        <v>View Company Online</v>
      </c>
    </row>
    <row r="10225" spans="1:18" hidden="1" x14ac:dyDescent="0.3">
      <c r="A10225" s="15" t="s">
        <v>29024</v>
      </c>
      <c r="B10225" s="15" t="s">
        <v>29025</v>
      </c>
      <c r="C10225" s="18" t="s">
        <v>28</v>
      </c>
      <c r="D10225" s="15" t="s">
        <v>29026</v>
      </c>
      <c r="E10225" s="18" t="s">
        <v>28</v>
      </c>
      <c r="F10225" s="19" t="s">
        <v>28</v>
      </c>
      <c r="G10225" s="19" t="s">
        <v>28</v>
      </c>
      <c r="H10225" s="19" t="s">
        <v>28</v>
      </c>
      <c r="I10225" s="18" t="s">
        <v>28</v>
      </c>
      <c r="J10225" s="18" t="s">
        <v>28</v>
      </c>
      <c r="K10225" s="18" t="s">
        <v>28</v>
      </c>
      <c r="L10225" s="18" t="s">
        <v>28</v>
      </c>
      <c r="M10225" s="18" t="s">
        <v>28</v>
      </c>
      <c r="N10225" s="17">
        <v>41913</v>
      </c>
      <c r="O10225" s="15" t="s">
        <v>30</v>
      </c>
      <c r="P10225" s="16" t="s">
        <v>29027</v>
      </c>
      <c r="Q10225" s="15" t="s">
        <v>22648</v>
      </c>
      <c r="R10225" s="13" t="str">
        <f>HYPERLINK("https://my.pitchbook.com?c=71158-51T","View Company Online")</f>
        <v>View Company Online</v>
      </c>
    </row>
    <row r="10226" spans="1:18" hidden="1" x14ac:dyDescent="0.3">
      <c r="A10226" s="9" t="s">
        <v>29028</v>
      </c>
      <c r="B10226" s="9" t="s">
        <v>22954</v>
      </c>
      <c r="C10226" s="11" t="s">
        <v>28</v>
      </c>
      <c r="D10226" s="9" t="s">
        <v>22955</v>
      </c>
      <c r="E10226" s="11" t="s">
        <v>28</v>
      </c>
      <c r="F10226" s="10" t="s">
        <v>28</v>
      </c>
      <c r="G10226" s="10">
        <v>2</v>
      </c>
      <c r="H10226" s="10" t="s">
        <v>28</v>
      </c>
      <c r="I10226" s="11" t="s">
        <v>28</v>
      </c>
      <c r="J10226" s="11" t="s">
        <v>28</v>
      </c>
      <c r="K10226" s="11" t="s">
        <v>28</v>
      </c>
      <c r="L10226" s="11" t="s">
        <v>28</v>
      </c>
      <c r="M10226" s="11" t="s">
        <v>28</v>
      </c>
      <c r="N10226" s="8">
        <v>41913</v>
      </c>
      <c r="O10226" s="9" t="s">
        <v>99</v>
      </c>
      <c r="P10226" s="12" t="s">
        <v>29029</v>
      </c>
      <c r="Q10226" s="9" t="s">
        <v>404</v>
      </c>
      <c r="R10226" s="14" t="str">
        <f>HYPERLINK("https://my.pitchbook.com?c=70350-94T","View Company Online")</f>
        <v>View Company Online</v>
      </c>
    </row>
    <row r="10227" spans="1:18" hidden="1" x14ac:dyDescent="0.3">
      <c r="A10227" s="15" t="s">
        <v>29030</v>
      </c>
      <c r="B10227" s="15" t="s">
        <v>29031</v>
      </c>
      <c r="C10227" s="18" t="s">
        <v>28</v>
      </c>
      <c r="D10227" s="15" t="s">
        <v>29032</v>
      </c>
      <c r="E10227" s="18" t="s">
        <v>28</v>
      </c>
      <c r="F10227" s="19" t="s">
        <v>28</v>
      </c>
      <c r="G10227" s="19" t="s">
        <v>28</v>
      </c>
      <c r="H10227" s="19" t="s">
        <v>28</v>
      </c>
      <c r="I10227" s="18" t="s">
        <v>28</v>
      </c>
      <c r="J10227" s="18" t="s">
        <v>28</v>
      </c>
      <c r="K10227" s="18" t="s">
        <v>28</v>
      </c>
      <c r="L10227" s="18" t="s">
        <v>28</v>
      </c>
      <c r="M10227" s="18" t="s">
        <v>28</v>
      </c>
      <c r="N10227" s="17">
        <v>41913</v>
      </c>
      <c r="O10227" s="15" t="s">
        <v>30</v>
      </c>
      <c r="P10227" s="16" t="s">
        <v>1852</v>
      </c>
      <c r="Q10227" s="15" t="s">
        <v>245</v>
      </c>
      <c r="R10227" s="13" t="str">
        <f>HYPERLINK("https://my.pitchbook.com?c=192645-28T","View Company Online")</f>
        <v>View Company Online</v>
      </c>
    </row>
    <row r="10228" spans="1:18" hidden="1" x14ac:dyDescent="0.3">
      <c r="A10228" s="9" t="s">
        <v>29033</v>
      </c>
      <c r="B10228" s="9" t="s">
        <v>15481</v>
      </c>
      <c r="C10228" s="11" t="s">
        <v>28</v>
      </c>
      <c r="D10228" s="9" t="s">
        <v>15482</v>
      </c>
      <c r="E10228" s="11" t="s">
        <v>28</v>
      </c>
      <c r="F10228" s="10">
        <v>387.6</v>
      </c>
      <c r="G10228" s="10">
        <v>387.6</v>
      </c>
      <c r="H10228" s="10">
        <v>387.6</v>
      </c>
      <c r="I10228" s="11" t="s">
        <v>28</v>
      </c>
      <c r="J10228" s="11" t="s">
        <v>28</v>
      </c>
      <c r="K10228" s="11" t="s">
        <v>28</v>
      </c>
      <c r="L10228" s="11" t="s">
        <v>28</v>
      </c>
      <c r="M10228" s="11" t="s">
        <v>28</v>
      </c>
      <c r="N10228" s="8">
        <v>41912</v>
      </c>
      <c r="O10228" s="9" t="s">
        <v>41</v>
      </c>
      <c r="P10228" s="12" t="s">
        <v>29034</v>
      </c>
      <c r="Q10228" s="9" t="s">
        <v>43</v>
      </c>
      <c r="R10228" s="14" t="str">
        <f>HYPERLINK("https://my.pitchbook.com?c=66696-49T","View Company Online")</f>
        <v>View Company Online</v>
      </c>
    </row>
    <row r="10229" spans="1:18" hidden="1" x14ac:dyDescent="0.3">
      <c r="A10229" s="15" t="s">
        <v>29035</v>
      </c>
      <c r="B10229" s="15" t="s">
        <v>5345</v>
      </c>
      <c r="C10229" s="18" t="s">
        <v>28</v>
      </c>
      <c r="D10229" s="15" t="s">
        <v>5346</v>
      </c>
      <c r="E10229" s="18" t="s">
        <v>28</v>
      </c>
      <c r="F10229" s="19">
        <v>62.82</v>
      </c>
      <c r="G10229" s="19">
        <v>47.71</v>
      </c>
      <c r="H10229" s="19">
        <v>62.82</v>
      </c>
      <c r="I10229" s="18" t="s">
        <v>28</v>
      </c>
      <c r="J10229" s="18" t="s">
        <v>28</v>
      </c>
      <c r="K10229" s="18" t="s">
        <v>28</v>
      </c>
      <c r="L10229" s="18" t="s">
        <v>28</v>
      </c>
      <c r="M10229" s="18" t="s">
        <v>28</v>
      </c>
      <c r="N10229" s="17">
        <v>41912</v>
      </c>
      <c r="O10229" s="15" t="s">
        <v>41</v>
      </c>
      <c r="P10229" s="16" t="s">
        <v>13100</v>
      </c>
      <c r="Q10229" s="15" t="s">
        <v>5347</v>
      </c>
      <c r="R10229" s="13" t="str">
        <f>HYPERLINK("https://my.pitchbook.com?c=98025-76T","View Company Online")</f>
        <v>View Company Online</v>
      </c>
    </row>
    <row r="10230" spans="1:18" hidden="1" x14ac:dyDescent="0.3">
      <c r="A10230" s="9" t="s">
        <v>29036</v>
      </c>
      <c r="B10230" s="9" t="s">
        <v>2368</v>
      </c>
      <c r="C10230" s="11" t="s">
        <v>28</v>
      </c>
      <c r="D10230" s="9" t="s">
        <v>23267</v>
      </c>
      <c r="E10230" s="11">
        <v>25.78</v>
      </c>
      <c r="F10230" s="10" t="s">
        <v>28</v>
      </c>
      <c r="G10230" s="10">
        <v>665.58</v>
      </c>
      <c r="H10230" s="10">
        <v>2429.13</v>
      </c>
      <c r="I10230" s="11">
        <v>56.59</v>
      </c>
      <c r="J10230" s="11">
        <v>42.93</v>
      </c>
      <c r="K10230" s="11">
        <v>99.68</v>
      </c>
      <c r="L10230" s="11">
        <v>24.37</v>
      </c>
      <c r="M10230" s="11">
        <v>2.91</v>
      </c>
      <c r="N10230" s="8">
        <v>41911</v>
      </c>
      <c r="O10230" s="9" t="s">
        <v>159</v>
      </c>
      <c r="P10230" s="12" t="s">
        <v>12578</v>
      </c>
      <c r="Q10230" s="9" t="s">
        <v>226</v>
      </c>
      <c r="R10230" s="14" t="str">
        <f>HYPERLINK("https://my.pitchbook.com?c=75011-23T","View Company Online")</f>
        <v>View Company Online</v>
      </c>
    </row>
    <row r="10231" spans="1:18" hidden="1" x14ac:dyDescent="0.3">
      <c r="A10231" s="15" t="s">
        <v>29037</v>
      </c>
      <c r="B10231" s="15" t="s">
        <v>26886</v>
      </c>
      <c r="C10231" s="18" t="s">
        <v>28</v>
      </c>
      <c r="D10231" s="15" t="s">
        <v>26887</v>
      </c>
      <c r="E10231" s="18" t="s">
        <v>28</v>
      </c>
      <c r="F10231" s="19" t="s">
        <v>28</v>
      </c>
      <c r="G10231" s="19">
        <v>1.44</v>
      </c>
      <c r="H10231" s="19" t="s">
        <v>28</v>
      </c>
      <c r="I10231" s="18" t="s">
        <v>28</v>
      </c>
      <c r="J10231" s="18" t="s">
        <v>28</v>
      </c>
      <c r="K10231" s="18" t="s">
        <v>28</v>
      </c>
      <c r="L10231" s="18" t="s">
        <v>28</v>
      </c>
      <c r="M10231" s="18" t="s">
        <v>28</v>
      </c>
      <c r="N10231" s="17">
        <v>41908</v>
      </c>
      <c r="O10231" s="15" t="s">
        <v>73</v>
      </c>
      <c r="P10231" s="16" t="s">
        <v>29038</v>
      </c>
      <c r="Q10231" s="15" t="s">
        <v>740</v>
      </c>
      <c r="R10231" s="13" t="str">
        <f>HYPERLINK("https://my.pitchbook.com?c=48172-96T","View Company Online")</f>
        <v>View Company Online</v>
      </c>
    </row>
    <row r="10232" spans="1:18" hidden="1" x14ac:dyDescent="0.3">
      <c r="A10232" s="9" t="s">
        <v>29039</v>
      </c>
      <c r="B10232" s="9" t="s">
        <v>22084</v>
      </c>
      <c r="C10232" s="11" t="s">
        <v>28</v>
      </c>
      <c r="D10232" s="9" t="s">
        <v>22085</v>
      </c>
      <c r="E10232" s="11" t="s">
        <v>28</v>
      </c>
      <c r="F10232" s="10" t="s">
        <v>28</v>
      </c>
      <c r="G10232" s="10">
        <v>5.7</v>
      </c>
      <c r="H10232" s="10" t="s">
        <v>28</v>
      </c>
      <c r="I10232" s="11" t="s">
        <v>28</v>
      </c>
      <c r="J10232" s="11" t="s">
        <v>28</v>
      </c>
      <c r="K10232" s="11" t="s">
        <v>28</v>
      </c>
      <c r="L10232" s="11" t="s">
        <v>28</v>
      </c>
      <c r="M10232" s="11" t="s">
        <v>28</v>
      </c>
      <c r="N10232" s="8">
        <v>41908</v>
      </c>
      <c r="O10232" s="9" t="s">
        <v>79</v>
      </c>
      <c r="P10232" s="12" t="s">
        <v>29040</v>
      </c>
      <c r="Q10232" s="9" t="s">
        <v>566</v>
      </c>
      <c r="R10232" s="14" t="str">
        <f>HYPERLINK("https://my.pitchbook.com?c=51058-36T","View Company Online")</f>
        <v>View Company Online</v>
      </c>
    </row>
    <row r="10233" spans="1:18" hidden="1" x14ac:dyDescent="0.3">
      <c r="A10233" s="15" t="s">
        <v>29041</v>
      </c>
      <c r="B10233" s="15" t="s">
        <v>29042</v>
      </c>
      <c r="C10233" s="18" t="s">
        <v>28</v>
      </c>
      <c r="D10233" s="15" t="s">
        <v>29043</v>
      </c>
      <c r="E10233" s="18" t="s">
        <v>28</v>
      </c>
      <c r="F10233" s="19" t="s">
        <v>28</v>
      </c>
      <c r="G10233" s="19" t="s">
        <v>28</v>
      </c>
      <c r="H10233" s="19" t="s">
        <v>28</v>
      </c>
      <c r="I10233" s="18" t="s">
        <v>28</v>
      </c>
      <c r="J10233" s="18" t="s">
        <v>28</v>
      </c>
      <c r="K10233" s="18" t="s">
        <v>28</v>
      </c>
      <c r="L10233" s="18" t="s">
        <v>28</v>
      </c>
      <c r="M10233" s="18" t="s">
        <v>28</v>
      </c>
      <c r="N10233" s="17">
        <v>41907</v>
      </c>
      <c r="O10233" s="15" t="s">
        <v>30</v>
      </c>
      <c r="P10233" s="16" t="s">
        <v>26105</v>
      </c>
      <c r="Q10233" s="15" t="s">
        <v>43</v>
      </c>
      <c r="R10233" s="13" t="str">
        <f>HYPERLINK("https://my.pitchbook.com?c=89418-97T","View Company Online")</f>
        <v>View Company Online</v>
      </c>
    </row>
    <row r="10234" spans="1:18" hidden="1" x14ac:dyDescent="0.3">
      <c r="A10234" s="9" t="s">
        <v>29044</v>
      </c>
      <c r="B10234" s="9" t="s">
        <v>5785</v>
      </c>
      <c r="C10234" s="11" t="s">
        <v>28</v>
      </c>
      <c r="D10234" s="9" t="s">
        <v>12775</v>
      </c>
      <c r="E10234" s="11" t="s">
        <v>28</v>
      </c>
      <c r="F10234" s="10" t="s">
        <v>28</v>
      </c>
      <c r="G10234" s="10">
        <v>14.3</v>
      </c>
      <c r="H10234" s="10" t="s">
        <v>28</v>
      </c>
      <c r="I10234" s="11" t="s">
        <v>28</v>
      </c>
      <c r="J10234" s="11" t="s">
        <v>28</v>
      </c>
      <c r="K10234" s="11" t="s">
        <v>28</v>
      </c>
      <c r="L10234" s="11" t="s">
        <v>28</v>
      </c>
      <c r="M10234" s="11" t="s">
        <v>28</v>
      </c>
      <c r="N10234" s="8">
        <v>41907</v>
      </c>
      <c r="O10234" s="9" t="s">
        <v>73</v>
      </c>
      <c r="P10234" s="12" t="s">
        <v>29045</v>
      </c>
      <c r="Q10234" s="9" t="s">
        <v>1213</v>
      </c>
      <c r="R10234" s="14" t="str">
        <f>HYPERLINK("https://my.pitchbook.com?c=37896-04T","View Company Online")</f>
        <v>View Company Online</v>
      </c>
    </row>
    <row r="10235" spans="1:18" hidden="1" x14ac:dyDescent="0.3">
      <c r="A10235" s="15" t="s">
        <v>29046</v>
      </c>
      <c r="B10235" s="15" t="s">
        <v>9531</v>
      </c>
      <c r="C10235" s="18" t="s">
        <v>28</v>
      </c>
      <c r="D10235" s="15" t="s">
        <v>9532</v>
      </c>
      <c r="E10235" s="18" t="s">
        <v>28</v>
      </c>
      <c r="F10235" s="19" t="s">
        <v>28</v>
      </c>
      <c r="G10235" s="19">
        <v>0.45</v>
      </c>
      <c r="H10235" s="19" t="s">
        <v>28</v>
      </c>
      <c r="I10235" s="18" t="s">
        <v>28</v>
      </c>
      <c r="J10235" s="18" t="s">
        <v>28</v>
      </c>
      <c r="K10235" s="18" t="s">
        <v>28</v>
      </c>
      <c r="L10235" s="18" t="s">
        <v>28</v>
      </c>
      <c r="M10235" s="18" t="s">
        <v>28</v>
      </c>
      <c r="N10235" s="17">
        <v>41907</v>
      </c>
      <c r="O10235" s="15" t="s">
        <v>99</v>
      </c>
      <c r="P10235" s="16" t="s">
        <v>29047</v>
      </c>
      <c r="Q10235" s="15" t="s">
        <v>409</v>
      </c>
      <c r="R10235" s="13" t="str">
        <f>HYPERLINK("https://my.pitchbook.com?c=50835-88T","View Company Online")</f>
        <v>View Company Online</v>
      </c>
    </row>
    <row r="10236" spans="1:18" hidden="1" x14ac:dyDescent="0.3">
      <c r="A10236" s="9" t="s">
        <v>29048</v>
      </c>
      <c r="B10236" s="9" t="s">
        <v>29049</v>
      </c>
      <c r="C10236" s="11" t="s">
        <v>28</v>
      </c>
      <c r="D10236" s="9" t="s">
        <v>29050</v>
      </c>
      <c r="E10236" s="11" t="s">
        <v>28</v>
      </c>
      <c r="F10236" s="10" t="s">
        <v>28</v>
      </c>
      <c r="G10236" s="10" t="s">
        <v>28</v>
      </c>
      <c r="H10236" s="10" t="s">
        <v>28</v>
      </c>
      <c r="I10236" s="11" t="s">
        <v>28</v>
      </c>
      <c r="J10236" s="11" t="s">
        <v>28</v>
      </c>
      <c r="K10236" s="11" t="s">
        <v>28</v>
      </c>
      <c r="L10236" s="11" t="s">
        <v>28</v>
      </c>
      <c r="M10236" s="11" t="s">
        <v>28</v>
      </c>
      <c r="N10236" s="8">
        <v>41905</v>
      </c>
      <c r="O10236" s="9" t="s">
        <v>41</v>
      </c>
      <c r="P10236" s="12" t="s">
        <v>29051</v>
      </c>
      <c r="Q10236" s="9" t="s">
        <v>245</v>
      </c>
      <c r="R10236" s="14" t="str">
        <f>HYPERLINK("https://my.pitchbook.com?c=111168-01T","View Company Online")</f>
        <v>View Company Online</v>
      </c>
    </row>
    <row r="10237" spans="1:18" hidden="1" x14ac:dyDescent="0.3">
      <c r="A10237" s="15" t="s">
        <v>29052</v>
      </c>
      <c r="B10237" s="15" t="s">
        <v>16272</v>
      </c>
      <c r="C10237" s="18" t="s">
        <v>28</v>
      </c>
      <c r="D10237" s="15" t="s">
        <v>16273</v>
      </c>
      <c r="E10237" s="18" t="s">
        <v>28</v>
      </c>
      <c r="F10237" s="19" t="s">
        <v>28</v>
      </c>
      <c r="G10237" s="19">
        <v>4</v>
      </c>
      <c r="H10237" s="19" t="s">
        <v>28</v>
      </c>
      <c r="I10237" s="18" t="s">
        <v>28</v>
      </c>
      <c r="J10237" s="18" t="s">
        <v>28</v>
      </c>
      <c r="K10237" s="18">
        <v>3.3</v>
      </c>
      <c r="L10237" s="18" t="s">
        <v>28</v>
      </c>
      <c r="M10237" s="18" t="s">
        <v>28</v>
      </c>
      <c r="N10237" s="17">
        <v>41905</v>
      </c>
      <c r="O10237" s="15" t="s">
        <v>73</v>
      </c>
      <c r="P10237" s="16" t="s">
        <v>29053</v>
      </c>
      <c r="Q10237" s="15" t="s">
        <v>5347</v>
      </c>
      <c r="R10237" s="13" t="str">
        <f>HYPERLINK("https://my.pitchbook.com?c=38681-38T","View Company Online")</f>
        <v>View Company Online</v>
      </c>
    </row>
    <row r="10238" spans="1:18" hidden="1" x14ac:dyDescent="0.3">
      <c r="A10238" s="9" t="s">
        <v>29054</v>
      </c>
      <c r="B10238" s="9" t="s">
        <v>29055</v>
      </c>
      <c r="C10238" s="11" t="s">
        <v>28</v>
      </c>
      <c r="D10238" s="9" t="s">
        <v>29056</v>
      </c>
      <c r="E10238" s="11" t="s">
        <v>28</v>
      </c>
      <c r="F10238" s="10">
        <v>4.79</v>
      </c>
      <c r="G10238" s="10">
        <v>4.79</v>
      </c>
      <c r="H10238" s="10">
        <v>4.79</v>
      </c>
      <c r="I10238" s="11" t="s">
        <v>28</v>
      </c>
      <c r="J10238" s="11" t="s">
        <v>28</v>
      </c>
      <c r="K10238" s="11" t="s">
        <v>28</v>
      </c>
      <c r="L10238" s="11" t="s">
        <v>28</v>
      </c>
      <c r="M10238" s="11" t="s">
        <v>28</v>
      </c>
      <c r="N10238" s="8">
        <v>41904</v>
      </c>
      <c r="O10238" s="9" t="s">
        <v>30</v>
      </c>
      <c r="P10238" s="12" t="s">
        <v>29057</v>
      </c>
      <c r="Q10238" s="9" t="s">
        <v>245</v>
      </c>
      <c r="R10238" s="14" t="str">
        <f>HYPERLINK("https://my.pitchbook.com?c=226556-38T","View Company Online")</f>
        <v>View Company Online</v>
      </c>
    </row>
    <row r="10239" spans="1:18" hidden="1" x14ac:dyDescent="0.3">
      <c r="A10239" s="15" t="s">
        <v>29058</v>
      </c>
      <c r="B10239" s="15" t="s">
        <v>29059</v>
      </c>
      <c r="C10239" s="18" t="s">
        <v>28</v>
      </c>
      <c r="D10239" s="15" t="s">
        <v>29060</v>
      </c>
      <c r="E10239" s="18" t="s">
        <v>28</v>
      </c>
      <c r="F10239" s="19" t="s">
        <v>28</v>
      </c>
      <c r="G10239" s="19" t="s">
        <v>28</v>
      </c>
      <c r="H10239" s="19" t="s">
        <v>28</v>
      </c>
      <c r="I10239" s="18" t="s">
        <v>28</v>
      </c>
      <c r="J10239" s="18" t="s">
        <v>28</v>
      </c>
      <c r="K10239" s="18" t="s">
        <v>28</v>
      </c>
      <c r="L10239" s="18" t="s">
        <v>28</v>
      </c>
      <c r="M10239" s="18" t="s">
        <v>28</v>
      </c>
      <c r="N10239" s="17">
        <v>41904</v>
      </c>
      <c r="O10239" s="15" t="s">
        <v>30</v>
      </c>
      <c r="P10239" s="16" t="s">
        <v>28598</v>
      </c>
      <c r="Q10239" s="15" t="s">
        <v>245</v>
      </c>
      <c r="R10239" s="13" t="str">
        <f>HYPERLINK("https://my.pitchbook.com?c=213705-73T","View Company Online")</f>
        <v>View Company Online</v>
      </c>
    </row>
    <row r="10240" spans="1:18" hidden="1" x14ac:dyDescent="0.3">
      <c r="A10240" s="9" t="s">
        <v>29061</v>
      </c>
      <c r="B10240" s="9" t="s">
        <v>29062</v>
      </c>
      <c r="C10240" s="11" t="s">
        <v>28</v>
      </c>
      <c r="D10240" s="9" t="s">
        <v>29063</v>
      </c>
      <c r="E10240" s="11" t="s">
        <v>28</v>
      </c>
      <c r="F10240" s="10" t="s">
        <v>28</v>
      </c>
      <c r="G10240" s="10" t="s">
        <v>28</v>
      </c>
      <c r="H10240" s="10" t="s">
        <v>28</v>
      </c>
      <c r="I10240" s="11" t="s">
        <v>28</v>
      </c>
      <c r="J10240" s="11" t="s">
        <v>28</v>
      </c>
      <c r="K10240" s="11" t="s">
        <v>28</v>
      </c>
      <c r="L10240" s="11" t="s">
        <v>28</v>
      </c>
      <c r="M10240" s="11" t="s">
        <v>28</v>
      </c>
      <c r="N10240" s="8">
        <v>41901</v>
      </c>
      <c r="O10240" s="9" t="s">
        <v>30</v>
      </c>
      <c r="P10240" s="12" t="s">
        <v>29064</v>
      </c>
      <c r="Q10240" s="9" t="s">
        <v>386</v>
      </c>
      <c r="R10240" s="14" t="str">
        <f>HYPERLINK("https://my.pitchbook.com?c=37743-31T","View Company Online")</f>
        <v>View Company Online</v>
      </c>
    </row>
    <row r="10241" spans="1:18" hidden="1" x14ac:dyDescent="0.3">
      <c r="A10241" s="15" t="s">
        <v>29065</v>
      </c>
      <c r="B10241" s="15" t="s">
        <v>29066</v>
      </c>
      <c r="C10241" s="18" t="s">
        <v>28</v>
      </c>
      <c r="D10241" s="15" t="s">
        <v>29067</v>
      </c>
      <c r="E10241" s="18" t="s">
        <v>28</v>
      </c>
      <c r="F10241" s="19">
        <v>14.3</v>
      </c>
      <c r="G10241" s="19">
        <v>14.3</v>
      </c>
      <c r="H10241" s="19">
        <v>14.3</v>
      </c>
      <c r="I10241" s="18" t="s">
        <v>28</v>
      </c>
      <c r="J10241" s="18" t="s">
        <v>28</v>
      </c>
      <c r="K10241" s="18" t="s">
        <v>28</v>
      </c>
      <c r="L10241" s="18" t="s">
        <v>28</v>
      </c>
      <c r="M10241" s="18" t="s">
        <v>28</v>
      </c>
      <c r="N10241" s="17">
        <v>41901</v>
      </c>
      <c r="O10241" s="15" t="s">
        <v>30</v>
      </c>
      <c r="P10241" s="16" t="s">
        <v>29068</v>
      </c>
      <c r="Q10241" s="15" t="s">
        <v>566</v>
      </c>
      <c r="R10241" s="13" t="str">
        <f>HYPERLINK("https://my.pitchbook.com?c=54930-34T","View Company Online")</f>
        <v>View Company Online</v>
      </c>
    </row>
    <row r="10242" spans="1:18" hidden="1" x14ac:dyDescent="0.3">
      <c r="A10242" s="9" t="s">
        <v>29069</v>
      </c>
      <c r="B10242" s="9" t="s">
        <v>29070</v>
      </c>
      <c r="C10242" s="11" t="s">
        <v>28</v>
      </c>
      <c r="D10242" s="9" t="s">
        <v>29071</v>
      </c>
      <c r="E10242" s="11" t="s">
        <v>28</v>
      </c>
      <c r="F10242" s="10" t="s">
        <v>28</v>
      </c>
      <c r="G10242" s="10" t="s">
        <v>28</v>
      </c>
      <c r="H10242" s="10" t="s">
        <v>28</v>
      </c>
      <c r="I10242" s="11" t="s">
        <v>28</v>
      </c>
      <c r="J10242" s="11" t="s">
        <v>28</v>
      </c>
      <c r="K10242" s="11" t="s">
        <v>28</v>
      </c>
      <c r="L10242" s="11" t="s">
        <v>28</v>
      </c>
      <c r="M10242" s="11" t="s">
        <v>28</v>
      </c>
      <c r="N10242" s="8">
        <v>41900</v>
      </c>
      <c r="O10242" s="9" t="s">
        <v>30</v>
      </c>
      <c r="P10242" s="12" t="s">
        <v>29072</v>
      </c>
      <c r="Q10242" s="9" t="s">
        <v>105</v>
      </c>
      <c r="R10242" s="14" t="str">
        <f>HYPERLINK("https://my.pitchbook.com?c=82384-48T","View Company Online")</f>
        <v>View Company Online</v>
      </c>
    </row>
    <row r="10243" spans="1:18" hidden="1" x14ac:dyDescent="0.3">
      <c r="A10243" s="15" t="s">
        <v>29073</v>
      </c>
      <c r="B10243" s="15" t="s">
        <v>29074</v>
      </c>
      <c r="C10243" s="18" t="s">
        <v>28</v>
      </c>
      <c r="D10243" s="15" t="s">
        <v>29075</v>
      </c>
      <c r="E10243" s="18" t="s">
        <v>28</v>
      </c>
      <c r="F10243" s="19" t="s">
        <v>28</v>
      </c>
      <c r="G10243" s="19" t="s">
        <v>28</v>
      </c>
      <c r="H10243" s="19" t="s">
        <v>28</v>
      </c>
      <c r="I10243" s="18" t="s">
        <v>28</v>
      </c>
      <c r="J10243" s="18" t="s">
        <v>28</v>
      </c>
      <c r="K10243" s="18" t="s">
        <v>28</v>
      </c>
      <c r="L10243" s="18" t="s">
        <v>28</v>
      </c>
      <c r="M10243" s="18" t="s">
        <v>28</v>
      </c>
      <c r="N10243" s="17">
        <v>41899</v>
      </c>
      <c r="O10243" s="15" t="s">
        <v>173</v>
      </c>
      <c r="P10243" s="16" t="s">
        <v>28</v>
      </c>
      <c r="Q10243" s="15" t="s">
        <v>174</v>
      </c>
      <c r="R10243" s="13" t="str">
        <f>HYPERLINK("https://my.pitchbook.com?c=224073-46T","View Company Online")</f>
        <v>View Company Online</v>
      </c>
    </row>
    <row r="10244" spans="1:18" hidden="1" x14ac:dyDescent="0.3">
      <c r="A10244" s="9" t="s">
        <v>29076</v>
      </c>
      <c r="B10244" s="9" t="s">
        <v>29077</v>
      </c>
      <c r="C10244" s="11" t="s">
        <v>28</v>
      </c>
      <c r="D10244" s="9" t="s">
        <v>29078</v>
      </c>
      <c r="E10244" s="11" t="s">
        <v>28</v>
      </c>
      <c r="F10244" s="10" t="s">
        <v>28</v>
      </c>
      <c r="G10244" s="10" t="s">
        <v>28</v>
      </c>
      <c r="H10244" s="10" t="s">
        <v>28</v>
      </c>
      <c r="I10244" s="11" t="s">
        <v>28</v>
      </c>
      <c r="J10244" s="11" t="s">
        <v>28</v>
      </c>
      <c r="K10244" s="11" t="s">
        <v>28</v>
      </c>
      <c r="L10244" s="11" t="s">
        <v>28</v>
      </c>
      <c r="M10244" s="11" t="s">
        <v>28</v>
      </c>
      <c r="N10244" s="8">
        <v>41899</v>
      </c>
      <c r="O10244" s="9" t="s">
        <v>30</v>
      </c>
      <c r="P10244" s="12" t="s">
        <v>29079</v>
      </c>
      <c r="Q10244" s="9" t="s">
        <v>1536</v>
      </c>
      <c r="R10244" s="14" t="str">
        <f>HYPERLINK("https://my.pitchbook.com?c=89467-66T","View Company Online")</f>
        <v>View Company Online</v>
      </c>
    </row>
    <row r="10245" spans="1:18" hidden="1" x14ac:dyDescent="0.3">
      <c r="A10245" s="15" t="s">
        <v>29080</v>
      </c>
      <c r="B10245" s="15" t="s">
        <v>29081</v>
      </c>
      <c r="C10245" s="18" t="s">
        <v>28</v>
      </c>
      <c r="D10245" s="15" t="s">
        <v>29082</v>
      </c>
      <c r="E10245" s="18" t="s">
        <v>28</v>
      </c>
      <c r="F10245" s="19" t="s">
        <v>28</v>
      </c>
      <c r="G10245" s="19">
        <v>1.32</v>
      </c>
      <c r="H10245" s="19" t="s">
        <v>28</v>
      </c>
      <c r="I10245" s="18" t="s">
        <v>28</v>
      </c>
      <c r="J10245" s="18" t="s">
        <v>28</v>
      </c>
      <c r="K10245" s="18" t="s">
        <v>28</v>
      </c>
      <c r="L10245" s="18" t="s">
        <v>28</v>
      </c>
      <c r="M10245" s="18" t="s">
        <v>28</v>
      </c>
      <c r="N10245" s="17">
        <v>41899</v>
      </c>
      <c r="O10245" s="15" t="s">
        <v>379</v>
      </c>
      <c r="P10245" s="16" t="s">
        <v>1140</v>
      </c>
      <c r="Q10245" s="15" t="s">
        <v>75</v>
      </c>
      <c r="R10245" s="13" t="str">
        <f>HYPERLINK("https://my.pitchbook.com?c=47427-04T","View Company Online")</f>
        <v>View Company Online</v>
      </c>
    </row>
    <row r="10246" spans="1:18" hidden="1" x14ac:dyDescent="0.3">
      <c r="A10246" s="9" t="s">
        <v>29083</v>
      </c>
      <c r="B10246" s="9" t="s">
        <v>29084</v>
      </c>
      <c r="C10246" s="11" t="s">
        <v>28</v>
      </c>
      <c r="D10246" s="9" t="s">
        <v>29085</v>
      </c>
      <c r="E10246" s="11" t="s">
        <v>28</v>
      </c>
      <c r="F10246" s="10" t="s">
        <v>28</v>
      </c>
      <c r="G10246" s="10">
        <v>97.5</v>
      </c>
      <c r="H10246" s="10" t="s">
        <v>28</v>
      </c>
      <c r="I10246" s="11" t="s">
        <v>28</v>
      </c>
      <c r="J10246" s="11" t="s">
        <v>28</v>
      </c>
      <c r="K10246" s="11" t="s">
        <v>28</v>
      </c>
      <c r="L10246" s="11" t="s">
        <v>28</v>
      </c>
      <c r="M10246" s="11" t="s">
        <v>28</v>
      </c>
      <c r="N10246" s="8">
        <v>41898</v>
      </c>
      <c r="O10246" s="9" t="s">
        <v>93</v>
      </c>
      <c r="P10246" s="12" t="s">
        <v>29086</v>
      </c>
      <c r="Q10246" s="9" t="s">
        <v>692</v>
      </c>
      <c r="R10246" s="14" t="str">
        <f>HYPERLINK("https://my.pitchbook.com?c=89244-01T","View Company Online")</f>
        <v>View Company Online</v>
      </c>
    </row>
    <row r="10247" spans="1:18" hidden="1" x14ac:dyDescent="0.3">
      <c r="A10247" s="15" t="s">
        <v>29087</v>
      </c>
      <c r="B10247" s="15" t="s">
        <v>29088</v>
      </c>
      <c r="C10247" s="18" t="s">
        <v>28</v>
      </c>
      <c r="D10247" s="15" t="s">
        <v>29089</v>
      </c>
      <c r="E10247" s="18" t="s">
        <v>28</v>
      </c>
      <c r="F10247" s="19" t="s">
        <v>28</v>
      </c>
      <c r="G10247" s="19" t="s">
        <v>28</v>
      </c>
      <c r="H10247" s="19" t="s">
        <v>28</v>
      </c>
      <c r="I10247" s="18" t="s">
        <v>28</v>
      </c>
      <c r="J10247" s="18" t="s">
        <v>28</v>
      </c>
      <c r="K10247" s="18" t="s">
        <v>28</v>
      </c>
      <c r="L10247" s="18" t="s">
        <v>28</v>
      </c>
      <c r="M10247" s="18" t="s">
        <v>28</v>
      </c>
      <c r="N10247" s="17">
        <v>41898</v>
      </c>
      <c r="O10247" s="15" t="s">
        <v>30</v>
      </c>
      <c r="P10247" s="16" t="s">
        <v>29090</v>
      </c>
      <c r="Q10247" s="15" t="s">
        <v>1853</v>
      </c>
      <c r="R10247" s="13" t="str">
        <f>HYPERLINK("https://my.pitchbook.com?c=100306-90T","View Company Online")</f>
        <v>View Company Online</v>
      </c>
    </row>
    <row r="10248" spans="1:18" hidden="1" x14ac:dyDescent="0.3">
      <c r="A10248" s="9" t="s">
        <v>29091</v>
      </c>
      <c r="B10248" s="9" t="s">
        <v>29092</v>
      </c>
      <c r="C10248" s="11" t="s">
        <v>28</v>
      </c>
      <c r="D10248" s="9" t="s">
        <v>29093</v>
      </c>
      <c r="E10248" s="11" t="s">
        <v>28</v>
      </c>
      <c r="F10248" s="10" t="s">
        <v>28</v>
      </c>
      <c r="G10248" s="10" t="s">
        <v>28</v>
      </c>
      <c r="H10248" s="10" t="s">
        <v>28</v>
      </c>
      <c r="I10248" s="11" t="s">
        <v>28</v>
      </c>
      <c r="J10248" s="11" t="s">
        <v>28</v>
      </c>
      <c r="K10248" s="11" t="s">
        <v>28</v>
      </c>
      <c r="L10248" s="11" t="s">
        <v>28</v>
      </c>
      <c r="M10248" s="11" t="s">
        <v>28</v>
      </c>
      <c r="N10248" s="8">
        <v>41898</v>
      </c>
      <c r="O10248" s="9" t="s">
        <v>30</v>
      </c>
      <c r="P10248" s="12" t="s">
        <v>29094</v>
      </c>
      <c r="Q10248" s="9" t="s">
        <v>263</v>
      </c>
      <c r="R10248" s="14" t="str">
        <f>HYPERLINK("https://my.pitchbook.com?c=37647-55T","View Company Online")</f>
        <v>View Company Online</v>
      </c>
    </row>
    <row r="10249" spans="1:18" hidden="1" x14ac:dyDescent="0.3">
      <c r="A10249" s="15" t="s">
        <v>29095</v>
      </c>
      <c r="B10249" s="15" t="s">
        <v>29096</v>
      </c>
      <c r="C10249" s="18" t="s">
        <v>28</v>
      </c>
      <c r="D10249" s="15" t="s">
        <v>29097</v>
      </c>
      <c r="E10249" s="18" t="s">
        <v>28</v>
      </c>
      <c r="F10249" s="19" t="s">
        <v>28</v>
      </c>
      <c r="G10249" s="19" t="s">
        <v>28</v>
      </c>
      <c r="H10249" s="19" t="s">
        <v>28</v>
      </c>
      <c r="I10249" s="18" t="s">
        <v>28</v>
      </c>
      <c r="J10249" s="18" t="s">
        <v>28</v>
      </c>
      <c r="K10249" s="18" t="s">
        <v>28</v>
      </c>
      <c r="L10249" s="18" t="s">
        <v>28</v>
      </c>
      <c r="M10249" s="18" t="s">
        <v>28</v>
      </c>
      <c r="N10249" s="17">
        <v>41897</v>
      </c>
      <c r="O10249" s="15" t="s">
        <v>41</v>
      </c>
      <c r="P10249" s="16" t="s">
        <v>29098</v>
      </c>
      <c r="Q10249" s="15" t="s">
        <v>419</v>
      </c>
      <c r="R10249" s="13" t="str">
        <f>HYPERLINK("https://my.pitchbook.com?c=37623-70T","View Company Online")</f>
        <v>View Company Online</v>
      </c>
    </row>
    <row r="10250" spans="1:18" hidden="1" x14ac:dyDescent="0.3">
      <c r="A10250" s="9" t="s">
        <v>29099</v>
      </c>
      <c r="B10250" s="9" t="s">
        <v>29100</v>
      </c>
      <c r="C10250" s="11" t="s">
        <v>28</v>
      </c>
      <c r="D10250" s="9" t="s">
        <v>29101</v>
      </c>
      <c r="E10250" s="11" t="s">
        <v>28</v>
      </c>
      <c r="F10250" s="10" t="s">
        <v>28</v>
      </c>
      <c r="G10250" s="10" t="s">
        <v>28</v>
      </c>
      <c r="H10250" s="10" t="s">
        <v>28</v>
      </c>
      <c r="I10250" s="11" t="s">
        <v>28</v>
      </c>
      <c r="J10250" s="11" t="s">
        <v>28</v>
      </c>
      <c r="K10250" s="11" t="s">
        <v>28</v>
      </c>
      <c r="L10250" s="11" t="s">
        <v>28</v>
      </c>
      <c r="M10250" s="11" t="s">
        <v>28</v>
      </c>
      <c r="N10250" s="8">
        <v>41897</v>
      </c>
      <c r="O10250" s="9" t="s">
        <v>30</v>
      </c>
      <c r="P10250" s="12" t="s">
        <v>29102</v>
      </c>
      <c r="Q10250" s="9" t="s">
        <v>353</v>
      </c>
      <c r="R10250" s="14" t="str">
        <f>HYPERLINK("https://my.pitchbook.com?c=37561-42T","View Company Online")</f>
        <v>View Company Online</v>
      </c>
    </row>
    <row r="10251" spans="1:18" hidden="1" x14ac:dyDescent="0.3">
      <c r="A10251" s="15" t="s">
        <v>29103</v>
      </c>
      <c r="B10251" s="15" t="s">
        <v>29104</v>
      </c>
      <c r="C10251" s="18" t="s">
        <v>28</v>
      </c>
      <c r="D10251" s="15" t="s">
        <v>29105</v>
      </c>
      <c r="E10251" s="18" t="s">
        <v>28</v>
      </c>
      <c r="F10251" s="19" t="s">
        <v>28</v>
      </c>
      <c r="G10251" s="19">
        <v>3.96</v>
      </c>
      <c r="H10251" s="19">
        <v>9.89</v>
      </c>
      <c r="I10251" s="18" t="s">
        <v>28</v>
      </c>
      <c r="J10251" s="18" t="s">
        <v>28</v>
      </c>
      <c r="K10251" s="18" t="s">
        <v>28</v>
      </c>
      <c r="L10251" s="18" t="s">
        <v>28</v>
      </c>
      <c r="M10251" s="18" t="s">
        <v>28</v>
      </c>
      <c r="N10251" s="17">
        <v>41897</v>
      </c>
      <c r="O10251" s="15" t="s">
        <v>58</v>
      </c>
      <c r="P10251" s="16" t="s">
        <v>29106</v>
      </c>
      <c r="Q10251" s="15" t="s">
        <v>19850</v>
      </c>
      <c r="R10251" s="13" t="str">
        <f>HYPERLINK("https://my.pitchbook.com?c=70332-67T","View Company Online")</f>
        <v>View Company Online</v>
      </c>
    </row>
    <row r="10252" spans="1:18" hidden="1" x14ac:dyDescent="0.3">
      <c r="A10252" s="9" t="s">
        <v>29107</v>
      </c>
      <c r="B10252" s="9" t="s">
        <v>10814</v>
      </c>
      <c r="C10252" s="11" t="s">
        <v>28</v>
      </c>
      <c r="D10252" s="9" t="s">
        <v>10815</v>
      </c>
      <c r="E10252" s="11" t="s">
        <v>28</v>
      </c>
      <c r="F10252" s="10" t="s">
        <v>28</v>
      </c>
      <c r="G10252" s="10" t="s">
        <v>28</v>
      </c>
      <c r="H10252" s="10" t="s">
        <v>28</v>
      </c>
      <c r="I10252" s="11" t="s">
        <v>28</v>
      </c>
      <c r="J10252" s="11" t="s">
        <v>28</v>
      </c>
      <c r="K10252" s="11" t="s">
        <v>28</v>
      </c>
      <c r="L10252" s="11" t="s">
        <v>28</v>
      </c>
      <c r="M10252" s="11" t="s">
        <v>28</v>
      </c>
      <c r="N10252" s="8">
        <v>41897</v>
      </c>
      <c r="O10252" s="9" t="s">
        <v>52</v>
      </c>
      <c r="P10252" s="12" t="s">
        <v>11539</v>
      </c>
      <c r="Q10252" s="9" t="s">
        <v>75</v>
      </c>
      <c r="R10252" s="14" t="str">
        <f>HYPERLINK("https://my.pitchbook.com?c=66106-81T","View Company Online")</f>
        <v>View Company Online</v>
      </c>
    </row>
    <row r="10253" spans="1:18" hidden="1" x14ac:dyDescent="0.3">
      <c r="A10253" s="15" t="s">
        <v>29108</v>
      </c>
      <c r="B10253" s="15" t="s">
        <v>985</v>
      </c>
      <c r="C10253" s="18" t="s">
        <v>28</v>
      </c>
      <c r="D10253" s="15" t="s">
        <v>986</v>
      </c>
      <c r="E10253" s="18" t="s">
        <v>28</v>
      </c>
      <c r="F10253" s="19" t="s">
        <v>28</v>
      </c>
      <c r="G10253" s="19">
        <v>1.1599999999999999</v>
      </c>
      <c r="H10253" s="19" t="s">
        <v>28</v>
      </c>
      <c r="I10253" s="18" t="s">
        <v>28</v>
      </c>
      <c r="J10253" s="18" t="s">
        <v>28</v>
      </c>
      <c r="K10253" s="18" t="s">
        <v>28</v>
      </c>
      <c r="L10253" s="18" t="s">
        <v>28</v>
      </c>
      <c r="M10253" s="18" t="s">
        <v>28</v>
      </c>
      <c r="N10253" s="17">
        <v>41896</v>
      </c>
      <c r="O10253" s="15" t="s">
        <v>99</v>
      </c>
      <c r="P10253" s="16" t="s">
        <v>29109</v>
      </c>
      <c r="Q10253" s="15" t="s">
        <v>37</v>
      </c>
      <c r="R10253" s="13" t="str">
        <f>HYPERLINK("https://my.pitchbook.com?c=54902-17T","View Company Online")</f>
        <v>View Company Online</v>
      </c>
    </row>
    <row r="10254" spans="1:18" hidden="1" x14ac:dyDescent="0.3">
      <c r="A10254" s="9" t="s">
        <v>29110</v>
      </c>
      <c r="B10254" s="9" t="s">
        <v>15786</v>
      </c>
      <c r="C10254" s="11" t="s">
        <v>28</v>
      </c>
      <c r="D10254" s="9" t="s">
        <v>15787</v>
      </c>
      <c r="E10254" s="11" t="s">
        <v>28</v>
      </c>
      <c r="F10254" s="10" t="s">
        <v>28</v>
      </c>
      <c r="G10254" s="10">
        <v>0.04</v>
      </c>
      <c r="H10254" s="10">
        <v>0.4</v>
      </c>
      <c r="I10254" s="11" t="s">
        <v>28</v>
      </c>
      <c r="J10254" s="11" t="s">
        <v>28</v>
      </c>
      <c r="K10254" s="11" t="s">
        <v>28</v>
      </c>
      <c r="L10254" s="11" t="s">
        <v>28</v>
      </c>
      <c r="M10254" s="11" t="s">
        <v>28</v>
      </c>
      <c r="N10254" s="8">
        <v>41896</v>
      </c>
      <c r="O10254" s="9" t="s">
        <v>379</v>
      </c>
      <c r="P10254" s="12" t="s">
        <v>29111</v>
      </c>
      <c r="Q10254" s="9" t="s">
        <v>5628</v>
      </c>
      <c r="R10254" s="14" t="str">
        <f>HYPERLINK("https://my.pitchbook.com?c=70278-13T","View Company Online")</f>
        <v>View Company Online</v>
      </c>
    </row>
    <row r="10255" spans="1:18" hidden="1" x14ac:dyDescent="0.3">
      <c r="A10255" s="15" t="s">
        <v>29112</v>
      </c>
      <c r="B10255" s="15" t="s">
        <v>23064</v>
      </c>
      <c r="C10255" s="18" t="s">
        <v>28</v>
      </c>
      <c r="D10255" s="15" t="s">
        <v>23065</v>
      </c>
      <c r="E10255" s="18" t="s">
        <v>28</v>
      </c>
      <c r="F10255" s="19" t="s">
        <v>28</v>
      </c>
      <c r="G10255" s="19">
        <v>1</v>
      </c>
      <c r="H10255" s="19" t="s">
        <v>28</v>
      </c>
      <c r="I10255" s="18" t="s">
        <v>28</v>
      </c>
      <c r="J10255" s="18" t="s">
        <v>28</v>
      </c>
      <c r="K10255" s="18" t="s">
        <v>28</v>
      </c>
      <c r="L10255" s="18" t="s">
        <v>28</v>
      </c>
      <c r="M10255" s="18" t="s">
        <v>28</v>
      </c>
      <c r="N10255" s="17">
        <v>41896</v>
      </c>
      <c r="O10255" s="15" t="s">
        <v>73</v>
      </c>
      <c r="P10255" s="16" t="s">
        <v>29113</v>
      </c>
      <c r="Q10255" s="15" t="s">
        <v>386</v>
      </c>
      <c r="R10255" s="13" t="str">
        <f>HYPERLINK("https://my.pitchbook.com?c=37553-86T","View Company Online")</f>
        <v>View Company Online</v>
      </c>
    </row>
    <row r="10256" spans="1:18" hidden="1" x14ac:dyDescent="0.3">
      <c r="A10256" s="9" t="s">
        <v>29114</v>
      </c>
      <c r="B10256" s="9" t="s">
        <v>10855</v>
      </c>
      <c r="C10256" s="11" t="s">
        <v>28</v>
      </c>
      <c r="D10256" s="9" t="s">
        <v>10856</v>
      </c>
      <c r="E10256" s="11" t="s">
        <v>28</v>
      </c>
      <c r="F10256" s="10" t="s">
        <v>28</v>
      </c>
      <c r="G10256" s="10">
        <v>0.15</v>
      </c>
      <c r="H10256" s="10" t="s">
        <v>28</v>
      </c>
      <c r="I10256" s="11" t="s">
        <v>28</v>
      </c>
      <c r="J10256" s="11" t="s">
        <v>28</v>
      </c>
      <c r="K10256" s="11" t="s">
        <v>28</v>
      </c>
      <c r="L10256" s="11" t="s">
        <v>28</v>
      </c>
      <c r="M10256" s="11" t="s">
        <v>28</v>
      </c>
      <c r="N10256" s="8">
        <v>41895</v>
      </c>
      <c r="O10256" s="9" t="s">
        <v>47</v>
      </c>
      <c r="P10256" s="12" t="s">
        <v>15923</v>
      </c>
      <c r="Q10256" s="9" t="s">
        <v>1793</v>
      </c>
      <c r="R10256" s="14" t="str">
        <f>HYPERLINK("https://my.pitchbook.com?c=57545-11T","View Company Online")</f>
        <v>View Company Online</v>
      </c>
    </row>
    <row r="10257" spans="1:18" hidden="1" x14ac:dyDescent="0.3">
      <c r="A10257" s="15" t="s">
        <v>29115</v>
      </c>
      <c r="B10257" s="15" t="s">
        <v>28301</v>
      </c>
      <c r="C10257" s="18" t="s">
        <v>28</v>
      </c>
      <c r="D10257" s="15" t="s">
        <v>28302</v>
      </c>
      <c r="E10257" s="18" t="s">
        <v>28</v>
      </c>
      <c r="F10257" s="19" t="s">
        <v>28</v>
      </c>
      <c r="G10257" s="19">
        <v>0.13</v>
      </c>
      <c r="H10257" s="19" t="s">
        <v>28</v>
      </c>
      <c r="I10257" s="18" t="s">
        <v>28</v>
      </c>
      <c r="J10257" s="18" t="s">
        <v>28</v>
      </c>
      <c r="K10257" s="18" t="s">
        <v>28</v>
      </c>
      <c r="L10257" s="18" t="s">
        <v>28</v>
      </c>
      <c r="M10257" s="18" t="s">
        <v>28</v>
      </c>
      <c r="N10257" s="17">
        <v>41894</v>
      </c>
      <c r="O10257" s="15" t="s">
        <v>47</v>
      </c>
      <c r="P10257" s="16" t="s">
        <v>28</v>
      </c>
      <c r="Q10257" s="15" t="s">
        <v>1191</v>
      </c>
      <c r="R10257" s="13" t="str">
        <f>HYPERLINK("https://my.pitchbook.com?c=48715-75T","View Company Online")</f>
        <v>View Company Online</v>
      </c>
    </row>
    <row r="10258" spans="1:18" hidden="1" x14ac:dyDescent="0.3">
      <c r="A10258" s="9" t="s">
        <v>29116</v>
      </c>
      <c r="B10258" s="9" t="s">
        <v>7491</v>
      </c>
      <c r="C10258" s="11" t="s">
        <v>28</v>
      </c>
      <c r="D10258" s="9" t="s">
        <v>7492</v>
      </c>
      <c r="E10258" s="11" t="s">
        <v>28</v>
      </c>
      <c r="F10258" s="10" t="s">
        <v>28</v>
      </c>
      <c r="G10258" s="10">
        <v>24</v>
      </c>
      <c r="H10258" s="10" t="s">
        <v>28</v>
      </c>
      <c r="I10258" s="11" t="s">
        <v>28</v>
      </c>
      <c r="J10258" s="11" t="s">
        <v>28</v>
      </c>
      <c r="K10258" s="11" t="s">
        <v>28</v>
      </c>
      <c r="L10258" s="11" t="s">
        <v>28</v>
      </c>
      <c r="M10258" s="11" t="s">
        <v>28</v>
      </c>
      <c r="N10258" s="8">
        <v>41894</v>
      </c>
      <c r="O10258" s="9" t="s">
        <v>79</v>
      </c>
      <c r="P10258" s="12" t="s">
        <v>29117</v>
      </c>
      <c r="Q10258" s="9" t="s">
        <v>75</v>
      </c>
      <c r="R10258" s="14" t="str">
        <f>HYPERLINK("https://my.pitchbook.com?c=35600-32T","View Company Online")</f>
        <v>View Company Online</v>
      </c>
    </row>
    <row r="10259" spans="1:18" hidden="1" x14ac:dyDescent="0.3">
      <c r="A10259" s="15" t="s">
        <v>29118</v>
      </c>
      <c r="B10259" s="15" t="s">
        <v>29119</v>
      </c>
      <c r="C10259" s="18" t="s">
        <v>28</v>
      </c>
      <c r="D10259" s="15" t="s">
        <v>29120</v>
      </c>
      <c r="E10259" s="18" t="s">
        <v>28</v>
      </c>
      <c r="F10259" s="19" t="s">
        <v>28</v>
      </c>
      <c r="G10259" s="19" t="s">
        <v>28</v>
      </c>
      <c r="H10259" s="19" t="s">
        <v>28</v>
      </c>
      <c r="I10259" s="18" t="s">
        <v>28</v>
      </c>
      <c r="J10259" s="18" t="s">
        <v>28</v>
      </c>
      <c r="K10259" s="18" t="s">
        <v>28</v>
      </c>
      <c r="L10259" s="18" t="s">
        <v>28</v>
      </c>
      <c r="M10259" s="18" t="s">
        <v>28</v>
      </c>
      <c r="N10259" s="17">
        <v>41894</v>
      </c>
      <c r="O10259" s="15" t="s">
        <v>30</v>
      </c>
      <c r="P10259" s="16" t="s">
        <v>29121</v>
      </c>
      <c r="Q10259" s="15" t="s">
        <v>119</v>
      </c>
      <c r="R10259" s="13" t="str">
        <f>HYPERLINK("https://my.pitchbook.com?c=256820-68T","View Company Online")</f>
        <v>View Company Online</v>
      </c>
    </row>
    <row r="10260" spans="1:18" hidden="1" x14ac:dyDescent="0.3">
      <c r="A10260" s="9" t="s">
        <v>29122</v>
      </c>
      <c r="B10260" s="9" t="s">
        <v>29123</v>
      </c>
      <c r="C10260" s="11" t="s">
        <v>28</v>
      </c>
      <c r="D10260" s="9" t="s">
        <v>29124</v>
      </c>
      <c r="E10260" s="11" t="s">
        <v>28</v>
      </c>
      <c r="F10260" s="10" t="s">
        <v>28</v>
      </c>
      <c r="G10260" s="10" t="s">
        <v>28</v>
      </c>
      <c r="H10260" s="10" t="s">
        <v>28</v>
      </c>
      <c r="I10260" s="11" t="s">
        <v>28</v>
      </c>
      <c r="J10260" s="11" t="s">
        <v>28</v>
      </c>
      <c r="K10260" s="11" t="s">
        <v>28</v>
      </c>
      <c r="L10260" s="11" t="s">
        <v>28</v>
      </c>
      <c r="M10260" s="11" t="s">
        <v>28</v>
      </c>
      <c r="N10260" s="8">
        <v>41892</v>
      </c>
      <c r="O10260" s="9" t="s">
        <v>30</v>
      </c>
      <c r="P10260" s="12" t="s">
        <v>2372</v>
      </c>
      <c r="Q10260" s="9" t="s">
        <v>37</v>
      </c>
      <c r="R10260" s="14" t="str">
        <f>HYPERLINK("https://my.pitchbook.com?c=89483-23T","View Company Online")</f>
        <v>View Company Online</v>
      </c>
    </row>
    <row r="10261" spans="1:18" hidden="1" x14ac:dyDescent="0.3">
      <c r="A10261" s="15" t="s">
        <v>29125</v>
      </c>
      <c r="B10261" s="15" t="s">
        <v>29126</v>
      </c>
      <c r="C10261" s="18" t="s">
        <v>28</v>
      </c>
      <c r="D10261" s="15" t="s">
        <v>29127</v>
      </c>
      <c r="E10261" s="18" t="s">
        <v>28</v>
      </c>
      <c r="F10261" s="19" t="s">
        <v>28</v>
      </c>
      <c r="G10261" s="19">
        <v>24.02</v>
      </c>
      <c r="H10261" s="19">
        <v>48.03</v>
      </c>
      <c r="I10261" s="18" t="s">
        <v>28</v>
      </c>
      <c r="J10261" s="18" t="s">
        <v>28</v>
      </c>
      <c r="K10261" s="18" t="s">
        <v>28</v>
      </c>
      <c r="L10261" s="18" t="s">
        <v>28</v>
      </c>
      <c r="M10261" s="18" t="s">
        <v>28</v>
      </c>
      <c r="N10261" s="17">
        <v>41892</v>
      </c>
      <c r="O10261" s="15" t="s">
        <v>79</v>
      </c>
      <c r="P10261" s="16" t="s">
        <v>29128</v>
      </c>
      <c r="Q10261" s="15" t="s">
        <v>69</v>
      </c>
      <c r="R10261" s="13" t="str">
        <f>HYPERLINK("https://my.pitchbook.com?c=89512-03T","View Company Online")</f>
        <v>View Company Online</v>
      </c>
    </row>
    <row r="10262" spans="1:18" hidden="1" x14ac:dyDescent="0.3">
      <c r="A10262" s="9" t="s">
        <v>29129</v>
      </c>
      <c r="B10262" s="9" t="s">
        <v>28981</v>
      </c>
      <c r="C10262" s="11" t="s">
        <v>28</v>
      </c>
      <c r="D10262" s="9" t="s">
        <v>28982</v>
      </c>
      <c r="E10262" s="11" t="s">
        <v>28</v>
      </c>
      <c r="F10262" s="10" t="s">
        <v>28</v>
      </c>
      <c r="G10262" s="10">
        <v>0.2</v>
      </c>
      <c r="H10262" s="10" t="s">
        <v>28</v>
      </c>
      <c r="I10262" s="11" t="s">
        <v>28</v>
      </c>
      <c r="J10262" s="11" t="s">
        <v>28</v>
      </c>
      <c r="K10262" s="11" t="s">
        <v>28</v>
      </c>
      <c r="L10262" s="11" t="s">
        <v>28</v>
      </c>
      <c r="M10262" s="11" t="s">
        <v>28</v>
      </c>
      <c r="N10262" s="8">
        <v>41892</v>
      </c>
      <c r="O10262" s="9" t="s">
        <v>47</v>
      </c>
      <c r="P10262" s="12" t="s">
        <v>28</v>
      </c>
      <c r="Q10262" s="9" t="s">
        <v>95</v>
      </c>
      <c r="R10262" s="14" t="str">
        <f>HYPERLINK("https://my.pitchbook.com?c=57513-79T","View Company Online")</f>
        <v>View Company Online</v>
      </c>
    </row>
    <row r="10263" spans="1:18" x14ac:dyDescent="0.3">
      <c r="A10263" s="15" t="s">
        <v>29130</v>
      </c>
      <c r="B10263" s="15" t="s">
        <v>27965</v>
      </c>
      <c r="C10263" s="18" t="s">
        <v>28</v>
      </c>
      <c r="D10263" s="15" t="s">
        <v>27966</v>
      </c>
      <c r="E10263" s="18">
        <v>12.49</v>
      </c>
      <c r="F10263" s="19" t="s">
        <v>28</v>
      </c>
      <c r="G10263" s="19">
        <v>35.26</v>
      </c>
      <c r="H10263" s="19">
        <v>180.84</v>
      </c>
      <c r="I10263" s="18">
        <v>2.0099999999999998</v>
      </c>
      <c r="J10263" s="18">
        <v>89.82</v>
      </c>
      <c r="K10263" s="18">
        <v>126.2</v>
      </c>
      <c r="L10263" s="18">
        <v>1.43</v>
      </c>
      <c r="M10263" s="18">
        <v>7.99</v>
      </c>
      <c r="N10263" s="17">
        <v>41891</v>
      </c>
      <c r="O10263" s="15" t="s">
        <v>93</v>
      </c>
      <c r="P10263" s="16" t="s">
        <v>29131</v>
      </c>
      <c r="Q10263" s="15" t="s">
        <v>160</v>
      </c>
      <c r="R10263" s="13" t="str">
        <f>HYPERLINK("https://my.pitchbook.com?c=86424-67T","View Company Online")</f>
        <v>View Company Online</v>
      </c>
    </row>
    <row r="10264" spans="1:18" hidden="1" x14ac:dyDescent="0.3">
      <c r="A10264" s="9" t="s">
        <v>29132</v>
      </c>
      <c r="B10264" s="9" t="s">
        <v>13289</v>
      </c>
      <c r="C10264" s="11" t="s">
        <v>28</v>
      </c>
      <c r="D10264" s="9" t="s">
        <v>13290</v>
      </c>
      <c r="E10264" s="11" t="s">
        <v>28</v>
      </c>
      <c r="F10264" s="10" t="s">
        <v>28</v>
      </c>
      <c r="G10264" s="10" t="s">
        <v>28</v>
      </c>
      <c r="H10264" s="10" t="s">
        <v>28</v>
      </c>
      <c r="I10264" s="11" t="s">
        <v>28</v>
      </c>
      <c r="J10264" s="11" t="s">
        <v>28</v>
      </c>
      <c r="K10264" s="11" t="s">
        <v>28</v>
      </c>
      <c r="L10264" s="11" t="s">
        <v>28</v>
      </c>
      <c r="M10264" s="11" t="s">
        <v>28</v>
      </c>
      <c r="N10264" s="8">
        <v>41891</v>
      </c>
      <c r="O10264" s="9" t="s">
        <v>52</v>
      </c>
      <c r="P10264" s="12" t="s">
        <v>11539</v>
      </c>
      <c r="Q10264" s="9" t="s">
        <v>5628</v>
      </c>
      <c r="R10264" s="14" t="str">
        <f>HYPERLINK("https://my.pitchbook.com?c=78852-34T","View Company Online")</f>
        <v>View Company Online</v>
      </c>
    </row>
    <row r="10265" spans="1:18" hidden="1" x14ac:dyDescent="0.3">
      <c r="A10265" s="15" t="s">
        <v>29133</v>
      </c>
      <c r="B10265" s="15" t="s">
        <v>24222</v>
      </c>
      <c r="C10265" s="18" t="s">
        <v>28</v>
      </c>
      <c r="D10265" s="15" t="s">
        <v>24223</v>
      </c>
      <c r="E10265" s="18" t="s">
        <v>28</v>
      </c>
      <c r="F10265" s="19" t="s">
        <v>28</v>
      </c>
      <c r="G10265" s="19">
        <v>1.07</v>
      </c>
      <c r="H10265" s="19" t="s">
        <v>28</v>
      </c>
      <c r="I10265" s="18" t="s">
        <v>28</v>
      </c>
      <c r="J10265" s="18" t="s">
        <v>28</v>
      </c>
      <c r="K10265" s="18" t="s">
        <v>28</v>
      </c>
      <c r="L10265" s="18" t="s">
        <v>28</v>
      </c>
      <c r="M10265" s="18" t="s">
        <v>28</v>
      </c>
      <c r="N10265" s="17">
        <v>41890</v>
      </c>
      <c r="O10265" s="15" t="s">
        <v>73</v>
      </c>
      <c r="P10265" s="16" t="s">
        <v>29134</v>
      </c>
      <c r="Q10265" s="15" t="s">
        <v>75</v>
      </c>
      <c r="R10265" s="13" t="str">
        <f>HYPERLINK("https://my.pitchbook.com?c=52355-44T","View Company Online")</f>
        <v>View Company Online</v>
      </c>
    </row>
    <row r="10266" spans="1:18" hidden="1" x14ac:dyDescent="0.3">
      <c r="A10266" s="9" t="s">
        <v>29135</v>
      </c>
      <c r="B10266" s="9" t="s">
        <v>29136</v>
      </c>
      <c r="C10266" s="11" t="s">
        <v>28</v>
      </c>
      <c r="D10266" s="9" t="s">
        <v>29137</v>
      </c>
      <c r="E10266" s="11" t="s">
        <v>28</v>
      </c>
      <c r="F10266" s="10" t="s">
        <v>28</v>
      </c>
      <c r="G10266" s="10">
        <v>0.01</v>
      </c>
      <c r="H10266" s="10" t="s">
        <v>28</v>
      </c>
      <c r="I10266" s="11" t="s">
        <v>28</v>
      </c>
      <c r="J10266" s="11" t="s">
        <v>28</v>
      </c>
      <c r="K10266" s="11" t="s">
        <v>28</v>
      </c>
      <c r="L10266" s="11" t="s">
        <v>28</v>
      </c>
      <c r="M10266" s="11" t="s">
        <v>28</v>
      </c>
      <c r="N10266" s="8">
        <v>41888</v>
      </c>
      <c r="O10266" s="9" t="s">
        <v>52</v>
      </c>
      <c r="P10266" s="12" t="s">
        <v>11539</v>
      </c>
      <c r="Q10266" s="9" t="s">
        <v>419</v>
      </c>
      <c r="R10266" s="14" t="str">
        <f>HYPERLINK("https://my.pitchbook.com?c=65914-48T","View Company Online")</f>
        <v>View Company Online</v>
      </c>
    </row>
    <row r="10267" spans="1:18" hidden="1" x14ac:dyDescent="0.3">
      <c r="A10267" s="15" t="s">
        <v>29138</v>
      </c>
      <c r="B10267" s="15" t="s">
        <v>29139</v>
      </c>
      <c r="C10267" s="18" t="s">
        <v>28</v>
      </c>
      <c r="D10267" s="15" t="s">
        <v>29140</v>
      </c>
      <c r="E10267" s="18" t="s">
        <v>28</v>
      </c>
      <c r="F10267" s="19">
        <v>16.670000000000002</v>
      </c>
      <c r="G10267" s="19">
        <v>5</v>
      </c>
      <c r="H10267" s="19">
        <v>16.670000000000002</v>
      </c>
      <c r="I10267" s="18" t="s">
        <v>28</v>
      </c>
      <c r="J10267" s="18" t="s">
        <v>28</v>
      </c>
      <c r="K10267" s="18" t="s">
        <v>28</v>
      </c>
      <c r="L10267" s="18" t="s">
        <v>28</v>
      </c>
      <c r="M10267" s="18" t="s">
        <v>28</v>
      </c>
      <c r="N10267" s="17">
        <v>41887</v>
      </c>
      <c r="O10267" s="15" t="s">
        <v>41</v>
      </c>
      <c r="P10267" s="16" t="s">
        <v>29141</v>
      </c>
      <c r="Q10267" s="15" t="s">
        <v>470</v>
      </c>
      <c r="R10267" s="13" t="str">
        <f>HYPERLINK("https://my.pitchbook.com?c=87648-04T","View Company Online")</f>
        <v>View Company Online</v>
      </c>
    </row>
    <row r="10268" spans="1:18" hidden="1" x14ac:dyDescent="0.3">
      <c r="A10268" s="9" t="s">
        <v>29142</v>
      </c>
      <c r="B10268" s="9" t="s">
        <v>6414</v>
      </c>
      <c r="C10268" s="11" t="s">
        <v>28</v>
      </c>
      <c r="D10268" s="9" t="s">
        <v>6415</v>
      </c>
      <c r="E10268" s="11" t="s">
        <v>28</v>
      </c>
      <c r="F10268" s="10" t="s">
        <v>28</v>
      </c>
      <c r="G10268" s="10">
        <v>68.94</v>
      </c>
      <c r="H10268" s="10">
        <v>138.16</v>
      </c>
      <c r="I10268" s="11" t="s">
        <v>28</v>
      </c>
      <c r="J10268" s="11" t="s">
        <v>28</v>
      </c>
      <c r="K10268" s="11" t="s">
        <v>28</v>
      </c>
      <c r="L10268" s="11" t="s">
        <v>28</v>
      </c>
      <c r="M10268" s="11" t="s">
        <v>28</v>
      </c>
      <c r="N10268" s="8">
        <v>41887</v>
      </c>
      <c r="O10268" s="9" t="s">
        <v>58</v>
      </c>
      <c r="P10268" s="12" t="s">
        <v>12578</v>
      </c>
      <c r="Q10268" s="9" t="s">
        <v>226</v>
      </c>
      <c r="R10268" s="14" t="str">
        <f>HYPERLINK("https://my.pitchbook.com?c=37427-23T","View Company Online")</f>
        <v>View Company Online</v>
      </c>
    </row>
    <row r="10269" spans="1:18" hidden="1" x14ac:dyDescent="0.3">
      <c r="A10269" s="15" t="s">
        <v>29143</v>
      </c>
      <c r="B10269" s="15" t="s">
        <v>29144</v>
      </c>
      <c r="C10269" s="18" t="s">
        <v>28</v>
      </c>
      <c r="D10269" s="15" t="s">
        <v>29145</v>
      </c>
      <c r="E10269" s="18" t="s">
        <v>28</v>
      </c>
      <c r="F10269" s="19" t="s">
        <v>28</v>
      </c>
      <c r="G10269" s="19" t="s">
        <v>28</v>
      </c>
      <c r="H10269" s="19" t="s">
        <v>28</v>
      </c>
      <c r="I10269" s="18" t="s">
        <v>28</v>
      </c>
      <c r="J10269" s="18" t="s">
        <v>28</v>
      </c>
      <c r="K10269" s="18" t="s">
        <v>28</v>
      </c>
      <c r="L10269" s="18" t="s">
        <v>28</v>
      </c>
      <c r="M10269" s="18" t="s">
        <v>28</v>
      </c>
      <c r="N10269" s="17">
        <v>41886</v>
      </c>
      <c r="O10269" s="15" t="s">
        <v>73</v>
      </c>
      <c r="P10269" s="16" t="s">
        <v>28</v>
      </c>
      <c r="Q10269" s="15" t="s">
        <v>75</v>
      </c>
      <c r="R10269" s="13" t="str">
        <f>HYPERLINK("https://my.pitchbook.com?c=74620-81T","View Company Online")</f>
        <v>View Company Online</v>
      </c>
    </row>
    <row r="10270" spans="1:18" hidden="1" x14ac:dyDescent="0.3">
      <c r="A10270" s="9" t="s">
        <v>29146</v>
      </c>
      <c r="B10270" s="9" t="s">
        <v>20657</v>
      </c>
      <c r="C10270" s="11" t="s">
        <v>28</v>
      </c>
      <c r="D10270" s="9" t="s">
        <v>20658</v>
      </c>
      <c r="E10270" s="11" t="s">
        <v>28</v>
      </c>
      <c r="F10270" s="10" t="s">
        <v>28</v>
      </c>
      <c r="G10270" s="10">
        <v>0.82</v>
      </c>
      <c r="H10270" s="10" t="s">
        <v>28</v>
      </c>
      <c r="I10270" s="11" t="s">
        <v>28</v>
      </c>
      <c r="J10270" s="11" t="s">
        <v>28</v>
      </c>
      <c r="K10270" s="11" t="s">
        <v>28</v>
      </c>
      <c r="L10270" s="11" t="s">
        <v>28</v>
      </c>
      <c r="M10270" s="11" t="s">
        <v>28</v>
      </c>
      <c r="N10270" s="8">
        <v>41886</v>
      </c>
      <c r="O10270" s="9" t="s">
        <v>79</v>
      </c>
      <c r="P10270" s="12" t="s">
        <v>29147</v>
      </c>
      <c r="Q10270" s="9" t="s">
        <v>75</v>
      </c>
      <c r="R10270" s="14" t="str">
        <f>HYPERLINK("https://my.pitchbook.com?c=53266-42T","View Company Online")</f>
        <v>View Company Online</v>
      </c>
    </row>
    <row r="10271" spans="1:18" hidden="1" x14ac:dyDescent="0.3">
      <c r="A10271" s="15" t="s">
        <v>29148</v>
      </c>
      <c r="B10271" s="15" t="s">
        <v>29149</v>
      </c>
      <c r="C10271" s="18" t="s">
        <v>28</v>
      </c>
      <c r="D10271" s="15" t="s">
        <v>29150</v>
      </c>
      <c r="E10271" s="18" t="s">
        <v>28</v>
      </c>
      <c r="F10271" s="19" t="s">
        <v>28</v>
      </c>
      <c r="G10271" s="19">
        <v>0.24</v>
      </c>
      <c r="H10271" s="19">
        <v>1.5</v>
      </c>
      <c r="I10271" s="18" t="s">
        <v>28</v>
      </c>
      <c r="J10271" s="18" t="s">
        <v>28</v>
      </c>
      <c r="K10271" s="18" t="s">
        <v>28</v>
      </c>
      <c r="L10271" s="18" t="s">
        <v>28</v>
      </c>
      <c r="M10271" s="18" t="s">
        <v>28</v>
      </c>
      <c r="N10271" s="17">
        <v>41886</v>
      </c>
      <c r="O10271" s="15" t="s">
        <v>99</v>
      </c>
      <c r="P10271" s="16" t="s">
        <v>29151</v>
      </c>
      <c r="Q10271" s="15" t="s">
        <v>43</v>
      </c>
      <c r="R10271" s="13" t="str">
        <f>HYPERLINK("https://my.pitchbook.com?c=59365-27T","View Company Online")</f>
        <v>View Company Online</v>
      </c>
    </row>
    <row r="10272" spans="1:18" hidden="1" x14ac:dyDescent="0.3">
      <c r="A10272" s="9" t="s">
        <v>29152</v>
      </c>
      <c r="B10272" s="9" t="s">
        <v>29153</v>
      </c>
      <c r="C10272" s="11" t="s">
        <v>28</v>
      </c>
      <c r="D10272" s="9" t="s">
        <v>29154</v>
      </c>
      <c r="E10272" s="11" t="s">
        <v>28</v>
      </c>
      <c r="F10272" s="10">
        <v>59.2</v>
      </c>
      <c r="G10272" s="10">
        <v>29.6</v>
      </c>
      <c r="H10272" s="10">
        <v>59.2</v>
      </c>
      <c r="I10272" s="11" t="s">
        <v>28</v>
      </c>
      <c r="J10272" s="11" t="s">
        <v>28</v>
      </c>
      <c r="K10272" s="11" t="s">
        <v>28</v>
      </c>
      <c r="L10272" s="11" t="s">
        <v>28</v>
      </c>
      <c r="M10272" s="11" t="s">
        <v>28</v>
      </c>
      <c r="N10272" s="8">
        <v>41886</v>
      </c>
      <c r="O10272" s="9" t="s">
        <v>30</v>
      </c>
      <c r="P10272" s="12" t="s">
        <v>29155</v>
      </c>
      <c r="Q10272" s="9" t="s">
        <v>959</v>
      </c>
      <c r="R10272" s="14" t="str">
        <f>HYPERLINK("https://my.pitchbook.com?c=37287-55T","View Company Online")</f>
        <v>View Company Online</v>
      </c>
    </row>
    <row r="10273" spans="1:18" hidden="1" x14ac:dyDescent="0.3">
      <c r="A10273" s="15" t="s">
        <v>29156</v>
      </c>
      <c r="B10273" s="15" t="s">
        <v>4196</v>
      </c>
      <c r="C10273" s="18" t="s">
        <v>28</v>
      </c>
      <c r="D10273" s="15" t="s">
        <v>4197</v>
      </c>
      <c r="E10273" s="18" t="s">
        <v>28</v>
      </c>
      <c r="F10273" s="19" t="s">
        <v>28</v>
      </c>
      <c r="G10273" s="19" t="s">
        <v>28</v>
      </c>
      <c r="H10273" s="19" t="s">
        <v>28</v>
      </c>
      <c r="I10273" s="18" t="s">
        <v>28</v>
      </c>
      <c r="J10273" s="18" t="s">
        <v>28</v>
      </c>
      <c r="K10273" s="18" t="s">
        <v>28</v>
      </c>
      <c r="L10273" s="18" t="s">
        <v>28</v>
      </c>
      <c r="M10273" s="18" t="s">
        <v>28</v>
      </c>
      <c r="N10273" s="17">
        <v>41884</v>
      </c>
      <c r="O10273" s="15" t="s">
        <v>93</v>
      </c>
      <c r="P10273" s="16" t="s">
        <v>23993</v>
      </c>
      <c r="Q10273" s="15" t="s">
        <v>583</v>
      </c>
      <c r="R10273" s="13" t="str">
        <f>HYPERLINK("https://my.pitchbook.com?c=35521-84T","View Company Online")</f>
        <v>View Company Online</v>
      </c>
    </row>
    <row r="10274" spans="1:18" hidden="1" x14ac:dyDescent="0.3">
      <c r="A10274" s="9" t="s">
        <v>29157</v>
      </c>
      <c r="B10274" s="9" t="s">
        <v>20819</v>
      </c>
      <c r="C10274" s="11" t="s">
        <v>28</v>
      </c>
      <c r="D10274" s="9" t="s">
        <v>20820</v>
      </c>
      <c r="E10274" s="11" t="s">
        <v>28</v>
      </c>
      <c r="F10274" s="10" t="s">
        <v>28</v>
      </c>
      <c r="G10274" s="10" t="s">
        <v>28</v>
      </c>
      <c r="H10274" s="10" t="s">
        <v>28</v>
      </c>
      <c r="I10274" s="11" t="s">
        <v>28</v>
      </c>
      <c r="J10274" s="11" t="s">
        <v>28</v>
      </c>
      <c r="K10274" s="11" t="s">
        <v>28</v>
      </c>
      <c r="L10274" s="11" t="s">
        <v>28</v>
      </c>
      <c r="M10274" s="11" t="s">
        <v>28</v>
      </c>
      <c r="N10274" s="8">
        <v>41884</v>
      </c>
      <c r="O10274" s="9" t="s">
        <v>52</v>
      </c>
      <c r="P10274" s="12" t="s">
        <v>29158</v>
      </c>
      <c r="Q10274" s="9" t="s">
        <v>583</v>
      </c>
      <c r="R10274" s="14" t="str">
        <f>HYPERLINK("https://my.pitchbook.com?c=49773-07T","View Company Online")</f>
        <v>View Company Online</v>
      </c>
    </row>
    <row r="10275" spans="1:18" hidden="1" x14ac:dyDescent="0.3">
      <c r="A10275" s="15" t="s">
        <v>29159</v>
      </c>
      <c r="B10275" s="15" t="s">
        <v>29160</v>
      </c>
      <c r="C10275" s="18" t="s">
        <v>28</v>
      </c>
      <c r="D10275" s="15" t="s">
        <v>29161</v>
      </c>
      <c r="E10275" s="18" t="s">
        <v>28</v>
      </c>
      <c r="F10275" s="19">
        <v>100</v>
      </c>
      <c r="G10275" s="19">
        <v>100</v>
      </c>
      <c r="H10275" s="19">
        <v>100</v>
      </c>
      <c r="I10275" s="18" t="s">
        <v>28</v>
      </c>
      <c r="J10275" s="18" t="s">
        <v>28</v>
      </c>
      <c r="K10275" s="18" t="s">
        <v>28</v>
      </c>
      <c r="L10275" s="18" t="s">
        <v>28</v>
      </c>
      <c r="M10275" s="18" t="s">
        <v>28</v>
      </c>
      <c r="N10275" s="17">
        <v>41883</v>
      </c>
      <c r="O10275" s="15" t="s">
        <v>30</v>
      </c>
      <c r="P10275" s="16" t="s">
        <v>28</v>
      </c>
      <c r="Q10275" s="15" t="s">
        <v>268</v>
      </c>
      <c r="R10275" s="13" t="str">
        <f>HYPERLINK("https://my.pitchbook.com?c=40122-37T","View Company Online")</f>
        <v>View Company Online</v>
      </c>
    </row>
    <row r="10276" spans="1:18" hidden="1" x14ac:dyDescent="0.3">
      <c r="A10276" s="9" t="s">
        <v>29162</v>
      </c>
      <c r="B10276" s="9" t="s">
        <v>27844</v>
      </c>
      <c r="C10276" s="11" t="s">
        <v>28</v>
      </c>
      <c r="D10276" s="9" t="s">
        <v>27845</v>
      </c>
      <c r="E10276" s="11" t="s">
        <v>28</v>
      </c>
      <c r="F10276" s="10" t="s">
        <v>28</v>
      </c>
      <c r="G10276" s="10" t="s">
        <v>28</v>
      </c>
      <c r="H10276" s="10" t="s">
        <v>28</v>
      </c>
      <c r="I10276" s="11" t="s">
        <v>28</v>
      </c>
      <c r="J10276" s="11" t="s">
        <v>28</v>
      </c>
      <c r="K10276" s="11" t="s">
        <v>28</v>
      </c>
      <c r="L10276" s="11" t="s">
        <v>28</v>
      </c>
      <c r="M10276" s="11" t="s">
        <v>28</v>
      </c>
      <c r="N10276" s="8">
        <v>41883</v>
      </c>
      <c r="O10276" s="9" t="s">
        <v>99</v>
      </c>
      <c r="P10276" s="12" t="s">
        <v>28</v>
      </c>
      <c r="Q10276" s="9" t="s">
        <v>85</v>
      </c>
      <c r="R10276" s="14" t="str">
        <f>HYPERLINK("https://my.pitchbook.com?c=61427-17T","View Company Online")</f>
        <v>View Company Online</v>
      </c>
    </row>
    <row r="10277" spans="1:18" hidden="1" x14ac:dyDescent="0.3">
      <c r="A10277" s="15" t="s">
        <v>29163</v>
      </c>
      <c r="B10277" s="15" t="s">
        <v>29164</v>
      </c>
      <c r="C10277" s="18" t="s">
        <v>28</v>
      </c>
      <c r="D10277" s="15" t="s">
        <v>29165</v>
      </c>
      <c r="E10277" s="18" t="s">
        <v>28</v>
      </c>
      <c r="F10277" s="19" t="s">
        <v>28</v>
      </c>
      <c r="G10277" s="19" t="s">
        <v>28</v>
      </c>
      <c r="H10277" s="19" t="s">
        <v>28</v>
      </c>
      <c r="I10277" s="18" t="s">
        <v>28</v>
      </c>
      <c r="J10277" s="18" t="s">
        <v>28</v>
      </c>
      <c r="K10277" s="18" t="s">
        <v>28</v>
      </c>
      <c r="L10277" s="18" t="s">
        <v>28</v>
      </c>
      <c r="M10277" s="18" t="s">
        <v>28</v>
      </c>
      <c r="N10277" s="17">
        <v>41883</v>
      </c>
      <c r="O10277" s="15" t="s">
        <v>30</v>
      </c>
      <c r="P10277" s="16" t="s">
        <v>29166</v>
      </c>
      <c r="Q10277" s="15" t="s">
        <v>169</v>
      </c>
      <c r="R10277" s="13" t="str">
        <f>HYPERLINK("https://my.pitchbook.com?c=66180-88T","View Company Online")</f>
        <v>View Company Online</v>
      </c>
    </row>
    <row r="10278" spans="1:18" hidden="1" x14ac:dyDescent="0.3">
      <c r="A10278" s="9" t="s">
        <v>29167</v>
      </c>
      <c r="B10278" s="9" t="s">
        <v>19028</v>
      </c>
      <c r="C10278" s="11" t="s">
        <v>28</v>
      </c>
      <c r="D10278" s="9" t="s">
        <v>19029</v>
      </c>
      <c r="E10278" s="11" t="s">
        <v>28</v>
      </c>
      <c r="F10278" s="10" t="s">
        <v>28</v>
      </c>
      <c r="G10278" s="10">
        <v>1.76</v>
      </c>
      <c r="H10278" s="10" t="s">
        <v>28</v>
      </c>
      <c r="I10278" s="11" t="s">
        <v>28</v>
      </c>
      <c r="J10278" s="11" t="s">
        <v>28</v>
      </c>
      <c r="K10278" s="11" t="s">
        <v>28</v>
      </c>
      <c r="L10278" s="11" t="s">
        <v>28</v>
      </c>
      <c r="M10278" s="11" t="s">
        <v>28</v>
      </c>
      <c r="N10278" s="8">
        <v>41883</v>
      </c>
      <c r="O10278" s="9" t="s">
        <v>79</v>
      </c>
      <c r="P10278" s="12" t="s">
        <v>29168</v>
      </c>
      <c r="Q10278" s="9" t="s">
        <v>1007</v>
      </c>
      <c r="R10278" s="14" t="str">
        <f>HYPERLINK("https://my.pitchbook.com?c=46341-55T","View Company Online")</f>
        <v>View Company Online</v>
      </c>
    </row>
    <row r="10279" spans="1:18" hidden="1" x14ac:dyDescent="0.3">
      <c r="A10279" s="15" t="s">
        <v>29169</v>
      </c>
      <c r="B10279" s="15" t="s">
        <v>29170</v>
      </c>
      <c r="C10279" s="18" t="s">
        <v>28</v>
      </c>
      <c r="D10279" s="15" t="s">
        <v>29171</v>
      </c>
      <c r="E10279" s="18" t="s">
        <v>28</v>
      </c>
      <c r="F10279" s="19">
        <v>595.91999999999996</v>
      </c>
      <c r="G10279" s="19">
        <v>595.91999999999996</v>
      </c>
      <c r="H10279" s="19">
        <v>595.91999999999996</v>
      </c>
      <c r="I10279" s="18" t="s">
        <v>28</v>
      </c>
      <c r="J10279" s="18" t="s">
        <v>28</v>
      </c>
      <c r="K10279" s="18" t="s">
        <v>28</v>
      </c>
      <c r="L10279" s="18" t="s">
        <v>28</v>
      </c>
      <c r="M10279" s="18" t="s">
        <v>28</v>
      </c>
      <c r="N10279" s="17">
        <v>41883</v>
      </c>
      <c r="O10279" s="15" t="s">
        <v>30</v>
      </c>
      <c r="P10279" s="16" t="s">
        <v>29172</v>
      </c>
      <c r="Q10279" s="15" t="s">
        <v>5110</v>
      </c>
      <c r="R10279" s="13" t="str">
        <f>HYPERLINK("https://my.pitchbook.com?c=39778-03T","View Company Online")</f>
        <v>View Company Online</v>
      </c>
    </row>
    <row r="10280" spans="1:18" hidden="1" x14ac:dyDescent="0.3">
      <c r="A10280" s="9" t="s">
        <v>29173</v>
      </c>
      <c r="B10280" s="9" t="s">
        <v>29174</v>
      </c>
      <c r="C10280" s="11" t="s">
        <v>28</v>
      </c>
      <c r="D10280" s="9" t="s">
        <v>29175</v>
      </c>
      <c r="E10280" s="11" t="s">
        <v>28</v>
      </c>
      <c r="F10280" s="10" t="s">
        <v>28</v>
      </c>
      <c r="G10280" s="10">
        <v>0.1</v>
      </c>
      <c r="H10280" s="10" t="s">
        <v>28</v>
      </c>
      <c r="I10280" s="11" t="s">
        <v>28</v>
      </c>
      <c r="J10280" s="11" t="s">
        <v>28</v>
      </c>
      <c r="K10280" s="11" t="s">
        <v>28</v>
      </c>
      <c r="L10280" s="11" t="s">
        <v>28</v>
      </c>
      <c r="M10280" s="11" t="s">
        <v>28</v>
      </c>
      <c r="N10280" s="8">
        <v>41883</v>
      </c>
      <c r="O10280" s="9" t="s">
        <v>52</v>
      </c>
      <c r="P10280" s="12" t="s">
        <v>11539</v>
      </c>
      <c r="Q10280" s="9" t="s">
        <v>75</v>
      </c>
      <c r="R10280" s="14" t="str">
        <f>HYPERLINK("https://my.pitchbook.com?c=65113-12T","View Company Online")</f>
        <v>View Company Online</v>
      </c>
    </row>
    <row r="10281" spans="1:18" hidden="1" x14ac:dyDescent="0.3">
      <c r="A10281" s="15" t="s">
        <v>29176</v>
      </c>
      <c r="B10281" s="15" t="s">
        <v>23717</v>
      </c>
      <c r="C10281" s="18" t="s">
        <v>28</v>
      </c>
      <c r="D10281" s="15" t="s">
        <v>23718</v>
      </c>
      <c r="E10281" s="18" t="s">
        <v>28</v>
      </c>
      <c r="F10281" s="19" t="s">
        <v>28</v>
      </c>
      <c r="G10281" s="19">
        <v>0.15</v>
      </c>
      <c r="H10281" s="19">
        <v>0.53</v>
      </c>
      <c r="I10281" s="18" t="s">
        <v>28</v>
      </c>
      <c r="J10281" s="18" t="s">
        <v>28</v>
      </c>
      <c r="K10281" s="18" t="s">
        <v>28</v>
      </c>
      <c r="L10281" s="18" t="s">
        <v>28</v>
      </c>
      <c r="M10281" s="18" t="s">
        <v>28</v>
      </c>
      <c r="N10281" s="17">
        <v>41883</v>
      </c>
      <c r="O10281" s="15" t="s">
        <v>379</v>
      </c>
      <c r="P10281" s="16" t="s">
        <v>24284</v>
      </c>
      <c r="Q10281" s="15" t="s">
        <v>774</v>
      </c>
      <c r="R10281" s="13" t="str">
        <f>HYPERLINK("https://my.pitchbook.com?c=155456-92T","View Company Online")</f>
        <v>View Company Online</v>
      </c>
    </row>
    <row r="10282" spans="1:18" hidden="1" x14ac:dyDescent="0.3">
      <c r="A10282" s="9" t="s">
        <v>29177</v>
      </c>
      <c r="B10282" s="9" t="s">
        <v>29178</v>
      </c>
      <c r="C10282" s="11" t="s">
        <v>28</v>
      </c>
      <c r="D10282" s="9" t="s">
        <v>29179</v>
      </c>
      <c r="E10282" s="11" t="s">
        <v>28</v>
      </c>
      <c r="F10282" s="10">
        <v>72.34</v>
      </c>
      <c r="G10282" s="10">
        <v>72.34</v>
      </c>
      <c r="H10282" s="10">
        <v>72.34</v>
      </c>
      <c r="I10282" s="11" t="s">
        <v>28</v>
      </c>
      <c r="J10282" s="11" t="s">
        <v>28</v>
      </c>
      <c r="K10282" s="11" t="s">
        <v>28</v>
      </c>
      <c r="L10282" s="11" t="s">
        <v>28</v>
      </c>
      <c r="M10282" s="11" t="s">
        <v>28</v>
      </c>
      <c r="N10282" s="8">
        <v>41880</v>
      </c>
      <c r="O10282" s="9" t="s">
        <v>41</v>
      </c>
      <c r="P10282" s="12" t="s">
        <v>19375</v>
      </c>
      <c r="Q10282" s="9" t="s">
        <v>692</v>
      </c>
      <c r="R10282" s="14" t="str">
        <f>HYPERLINK("https://my.pitchbook.com?c=46566-91T","View Company Online")</f>
        <v>View Company Online</v>
      </c>
    </row>
    <row r="10283" spans="1:18" hidden="1" x14ac:dyDescent="0.3">
      <c r="A10283" s="15" t="s">
        <v>29180</v>
      </c>
      <c r="B10283" s="15" t="s">
        <v>26221</v>
      </c>
      <c r="C10283" s="18" t="s">
        <v>28</v>
      </c>
      <c r="D10283" s="15" t="s">
        <v>26222</v>
      </c>
      <c r="E10283" s="18" t="s">
        <v>28</v>
      </c>
      <c r="F10283" s="19" t="s">
        <v>28</v>
      </c>
      <c r="G10283" s="19">
        <v>713.73</v>
      </c>
      <c r="H10283" s="19">
        <v>964.5</v>
      </c>
      <c r="I10283" s="18" t="s">
        <v>28</v>
      </c>
      <c r="J10283" s="18" t="s">
        <v>28</v>
      </c>
      <c r="K10283" s="18">
        <v>438.84</v>
      </c>
      <c r="L10283" s="18">
        <v>2.2000000000000002</v>
      </c>
      <c r="M10283" s="18">
        <v>-43.44</v>
      </c>
      <c r="N10283" s="17">
        <v>41880</v>
      </c>
      <c r="O10283" s="15" t="s">
        <v>30</v>
      </c>
      <c r="P10283" s="16" t="s">
        <v>26223</v>
      </c>
      <c r="Q10283" s="15" t="s">
        <v>59</v>
      </c>
      <c r="R10283" s="13" t="str">
        <f>HYPERLINK("https://my.pitchbook.com?c=39095-11T","View Company Online")</f>
        <v>View Company Online</v>
      </c>
    </row>
    <row r="10284" spans="1:18" hidden="1" x14ac:dyDescent="0.3">
      <c r="A10284" s="9" t="s">
        <v>29181</v>
      </c>
      <c r="B10284" s="9" t="s">
        <v>29182</v>
      </c>
      <c r="C10284" s="11" t="s">
        <v>28</v>
      </c>
      <c r="D10284" s="9" t="s">
        <v>29183</v>
      </c>
      <c r="E10284" s="11" t="s">
        <v>28</v>
      </c>
      <c r="F10284" s="10" t="s">
        <v>28</v>
      </c>
      <c r="G10284" s="10" t="s">
        <v>28</v>
      </c>
      <c r="H10284" s="10" t="s">
        <v>28</v>
      </c>
      <c r="I10284" s="11" t="s">
        <v>28</v>
      </c>
      <c r="J10284" s="11" t="s">
        <v>28</v>
      </c>
      <c r="K10284" s="11">
        <v>0.76</v>
      </c>
      <c r="L10284" s="11" t="s">
        <v>28</v>
      </c>
      <c r="M10284" s="11" t="s">
        <v>28</v>
      </c>
      <c r="N10284" s="8">
        <v>41879</v>
      </c>
      <c r="O10284" s="9" t="s">
        <v>73</v>
      </c>
      <c r="P10284" s="12" t="s">
        <v>29184</v>
      </c>
      <c r="Q10284" s="9" t="s">
        <v>75</v>
      </c>
      <c r="R10284" s="14" t="str">
        <f>HYPERLINK("https://my.pitchbook.com?c=105407-11T","View Company Online")</f>
        <v>View Company Online</v>
      </c>
    </row>
    <row r="10285" spans="1:18" hidden="1" x14ac:dyDescent="0.3">
      <c r="A10285" s="15" t="s">
        <v>29185</v>
      </c>
      <c r="B10285" s="15" t="s">
        <v>29186</v>
      </c>
      <c r="C10285" s="18" t="s">
        <v>28</v>
      </c>
      <c r="D10285" s="15" t="s">
        <v>29187</v>
      </c>
      <c r="E10285" s="18" t="s">
        <v>28</v>
      </c>
      <c r="F10285" s="19" t="s">
        <v>28</v>
      </c>
      <c r="G10285" s="19" t="s">
        <v>28</v>
      </c>
      <c r="H10285" s="19" t="s">
        <v>28</v>
      </c>
      <c r="I10285" s="18" t="s">
        <v>28</v>
      </c>
      <c r="J10285" s="18" t="s">
        <v>28</v>
      </c>
      <c r="K10285" s="18" t="s">
        <v>28</v>
      </c>
      <c r="L10285" s="18" t="s">
        <v>28</v>
      </c>
      <c r="M10285" s="18" t="s">
        <v>28</v>
      </c>
      <c r="N10285" s="17">
        <v>41879</v>
      </c>
      <c r="O10285" s="15" t="s">
        <v>173</v>
      </c>
      <c r="P10285" s="16" t="s">
        <v>28</v>
      </c>
      <c r="Q10285" s="15" t="s">
        <v>174</v>
      </c>
      <c r="R10285" s="13" t="str">
        <f>HYPERLINK("https://my.pitchbook.com?c=222922-36T","View Company Online")</f>
        <v>View Company Online</v>
      </c>
    </row>
    <row r="10286" spans="1:18" hidden="1" x14ac:dyDescent="0.3">
      <c r="A10286" s="9" t="s">
        <v>29188</v>
      </c>
      <c r="B10286" s="9" t="s">
        <v>24811</v>
      </c>
      <c r="C10286" s="11" t="s">
        <v>28</v>
      </c>
      <c r="D10286" s="9" t="s">
        <v>24812</v>
      </c>
      <c r="E10286" s="11" t="s">
        <v>28</v>
      </c>
      <c r="F10286" s="10" t="s">
        <v>28</v>
      </c>
      <c r="G10286" s="10">
        <v>4.5</v>
      </c>
      <c r="H10286" s="10" t="s">
        <v>28</v>
      </c>
      <c r="I10286" s="11" t="s">
        <v>28</v>
      </c>
      <c r="J10286" s="11" t="s">
        <v>28</v>
      </c>
      <c r="K10286" s="11">
        <v>12.74</v>
      </c>
      <c r="L10286" s="11" t="s">
        <v>28</v>
      </c>
      <c r="M10286" s="11" t="s">
        <v>28</v>
      </c>
      <c r="N10286" s="8">
        <v>41879</v>
      </c>
      <c r="O10286" s="9" t="s">
        <v>73</v>
      </c>
      <c r="P10286" s="12" t="s">
        <v>29189</v>
      </c>
      <c r="Q10286" s="9" t="s">
        <v>740</v>
      </c>
      <c r="R10286" s="14" t="str">
        <f>HYPERLINK("https://my.pitchbook.com?c=127535-14T","View Company Online")</f>
        <v>View Company Online</v>
      </c>
    </row>
    <row r="10287" spans="1:18" hidden="1" x14ac:dyDescent="0.3">
      <c r="A10287" s="15" t="s">
        <v>29190</v>
      </c>
      <c r="B10287" s="15" t="s">
        <v>10320</v>
      </c>
      <c r="C10287" s="18" t="s">
        <v>28</v>
      </c>
      <c r="D10287" s="15" t="s">
        <v>10321</v>
      </c>
      <c r="E10287" s="18" t="s">
        <v>28</v>
      </c>
      <c r="F10287" s="19" t="s">
        <v>28</v>
      </c>
      <c r="G10287" s="19" t="s">
        <v>28</v>
      </c>
      <c r="H10287" s="19" t="s">
        <v>28</v>
      </c>
      <c r="I10287" s="18" t="s">
        <v>28</v>
      </c>
      <c r="J10287" s="18" t="s">
        <v>28</v>
      </c>
      <c r="K10287" s="18" t="s">
        <v>28</v>
      </c>
      <c r="L10287" s="18" t="s">
        <v>28</v>
      </c>
      <c r="M10287" s="18" t="s">
        <v>28</v>
      </c>
      <c r="N10287" s="17">
        <v>41879</v>
      </c>
      <c r="O10287" s="15" t="s">
        <v>30</v>
      </c>
      <c r="P10287" s="16" t="s">
        <v>29191</v>
      </c>
      <c r="Q10287" s="15" t="s">
        <v>136</v>
      </c>
      <c r="R10287" s="13" t="str">
        <f>HYPERLINK("https://my.pitchbook.com?c=37029-52T","View Company Online")</f>
        <v>View Company Online</v>
      </c>
    </row>
    <row r="10288" spans="1:18" hidden="1" x14ac:dyDescent="0.3">
      <c r="A10288" s="9" t="s">
        <v>29192</v>
      </c>
      <c r="B10288" s="9" t="s">
        <v>26730</v>
      </c>
      <c r="C10288" s="11" t="s">
        <v>28</v>
      </c>
      <c r="D10288" s="9" t="s">
        <v>26731</v>
      </c>
      <c r="E10288" s="11" t="s">
        <v>28</v>
      </c>
      <c r="F10288" s="10" t="s">
        <v>28</v>
      </c>
      <c r="G10288" s="10">
        <v>0.51</v>
      </c>
      <c r="H10288" s="10" t="s">
        <v>28</v>
      </c>
      <c r="I10288" s="11" t="s">
        <v>28</v>
      </c>
      <c r="J10288" s="11" t="s">
        <v>28</v>
      </c>
      <c r="K10288" s="11" t="s">
        <v>28</v>
      </c>
      <c r="L10288" s="11" t="s">
        <v>28</v>
      </c>
      <c r="M10288" s="11" t="s">
        <v>28</v>
      </c>
      <c r="N10288" s="8">
        <v>41879</v>
      </c>
      <c r="O10288" s="9" t="s">
        <v>52</v>
      </c>
      <c r="P10288" s="12" t="s">
        <v>29193</v>
      </c>
      <c r="Q10288" s="9" t="s">
        <v>419</v>
      </c>
      <c r="R10288" s="14" t="str">
        <f>HYPERLINK("https://my.pitchbook.com?c=52128-64T","View Company Online")</f>
        <v>View Company Online</v>
      </c>
    </row>
    <row r="10289" spans="1:18" hidden="1" x14ac:dyDescent="0.3">
      <c r="A10289" s="15" t="s">
        <v>29194</v>
      </c>
      <c r="B10289" s="15" t="s">
        <v>29195</v>
      </c>
      <c r="C10289" s="18" t="s">
        <v>28</v>
      </c>
      <c r="D10289" s="15" t="s">
        <v>29196</v>
      </c>
      <c r="E10289" s="18" t="s">
        <v>28</v>
      </c>
      <c r="F10289" s="19" t="s">
        <v>28</v>
      </c>
      <c r="G10289" s="19" t="s">
        <v>28</v>
      </c>
      <c r="H10289" s="19" t="s">
        <v>28</v>
      </c>
      <c r="I10289" s="18" t="s">
        <v>28</v>
      </c>
      <c r="J10289" s="18" t="s">
        <v>28</v>
      </c>
      <c r="K10289" s="18" t="s">
        <v>28</v>
      </c>
      <c r="L10289" s="18" t="s">
        <v>28</v>
      </c>
      <c r="M10289" s="18" t="s">
        <v>28</v>
      </c>
      <c r="N10289" s="17">
        <v>41878</v>
      </c>
      <c r="O10289" s="15" t="s">
        <v>30</v>
      </c>
      <c r="P10289" s="16" t="s">
        <v>29197</v>
      </c>
      <c r="Q10289" s="15" t="s">
        <v>419</v>
      </c>
      <c r="R10289" s="13" t="str">
        <f>HYPERLINK("https://my.pitchbook.com?c=89536-51T","View Company Online")</f>
        <v>View Company Online</v>
      </c>
    </row>
    <row r="10290" spans="1:18" hidden="1" x14ac:dyDescent="0.3">
      <c r="A10290" s="9" t="s">
        <v>29198</v>
      </c>
      <c r="B10290" s="9" t="s">
        <v>24146</v>
      </c>
      <c r="C10290" s="11" t="s">
        <v>28</v>
      </c>
      <c r="D10290" s="9" t="s">
        <v>24147</v>
      </c>
      <c r="E10290" s="11" t="s">
        <v>28</v>
      </c>
      <c r="F10290" s="10" t="s">
        <v>28</v>
      </c>
      <c r="G10290" s="10">
        <v>0.99</v>
      </c>
      <c r="H10290" s="10" t="s">
        <v>28</v>
      </c>
      <c r="I10290" s="11" t="s">
        <v>28</v>
      </c>
      <c r="J10290" s="11" t="s">
        <v>28</v>
      </c>
      <c r="K10290" s="11" t="s">
        <v>28</v>
      </c>
      <c r="L10290" s="11" t="s">
        <v>28</v>
      </c>
      <c r="M10290" s="11" t="s">
        <v>28</v>
      </c>
      <c r="N10290" s="8">
        <v>41877</v>
      </c>
      <c r="O10290" s="9" t="s">
        <v>73</v>
      </c>
      <c r="P10290" s="12" t="s">
        <v>29199</v>
      </c>
      <c r="Q10290" s="9" t="s">
        <v>5347</v>
      </c>
      <c r="R10290" s="14" t="str">
        <f>HYPERLINK("https://my.pitchbook.com?c=82234-81T","View Company Online")</f>
        <v>View Company Online</v>
      </c>
    </row>
    <row r="10291" spans="1:18" hidden="1" x14ac:dyDescent="0.3">
      <c r="A10291" s="15" t="s">
        <v>29200</v>
      </c>
      <c r="B10291" s="15" t="s">
        <v>27978</v>
      </c>
      <c r="C10291" s="18" t="s">
        <v>28</v>
      </c>
      <c r="D10291" s="15" t="s">
        <v>27979</v>
      </c>
      <c r="E10291" s="18" t="s">
        <v>28</v>
      </c>
      <c r="F10291" s="19" t="s">
        <v>28</v>
      </c>
      <c r="G10291" s="19" t="s">
        <v>28</v>
      </c>
      <c r="H10291" s="19" t="s">
        <v>28</v>
      </c>
      <c r="I10291" s="18" t="s">
        <v>28</v>
      </c>
      <c r="J10291" s="18" t="s">
        <v>28</v>
      </c>
      <c r="K10291" s="18" t="s">
        <v>28</v>
      </c>
      <c r="L10291" s="18" t="s">
        <v>28</v>
      </c>
      <c r="M10291" s="18" t="s">
        <v>28</v>
      </c>
      <c r="N10291" s="17">
        <v>41876</v>
      </c>
      <c r="O10291" s="15" t="s">
        <v>73</v>
      </c>
      <c r="P10291" s="16" t="s">
        <v>29201</v>
      </c>
      <c r="Q10291" s="15" t="s">
        <v>3912</v>
      </c>
      <c r="R10291" s="13" t="str">
        <f>HYPERLINK("https://my.pitchbook.com?c=44498-44T","View Company Online")</f>
        <v>View Company Online</v>
      </c>
    </row>
    <row r="10292" spans="1:18" hidden="1" x14ac:dyDescent="0.3">
      <c r="A10292" s="9" t="s">
        <v>29202</v>
      </c>
      <c r="B10292" s="9" t="s">
        <v>29203</v>
      </c>
      <c r="C10292" s="11" t="s">
        <v>28</v>
      </c>
      <c r="D10292" s="9" t="s">
        <v>29204</v>
      </c>
      <c r="E10292" s="11" t="s">
        <v>28</v>
      </c>
      <c r="F10292" s="10" t="s">
        <v>28</v>
      </c>
      <c r="G10292" s="10" t="s">
        <v>28</v>
      </c>
      <c r="H10292" s="10" t="s">
        <v>28</v>
      </c>
      <c r="I10292" s="11" t="s">
        <v>28</v>
      </c>
      <c r="J10292" s="11" t="s">
        <v>28</v>
      </c>
      <c r="K10292" s="11" t="s">
        <v>28</v>
      </c>
      <c r="L10292" s="11" t="s">
        <v>28</v>
      </c>
      <c r="M10292" s="11" t="s">
        <v>28</v>
      </c>
      <c r="N10292" s="8">
        <v>41876</v>
      </c>
      <c r="O10292" s="9" t="s">
        <v>52</v>
      </c>
      <c r="P10292" s="12" t="s">
        <v>27943</v>
      </c>
      <c r="Q10292" s="9" t="s">
        <v>855</v>
      </c>
      <c r="R10292" s="14" t="str">
        <f>HYPERLINK("https://my.pitchbook.com?c=45117-28T","View Company Online")</f>
        <v>View Company Online</v>
      </c>
    </row>
    <row r="10293" spans="1:18" hidden="1" x14ac:dyDescent="0.3">
      <c r="A10293" s="15" t="s">
        <v>29205</v>
      </c>
      <c r="B10293" s="15" t="s">
        <v>26811</v>
      </c>
      <c r="C10293" s="18" t="s">
        <v>28</v>
      </c>
      <c r="D10293" s="15" t="s">
        <v>26812</v>
      </c>
      <c r="E10293" s="18" t="s">
        <v>28</v>
      </c>
      <c r="F10293" s="19">
        <v>1.33</v>
      </c>
      <c r="G10293" s="19">
        <v>1.33</v>
      </c>
      <c r="H10293" s="19">
        <v>1.33</v>
      </c>
      <c r="I10293" s="18" t="s">
        <v>28</v>
      </c>
      <c r="J10293" s="18" t="s">
        <v>28</v>
      </c>
      <c r="K10293" s="18" t="s">
        <v>28</v>
      </c>
      <c r="L10293" s="18" t="s">
        <v>28</v>
      </c>
      <c r="M10293" s="18" t="s">
        <v>28</v>
      </c>
      <c r="N10293" s="17">
        <v>41871</v>
      </c>
      <c r="O10293" s="15" t="s">
        <v>30</v>
      </c>
      <c r="P10293" s="16" t="s">
        <v>29206</v>
      </c>
      <c r="Q10293" s="15" t="s">
        <v>85</v>
      </c>
      <c r="R10293" s="13" t="str">
        <f>HYPERLINK("https://my.pitchbook.com?c=106628-23T","View Company Online")</f>
        <v>View Company Online</v>
      </c>
    </row>
    <row r="10294" spans="1:18" hidden="1" x14ac:dyDescent="0.3">
      <c r="A10294" s="9" t="s">
        <v>29207</v>
      </c>
      <c r="B10294" s="9" t="s">
        <v>12420</v>
      </c>
      <c r="C10294" s="11" t="s">
        <v>28</v>
      </c>
      <c r="D10294" s="9" t="s">
        <v>12421</v>
      </c>
      <c r="E10294" s="11" t="s">
        <v>28</v>
      </c>
      <c r="F10294" s="10" t="s">
        <v>28</v>
      </c>
      <c r="G10294" s="10">
        <v>6.6</v>
      </c>
      <c r="H10294" s="10" t="s">
        <v>28</v>
      </c>
      <c r="I10294" s="11" t="s">
        <v>28</v>
      </c>
      <c r="J10294" s="11" t="s">
        <v>28</v>
      </c>
      <c r="K10294" s="11" t="s">
        <v>28</v>
      </c>
      <c r="L10294" s="11" t="s">
        <v>28</v>
      </c>
      <c r="M10294" s="11" t="s">
        <v>28</v>
      </c>
      <c r="N10294" s="8">
        <v>41871</v>
      </c>
      <c r="O10294" s="9" t="s">
        <v>79</v>
      </c>
      <c r="P10294" s="12" t="s">
        <v>29208</v>
      </c>
      <c r="Q10294" s="9" t="s">
        <v>37</v>
      </c>
      <c r="R10294" s="14" t="str">
        <f>HYPERLINK("https://my.pitchbook.com?c=53108-38T","View Company Online")</f>
        <v>View Company Online</v>
      </c>
    </row>
    <row r="10295" spans="1:18" hidden="1" x14ac:dyDescent="0.3">
      <c r="A10295" s="15" t="s">
        <v>29209</v>
      </c>
      <c r="B10295" s="15" t="s">
        <v>985</v>
      </c>
      <c r="C10295" s="18" t="s">
        <v>28</v>
      </c>
      <c r="D10295" s="15" t="s">
        <v>986</v>
      </c>
      <c r="E10295" s="18" t="s">
        <v>28</v>
      </c>
      <c r="F10295" s="19" t="s">
        <v>28</v>
      </c>
      <c r="G10295" s="19" t="s">
        <v>28</v>
      </c>
      <c r="H10295" s="19" t="s">
        <v>28</v>
      </c>
      <c r="I10295" s="18" t="s">
        <v>28</v>
      </c>
      <c r="J10295" s="18" t="s">
        <v>28</v>
      </c>
      <c r="K10295" s="18" t="s">
        <v>28</v>
      </c>
      <c r="L10295" s="18" t="s">
        <v>28</v>
      </c>
      <c r="M10295" s="18" t="s">
        <v>28</v>
      </c>
      <c r="N10295" s="17">
        <v>41869</v>
      </c>
      <c r="O10295" s="15" t="s">
        <v>52</v>
      </c>
      <c r="P10295" s="16" t="s">
        <v>29210</v>
      </c>
      <c r="Q10295" s="15" t="s">
        <v>37</v>
      </c>
      <c r="R10295" s="13" t="str">
        <f>HYPERLINK("https://my.pitchbook.com?c=82616-77T","View Company Online")</f>
        <v>View Company Online</v>
      </c>
    </row>
    <row r="10296" spans="1:18" hidden="1" x14ac:dyDescent="0.3">
      <c r="A10296" s="9" t="s">
        <v>29211</v>
      </c>
      <c r="B10296" s="9" t="s">
        <v>14311</v>
      </c>
      <c r="C10296" s="11" t="s">
        <v>28</v>
      </c>
      <c r="D10296" s="9" t="s">
        <v>14312</v>
      </c>
      <c r="E10296" s="11" t="s">
        <v>28</v>
      </c>
      <c r="F10296" s="10" t="s">
        <v>28</v>
      </c>
      <c r="G10296" s="10">
        <v>3.1</v>
      </c>
      <c r="H10296" s="10" t="s">
        <v>28</v>
      </c>
      <c r="I10296" s="11" t="s">
        <v>28</v>
      </c>
      <c r="J10296" s="11" t="s">
        <v>28</v>
      </c>
      <c r="K10296" s="11" t="s">
        <v>28</v>
      </c>
      <c r="L10296" s="11" t="s">
        <v>28</v>
      </c>
      <c r="M10296" s="11" t="s">
        <v>28</v>
      </c>
      <c r="N10296" s="8">
        <v>41869</v>
      </c>
      <c r="O10296" s="9" t="s">
        <v>79</v>
      </c>
      <c r="P10296" s="12" t="s">
        <v>29212</v>
      </c>
      <c r="Q10296" s="9" t="s">
        <v>37</v>
      </c>
      <c r="R10296" s="14" t="str">
        <f>HYPERLINK("https://my.pitchbook.com?c=46109-17T","View Company Online")</f>
        <v>View Company Online</v>
      </c>
    </row>
    <row r="10297" spans="1:18" hidden="1" x14ac:dyDescent="0.3">
      <c r="A10297" s="15" t="s">
        <v>29213</v>
      </c>
      <c r="B10297" s="15" t="s">
        <v>12054</v>
      </c>
      <c r="C10297" s="18" t="s">
        <v>28</v>
      </c>
      <c r="D10297" s="15" t="s">
        <v>22208</v>
      </c>
      <c r="E10297" s="18">
        <v>104.6</v>
      </c>
      <c r="F10297" s="19" t="s">
        <v>28</v>
      </c>
      <c r="G10297" s="19" t="s">
        <v>28</v>
      </c>
      <c r="H10297" s="19" t="s">
        <v>28</v>
      </c>
      <c r="I10297" s="18">
        <v>138.05000000000001</v>
      </c>
      <c r="J10297" s="18" t="s">
        <v>28</v>
      </c>
      <c r="K10297" s="18">
        <v>518.36</v>
      </c>
      <c r="L10297" s="18" t="s">
        <v>28</v>
      </c>
      <c r="M10297" s="18">
        <v>25.35</v>
      </c>
      <c r="N10297" s="17">
        <v>41866</v>
      </c>
      <c r="O10297" s="15" t="s">
        <v>159</v>
      </c>
      <c r="P10297" s="16" t="s">
        <v>17428</v>
      </c>
      <c r="Q10297" s="15" t="s">
        <v>43</v>
      </c>
      <c r="R10297" s="13" t="str">
        <f>HYPERLINK("https://my.pitchbook.com?c=31546-36T","View Company Online")</f>
        <v>View Company Online</v>
      </c>
    </row>
    <row r="10298" spans="1:18" hidden="1" x14ac:dyDescent="0.3">
      <c r="A10298" s="9" t="s">
        <v>29214</v>
      </c>
      <c r="B10298" s="9" t="s">
        <v>24973</v>
      </c>
      <c r="C10298" s="11" t="s">
        <v>28</v>
      </c>
      <c r="D10298" s="9" t="s">
        <v>24974</v>
      </c>
      <c r="E10298" s="11" t="s">
        <v>28</v>
      </c>
      <c r="F10298" s="10" t="s">
        <v>28</v>
      </c>
      <c r="G10298" s="10">
        <v>0.5</v>
      </c>
      <c r="H10298" s="10" t="s">
        <v>28</v>
      </c>
      <c r="I10298" s="11" t="s">
        <v>28</v>
      </c>
      <c r="J10298" s="11" t="s">
        <v>28</v>
      </c>
      <c r="K10298" s="11" t="s">
        <v>28</v>
      </c>
      <c r="L10298" s="11" t="s">
        <v>28</v>
      </c>
      <c r="M10298" s="11" t="s">
        <v>28</v>
      </c>
      <c r="N10298" s="8">
        <v>41866</v>
      </c>
      <c r="O10298" s="9" t="s">
        <v>99</v>
      </c>
      <c r="P10298" s="12" t="s">
        <v>3430</v>
      </c>
      <c r="Q10298" s="9" t="s">
        <v>75</v>
      </c>
      <c r="R10298" s="14" t="str">
        <f>HYPERLINK("https://my.pitchbook.com?c=210601-45T","View Company Online")</f>
        <v>View Company Online</v>
      </c>
    </row>
    <row r="10299" spans="1:18" hidden="1" x14ac:dyDescent="0.3">
      <c r="A10299" s="15" t="s">
        <v>29215</v>
      </c>
      <c r="B10299" s="15" t="s">
        <v>29216</v>
      </c>
      <c r="C10299" s="18" t="s">
        <v>28</v>
      </c>
      <c r="D10299" s="15" t="s">
        <v>29217</v>
      </c>
      <c r="E10299" s="18" t="s">
        <v>28</v>
      </c>
      <c r="F10299" s="19">
        <v>1.01</v>
      </c>
      <c r="G10299" s="19">
        <v>1.01</v>
      </c>
      <c r="H10299" s="19">
        <v>1.01</v>
      </c>
      <c r="I10299" s="18" t="s">
        <v>28</v>
      </c>
      <c r="J10299" s="18" t="s">
        <v>28</v>
      </c>
      <c r="K10299" s="18" t="s">
        <v>28</v>
      </c>
      <c r="L10299" s="18" t="s">
        <v>28</v>
      </c>
      <c r="M10299" s="18" t="s">
        <v>28</v>
      </c>
      <c r="N10299" s="17">
        <v>41865</v>
      </c>
      <c r="O10299" s="15" t="s">
        <v>30</v>
      </c>
      <c r="P10299" s="16" t="s">
        <v>29218</v>
      </c>
      <c r="Q10299" s="15" t="s">
        <v>245</v>
      </c>
      <c r="R10299" s="13" t="str">
        <f>HYPERLINK("https://my.pitchbook.com?c=175776-58T","View Company Online")</f>
        <v>View Company Online</v>
      </c>
    </row>
    <row r="10300" spans="1:18" hidden="1" x14ac:dyDescent="0.3">
      <c r="A10300" s="9" t="s">
        <v>29219</v>
      </c>
      <c r="B10300" s="9" t="s">
        <v>29220</v>
      </c>
      <c r="C10300" s="11" t="s">
        <v>28</v>
      </c>
      <c r="D10300" s="9" t="s">
        <v>29221</v>
      </c>
      <c r="E10300" s="11" t="s">
        <v>28</v>
      </c>
      <c r="F10300" s="10" t="s">
        <v>28</v>
      </c>
      <c r="G10300" s="10" t="s">
        <v>28</v>
      </c>
      <c r="H10300" s="10" t="s">
        <v>28</v>
      </c>
      <c r="I10300" s="11" t="s">
        <v>28</v>
      </c>
      <c r="J10300" s="11" t="s">
        <v>28</v>
      </c>
      <c r="K10300" s="11" t="s">
        <v>28</v>
      </c>
      <c r="L10300" s="11" t="s">
        <v>28</v>
      </c>
      <c r="M10300" s="11" t="s">
        <v>28</v>
      </c>
      <c r="N10300" s="8">
        <v>41865</v>
      </c>
      <c r="O10300" s="9" t="s">
        <v>41</v>
      </c>
      <c r="P10300" s="12" t="s">
        <v>29222</v>
      </c>
      <c r="Q10300" s="9" t="s">
        <v>1088</v>
      </c>
      <c r="R10300" s="14" t="str">
        <f>HYPERLINK("https://my.pitchbook.com?c=45569-80T","View Company Online")</f>
        <v>View Company Online</v>
      </c>
    </row>
    <row r="10301" spans="1:18" hidden="1" x14ac:dyDescent="0.3">
      <c r="A10301" s="15" t="s">
        <v>29223</v>
      </c>
      <c r="B10301" s="15" t="s">
        <v>29224</v>
      </c>
      <c r="C10301" s="18" t="s">
        <v>28</v>
      </c>
      <c r="D10301" s="15" t="s">
        <v>29225</v>
      </c>
      <c r="E10301" s="18" t="s">
        <v>28</v>
      </c>
      <c r="F10301" s="19" t="s">
        <v>28</v>
      </c>
      <c r="G10301" s="19" t="s">
        <v>28</v>
      </c>
      <c r="H10301" s="19" t="s">
        <v>28</v>
      </c>
      <c r="I10301" s="18" t="s">
        <v>28</v>
      </c>
      <c r="J10301" s="18" t="s">
        <v>28</v>
      </c>
      <c r="K10301" s="18" t="s">
        <v>28</v>
      </c>
      <c r="L10301" s="18" t="s">
        <v>28</v>
      </c>
      <c r="M10301" s="18" t="s">
        <v>28</v>
      </c>
      <c r="N10301" s="17">
        <v>41864</v>
      </c>
      <c r="O10301" s="15" t="s">
        <v>30</v>
      </c>
      <c r="P10301" s="16" t="s">
        <v>14320</v>
      </c>
      <c r="Q10301" s="15" t="s">
        <v>160</v>
      </c>
      <c r="R10301" s="13" t="str">
        <f>HYPERLINK("https://my.pitchbook.com?c=216405-91T","View Company Online")</f>
        <v>View Company Online</v>
      </c>
    </row>
    <row r="10302" spans="1:18" hidden="1" x14ac:dyDescent="0.3">
      <c r="A10302" s="9" t="s">
        <v>29226</v>
      </c>
      <c r="B10302" s="9" t="s">
        <v>29227</v>
      </c>
      <c r="C10302" s="11" t="s">
        <v>28</v>
      </c>
      <c r="D10302" s="9" t="s">
        <v>29228</v>
      </c>
      <c r="E10302" s="11" t="s">
        <v>28</v>
      </c>
      <c r="F10302" s="10" t="s">
        <v>28</v>
      </c>
      <c r="G10302" s="10" t="s">
        <v>28</v>
      </c>
      <c r="H10302" s="10" t="s">
        <v>28</v>
      </c>
      <c r="I10302" s="11" t="s">
        <v>28</v>
      </c>
      <c r="J10302" s="11" t="s">
        <v>28</v>
      </c>
      <c r="K10302" s="11">
        <v>18.57</v>
      </c>
      <c r="L10302" s="11" t="s">
        <v>28</v>
      </c>
      <c r="M10302" s="11" t="s">
        <v>28</v>
      </c>
      <c r="N10302" s="8">
        <v>41864</v>
      </c>
      <c r="O10302" s="9" t="s">
        <v>30</v>
      </c>
      <c r="P10302" s="12" t="s">
        <v>28</v>
      </c>
      <c r="Q10302" s="9" t="s">
        <v>245</v>
      </c>
      <c r="R10302" s="14" t="str">
        <f>HYPERLINK("https://my.pitchbook.com?c=66771-82T","View Company Online")</f>
        <v>View Company Online</v>
      </c>
    </row>
    <row r="10303" spans="1:18" hidden="1" x14ac:dyDescent="0.3">
      <c r="A10303" s="15" t="s">
        <v>29229</v>
      </c>
      <c r="B10303" s="15" t="s">
        <v>29230</v>
      </c>
      <c r="C10303" s="18" t="s">
        <v>28</v>
      </c>
      <c r="D10303" s="15" t="s">
        <v>29231</v>
      </c>
      <c r="E10303" s="18" t="s">
        <v>28</v>
      </c>
      <c r="F10303" s="19" t="s">
        <v>28</v>
      </c>
      <c r="G10303" s="19" t="s">
        <v>28</v>
      </c>
      <c r="H10303" s="19" t="s">
        <v>28</v>
      </c>
      <c r="I10303" s="18" t="s">
        <v>28</v>
      </c>
      <c r="J10303" s="18" t="s">
        <v>28</v>
      </c>
      <c r="K10303" s="18" t="s">
        <v>28</v>
      </c>
      <c r="L10303" s="18" t="s">
        <v>28</v>
      </c>
      <c r="M10303" s="18" t="s">
        <v>28</v>
      </c>
      <c r="N10303" s="17">
        <v>41863</v>
      </c>
      <c r="O10303" s="15" t="s">
        <v>30</v>
      </c>
      <c r="P10303" s="16" t="s">
        <v>29232</v>
      </c>
      <c r="Q10303" s="15" t="s">
        <v>85</v>
      </c>
      <c r="R10303" s="13" t="str">
        <f>HYPERLINK("https://my.pitchbook.com?c=72732-34T","View Company Online")</f>
        <v>View Company Online</v>
      </c>
    </row>
    <row r="10304" spans="1:18" hidden="1" x14ac:dyDescent="0.3">
      <c r="A10304" s="9" t="s">
        <v>29233</v>
      </c>
      <c r="B10304" s="9" t="s">
        <v>29234</v>
      </c>
      <c r="C10304" s="11" t="s">
        <v>28</v>
      </c>
      <c r="D10304" s="9" t="s">
        <v>29235</v>
      </c>
      <c r="E10304" s="11" t="s">
        <v>28</v>
      </c>
      <c r="F10304" s="10" t="s">
        <v>28</v>
      </c>
      <c r="G10304" s="10" t="s">
        <v>28</v>
      </c>
      <c r="H10304" s="10" t="s">
        <v>28</v>
      </c>
      <c r="I10304" s="11" t="s">
        <v>28</v>
      </c>
      <c r="J10304" s="11" t="s">
        <v>28</v>
      </c>
      <c r="K10304" s="11" t="s">
        <v>28</v>
      </c>
      <c r="L10304" s="11" t="s">
        <v>28</v>
      </c>
      <c r="M10304" s="11" t="s">
        <v>28</v>
      </c>
      <c r="N10304" s="8">
        <v>41863</v>
      </c>
      <c r="O10304" s="9" t="s">
        <v>30</v>
      </c>
      <c r="P10304" s="12" t="s">
        <v>19095</v>
      </c>
      <c r="Q10304" s="9" t="s">
        <v>105</v>
      </c>
      <c r="R10304" s="14" t="str">
        <f>HYPERLINK("https://my.pitchbook.com?c=63980-56T","View Company Online")</f>
        <v>View Company Online</v>
      </c>
    </row>
    <row r="10305" spans="1:18" hidden="1" x14ac:dyDescent="0.3">
      <c r="A10305" s="15" t="s">
        <v>29236</v>
      </c>
      <c r="B10305" s="15" t="s">
        <v>29237</v>
      </c>
      <c r="C10305" s="18" t="s">
        <v>28</v>
      </c>
      <c r="D10305" s="15" t="s">
        <v>29238</v>
      </c>
      <c r="E10305" s="18" t="s">
        <v>28</v>
      </c>
      <c r="F10305" s="19" t="s">
        <v>28</v>
      </c>
      <c r="G10305" s="19" t="s">
        <v>28</v>
      </c>
      <c r="H10305" s="19" t="s">
        <v>28</v>
      </c>
      <c r="I10305" s="18" t="s">
        <v>28</v>
      </c>
      <c r="J10305" s="18" t="s">
        <v>28</v>
      </c>
      <c r="K10305" s="18" t="s">
        <v>28</v>
      </c>
      <c r="L10305" s="18" t="s">
        <v>28</v>
      </c>
      <c r="M10305" s="18" t="s">
        <v>28</v>
      </c>
      <c r="N10305" s="17">
        <v>41863</v>
      </c>
      <c r="O10305" s="15" t="s">
        <v>30</v>
      </c>
      <c r="P10305" s="16" t="s">
        <v>28</v>
      </c>
      <c r="Q10305" s="15" t="s">
        <v>109</v>
      </c>
      <c r="R10305" s="13" t="str">
        <f>HYPERLINK("https://my.pitchbook.com?c=122128-30T","View Company Online")</f>
        <v>View Company Online</v>
      </c>
    </row>
    <row r="10306" spans="1:18" hidden="1" x14ac:dyDescent="0.3">
      <c r="A10306" s="9" t="s">
        <v>29239</v>
      </c>
      <c r="B10306" s="9" t="s">
        <v>29240</v>
      </c>
      <c r="C10306" s="11" t="s">
        <v>28</v>
      </c>
      <c r="D10306" s="9" t="s">
        <v>29241</v>
      </c>
      <c r="E10306" s="11" t="s">
        <v>28</v>
      </c>
      <c r="F10306" s="10" t="s">
        <v>28</v>
      </c>
      <c r="G10306" s="10" t="s">
        <v>28</v>
      </c>
      <c r="H10306" s="10" t="s">
        <v>28</v>
      </c>
      <c r="I10306" s="11" t="s">
        <v>28</v>
      </c>
      <c r="J10306" s="11" t="s">
        <v>28</v>
      </c>
      <c r="K10306" s="11" t="s">
        <v>28</v>
      </c>
      <c r="L10306" s="11" t="s">
        <v>28</v>
      </c>
      <c r="M10306" s="11" t="s">
        <v>28</v>
      </c>
      <c r="N10306" s="8">
        <v>41862</v>
      </c>
      <c r="O10306" s="9" t="s">
        <v>173</v>
      </c>
      <c r="P10306" s="12" t="s">
        <v>28</v>
      </c>
      <c r="Q10306" s="9" t="s">
        <v>240</v>
      </c>
      <c r="R10306" s="14" t="str">
        <f>HYPERLINK("https://my.pitchbook.com?c=223301-44T","View Company Online")</f>
        <v>View Company Online</v>
      </c>
    </row>
    <row r="10307" spans="1:18" hidden="1" x14ac:dyDescent="0.3">
      <c r="A10307" s="15" t="s">
        <v>29242</v>
      </c>
      <c r="B10307" s="15" t="s">
        <v>29243</v>
      </c>
      <c r="C10307" s="18" t="s">
        <v>28</v>
      </c>
      <c r="D10307" s="15" t="s">
        <v>29244</v>
      </c>
      <c r="E10307" s="18" t="s">
        <v>28</v>
      </c>
      <c r="F10307" s="19">
        <v>235.31</v>
      </c>
      <c r="G10307" s="19">
        <v>235.31</v>
      </c>
      <c r="H10307" s="19">
        <v>235.31</v>
      </c>
      <c r="I10307" s="18" t="s">
        <v>28</v>
      </c>
      <c r="J10307" s="18" t="s">
        <v>28</v>
      </c>
      <c r="K10307" s="18" t="s">
        <v>28</v>
      </c>
      <c r="L10307" s="18" t="s">
        <v>28</v>
      </c>
      <c r="M10307" s="18" t="s">
        <v>28</v>
      </c>
      <c r="N10307" s="17">
        <v>41862</v>
      </c>
      <c r="O10307" s="15" t="s">
        <v>30</v>
      </c>
      <c r="P10307" s="16" t="s">
        <v>29245</v>
      </c>
      <c r="Q10307" s="15" t="s">
        <v>240</v>
      </c>
      <c r="R10307" s="13" t="str">
        <f>HYPERLINK("https://my.pitchbook.com?c=92051-65T","View Company Online")</f>
        <v>View Company Online</v>
      </c>
    </row>
    <row r="10308" spans="1:18" hidden="1" x14ac:dyDescent="0.3">
      <c r="A10308" s="9" t="s">
        <v>29246</v>
      </c>
      <c r="B10308" s="9" t="s">
        <v>29247</v>
      </c>
      <c r="C10308" s="11" t="s">
        <v>28</v>
      </c>
      <c r="D10308" s="9" t="s">
        <v>29248</v>
      </c>
      <c r="E10308" s="11" t="s">
        <v>28</v>
      </c>
      <c r="F10308" s="10">
        <v>48</v>
      </c>
      <c r="G10308" s="10">
        <v>48</v>
      </c>
      <c r="H10308" s="10">
        <v>48</v>
      </c>
      <c r="I10308" s="11" t="s">
        <v>28</v>
      </c>
      <c r="J10308" s="11" t="s">
        <v>28</v>
      </c>
      <c r="K10308" s="11" t="s">
        <v>28</v>
      </c>
      <c r="L10308" s="11" t="s">
        <v>28</v>
      </c>
      <c r="M10308" s="11" t="s">
        <v>28</v>
      </c>
      <c r="N10308" s="8">
        <v>41858</v>
      </c>
      <c r="O10308" s="9" t="s">
        <v>30</v>
      </c>
      <c r="P10308" s="12" t="s">
        <v>2330</v>
      </c>
      <c r="Q10308" s="9" t="s">
        <v>43</v>
      </c>
      <c r="R10308" s="14" t="str">
        <f>HYPERLINK("https://my.pitchbook.com?c=89419-24T","View Company Online")</f>
        <v>View Company Online</v>
      </c>
    </row>
    <row r="10309" spans="1:18" hidden="1" x14ac:dyDescent="0.3">
      <c r="A10309" s="15" t="s">
        <v>29249</v>
      </c>
      <c r="B10309" s="15" t="s">
        <v>29250</v>
      </c>
      <c r="C10309" s="18" t="s">
        <v>28</v>
      </c>
      <c r="D10309" s="15" t="s">
        <v>29251</v>
      </c>
      <c r="E10309" s="18" t="s">
        <v>28</v>
      </c>
      <c r="F10309" s="19" t="s">
        <v>28</v>
      </c>
      <c r="G10309" s="19">
        <v>0.04</v>
      </c>
      <c r="H10309" s="19" t="s">
        <v>28</v>
      </c>
      <c r="I10309" s="18" t="s">
        <v>28</v>
      </c>
      <c r="J10309" s="18" t="s">
        <v>28</v>
      </c>
      <c r="K10309" s="18" t="s">
        <v>28</v>
      </c>
      <c r="L10309" s="18" t="s">
        <v>28</v>
      </c>
      <c r="M10309" s="18" t="s">
        <v>28</v>
      </c>
      <c r="N10309" s="17">
        <v>41857</v>
      </c>
      <c r="O10309" s="15" t="s">
        <v>52</v>
      </c>
      <c r="P10309" s="16" t="s">
        <v>29184</v>
      </c>
      <c r="Q10309" s="15" t="s">
        <v>3912</v>
      </c>
      <c r="R10309" s="13" t="str">
        <f>HYPERLINK("https://my.pitchbook.com?c=50720-95T","View Company Online")</f>
        <v>View Company Online</v>
      </c>
    </row>
    <row r="10310" spans="1:18" x14ac:dyDescent="0.3">
      <c r="A10310" s="9" t="s">
        <v>29252</v>
      </c>
      <c r="B10310" s="9" t="s">
        <v>25757</v>
      </c>
      <c r="C10310" s="11">
        <v>2.5299999999999998</v>
      </c>
      <c r="D10310" s="9" t="s">
        <v>25758</v>
      </c>
      <c r="E10310" s="11">
        <v>95.8</v>
      </c>
      <c r="F10310" s="10">
        <v>245.64</v>
      </c>
      <c r="G10310" s="10">
        <v>89.34</v>
      </c>
      <c r="H10310" s="10">
        <v>245.64</v>
      </c>
      <c r="I10310" s="11">
        <v>97.14</v>
      </c>
      <c r="J10310" s="11">
        <v>2.5299999999999998</v>
      </c>
      <c r="K10310" s="11">
        <v>247.15</v>
      </c>
      <c r="L10310" s="11">
        <v>0.99</v>
      </c>
      <c r="M10310" s="11">
        <v>51.7</v>
      </c>
      <c r="N10310" s="8">
        <v>41857</v>
      </c>
      <c r="O10310" s="9" t="s">
        <v>41</v>
      </c>
      <c r="P10310" s="12" t="s">
        <v>29253</v>
      </c>
      <c r="Q10310" s="9" t="s">
        <v>268</v>
      </c>
      <c r="R10310" s="14" t="str">
        <f>HYPERLINK("https://my.pitchbook.com?c=68913-01T","View Company Online")</f>
        <v>View Company Online</v>
      </c>
    </row>
    <row r="10311" spans="1:18" hidden="1" x14ac:dyDescent="0.3">
      <c r="A10311" s="15" t="s">
        <v>29254</v>
      </c>
      <c r="B10311" s="15" t="s">
        <v>29255</v>
      </c>
      <c r="C10311" s="18" t="s">
        <v>28</v>
      </c>
      <c r="D10311" s="15" t="s">
        <v>29256</v>
      </c>
      <c r="E10311" s="18" t="s">
        <v>28</v>
      </c>
      <c r="F10311" s="19">
        <v>79</v>
      </c>
      <c r="G10311" s="19">
        <v>79</v>
      </c>
      <c r="H10311" s="19">
        <v>79</v>
      </c>
      <c r="I10311" s="18" t="s">
        <v>28</v>
      </c>
      <c r="J10311" s="18" t="s">
        <v>28</v>
      </c>
      <c r="K10311" s="18" t="s">
        <v>28</v>
      </c>
      <c r="L10311" s="18" t="s">
        <v>28</v>
      </c>
      <c r="M10311" s="18" t="s">
        <v>28</v>
      </c>
      <c r="N10311" s="17">
        <v>41856</v>
      </c>
      <c r="O10311" s="15" t="s">
        <v>41</v>
      </c>
      <c r="P10311" s="16" t="s">
        <v>24880</v>
      </c>
      <c r="Q10311" s="15" t="s">
        <v>183</v>
      </c>
      <c r="R10311" s="13" t="str">
        <f>HYPERLINK("https://my.pitchbook.com?c=78009-85T","View Company Online")</f>
        <v>View Company Online</v>
      </c>
    </row>
    <row r="10312" spans="1:18" hidden="1" x14ac:dyDescent="0.3">
      <c r="A10312" s="9" t="s">
        <v>29257</v>
      </c>
      <c r="B10312" s="9" t="s">
        <v>29258</v>
      </c>
      <c r="C10312" s="11" t="s">
        <v>28</v>
      </c>
      <c r="D10312" s="9" t="s">
        <v>29259</v>
      </c>
      <c r="E10312" s="11" t="s">
        <v>28</v>
      </c>
      <c r="F10312" s="10" t="s">
        <v>28</v>
      </c>
      <c r="G10312" s="10" t="s">
        <v>28</v>
      </c>
      <c r="H10312" s="10" t="s">
        <v>28</v>
      </c>
      <c r="I10312" s="11" t="s">
        <v>28</v>
      </c>
      <c r="J10312" s="11" t="s">
        <v>28</v>
      </c>
      <c r="K10312" s="11" t="s">
        <v>28</v>
      </c>
      <c r="L10312" s="11" t="s">
        <v>28</v>
      </c>
      <c r="M10312" s="11" t="s">
        <v>28</v>
      </c>
      <c r="N10312" s="8">
        <v>41856</v>
      </c>
      <c r="O10312" s="9" t="s">
        <v>52</v>
      </c>
      <c r="P10312" s="12" t="s">
        <v>4500</v>
      </c>
      <c r="Q10312" s="9" t="s">
        <v>855</v>
      </c>
      <c r="R10312" s="14" t="str">
        <f>HYPERLINK("https://my.pitchbook.com?c=73160-38T","View Company Online")</f>
        <v>View Company Online</v>
      </c>
    </row>
    <row r="10313" spans="1:18" hidden="1" x14ac:dyDescent="0.3">
      <c r="A10313" s="15" t="s">
        <v>29260</v>
      </c>
      <c r="B10313" s="15" t="s">
        <v>14213</v>
      </c>
      <c r="C10313" s="18" t="s">
        <v>28</v>
      </c>
      <c r="D10313" s="15" t="s">
        <v>14214</v>
      </c>
      <c r="E10313" s="18" t="s">
        <v>28</v>
      </c>
      <c r="F10313" s="19" t="s">
        <v>28</v>
      </c>
      <c r="G10313" s="19">
        <v>0.09</v>
      </c>
      <c r="H10313" s="19" t="s">
        <v>28</v>
      </c>
      <c r="I10313" s="18" t="s">
        <v>28</v>
      </c>
      <c r="J10313" s="18" t="s">
        <v>28</v>
      </c>
      <c r="K10313" s="18" t="s">
        <v>28</v>
      </c>
      <c r="L10313" s="18" t="s">
        <v>28</v>
      </c>
      <c r="M10313" s="18" t="s">
        <v>28</v>
      </c>
      <c r="N10313" s="17">
        <v>41853</v>
      </c>
      <c r="O10313" s="15" t="s">
        <v>379</v>
      </c>
      <c r="P10313" s="16" t="s">
        <v>28</v>
      </c>
      <c r="Q10313" s="15" t="s">
        <v>75</v>
      </c>
      <c r="R10313" s="13" t="str">
        <f>HYPERLINK("https://my.pitchbook.com?c=59809-60T","View Company Online")</f>
        <v>View Company Online</v>
      </c>
    </row>
    <row r="10314" spans="1:18" hidden="1" x14ac:dyDescent="0.3">
      <c r="A10314" s="9" t="s">
        <v>29261</v>
      </c>
      <c r="B10314" s="9" t="s">
        <v>4013</v>
      </c>
      <c r="C10314" s="11" t="s">
        <v>28</v>
      </c>
      <c r="D10314" s="9" t="s">
        <v>4014</v>
      </c>
      <c r="E10314" s="11" t="s">
        <v>28</v>
      </c>
      <c r="F10314" s="10" t="s">
        <v>28</v>
      </c>
      <c r="G10314" s="10" t="s">
        <v>28</v>
      </c>
      <c r="H10314" s="10" t="s">
        <v>28</v>
      </c>
      <c r="I10314" s="11" t="s">
        <v>28</v>
      </c>
      <c r="J10314" s="11" t="s">
        <v>28</v>
      </c>
      <c r="K10314" s="11">
        <v>0.03</v>
      </c>
      <c r="L10314" s="11" t="s">
        <v>28</v>
      </c>
      <c r="M10314" s="11" t="s">
        <v>28</v>
      </c>
      <c r="N10314" s="8">
        <v>41852</v>
      </c>
      <c r="O10314" s="9" t="s">
        <v>73</v>
      </c>
      <c r="P10314" s="12" t="s">
        <v>611</v>
      </c>
      <c r="Q10314" s="9" t="s">
        <v>75</v>
      </c>
      <c r="R10314" s="14" t="str">
        <f>HYPERLINK("https://my.pitchbook.com?c=196166-35T","View Company Online")</f>
        <v>View Company Online</v>
      </c>
    </row>
    <row r="10315" spans="1:18" hidden="1" x14ac:dyDescent="0.3">
      <c r="A10315" s="15" t="s">
        <v>29262</v>
      </c>
      <c r="B10315" s="15" t="s">
        <v>29263</v>
      </c>
      <c r="C10315" s="18" t="s">
        <v>28</v>
      </c>
      <c r="D10315" s="15" t="s">
        <v>29264</v>
      </c>
      <c r="E10315" s="18" t="s">
        <v>28</v>
      </c>
      <c r="F10315" s="19" t="s">
        <v>28</v>
      </c>
      <c r="G10315" s="19" t="s">
        <v>28</v>
      </c>
      <c r="H10315" s="19" t="s">
        <v>28</v>
      </c>
      <c r="I10315" s="18" t="s">
        <v>28</v>
      </c>
      <c r="J10315" s="18" t="s">
        <v>28</v>
      </c>
      <c r="K10315" s="18" t="s">
        <v>28</v>
      </c>
      <c r="L10315" s="18" t="s">
        <v>28</v>
      </c>
      <c r="M10315" s="18" t="s">
        <v>28</v>
      </c>
      <c r="N10315" s="17">
        <v>41852</v>
      </c>
      <c r="O10315" s="15" t="s">
        <v>30</v>
      </c>
      <c r="P10315" s="16" t="s">
        <v>29265</v>
      </c>
      <c r="Q10315" s="15" t="s">
        <v>900</v>
      </c>
      <c r="R10315" s="13" t="str">
        <f>HYPERLINK("https://my.pitchbook.com?c=100377-91T","View Company Online")</f>
        <v>View Company Online</v>
      </c>
    </row>
    <row r="10316" spans="1:18" hidden="1" x14ac:dyDescent="0.3">
      <c r="A10316" s="9" t="s">
        <v>29266</v>
      </c>
      <c r="B10316" s="9" t="s">
        <v>29267</v>
      </c>
      <c r="C10316" s="11" t="s">
        <v>28</v>
      </c>
      <c r="D10316" s="9" t="s">
        <v>29268</v>
      </c>
      <c r="E10316" s="11" t="s">
        <v>28</v>
      </c>
      <c r="F10316" s="10" t="s">
        <v>28</v>
      </c>
      <c r="G10316" s="10" t="s">
        <v>28</v>
      </c>
      <c r="H10316" s="10" t="s">
        <v>28</v>
      </c>
      <c r="I10316" s="11" t="s">
        <v>28</v>
      </c>
      <c r="J10316" s="11" t="s">
        <v>28</v>
      </c>
      <c r="K10316" s="11" t="s">
        <v>28</v>
      </c>
      <c r="L10316" s="11" t="s">
        <v>28</v>
      </c>
      <c r="M10316" s="11" t="s">
        <v>28</v>
      </c>
      <c r="N10316" s="8">
        <v>41852</v>
      </c>
      <c r="O10316" s="9" t="s">
        <v>30</v>
      </c>
      <c r="P10316" s="12" t="s">
        <v>29269</v>
      </c>
      <c r="Q10316" s="9" t="s">
        <v>85</v>
      </c>
      <c r="R10316" s="14" t="str">
        <f>HYPERLINK("https://my.pitchbook.com?c=268415-83T","View Company Online")</f>
        <v>View Company Online</v>
      </c>
    </row>
    <row r="10317" spans="1:18" hidden="1" x14ac:dyDescent="0.3">
      <c r="A10317" s="15" t="s">
        <v>29270</v>
      </c>
      <c r="B10317" s="15" t="s">
        <v>22135</v>
      </c>
      <c r="C10317" s="18" t="s">
        <v>28</v>
      </c>
      <c r="D10317" s="15" t="s">
        <v>22136</v>
      </c>
      <c r="E10317" s="18" t="s">
        <v>28</v>
      </c>
      <c r="F10317" s="19" t="s">
        <v>28</v>
      </c>
      <c r="G10317" s="19">
        <v>0.08</v>
      </c>
      <c r="H10317" s="19" t="s">
        <v>28</v>
      </c>
      <c r="I10317" s="18" t="s">
        <v>28</v>
      </c>
      <c r="J10317" s="18" t="s">
        <v>28</v>
      </c>
      <c r="K10317" s="18" t="s">
        <v>28</v>
      </c>
      <c r="L10317" s="18" t="s">
        <v>28</v>
      </c>
      <c r="M10317" s="18" t="s">
        <v>28</v>
      </c>
      <c r="N10317" s="17">
        <v>41852</v>
      </c>
      <c r="O10317" s="15" t="s">
        <v>9098</v>
      </c>
      <c r="P10317" s="16" t="s">
        <v>28</v>
      </c>
      <c r="Q10317" s="15" t="s">
        <v>136</v>
      </c>
      <c r="R10317" s="13" t="str">
        <f>HYPERLINK("https://my.pitchbook.com?c=126024-04T","View Company Online")</f>
        <v>View Company Online</v>
      </c>
    </row>
    <row r="10318" spans="1:18" hidden="1" x14ac:dyDescent="0.3">
      <c r="A10318" s="9" t="s">
        <v>29271</v>
      </c>
      <c r="B10318" s="9" t="s">
        <v>29272</v>
      </c>
      <c r="C10318" s="11" t="s">
        <v>28</v>
      </c>
      <c r="D10318" s="9" t="s">
        <v>29273</v>
      </c>
      <c r="E10318" s="11" t="s">
        <v>28</v>
      </c>
      <c r="F10318" s="10" t="s">
        <v>28</v>
      </c>
      <c r="G10318" s="10" t="s">
        <v>28</v>
      </c>
      <c r="H10318" s="10" t="s">
        <v>28</v>
      </c>
      <c r="I10318" s="11" t="s">
        <v>28</v>
      </c>
      <c r="J10318" s="11" t="s">
        <v>28</v>
      </c>
      <c r="K10318" s="11" t="s">
        <v>28</v>
      </c>
      <c r="L10318" s="11" t="s">
        <v>28</v>
      </c>
      <c r="M10318" s="11" t="s">
        <v>28</v>
      </c>
      <c r="N10318" s="8">
        <v>41852</v>
      </c>
      <c r="O10318" s="9" t="s">
        <v>30</v>
      </c>
      <c r="P10318" s="12" t="s">
        <v>782</v>
      </c>
      <c r="Q10318" s="9" t="s">
        <v>119</v>
      </c>
      <c r="R10318" s="14" t="str">
        <f>HYPERLINK("https://my.pitchbook.com?c=58962-79T","View Company Online")</f>
        <v>View Company Online</v>
      </c>
    </row>
    <row r="10319" spans="1:18" hidden="1" x14ac:dyDescent="0.3">
      <c r="A10319" s="15" t="s">
        <v>29274</v>
      </c>
      <c r="B10319" s="15" t="s">
        <v>29275</v>
      </c>
      <c r="C10319" s="18" t="s">
        <v>28</v>
      </c>
      <c r="D10319" s="15" t="s">
        <v>29276</v>
      </c>
      <c r="E10319" s="18" t="s">
        <v>28</v>
      </c>
      <c r="F10319" s="19" t="s">
        <v>28</v>
      </c>
      <c r="G10319" s="19" t="s">
        <v>28</v>
      </c>
      <c r="H10319" s="19" t="s">
        <v>28</v>
      </c>
      <c r="I10319" s="18" t="s">
        <v>28</v>
      </c>
      <c r="J10319" s="18" t="s">
        <v>28</v>
      </c>
      <c r="K10319" s="18" t="s">
        <v>28</v>
      </c>
      <c r="L10319" s="18" t="s">
        <v>28</v>
      </c>
      <c r="M10319" s="18" t="s">
        <v>28</v>
      </c>
      <c r="N10319" s="17">
        <v>41852</v>
      </c>
      <c r="O10319" s="15" t="s">
        <v>52</v>
      </c>
      <c r="P10319" s="16" t="s">
        <v>18449</v>
      </c>
      <c r="Q10319" s="15" t="s">
        <v>85</v>
      </c>
      <c r="R10319" s="13" t="str">
        <f>HYPERLINK("https://my.pitchbook.com?c=138978-82T","View Company Online")</f>
        <v>View Company Online</v>
      </c>
    </row>
    <row r="10320" spans="1:18" hidden="1" x14ac:dyDescent="0.3">
      <c r="A10320" s="9" t="s">
        <v>29277</v>
      </c>
      <c r="B10320" s="9" t="s">
        <v>29278</v>
      </c>
      <c r="C10320" s="11" t="s">
        <v>28</v>
      </c>
      <c r="D10320" s="9" t="s">
        <v>29279</v>
      </c>
      <c r="E10320" s="11" t="s">
        <v>28</v>
      </c>
      <c r="F10320" s="10" t="s">
        <v>28</v>
      </c>
      <c r="G10320" s="10" t="s">
        <v>28</v>
      </c>
      <c r="H10320" s="10" t="s">
        <v>28</v>
      </c>
      <c r="I10320" s="11" t="s">
        <v>28</v>
      </c>
      <c r="J10320" s="11" t="s">
        <v>28</v>
      </c>
      <c r="K10320" s="11" t="s">
        <v>28</v>
      </c>
      <c r="L10320" s="11" t="s">
        <v>28</v>
      </c>
      <c r="M10320" s="11" t="s">
        <v>28</v>
      </c>
      <c r="N10320" s="8">
        <v>41852</v>
      </c>
      <c r="O10320" s="9" t="s">
        <v>30</v>
      </c>
      <c r="P10320" s="12" t="s">
        <v>29280</v>
      </c>
      <c r="Q10320" s="9" t="s">
        <v>75</v>
      </c>
      <c r="R10320" s="14" t="str">
        <f>HYPERLINK("https://my.pitchbook.com?c=49308-40T","View Company Online")</f>
        <v>View Company Online</v>
      </c>
    </row>
    <row r="10321" spans="1:18" hidden="1" x14ac:dyDescent="0.3">
      <c r="A10321" s="15" t="s">
        <v>29281</v>
      </c>
      <c r="B10321" s="15" t="s">
        <v>29282</v>
      </c>
      <c r="C10321" s="18" t="s">
        <v>28</v>
      </c>
      <c r="D10321" s="15" t="s">
        <v>29283</v>
      </c>
      <c r="E10321" s="18" t="s">
        <v>28</v>
      </c>
      <c r="F10321" s="19" t="s">
        <v>28</v>
      </c>
      <c r="G10321" s="19" t="s">
        <v>28</v>
      </c>
      <c r="H10321" s="19" t="s">
        <v>28</v>
      </c>
      <c r="I10321" s="18" t="s">
        <v>28</v>
      </c>
      <c r="J10321" s="18" t="s">
        <v>28</v>
      </c>
      <c r="K10321" s="18" t="s">
        <v>28</v>
      </c>
      <c r="L10321" s="18" t="s">
        <v>28</v>
      </c>
      <c r="M10321" s="18" t="s">
        <v>28</v>
      </c>
      <c r="N10321" s="17">
        <v>41852</v>
      </c>
      <c r="O10321" s="15" t="s">
        <v>52</v>
      </c>
      <c r="P10321" s="16" t="s">
        <v>24086</v>
      </c>
      <c r="Q10321" s="15" t="s">
        <v>43</v>
      </c>
      <c r="R10321" s="13" t="str">
        <f>HYPERLINK("https://my.pitchbook.com?c=158507-65T","View Company Online")</f>
        <v>View Company Online</v>
      </c>
    </row>
    <row r="10322" spans="1:18" hidden="1" x14ac:dyDescent="0.3">
      <c r="A10322" s="9" t="s">
        <v>29284</v>
      </c>
      <c r="B10322" s="9" t="s">
        <v>11160</v>
      </c>
      <c r="C10322" s="11" t="s">
        <v>28</v>
      </c>
      <c r="D10322" s="9" t="s">
        <v>29285</v>
      </c>
      <c r="E10322" s="11" t="s">
        <v>28</v>
      </c>
      <c r="F10322" s="10" t="s">
        <v>28</v>
      </c>
      <c r="G10322" s="10" t="s">
        <v>28</v>
      </c>
      <c r="H10322" s="10" t="s">
        <v>28</v>
      </c>
      <c r="I10322" s="11" t="s">
        <v>28</v>
      </c>
      <c r="J10322" s="11" t="s">
        <v>28</v>
      </c>
      <c r="K10322" s="11" t="s">
        <v>28</v>
      </c>
      <c r="L10322" s="11" t="s">
        <v>28</v>
      </c>
      <c r="M10322" s="11" t="s">
        <v>28</v>
      </c>
      <c r="N10322" s="8">
        <v>41851</v>
      </c>
      <c r="O10322" s="9" t="s">
        <v>30</v>
      </c>
      <c r="P10322" s="12" t="s">
        <v>12473</v>
      </c>
      <c r="Q10322" s="9" t="s">
        <v>114</v>
      </c>
      <c r="R10322" s="14" t="str">
        <f>HYPERLINK("https://my.pitchbook.com?c=89641-63T","View Company Online")</f>
        <v>View Company Online</v>
      </c>
    </row>
    <row r="10323" spans="1:18" hidden="1" x14ac:dyDescent="0.3">
      <c r="A10323" s="15" t="s">
        <v>29286</v>
      </c>
      <c r="B10323" s="15" t="s">
        <v>7028</v>
      </c>
      <c r="C10323" s="18" t="s">
        <v>28</v>
      </c>
      <c r="D10323" s="15" t="s">
        <v>7029</v>
      </c>
      <c r="E10323" s="18" t="s">
        <v>28</v>
      </c>
      <c r="F10323" s="19" t="s">
        <v>28</v>
      </c>
      <c r="G10323" s="19" t="s">
        <v>28</v>
      </c>
      <c r="H10323" s="19" t="s">
        <v>28</v>
      </c>
      <c r="I10323" s="18" t="s">
        <v>28</v>
      </c>
      <c r="J10323" s="18" t="s">
        <v>28</v>
      </c>
      <c r="K10323" s="18" t="s">
        <v>28</v>
      </c>
      <c r="L10323" s="18" t="s">
        <v>28</v>
      </c>
      <c r="M10323" s="18" t="s">
        <v>28</v>
      </c>
      <c r="N10323" s="17">
        <v>41851</v>
      </c>
      <c r="O10323" s="15" t="s">
        <v>79</v>
      </c>
      <c r="P10323" s="16" t="s">
        <v>29287</v>
      </c>
      <c r="Q10323" s="15" t="s">
        <v>75</v>
      </c>
      <c r="R10323" s="13" t="str">
        <f>HYPERLINK("https://my.pitchbook.com?c=36492-13T","View Company Online")</f>
        <v>View Company Online</v>
      </c>
    </row>
    <row r="10324" spans="1:18" hidden="1" x14ac:dyDescent="0.3">
      <c r="A10324" s="9" t="s">
        <v>29288</v>
      </c>
      <c r="B10324" s="9" t="s">
        <v>29289</v>
      </c>
      <c r="C10324" s="11" t="s">
        <v>28</v>
      </c>
      <c r="D10324" s="9" t="s">
        <v>29290</v>
      </c>
      <c r="E10324" s="11" t="s">
        <v>28</v>
      </c>
      <c r="F10324" s="10">
        <v>18.829999999999998</v>
      </c>
      <c r="G10324" s="10">
        <v>18.829999999999998</v>
      </c>
      <c r="H10324" s="10">
        <v>18.829999999999998</v>
      </c>
      <c r="I10324" s="11" t="s">
        <v>28</v>
      </c>
      <c r="J10324" s="11" t="s">
        <v>28</v>
      </c>
      <c r="K10324" s="11" t="s">
        <v>28</v>
      </c>
      <c r="L10324" s="11" t="s">
        <v>28</v>
      </c>
      <c r="M10324" s="11" t="s">
        <v>28</v>
      </c>
      <c r="N10324" s="8">
        <v>41849</v>
      </c>
      <c r="O10324" s="9" t="s">
        <v>30</v>
      </c>
      <c r="P10324" s="12" t="s">
        <v>29291</v>
      </c>
      <c r="Q10324" s="9" t="s">
        <v>37</v>
      </c>
      <c r="R10324" s="14" t="str">
        <f>HYPERLINK("https://my.pitchbook.com?c=64898-47T","View Company Online")</f>
        <v>View Company Online</v>
      </c>
    </row>
    <row r="10325" spans="1:18" hidden="1" x14ac:dyDescent="0.3">
      <c r="A10325" s="15" t="s">
        <v>29292</v>
      </c>
      <c r="B10325" s="15" t="s">
        <v>29293</v>
      </c>
      <c r="C10325" s="18" t="s">
        <v>28</v>
      </c>
      <c r="D10325" s="15" t="s">
        <v>29294</v>
      </c>
      <c r="E10325" s="18" t="s">
        <v>28</v>
      </c>
      <c r="F10325" s="19" t="s">
        <v>28</v>
      </c>
      <c r="G10325" s="19" t="s">
        <v>28</v>
      </c>
      <c r="H10325" s="19" t="s">
        <v>28</v>
      </c>
      <c r="I10325" s="18" t="s">
        <v>28</v>
      </c>
      <c r="J10325" s="18" t="s">
        <v>28</v>
      </c>
      <c r="K10325" s="18" t="s">
        <v>28</v>
      </c>
      <c r="L10325" s="18" t="s">
        <v>28</v>
      </c>
      <c r="M10325" s="18" t="s">
        <v>28</v>
      </c>
      <c r="N10325" s="17">
        <v>41849</v>
      </c>
      <c r="O10325" s="15" t="s">
        <v>30</v>
      </c>
      <c r="P10325" s="16" t="s">
        <v>29295</v>
      </c>
      <c r="Q10325" s="15" t="s">
        <v>740</v>
      </c>
      <c r="R10325" s="13" t="str">
        <f>HYPERLINK("https://my.pitchbook.com?c=36110-80T","View Company Online")</f>
        <v>View Company Online</v>
      </c>
    </row>
    <row r="10326" spans="1:18" hidden="1" x14ac:dyDescent="0.3">
      <c r="A10326" s="9" t="s">
        <v>29296</v>
      </c>
      <c r="B10326" s="9" t="s">
        <v>23521</v>
      </c>
      <c r="C10326" s="11" t="s">
        <v>28</v>
      </c>
      <c r="D10326" s="9" t="s">
        <v>29297</v>
      </c>
      <c r="E10326" s="11" t="s">
        <v>28</v>
      </c>
      <c r="F10326" s="10" t="s">
        <v>28</v>
      </c>
      <c r="G10326" s="10" t="s">
        <v>28</v>
      </c>
      <c r="H10326" s="10" t="s">
        <v>28</v>
      </c>
      <c r="I10326" s="11" t="s">
        <v>28</v>
      </c>
      <c r="J10326" s="11" t="s">
        <v>28</v>
      </c>
      <c r="K10326" s="11" t="s">
        <v>28</v>
      </c>
      <c r="L10326" s="11" t="s">
        <v>28</v>
      </c>
      <c r="M10326" s="11" t="s">
        <v>28</v>
      </c>
      <c r="N10326" s="8">
        <v>41848</v>
      </c>
      <c r="O10326" s="9" t="s">
        <v>41</v>
      </c>
      <c r="P10326" s="12" t="s">
        <v>29298</v>
      </c>
      <c r="Q10326" s="9" t="s">
        <v>114</v>
      </c>
      <c r="R10326" s="14" t="str">
        <f>HYPERLINK("https://my.pitchbook.com?c=219137-41T","View Company Online")</f>
        <v>View Company Online</v>
      </c>
    </row>
    <row r="10327" spans="1:18" hidden="1" x14ac:dyDescent="0.3">
      <c r="A10327" s="15" t="s">
        <v>29299</v>
      </c>
      <c r="B10327" s="15" t="s">
        <v>29300</v>
      </c>
      <c r="C10327" s="18" t="s">
        <v>28</v>
      </c>
      <c r="D10327" s="15" t="s">
        <v>29301</v>
      </c>
      <c r="E10327" s="18" t="s">
        <v>28</v>
      </c>
      <c r="F10327" s="19" t="s">
        <v>28</v>
      </c>
      <c r="G10327" s="19" t="s">
        <v>28</v>
      </c>
      <c r="H10327" s="19" t="s">
        <v>28</v>
      </c>
      <c r="I10327" s="18" t="s">
        <v>28</v>
      </c>
      <c r="J10327" s="18" t="s">
        <v>28</v>
      </c>
      <c r="K10327" s="18" t="s">
        <v>28</v>
      </c>
      <c r="L10327" s="18" t="s">
        <v>28</v>
      </c>
      <c r="M10327" s="18" t="s">
        <v>28</v>
      </c>
      <c r="N10327" s="17">
        <v>41844</v>
      </c>
      <c r="O10327" s="15" t="s">
        <v>30</v>
      </c>
      <c r="P10327" s="16" t="s">
        <v>29302</v>
      </c>
      <c r="Q10327" s="15" t="s">
        <v>740</v>
      </c>
      <c r="R10327" s="13" t="str">
        <f>HYPERLINK("https://my.pitchbook.com?c=36882-10T","View Company Online")</f>
        <v>View Company Online</v>
      </c>
    </row>
    <row r="10328" spans="1:18" hidden="1" x14ac:dyDescent="0.3">
      <c r="A10328" s="9" t="s">
        <v>29303</v>
      </c>
      <c r="B10328" s="9" t="s">
        <v>29304</v>
      </c>
      <c r="C10328" s="11" t="s">
        <v>28</v>
      </c>
      <c r="D10328" s="9" t="s">
        <v>29305</v>
      </c>
      <c r="E10328" s="11" t="s">
        <v>28</v>
      </c>
      <c r="F10328" s="10" t="s">
        <v>28</v>
      </c>
      <c r="G10328" s="10" t="s">
        <v>28</v>
      </c>
      <c r="H10328" s="10" t="s">
        <v>28</v>
      </c>
      <c r="I10328" s="11" t="s">
        <v>28</v>
      </c>
      <c r="J10328" s="11" t="s">
        <v>28</v>
      </c>
      <c r="K10328" s="11" t="s">
        <v>28</v>
      </c>
      <c r="L10328" s="11" t="s">
        <v>28</v>
      </c>
      <c r="M10328" s="11" t="s">
        <v>28</v>
      </c>
      <c r="N10328" s="8">
        <v>41844</v>
      </c>
      <c r="O10328" s="9" t="s">
        <v>73</v>
      </c>
      <c r="P10328" s="12" t="s">
        <v>29306</v>
      </c>
      <c r="Q10328" s="9" t="s">
        <v>386</v>
      </c>
      <c r="R10328" s="14" t="str">
        <f>HYPERLINK("https://my.pitchbook.com?c=62335-72T","View Company Online")</f>
        <v>View Company Online</v>
      </c>
    </row>
    <row r="10329" spans="1:18" hidden="1" x14ac:dyDescent="0.3">
      <c r="A10329" s="15" t="s">
        <v>29307</v>
      </c>
      <c r="B10329" s="15" t="s">
        <v>28371</v>
      </c>
      <c r="C10329" s="18" t="s">
        <v>28</v>
      </c>
      <c r="D10329" s="15" t="s">
        <v>28372</v>
      </c>
      <c r="E10329" s="18" t="s">
        <v>28</v>
      </c>
      <c r="F10329" s="19" t="s">
        <v>28</v>
      </c>
      <c r="G10329" s="19" t="s">
        <v>28</v>
      </c>
      <c r="H10329" s="19" t="s">
        <v>28</v>
      </c>
      <c r="I10329" s="18" t="s">
        <v>28</v>
      </c>
      <c r="J10329" s="18" t="s">
        <v>28</v>
      </c>
      <c r="K10329" s="18" t="s">
        <v>28</v>
      </c>
      <c r="L10329" s="18" t="s">
        <v>28</v>
      </c>
      <c r="M10329" s="18" t="s">
        <v>28</v>
      </c>
      <c r="N10329" s="17">
        <v>41844</v>
      </c>
      <c r="O10329" s="15" t="s">
        <v>99</v>
      </c>
      <c r="P10329" s="16" t="s">
        <v>28</v>
      </c>
      <c r="Q10329" s="15" t="s">
        <v>37</v>
      </c>
      <c r="R10329" s="13" t="str">
        <f>HYPERLINK("https://my.pitchbook.com?c=36930-88T","View Company Online")</f>
        <v>View Company Online</v>
      </c>
    </row>
    <row r="10330" spans="1:18" hidden="1" x14ac:dyDescent="0.3">
      <c r="A10330" s="9" t="s">
        <v>29308</v>
      </c>
      <c r="B10330" s="9" t="s">
        <v>29309</v>
      </c>
      <c r="C10330" s="11" t="s">
        <v>28</v>
      </c>
      <c r="D10330" s="9" t="s">
        <v>29310</v>
      </c>
      <c r="E10330" s="11" t="s">
        <v>28</v>
      </c>
      <c r="F10330" s="10" t="s">
        <v>28</v>
      </c>
      <c r="G10330" s="10" t="s">
        <v>28</v>
      </c>
      <c r="H10330" s="10" t="s">
        <v>28</v>
      </c>
      <c r="I10330" s="11" t="s">
        <v>28</v>
      </c>
      <c r="J10330" s="11" t="s">
        <v>28</v>
      </c>
      <c r="K10330" s="11" t="s">
        <v>28</v>
      </c>
      <c r="L10330" s="11" t="s">
        <v>28</v>
      </c>
      <c r="M10330" s="11" t="s">
        <v>28</v>
      </c>
      <c r="N10330" s="8">
        <v>41842</v>
      </c>
      <c r="O10330" s="9" t="s">
        <v>30</v>
      </c>
      <c r="P10330" s="12" t="s">
        <v>29311</v>
      </c>
      <c r="Q10330" s="9" t="s">
        <v>1088</v>
      </c>
      <c r="R10330" s="14" t="str">
        <f>HYPERLINK("https://my.pitchbook.com?c=70382-71T","View Company Online")</f>
        <v>View Company Online</v>
      </c>
    </row>
    <row r="10331" spans="1:18" hidden="1" x14ac:dyDescent="0.3">
      <c r="A10331" s="15" t="s">
        <v>29312</v>
      </c>
      <c r="B10331" s="15" t="s">
        <v>29313</v>
      </c>
      <c r="C10331" s="18" t="s">
        <v>28</v>
      </c>
      <c r="D10331" s="15" t="s">
        <v>29314</v>
      </c>
      <c r="E10331" s="18" t="s">
        <v>28</v>
      </c>
      <c r="F10331" s="19" t="s">
        <v>28</v>
      </c>
      <c r="G10331" s="19" t="s">
        <v>28</v>
      </c>
      <c r="H10331" s="19" t="s">
        <v>28</v>
      </c>
      <c r="I10331" s="18" t="s">
        <v>28</v>
      </c>
      <c r="J10331" s="18" t="s">
        <v>28</v>
      </c>
      <c r="K10331" s="18" t="s">
        <v>28</v>
      </c>
      <c r="L10331" s="18" t="s">
        <v>28</v>
      </c>
      <c r="M10331" s="18" t="s">
        <v>28</v>
      </c>
      <c r="N10331" s="17">
        <v>41841</v>
      </c>
      <c r="O10331" s="15" t="s">
        <v>58</v>
      </c>
      <c r="P10331" s="16" t="s">
        <v>29315</v>
      </c>
      <c r="Q10331" s="15" t="s">
        <v>386</v>
      </c>
      <c r="R10331" s="13" t="str">
        <f>HYPERLINK("https://my.pitchbook.com?c=35862-49T","View Company Online")</f>
        <v>View Company Online</v>
      </c>
    </row>
    <row r="10332" spans="1:18" hidden="1" x14ac:dyDescent="0.3">
      <c r="A10332" s="9" t="s">
        <v>29316</v>
      </c>
      <c r="B10332" s="9" t="s">
        <v>29317</v>
      </c>
      <c r="C10332" s="11" t="s">
        <v>28</v>
      </c>
      <c r="D10332" s="9" t="s">
        <v>29318</v>
      </c>
      <c r="E10332" s="11" t="s">
        <v>28</v>
      </c>
      <c r="F10332" s="10" t="s">
        <v>28</v>
      </c>
      <c r="G10332" s="10" t="s">
        <v>28</v>
      </c>
      <c r="H10332" s="10" t="s">
        <v>28</v>
      </c>
      <c r="I10332" s="11" t="s">
        <v>28</v>
      </c>
      <c r="J10332" s="11" t="s">
        <v>28</v>
      </c>
      <c r="K10332" s="11" t="s">
        <v>28</v>
      </c>
      <c r="L10332" s="11" t="s">
        <v>28</v>
      </c>
      <c r="M10332" s="11" t="s">
        <v>28</v>
      </c>
      <c r="N10332" s="8">
        <v>41838</v>
      </c>
      <c r="O10332" s="9" t="s">
        <v>30</v>
      </c>
      <c r="P10332" s="12" t="s">
        <v>29319</v>
      </c>
      <c r="Q10332" s="9" t="s">
        <v>299</v>
      </c>
      <c r="R10332" s="14" t="str">
        <f>HYPERLINK("https://my.pitchbook.com?c=59719-51T","View Company Online")</f>
        <v>View Company Online</v>
      </c>
    </row>
    <row r="10333" spans="1:18" hidden="1" x14ac:dyDescent="0.3">
      <c r="A10333" s="15" t="s">
        <v>29320</v>
      </c>
      <c r="B10333" s="15" t="s">
        <v>29321</v>
      </c>
      <c r="C10333" s="18" t="s">
        <v>28</v>
      </c>
      <c r="D10333" s="15" t="s">
        <v>29322</v>
      </c>
      <c r="E10333" s="18" t="s">
        <v>28</v>
      </c>
      <c r="F10333" s="19" t="s">
        <v>28</v>
      </c>
      <c r="G10333" s="19">
        <v>0.85</v>
      </c>
      <c r="H10333" s="19" t="s">
        <v>28</v>
      </c>
      <c r="I10333" s="18" t="s">
        <v>28</v>
      </c>
      <c r="J10333" s="18" t="s">
        <v>28</v>
      </c>
      <c r="K10333" s="18" t="s">
        <v>28</v>
      </c>
      <c r="L10333" s="18" t="s">
        <v>28</v>
      </c>
      <c r="M10333" s="18" t="s">
        <v>28</v>
      </c>
      <c r="N10333" s="17">
        <v>41835</v>
      </c>
      <c r="O10333" s="15" t="s">
        <v>379</v>
      </c>
      <c r="P10333" s="16" t="s">
        <v>29323</v>
      </c>
      <c r="Q10333" s="15" t="s">
        <v>3912</v>
      </c>
      <c r="R10333" s="13" t="str">
        <f>HYPERLINK("https://my.pitchbook.com?c=49507-93T","View Company Online")</f>
        <v>View Company Online</v>
      </c>
    </row>
    <row r="10334" spans="1:18" hidden="1" x14ac:dyDescent="0.3">
      <c r="A10334" s="9" t="s">
        <v>29324</v>
      </c>
      <c r="B10334" s="9" t="s">
        <v>29302</v>
      </c>
      <c r="C10334" s="11" t="s">
        <v>28</v>
      </c>
      <c r="D10334" s="9" t="s">
        <v>29325</v>
      </c>
      <c r="E10334" s="11" t="s">
        <v>28</v>
      </c>
      <c r="F10334" s="10" t="s">
        <v>28</v>
      </c>
      <c r="G10334" s="10">
        <v>12.3</v>
      </c>
      <c r="H10334" s="10" t="s">
        <v>28</v>
      </c>
      <c r="I10334" s="11" t="s">
        <v>28</v>
      </c>
      <c r="J10334" s="11" t="s">
        <v>28</v>
      </c>
      <c r="K10334" s="11">
        <v>55</v>
      </c>
      <c r="L10334" s="11" t="s">
        <v>28</v>
      </c>
      <c r="M10334" s="11" t="s">
        <v>28</v>
      </c>
      <c r="N10334" s="8">
        <v>41834</v>
      </c>
      <c r="O10334" s="9" t="s">
        <v>79</v>
      </c>
      <c r="P10334" s="12" t="s">
        <v>29326</v>
      </c>
      <c r="Q10334" s="9" t="s">
        <v>740</v>
      </c>
      <c r="R10334" s="14" t="str">
        <f>HYPERLINK("https://my.pitchbook.com?c=32203-54T","View Company Online")</f>
        <v>View Company Online</v>
      </c>
    </row>
    <row r="10335" spans="1:18" hidden="1" x14ac:dyDescent="0.3">
      <c r="A10335" s="15" t="s">
        <v>29327</v>
      </c>
      <c r="B10335" s="15" t="s">
        <v>29328</v>
      </c>
      <c r="C10335" s="18" t="s">
        <v>28</v>
      </c>
      <c r="D10335" s="15" t="s">
        <v>29329</v>
      </c>
      <c r="E10335" s="18" t="s">
        <v>28</v>
      </c>
      <c r="F10335" s="19">
        <v>110.55</v>
      </c>
      <c r="G10335" s="19">
        <v>110.55</v>
      </c>
      <c r="H10335" s="19">
        <v>110.55</v>
      </c>
      <c r="I10335" s="18" t="s">
        <v>28</v>
      </c>
      <c r="J10335" s="18" t="s">
        <v>28</v>
      </c>
      <c r="K10335" s="18" t="s">
        <v>28</v>
      </c>
      <c r="L10335" s="18" t="s">
        <v>28</v>
      </c>
      <c r="M10335" s="18" t="s">
        <v>28</v>
      </c>
      <c r="N10335" s="17">
        <v>41834</v>
      </c>
      <c r="O10335" s="15" t="s">
        <v>30</v>
      </c>
      <c r="P10335" s="16" t="s">
        <v>3647</v>
      </c>
      <c r="Q10335" s="15" t="s">
        <v>409</v>
      </c>
      <c r="R10335" s="13" t="str">
        <f>HYPERLINK("https://my.pitchbook.com?c=35718-67T","View Company Online")</f>
        <v>View Company Online</v>
      </c>
    </row>
    <row r="10336" spans="1:18" hidden="1" x14ac:dyDescent="0.3">
      <c r="A10336" s="9" t="s">
        <v>29330</v>
      </c>
      <c r="B10336" s="9" t="s">
        <v>29331</v>
      </c>
      <c r="C10336" s="11" t="s">
        <v>28</v>
      </c>
      <c r="D10336" s="9" t="s">
        <v>29332</v>
      </c>
      <c r="E10336" s="11" t="s">
        <v>28</v>
      </c>
      <c r="F10336" s="10">
        <v>1600</v>
      </c>
      <c r="G10336" s="10">
        <v>96</v>
      </c>
      <c r="H10336" s="10">
        <v>1600</v>
      </c>
      <c r="I10336" s="11" t="s">
        <v>28</v>
      </c>
      <c r="J10336" s="11" t="s">
        <v>28</v>
      </c>
      <c r="K10336" s="11" t="s">
        <v>28</v>
      </c>
      <c r="L10336" s="11" t="s">
        <v>28</v>
      </c>
      <c r="M10336" s="11" t="s">
        <v>28</v>
      </c>
      <c r="N10336" s="8">
        <v>41834</v>
      </c>
      <c r="O10336" s="9" t="s">
        <v>30</v>
      </c>
      <c r="P10336" s="12" t="s">
        <v>29333</v>
      </c>
      <c r="Q10336" s="9" t="s">
        <v>268</v>
      </c>
      <c r="R10336" s="14" t="str">
        <f>HYPERLINK("https://my.pitchbook.com?c=35699-68T","View Company Online")</f>
        <v>View Company Online</v>
      </c>
    </row>
    <row r="10337" spans="1:18" hidden="1" x14ac:dyDescent="0.3">
      <c r="A10337" s="15" t="s">
        <v>29334</v>
      </c>
      <c r="B10337" s="15" t="s">
        <v>16003</v>
      </c>
      <c r="C10337" s="18" t="s">
        <v>28</v>
      </c>
      <c r="D10337" s="15" t="s">
        <v>16004</v>
      </c>
      <c r="E10337" s="18" t="s">
        <v>28</v>
      </c>
      <c r="F10337" s="19" t="s">
        <v>28</v>
      </c>
      <c r="G10337" s="19">
        <v>158.25</v>
      </c>
      <c r="H10337" s="19" t="s">
        <v>28</v>
      </c>
      <c r="I10337" s="18" t="s">
        <v>28</v>
      </c>
      <c r="J10337" s="18" t="s">
        <v>28</v>
      </c>
      <c r="K10337" s="18" t="s">
        <v>28</v>
      </c>
      <c r="L10337" s="18" t="s">
        <v>28</v>
      </c>
      <c r="M10337" s="18" t="s">
        <v>28</v>
      </c>
      <c r="N10337" s="17">
        <v>41828</v>
      </c>
      <c r="O10337" s="15" t="s">
        <v>93</v>
      </c>
      <c r="P10337" s="16" t="s">
        <v>29335</v>
      </c>
      <c r="Q10337" s="15" t="s">
        <v>6142</v>
      </c>
      <c r="R10337" s="13" t="str">
        <f>HYPERLINK("https://my.pitchbook.com?c=35957-98T","View Company Online")</f>
        <v>View Company Online</v>
      </c>
    </row>
    <row r="10338" spans="1:18" hidden="1" x14ac:dyDescent="0.3">
      <c r="A10338" s="9" t="s">
        <v>29336</v>
      </c>
      <c r="B10338" s="9" t="s">
        <v>25564</v>
      </c>
      <c r="C10338" s="11" t="s">
        <v>28</v>
      </c>
      <c r="D10338" s="9" t="s">
        <v>25565</v>
      </c>
      <c r="E10338" s="11" t="s">
        <v>28</v>
      </c>
      <c r="F10338" s="10" t="s">
        <v>28</v>
      </c>
      <c r="G10338" s="10" t="s">
        <v>28</v>
      </c>
      <c r="H10338" s="10" t="s">
        <v>28</v>
      </c>
      <c r="I10338" s="11" t="s">
        <v>28</v>
      </c>
      <c r="J10338" s="11" t="s">
        <v>28</v>
      </c>
      <c r="K10338" s="11" t="s">
        <v>28</v>
      </c>
      <c r="L10338" s="11" t="s">
        <v>28</v>
      </c>
      <c r="M10338" s="11" t="s">
        <v>28</v>
      </c>
      <c r="N10338" s="8">
        <v>41827</v>
      </c>
      <c r="O10338" s="9" t="s">
        <v>30</v>
      </c>
      <c r="P10338" s="12" t="s">
        <v>29337</v>
      </c>
      <c r="Q10338" s="9" t="s">
        <v>424</v>
      </c>
      <c r="R10338" s="14" t="str">
        <f>HYPERLINK("https://my.pitchbook.com?c=93038-95T","View Company Online")</f>
        <v>View Company Online</v>
      </c>
    </row>
    <row r="10339" spans="1:18" x14ac:dyDescent="0.3">
      <c r="A10339" s="15" t="s">
        <v>29338</v>
      </c>
      <c r="B10339" s="15" t="s">
        <v>23224</v>
      </c>
      <c r="C10339" s="18" t="s">
        <v>28</v>
      </c>
      <c r="D10339" s="15" t="s">
        <v>23225</v>
      </c>
      <c r="E10339" s="18">
        <v>-1.78</v>
      </c>
      <c r="F10339" s="19">
        <v>8.6300000000000008</v>
      </c>
      <c r="G10339" s="19">
        <v>0.87</v>
      </c>
      <c r="H10339" s="19">
        <v>8.7200000000000006</v>
      </c>
      <c r="I10339" s="18">
        <v>-1.63</v>
      </c>
      <c r="J10339" s="18">
        <v>-5.34</v>
      </c>
      <c r="K10339" s="18">
        <v>0</v>
      </c>
      <c r="L10339" s="18" t="s">
        <v>28</v>
      </c>
      <c r="M10339" s="18">
        <v>-0.79</v>
      </c>
      <c r="N10339" s="17">
        <v>41827</v>
      </c>
      <c r="O10339" s="15" t="s">
        <v>30</v>
      </c>
      <c r="P10339" s="16" t="s">
        <v>29339</v>
      </c>
      <c r="Q10339" s="15" t="s">
        <v>975</v>
      </c>
      <c r="R10339" s="13" t="str">
        <f>HYPERLINK("https://my.pitchbook.com?c=35654-86T","View Company Online")</f>
        <v>View Company Online</v>
      </c>
    </row>
    <row r="10340" spans="1:18" hidden="1" x14ac:dyDescent="0.3">
      <c r="A10340" s="9" t="s">
        <v>29340</v>
      </c>
      <c r="B10340" s="9" t="s">
        <v>29341</v>
      </c>
      <c r="C10340" s="11" t="s">
        <v>28</v>
      </c>
      <c r="D10340" s="9" t="s">
        <v>29342</v>
      </c>
      <c r="E10340" s="11" t="s">
        <v>28</v>
      </c>
      <c r="F10340" s="10" t="s">
        <v>28</v>
      </c>
      <c r="G10340" s="10" t="s">
        <v>28</v>
      </c>
      <c r="H10340" s="10" t="s">
        <v>28</v>
      </c>
      <c r="I10340" s="11" t="s">
        <v>28</v>
      </c>
      <c r="J10340" s="11" t="s">
        <v>28</v>
      </c>
      <c r="K10340" s="11" t="s">
        <v>28</v>
      </c>
      <c r="L10340" s="11" t="s">
        <v>28</v>
      </c>
      <c r="M10340" s="11" t="s">
        <v>28</v>
      </c>
      <c r="N10340" s="8">
        <v>41824</v>
      </c>
      <c r="O10340" s="9" t="s">
        <v>30</v>
      </c>
      <c r="P10340" s="12" t="s">
        <v>29343</v>
      </c>
      <c r="Q10340" s="9" t="s">
        <v>975</v>
      </c>
      <c r="R10340" s="14" t="str">
        <f>HYPERLINK("https://my.pitchbook.com?c=36276-31T","View Company Online")</f>
        <v>View Company Online</v>
      </c>
    </row>
    <row r="10341" spans="1:18" hidden="1" x14ac:dyDescent="0.3">
      <c r="A10341" s="15" t="s">
        <v>29344</v>
      </c>
      <c r="B10341" s="15" t="s">
        <v>29345</v>
      </c>
      <c r="C10341" s="18" t="s">
        <v>28</v>
      </c>
      <c r="D10341" s="15" t="s">
        <v>29346</v>
      </c>
      <c r="E10341" s="18" t="s">
        <v>28</v>
      </c>
      <c r="F10341" s="19" t="s">
        <v>28</v>
      </c>
      <c r="G10341" s="19">
        <v>0.5</v>
      </c>
      <c r="H10341" s="19" t="s">
        <v>28</v>
      </c>
      <c r="I10341" s="18" t="s">
        <v>28</v>
      </c>
      <c r="J10341" s="18" t="s">
        <v>28</v>
      </c>
      <c r="K10341" s="18" t="s">
        <v>28</v>
      </c>
      <c r="L10341" s="18" t="s">
        <v>28</v>
      </c>
      <c r="M10341" s="18" t="s">
        <v>28</v>
      </c>
      <c r="N10341" s="17">
        <v>41824</v>
      </c>
      <c r="O10341" s="15" t="s">
        <v>379</v>
      </c>
      <c r="P10341" s="16" t="s">
        <v>28</v>
      </c>
      <c r="Q10341" s="15" t="s">
        <v>855</v>
      </c>
      <c r="R10341" s="13" t="str">
        <f>HYPERLINK("https://my.pitchbook.com?c=49519-45T","View Company Online")</f>
        <v>View Company Online</v>
      </c>
    </row>
    <row r="10342" spans="1:18" hidden="1" x14ac:dyDescent="0.3">
      <c r="A10342" s="9" t="s">
        <v>29347</v>
      </c>
      <c r="B10342" s="9" t="s">
        <v>29348</v>
      </c>
      <c r="C10342" s="11" t="s">
        <v>28</v>
      </c>
      <c r="D10342" s="9" t="s">
        <v>29349</v>
      </c>
      <c r="E10342" s="11" t="s">
        <v>28</v>
      </c>
      <c r="F10342" s="10" t="s">
        <v>28</v>
      </c>
      <c r="G10342" s="10">
        <v>685</v>
      </c>
      <c r="H10342" s="10">
        <v>685</v>
      </c>
      <c r="I10342" s="11" t="s">
        <v>28</v>
      </c>
      <c r="J10342" s="11" t="s">
        <v>28</v>
      </c>
      <c r="K10342" s="11" t="s">
        <v>28</v>
      </c>
      <c r="L10342" s="11" t="s">
        <v>28</v>
      </c>
      <c r="M10342" s="11" t="s">
        <v>28</v>
      </c>
      <c r="N10342" s="8">
        <v>41824</v>
      </c>
      <c r="O10342" s="9" t="s">
        <v>30</v>
      </c>
      <c r="P10342" s="12" t="s">
        <v>29350</v>
      </c>
      <c r="Q10342" s="9" t="s">
        <v>2988</v>
      </c>
      <c r="R10342" s="14" t="str">
        <f>HYPERLINK("https://my.pitchbook.com?c=36350-56T","View Company Online")</f>
        <v>View Company Online</v>
      </c>
    </row>
    <row r="10343" spans="1:18" x14ac:dyDescent="0.3">
      <c r="A10343" s="15" t="s">
        <v>29351</v>
      </c>
      <c r="B10343" s="15" t="s">
        <v>29352</v>
      </c>
      <c r="C10343" s="18">
        <v>10.16</v>
      </c>
      <c r="D10343" s="15" t="s">
        <v>29353</v>
      </c>
      <c r="E10343" s="18">
        <v>76.64</v>
      </c>
      <c r="F10343" s="19">
        <v>973.81</v>
      </c>
      <c r="G10343" s="19">
        <v>1108.53</v>
      </c>
      <c r="H10343" s="19">
        <v>1108.53</v>
      </c>
      <c r="I10343" s="18">
        <v>95.88</v>
      </c>
      <c r="J10343" s="18">
        <v>11.56</v>
      </c>
      <c r="K10343" s="18">
        <v>843.63</v>
      </c>
      <c r="L10343" s="18">
        <v>1.31</v>
      </c>
      <c r="M10343" s="18">
        <v>58.86</v>
      </c>
      <c r="N10343" s="17">
        <v>41823</v>
      </c>
      <c r="O10343" s="15" t="s">
        <v>30</v>
      </c>
      <c r="P10343" s="16" t="s">
        <v>23054</v>
      </c>
      <c r="Q10343" s="15" t="s">
        <v>43</v>
      </c>
      <c r="R10343" s="13" t="str">
        <f>HYPERLINK("https://my.pitchbook.com?c=33706-81T","View Company Online")</f>
        <v>View Company Online</v>
      </c>
    </row>
    <row r="10344" spans="1:18" hidden="1" x14ac:dyDescent="0.3">
      <c r="A10344" s="9" t="s">
        <v>29354</v>
      </c>
      <c r="B10344" s="9" t="s">
        <v>29355</v>
      </c>
      <c r="C10344" s="11" t="s">
        <v>28</v>
      </c>
      <c r="D10344" s="9" t="s">
        <v>29356</v>
      </c>
      <c r="E10344" s="11" t="s">
        <v>28</v>
      </c>
      <c r="F10344" s="10" t="s">
        <v>28</v>
      </c>
      <c r="G10344" s="10" t="s">
        <v>28</v>
      </c>
      <c r="H10344" s="10" t="s">
        <v>28</v>
      </c>
      <c r="I10344" s="11" t="s">
        <v>28</v>
      </c>
      <c r="J10344" s="11" t="s">
        <v>28</v>
      </c>
      <c r="K10344" s="11" t="s">
        <v>28</v>
      </c>
      <c r="L10344" s="11" t="s">
        <v>28</v>
      </c>
      <c r="M10344" s="11" t="s">
        <v>28</v>
      </c>
      <c r="N10344" s="8">
        <v>41823</v>
      </c>
      <c r="O10344" s="9" t="s">
        <v>30</v>
      </c>
      <c r="P10344" s="12" t="s">
        <v>29357</v>
      </c>
      <c r="Q10344" s="9" t="s">
        <v>75</v>
      </c>
      <c r="R10344" s="14" t="str">
        <f>HYPERLINK("https://my.pitchbook.com?c=89392-87T","View Company Online")</f>
        <v>View Company Online</v>
      </c>
    </row>
    <row r="10345" spans="1:18" hidden="1" x14ac:dyDescent="0.3">
      <c r="A10345" s="15" t="s">
        <v>29358</v>
      </c>
      <c r="B10345" s="15" t="s">
        <v>24817</v>
      </c>
      <c r="C10345" s="18" t="s">
        <v>28</v>
      </c>
      <c r="D10345" s="15" t="s">
        <v>24818</v>
      </c>
      <c r="E10345" s="18">
        <v>141.84</v>
      </c>
      <c r="F10345" s="19" t="s">
        <v>28</v>
      </c>
      <c r="G10345" s="19">
        <v>100</v>
      </c>
      <c r="H10345" s="19" t="s">
        <v>28</v>
      </c>
      <c r="I10345" s="18">
        <v>230.67</v>
      </c>
      <c r="J10345" s="18" t="s">
        <v>28</v>
      </c>
      <c r="K10345" s="18">
        <v>2464.63</v>
      </c>
      <c r="L10345" s="18" t="s">
        <v>28</v>
      </c>
      <c r="M10345" s="18">
        <v>-9.7100000000000009</v>
      </c>
      <c r="N10345" s="17">
        <v>41823</v>
      </c>
      <c r="O10345" s="15" t="s">
        <v>173</v>
      </c>
      <c r="P10345" s="16" t="s">
        <v>28</v>
      </c>
      <c r="Q10345" s="15" t="s">
        <v>2168</v>
      </c>
      <c r="R10345" s="13" t="str">
        <f>HYPERLINK("https://my.pitchbook.com?c=39992-86T","View Company Online")</f>
        <v>View Company Online</v>
      </c>
    </row>
    <row r="10346" spans="1:18" hidden="1" x14ac:dyDescent="0.3">
      <c r="A10346" s="9" t="s">
        <v>29359</v>
      </c>
      <c r="B10346" s="9" t="s">
        <v>29360</v>
      </c>
      <c r="C10346" s="11" t="s">
        <v>28</v>
      </c>
      <c r="D10346" s="9" t="s">
        <v>29361</v>
      </c>
      <c r="E10346" s="11" t="s">
        <v>28</v>
      </c>
      <c r="F10346" s="10" t="s">
        <v>28</v>
      </c>
      <c r="G10346" s="10" t="s">
        <v>28</v>
      </c>
      <c r="H10346" s="10" t="s">
        <v>28</v>
      </c>
      <c r="I10346" s="11" t="s">
        <v>28</v>
      </c>
      <c r="J10346" s="11" t="s">
        <v>28</v>
      </c>
      <c r="K10346" s="11">
        <v>13.88</v>
      </c>
      <c r="L10346" s="11" t="s">
        <v>28</v>
      </c>
      <c r="M10346" s="11" t="s">
        <v>28</v>
      </c>
      <c r="N10346" s="8">
        <v>41822</v>
      </c>
      <c r="O10346" s="9" t="s">
        <v>30</v>
      </c>
      <c r="P10346" s="12" t="s">
        <v>25443</v>
      </c>
      <c r="Q10346" s="9" t="s">
        <v>1088</v>
      </c>
      <c r="R10346" s="14" t="str">
        <f>HYPERLINK("https://my.pitchbook.com?c=54921-52T","View Company Online")</f>
        <v>View Company Online</v>
      </c>
    </row>
    <row r="10347" spans="1:18" hidden="1" x14ac:dyDescent="0.3">
      <c r="A10347" s="15" t="s">
        <v>29362</v>
      </c>
      <c r="B10347" s="15" t="s">
        <v>29363</v>
      </c>
      <c r="C10347" s="18" t="s">
        <v>28</v>
      </c>
      <c r="D10347" s="15" t="s">
        <v>29364</v>
      </c>
      <c r="E10347" s="18" t="s">
        <v>28</v>
      </c>
      <c r="F10347" s="19">
        <v>35.75</v>
      </c>
      <c r="G10347" s="19">
        <v>35.75</v>
      </c>
      <c r="H10347" s="19">
        <v>35.75</v>
      </c>
      <c r="I10347" s="18" t="s">
        <v>28</v>
      </c>
      <c r="J10347" s="18" t="s">
        <v>28</v>
      </c>
      <c r="K10347" s="18" t="s">
        <v>28</v>
      </c>
      <c r="L10347" s="18" t="s">
        <v>28</v>
      </c>
      <c r="M10347" s="18" t="s">
        <v>28</v>
      </c>
      <c r="N10347" s="17">
        <v>41822</v>
      </c>
      <c r="O10347" s="15" t="s">
        <v>30</v>
      </c>
      <c r="P10347" s="16" t="s">
        <v>2330</v>
      </c>
      <c r="Q10347" s="15" t="s">
        <v>43</v>
      </c>
      <c r="R10347" s="13" t="str">
        <f>HYPERLINK("https://my.pitchbook.com?c=211676-32T","View Company Online")</f>
        <v>View Company Online</v>
      </c>
    </row>
    <row r="10348" spans="1:18" hidden="1" x14ac:dyDescent="0.3">
      <c r="A10348" s="9" t="s">
        <v>29365</v>
      </c>
      <c r="B10348" s="9" t="s">
        <v>5258</v>
      </c>
      <c r="C10348" s="11" t="s">
        <v>28</v>
      </c>
      <c r="D10348" s="9" t="s">
        <v>5259</v>
      </c>
      <c r="E10348" s="11" t="s">
        <v>28</v>
      </c>
      <c r="F10348" s="10" t="s">
        <v>28</v>
      </c>
      <c r="G10348" s="10" t="s">
        <v>28</v>
      </c>
      <c r="H10348" s="10" t="s">
        <v>28</v>
      </c>
      <c r="I10348" s="11" t="s">
        <v>28</v>
      </c>
      <c r="J10348" s="11" t="s">
        <v>28</v>
      </c>
      <c r="K10348" s="11" t="s">
        <v>28</v>
      </c>
      <c r="L10348" s="11" t="s">
        <v>28</v>
      </c>
      <c r="M10348" s="11" t="s">
        <v>28</v>
      </c>
      <c r="N10348" s="8">
        <v>41821</v>
      </c>
      <c r="O10348" s="9" t="s">
        <v>93</v>
      </c>
      <c r="P10348" s="12" t="s">
        <v>29366</v>
      </c>
      <c r="Q10348" s="9" t="s">
        <v>880</v>
      </c>
      <c r="R10348" s="14" t="str">
        <f>HYPERLINK("https://my.pitchbook.com?c=73988-02T","View Company Online")</f>
        <v>View Company Online</v>
      </c>
    </row>
    <row r="10349" spans="1:18" hidden="1" x14ac:dyDescent="0.3">
      <c r="A10349" s="15" t="s">
        <v>29367</v>
      </c>
      <c r="B10349" s="15" t="s">
        <v>4013</v>
      </c>
      <c r="C10349" s="18" t="s">
        <v>28</v>
      </c>
      <c r="D10349" s="15" t="s">
        <v>4014</v>
      </c>
      <c r="E10349" s="18" t="s">
        <v>28</v>
      </c>
      <c r="F10349" s="19" t="s">
        <v>28</v>
      </c>
      <c r="G10349" s="19">
        <v>0.03</v>
      </c>
      <c r="H10349" s="19" t="s">
        <v>28</v>
      </c>
      <c r="I10349" s="18" t="s">
        <v>28</v>
      </c>
      <c r="J10349" s="18" t="s">
        <v>28</v>
      </c>
      <c r="K10349" s="18">
        <v>0.03</v>
      </c>
      <c r="L10349" s="18" t="s">
        <v>28</v>
      </c>
      <c r="M10349" s="18" t="s">
        <v>28</v>
      </c>
      <c r="N10349" s="17">
        <v>41821</v>
      </c>
      <c r="O10349" s="15" t="s">
        <v>52</v>
      </c>
      <c r="P10349" s="16" t="s">
        <v>29368</v>
      </c>
      <c r="Q10349" s="15" t="s">
        <v>75</v>
      </c>
      <c r="R10349" s="13" t="str">
        <f>HYPERLINK("https://my.pitchbook.com?c=100598-86T","View Company Online")</f>
        <v>View Company Online</v>
      </c>
    </row>
    <row r="10350" spans="1:18" hidden="1" x14ac:dyDescent="0.3">
      <c r="A10350" s="9" t="s">
        <v>29369</v>
      </c>
      <c r="B10350" s="9" t="s">
        <v>29370</v>
      </c>
      <c r="C10350" s="11" t="s">
        <v>28</v>
      </c>
      <c r="D10350" s="9" t="s">
        <v>29371</v>
      </c>
      <c r="E10350" s="11" t="s">
        <v>28</v>
      </c>
      <c r="F10350" s="10" t="s">
        <v>28</v>
      </c>
      <c r="G10350" s="10" t="s">
        <v>28</v>
      </c>
      <c r="H10350" s="10" t="s">
        <v>28</v>
      </c>
      <c r="I10350" s="11" t="s">
        <v>28</v>
      </c>
      <c r="J10350" s="11" t="s">
        <v>28</v>
      </c>
      <c r="K10350" s="11" t="s">
        <v>28</v>
      </c>
      <c r="L10350" s="11" t="s">
        <v>28</v>
      </c>
      <c r="M10350" s="11" t="s">
        <v>28</v>
      </c>
      <c r="N10350" s="8">
        <v>41821</v>
      </c>
      <c r="O10350" s="9" t="s">
        <v>41</v>
      </c>
      <c r="P10350" s="12" t="s">
        <v>29372</v>
      </c>
      <c r="Q10350" s="9" t="s">
        <v>1191</v>
      </c>
      <c r="R10350" s="14" t="str">
        <f>HYPERLINK("https://my.pitchbook.com?c=40246-12T","View Company Online")</f>
        <v>View Company Online</v>
      </c>
    </row>
    <row r="10351" spans="1:18" hidden="1" x14ac:dyDescent="0.3">
      <c r="A10351" s="15" t="s">
        <v>29373</v>
      </c>
      <c r="B10351" s="15" t="s">
        <v>29374</v>
      </c>
      <c r="C10351" s="18" t="s">
        <v>28</v>
      </c>
      <c r="D10351" s="15" t="s">
        <v>29375</v>
      </c>
      <c r="E10351" s="18" t="s">
        <v>28</v>
      </c>
      <c r="F10351" s="19" t="s">
        <v>28</v>
      </c>
      <c r="G10351" s="19" t="s">
        <v>28</v>
      </c>
      <c r="H10351" s="19" t="s">
        <v>28</v>
      </c>
      <c r="I10351" s="18" t="s">
        <v>28</v>
      </c>
      <c r="J10351" s="18" t="s">
        <v>28</v>
      </c>
      <c r="K10351" s="18" t="s">
        <v>28</v>
      </c>
      <c r="L10351" s="18" t="s">
        <v>28</v>
      </c>
      <c r="M10351" s="18" t="s">
        <v>28</v>
      </c>
      <c r="N10351" s="17">
        <v>41821</v>
      </c>
      <c r="O10351" s="15" t="s">
        <v>93</v>
      </c>
      <c r="P10351" s="16" t="s">
        <v>2216</v>
      </c>
      <c r="Q10351" s="15" t="s">
        <v>136</v>
      </c>
      <c r="R10351" s="13" t="str">
        <f>HYPERLINK("https://my.pitchbook.com?c=86699-17T","View Company Online")</f>
        <v>View Company Online</v>
      </c>
    </row>
    <row r="10352" spans="1:18" hidden="1" x14ac:dyDescent="0.3">
      <c r="A10352" s="9" t="s">
        <v>29376</v>
      </c>
      <c r="B10352" s="9" t="s">
        <v>29377</v>
      </c>
      <c r="C10352" s="11" t="s">
        <v>28</v>
      </c>
      <c r="D10352" s="9" t="s">
        <v>29378</v>
      </c>
      <c r="E10352" s="11" t="s">
        <v>28</v>
      </c>
      <c r="F10352" s="10" t="s">
        <v>28</v>
      </c>
      <c r="G10352" s="10" t="s">
        <v>28</v>
      </c>
      <c r="H10352" s="10" t="s">
        <v>28</v>
      </c>
      <c r="I10352" s="11" t="s">
        <v>28</v>
      </c>
      <c r="J10352" s="11" t="s">
        <v>28</v>
      </c>
      <c r="K10352" s="11" t="s">
        <v>28</v>
      </c>
      <c r="L10352" s="11" t="s">
        <v>28</v>
      </c>
      <c r="M10352" s="11" t="s">
        <v>28</v>
      </c>
      <c r="N10352" s="8">
        <v>41821</v>
      </c>
      <c r="O10352" s="9" t="s">
        <v>173</v>
      </c>
      <c r="P10352" s="12" t="s">
        <v>28</v>
      </c>
      <c r="Q10352" s="9" t="s">
        <v>114</v>
      </c>
      <c r="R10352" s="14" t="str">
        <f>HYPERLINK("https://my.pitchbook.com?c=224106-04T","View Company Online")</f>
        <v>View Company Online</v>
      </c>
    </row>
    <row r="10353" spans="1:18" hidden="1" x14ac:dyDescent="0.3">
      <c r="A10353" s="15" t="s">
        <v>29379</v>
      </c>
      <c r="B10353" s="15" t="s">
        <v>19496</v>
      </c>
      <c r="C10353" s="18" t="s">
        <v>28</v>
      </c>
      <c r="D10353" s="15" t="s">
        <v>19497</v>
      </c>
      <c r="E10353" s="18" t="s">
        <v>28</v>
      </c>
      <c r="F10353" s="19" t="s">
        <v>28</v>
      </c>
      <c r="G10353" s="19" t="s">
        <v>28</v>
      </c>
      <c r="H10353" s="19" t="s">
        <v>28</v>
      </c>
      <c r="I10353" s="18" t="s">
        <v>28</v>
      </c>
      <c r="J10353" s="18" t="s">
        <v>28</v>
      </c>
      <c r="K10353" s="18" t="s">
        <v>28</v>
      </c>
      <c r="L10353" s="18" t="s">
        <v>28</v>
      </c>
      <c r="M10353" s="18" t="s">
        <v>28</v>
      </c>
      <c r="N10353" s="17">
        <v>41821</v>
      </c>
      <c r="O10353" s="15" t="s">
        <v>99</v>
      </c>
      <c r="P10353" s="16" t="s">
        <v>29380</v>
      </c>
      <c r="Q10353" s="15" t="s">
        <v>409</v>
      </c>
      <c r="R10353" s="13" t="str">
        <f>HYPERLINK("https://my.pitchbook.com?c=62665-93T","View Company Online")</f>
        <v>View Company Online</v>
      </c>
    </row>
    <row r="10354" spans="1:18" hidden="1" x14ac:dyDescent="0.3">
      <c r="A10354" s="9" t="s">
        <v>29381</v>
      </c>
      <c r="B10354" s="9" t="s">
        <v>29278</v>
      </c>
      <c r="C10354" s="11" t="s">
        <v>28</v>
      </c>
      <c r="D10354" s="9" t="s">
        <v>29279</v>
      </c>
      <c r="E10354" s="11" t="s">
        <v>28</v>
      </c>
      <c r="F10354" s="10" t="s">
        <v>28</v>
      </c>
      <c r="G10354" s="10" t="s">
        <v>28</v>
      </c>
      <c r="H10354" s="10" t="s">
        <v>28</v>
      </c>
      <c r="I10354" s="11" t="s">
        <v>28</v>
      </c>
      <c r="J10354" s="11" t="s">
        <v>28</v>
      </c>
      <c r="K10354" s="11" t="s">
        <v>28</v>
      </c>
      <c r="L10354" s="11" t="s">
        <v>28</v>
      </c>
      <c r="M10354" s="11" t="s">
        <v>28</v>
      </c>
      <c r="N10354" s="8">
        <v>41821</v>
      </c>
      <c r="O10354" s="9" t="s">
        <v>93</v>
      </c>
      <c r="P10354" s="12" t="s">
        <v>29382</v>
      </c>
      <c r="Q10354" s="9" t="s">
        <v>75</v>
      </c>
      <c r="R10354" s="14" t="str">
        <f>HYPERLINK("https://my.pitchbook.com?c=52390-54T","View Company Online")</f>
        <v>View Company Online</v>
      </c>
    </row>
    <row r="10355" spans="1:18" hidden="1" x14ac:dyDescent="0.3">
      <c r="A10355" s="15" t="s">
        <v>29383</v>
      </c>
      <c r="B10355" s="15" t="s">
        <v>29384</v>
      </c>
      <c r="C10355" s="18" t="s">
        <v>28</v>
      </c>
      <c r="D10355" s="15" t="s">
        <v>29385</v>
      </c>
      <c r="E10355" s="18" t="s">
        <v>28</v>
      </c>
      <c r="F10355" s="19">
        <v>850.67</v>
      </c>
      <c r="G10355" s="19">
        <v>850.67</v>
      </c>
      <c r="H10355" s="19">
        <v>850.67</v>
      </c>
      <c r="I10355" s="18" t="s">
        <v>28</v>
      </c>
      <c r="J10355" s="18" t="s">
        <v>28</v>
      </c>
      <c r="K10355" s="18" t="s">
        <v>28</v>
      </c>
      <c r="L10355" s="18" t="s">
        <v>28</v>
      </c>
      <c r="M10355" s="18" t="s">
        <v>28</v>
      </c>
      <c r="N10355" s="17">
        <v>41821</v>
      </c>
      <c r="O10355" s="15" t="s">
        <v>30</v>
      </c>
      <c r="P10355" s="16" t="s">
        <v>2330</v>
      </c>
      <c r="Q10355" s="15" t="s">
        <v>43</v>
      </c>
      <c r="R10355" s="13" t="str">
        <f>HYPERLINK("https://my.pitchbook.com?c=89740-72T","View Company Online")</f>
        <v>View Company Online</v>
      </c>
    </row>
    <row r="10356" spans="1:18" hidden="1" x14ac:dyDescent="0.3">
      <c r="A10356" s="9" t="s">
        <v>29386</v>
      </c>
      <c r="B10356" s="9" t="s">
        <v>29387</v>
      </c>
      <c r="C10356" s="11" t="s">
        <v>28</v>
      </c>
      <c r="D10356" s="9" t="s">
        <v>29388</v>
      </c>
      <c r="E10356" s="11" t="s">
        <v>28</v>
      </c>
      <c r="F10356" s="10" t="s">
        <v>28</v>
      </c>
      <c r="G10356" s="10" t="s">
        <v>28</v>
      </c>
      <c r="H10356" s="10" t="s">
        <v>28</v>
      </c>
      <c r="I10356" s="11" t="s">
        <v>28</v>
      </c>
      <c r="J10356" s="11" t="s">
        <v>28</v>
      </c>
      <c r="K10356" s="11" t="s">
        <v>28</v>
      </c>
      <c r="L10356" s="11" t="s">
        <v>28</v>
      </c>
      <c r="M10356" s="11" t="s">
        <v>28</v>
      </c>
      <c r="N10356" s="8">
        <v>41821</v>
      </c>
      <c r="O10356" s="9" t="s">
        <v>30</v>
      </c>
      <c r="P10356" s="12" t="s">
        <v>20977</v>
      </c>
      <c r="Q10356" s="9" t="s">
        <v>386</v>
      </c>
      <c r="R10356" s="14" t="str">
        <f>HYPERLINK("https://my.pitchbook.com?c=68807-26T","View Company Online")</f>
        <v>View Company Online</v>
      </c>
    </row>
    <row r="10357" spans="1:18" hidden="1" x14ac:dyDescent="0.3">
      <c r="A10357" s="15" t="s">
        <v>29389</v>
      </c>
      <c r="B10357" s="15" t="s">
        <v>5553</v>
      </c>
      <c r="C10357" s="18" t="s">
        <v>28</v>
      </c>
      <c r="D10357" s="15" t="s">
        <v>5554</v>
      </c>
      <c r="E10357" s="18">
        <v>-15.25</v>
      </c>
      <c r="F10357" s="19" t="s">
        <v>28</v>
      </c>
      <c r="G10357" s="19" t="s">
        <v>28</v>
      </c>
      <c r="H10357" s="19" t="s">
        <v>28</v>
      </c>
      <c r="I10357" s="18">
        <v>-14.62</v>
      </c>
      <c r="J10357" s="18" t="s">
        <v>28</v>
      </c>
      <c r="K10357" s="18">
        <v>1.43</v>
      </c>
      <c r="L10357" s="18" t="s">
        <v>28</v>
      </c>
      <c r="M10357" s="18">
        <v>-13.4</v>
      </c>
      <c r="N10357" s="17">
        <v>41820</v>
      </c>
      <c r="O10357" s="15" t="s">
        <v>93</v>
      </c>
      <c r="P10357" s="16" t="s">
        <v>29390</v>
      </c>
      <c r="Q10357" s="15" t="s">
        <v>5347</v>
      </c>
      <c r="R10357" s="13" t="str">
        <f>HYPERLINK("https://my.pitchbook.com?c=96401-44T","View Company Online")</f>
        <v>View Company Online</v>
      </c>
    </row>
    <row r="10358" spans="1:18" hidden="1" x14ac:dyDescent="0.3">
      <c r="A10358" s="9" t="s">
        <v>29391</v>
      </c>
      <c r="B10358" s="9" t="s">
        <v>29392</v>
      </c>
      <c r="C10358" s="11" t="s">
        <v>28</v>
      </c>
      <c r="D10358" s="9" t="s">
        <v>29393</v>
      </c>
      <c r="E10358" s="11" t="s">
        <v>28</v>
      </c>
      <c r="F10358" s="10">
        <v>374.92</v>
      </c>
      <c r="G10358" s="10">
        <v>187.46</v>
      </c>
      <c r="H10358" s="10">
        <v>374.92</v>
      </c>
      <c r="I10358" s="11" t="s">
        <v>28</v>
      </c>
      <c r="J10358" s="11" t="s">
        <v>28</v>
      </c>
      <c r="K10358" s="11" t="s">
        <v>28</v>
      </c>
      <c r="L10358" s="11" t="s">
        <v>28</v>
      </c>
      <c r="M10358" s="11" t="s">
        <v>28</v>
      </c>
      <c r="N10358" s="8">
        <v>41817</v>
      </c>
      <c r="O10358" s="9" t="s">
        <v>30</v>
      </c>
      <c r="P10358" s="12" t="s">
        <v>9007</v>
      </c>
      <c r="Q10358" s="9" t="s">
        <v>226</v>
      </c>
      <c r="R10358" s="14" t="str">
        <f>HYPERLINK("https://my.pitchbook.com?c=213443-38T","View Company Online")</f>
        <v>View Company Online</v>
      </c>
    </row>
    <row r="10359" spans="1:18" hidden="1" x14ac:dyDescent="0.3">
      <c r="A10359" s="15" t="s">
        <v>29394</v>
      </c>
      <c r="B10359" s="15" t="s">
        <v>26083</v>
      </c>
      <c r="C10359" s="18" t="s">
        <v>28</v>
      </c>
      <c r="D10359" s="15" t="s">
        <v>26084</v>
      </c>
      <c r="E10359" s="18" t="s">
        <v>28</v>
      </c>
      <c r="F10359" s="19" t="s">
        <v>28</v>
      </c>
      <c r="G10359" s="19">
        <v>125</v>
      </c>
      <c r="H10359" s="19">
        <v>161.88999999999999</v>
      </c>
      <c r="I10359" s="18" t="s">
        <v>28</v>
      </c>
      <c r="J10359" s="18" t="s">
        <v>28</v>
      </c>
      <c r="K10359" s="18" t="s">
        <v>28</v>
      </c>
      <c r="L10359" s="18" t="s">
        <v>28</v>
      </c>
      <c r="M10359" s="18" t="s">
        <v>28</v>
      </c>
      <c r="N10359" s="17">
        <v>41816</v>
      </c>
      <c r="O10359" s="15" t="s">
        <v>173</v>
      </c>
      <c r="P10359" s="16" t="s">
        <v>28</v>
      </c>
      <c r="Q10359" s="15" t="s">
        <v>13053</v>
      </c>
      <c r="R10359" s="13" t="str">
        <f>HYPERLINK("https://my.pitchbook.com?c=71605-00T","View Company Online")</f>
        <v>View Company Online</v>
      </c>
    </row>
    <row r="10360" spans="1:18" hidden="1" x14ac:dyDescent="0.3">
      <c r="A10360" s="9" t="s">
        <v>29395</v>
      </c>
      <c r="B10360" s="9" t="s">
        <v>29396</v>
      </c>
      <c r="C10360" s="11" t="s">
        <v>28</v>
      </c>
      <c r="D10360" s="9" t="s">
        <v>29397</v>
      </c>
      <c r="E10360" s="11">
        <v>-0.11</v>
      </c>
      <c r="F10360" s="10" t="s">
        <v>28</v>
      </c>
      <c r="G10360" s="10">
        <v>117.8</v>
      </c>
      <c r="H10360" s="10">
        <v>591.95000000000005</v>
      </c>
      <c r="I10360" s="11">
        <v>4.3600000000000003</v>
      </c>
      <c r="J10360" s="11">
        <v>135.77000000000001</v>
      </c>
      <c r="K10360" s="11">
        <v>1533.13</v>
      </c>
      <c r="L10360" s="11">
        <v>0.39</v>
      </c>
      <c r="M10360" s="11">
        <v>-0.06</v>
      </c>
      <c r="N10360" s="8">
        <v>41816</v>
      </c>
      <c r="O10360" s="9" t="s">
        <v>58</v>
      </c>
      <c r="P10360" s="12" t="s">
        <v>29398</v>
      </c>
      <c r="Q10360" s="9" t="s">
        <v>24136</v>
      </c>
      <c r="R10360" s="14" t="str">
        <f>HYPERLINK("https://my.pitchbook.com?c=35146-90T","View Company Online")</f>
        <v>View Company Online</v>
      </c>
    </row>
    <row r="10361" spans="1:18" hidden="1" x14ac:dyDescent="0.3">
      <c r="A10361" s="15" t="s">
        <v>29399</v>
      </c>
      <c r="B10361" s="15" t="s">
        <v>29400</v>
      </c>
      <c r="C10361" s="18" t="s">
        <v>28</v>
      </c>
      <c r="D10361" s="15" t="s">
        <v>29401</v>
      </c>
      <c r="E10361" s="18" t="s">
        <v>28</v>
      </c>
      <c r="F10361" s="19">
        <v>115.37</v>
      </c>
      <c r="G10361" s="19">
        <v>115.37</v>
      </c>
      <c r="H10361" s="19">
        <v>115.37</v>
      </c>
      <c r="I10361" s="18" t="s">
        <v>28</v>
      </c>
      <c r="J10361" s="18" t="s">
        <v>28</v>
      </c>
      <c r="K10361" s="18" t="s">
        <v>28</v>
      </c>
      <c r="L10361" s="18" t="s">
        <v>28</v>
      </c>
      <c r="M10361" s="18" t="s">
        <v>28</v>
      </c>
      <c r="N10361" s="17">
        <v>41814</v>
      </c>
      <c r="O10361" s="15" t="s">
        <v>30</v>
      </c>
      <c r="P10361" s="16" t="s">
        <v>29402</v>
      </c>
      <c r="Q10361" s="15" t="s">
        <v>136</v>
      </c>
      <c r="R10361" s="13" t="str">
        <f>HYPERLINK("https://my.pitchbook.com?c=70401-88T","View Company Online")</f>
        <v>View Company Online</v>
      </c>
    </row>
    <row r="10362" spans="1:18" hidden="1" x14ac:dyDescent="0.3">
      <c r="A10362" s="9" t="s">
        <v>29403</v>
      </c>
      <c r="B10362" s="9" t="s">
        <v>15261</v>
      </c>
      <c r="C10362" s="11" t="s">
        <v>28</v>
      </c>
      <c r="D10362" s="9" t="s">
        <v>15262</v>
      </c>
      <c r="E10362" s="11" t="s">
        <v>28</v>
      </c>
      <c r="F10362" s="10" t="s">
        <v>28</v>
      </c>
      <c r="G10362" s="10" t="s">
        <v>28</v>
      </c>
      <c r="H10362" s="10" t="s">
        <v>28</v>
      </c>
      <c r="I10362" s="11" t="s">
        <v>28</v>
      </c>
      <c r="J10362" s="11" t="s">
        <v>28</v>
      </c>
      <c r="K10362" s="11" t="s">
        <v>28</v>
      </c>
      <c r="L10362" s="11" t="s">
        <v>28</v>
      </c>
      <c r="M10362" s="11" t="s">
        <v>28</v>
      </c>
      <c r="N10362" s="8">
        <v>41813</v>
      </c>
      <c r="O10362" s="9" t="s">
        <v>93</v>
      </c>
      <c r="P10362" s="12" t="s">
        <v>29404</v>
      </c>
      <c r="Q10362" s="9" t="s">
        <v>75</v>
      </c>
      <c r="R10362" s="14" t="str">
        <f>HYPERLINK("https://my.pitchbook.com?c=157460-95T","View Company Online")</f>
        <v>View Company Online</v>
      </c>
    </row>
    <row r="10363" spans="1:18" hidden="1" x14ac:dyDescent="0.3">
      <c r="A10363" s="15" t="s">
        <v>29405</v>
      </c>
      <c r="B10363" s="15" t="s">
        <v>29406</v>
      </c>
      <c r="C10363" s="18" t="s">
        <v>28</v>
      </c>
      <c r="D10363" s="15" t="s">
        <v>29407</v>
      </c>
      <c r="E10363" s="18" t="s">
        <v>28</v>
      </c>
      <c r="F10363" s="19" t="s">
        <v>28</v>
      </c>
      <c r="G10363" s="19" t="s">
        <v>28</v>
      </c>
      <c r="H10363" s="19" t="s">
        <v>28</v>
      </c>
      <c r="I10363" s="18" t="s">
        <v>28</v>
      </c>
      <c r="J10363" s="18" t="s">
        <v>28</v>
      </c>
      <c r="K10363" s="18" t="s">
        <v>28</v>
      </c>
      <c r="L10363" s="18" t="s">
        <v>28</v>
      </c>
      <c r="M10363" s="18" t="s">
        <v>28</v>
      </c>
      <c r="N10363" s="17">
        <v>41813</v>
      </c>
      <c r="O10363" s="15" t="s">
        <v>30</v>
      </c>
      <c r="P10363" s="16" t="s">
        <v>29408</v>
      </c>
      <c r="Q10363" s="15" t="s">
        <v>75</v>
      </c>
      <c r="R10363" s="13" t="str">
        <f>HYPERLINK("https://my.pitchbook.com?c=102136-69T","View Company Online")</f>
        <v>View Company Online</v>
      </c>
    </row>
    <row r="10364" spans="1:18" hidden="1" x14ac:dyDescent="0.3">
      <c r="A10364" s="9" t="s">
        <v>29409</v>
      </c>
      <c r="B10364" s="9" t="s">
        <v>29410</v>
      </c>
      <c r="C10364" s="11" t="s">
        <v>28</v>
      </c>
      <c r="D10364" s="9" t="s">
        <v>29411</v>
      </c>
      <c r="E10364" s="11" t="s">
        <v>28</v>
      </c>
      <c r="F10364" s="10" t="s">
        <v>28</v>
      </c>
      <c r="G10364" s="10" t="s">
        <v>28</v>
      </c>
      <c r="H10364" s="10" t="s">
        <v>28</v>
      </c>
      <c r="I10364" s="11" t="s">
        <v>28</v>
      </c>
      <c r="J10364" s="11" t="s">
        <v>28</v>
      </c>
      <c r="K10364" s="11" t="s">
        <v>28</v>
      </c>
      <c r="L10364" s="11" t="s">
        <v>28</v>
      </c>
      <c r="M10364" s="11" t="s">
        <v>28</v>
      </c>
      <c r="N10364" s="8">
        <v>41810</v>
      </c>
      <c r="O10364" s="9" t="s">
        <v>30</v>
      </c>
      <c r="P10364" s="12" t="s">
        <v>29412</v>
      </c>
      <c r="Q10364" s="9" t="s">
        <v>774</v>
      </c>
      <c r="R10364" s="14" t="str">
        <f>HYPERLINK("https://my.pitchbook.com?c=89417-26T","View Company Online")</f>
        <v>View Company Online</v>
      </c>
    </row>
    <row r="10365" spans="1:18" hidden="1" x14ac:dyDescent="0.3">
      <c r="A10365" s="15" t="s">
        <v>29413</v>
      </c>
      <c r="B10365" s="15" t="s">
        <v>29414</v>
      </c>
      <c r="C10365" s="18" t="s">
        <v>28</v>
      </c>
      <c r="D10365" s="15" t="s">
        <v>29415</v>
      </c>
      <c r="E10365" s="18">
        <v>16.559999999999999</v>
      </c>
      <c r="F10365" s="19" t="s">
        <v>28</v>
      </c>
      <c r="G10365" s="19" t="s">
        <v>28</v>
      </c>
      <c r="H10365" s="19" t="s">
        <v>28</v>
      </c>
      <c r="I10365" s="18">
        <v>37.51</v>
      </c>
      <c r="J10365" s="18" t="s">
        <v>28</v>
      </c>
      <c r="K10365" s="18">
        <v>369.56</v>
      </c>
      <c r="L10365" s="18" t="s">
        <v>28</v>
      </c>
      <c r="M10365" s="18">
        <v>8.9700000000000006</v>
      </c>
      <c r="N10365" s="17">
        <v>41801</v>
      </c>
      <c r="O10365" s="15" t="s">
        <v>41</v>
      </c>
      <c r="P10365" s="16" t="s">
        <v>29416</v>
      </c>
      <c r="Q10365" s="15" t="s">
        <v>2706</v>
      </c>
      <c r="R10365" s="13" t="str">
        <f>HYPERLINK("https://my.pitchbook.com?c=31216-69T","View Company Online")</f>
        <v>View Company Online</v>
      </c>
    </row>
    <row r="10366" spans="1:18" hidden="1" x14ac:dyDescent="0.3">
      <c r="A10366" s="9" t="s">
        <v>29417</v>
      </c>
      <c r="B10366" s="9" t="s">
        <v>3792</v>
      </c>
      <c r="C10366" s="11" t="s">
        <v>28</v>
      </c>
      <c r="D10366" s="9" t="s">
        <v>3793</v>
      </c>
      <c r="E10366" s="11">
        <v>1253.97</v>
      </c>
      <c r="F10366" s="10" t="s">
        <v>28</v>
      </c>
      <c r="G10366" s="10" t="s">
        <v>28</v>
      </c>
      <c r="H10366" s="10" t="s">
        <v>28</v>
      </c>
      <c r="I10366" s="11" t="s">
        <v>28</v>
      </c>
      <c r="J10366" s="11" t="s">
        <v>28</v>
      </c>
      <c r="K10366" s="11">
        <v>2710.07</v>
      </c>
      <c r="L10366" s="11" t="s">
        <v>28</v>
      </c>
      <c r="M10366" s="11">
        <v>516.66999999999996</v>
      </c>
      <c r="N10366" s="8">
        <v>41801</v>
      </c>
      <c r="O10366" s="9" t="s">
        <v>30</v>
      </c>
      <c r="P10366" s="12" t="s">
        <v>9598</v>
      </c>
      <c r="Q10366" s="9" t="s">
        <v>1144</v>
      </c>
      <c r="R10366" s="14" t="str">
        <f>HYPERLINK("https://my.pitchbook.com?c=94117-69T","View Company Online")</f>
        <v>View Company Online</v>
      </c>
    </row>
    <row r="10367" spans="1:18" hidden="1" x14ac:dyDescent="0.3">
      <c r="A10367" s="15" t="s">
        <v>29418</v>
      </c>
      <c r="B10367" s="15" t="s">
        <v>28990</v>
      </c>
      <c r="C10367" s="18" t="s">
        <v>28</v>
      </c>
      <c r="D10367" s="15" t="s">
        <v>28991</v>
      </c>
      <c r="E10367" s="18" t="s">
        <v>28</v>
      </c>
      <c r="F10367" s="19" t="s">
        <v>28</v>
      </c>
      <c r="G10367" s="19" t="s">
        <v>28</v>
      </c>
      <c r="H10367" s="19" t="s">
        <v>28</v>
      </c>
      <c r="I10367" s="18" t="s">
        <v>28</v>
      </c>
      <c r="J10367" s="18" t="s">
        <v>28</v>
      </c>
      <c r="K10367" s="18" t="s">
        <v>28</v>
      </c>
      <c r="L10367" s="18" t="s">
        <v>28</v>
      </c>
      <c r="M10367" s="18" t="s">
        <v>28</v>
      </c>
      <c r="N10367" s="17">
        <v>41800</v>
      </c>
      <c r="O10367" s="15" t="s">
        <v>52</v>
      </c>
      <c r="P10367" s="16" t="s">
        <v>2235</v>
      </c>
      <c r="Q10367" s="15" t="s">
        <v>3912</v>
      </c>
      <c r="R10367" s="13" t="str">
        <f>HYPERLINK("https://my.pitchbook.com?c=62075-98T","View Company Online")</f>
        <v>View Company Online</v>
      </c>
    </row>
    <row r="10368" spans="1:18" hidden="1" x14ac:dyDescent="0.3">
      <c r="A10368" s="9" t="s">
        <v>29419</v>
      </c>
      <c r="B10368" s="9" t="s">
        <v>29420</v>
      </c>
      <c r="C10368" s="11" t="s">
        <v>28</v>
      </c>
      <c r="D10368" s="9" t="s">
        <v>29421</v>
      </c>
      <c r="E10368" s="11" t="s">
        <v>28</v>
      </c>
      <c r="F10368" s="10" t="s">
        <v>28</v>
      </c>
      <c r="G10368" s="10" t="s">
        <v>28</v>
      </c>
      <c r="H10368" s="10" t="s">
        <v>28</v>
      </c>
      <c r="I10368" s="11" t="s">
        <v>28</v>
      </c>
      <c r="J10368" s="11" t="s">
        <v>28</v>
      </c>
      <c r="K10368" s="11" t="s">
        <v>28</v>
      </c>
      <c r="L10368" s="11" t="s">
        <v>28</v>
      </c>
      <c r="M10368" s="11" t="s">
        <v>28</v>
      </c>
      <c r="N10368" s="8">
        <v>41800</v>
      </c>
      <c r="O10368" s="9" t="s">
        <v>52</v>
      </c>
      <c r="P10368" s="12" t="s">
        <v>28255</v>
      </c>
      <c r="Q10368" s="9" t="s">
        <v>75</v>
      </c>
      <c r="R10368" s="14" t="str">
        <f>HYPERLINK("https://my.pitchbook.com?c=133053-94T","View Company Online")</f>
        <v>View Company Online</v>
      </c>
    </row>
    <row r="10369" spans="1:18" hidden="1" x14ac:dyDescent="0.3">
      <c r="A10369" s="15" t="s">
        <v>29422</v>
      </c>
      <c r="B10369" s="15" t="s">
        <v>26337</v>
      </c>
      <c r="C10369" s="18" t="s">
        <v>28</v>
      </c>
      <c r="D10369" s="15" t="s">
        <v>26338</v>
      </c>
      <c r="E10369" s="18">
        <v>3.41</v>
      </c>
      <c r="F10369" s="19" t="s">
        <v>28</v>
      </c>
      <c r="G10369" s="19">
        <v>99.8</v>
      </c>
      <c r="H10369" s="19">
        <v>417.12</v>
      </c>
      <c r="I10369" s="18" t="s">
        <v>28</v>
      </c>
      <c r="J10369" s="18" t="s">
        <v>28</v>
      </c>
      <c r="K10369" s="18">
        <v>1088.31</v>
      </c>
      <c r="L10369" s="18">
        <v>0.38</v>
      </c>
      <c r="M10369" s="18">
        <v>2.97</v>
      </c>
      <c r="N10369" s="17">
        <v>41800</v>
      </c>
      <c r="O10369" s="15" t="s">
        <v>93</v>
      </c>
      <c r="P10369" s="16" t="s">
        <v>23919</v>
      </c>
      <c r="Q10369" s="15" t="s">
        <v>1007</v>
      </c>
      <c r="R10369" s="13" t="str">
        <f>HYPERLINK("https://my.pitchbook.com?c=67265-38T","View Company Online")</f>
        <v>View Company Online</v>
      </c>
    </row>
    <row r="10370" spans="1:18" hidden="1" x14ac:dyDescent="0.3">
      <c r="A10370" s="9" t="s">
        <v>29423</v>
      </c>
      <c r="B10370" s="9" t="s">
        <v>29424</v>
      </c>
      <c r="C10370" s="11" t="s">
        <v>28</v>
      </c>
      <c r="D10370" s="9" t="s">
        <v>29425</v>
      </c>
      <c r="E10370" s="11" t="s">
        <v>28</v>
      </c>
      <c r="F10370" s="10">
        <v>83.92</v>
      </c>
      <c r="G10370" s="10">
        <v>83.92</v>
      </c>
      <c r="H10370" s="10">
        <v>83.92</v>
      </c>
      <c r="I10370" s="11" t="s">
        <v>28</v>
      </c>
      <c r="J10370" s="11" t="s">
        <v>28</v>
      </c>
      <c r="K10370" s="11" t="s">
        <v>28</v>
      </c>
      <c r="L10370" s="11" t="s">
        <v>28</v>
      </c>
      <c r="M10370" s="11" t="s">
        <v>28</v>
      </c>
      <c r="N10370" s="8">
        <v>41799</v>
      </c>
      <c r="O10370" s="9" t="s">
        <v>41</v>
      </c>
      <c r="P10370" s="12" t="s">
        <v>1833</v>
      </c>
      <c r="Q10370" s="9" t="s">
        <v>1361</v>
      </c>
      <c r="R10370" s="14" t="str">
        <f>HYPERLINK("https://my.pitchbook.com?c=92334-97T","View Company Online")</f>
        <v>View Company Online</v>
      </c>
    </row>
    <row r="10371" spans="1:18" hidden="1" x14ac:dyDescent="0.3">
      <c r="A10371" s="15" t="s">
        <v>29426</v>
      </c>
      <c r="B10371" s="15" t="s">
        <v>29427</v>
      </c>
      <c r="C10371" s="18" t="s">
        <v>28</v>
      </c>
      <c r="D10371" s="15" t="s">
        <v>29428</v>
      </c>
      <c r="E10371" s="18" t="s">
        <v>28</v>
      </c>
      <c r="F10371" s="19">
        <v>31.17</v>
      </c>
      <c r="G10371" s="19">
        <v>31.17</v>
      </c>
      <c r="H10371" s="19">
        <v>31.17</v>
      </c>
      <c r="I10371" s="18" t="s">
        <v>28</v>
      </c>
      <c r="J10371" s="18" t="s">
        <v>28</v>
      </c>
      <c r="K10371" s="18">
        <v>30.99</v>
      </c>
      <c r="L10371" s="18">
        <v>1.01</v>
      </c>
      <c r="M10371" s="18" t="s">
        <v>28</v>
      </c>
      <c r="N10371" s="17">
        <v>41796</v>
      </c>
      <c r="O10371" s="15" t="s">
        <v>30</v>
      </c>
      <c r="P10371" s="16" t="s">
        <v>29429</v>
      </c>
      <c r="Q10371" s="15" t="s">
        <v>19855</v>
      </c>
      <c r="R10371" s="13" t="str">
        <f>HYPERLINK("https://my.pitchbook.com?c=99224-92T","View Company Online")</f>
        <v>View Company Online</v>
      </c>
    </row>
    <row r="10372" spans="1:18" hidden="1" x14ac:dyDescent="0.3">
      <c r="A10372" s="9" t="s">
        <v>29430</v>
      </c>
      <c r="B10372" s="9" t="s">
        <v>16681</v>
      </c>
      <c r="C10372" s="11" t="s">
        <v>28</v>
      </c>
      <c r="D10372" s="9" t="s">
        <v>19777</v>
      </c>
      <c r="E10372" s="11" t="s">
        <v>28</v>
      </c>
      <c r="F10372" s="10" t="s">
        <v>28</v>
      </c>
      <c r="G10372" s="10">
        <v>4.5</v>
      </c>
      <c r="H10372" s="10" t="s">
        <v>28</v>
      </c>
      <c r="I10372" s="11" t="s">
        <v>28</v>
      </c>
      <c r="J10372" s="11" t="s">
        <v>28</v>
      </c>
      <c r="K10372" s="11" t="s">
        <v>28</v>
      </c>
      <c r="L10372" s="11" t="s">
        <v>28</v>
      </c>
      <c r="M10372" s="11" t="s">
        <v>28</v>
      </c>
      <c r="N10372" s="8">
        <v>41796</v>
      </c>
      <c r="O10372" s="9" t="s">
        <v>73</v>
      </c>
      <c r="P10372" s="12" t="s">
        <v>29431</v>
      </c>
      <c r="Q10372" s="9" t="s">
        <v>566</v>
      </c>
      <c r="R10372" s="14" t="str">
        <f>HYPERLINK("https://my.pitchbook.com?c=36998-11T","View Company Online")</f>
        <v>View Company Online</v>
      </c>
    </row>
    <row r="10373" spans="1:18" hidden="1" x14ac:dyDescent="0.3">
      <c r="A10373" s="15" t="s">
        <v>29432</v>
      </c>
      <c r="B10373" s="15" t="s">
        <v>29433</v>
      </c>
      <c r="C10373" s="18" t="s">
        <v>28</v>
      </c>
      <c r="D10373" s="15" t="s">
        <v>29434</v>
      </c>
      <c r="E10373" s="18" t="s">
        <v>28</v>
      </c>
      <c r="F10373" s="19" t="s">
        <v>28</v>
      </c>
      <c r="G10373" s="19" t="s">
        <v>28</v>
      </c>
      <c r="H10373" s="19" t="s">
        <v>28</v>
      </c>
      <c r="I10373" s="18" t="s">
        <v>28</v>
      </c>
      <c r="J10373" s="18" t="s">
        <v>28</v>
      </c>
      <c r="K10373" s="18" t="s">
        <v>28</v>
      </c>
      <c r="L10373" s="18" t="s">
        <v>28</v>
      </c>
      <c r="M10373" s="18" t="s">
        <v>28</v>
      </c>
      <c r="N10373" s="17">
        <v>41795</v>
      </c>
      <c r="O10373" s="15" t="s">
        <v>30</v>
      </c>
      <c r="P10373" s="16" t="s">
        <v>63</v>
      </c>
      <c r="Q10373" s="15" t="s">
        <v>299</v>
      </c>
      <c r="R10373" s="13" t="str">
        <f>HYPERLINK("https://my.pitchbook.com?c=66321-37T","View Company Online")</f>
        <v>View Company Online</v>
      </c>
    </row>
    <row r="10374" spans="1:18" hidden="1" x14ac:dyDescent="0.3">
      <c r="A10374" s="9" t="s">
        <v>29435</v>
      </c>
      <c r="B10374" s="9" t="s">
        <v>8850</v>
      </c>
      <c r="C10374" s="11" t="s">
        <v>28</v>
      </c>
      <c r="D10374" s="9" t="s">
        <v>8851</v>
      </c>
      <c r="E10374" s="11" t="s">
        <v>28</v>
      </c>
      <c r="F10374" s="10" t="s">
        <v>28</v>
      </c>
      <c r="G10374" s="10">
        <v>0.03</v>
      </c>
      <c r="H10374" s="10" t="s">
        <v>28</v>
      </c>
      <c r="I10374" s="11" t="s">
        <v>28</v>
      </c>
      <c r="J10374" s="11" t="s">
        <v>28</v>
      </c>
      <c r="K10374" s="11" t="s">
        <v>28</v>
      </c>
      <c r="L10374" s="11" t="s">
        <v>28</v>
      </c>
      <c r="M10374" s="11" t="s">
        <v>28</v>
      </c>
      <c r="N10374" s="8">
        <v>41795</v>
      </c>
      <c r="O10374" s="9" t="s">
        <v>8420</v>
      </c>
      <c r="P10374" s="12" t="s">
        <v>28</v>
      </c>
      <c r="Q10374" s="9" t="s">
        <v>1643</v>
      </c>
      <c r="R10374" s="14" t="str">
        <f>HYPERLINK("https://my.pitchbook.com?c=207584-83T","View Company Online")</f>
        <v>View Company Online</v>
      </c>
    </row>
    <row r="10375" spans="1:18" hidden="1" x14ac:dyDescent="0.3">
      <c r="A10375" s="15" t="s">
        <v>29436</v>
      </c>
      <c r="B10375" s="15" t="s">
        <v>29437</v>
      </c>
      <c r="C10375" s="18" t="s">
        <v>28</v>
      </c>
      <c r="D10375" s="15" t="s">
        <v>29438</v>
      </c>
      <c r="E10375" s="18" t="s">
        <v>28</v>
      </c>
      <c r="F10375" s="19">
        <v>0.22</v>
      </c>
      <c r="G10375" s="19">
        <v>0.11</v>
      </c>
      <c r="H10375" s="19">
        <v>0.22</v>
      </c>
      <c r="I10375" s="18" t="s">
        <v>28</v>
      </c>
      <c r="J10375" s="18" t="s">
        <v>28</v>
      </c>
      <c r="K10375" s="18" t="s">
        <v>28</v>
      </c>
      <c r="L10375" s="18" t="s">
        <v>28</v>
      </c>
      <c r="M10375" s="18" t="s">
        <v>28</v>
      </c>
      <c r="N10375" s="17">
        <v>41794</v>
      </c>
      <c r="O10375" s="15" t="s">
        <v>30</v>
      </c>
      <c r="P10375" s="16" t="s">
        <v>2949</v>
      </c>
      <c r="Q10375" s="15" t="s">
        <v>5870</v>
      </c>
      <c r="R10375" s="13" t="str">
        <f>HYPERLINK("https://my.pitchbook.com?c=133541-20T","View Company Online")</f>
        <v>View Company Online</v>
      </c>
    </row>
    <row r="10376" spans="1:18" hidden="1" x14ac:dyDescent="0.3">
      <c r="A10376" s="9" t="s">
        <v>29439</v>
      </c>
      <c r="B10376" s="9" t="s">
        <v>29440</v>
      </c>
      <c r="C10376" s="11" t="s">
        <v>28</v>
      </c>
      <c r="D10376" s="9" t="s">
        <v>29441</v>
      </c>
      <c r="E10376" s="11" t="s">
        <v>28</v>
      </c>
      <c r="F10376" s="10" t="s">
        <v>28</v>
      </c>
      <c r="G10376" s="10">
        <v>7.0000000000000007E-2</v>
      </c>
      <c r="H10376" s="10">
        <v>0.54</v>
      </c>
      <c r="I10376" s="11" t="s">
        <v>28</v>
      </c>
      <c r="J10376" s="11" t="s">
        <v>28</v>
      </c>
      <c r="K10376" s="11" t="s">
        <v>28</v>
      </c>
      <c r="L10376" s="11" t="s">
        <v>28</v>
      </c>
      <c r="M10376" s="11" t="s">
        <v>28</v>
      </c>
      <c r="N10376" s="8">
        <v>41792</v>
      </c>
      <c r="O10376" s="9" t="s">
        <v>52</v>
      </c>
      <c r="P10376" s="12" t="s">
        <v>11539</v>
      </c>
      <c r="Q10376" s="9" t="s">
        <v>75</v>
      </c>
      <c r="R10376" s="14" t="str">
        <f>HYPERLINK("https://my.pitchbook.com?c=66475-00T","View Company Online")</f>
        <v>View Company Online</v>
      </c>
    </row>
    <row r="10377" spans="1:18" hidden="1" x14ac:dyDescent="0.3">
      <c r="A10377" s="15" t="s">
        <v>29442</v>
      </c>
      <c r="B10377" s="15" t="s">
        <v>29443</v>
      </c>
      <c r="C10377" s="18" t="s">
        <v>28</v>
      </c>
      <c r="D10377" s="15" t="s">
        <v>29444</v>
      </c>
      <c r="E10377" s="18" t="s">
        <v>28</v>
      </c>
      <c r="F10377" s="19" t="s">
        <v>28</v>
      </c>
      <c r="G10377" s="19" t="s">
        <v>28</v>
      </c>
      <c r="H10377" s="19" t="s">
        <v>28</v>
      </c>
      <c r="I10377" s="18" t="s">
        <v>28</v>
      </c>
      <c r="J10377" s="18" t="s">
        <v>28</v>
      </c>
      <c r="K10377" s="18" t="s">
        <v>28</v>
      </c>
      <c r="L10377" s="18" t="s">
        <v>28</v>
      </c>
      <c r="M10377" s="18" t="s">
        <v>28</v>
      </c>
      <c r="N10377" s="17">
        <v>41792</v>
      </c>
      <c r="O10377" s="15" t="s">
        <v>30</v>
      </c>
      <c r="P10377" s="16" t="s">
        <v>29357</v>
      </c>
      <c r="Q10377" s="15" t="s">
        <v>353</v>
      </c>
      <c r="R10377" s="13" t="str">
        <f>HYPERLINK("https://my.pitchbook.com?c=35813-44T","View Company Online")</f>
        <v>View Company Online</v>
      </c>
    </row>
    <row r="10378" spans="1:18" hidden="1" x14ac:dyDescent="0.3">
      <c r="A10378" s="9" t="s">
        <v>29445</v>
      </c>
      <c r="B10378" s="9" t="s">
        <v>29446</v>
      </c>
      <c r="C10378" s="11" t="s">
        <v>28</v>
      </c>
      <c r="D10378" s="9" t="s">
        <v>29447</v>
      </c>
      <c r="E10378" s="11" t="s">
        <v>28</v>
      </c>
      <c r="F10378" s="10">
        <v>17.95</v>
      </c>
      <c r="G10378" s="10">
        <v>17.95</v>
      </c>
      <c r="H10378" s="10">
        <v>17.95</v>
      </c>
      <c r="I10378" s="11" t="s">
        <v>28</v>
      </c>
      <c r="J10378" s="11" t="s">
        <v>28</v>
      </c>
      <c r="K10378" s="11">
        <v>4.63</v>
      </c>
      <c r="L10378" s="11">
        <v>3.88</v>
      </c>
      <c r="M10378" s="11" t="s">
        <v>28</v>
      </c>
      <c r="N10378" s="8">
        <v>41792</v>
      </c>
      <c r="O10378" s="9" t="s">
        <v>30</v>
      </c>
      <c r="P10378" s="12" t="s">
        <v>20963</v>
      </c>
      <c r="Q10378" s="9" t="s">
        <v>75</v>
      </c>
      <c r="R10378" s="14" t="str">
        <f>HYPERLINK("https://my.pitchbook.com?c=89553-25T","View Company Online")</f>
        <v>View Company Online</v>
      </c>
    </row>
    <row r="10379" spans="1:18" hidden="1" x14ac:dyDescent="0.3">
      <c r="A10379" s="15" t="s">
        <v>29448</v>
      </c>
      <c r="B10379" s="15" t="s">
        <v>29449</v>
      </c>
      <c r="C10379" s="18" t="s">
        <v>28</v>
      </c>
      <c r="D10379" s="15" t="s">
        <v>29450</v>
      </c>
      <c r="E10379" s="18" t="s">
        <v>28</v>
      </c>
      <c r="F10379" s="19" t="s">
        <v>28</v>
      </c>
      <c r="G10379" s="19" t="s">
        <v>28</v>
      </c>
      <c r="H10379" s="19" t="s">
        <v>28</v>
      </c>
      <c r="I10379" s="18" t="s">
        <v>28</v>
      </c>
      <c r="J10379" s="18" t="s">
        <v>28</v>
      </c>
      <c r="K10379" s="18" t="s">
        <v>28</v>
      </c>
      <c r="L10379" s="18" t="s">
        <v>28</v>
      </c>
      <c r="M10379" s="18" t="s">
        <v>28</v>
      </c>
      <c r="N10379" s="17">
        <v>41791</v>
      </c>
      <c r="O10379" s="15" t="s">
        <v>41</v>
      </c>
      <c r="P10379" s="16" t="s">
        <v>28233</v>
      </c>
      <c r="Q10379" s="15" t="s">
        <v>245</v>
      </c>
      <c r="R10379" s="13" t="str">
        <f>HYPERLINK("https://my.pitchbook.com?c=108946-63T","View Company Online")</f>
        <v>View Company Online</v>
      </c>
    </row>
    <row r="10380" spans="1:18" hidden="1" x14ac:dyDescent="0.3">
      <c r="A10380" s="9" t="s">
        <v>29451</v>
      </c>
      <c r="B10380" s="9" t="s">
        <v>21714</v>
      </c>
      <c r="C10380" s="11" t="s">
        <v>28</v>
      </c>
      <c r="D10380" s="9" t="s">
        <v>29452</v>
      </c>
      <c r="E10380" s="11" t="s">
        <v>28</v>
      </c>
      <c r="F10380" s="10" t="s">
        <v>28</v>
      </c>
      <c r="G10380" s="10" t="s">
        <v>28</v>
      </c>
      <c r="H10380" s="10" t="s">
        <v>28</v>
      </c>
      <c r="I10380" s="11" t="s">
        <v>28</v>
      </c>
      <c r="J10380" s="11" t="s">
        <v>28</v>
      </c>
      <c r="K10380" s="11" t="s">
        <v>28</v>
      </c>
      <c r="L10380" s="11" t="s">
        <v>28</v>
      </c>
      <c r="M10380" s="11" t="s">
        <v>28</v>
      </c>
      <c r="N10380" s="8">
        <v>41791</v>
      </c>
      <c r="O10380" s="9" t="s">
        <v>93</v>
      </c>
      <c r="P10380" s="12" t="s">
        <v>29453</v>
      </c>
      <c r="Q10380" s="9" t="s">
        <v>37</v>
      </c>
      <c r="R10380" s="14" t="str">
        <f>HYPERLINK("https://my.pitchbook.com?c=117756-82T","View Company Online")</f>
        <v>View Company Online</v>
      </c>
    </row>
    <row r="10381" spans="1:18" hidden="1" x14ac:dyDescent="0.3">
      <c r="A10381" s="15" t="s">
        <v>29454</v>
      </c>
      <c r="B10381" s="15" t="s">
        <v>26388</v>
      </c>
      <c r="C10381" s="18" t="s">
        <v>28</v>
      </c>
      <c r="D10381" s="15" t="s">
        <v>26389</v>
      </c>
      <c r="E10381" s="18" t="s">
        <v>28</v>
      </c>
      <c r="F10381" s="19" t="s">
        <v>28</v>
      </c>
      <c r="G10381" s="19">
        <v>1.1000000000000001</v>
      </c>
      <c r="H10381" s="19" t="s">
        <v>28</v>
      </c>
      <c r="I10381" s="18" t="s">
        <v>28</v>
      </c>
      <c r="J10381" s="18" t="s">
        <v>28</v>
      </c>
      <c r="K10381" s="18" t="s">
        <v>28</v>
      </c>
      <c r="L10381" s="18" t="s">
        <v>28</v>
      </c>
      <c r="M10381" s="18" t="s">
        <v>28</v>
      </c>
      <c r="N10381" s="17">
        <v>41791</v>
      </c>
      <c r="O10381" s="15" t="s">
        <v>73</v>
      </c>
      <c r="P10381" s="16" t="s">
        <v>28</v>
      </c>
      <c r="Q10381" s="15" t="s">
        <v>95</v>
      </c>
      <c r="R10381" s="13" t="str">
        <f>HYPERLINK("https://my.pitchbook.com?c=123140-08T","View Company Online")</f>
        <v>View Company Online</v>
      </c>
    </row>
    <row r="10382" spans="1:18" hidden="1" x14ac:dyDescent="0.3">
      <c r="A10382" s="9" t="s">
        <v>29455</v>
      </c>
      <c r="B10382" s="9" t="s">
        <v>29456</v>
      </c>
      <c r="C10382" s="11" t="s">
        <v>28</v>
      </c>
      <c r="D10382" s="9" t="s">
        <v>29457</v>
      </c>
      <c r="E10382" s="11" t="s">
        <v>28</v>
      </c>
      <c r="F10382" s="10" t="s">
        <v>28</v>
      </c>
      <c r="G10382" s="10">
        <v>0.25</v>
      </c>
      <c r="H10382" s="10" t="s">
        <v>28</v>
      </c>
      <c r="I10382" s="11" t="s">
        <v>28</v>
      </c>
      <c r="J10382" s="11" t="s">
        <v>28</v>
      </c>
      <c r="K10382" s="11" t="s">
        <v>28</v>
      </c>
      <c r="L10382" s="11" t="s">
        <v>28</v>
      </c>
      <c r="M10382" s="11" t="s">
        <v>28</v>
      </c>
      <c r="N10382" s="8">
        <v>41791</v>
      </c>
      <c r="O10382" s="9" t="s">
        <v>379</v>
      </c>
      <c r="P10382" s="12" t="s">
        <v>29458</v>
      </c>
      <c r="Q10382" s="9" t="s">
        <v>607</v>
      </c>
      <c r="R10382" s="14" t="str">
        <f>HYPERLINK("https://my.pitchbook.com?c=58143-88T","View Company Online")</f>
        <v>View Company Online</v>
      </c>
    </row>
    <row r="10383" spans="1:18" hidden="1" x14ac:dyDescent="0.3">
      <c r="A10383" s="15" t="s">
        <v>29459</v>
      </c>
      <c r="B10383" s="15" t="s">
        <v>29460</v>
      </c>
      <c r="C10383" s="18" t="s">
        <v>28</v>
      </c>
      <c r="D10383" s="15" t="s">
        <v>29461</v>
      </c>
      <c r="E10383" s="18" t="s">
        <v>28</v>
      </c>
      <c r="F10383" s="19" t="s">
        <v>28</v>
      </c>
      <c r="G10383" s="19" t="s">
        <v>28</v>
      </c>
      <c r="H10383" s="19" t="s">
        <v>28</v>
      </c>
      <c r="I10383" s="18" t="s">
        <v>28</v>
      </c>
      <c r="J10383" s="18" t="s">
        <v>28</v>
      </c>
      <c r="K10383" s="18" t="s">
        <v>28</v>
      </c>
      <c r="L10383" s="18" t="s">
        <v>28</v>
      </c>
      <c r="M10383" s="18" t="s">
        <v>28</v>
      </c>
      <c r="N10383" s="17">
        <v>41791</v>
      </c>
      <c r="O10383" s="15" t="s">
        <v>58</v>
      </c>
      <c r="P10383" s="16" t="s">
        <v>29462</v>
      </c>
      <c r="Q10383" s="15" t="s">
        <v>1341</v>
      </c>
      <c r="R10383" s="13" t="str">
        <f>HYPERLINK("https://my.pitchbook.com?c=58978-45T","View Company Online")</f>
        <v>View Company Online</v>
      </c>
    </row>
    <row r="10384" spans="1:18" hidden="1" x14ac:dyDescent="0.3">
      <c r="A10384" s="9" t="s">
        <v>29463</v>
      </c>
      <c r="B10384" s="9" t="s">
        <v>29464</v>
      </c>
      <c r="C10384" s="11" t="s">
        <v>28</v>
      </c>
      <c r="D10384" s="9" t="s">
        <v>29465</v>
      </c>
      <c r="E10384" s="11" t="s">
        <v>28</v>
      </c>
      <c r="F10384" s="10" t="s">
        <v>28</v>
      </c>
      <c r="G10384" s="10" t="s">
        <v>28</v>
      </c>
      <c r="H10384" s="10" t="s">
        <v>28</v>
      </c>
      <c r="I10384" s="11" t="s">
        <v>28</v>
      </c>
      <c r="J10384" s="11" t="s">
        <v>28</v>
      </c>
      <c r="K10384" s="11" t="s">
        <v>28</v>
      </c>
      <c r="L10384" s="11" t="s">
        <v>28</v>
      </c>
      <c r="M10384" s="11" t="s">
        <v>28</v>
      </c>
      <c r="N10384" s="8">
        <v>41791</v>
      </c>
      <c r="O10384" s="9" t="s">
        <v>99</v>
      </c>
      <c r="P10384" s="12" t="s">
        <v>3430</v>
      </c>
      <c r="Q10384" s="9" t="s">
        <v>249</v>
      </c>
      <c r="R10384" s="14" t="str">
        <f>HYPERLINK("https://my.pitchbook.com?c=212274-64T","View Company Online")</f>
        <v>View Company Online</v>
      </c>
    </row>
    <row r="10385" spans="1:18" hidden="1" x14ac:dyDescent="0.3">
      <c r="A10385" s="15" t="s">
        <v>29466</v>
      </c>
      <c r="B10385" s="15" t="s">
        <v>14602</v>
      </c>
      <c r="C10385" s="18" t="s">
        <v>28</v>
      </c>
      <c r="D10385" s="15" t="s">
        <v>14603</v>
      </c>
      <c r="E10385" s="18" t="s">
        <v>28</v>
      </c>
      <c r="F10385" s="19" t="s">
        <v>28</v>
      </c>
      <c r="G10385" s="19" t="s">
        <v>28</v>
      </c>
      <c r="H10385" s="19" t="s">
        <v>28</v>
      </c>
      <c r="I10385" s="18" t="s">
        <v>28</v>
      </c>
      <c r="J10385" s="18" t="s">
        <v>28</v>
      </c>
      <c r="K10385" s="18" t="s">
        <v>28</v>
      </c>
      <c r="L10385" s="18" t="s">
        <v>28</v>
      </c>
      <c r="M10385" s="18" t="s">
        <v>28</v>
      </c>
      <c r="N10385" s="17">
        <v>41791</v>
      </c>
      <c r="O10385" s="15" t="s">
        <v>73</v>
      </c>
      <c r="P10385" s="16" t="s">
        <v>29467</v>
      </c>
      <c r="Q10385" s="15" t="s">
        <v>188</v>
      </c>
      <c r="R10385" s="13" t="str">
        <f>HYPERLINK("https://my.pitchbook.com?c=46774-00T","View Company Online")</f>
        <v>View Company Online</v>
      </c>
    </row>
    <row r="10386" spans="1:18" hidden="1" x14ac:dyDescent="0.3">
      <c r="A10386" s="9" t="s">
        <v>29468</v>
      </c>
      <c r="B10386" s="9" t="s">
        <v>10365</v>
      </c>
      <c r="C10386" s="11" t="s">
        <v>28</v>
      </c>
      <c r="D10386" s="9" t="s">
        <v>10366</v>
      </c>
      <c r="E10386" s="11" t="s">
        <v>28</v>
      </c>
      <c r="F10386" s="10" t="s">
        <v>28</v>
      </c>
      <c r="G10386" s="10">
        <v>0.24</v>
      </c>
      <c r="H10386" s="10" t="s">
        <v>28</v>
      </c>
      <c r="I10386" s="11" t="s">
        <v>28</v>
      </c>
      <c r="J10386" s="11" t="s">
        <v>28</v>
      </c>
      <c r="K10386" s="11" t="s">
        <v>28</v>
      </c>
      <c r="L10386" s="11" t="s">
        <v>28</v>
      </c>
      <c r="M10386" s="11" t="s">
        <v>28</v>
      </c>
      <c r="N10386" s="8">
        <v>41791</v>
      </c>
      <c r="O10386" s="9" t="s">
        <v>379</v>
      </c>
      <c r="P10386" s="12" t="s">
        <v>28</v>
      </c>
      <c r="Q10386" s="9" t="s">
        <v>75</v>
      </c>
      <c r="R10386" s="14" t="str">
        <f>HYPERLINK("https://my.pitchbook.com?c=199880-29T","View Company Online")</f>
        <v>View Company Online</v>
      </c>
    </row>
    <row r="10387" spans="1:18" hidden="1" x14ac:dyDescent="0.3">
      <c r="A10387" s="15" t="s">
        <v>29469</v>
      </c>
      <c r="B10387" s="15" t="s">
        <v>11986</v>
      </c>
      <c r="C10387" s="18" t="s">
        <v>28</v>
      </c>
      <c r="D10387" s="15" t="s">
        <v>11987</v>
      </c>
      <c r="E10387" s="18" t="s">
        <v>28</v>
      </c>
      <c r="F10387" s="19" t="s">
        <v>28</v>
      </c>
      <c r="G10387" s="19">
        <v>2.02</v>
      </c>
      <c r="H10387" s="19" t="s">
        <v>28</v>
      </c>
      <c r="I10387" s="18" t="s">
        <v>28</v>
      </c>
      <c r="J10387" s="18" t="s">
        <v>28</v>
      </c>
      <c r="K10387" s="18" t="s">
        <v>28</v>
      </c>
      <c r="L10387" s="18" t="s">
        <v>28</v>
      </c>
      <c r="M10387" s="18" t="s">
        <v>28</v>
      </c>
      <c r="N10387" s="17">
        <v>41791</v>
      </c>
      <c r="O10387" s="15" t="s">
        <v>99</v>
      </c>
      <c r="P10387" s="16" t="s">
        <v>28</v>
      </c>
      <c r="Q10387" s="15" t="s">
        <v>75</v>
      </c>
      <c r="R10387" s="13" t="str">
        <f>HYPERLINK("https://my.pitchbook.com?c=207680-50T","View Company Online")</f>
        <v>View Company Online</v>
      </c>
    </row>
    <row r="10388" spans="1:18" hidden="1" x14ac:dyDescent="0.3">
      <c r="A10388" s="9" t="s">
        <v>29470</v>
      </c>
      <c r="B10388" s="9" t="s">
        <v>14430</v>
      </c>
      <c r="C10388" s="11" t="s">
        <v>28</v>
      </c>
      <c r="D10388" s="9" t="s">
        <v>14431</v>
      </c>
      <c r="E10388" s="11" t="s">
        <v>28</v>
      </c>
      <c r="F10388" s="10" t="s">
        <v>28</v>
      </c>
      <c r="G10388" s="10" t="s">
        <v>28</v>
      </c>
      <c r="H10388" s="10" t="s">
        <v>28</v>
      </c>
      <c r="I10388" s="11" t="s">
        <v>28</v>
      </c>
      <c r="J10388" s="11" t="s">
        <v>28</v>
      </c>
      <c r="K10388" s="11" t="s">
        <v>28</v>
      </c>
      <c r="L10388" s="11" t="s">
        <v>28</v>
      </c>
      <c r="M10388" s="11" t="s">
        <v>28</v>
      </c>
      <c r="N10388" s="8">
        <v>41791</v>
      </c>
      <c r="O10388" s="9" t="s">
        <v>379</v>
      </c>
      <c r="P10388" s="12" t="s">
        <v>29471</v>
      </c>
      <c r="Q10388" s="9" t="s">
        <v>75</v>
      </c>
      <c r="R10388" s="14" t="str">
        <f>HYPERLINK("https://my.pitchbook.com?c=46635-40T","View Company Online")</f>
        <v>View Company Online</v>
      </c>
    </row>
    <row r="10389" spans="1:18" hidden="1" x14ac:dyDescent="0.3">
      <c r="A10389" s="15" t="s">
        <v>29472</v>
      </c>
      <c r="B10389" s="15" t="s">
        <v>11294</v>
      </c>
      <c r="C10389" s="18" t="s">
        <v>28</v>
      </c>
      <c r="D10389" s="15" t="s">
        <v>11295</v>
      </c>
      <c r="E10389" s="18" t="s">
        <v>28</v>
      </c>
      <c r="F10389" s="19" t="s">
        <v>28</v>
      </c>
      <c r="G10389" s="19">
        <v>0.02</v>
      </c>
      <c r="H10389" s="19" t="s">
        <v>28</v>
      </c>
      <c r="I10389" s="18" t="s">
        <v>28</v>
      </c>
      <c r="J10389" s="18" t="s">
        <v>28</v>
      </c>
      <c r="K10389" s="18" t="s">
        <v>28</v>
      </c>
      <c r="L10389" s="18" t="s">
        <v>28</v>
      </c>
      <c r="M10389" s="18" t="s">
        <v>28</v>
      </c>
      <c r="N10389" s="17">
        <v>41791</v>
      </c>
      <c r="O10389" s="15" t="s">
        <v>9098</v>
      </c>
      <c r="P10389" s="16" t="s">
        <v>28</v>
      </c>
      <c r="Q10389" s="15" t="s">
        <v>75</v>
      </c>
      <c r="R10389" s="13" t="str">
        <f>HYPERLINK("https://my.pitchbook.com?c=164645-02T","View Company Online")</f>
        <v>View Company Online</v>
      </c>
    </row>
    <row r="10390" spans="1:18" hidden="1" x14ac:dyDescent="0.3">
      <c r="A10390" s="9" t="s">
        <v>29473</v>
      </c>
      <c r="B10390" s="9" t="s">
        <v>29474</v>
      </c>
      <c r="C10390" s="11" t="s">
        <v>28</v>
      </c>
      <c r="D10390" s="9" t="s">
        <v>29475</v>
      </c>
      <c r="E10390" s="11" t="s">
        <v>28</v>
      </c>
      <c r="F10390" s="10" t="s">
        <v>28</v>
      </c>
      <c r="G10390" s="10">
        <v>59.98</v>
      </c>
      <c r="H10390" s="10">
        <v>59.98</v>
      </c>
      <c r="I10390" s="11" t="s">
        <v>28</v>
      </c>
      <c r="J10390" s="11" t="s">
        <v>28</v>
      </c>
      <c r="K10390" s="11">
        <v>40.08</v>
      </c>
      <c r="L10390" s="11">
        <v>1.5</v>
      </c>
      <c r="M10390" s="11" t="s">
        <v>28</v>
      </c>
      <c r="N10390" s="8">
        <v>41791</v>
      </c>
      <c r="O10390" s="9" t="s">
        <v>30</v>
      </c>
      <c r="P10390" s="12" t="s">
        <v>29476</v>
      </c>
      <c r="Q10390" s="9" t="s">
        <v>1341</v>
      </c>
      <c r="R10390" s="14" t="str">
        <f>HYPERLINK("https://my.pitchbook.com?c=111962-62T","View Company Online")</f>
        <v>View Company Online</v>
      </c>
    </row>
    <row r="10391" spans="1:18" hidden="1" x14ac:dyDescent="0.3">
      <c r="A10391" s="15" t="s">
        <v>29477</v>
      </c>
      <c r="B10391" s="15" t="s">
        <v>17627</v>
      </c>
      <c r="C10391" s="18" t="s">
        <v>28</v>
      </c>
      <c r="D10391" s="15" t="s">
        <v>17628</v>
      </c>
      <c r="E10391" s="18" t="s">
        <v>28</v>
      </c>
      <c r="F10391" s="19" t="s">
        <v>28</v>
      </c>
      <c r="G10391" s="19">
        <v>0.04</v>
      </c>
      <c r="H10391" s="19" t="s">
        <v>28</v>
      </c>
      <c r="I10391" s="18" t="s">
        <v>28</v>
      </c>
      <c r="J10391" s="18" t="s">
        <v>28</v>
      </c>
      <c r="K10391" s="18" t="s">
        <v>28</v>
      </c>
      <c r="L10391" s="18" t="s">
        <v>28</v>
      </c>
      <c r="M10391" s="18" t="s">
        <v>28</v>
      </c>
      <c r="N10391" s="17">
        <v>41791</v>
      </c>
      <c r="O10391" s="15" t="s">
        <v>52</v>
      </c>
      <c r="P10391" s="16" t="s">
        <v>29478</v>
      </c>
      <c r="Q10391" s="15" t="s">
        <v>1793</v>
      </c>
      <c r="R10391" s="13" t="str">
        <f>HYPERLINK("https://my.pitchbook.com?c=44695-00T","View Company Online")</f>
        <v>View Company Online</v>
      </c>
    </row>
    <row r="10392" spans="1:18" hidden="1" x14ac:dyDescent="0.3">
      <c r="A10392" s="9" t="s">
        <v>29479</v>
      </c>
      <c r="B10392" s="9" t="s">
        <v>25692</v>
      </c>
      <c r="C10392" s="11" t="s">
        <v>28</v>
      </c>
      <c r="D10392" s="9" t="s">
        <v>25693</v>
      </c>
      <c r="E10392" s="11" t="s">
        <v>28</v>
      </c>
      <c r="F10392" s="10" t="s">
        <v>28</v>
      </c>
      <c r="G10392" s="10">
        <v>0.91</v>
      </c>
      <c r="H10392" s="10" t="s">
        <v>28</v>
      </c>
      <c r="I10392" s="11" t="s">
        <v>28</v>
      </c>
      <c r="J10392" s="11" t="s">
        <v>28</v>
      </c>
      <c r="K10392" s="11" t="s">
        <v>28</v>
      </c>
      <c r="L10392" s="11" t="s">
        <v>28</v>
      </c>
      <c r="M10392" s="11" t="s">
        <v>28</v>
      </c>
      <c r="N10392" s="8">
        <v>41791</v>
      </c>
      <c r="O10392" s="9" t="s">
        <v>73</v>
      </c>
      <c r="P10392" s="12" t="s">
        <v>29480</v>
      </c>
      <c r="Q10392" s="9" t="s">
        <v>583</v>
      </c>
      <c r="R10392" s="14" t="str">
        <f>HYPERLINK("https://my.pitchbook.com?c=95616-19T","View Company Online")</f>
        <v>View Company Online</v>
      </c>
    </row>
    <row r="10393" spans="1:18" hidden="1" x14ac:dyDescent="0.3">
      <c r="A10393" s="15" t="s">
        <v>29481</v>
      </c>
      <c r="B10393" s="15" t="s">
        <v>29387</v>
      </c>
      <c r="C10393" s="18" t="s">
        <v>28</v>
      </c>
      <c r="D10393" s="15" t="s">
        <v>29388</v>
      </c>
      <c r="E10393" s="18" t="s">
        <v>28</v>
      </c>
      <c r="F10393" s="19" t="s">
        <v>28</v>
      </c>
      <c r="G10393" s="19" t="s">
        <v>28</v>
      </c>
      <c r="H10393" s="19" t="s">
        <v>28</v>
      </c>
      <c r="I10393" s="18" t="s">
        <v>28</v>
      </c>
      <c r="J10393" s="18" t="s">
        <v>28</v>
      </c>
      <c r="K10393" s="18" t="s">
        <v>28</v>
      </c>
      <c r="L10393" s="18" t="s">
        <v>28</v>
      </c>
      <c r="M10393" s="18" t="s">
        <v>28</v>
      </c>
      <c r="N10393" s="17">
        <v>41791</v>
      </c>
      <c r="O10393" s="15" t="s">
        <v>73</v>
      </c>
      <c r="P10393" s="16" t="s">
        <v>18830</v>
      </c>
      <c r="Q10393" s="15" t="s">
        <v>386</v>
      </c>
      <c r="R10393" s="13" t="str">
        <f>HYPERLINK("https://my.pitchbook.com?c=30962-80T","View Company Online")</f>
        <v>View Company Online</v>
      </c>
    </row>
    <row r="10394" spans="1:18" hidden="1" x14ac:dyDescent="0.3">
      <c r="A10394" s="9" t="s">
        <v>29482</v>
      </c>
      <c r="B10394" s="9" t="s">
        <v>29483</v>
      </c>
      <c r="C10394" s="11" t="s">
        <v>28</v>
      </c>
      <c r="D10394" s="9" t="s">
        <v>29484</v>
      </c>
      <c r="E10394" s="11" t="s">
        <v>28</v>
      </c>
      <c r="F10394" s="10" t="s">
        <v>28</v>
      </c>
      <c r="G10394" s="10" t="s">
        <v>28</v>
      </c>
      <c r="H10394" s="10" t="s">
        <v>28</v>
      </c>
      <c r="I10394" s="11" t="s">
        <v>28</v>
      </c>
      <c r="J10394" s="11" t="s">
        <v>28</v>
      </c>
      <c r="K10394" s="11" t="s">
        <v>28</v>
      </c>
      <c r="L10394" s="11" t="s">
        <v>28</v>
      </c>
      <c r="M10394" s="11" t="s">
        <v>28</v>
      </c>
      <c r="N10394" s="8">
        <v>41790</v>
      </c>
      <c r="O10394" s="9" t="s">
        <v>52</v>
      </c>
      <c r="P10394" s="12" t="s">
        <v>27943</v>
      </c>
      <c r="Q10394" s="9" t="s">
        <v>75</v>
      </c>
      <c r="R10394" s="14" t="str">
        <f>HYPERLINK("https://my.pitchbook.com?c=39759-58T","View Company Online")</f>
        <v>View Company Online</v>
      </c>
    </row>
    <row r="10395" spans="1:18" hidden="1" x14ac:dyDescent="0.3">
      <c r="A10395" s="15" t="s">
        <v>29485</v>
      </c>
      <c r="B10395" s="15" t="s">
        <v>17523</v>
      </c>
      <c r="C10395" s="18" t="s">
        <v>28</v>
      </c>
      <c r="D10395" s="15" t="s">
        <v>17524</v>
      </c>
      <c r="E10395" s="18" t="s">
        <v>28</v>
      </c>
      <c r="F10395" s="19" t="s">
        <v>28</v>
      </c>
      <c r="G10395" s="19">
        <v>0.04</v>
      </c>
      <c r="H10395" s="19" t="s">
        <v>28</v>
      </c>
      <c r="I10395" s="18" t="s">
        <v>28</v>
      </c>
      <c r="J10395" s="18" t="s">
        <v>28</v>
      </c>
      <c r="K10395" s="18" t="s">
        <v>28</v>
      </c>
      <c r="L10395" s="18" t="s">
        <v>28</v>
      </c>
      <c r="M10395" s="18" t="s">
        <v>28</v>
      </c>
      <c r="N10395" s="17">
        <v>41789</v>
      </c>
      <c r="O10395" s="15" t="s">
        <v>52</v>
      </c>
      <c r="P10395" s="16" t="s">
        <v>1792</v>
      </c>
      <c r="Q10395" s="15" t="s">
        <v>95</v>
      </c>
      <c r="R10395" s="13" t="str">
        <f>HYPERLINK("https://my.pitchbook.com?c=77793-76T","View Company Online")</f>
        <v>View Company Online</v>
      </c>
    </row>
    <row r="10396" spans="1:18" hidden="1" x14ac:dyDescent="0.3">
      <c r="A10396" s="9" t="s">
        <v>29486</v>
      </c>
      <c r="B10396" s="9" t="s">
        <v>29487</v>
      </c>
      <c r="C10396" s="11" t="s">
        <v>28</v>
      </c>
      <c r="D10396" s="9" t="s">
        <v>29488</v>
      </c>
      <c r="E10396" s="11" t="s">
        <v>28</v>
      </c>
      <c r="F10396" s="10" t="s">
        <v>28</v>
      </c>
      <c r="G10396" s="10" t="s">
        <v>28</v>
      </c>
      <c r="H10396" s="10" t="s">
        <v>28</v>
      </c>
      <c r="I10396" s="11" t="s">
        <v>28</v>
      </c>
      <c r="J10396" s="11" t="s">
        <v>28</v>
      </c>
      <c r="K10396" s="11">
        <v>18.18</v>
      </c>
      <c r="L10396" s="11" t="s">
        <v>28</v>
      </c>
      <c r="M10396" s="11" t="s">
        <v>28</v>
      </c>
      <c r="N10396" s="8">
        <v>41789</v>
      </c>
      <c r="O10396" s="9" t="s">
        <v>30</v>
      </c>
      <c r="P10396" s="12" t="s">
        <v>29489</v>
      </c>
      <c r="Q10396" s="9" t="s">
        <v>900</v>
      </c>
      <c r="R10396" s="14" t="str">
        <f>HYPERLINK("https://my.pitchbook.com?c=100325-44T","View Company Online")</f>
        <v>View Company Online</v>
      </c>
    </row>
    <row r="10397" spans="1:18" hidden="1" x14ac:dyDescent="0.3">
      <c r="A10397" s="15" t="s">
        <v>29490</v>
      </c>
      <c r="B10397" s="15" t="s">
        <v>29491</v>
      </c>
      <c r="C10397" s="18" t="s">
        <v>28</v>
      </c>
      <c r="D10397" s="15" t="s">
        <v>29492</v>
      </c>
      <c r="E10397" s="18" t="s">
        <v>28</v>
      </c>
      <c r="F10397" s="19" t="s">
        <v>28</v>
      </c>
      <c r="G10397" s="19" t="s">
        <v>28</v>
      </c>
      <c r="H10397" s="19" t="s">
        <v>28</v>
      </c>
      <c r="I10397" s="18" t="s">
        <v>28</v>
      </c>
      <c r="J10397" s="18" t="s">
        <v>28</v>
      </c>
      <c r="K10397" s="18">
        <v>28</v>
      </c>
      <c r="L10397" s="18" t="s">
        <v>28</v>
      </c>
      <c r="M10397" s="18" t="s">
        <v>28</v>
      </c>
      <c r="N10397" s="17">
        <v>41787</v>
      </c>
      <c r="O10397" s="15" t="s">
        <v>30</v>
      </c>
      <c r="P10397" s="16" t="s">
        <v>23507</v>
      </c>
      <c r="Q10397" s="15" t="s">
        <v>740</v>
      </c>
      <c r="R10397" s="13" t="str">
        <f>HYPERLINK("https://my.pitchbook.com?c=35841-25T","View Company Online")</f>
        <v>View Company Online</v>
      </c>
    </row>
    <row r="10398" spans="1:18" hidden="1" x14ac:dyDescent="0.3">
      <c r="A10398" s="9" t="s">
        <v>29493</v>
      </c>
      <c r="B10398" s="9" t="s">
        <v>29494</v>
      </c>
      <c r="C10398" s="11" t="s">
        <v>28</v>
      </c>
      <c r="D10398" s="9" t="s">
        <v>29495</v>
      </c>
      <c r="E10398" s="11" t="s">
        <v>28</v>
      </c>
      <c r="F10398" s="10" t="s">
        <v>28</v>
      </c>
      <c r="G10398" s="10">
        <v>2.25</v>
      </c>
      <c r="H10398" s="10" t="s">
        <v>28</v>
      </c>
      <c r="I10398" s="11" t="s">
        <v>28</v>
      </c>
      <c r="J10398" s="11" t="s">
        <v>28</v>
      </c>
      <c r="K10398" s="11" t="s">
        <v>28</v>
      </c>
      <c r="L10398" s="11" t="s">
        <v>28</v>
      </c>
      <c r="M10398" s="11" t="s">
        <v>28</v>
      </c>
      <c r="N10398" s="8">
        <v>41787</v>
      </c>
      <c r="O10398" s="9" t="s">
        <v>79</v>
      </c>
      <c r="P10398" s="12" t="s">
        <v>11495</v>
      </c>
      <c r="Q10398" s="9" t="s">
        <v>2706</v>
      </c>
      <c r="R10398" s="14" t="str">
        <f>HYPERLINK("https://my.pitchbook.com?c=86193-91T","View Company Online")</f>
        <v>View Company Online</v>
      </c>
    </row>
    <row r="10399" spans="1:18" hidden="1" x14ac:dyDescent="0.3">
      <c r="A10399" s="15" t="s">
        <v>29496</v>
      </c>
      <c r="B10399" s="15" t="s">
        <v>14867</v>
      </c>
      <c r="C10399" s="18" t="s">
        <v>28</v>
      </c>
      <c r="D10399" s="15" t="s">
        <v>14868</v>
      </c>
      <c r="E10399" s="18" t="s">
        <v>28</v>
      </c>
      <c r="F10399" s="19" t="s">
        <v>28</v>
      </c>
      <c r="G10399" s="19">
        <v>0.9</v>
      </c>
      <c r="H10399" s="19" t="s">
        <v>28</v>
      </c>
      <c r="I10399" s="18" t="s">
        <v>28</v>
      </c>
      <c r="J10399" s="18" t="s">
        <v>28</v>
      </c>
      <c r="K10399" s="18" t="s">
        <v>28</v>
      </c>
      <c r="L10399" s="18" t="s">
        <v>28</v>
      </c>
      <c r="M10399" s="18" t="s">
        <v>28</v>
      </c>
      <c r="N10399" s="17">
        <v>41785</v>
      </c>
      <c r="O10399" s="15" t="s">
        <v>73</v>
      </c>
      <c r="P10399" s="16" t="s">
        <v>29497</v>
      </c>
      <c r="Q10399" s="15" t="s">
        <v>583</v>
      </c>
      <c r="R10399" s="13" t="str">
        <f>HYPERLINK("https://my.pitchbook.com?c=56313-37T","View Company Online")</f>
        <v>View Company Online</v>
      </c>
    </row>
    <row r="10400" spans="1:18" hidden="1" x14ac:dyDescent="0.3">
      <c r="A10400" s="9" t="s">
        <v>29498</v>
      </c>
      <c r="B10400" s="9" t="s">
        <v>6367</v>
      </c>
      <c r="C10400" s="11" t="s">
        <v>28</v>
      </c>
      <c r="D10400" s="9" t="s">
        <v>6368</v>
      </c>
      <c r="E10400" s="11" t="s">
        <v>28</v>
      </c>
      <c r="F10400" s="10" t="s">
        <v>28</v>
      </c>
      <c r="G10400" s="10">
        <v>4.49</v>
      </c>
      <c r="H10400" s="10">
        <v>17.96</v>
      </c>
      <c r="I10400" s="11" t="s">
        <v>28</v>
      </c>
      <c r="J10400" s="11" t="s">
        <v>28</v>
      </c>
      <c r="K10400" s="11" t="s">
        <v>28</v>
      </c>
      <c r="L10400" s="11" t="s">
        <v>28</v>
      </c>
      <c r="M10400" s="11" t="s">
        <v>28</v>
      </c>
      <c r="N10400" s="8">
        <v>41781</v>
      </c>
      <c r="O10400" s="9" t="s">
        <v>79</v>
      </c>
      <c r="P10400" s="12" t="s">
        <v>26574</v>
      </c>
      <c r="Q10400" s="9" t="s">
        <v>419</v>
      </c>
      <c r="R10400" s="14" t="str">
        <f>HYPERLINK("https://my.pitchbook.com?c=36885-61T","View Company Online")</f>
        <v>View Company Online</v>
      </c>
    </row>
    <row r="10401" spans="1:18" x14ac:dyDescent="0.3">
      <c r="A10401" s="15" t="s">
        <v>29499</v>
      </c>
      <c r="B10401" s="15" t="s">
        <v>29500</v>
      </c>
      <c r="C10401" s="18">
        <v>16.88</v>
      </c>
      <c r="D10401" s="15" t="s">
        <v>29501</v>
      </c>
      <c r="E10401" s="18" t="s">
        <v>28</v>
      </c>
      <c r="F10401" s="19">
        <v>2693.63</v>
      </c>
      <c r="G10401" s="19">
        <v>2693.63</v>
      </c>
      <c r="H10401" s="19">
        <v>2693.63</v>
      </c>
      <c r="I10401" s="18">
        <v>159.58000000000001</v>
      </c>
      <c r="J10401" s="18">
        <v>16.88</v>
      </c>
      <c r="K10401" s="18" t="s">
        <v>28</v>
      </c>
      <c r="L10401" s="18" t="s">
        <v>28</v>
      </c>
      <c r="M10401" s="18" t="s">
        <v>28</v>
      </c>
      <c r="N10401" s="17">
        <v>41781</v>
      </c>
      <c r="O10401" s="15" t="s">
        <v>30</v>
      </c>
      <c r="P10401" s="16" t="s">
        <v>29502</v>
      </c>
      <c r="Q10401" s="15" t="s">
        <v>409</v>
      </c>
      <c r="R10401" s="13" t="str">
        <f>HYPERLINK("https://my.pitchbook.com?c=35963-47T","View Company Online")</f>
        <v>View Company Online</v>
      </c>
    </row>
    <row r="10402" spans="1:18" hidden="1" x14ac:dyDescent="0.3">
      <c r="A10402" s="9" t="s">
        <v>29503</v>
      </c>
      <c r="B10402" s="9" t="s">
        <v>29504</v>
      </c>
      <c r="C10402" s="11" t="s">
        <v>28</v>
      </c>
      <c r="D10402" s="9" t="s">
        <v>29505</v>
      </c>
      <c r="E10402" s="11" t="s">
        <v>28</v>
      </c>
      <c r="F10402" s="10" t="s">
        <v>28</v>
      </c>
      <c r="G10402" s="10">
        <v>0.03</v>
      </c>
      <c r="H10402" s="10" t="s">
        <v>28</v>
      </c>
      <c r="I10402" s="11" t="s">
        <v>28</v>
      </c>
      <c r="J10402" s="11" t="s">
        <v>28</v>
      </c>
      <c r="K10402" s="11" t="s">
        <v>28</v>
      </c>
      <c r="L10402" s="11" t="s">
        <v>28</v>
      </c>
      <c r="M10402" s="11" t="s">
        <v>28</v>
      </c>
      <c r="N10402" s="8">
        <v>41781</v>
      </c>
      <c r="O10402" s="9" t="s">
        <v>52</v>
      </c>
      <c r="P10402" s="12" t="s">
        <v>28389</v>
      </c>
      <c r="Q10402" s="9" t="s">
        <v>740</v>
      </c>
      <c r="R10402" s="14" t="str">
        <f>HYPERLINK("https://my.pitchbook.com?c=156049-30T","View Company Online")</f>
        <v>View Company Online</v>
      </c>
    </row>
    <row r="10403" spans="1:18" hidden="1" x14ac:dyDescent="0.3">
      <c r="A10403" s="15" t="s">
        <v>29506</v>
      </c>
      <c r="B10403" s="15" t="s">
        <v>29507</v>
      </c>
      <c r="C10403" s="18" t="s">
        <v>28</v>
      </c>
      <c r="D10403" s="15" t="s">
        <v>29508</v>
      </c>
      <c r="E10403" s="18" t="s">
        <v>28</v>
      </c>
      <c r="F10403" s="19">
        <v>33.659999999999997</v>
      </c>
      <c r="G10403" s="19">
        <v>33.659999999999997</v>
      </c>
      <c r="H10403" s="19">
        <v>33.659999999999997</v>
      </c>
      <c r="I10403" s="18" t="s">
        <v>28</v>
      </c>
      <c r="J10403" s="18" t="s">
        <v>28</v>
      </c>
      <c r="K10403" s="18" t="s">
        <v>28</v>
      </c>
      <c r="L10403" s="18" t="s">
        <v>28</v>
      </c>
      <c r="M10403" s="18" t="s">
        <v>28</v>
      </c>
      <c r="N10403" s="17">
        <v>41780</v>
      </c>
      <c r="O10403" s="15" t="s">
        <v>30</v>
      </c>
      <c r="P10403" s="16" t="s">
        <v>4262</v>
      </c>
      <c r="Q10403" s="15" t="s">
        <v>75</v>
      </c>
      <c r="R10403" s="13" t="str">
        <f>HYPERLINK("https://my.pitchbook.com?c=89554-96T","View Company Online")</f>
        <v>View Company Online</v>
      </c>
    </row>
    <row r="10404" spans="1:18" hidden="1" x14ac:dyDescent="0.3">
      <c r="A10404" s="9" t="s">
        <v>29509</v>
      </c>
      <c r="B10404" s="9" t="s">
        <v>8799</v>
      </c>
      <c r="C10404" s="11" t="s">
        <v>28</v>
      </c>
      <c r="D10404" s="9" t="s">
        <v>8800</v>
      </c>
      <c r="E10404" s="11" t="s">
        <v>28</v>
      </c>
      <c r="F10404" s="10" t="s">
        <v>28</v>
      </c>
      <c r="G10404" s="10" t="s">
        <v>28</v>
      </c>
      <c r="H10404" s="10" t="s">
        <v>28</v>
      </c>
      <c r="I10404" s="11" t="s">
        <v>28</v>
      </c>
      <c r="J10404" s="11" t="s">
        <v>28</v>
      </c>
      <c r="K10404" s="11" t="s">
        <v>28</v>
      </c>
      <c r="L10404" s="11" t="s">
        <v>28</v>
      </c>
      <c r="M10404" s="11" t="s">
        <v>28</v>
      </c>
      <c r="N10404" s="8">
        <v>41779</v>
      </c>
      <c r="O10404" s="9" t="s">
        <v>52</v>
      </c>
      <c r="P10404" s="12" t="s">
        <v>29510</v>
      </c>
      <c r="Q10404" s="9" t="s">
        <v>409</v>
      </c>
      <c r="R10404" s="14" t="str">
        <f>HYPERLINK("https://my.pitchbook.com?c=138918-79T","View Company Online")</f>
        <v>View Company Online</v>
      </c>
    </row>
    <row r="10405" spans="1:18" x14ac:dyDescent="0.3">
      <c r="A10405" s="15" t="s">
        <v>29511</v>
      </c>
      <c r="B10405" s="15" t="s">
        <v>4435</v>
      </c>
      <c r="C10405" s="18">
        <v>11.15</v>
      </c>
      <c r="D10405" s="15" t="s">
        <v>4436</v>
      </c>
      <c r="E10405" s="18">
        <v>77.8</v>
      </c>
      <c r="F10405" s="19">
        <v>1657.59</v>
      </c>
      <c r="G10405" s="19">
        <v>259.76</v>
      </c>
      <c r="H10405" s="19">
        <v>1710.75</v>
      </c>
      <c r="I10405" s="18">
        <v>148.69999999999999</v>
      </c>
      <c r="J10405" s="18">
        <v>11.5</v>
      </c>
      <c r="K10405" s="18">
        <v>1210.3399999999999</v>
      </c>
      <c r="L10405" s="18">
        <v>1.41</v>
      </c>
      <c r="M10405" s="18">
        <v>70.33</v>
      </c>
      <c r="N10405" s="17">
        <v>41778</v>
      </c>
      <c r="O10405" s="15" t="s">
        <v>30</v>
      </c>
      <c r="P10405" s="16" t="s">
        <v>29512</v>
      </c>
      <c r="Q10405" s="15" t="s">
        <v>348</v>
      </c>
      <c r="R10405" s="13" t="str">
        <f>HYPERLINK("https://my.pitchbook.com?c=60584-41T","View Company Online")</f>
        <v>View Company Online</v>
      </c>
    </row>
    <row r="10406" spans="1:18" hidden="1" x14ac:dyDescent="0.3">
      <c r="A10406" s="9" t="s">
        <v>29513</v>
      </c>
      <c r="B10406" s="9" t="s">
        <v>29514</v>
      </c>
      <c r="C10406" s="11" t="s">
        <v>28</v>
      </c>
      <c r="D10406" s="9" t="s">
        <v>29515</v>
      </c>
      <c r="E10406" s="11" t="s">
        <v>28</v>
      </c>
      <c r="F10406" s="10">
        <v>22.38</v>
      </c>
      <c r="G10406" s="10">
        <v>22.38</v>
      </c>
      <c r="H10406" s="10">
        <v>22.38</v>
      </c>
      <c r="I10406" s="11" t="s">
        <v>28</v>
      </c>
      <c r="J10406" s="11" t="s">
        <v>28</v>
      </c>
      <c r="K10406" s="11" t="s">
        <v>28</v>
      </c>
      <c r="L10406" s="11" t="s">
        <v>28</v>
      </c>
      <c r="M10406" s="11" t="s">
        <v>28</v>
      </c>
      <c r="N10406" s="8">
        <v>41778</v>
      </c>
      <c r="O10406" s="9" t="s">
        <v>30</v>
      </c>
      <c r="P10406" s="12" t="s">
        <v>10279</v>
      </c>
      <c r="Q10406" s="9" t="s">
        <v>1853</v>
      </c>
      <c r="R10406" s="14" t="str">
        <f>HYPERLINK("https://my.pitchbook.com?c=89527-51T","View Company Online")</f>
        <v>View Company Online</v>
      </c>
    </row>
    <row r="10407" spans="1:18" hidden="1" x14ac:dyDescent="0.3">
      <c r="A10407" s="15" t="s">
        <v>29516</v>
      </c>
      <c r="B10407" s="15" t="s">
        <v>20992</v>
      </c>
      <c r="C10407" s="18" t="s">
        <v>28</v>
      </c>
      <c r="D10407" s="15" t="s">
        <v>20993</v>
      </c>
      <c r="E10407" s="18" t="s">
        <v>28</v>
      </c>
      <c r="F10407" s="19" t="s">
        <v>28</v>
      </c>
      <c r="G10407" s="19">
        <v>0.1</v>
      </c>
      <c r="H10407" s="19" t="s">
        <v>28</v>
      </c>
      <c r="I10407" s="18" t="s">
        <v>28</v>
      </c>
      <c r="J10407" s="18" t="s">
        <v>28</v>
      </c>
      <c r="K10407" s="18" t="s">
        <v>28</v>
      </c>
      <c r="L10407" s="18" t="s">
        <v>28</v>
      </c>
      <c r="M10407" s="18" t="s">
        <v>28</v>
      </c>
      <c r="N10407" s="17">
        <v>41774</v>
      </c>
      <c r="O10407" s="15" t="s">
        <v>47</v>
      </c>
      <c r="P10407" s="16" t="s">
        <v>29517</v>
      </c>
      <c r="Q10407" s="15" t="s">
        <v>583</v>
      </c>
      <c r="R10407" s="13" t="str">
        <f>HYPERLINK("https://my.pitchbook.com?c=126196-21T","View Company Online")</f>
        <v>View Company Online</v>
      </c>
    </row>
    <row r="10408" spans="1:18" hidden="1" x14ac:dyDescent="0.3">
      <c r="A10408" s="9" t="s">
        <v>29518</v>
      </c>
      <c r="B10408" s="9" t="s">
        <v>20426</v>
      </c>
      <c r="C10408" s="11" t="s">
        <v>28</v>
      </c>
      <c r="D10408" s="9" t="s">
        <v>20427</v>
      </c>
      <c r="E10408" s="11" t="s">
        <v>28</v>
      </c>
      <c r="F10408" s="10" t="s">
        <v>28</v>
      </c>
      <c r="G10408" s="10">
        <v>0.1</v>
      </c>
      <c r="H10408" s="10" t="s">
        <v>28</v>
      </c>
      <c r="I10408" s="11" t="s">
        <v>28</v>
      </c>
      <c r="J10408" s="11" t="s">
        <v>28</v>
      </c>
      <c r="K10408" s="11" t="s">
        <v>28</v>
      </c>
      <c r="L10408" s="11" t="s">
        <v>28</v>
      </c>
      <c r="M10408" s="11" t="s">
        <v>28</v>
      </c>
      <c r="N10408" s="8">
        <v>41772</v>
      </c>
      <c r="O10408" s="9" t="s">
        <v>52</v>
      </c>
      <c r="P10408" s="12" t="s">
        <v>7022</v>
      </c>
      <c r="Q10408" s="9" t="s">
        <v>522</v>
      </c>
      <c r="R10408" s="14" t="str">
        <f>HYPERLINK("https://my.pitchbook.com?c=59034-25T","View Company Online")</f>
        <v>View Company Online</v>
      </c>
    </row>
    <row r="10409" spans="1:18" hidden="1" x14ac:dyDescent="0.3">
      <c r="A10409" s="15" t="s">
        <v>29519</v>
      </c>
      <c r="B10409" s="15" t="s">
        <v>23698</v>
      </c>
      <c r="C10409" s="18" t="s">
        <v>28</v>
      </c>
      <c r="D10409" s="15" t="s">
        <v>23699</v>
      </c>
      <c r="E10409" s="18" t="s">
        <v>28</v>
      </c>
      <c r="F10409" s="19" t="s">
        <v>28</v>
      </c>
      <c r="G10409" s="19">
        <v>7.0000000000000007E-2</v>
      </c>
      <c r="H10409" s="19">
        <v>0.54</v>
      </c>
      <c r="I10409" s="18" t="s">
        <v>28</v>
      </c>
      <c r="J10409" s="18" t="s">
        <v>28</v>
      </c>
      <c r="K10409" s="18" t="s">
        <v>28</v>
      </c>
      <c r="L10409" s="18" t="s">
        <v>28</v>
      </c>
      <c r="M10409" s="18" t="s">
        <v>28</v>
      </c>
      <c r="N10409" s="17">
        <v>41771</v>
      </c>
      <c r="O10409" s="15" t="s">
        <v>52</v>
      </c>
      <c r="P10409" s="16" t="s">
        <v>29520</v>
      </c>
      <c r="Q10409" s="15" t="s">
        <v>75</v>
      </c>
      <c r="R10409" s="13" t="str">
        <f>HYPERLINK("https://my.pitchbook.com?c=66484-00T","View Company Online")</f>
        <v>View Company Online</v>
      </c>
    </row>
    <row r="10410" spans="1:18" hidden="1" x14ac:dyDescent="0.3">
      <c r="A10410" s="9" t="s">
        <v>29521</v>
      </c>
      <c r="B10410" s="9" t="s">
        <v>4089</v>
      </c>
      <c r="C10410" s="11" t="s">
        <v>28</v>
      </c>
      <c r="D10410" s="9" t="s">
        <v>4090</v>
      </c>
      <c r="E10410" s="11" t="s">
        <v>28</v>
      </c>
      <c r="F10410" s="10" t="s">
        <v>28</v>
      </c>
      <c r="G10410" s="10">
        <v>1.9</v>
      </c>
      <c r="H10410" s="10" t="s">
        <v>28</v>
      </c>
      <c r="I10410" s="11" t="s">
        <v>28</v>
      </c>
      <c r="J10410" s="11" t="s">
        <v>28</v>
      </c>
      <c r="K10410" s="11" t="s">
        <v>28</v>
      </c>
      <c r="L10410" s="11" t="s">
        <v>28</v>
      </c>
      <c r="M10410" s="11" t="s">
        <v>28</v>
      </c>
      <c r="N10410" s="8">
        <v>41768</v>
      </c>
      <c r="O10410" s="9" t="s">
        <v>73</v>
      </c>
      <c r="P10410" s="12" t="s">
        <v>29522</v>
      </c>
      <c r="Q10410" s="9" t="s">
        <v>75</v>
      </c>
      <c r="R10410" s="14" t="str">
        <f>HYPERLINK("https://my.pitchbook.com?c=35689-24T","View Company Online")</f>
        <v>View Company Online</v>
      </c>
    </row>
    <row r="10411" spans="1:18" hidden="1" x14ac:dyDescent="0.3">
      <c r="A10411" s="15" t="s">
        <v>29523</v>
      </c>
      <c r="B10411" s="15" t="s">
        <v>29524</v>
      </c>
      <c r="C10411" s="18" t="s">
        <v>28</v>
      </c>
      <c r="D10411" s="15" t="s">
        <v>29525</v>
      </c>
      <c r="E10411" s="18" t="s">
        <v>28</v>
      </c>
      <c r="F10411" s="19" t="s">
        <v>28</v>
      </c>
      <c r="G10411" s="19">
        <v>0.03</v>
      </c>
      <c r="H10411" s="19" t="s">
        <v>28</v>
      </c>
      <c r="I10411" s="18" t="s">
        <v>28</v>
      </c>
      <c r="J10411" s="18" t="s">
        <v>28</v>
      </c>
      <c r="K10411" s="18" t="s">
        <v>28</v>
      </c>
      <c r="L10411" s="18" t="s">
        <v>28</v>
      </c>
      <c r="M10411" s="18" t="s">
        <v>28</v>
      </c>
      <c r="N10411" s="17">
        <v>41768</v>
      </c>
      <c r="O10411" s="15" t="s">
        <v>52</v>
      </c>
      <c r="P10411" s="16" t="s">
        <v>29526</v>
      </c>
      <c r="Q10411" s="15" t="s">
        <v>419</v>
      </c>
      <c r="R10411" s="13" t="str">
        <f>HYPERLINK("https://my.pitchbook.com?c=58225-78T","View Company Online")</f>
        <v>View Company Online</v>
      </c>
    </row>
    <row r="10412" spans="1:18" hidden="1" x14ac:dyDescent="0.3">
      <c r="A10412" s="9" t="s">
        <v>29527</v>
      </c>
      <c r="B10412" s="9" t="s">
        <v>28566</v>
      </c>
      <c r="C10412" s="11" t="s">
        <v>28</v>
      </c>
      <c r="D10412" s="9" t="s">
        <v>28567</v>
      </c>
      <c r="E10412" s="11" t="s">
        <v>28</v>
      </c>
      <c r="F10412" s="10" t="s">
        <v>28</v>
      </c>
      <c r="G10412" s="10" t="s">
        <v>28</v>
      </c>
      <c r="H10412" s="10" t="s">
        <v>28</v>
      </c>
      <c r="I10412" s="11" t="s">
        <v>28</v>
      </c>
      <c r="J10412" s="11" t="s">
        <v>28</v>
      </c>
      <c r="K10412" s="11" t="s">
        <v>28</v>
      </c>
      <c r="L10412" s="11" t="s">
        <v>28</v>
      </c>
      <c r="M10412" s="11" t="s">
        <v>28</v>
      </c>
      <c r="N10412" s="8">
        <v>41766</v>
      </c>
      <c r="O10412" s="9" t="s">
        <v>52</v>
      </c>
      <c r="P10412" s="12" t="s">
        <v>29528</v>
      </c>
      <c r="Q10412" s="9" t="s">
        <v>37</v>
      </c>
      <c r="R10412" s="14" t="str">
        <f>HYPERLINK("https://my.pitchbook.com?c=126518-32T","View Company Online")</f>
        <v>View Company Online</v>
      </c>
    </row>
    <row r="10413" spans="1:18" hidden="1" x14ac:dyDescent="0.3">
      <c r="A10413" s="15" t="s">
        <v>29529</v>
      </c>
      <c r="B10413" s="15" t="s">
        <v>20783</v>
      </c>
      <c r="C10413" s="18" t="s">
        <v>28</v>
      </c>
      <c r="D10413" s="15" t="s">
        <v>20784</v>
      </c>
      <c r="E10413" s="18" t="s">
        <v>28</v>
      </c>
      <c r="F10413" s="19" t="s">
        <v>28</v>
      </c>
      <c r="G10413" s="19">
        <v>170</v>
      </c>
      <c r="H10413" s="19">
        <v>1700</v>
      </c>
      <c r="I10413" s="18" t="s">
        <v>28</v>
      </c>
      <c r="J10413" s="18" t="s">
        <v>28</v>
      </c>
      <c r="K10413" s="18">
        <v>446.36</v>
      </c>
      <c r="L10413" s="18">
        <v>3.81</v>
      </c>
      <c r="M10413" s="18">
        <v>-33.26</v>
      </c>
      <c r="N10413" s="17">
        <v>41765</v>
      </c>
      <c r="O10413" s="15" t="s">
        <v>79</v>
      </c>
      <c r="P10413" s="16" t="s">
        <v>29530</v>
      </c>
      <c r="Q10413" s="15" t="s">
        <v>740</v>
      </c>
      <c r="R10413" s="13" t="str">
        <f>HYPERLINK("https://my.pitchbook.com?c=33725-71T","View Company Online")</f>
        <v>View Company Online</v>
      </c>
    </row>
    <row r="10414" spans="1:18" hidden="1" x14ac:dyDescent="0.3">
      <c r="A10414" s="9" t="s">
        <v>29531</v>
      </c>
      <c r="B10414" s="9" t="s">
        <v>29532</v>
      </c>
      <c r="C10414" s="11" t="s">
        <v>28</v>
      </c>
      <c r="D10414" s="9" t="s">
        <v>29533</v>
      </c>
      <c r="E10414" s="11" t="s">
        <v>28</v>
      </c>
      <c r="F10414" s="10" t="s">
        <v>28</v>
      </c>
      <c r="G10414" s="10" t="s">
        <v>28</v>
      </c>
      <c r="H10414" s="10" t="s">
        <v>28</v>
      </c>
      <c r="I10414" s="11" t="s">
        <v>28</v>
      </c>
      <c r="J10414" s="11" t="s">
        <v>28</v>
      </c>
      <c r="K10414" s="11" t="s">
        <v>28</v>
      </c>
      <c r="L10414" s="11" t="s">
        <v>28</v>
      </c>
      <c r="M10414" s="11" t="s">
        <v>28</v>
      </c>
      <c r="N10414" s="8">
        <v>41764</v>
      </c>
      <c r="O10414" s="9" t="s">
        <v>30</v>
      </c>
      <c r="P10414" s="12" t="s">
        <v>29534</v>
      </c>
      <c r="Q10414" s="9" t="s">
        <v>245</v>
      </c>
      <c r="R10414" s="14" t="str">
        <f>HYPERLINK("https://my.pitchbook.com?c=89378-38T","View Company Online")</f>
        <v>View Company Online</v>
      </c>
    </row>
    <row r="10415" spans="1:18" hidden="1" x14ac:dyDescent="0.3">
      <c r="A10415" s="15" t="s">
        <v>29535</v>
      </c>
      <c r="B10415" s="15" t="s">
        <v>29536</v>
      </c>
      <c r="C10415" s="18" t="s">
        <v>28</v>
      </c>
      <c r="D10415" s="15" t="s">
        <v>29537</v>
      </c>
      <c r="E10415" s="18" t="s">
        <v>28</v>
      </c>
      <c r="F10415" s="19">
        <v>252.41</v>
      </c>
      <c r="G10415" s="19">
        <v>141.35</v>
      </c>
      <c r="H10415" s="19">
        <v>252.41</v>
      </c>
      <c r="I10415" s="18" t="s">
        <v>28</v>
      </c>
      <c r="J10415" s="18" t="s">
        <v>28</v>
      </c>
      <c r="K10415" s="18" t="s">
        <v>28</v>
      </c>
      <c r="L10415" s="18" t="s">
        <v>28</v>
      </c>
      <c r="M10415" s="18" t="s">
        <v>28</v>
      </c>
      <c r="N10415" s="17">
        <v>41764</v>
      </c>
      <c r="O10415" s="15" t="s">
        <v>30</v>
      </c>
      <c r="P10415" s="16" t="s">
        <v>29538</v>
      </c>
      <c r="Q10415" s="15" t="s">
        <v>136</v>
      </c>
      <c r="R10415" s="13" t="str">
        <f>HYPERLINK("https://my.pitchbook.com?c=89534-08T","View Company Online")</f>
        <v>View Company Online</v>
      </c>
    </row>
    <row r="10416" spans="1:18" hidden="1" x14ac:dyDescent="0.3">
      <c r="A10416" s="9" t="s">
        <v>29539</v>
      </c>
      <c r="B10416" s="9" t="s">
        <v>29483</v>
      </c>
      <c r="C10416" s="11" t="s">
        <v>28</v>
      </c>
      <c r="D10416" s="9" t="s">
        <v>29484</v>
      </c>
      <c r="E10416" s="11" t="s">
        <v>28</v>
      </c>
      <c r="F10416" s="10" t="s">
        <v>28</v>
      </c>
      <c r="G10416" s="10">
        <v>7.0000000000000007E-2</v>
      </c>
      <c r="H10416" s="10" t="s">
        <v>28</v>
      </c>
      <c r="I10416" s="11" t="s">
        <v>28</v>
      </c>
      <c r="J10416" s="11" t="s">
        <v>28</v>
      </c>
      <c r="K10416" s="11" t="s">
        <v>28</v>
      </c>
      <c r="L10416" s="11" t="s">
        <v>28</v>
      </c>
      <c r="M10416" s="11" t="s">
        <v>28</v>
      </c>
      <c r="N10416" s="8">
        <v>41764</v>
      </c>
      <c r="O10416" s="9" t="s">
        <v>52</v>
      </c>
      <c r="P10416" s="12" t="s">
        <v>8261</v>
      </c>
      <c r="Q10416" s="9" t="s">
        <v>75</v>
      </c>
      <c r="R10416" s="14" t="str">
        <f>HYPERLINK("https://my.pitchbook.com?c=195074-74T","View Company Online")</f>
        <v>View Company Online</v>
      </c>
    </row>
    <row r="10417" spans="1:18" hidden="1" x14ac:dyDescent="0.3">
      <c r="A10417" s="15" t="s">
        <v>29540</v>
      </c>
      <c r="B10417" s="15" t="s">
        <v>29541</v>
      </c>
      <c r="C10417" s="18" t="s">
        <v>28</v>
      </c>
      <c r="D10417" s="15" t="s">
        <v>29542</v>
      </c>
      <c r="E10417" s="18" t="s">
        <v>28</v>
      </c>
      <c r="F10417" s="19" t="s">
        <v>28</v>
      </c>
      <c r="G10417" s="19" t="s">
        <v>28</v>
      </c>
      <c r="H10417" s="19" t="s">
        <v>28</v>
      </c>
      <c r="I10417" s="18" t="s">
        <v>28</v>
      </c>
      <c r="J10417" s="18" t="s">
        <v>28</v>
      </c>
      <c r="K10417" s="18" t="s">
        <v>28</v>
      </c>
      <c r="L10417" s="18" t="s">
        <v>28</v>
      </c>
      <c r="M10417" s="18" t="s">
        <v>28</v>
      </c>
      <c r="N10417" s="17">
        <v>41760</v>
      </c>
      <c r="O10417" s="15" t="s">
        <v>41</v>
      </c>
      <c r="P10417" s="16" t="s">
        <v>29543</v>
      </c>
      <c r="Q10417" s="15" t="s">
        <v>19855</v>
      </c>
      <c r="R10417" s="13" t="str">
        <f>HYPERLINK("https://my.pitchbook.com?c=33555-07T","View Company Online")</f>
        <v>View Company Online</v>
      </c>
    </row>
    <row r="10418" spans="1:18" hidden="1" x14ac:dyDescent="0.3">
      <c r="A10418" s="9" t="s">
        <v>29544</v>
      </c>
      <c r="B10418" s="9" t="s">
        <v>8237</v>
      </c>
      <c r="C10418" s="11" t="s">
        <v>28</v>
      </c>
      <c r="D10418" s="9" t="s">
        <v>8238</v>
      </c>
      <c r="E10418" s="11" t="s">
        <v>28</v>
      </c>
      <c r="F10418" s="10" t="s">
        <v>28</v>
      </c>
      <c r="G10418" s="10" t="s">
        <v>28</v>
      </c>
      <c r="H10418" s="10" t="s">
        <v>28</v>
      </c>
      <c r="I10418" s="11" t="s">
        <v>28</v>
      </c>
      <c r="J10418" s="11" t="s">
        <v>28</v>
      </c>
      <c r="K10418" s="11" t="s">
        <v>28</v>
      </c>
      <c r="L10418" s="11" t="s">
        <v>28</v>
      </c>
      <c r="M10418" s="11" t="s">
        <v>28</v>
      </c>
      <c r="N10418" s="8">
        <v>41760</v>
      </c>
      <c r="O10418" s="9" t="s">
        <v>99</v>
      </c>
      <c r="P10418" s="12" t="s">
        <v>29545</v>
      </c>
      <c r="Q10418" s="9" t="s">
        <v>75</v>
      </c>
      <c r="R10418" s="14" t="str">
        <f>HYPERLINK("https://my.pitchbook.com?c=45722-44T","View Company Online")</f>
        <v>View Company Online</v>
      </c>
    </row>
    <row r="10419" spans="1:18" hidden="1" x14ac:dyDescent="0.3">
      <c r="A10419" s="15" t="s">
        <v>29546</v>
      </c>
      <c r="B10419" s="15" t="s">
        <v>5384</v>
      </c>
      <c r="C10419" s="18" t="s">
        <v>28</v>
      </c>
      <c r="D10419" s="15" t="s">
        <v>5385</v>
      </c>
      <c r="E10419" s="18" t="s">
        <v>28</v>
      </c>
      <c r="F10419" s="19" t="s">
        <v>28</v>
      </c>
      <c r="G10419" s="19">
        <v>0.13</v>
      </c>
      <c r="H10419" s="19" t="s">
        <v>28</v>
      </c>
      <c r="I10419" s="18" t="s">
        <v>28</v>
      </c>
      <c r="J10419" s="18" t="s">
        <v>28</v>
      </c>
      <c r="K10419" s="18" t="s">
        <v>28</v>
      </c>
      <c r="L10419" s="18" t="s">
        <v>28</v>
      </c>
      <c r="M10419" s="18" t="s">
        <v>28</v>
      </c>
      <c r="N10419" s="17">
        <v>41760</v>
      </c>
      <c r="O10419" s="15" t="s">
        <v>52</v>
      </c>
      <c r="P10419" s="16" t="s">
        <v>29547</v>
      </c>
      <c r="Q10419" s="15" t="s">
        <v>37</v>
      </c>
      <c r="R10419" s="13" t="str">
        <f>HYPERLINK("https://my.pitchbook.com?c=55062-46T","View Company Online")</f>
        <v>View Company Online</v>
      </c>
    </row>
    <row r="10420" spans="1:18" hidden="1" x14ac:dyDescent="0.3">
      <c r="A10420" s="9" t="s">
        <v>29548</v>
      </c>
      <c r="B10420" s="9" t="s">
        <v>29549</v>
      </c>
      <c r="C10420" s="11" t="s">
        <v>28</v>
      </c>
      <c r="D10420" s="9" t="s">
        <v>29550</v>
      </c>
      <c r="E10420" s="11" t="s">
        <v>28</v>
      </c>
      <c r="F10420" s="10" t="s">
        <v>28</v>
      </c>
      <c r="G10420" s="10" t="s">
        <v>28</v>
      </c>
      <c r="H10420" s="10" t="s">
        <v>28</v>
      </c>
      <c r="I10420" s="11" t="s">
        <v>28</v>
      </c>
      <c r="J10420" s="11" t="s">
        <v>28</v>
      </c>
      <c r="K10420" s="11" t="s">
        <v>28</v>
      </c>
      <c r="L10420" s="11" t="s">
        <v>28</v>
      </c>
      <c r="M10420" s="11" t="s">
        <v>28</v>
      </c>
      <c r="N10420" s="8">
        <v>41760</v>
      </c>
      <c r="O10420" s="9" t="s">
        <v>974</v>
      </c>
      <c r="P10420" s="12" t="s">
        <v>28</v>
      </c>
      <c r="Q10420" s="9" t="s">
        <v>470</v>
      </c>
      <c r="R10420" s="14" t="str">
        <f>HYPERLINK("https://my.pitchbook.com?c=36036-55T","View Company Online")</f>
        <v>View Company Online</v>
      </c>
    </row>
    <row r="10421" spans="1:18" hidden="1" x14ac:dyDescent="0.3">
      <c r="A10421" s="15" t="s">
        <v>29551</v>
      </c>
      <c r="B10421" s="15" t="s">
        <v>21210</v>
      </c>
      <c r="C10421" s="18" t="s">
        <v>28</v>
      </c>
      <c r="D10421" s="15" t="s">
        <v>21211</v>
      </c>
      <c r="E10421" s="18" t="s">
        <v>28</v>
      </c>
      <c r="F10421" s="19" t="s">
        <v>28</v>
      </c>
      <c r="G10421" s="19" t="s">
        <v>28</v>
      </c>
      <c r="H10421" s="19" t="s">
        <v>28</v>
      </c>
      <c r="I10421" s="18" t="s">
        <v>28</v>
      </c>
      <c r="J10421" s="18" t="s">
        <v>28</v>
      </c>
      <c r="K10421" s="18" t="s">
        <v>28</v>
      </c>
      <c r="L10421" s="18" t="s">
        <v>28</v>
      </c>
      <c r="M10421" s="18" t="s">
        <v>28</v>
      </c>
      <c r="N10421" s="17">
        <v>41760</v>
      </c>
      <c r="O10421" s="15" t="s">
        <v>52</v>
      </c>
      <c r="P10421" s="16" t="s">
        <v>15600</v>
      </c>
      <c r="Q10421" s="15" t="s">
        <v>37</v>
      </c>
      <c r="R10421" s="13" t="str">
        <f>HYPERLINK("https://my.pitchbook.com?c=122375-80T","View Company Online")</f>
        <v>View Company Online</v>
      </c>
    </row>
    <row r="10422" spans="1:18" x14ac:dyDescent="0.3">
      <c r="A10422" s="9" t="s">
        <v>29552</v>
      </c>
      <c r="B10422" s="9" t="s">
        <v>29553</v>
      </c>
      <c r="C10422" s="11" t="s">
        <v>28</v>
      </c>
      <c r="D10422" s="9" t="s">
        <v>29554</v>
      </c>
      <c r="E10422" s="11" t="s">
        <v>28</v>
      </c>
      <c r="F10422" s="10">
        <v>71.55</v>
      </c>
      <c r="G10422" s="10">
        <v>71.55</v>
      </c>
      <c r="H10422" s="10">
        <v>71.55</v>
      </c>
      <c r="I10422" s="11">
        <v>-5.92</v>
      </c>
      <c r="J10422" s="11">
        <v>-12.08</v>
      </c>
      <c r="K10422" s="11">
        <v>19.61</v>
      </c>
      <c r="L10422" s="11">
        <v>3.65</v>
      </c>
      <c r="M10422" s="11">
        <v>-3.39</v>
      </c>
      <c r="N10422" s="8">
        <v>41760</v>
      </c>
      <c r="O10422" s="9" t="s">
        <v>30</v>
      </c>
      <c r="P10422" s="12" t="s">
        <v>14320</v>
      </c>
      <c r="Q10422" s="9" t="s">
        <v>17421</v>
      </c>
      <c r="R10422" s="14" t="str">
        <f>HYPERLINK("https://my.pitchbook.com?c=75005-20T","View Company Online")</f>
        <v>View Company Online</v>
      </c>
    </row>
    <row r="10423" spans="1:18" hidden="1" x14ac:dyDescent="0.3">
      <c r="A10423" s="15" t="s">
        <v>29555</v>
      </c>
      <c r="B10423" s="15" t="s">
        <v>29556</v>
      </c>
      <c r="C10423" s="18" t="s">
        <v>28</v>
      </c>
      <c r="D10423" s="15" t="s">
        <v>29557</v>
      </c>
      <c r="E10423" s="18" t="s">
        <v>28</v>
      </c>
      <c r="F10423" s="19" t="s">
        <v>28</v>
      </c>
      <c r="G10423" s="19" t="s">
        <v>28</v>
      </c>
      <c r="H10423" s="19" t="s">
        <v>28</v>
      </c>
      <c r="I10423" s="18" t="s">
        <v>28</v>
      </c>
      <c r="J10423" s="18" t="s">
        <v>28</v>
      </c>
      <c r="K10423" s="18" t="s">
        <v>28</v>
      </c>
      <c r="L10423" s="18" t="s">
        <v>28</v>
      </c>
      <c r="M10423" s="18" t="s">
        <v>28</v>
      </c>
      <c r="N10423" s="17">
        <v>41760</v>
      </c>
      <c r="O10423" s="15" t="s">
        <v>73</v>
      </c>
      <c r="P10423" s="16" t="s">
        <v>10628</v>
      </c>
      <c r="Q10423" s="15" t="s">
        <v>37</v>
      </c>
      <c r="R10423" s="13" t="str">
        <f>HYPERLINK("https://my.pitchbook.com?c=30782-89T","View Company Online")</f>
        <v>View Company Online</v>
      </c>
    </row>
    <row r="10424" spans="1:18" hidden="1" x14ac:dyDescent="0.3">
      <c r="A10424" s="9" t="s">
        <v>29558</v>
      </c>
      <c r="B10424" s="9" t="s">
        <v>29559</v>
      </c>
      <c r="C10424" s="11" t="s">
        <v>28</v>
      </c>
      <c r="D10424" s="9" t="s">
        <v>29560</v>
      </c>
      <c r="E10424" s="11" t="s">
        <v>28</v>
      </c>
      <c r="F10424" s="10" t="s">
        <v>28</v>
      </c>
      <c r="G10424" s="10">
        <v>1.56</v>
      </c>
      <c r="H10424" s="10">
        <v>7.82</v>
      </c>
      <c r="I10424" s="11" t="s">
        <v>28</v>
      </c>
      <c r="J10424" s="11" t="s">
        <v>28</v>
      </c>
      <c r="K10424" s="11" t="s">
        <v>28</v>
      </c>
      <c r="L10424" s="11" t="s">
        <v>28</v>
      </c>
      <c r="M10424" s="11" t="s">
        <v>28</v>
      </c>
      <c r="N10424" s="8">
        <v>41759</v>
      </c>
      <c r="O10424" s="9" t="s">
        <v>58</v>
      </c>
      <c r="P10424" s="12" t="s">
        <v>29396</v>
      </c>
      <c r="Q10424" s="9" t="s">
        <v>409</v>
      </c>
      <c r="R10424" s="14" t="str">
        <f>HYPERLINK("https://my.pitchbook.com?c=44555-41T","View Company Online")</f>
        <v>View Company Online</v>
      </c>
    </row>
    <row r="10425" spans="1:18" hidden="1" x14ac:dyDescent="0.3">
      <c r="A10425" s="15" t="s">
        <v>29561</v>
      </c>
      <c r="B10425" s="15" t="s">
        <v>29562</v>
      </c>
      <c r="C10425" s="18" t="s">
        <v>28</v>
      </c>
      <c r="D10425" s="15" t="s">
        <v>29563</v>
      </c>
      <c r="E10425" s="18" t="s">
        <v>28</v>
      </c>
      <c r="F10425" s="19" t="s">
        <v>28</v>
      </c>
      <c r="G10425" s="19" t="s">
        <v>28</v>
      </c>
      <c r="H10425" s="19" t="s">
        <v>28</v>
      </c>
      <c r="I10425" s="18" t="s">
        <v>28</v>
      </c>
      <c r="J10425" s="18" t="s">
        <v>28</v>
      </c>
      <c r="K10425" s="18" t="s">
        <v>28</v>
      </c>
      <c r="L10425" s="18" t="s">
        <v>28</v>
      </c>
      <c r="M10425" s="18" t="s">
        <v>28</v>
      </c>
      <c r="N10425" s="17">
        <v>41759</v>
      </c>
      <c r="O10425" s="15" t="s">
        <v>41</v>
      </c>
      <c r="P10425" s="16" t="s">
        <v>29564</v>
      </c>
      <c r="Q10425" s="15" t="s">
        <v>1336</v>
      </c>
      <c r="R10425" s="13" t="str">
        <f>HYPERLINK("https://my.pitchbook.com?c=33520-87T","View Company Online")</f>
        <v>View Company Online</v>
      </c>
    </row>
    <row r="10426" spans="1:18" hidden="1" x14ac:dyDescent="0.3">
      <c r="A10426" s="9" t="s">
        <v>29565</v>
      </c>
      <c r="B10426" s="9" t="s">
        <v>22522</v>
      </c>
      <c r="C10426" s="11" t="s">
        <v>28</v>
      </c>
      <c r="D10426" s="9" t="s">
        <v>22523</v>
      </c>
      <c r="E10426" s="11" t="s">
        <v>28</v>
      </c>
      <c r="F10426" s="10" t="s">
        <v>28</v>
      </c>
      <c r="G10426" s="10" t="s">
        <v>28</v>
      </c>
      <c r="H10426" s="10" t="s">
        <v>28</v>
      </c>
      <c r="I10426" s="11" t="s">
        <v>28</v>
      </c>
      <c r="J10426" s="11" t="s">
        <v>28</v>
      </c>
      <c r="K10426" s="11" t="s">
        <v>28</v>
      </c>
      <c r="L10426" s="11" t="s">
        <v>28</v>
      </c>
      <c r="M10426" s="11" t="s">
        <v>28</v>
      </c>
      <c r="N10426" s="8">
        <v>41759</v>
      </c>
      <c r="O10426" s="9" t="s">
        <v>30</v>
      </c>
      <c r="P10426" s="12" t="s">
        <v>14923</v>
      </c>
      <c r="Q10426" s="9" t="s">
        <v>5347</v>
      </c>
      <c r="R10426" s="14" t="str">
        <f>HYPERLINK("https://my.pitchbook.com?c=54930-07T","View Company Online")</f>
        <v>View Company Online</v>
      </c>
    </row>
    <row r="10427" spans="1:18" hidden="1" x14ac:dyDescent="0.3">
      <c r="A10427" s="15" t="s">
        <v>29566</v>
      </c>
      <c r="B10427" s="15" t="s">
        <v>22597</v>
      </c>
      <c r="C10427" s="18" t="s">
        <v>28</v>
      </c>
      <c r="D10427" s="15" t="s">
        <v>22598</v>
      </c>
      <c r="E10427" s="18" t="s">
        <v>28</v>
      </c>
      <c r="F10427" s="19" t="s">
        <v>28</v>
      </c>
      <c r="G10427" s="19">
        <v>8.9</v>
      </c>
      <c r="H10427" s="19" t="s">
        <v>28</v>
      </c>
      <c r="I10427" s="18" t="s">
        <v>28</v>
      </c>
      <c r="J10427" s="18" t="s">
        <v>28</v>
      </c>
      <c r="K10427" s="18" t="s">
        <v>28</v>
      </c>
      <c r="L10427" s="18" t="s">
        <v>28</v>
      </c>
      <c r="M10427" s="18" t="s">
        <v>28</v>
      </c>
      <c r="N10427" s="17">
        <v>41758</v>
      </c>
      <c r="O10427" s="15" t="s">
        <v>73</v>
      </c>
      <c r="P10427" s="16" t="s">
        <v>29567</v>
      </c>
      <c r="Q10427" s="15" t="s">
        <v>188</v>
      </c>
      <c r="R10427" s="13" t="str">
        <f>HYPERLINK("https://my.pitchbook.com?c=33445-27T","View Company Online")</f>
        <v>View Company Online</v>
      </c>
    </row>
    <row r="10428" spans="1:18" x14ac:dyDescent="0.3">
      <c r="A10428" s="9" t="s">
        <v>29568</v>
      </c>
      <c r="B10428" s="9" t="s">
        <v>7574</v>
      </c>
      <c r="C10428" s="11">
        <v>0.53</v>
      </c>
      <c r="D10428" s="9" t="s">
        <v>20523</v>
      </c>
      <c r="E10428" s="11">
        <v>243.71</v>
      </c>
      <c r="F10428" s="10">
        <v>129.86000000000001</v>
      </c>
      <c r="G10428" s="10">
        <v>153.61000000000001</v>
      </c>
      <c r="H10428" s="10">
        <v>307.20999999999998</v>
      </c>
      <c r="I10428" s="11">
        <v>244.75</v>
      </c>
      <c r="J10428" s="11">
        <v>1.26</v>
      </c>
      <c r="K10428" s="11">
        <v>126.57</v>
      </c>
      <c r="L10428" s="11">
        <v>2.4300000000000002</v>
      </c>
      <c r="M10428" s="11">
        <v>98.37</v>
      </c>
      <c r="N10428" s="8">
        <v>41757</v>
      </c>
      <c r="O10428" s="9" t="s">
        <v>30</v>
      </c>
      <c r="P10428" s="12" t="s">
        <v>28</v>
      </c>
      <c r="Q10428" s="9" t="s">
        <v>119</v>
      </c>
      <c r="R10428" s="14" t="str">
        <f>HYPERLINK("https://my.pitchbook.com?c=119598-94T","View Company Online")</f>
        <v>View Company Online</v>
      </c>
    </row>
    <row r="10429" spans="1:18" hidden="1" x14ac:dyDescent="0.3">
      <c r="A10429" s="15" t="s">
        <v>29569</v>
      </c>
      <c r="B10429" s="15" t="s">
        <v>29570</v>
      </c>
      <c r="C10429" s="18" t="s">
        <v>28</v>
      </c>
      <c r="D10429" s="15" t="s">
        <v>29571</v>
      </c>
      <c r="E10429" s="18" t="s">
        <v>28</v>
      </c>
      <c r="F10429" s="19" t="s">
        <v>28</v>
      </c>
      <c r="G10429" s="19" t="s">
        <v>28</v>
      </c>
      <c r="H10429" s="19" t="s">
        <v>28</v>
      </c>
      <c r="I10429" s="18" t="s">
        <v>28</v>
      </c>
      <c r="J10429" s="18" t="s">
        <v>28</v>
      </c>
      <c r="K10429" s="18" t="s">
        <v>28</v>
      </c>
      <c r="L10429" s="18" t="s">
        <v>28</v>
      </c>
      <c r="M10429" s="18" t="s">
        <v>28</v>
      </c>
      <c r="N10429" s="17">
        <v>41757</v>
      </c>
      <c r="O10429" s="15" t="s">
        <v>30</v>
      </c>
      <c r="P10429" s="16" t="s">
        <v>29572</v>
      </c>
      <c r="Q10429" s="15" t="s">
        <v>470</v>
      </c>
      <c r="R10429" s="13" t="str">
        <f>HYPERLINK("https://my.pitchbook.com?c=89416-99T","View Company Online")</f>
        <v>View Company Online</v>
      </c>
    </row>
    <row r="10430" spans="1:18" hidden="1" x14ac:dyDescent="0.3">
      <c r="A10430" s="9" t="s">
        <v>29573</v>
      </c>
      <c r="B10430" s="9" t="s">
        <v>10515</v>
      </c>
      <c r="C10430" s="11" t="s">
        <v>28</v>
      </c>
      <c r="D10430" s="9" t="s">
        <v>10516</v>
      </c>
      <c r="E10430" s="11" t="s">
        <v>28</v>
      </c>
      <c r="F10430" s="10" t="s">
        <v>28</v>
      </c>
      <c r="G10430" s="10">
        <v>0.1</v>
      </c>
      <c r="H10430" s="10" t="s">
        <v>28</v>
      </c>
      <c r="I10430" s="11" t="s">
        <v>28</v>
      </c>
      <c r="J10430" s="11" t="s">
        <v>28</v>
      </c>
      <c r="K10430" s="11" t="s">
        <v>28</v>
      </c>
      <c r="L10430" s="11" t="s">
        <v>28</v>
      </c>
      <c r="M10430" s="11" t="s">
        <v>28</v>
      </c>
      <c r="N10430" s="8">
        <v>41753</v>
      </c>
      <c r="O10430" s="9" t="s">
        <v>379</v>
      </c>
      <c r="P10430" s="12" t="s">
        <v>29574</v>
      </c>
      <c r="Q10430" s="9" t="s">
        <v>832</v>
      </c>
      <c r="R10430" s="14" t="str">
        <f>HYPERLINK("https://my.pitchbook.com?c=49691-17T","View Company Online")</f>
        <v>View Company Online</v>
      </c>
    </row>
    <row r="10431" spans="1:18" hidden="1" x14ac:dyDescent="0.3">
      <c r="A10431" s="15" t="s">
        <v>29575</v>
      </c>
      <c r="B10431" s="15" t="s">
        <v>29576</v>
      </c>
      <c r="C10431" s="18" t="s">
        <v>28</v>
      </c>
      <c r="D10431" s="15" t="s">
        <v>29577</v>
      </c>
      <c r="E10431" s="18" t="s">
        <v>28</v>
      </c>
      <c r="F10431" s="19" t="s">
        <v>28</v>
      </c>
      <c r="G10431" s="19">
        <v>1.55</v>
      </c>
      <c r="H10431" s="19" t="s">
        <v>28</v>
      </c>
      <c r="I10431" s="18" t="s">
        <v>28</v>
      </c>
      <c r="J10431" s="18" t="s">
        <v>28</v>
      </c>
      <c r="K10431" s="18" t="s">
        <v>28</v>
      </c>
      <c r="L10431" s="18" t="s">
        <v>28</v>
      </c>
      <c r="M10431" s="18" t="s">
        <v>28</v>
      </c>
      <c r="N10431" s="17">
        <v>41751</v>
      </c>
      <c r="O10431" s="15" t="s">
        <v>73</v>
      </c>
      <c r="P10431" s="16" t="s">
        <v>25983</v>
      </c>
      <c r="Q10431" s="15" t="s">
        <v>449</v>
      </c>
      <c r="R10431" s="13" t="str">
        <f>HYPERLINK("https://my.pitchbook.com?c=34875-55T","View Company Online")</f>
        <v>View Company Online</v>
      </c>
    </row>
    <row r="10432" spans="1:18" hidden="1" x14ac:dyDescent="0.3">
      <c r="A10432" s="9" t="s">
        <v>29578</v>
      </c>
      <c r="B10432" s="9" t="s">
        <v>29579</v>
      </c>
      <c r="C10432" s="11" t="s">
        <v>28</v>
      </c>
      <c r="D10432" s="9" t="s">
        <v>29580</v>
      </c>
      <c r="E10432" s="11" t="s">
        <v>28</v>
      </c>
      <c r="F10432" s="10" t="s">
        <v>28</v>
      </c>
      <c r="G10432" s="10">
        <v>4.4000000000000004</v>
      </c>
      <c r="H10432" s="10">
        <v>12.95</v>
      </c>
      <c r="I10432" s="11" t="s">
        <v>28</v>
      </c>
      <c r="J10432" s="11" t="s">
        <v>28</v>
      </c>
      <c r="K10432" s="11" t="s">
        <v>28</v>
      </c>
      <c r="L10432" s="11" t="s">
        <v>28</v>
      </c>
      <c r="M10432" s="11" t="s">
        <v>28</v>
      </c>
      <c r="N10432" s="8">
        <v>41745</v>
      </c>
      <c r="O10432" s="9" t="s">
        <v>93</v>
      </c>
      <c r="P10432" s="12" t="s">
        <v>29581</v>
      </c>
      <c r="Q10432" s="9" t="s">
        <v>245</v>
      </c>
      <c r="R10432" s="14" t="str">
        <f>HYPERLINK("https://my.pitchbook.com?c=61310-71T","View Company Online")</f>
        <v>View Company Online</v>
      </c>
    </row>
    <row r="10433" spans="1:18" hidden="1" x14ac:dyDescent="0.3">
      <c r="A10433" s="15" t="s">
        <v>29582</v>
      </c>
      <c r="B10433" s="15" t="s">
        <v>29583</v>
      </c>
      <c r="C10433" s="18" t="s">
        <v>28</v>
      </c>
      <c r="D10433" s="15" t="s">
        <v>29584</v>
      </c>
      <c r="E10433" s="18" t="s">
        <v>28</v>
      </c>
      <c r="F10433" s="19">
        <v>17.21</v>
      </c>
      <c r="G10433" s="19">
        <v>17.21</v>
      </c>
      <c r="H10433" s="19">
        <v>17.21</v>
      </c>
      <c r="I10433" s="18" t="s">
        <v>28</v>
      </c>
      <c r="J10433" s="18" t="s">
        <v>28</v>
      </c>
      <c r="K10433" s="18" t="s">
        <v>28</v>
      </c>
      <c r="L10433" s="18" t="s">
        <v>28</v>
      </c>
      <c r="M10433" s="18" t="s">
        <v>28</v>
      </c>
      <c r="N10433" s="17">
        <v>41745</v>
      </c>
      <c r="O10433" s="15" t="s">
        <v>30</v>
      </c>
      <c r="P10433" s="16" t="s">
        <v>29585</v>
      </c>
      <c r="Q10433" s="15" t="s">
        <v>32</v>
      </c>
      <c r="R10433" s="13" t="str">
        <f>HYPERLINK("https://my.pitchbook.com?c=265159-63T","View Company Online")</f>
        <v>View Company Online</v>
      </c>
    </row>
    <row r="10434" spans="1:18" hidden="1" x14ac:dyDescent="0.3">
      <c r="A10434" s="9" t="s">
        <v>29586</v>
      </c>
      <c r="B10434" s="9" t="s">
        <v>29587</v>
      </c>
      <c r="C10434" s="11" t="s">
        <v>28</v>
      </c>
      <c r="D10434" s="9" t="s">
        <v>29588</v>
      </c>
      <c r="E10434" s="11" t="s">
        <v>28</v>
      </c>
      <c r="F10434" s="10" t="s">
        <v>28</v>
      </c>
      <c r="G10434" s="10" t="s">
        <v>28</v>
      </c>
      <c r="H10434" s="10" t="s">
        <v>28</v>
      </c>
      <c r="I10434" s="11" t="s">
        <v>28</v>
      </c>
      <c r="J10434" s="11" t="s">
        <v>28</v>
      </c>
      <c r="K10434" s="11" t="s">
        <v>28</v>
      </c>
      <c r="L10434" s="11" t="s">
        <v>28</v>
      </c>
      <c r="M10434" s="11" t="s">
        <v>28</v>
      </c>
      <c r="N10434" s="8">
        <v>41744</v>
      </c>
      <c r="O10434" s="9" t="s">
        <v>52</v>
      </c>
      <c r="P10434" s="12" t="s">
        <v>8261</v>
      </c>
      <c r="Q10434" s="9" t="s">
        <v>37</v>
      </c>
      <c r="R10434" s="14" t="str">
        <f>HYPERLINK("https://my.pitchbook.com?c=57438-73T","View Company Online")</f>
        <v>View Company Online</v>
      </c>
    </row>
    <row r="10435" spans="1:18" hidden="1" x14ac:dyDescent="0.3">
      <c r="A10435" s="15" t="s">
        <v>29589</v>
      </c>
      <c r="B10435" s="15" t="s">
        <v>29149</v>
      </c>
      <c r="C10435" s="18" t="s">
        <v>28</v>
      </c>
      <c r="D10435" s="15" t="s">
        <v>29150</v>
      </c>
      <c r="E10435" s="18" t="s">
        <v>28</v>
      </c>
      <c r="F10435" s="19" t="s">
        <v>28</v>
      </c>
      <c r="G10435" s="19">
        <v>0.18</v>
      </c>
      <c r="H10435" s="19" t="s">
        <v>28</v>
      </c>
      <c r="I10435" s="18" t="s">
        <v>28</v>
      </c>
      <c r="J10435" s="18" t="s">
        <v>28</v>
      </c>
      <c r="K10435" s="18" t="s">
        <v>28</v>
      </c>
      <c r="L10435" s="18" t="s">
        <v>28</v>
      </c>
      <c r="M10435" s="18" t="s">
        <v>28</v>
      </c>
      <c r="N10435" s="17">
        <v>41739</v>
      </c>
      <c r="O10435" s="15" t="s">
        <v>47</v>
      </c>
      <c r="P10435" s="16" t="s">
        <v>28</v>
      </c>
      <c r="Q10435" s="15" t="s">
        <v>43</v>
      </c>
      <c r="R10435" s="13" t="str">
        <f>HYPERLINK("https://my.pitchbook.com?c=59364-82T","View Company Online")</f>
        <v>View Company Online</v>
      </c>
    </row>
    <row r="10436" spans="1:18" hidden="1" x14ac:dyDescent="0.3">
      <c r="A10436" s="9" t="s">
        <v>29590</v>
      </c>
      <c r="B10436" s="9" t="s">
        <v>24017</v>
      </c>
      <c r="C10436" s="11" t="s">
        <v>28</v>
      </c>
      <c r="D10436" s="9" t="s">
        <v>24018</v>
      </c>
      <c r="E10436" s="11" t="s">
        <v>28</v>
      </c>
      <c r="F10436" s="10">
        <v>139.27000000000001</v>
      </c>
      <c r="G10436" s="10">
        <v>139.27000000000001</v>
      </c>
      <c r="H10436" s="10">
        <v>139.27000000000001</v>
      </c>
      <c r="I10436" s="11" t="s">
        <v>28</v>
      </c>
      <c r="J10436" s="11" t="s">
        <v>28</v>
      </c>
      <c r="K10436" s="11" t="s">
        <v>28</v>
      </c>
      <c r="L10436" s="11" t="s">
        <v>28</v>
      </c>
      <c r="M10436" s="11" t="s">
        <v>28</v>
      </c>
      <c r="N10436" s="8">
        <v>41739</v>
      </c>
      <c r="O10436" s="9" t="s">
        <v>30</v>
      </c>
      <c r="P10436" s="12" t="s">
        <v>17345</v>
      </c>
      <c r="Q10436" s="9" t="s">
        <v>43</v>
      </c>
      <c r="R10436" s="14" t="str">
        <f>HYPERLINK("https://my.pitchbook.com?c=44556-94T","View Company Online")</f>
        <v>View Company Online</v>
      </c>
    </row>
    <row r="10437" spans="1:18" hidden="1" x14ac:dyDescent="0.3">
      <c r="A10437" s="15" t="s">
        <v>29591</v>
      </c>
      <c r="B10437" s="15" t="s">
        <v>29592</v>
      </c>
      <c r="C10437" s="18" t="s">
        <v>28</v>
      </c>
      <c r="D10437" s="15" t="s">
        <v>29593</v>
      </c>
      <c r="E10437" s="18" t="s">
        <v>28</v>
      </c>
      <c r="F10437" s="19" t="s">
        <v>28</v>
      </c>
      <c r="G10437" s="19">
        <v>0.63</v>
      </c>
      <c r="H10437" s="19" t="s">
        <v>28</v>
      </c>
      <c r="I10437" s="18" t="s">
        <v>28</v>
      </c>
      <c r="J10437" s="18" t="s">
        <v>28</v>
      </c>
      <c r="K10437" s="18" t="s">
        <v>28</v>
      </c>
      <c r="L10437" s="18" t="s">
        <v>28</v>
      </c>
      <c r="M10437" s="18" t="s">
        <v>28</v>
      </c>
      <c r="N10437" s="17">
        <v>41738</v>
      </c>
      <c r="O10437" s="15" t="s">
        <v>99</v>
      </c>
      <c r="P10437" s="16" t="s">
        <v>29594</v>
      </c>
      <c r="Q10437" s="15" t="s">
        <v>1643</v>
      </c>
      <c r="R10437" s="13" t="str">
        <f>HYPERLINK("https://my.pitchbook.com?c=37350-01T","View Company Online")</f>
        <v>View Company Online</v>
      </c>
    </row>
    <row r="10438" spans="1:18" hidden="1" x14ac:dyDescent="0.3">
      <c r="A10438" s="9" t="s">
        <v>29595</v>
      </c>
      <c r="B10438" s="9" t="s">
        <v>23706</v>
      </c>
      <c r="C10438" s="11" t="s">
        <v>28</v>
      </c>
      <c r="D10438" s="9" t="s">
        <v>23707</v>
      </c>
      <c r="E10438" s="11" t="s">
        <v>28</v>
      </c>
      <c r="F10438" s="10" t="s">
        <v>28</v>
      </c>
      <c r="G10438" s="10" t="s">
        <v>28</v>
      </c>
      <c r="H10438" s="10" t="s">
        <v>28</v>
      </c>
      <c r="I10438" s="11" t="s">
        <v>28</v>
      </c>
      <c r="J10438" s="11" t="s">
        <v>28</v>
      </c>
      <c r="K10438" s="11" t="s">
        <v>28</v>
      </c>
      <c r="L10438" s="11" t="s">
        <v>28</v>
      </c>
      <c r="M10438" s="11" t="s">
        <v>28</v>
      </c>
      <c r="N10438" s="8">
        <v>41738</v>
      </c>
      <c r="O10438" s="9" t="s">
        <v>79</v>
      </c>
      <c r="P10438" s="12" t="s">
        <v>29596</v>
      </c>
      <c r="Q10438" s="9" t="s">
        <v>404</v>
      </c>
      <c r="R10438" s="14" t="str">
        <f>HYPERLINK("https://my.pitchbook.com?c=108480-52T","View Company Online")</f>
        <v>View Company Online</v>
      </c>
    </row>
    <row r="10439" spans="1:18" hidden="1" x14ac:dyDescent="0.3">
      <c r="A10439" s="15" t="s">
        <v>29597</v>
      </c>
      <c r="B10439" s="15" t="s">
        <v>29598</v>
      </c>
      <c r="C10439" s="18" t="s">
        <v>28</v>
      </c>
      <c r="D10439" s="15" t="s">
        <v>29599</v>
      </c>
      <c r="E10439" s="18" t="s">
        <v>28</v>
      </c>
      <c r="F10439" s="19">
        <v>14.73</v>
      </c>
      <c r="G10439" s="19">
        <v>14.73</v>
      </c>
      <c r="H10439" s="19">
        <v>14.73</v>
      </c>
      <c r="I10439" s="18" t="s">
        <v>28</v>
      </c>
      <c r="J10439" s="18" t="s">
        <v>28</v>
      </c>
      <c r="K10439" s="18" t="s">
        <v>28</v>
      </c>
      <c r="L10439" s="18" t="s">
        <v>28</v>
      </c>
      <c r="M10439" s="18" t="s">
        <v>28</v>
      </c>
      <c r="N10439" s="17">
        <v>41737</v>
      </c>
      <c r="O10439" s="15" t="s">
        <v>30</v>
      </c>
      <c r="P10439" s="16" t="s">
        <v>29585</v>
      </c>
      <c r="Q10439" s="15" t="s">
        <v>32</v>
      </c>
      <c r="R10439" s="13" t="str">
        <f>HYPERLINK("https://my.pitchbook.com?c=35871-13T","View Company Online")</f>
        <v>View Company Online</v>
      </c>
    </row>
    <row r="10440" spans="1:18" hidden="1" x14ac:dyDescent="0.3">
      <c r="A10440" s="9" t="s">
        <v>29600</v>
      </c>
      <c r="B10440" s="9" t="s">
        <v>29601</v>
      </c>
      <c r="C10440" s="11" t="s">
        <v>28</v>
      </c>
      <c r="D10440" s="9" t="s">
        <v>29602</v>
      </c>
      <c r="E10440" s="11" t="s">
        <v>28</v>
      </c>
      <c r="F10440" s="10" t="s">
        <v>28</v>
      </c>
      <c r="G10440" s="10" t="s">
        <v>28</v>
      </c>
      <c r="H10440" s="10" t="s">
        <v>28</v>
      </c>
      <c r="I10440" s="11" t="s">
        <v>28</v>
      </c>
      <c r="J10440" s="11" t="s">
        <v>28</v>
      </c>
      <c r="K10440" s="11" t="s">
        <v>28</v>
      </c>
      <c r="L10440" s="11" t="s">
        <v>28</v>
      </c>
      <c r="M10440" s="11" t="s">
        <v>28</v>
      </c>
      <c r="N10440" s="8">
        <v>41736</v>
      </c>
      <c r="O10440" s="9" t="s">
        <v>58</v>
      </c>
      <c r="P10440" s="12" t="s">
        <v>29603</v>
      </c>
      <c r="Q10440" s="9" t="s">
        <v>353</v>
      </c>
      <c r="R10440" s="14" t="str">
        <f>HYPERLINK("https://my.pitchbook.com?c=73555-03T","View Company Online")</f>
        <v>View Company Online</v>
      </c>
    </row>
    <row r="10441" spans="1:18" hidden="1" x14ac:dyDescent="0.3">
      <c r="A10441" s="15" t="s">
        <v>29604</v>
      </c>
      <c r="B10441" s="15" t="s">
        <v>24939</v>
      </c>
      <c r="C10441" s="18" t="s">
        <v>28</v>
      </c>
      <c r="D10441" s="15" t="s">
        <v>24940</v>
      </c>
      <c r="E10441" s="18" t="s">
        <v>28</v>
      </c>
      <c r="F10441" s="19" t="s">
        <v>28</v>
      </c>
      <c r="G10441" s="19">
        <v>0.48</v>
      </c>
      <c r="H10441" s="19" t="s">
        <v>28</v>
      </c>
      <c r="I10441" s="18" t="s">
        <v>28</v>
      </c>
      <c r="J10441" s="18" t="s">
        <v>28</v>
      </c>
      <c r="K10441" s="18" t="s">
        <v>28</v>
      </c>
      <c r="L10441" s="18" t="s">
        <v>28</v>
      </c>
      <c r="M10441" s="18" t="s">
        <v>28</v>
      </c>
      <c r="N10441" s="17">
        <v>41735</v>
      </c>
      <c r="O10441" s="15" t="s">
        <v>73</v>
      </c>
      <c r="P10441" s="16" t="s">
        <v>20157</v>
      </c>
      <c r="Q10441" s="15" t="s">
        <v>386</v>
      </c>
      <c r="R10441" s="13" t="str">
        <f>HYPERLINK("https://my.pitchbook.com?c=75944-89T","View Company Online")</f>
        <v>View Company Online</v>
      </c>
    </row>
    <row r="10442" spans="1:18" hidden="1" x14ac:dyDescent="0.3">
      <c r="A10442" s="9" t="s">
        <v>29605</v>
      </c>
      <c r="B10442" s="9" t="s">
        <v>29606</v>
      </c>
      <c r="C10442" s="11" t="s">
        <v>28</v>
      </c>
      <c r="D10442" s="9" t="s">
        <v>29607</v>
      </c>
      <c r="E10442" s="11" t="s">
        <v>28</v>
      </c>
      <c r="F10442" s="10" t="s">
        <v>28</v>
      </c>
      <c r="G10442" s="10">
        <v>0.3</v>
      </c>
      <c r="H10442" s="10" t="s">
        <v>28</v>
      </c>
      <c r="I10442" s="11" t="s">
        <v>28</v>
      </c>
      <c r="J10442" s="11" t="s">
        <v>28</v>
      </c>
      <c r="K10442" s="11" t="s">
        <v>28</v>
      </c>
      <c r="L10442" s="11" t="s">
        <v>28</v>
      </c>
      <c r="M10442" s="11" t="s">
        <v>28</v>
      </c>
      <c r="N10442" s="8">
        <v>41734</v>
      </c>
      <c r="O10442" s="9" t="s">
        <v>379</v>
      </c>
      <c r="P10442" s="12" t="s">
        <v>28</v>
      </c>
      <c r="Q10442" s="9" t="s">
        <v>3912</v>
      </c>
      <c r="R10442" s="14" t="str">
        <f>HYPERLINK("https://my.pitchbook.com?c=54826-84T","View Company Online")</f>
        <v>View Company Online</v>
      </c>
    </row>
    <row r="10443" spans="1:18" hidden="1" x14ac:dyDescent="0.3">
      <c r="A10443" s="15" t="s">
        <v>29608</v>
      </c>
      <c r="B10443" s="15" t="s">
        <v>29609</v>
      </c>
      <c r="C10443" s="18" t="s">
        <v>28</v>
      </c>
      <c r="D10443" s="15" t="s">
        <v>29610</v>
      </c>
      <c r="E10443" s="18" t="s">
        <v>28</v>
      </c>
      <c r="F10443" s="19" t="s">
        <v>28</v>
      </c>
      <c r="G10443" s="19" t="s">
        <v>28</v>
      </c>
      <c r="H10443" s="19" t="s">
        <v>28</v>
      </c>
      <c r="I10443" s="18" t="s">
        <v>28</v>
      </c>
      <c r="J10443" s="18" t="s">
        <v>28</v>
      </c>
      <c r="K10443" s="18">
        <v>27.75</v>
      </c>
      <c r="L10443" s="18" t="s">
        <v>28</v>
      </c>
      <c r="M10443" s="18" t="s">
        <v>28</v>
      </c>
      <c r="N10443" s="17">
        <v>41733</v>
      </c>
      <c r="O10443" s="15" t="s">
        <v>30</v>
      </c>
      <c r="P10443" s="16" t="s">
        <v>23597</v>
      </c>
      <c r="Q10443" s="15" t="s">
        <v>37</v>
      </c>
      <c r="R10443" s="13" t="str">
        <f>HYPERLINK("https://my.pitchbook.com?c=57817-90T","View Company Online")</f>
        <v>View Company Online</v>
      </c>
    </row>
    <row r="10444" spans="1:18" hidden="1" x14ac:dyDescent="0.3">
      <c r="A10444" s="9" t="s">
        <v>29611</v>
      </c>
      <c r="B10444" s="9" t="s">
        <v>29612</v>
      </c>
      <c r="C10444" s="11" t="s">
        <v>28</v>
      </c>
      <c r="D10444" s="9" t="s">
        <v>29613</v>
      </c>
      <c r="E10444" s="11" t="s">
        <v>28</v>
      </c>
      <c r="F10444" s="10" t="s">
        <v>28</v>
      </c>
      <c r="G10444" s="10" t="s">
        <v>28</v>
      </c>
      <c r="H10444" s="10" t="s">
        <v>28</v>
      </c>
      <c r="I10444" s="11" t="s">
        <v>28</v>
      </c>
      <c r="J10444" s="11" t="s">
        <v>28</v>
      </c>
      <c r="K10444" s="11" t="s">
        <v>28</v>
      </c>
      <c r="L10444" s="11" t="s">
        <v>28</v>
      </c>
      <c r="M10444" s="11" t="s">
        <v>28</v>
      </c>
      <c r="N10444" s="8">
        <v>41732</v>
      </c>
      <c r="O10444" s="9" t="s">
        <v>30</v>
      </c>
      <c r="P10444" s="12" t="s">
        <v>28686</v>
      </c>
      <c r="Q10444" s="9" t="s">
        <v>362</v>
      </c>
      <c r="R10444" s="14" t="str">
        <f>HYPERLINK("https://my.pitchbook.com?c=70000-21T","View Company Online")</f>
        <v>View Company Online</v>
      </c>
    </row>
    <row r="10445" spans="1:18" hidden="1" x14ac:dyDescent="0.3">
      <c r="A10445" s="15" t="s">
        <v>29614</v>
      </c>
      <c r="B10445" s="15" t="s">
        <v>29615</v>
      </c>
      <c r="C10445" s="18" t="s">
        <v>28</v>
      </c>
      <c r="D10445" s="15" t="s">
        <v>29616</v>
      </c>
      <c r="E10445" s="18" t="s">
        <v>28</v>
      </c>
      <c r="F10445" s="19" t="s">
        <v>28</v>
      </c>
      <c r="G10445" s="19" t="s">
        <v>28</v>
      </c>
      <c r="H10445" s="19" t="s">
        <v>28</v>
      </c>
      <c r="I10445" s="18" t="s">
        <v>28</v>
      </c>
      <c r="J10445" s="18" t="s">
        <v>28</v>
      </c>
      <c r="K10445" s="18" t="s">
        <v>28</v>
      </c>
      <c r="L10445" s="18" t="s">
        <v>28</v>
      </c>
      <c r="M10445" s="18" t="s">
        <v>28</v>
      </c>
      <c r="N10445" s="17">
        <v>41732</v>
      </c>
      <c r="O10445" s="15" t="s">
        <v>30</v>
      </c>
      <c r="P10445" s="16" t="s">
        <v>29617</v>
      </c>
      <c r="Q10445" s="15" t="s">
        <v>280</v>
      </c>
      <c r="R10445" s="13" t="str">
        <f>HYPERLINK("https://my.pitchbook.com?c=54558-01T","View Company Online")</f>
        <v>View Company Online</v>
      </c>
    </row>
    <row r="10446" spans="1:18" hidden="1" x14ac:dyDescent="0.3">
      <c r="A10446" s="9" t="s">
        <v>29618</v>
      </c>
      <c r="B10446" s="9" t="s">
        <v>29619</v>
      </c>
      <c r="C10446" s="11" t="s">
        <v>28</v>
      </c>
      <c r="D10446" s="9" t="s">
        <v>29620</v>
      </c>
      <c r="E10446" s="11" t="s">
        <v>28</v>
      </c>
      <c r="F10446" s="10" t="s">
        <v>28</v>
      </c>
      <c r="G10446" s="10" t="s">
        <v>28</v>
      </c>
      <c r="H10446" s="10" t="s">
        <v>28</v>
      </c>
      <c r="I10446" s="11" t="s">
        <v>28</v>
      </c>
      <c r="J10446" s="11" t="s">
        <v>28</v>
      </c>
      <c r="K10446" s="11" t="s">
        <v>28</v>
      </c>
      <c r="L10446" s="11" t="s">
        <v>28</v>
      </c>
      <c r="M10446" s="11" t="s">
        <v>28</v>
      </c>
      <c r="N10446" s="8">
        <v>41731</v>
      </c>
      <c r="O10446" s="9" t="s">
        <v>30</v>
      </c>
      <c r="P10446" s="12" t="s">
        <v>9598</v>
      </c>
      <c r="Q10446" s="9" t="s">
        <v>226</v>
      </c>
      <c r="R10446" s="14" t="str">
        <f>HYPERLINK("https://my.pitchbook.com?c=89738-29T","View Company Online")</f>
        <v>View Company Online</v>
      </c>
    </row>
    <row r="10447" spans="1:18" hidden="1" x14ac:dyDescent="0.3">
      <c r="A10447" s="15" t="s">
        <v>29621</v>
      </c>
      <c r="B10447" s="15" t="s">
        <v>28987</v>
      </c>
      <c r="C10447" s="18" t="s">
        <v>28</v>
      </c>
      <c r="D10447" s="15" t="s">
        <v>28988</v>
      </c>
      <c r="E10447" s="18" t="s">
        <v>28</v>
      </c>
      <c r="F10447" s="19" t="s">
        <v>28</v>
      </c>
      <c r="G10447" s="19">
        <v>0.06</v>
      </c>
      <c r="H10447" s="19" t="s">
        <v>28</v>
      </c>
      <c r="I10447" s="18" t="s">
        <v>28</v>
      </c>
      <c r="J10447" s="18" t="s">
        <v>28</v>
      </c>
      <c r="K10447" s="18" t="s">
        <v>28</v>
      </c>
      <c r="L10447" s="18" t="s">
        <v>28</v>
      </c>
      <c r="M10447" s="18" t="s">
        <v>28</v>
      </c>
      <c r="N10447" s="17">
        <v>41730</v>
      </c>
      <c r="O10447" s="15" t="s">
        <v>52</v>
      </c>
      <c r="P10447" s="16" t="s">
        <v>7022</v>
      </c>
      <c r="Q10447" s="15" t="s">
        <v>75</v>
      </c>
      <c r="R10447" s="13" t="str">
        <f>HYPERLINK("https://my.pitchbook.com?c=96576-76T","View Company Online")</f>
        <v>View Company Online</v>
      </c>
    </row>
    <row r="10448" spans="1:18" hidden="1" x14ac:dyDescent="0.3">
      <c r="A10448" s="9" t="s">
        <v>29622</v>
      </c>
      <c r="B10448" s="9" t="s">
        <v>9223</v>
      </c>
      <c r="C10448" s="11" t="s">
        <v>28</v>
      </c>
      <c r="D10448" s="9" t="s">
        <v>11450</v>
      </c>
      <c r="E10448" s="11" t="s">
        <v>28</v>
      </c>
      <c r="F10448" s="10" t="s">
        <v>28</v>
      </c>
      <c r="G10448" s="10">
        <v>3.1</v>
      </c>
      <c r="H10448" s="10" t="s">
        <v>28</v>
      </c>
      <c r="I10448" s="11" t="s">
        <v>28</v>
      </c>
      <c r="J10448" s="11" t="s">
        <v>28</v>
      </c>
      <c r="K10448" s="11" t="s">
        <v>28</v>
      </c>
      <c r="L10448" s="11" t="s">
        <v>28</v>
      </c>
      <c r="M10448" s="11" t="s">
        <v>28</v>
      </c>
      <c r="N10448" s="8">
        <v>41730</v>
      </c>
      <c r="O10448" s="9" t="s">
        <v>99</v>
      </c>
      <c r="P10448" s="12" t="s">
        <v>28</v>
      </c>
      <c r="Q10448" s="9" t="s">
        <v>409</v>
      </c>
      <c r="R10448" s="14" t="str">
        <f>HYPERLINK("https://my.pitchbook.com?c=252260-38T","View Company Online")</f>
        <v>View Company Online</v>
      </c>
    </row>
    <row r="10449" spans="1:18" hidden="1" x14ac:dyDescent="0.3">
      <c r="A10449" s="15" t="s">
        <v>29623</v>
      </c>
      <c r="B10449" s="15" t="s">
        <v>29624</v>
      </c>
      <c r="C10449" s="18" t="s">
        <v>28</v>
      </c>
      <c r="D10449" s="15" t="s">
        <v>29625</v>
      </c>
      <c r="E10449" s="18" t="s">
        <v>28</v>
      </c>
      <c r="F10449" s="19">
        <v>47.66</v>
      </c>
      <c r="G10449" s="19">
        <v>47.66</v>
      </c>
      <c r="H10449" s="19">
        <v>47.66</v>
      </c>
      <c r="I10449" s="18" t="s">
        <v>28</v>
      </c>
      <c r="J10449" s="18" t="s">
        <v>28</v>
      </c>
      <c r="K10449" s="18">
        <v>73.040000000000006</v>
      </c>
      <c r="L10449" s="18">
        <v>0.65</v>
      </c>
      <c r="M10449" s="18" t="s">
        <v>28</v>
      </c>
      <c r="N10449" s="17">
        <v>41730</v>
      </c>
      <c r="O10449" s="15" t="s">
        <v>30</v>
      </c>
      <c r="P10449" s="16" t="s">
        <v>29626</v>
      </c>
      <c r="Q10449" s="15" t="s">
        <v>900</v>
      </c>
      <c r="R10449" s="13" t="str">
        <f>HYPERLINK("https://my.pitchbook.com?c=73822-96T","View Company Online")</f>
        <v>View Company Online</v>
      </c>
    </row>
    <row r="10450" spans="1:18" hidden="1" x14ac:dyDescent="0.3">
      <c r="A10450" s="9" t="s">
        <v>29627</v>
      </c>
      <c r="B10450" s="9" t="s">
        <v>29628</v>
      </c>
      <c r="C10450" s="11" t="s">
        <v>28</v>
      </c>
      <c r="D10450" s="9" t="s">
        <v>29629</v>
      </c>
      <c r="E10450" s="11" t="s">
        <v>28</v>
      </c>
      <c r="F10450" s="10">
        <v>0.08</v>
      </c>
      <c r="G10450" s="10">
        <v>0.08</v>
      </c>
      <c r="H10450" s="10">
        <v>0.08</v>
      </c>
      <c r="I10450" s="11" t="s">
        <v>28</v>
      </c>
      <c r="J10450" s="11" t="s">
        <v>28</v>
      </c>
      <c r="K10450" s="11" t="s">
        <v>28</v>
      </c>
      <c r="L10450" s="11" t="s">
        <v>28</v>
      </c>
      <c r="M10450" s="11" t="s">
        <v>28</v>
      </c>
      <c r="N10450" s="8">
        <v>41730</v>
      </c>
      <c r="O10450" s="9" t="s">
        <v>30</v>
      </c>
      <c r="P10450" s="12" t="s">
        <v>29630</v>
      </c>
      <c r="Q10450" s="9" t="s">
        <v>409</v>
      </c>
      <c r="R10450" s="14" t="str">
        <f>HYPERLINK("https://my.pitchbook.com?c=89478-28T","View Company Online")</f>
        <v>View Company Online</v>
      </c>
    </row>
    <row r="10451" spans="1:18" x14ac:dyDescent="0.3">
      <c r="A10451" s="15" t="s">
        <v>29631</v>
      </c>
      <c r="B10451" s="15" t="s">
        <v>29632</v>
      </c>
      <c r="C10451" s="18">
        <v>1.41</v>
      </c>
      <c r="D10451" s="15" t="s">
        <v>29633</v>
      </c>
      <c r="E10451" s="18">
        <v>2.85</v>
      </c>
      <c r="F10451" s="19">
        <v>9.1</v>
      </c>
      <c r="G10451" s="19">
        <v>9.1</v>
      </c>
      <c r="H10451" s="19">
        <v>9.1</v>
      </c>
      <c r="I10451" s="18">
        <v>6.45</v>
      </c>
      <c r="J10451" s="18">
        <v>1.41</v>
      </c>
      <c r="K10451" s="18">
        <v>25.45</v>
      </c>
      <c r="L10451" s="18">
        <v>0.36</v>
      </c>
      <c r="M10451" s="18">
        <v>-0.62</v>
      </c>
      <c r="N10451" s="17">
        <v>41730</v>
      </c>
      <c r="O10451" s="15" t="s">
        <v>41</v>
      </c>
      <c r="P10451" s="16" t="s">
        <v>25292</v>
      </c>
      <c r="Q10451" s="15" t="s">
        <v>5110</v>
      </c>
      <c r="R10451" s="13" t="str">
        <f>HYPERLINK("https://my.pitchbook.com?c=74564-92T","View Company Online")</f>
        <v>View Company Online</v>
      </c>
    </row>
    <row r="10452" spans="1:18" hidden="1" x14ac:dyDescent="0.3">
      <c r="A10452" s="9" t="s">
        <v>29634</v>
      </c>
      <c r="B10452" s="9" t="s">
        <v>5195</v>
      </c>
      <c r="C10452" s="11" t="s">
        <v>28</v>
      </c>
      <c r="D10452" s="9" t="s">
        <v>29635</v>
      </c>
      <c r="E10452" s="11" t="s">
        <v>28</v>
      </c>
      <c r="F10452" s="10" t="s">
        <v>28</v>
      </c>
      <c r="G10452" s="10" t="s">
        <v>28</v>
      </c>
      <c r="H10452" s="10" t="s">
        <v>28</v>
      </c>
      <c r="I10452" s="11" t="s">
        <v>28</v>
      </c>
      <c r="J10452" s="11" t="s">
        <v>28</v>
      </c>
      <c r="K10452" s="11" t="s">
        <v>28</v>
      </c>
      <c r="L10452" s="11" t="s">
        <v>28</v>
      </c>
      <c r="M10452" s="11" t="s">
        <v>28</v>
      </c>
      <c r="N10452" s="8">
        <v>41730</v>
      </c>
      <c r="O10452" s="9" t="s">
        <v>41</v>
      </c>
      <c r="P10452" s="12" t="s">
        <v>19375</v>
      </c>
      <c r="Q10452" s="9" t="s">
        <v>692</v>
      </c>
      <c r="R10452" s="14" t="str">
        <f>HYPERLINK("https://my.pitchbook.com?c=37579-42T","View Company Online")</f>
        <v>View Company Online</v>
      </c>
    </row>
    <row r="10453" spans="1:18" hidden="1" x14ac:dyDescent="0.3">
      <c r="A10453" s="15" t="s">
        <v>29636</v>
      </c>
      <c r="B10453" s="15" t="s">
        <v>29637</v>
      </c>
      <c r="C10453" s="18" t="s">
        <v>28</v>
      </c>
      <c r="D10453" s="15" t="s">
        <v>29638</v>
      </c>
      <c r="E10453" s="18" t="s">
        <v>28</v>
      </c>
      <c r="F10453" s="19" t="s">
        <v>28</v>
      </c>
      <c r="G10453" s="19">
        <v>0.2</v>
      </c>
      <c r="H10453" s="19" t="s">
        <v>28</v>
      </c>
      <c r="I10453" s="18" t="s">
        <v>28</v>
      </c>
      <c r="J10453" s="18" t="s">
        <v>28</v>
      </c>
      <c r="K10453" s="18" t="s">
        <v>28</v>
      </c>
      <c r="L10453" s="18" t="s">
        <v>28</v>
      </c>
      <c r="M10453" s="18" t="s">
        <v>28</v>
      </c>
      <c r="N10453" s="17">
        <v>41730</v>
      </c>
      <c r="O10453" s="15" t="s">
        <v>379</v>
      </c>
      <c r="P10453" s="16" t="s">
        <v>28</v>
      </c>
      <c r="Q10453" s="15" t="s">
        <v>386</v>
      </c>
      <c r="R10453" s="13" t="str">
        <f>HYPERLINK("https://my.pitchbook.com?c=59492-71T","View Company Online")</f>
        <v>View Company Online</v>
      </c>
    </row>
    <row r="10454" spans="1:18" hidden="1" x14ac:dyDescent="0.3">
      <c r="A10454" s="9" t="s">
        <v>29639</v>
      </c>
      <c r="B10454" s="9" t="s">
        <v>21518</v>
      </c>
      <c r="C10454" s="11" t="s">
        <v>28</v>
      </c>
      <c r="D10454" s="9" t="s">
        <v>21519</v>
      </c>
      <c r="E10454" s="11" t="s">
        <v>28</v>
      </c>
      <c r="F10454" s="10">
        <v>250</v>
      </c>
      <c r="G10454" s="10">
        <v>250</v>
      </c>
      <c r="H10454" s="10">
        <v>250</v>
      </c>
      <c r="I10454" s="11" t="s">
        <v>28</v>
      </c>
      <c r="J10454" s="11" t="s">
        <v>28</v>
      </c>
      <c r="K10454" s="11">
        <v>244.83</v>
      </c>
      <c r="L10454" s="11">
        <v>1.02</v>
      </c>
      <c r="M10454" s="11">
        <v>30.71</v>
      </c>
      <c r="N10454" s="8">
        <v>41729</v>
      </c>
      <c r="O10454" s="9" t="s">
        <v>41</v>
      </c>
      <c r="P10454" s="12" t="s">
        <v>29640</v>
      </c>
      <c r="Q10454" s="9" t="s">
        <v>880</v>
      </c>
      <c r="R10454" s="14" t="str">
        <f>HYPERLINK("https://my.pitchbook.com?c=32645-89T","View Company Online")</f>
        <v>View Company Online</v>
      </c>
    </row>
    <row r="10455" spans="1:18" hidden="1" x14ac:dyDescent="0.3">
      <c r="A10455" s="15" t="s">
        <v>29641</v>
      </c>
      <c r="B10455" s="15" t="s">
        <v>4211</v>
      </c>
      <c r="C10455" s="18" t="s">
        <v>28</v>
      </c>
      <c r="D10455" s="15" t="s">
        <v>4212</v>
      </c>
      <c r="E10455" s="18" t="s">
        <v>28</v>
      </c>
      <c r="F10455" s="19" t="s">
        <v>28</v>
      </c>
      <c r="G10455" s="19">
        <v>1.93</v>
      </c>
      <c r="H10455" s="19" t="s">
        <v>28</v>
      </c>
      <c r="I10455" s="18" t="s">
        <v>28</v>
      </c>
      <c r="J10455" s="18" t="s">
        <v>28</v>
      </c>
      <c r="K10455" s="18" t="s">
        <v>28</v>
      </c>
      <c r="L10455" s="18" t="s">
        <v>28</v>
      </c>
      <c r="M10455" s="18" t="s">
        <v>28</v>
      </c>
      <c r="N10455" s="17">
        <v>41729</v>
      </c>
      <c r="O10455" s="15" t="s">
        <v>73</v>
      </c>
      <c r="P10455" s="16" t="s">
        <v>29642</v>
      </c>
      <c r="Q10455" s="15" t="s">
        <v>386</v>
      </c>
      <c r="R10455" s="13" t="str">
        <f>HYPERLINK("https://my.pitchbook.com?c=34390-09T","View Company Online")</f>
        <v>View Company Online</v>
      </c>
    </row>
    <row r="10456" spans="1:18" hidden="1" x14ac:dyDescent="0.3">
      <c r="A10456" s="9" t="s">
        <v>29643</v>
      </c>
      <c r="B10456" s="9" t="s">
        <v>29644</v>
      </c>
      <c r="C10456" s="11" t="s">
        <v>28</v>
      </c>
      <c r="D10456" s="9" t="s">
        <v>29645</v>
      </c>
      <c r="E10456" s="11" t="s">
        <v>28</v>
      </c>
      <c r="F10456" s="10">
        <v>140</v>
      </c>
      <c r="G10456" s="10">
        <v>140</v>
      </c>
      <c r="H10456" s="10">
        <v>140</v>
      </c>
      <c r="I10456" s="11" t="s">
        <v>28</v>
      </c>
      <c r="J10456" s="11" t="s">
        <v>28</v>
      </c>
      <c r="K10456" s="11" t="s">
        <v>28</v>
      </c>
      <c r="L10456" s="11" t="s">
        <v>28</v>
      </c>
      <c r="M10456" s="11" t="s">
        <v>28</v>
      </c>
      <c r="N10456" s="8">
        <v>41729</v>
      </c>
      <c r="O10456" s="9" t="s">
        <v>30</v>
      </c>
      <c r="P10456" s="12" t="s">
        <v>29646</v>
      </c>
      <c r="Q10456" s="9" t="s">
        <v>470</v>
      </c>
      <c r="R10456" s="14" t="str">
        <f>HYPERLINK("https://my.pitchbook.com?c=89719-84T","View Company Online")</f>
        <v>View Company Online</v>
      </c>
    </row>
    <row r="10457" spans="1:18" hidden="1" x14ac:dyDescent="0.3">
      <c r="A10457" s="15" t="s">
        <v>29647</v>
      </c>
      <c r="B10457" s="15" t="s">
        <v>29648</v>
      </c>
      <c r="C10457" s="18" t="s">
        <v>28</v>
      </c>
      <c r="D10457" s="15" t="s">
        <v>29649</v>
      </c>
      <c r="E10457" s="18" t="s">
        <v>28</v>
      </c>
      <c r="F10457" s="19" t="s">
        <v>28</v>
      </c>
      <c r="G10457" s="19" t="s">
        <v>28</v>
      </c>
      <c r="H10457" s="19" t="s">
        <v>28</v>
      </c>
      <c r="I10457" s="18" t="s">
        <v>28</v>
      </c>
      <c r="J10457" s="18" t="s">
        <v>28</v>
      </c>
      <c r="K10457" s="18" t="s">
        <v>28</v>
      </c>
      <c r="L10457" s="18" t="s">
        <v>28</v>
      </c>
      <c r="M10457" s="18" t="s">
        <v>28</v>
      </c>
      <c r="N10457" s="17">
        <v>41729</v>
      </c>
      <c r="O10457" s="15" t="s">
        <v>52</v>
      </c>
      <c r="P10457" s="16" t="s">
        <v>15600</v>
      </c>
      <c r="Q10457" s="15" t="s">
        <v>290</v>
      </c>
      <c r="R10457" s="13" t="str">
        <f>HYPERLINK("https://my.pitchbook.com?c=155894-05T","View Company Online")</f>
        <v>View Company Online</v>
      </c>
    </row>
    <row r="10458" spans="1:18" hidden="1" x14ac:dyDescent="0.3">
      <c r="A10458" s="9" t="s">
        <v>29650</v>
      </c>
      <c r="B10458" s="9" t="s">
        <v>29651</v>
      </c>
      <c r="C10458" s="11" t="s">
        <v>28</v>
      </c>
      <c r="D10458" s="9" t="s">
        <v>29652</v>
      </c>
      <c r="E10458" s="11" t="s">
        <v>28</v>
      </c>
      <c r="F10458" s="10" t="s">
        <v>28</v>
      </c>
      <c r="G10458" s="10" t="s">
        <v>28</v>
      </c>
      <c r="H10458" s="10" t="s">
        <v>28</v>
      </c>
      <c r="I10458" s="11" t="s">
        <v>28</v>
      </c>
      <c r="J10458" s="11" t="s">
        <v>28</v>
      </c>
      <c r="K10458" s="11" t="s">
        <v>28</v>
      </c>
      <c r="L10458" s="11" t="s">
        <v>28</v>
      </c>
      <c r="M10458" s="11" t="s">
        <v>28</v>
      </c>
      <c r="N10458" s="8">
        <v>41729</v>
      </c>
      <c r="O10458" s="9" t="s">
        <v>52</v>
      </c>
      <c r="P10458" s="12" t="s">
        <v>15600</v>
      </c>
      <c r="Q10458" s="9" t="s">
        <v>43</v>
      </c>
      <c r="R10458" s="14" t="str">
        <f>HYPERLINK("https://my.pitchbook.com?c=156969-19T","View Company Online")</f>
        <v>View Company Online</v>
      </c>
    </row>
    <row r="10459" spans="1:18" hidden="1" x14ac:dyDescent="0.3">
      <c r="A10459" s="15" t="s">
        <v>29653</v>
      </c>
      <c r="B10459" s="15" t="s">
        <v>29654</v>
      </c>
      <c r="C10459" s="18" t="s">
        <v>28</v>
      </c>
      <c r="D10459" s="15" t="s">
        <v>29655</v>
      </c>
      <c r="E10459" s="18" t="s">
        <v>28</v>
      </c>
      <c r="F10459" s="19" t="s">
        <v>28</v>
      </c>
      <c r="G10459" s="19" t="s">
        <v>28</v>
      </c>
      <c r="H10459" s="19" t="s">
        <v>28</v>
      </c>
      <c r="I10459" s="18" t="s">
        <v>28</v>
      </c>
      <c r="J10459" s="18" t="s">
        <v>28</v>
      </c>
      <c r="K10459" s="18">
        <v>104.07</v>
      </c>
      <c r="L10459" s="18" t="s">
        <v>28</v>
      </c>
      <c r="M10459" s="18" t="s">
        <v>28</v>
      </c>
      <c r="N10459" s="17">
        <v>41726</v>
      </c>
      <c r="O10459" s="15" t="s">
        <v>30</v>
      </c>
      <c r="P10459" s="16" t="s">
        <v>29656</v>
      </c>
      <c r="Q10459" s="15" t="s">
        <v>19850</v>
      </c>
      <c r="R10459" s="13" t="str">
        <f>HYPERLINK("https://my.pitchbook.com?c=102648-16T","View Company Online")</f>
        <v>View Company Online</v>
      </c>
    </row>
    <row r="10460" spans="1:18" hidden="1" x14ac:dyDescent="0.3">
      <c r="A10460" s="9" t="s">
        <v>29657</v>
      </c>
      <c r="B10460" s="9" t="s">
        <v>4089</v>
      </c>
      <c r="C10460" s="11" t="s">
        <v>28</v>
      </c>
      <c r="D10460" s="9" t="s">
        <v>4090</v>
      </c>
      <c r="E10460" s="11" t="s">
        <v>28</v>
      </c>
      <c r="F10460" s="10" t="s">
        <v>28</v>
      </c>
      <c r="G10460" s="10">
        <v>1.78</v>
      </c>
      <c r="H10460" s="10" t="s">
        <v>28</v>
      </c>
      <c r="I10460" s="11" t="s">
        <v>28</v>
      </c>
      <c r="J10460" s="11" t="s">
        <v>28</v>
      </c>
      <c r="K10460" s="11" t="s">
        <v>28</v>
      </c>
      <c r="L10460" s="11" t="s">
        <v>28</v>
      </c>
      <c r="M10460" s="11" t="s">
        <v>28</v>
      </c>
      <c r="N10460" s="8">
        <v>41724</v>
      </c>
      <c r="O10460" s="9" t="s">
        <v>73</v>
      </c>
      <c r="P10460" s="12" t="s">
        <v>29658</v>
      </c>
      <c r="Q10460" s="9" t="s">
        <v>75</v>
      </c>
      <c r="R10460" s="14" t="str">
        <f>HYPERLINK("https://my.pitchbook.com?c=32867-56T","View Company Online")</f>
        <v>View Company Online</v>
      </c>
    </row>
    <row r="10461" spans="1:18" hidden="1" x14ac:dyDescent="0.3">
      <c r="A10461" s="15" t="s">
        <v>29659</v>
      </c>
      <c r="B10461" s="15" t="s">
        <v>29660</v>
      </c>
      <c r="C10461" s="18" t="s">
        <v>28</v>
      </c>
      <c r="D10461" s="15" t="s">
        <v>29661</v>
      </c>
      <c r="E10461" s="18" t="s">
        <v>28</v>
      </c>
      <c r="F10461" s="19" t="s">
        <v>28</v>
      </c>
      <c r="G10461" s="19" t="s">
        <v>28</v>
      </c>
      <c r="H10461" s="19" t="s">
        <v>28</v>
      </c>
      <c r="I10461" s="18" t="s">
        <v>28</v>
      </c>
      <c r="J10461" s="18" t="s">
        <v>28</v>
      </c>
      <c r="K10461" s="18" t="s">
        <v>28</v>
      </c>
      <c r="L10461" s="18" t="s">
        <v>28</v>
      </c>
      <c r="M10461" s="18" t="s">
        <v>28</v>
      </c>
      <c r="N10461" s="17">
        <v>41723</v>
      </c>
      <c r="O10461" s="15" t="s">
        <v>30</v>
      </c>
      <c r="P10461" s="16" t="s">
        <v>29662</v>
      </c>
      <c r="Q10461" s="15" t="s">
        <v>240</v>
      </c>
      <c r="R10461" s="13" t="str">
        <f>HYPERLINK("https://my.pitchbook.com?c=36116-56T","View Company Online")</f>
        <v>View Company Online</v>
      </c>
    </row>
    <row r="10462" spans="1:18" hidden="1" x14ac:dyDescent="0.3">
      <c r="A10462" s="9" t="s">
        <v>29663</v>
      </c>
      <c r="B10462" s="9" t="s">
        <v>13680</v>
      </c>
      <c r="C10462" s="11" t="s">
        <v>28</v>
      </c>
      <c r="D10462" s="9" t="s">
        <v>13681</v>
      </c>
      <c r="E10462" s="11" t="s">
        <v>28</v>
      </c>
      <c r="F10462" s="10" t="s">
        <v>28</v>
      </c>
      <c r="G10462" s="10">
        <v>0.2</v>
      </c>
      <c r="H10462" s="10" t="s">
        <v>28</v>
      </c>
      <c r="I10462" s="11" t="s">
        <v>28</v>
      </c>
      <c r="J10462" s="11" t="s">
        <v>28</v>
      </c>
      <c r="K10462" s="11" t="s">
        <v>28</v>
      </c>
      <c r="L10462" s="11" t="s">
        <v>28</v>
      </c>
      <c r="M10462" s="11" t="s">
        <v>28</v>
      </c>
      <c r="N10462" s="8">
        <v>41722</v>
      </c>
      <c r="O10462" s="9" t="s">
        <v>99</v>
      </c>
      <c r="P10462" s="12" t="s">
        <v>29664</v>
      </c>
      <c r="Q10462" s="9" t="s">
        <v>5347</v>
      </c>
      <c r="R10462" s="14" t="str">
        <f>HYPERLINK("https://my.pitchbook.com?c=34786-90T","View Company Online")</f>
        <v>View Company Online</v>
      </c>
    </row>
    <row r="10463" spans="1:18" hidden="1" x14ac:dyDescent="0.3">
      <c r="A10463" s="15" t="s">
        <v>29665</v>
      </c>
      <c r="B10463" s="15" t="s">
        <v>29203</v>
      </c>
      <c r="C10463" s="18" t="s">
        <v>28</v>
      </c>
      <c r="D10463" s="15" t="s">
        <v>29204</v>
      </c>
      <c r="E10463" s="18" t="s">
        <v>28</v>
      </c>
      <c r="F10463" s="19" t="s">
        <v>28</v>
      </c>
      <c r="G10463" s="19" t="s">
        <v>28</v>
      </c>
      <c r="H10463" s="19" t="s">
        <v>28</v>
      </c>
      <c r="I10463" s="18" t="s">
        <v>28</v>
      </c>
      <c r="J10463" s="18" t="s">
        <v>28</v>
      </c>
      <c r="K10463" s="18" t="s">
        <v>28</v>
      </c>
      <c r="L10463" s="18" t="s">
        <v>28</v>
      </c>
      <c r="M10463" s="18" t="s">
        <v>28</v>
      </c>
      <c r="N10463" s="17">
        <v>41722</v>
      </c>
      <c r="O10463" s="15" t="s">
        <v>52</v>
      </c>
      <c r="P10463" s="16" t="s">
        <v>15600</v>
      </c>
      <c r="Q10463" s="15" t="s">
        <v>855</v>
      </c>
      <c r="R10463" s="13" t="str">
        <f>HYPERLINK("https://my.pitchbook.com?c=45117-73T","View Company Online")</f>
        <v>View Company Online</v>
      </c>
    </row>
    <row r="10464" spans="1:18" hidden="1" x14ac:dyDescent="0.3">
      <c r="A10464" s="9" t="s">
        <v>29666</v>
      </c>
      <c r="B10464" s="9" t="s">
        <v>29667</v>
      </c>
      <c r="C10464" s="11" t="s">
        <v>28</v>
      </c>
      <c r="D10464" s="9" t="s">
        <v>29668</v>
      </c>
      <c r="E10464" s="11" t="s">
        <v>28</v>
      </c>
      <c r="F10464" s="10" t="s">
        <v>28</v>
      </c>
      <c r="G10464" s="10" t="s">
        <v>28</v>
      </c>
      <c r="H10464" s="10" t="s">
        <v>28</v>
      </c>
      <c r="I10464" s="11" t="s">
        <v>28</v>
      </c>
      <c r="J10464" s="11" t="s">
        <v>28</v>
      </c>
      <c r="K10464" s="11" t="s">
        <v>28</v>
      </c>
      <c r="L10464" s="11" t="s">
        <v>28</v>
      </c>
      <c r="M10464" s="11" t="s">
        <v>28</v>
      </c>
      <c r="N10464" s="8">
        <v>41719</v>
      </c>
      <c r="O10464" s="9" t="s">
        <v>52</v>
      </c>
      <c r="P10464" s="12" t="s">
        <v>11539</v>
      </c>
      <c r="Q10464" s="9" t="s">
        <v>386</v>
      </c>
      <c r="R10464" s="14" t="str">
        <f>HYPERLINK("https://my.pitchbook.com?c=133038-10T","View Company Online")</f>
        <v>View Company Online</v>
      </c>
    </row>
    <row r="10465" spans="1:18" hidden="1" x14ac:dyDescent="0.3">
      <c r="A10465" s="15" t="s">
        <v>29669</v>
      </c>
      <c r="B10465" s="15" t="s">
        <v>29670</v>
      </c>
      <c r="C10465" s="18" t="s">
        <v>28</v>
      </c>
      <c r="D10465" s="15" t="s">
        <v>29671</v>
      </c>
      <c r="E10465" s="18" t="s">
        <v>28</v>
      </c>
      <c r="F10465" s="19" t="s">
        <v>28</v>
      </c>
      <c r="G10465" s="19" t="s">
        <v>28</v>
      </c>
      <c r="H10465" s="19" t="s">
        <v>28</v>
      </c>
      <c r="I10465" s="18" t="s">
        <v>28</v>
      </c>
      <c r="J10465" s="18" t="s">
        <v>28</v>
      </c>
      <c r="K10465" s="18" t="s">
        <v>28</v>
      </c>
      <c r="L10465" s="18" t="s">
        <v>28</v>
      </c>
      <c r="M10465" s="18" t="s">
        <v>28</v>
      </c>
      <c r="N10465" s="17">
        <v>41719</v>
      </c>
      <c r="O10465" s="15" t="s">
        <v>52</v>
      </c>
      <c r="P10465" s="16" t="s">
        <v>11539</v>
      </c>
      <c r="Q10465" s="15" t="s">
        <v>522</v>
      </c>
      <c r="R10465" s="13" t="str">
        <f>HYPERLINK("https://my.pitchbook.com?c=133043-77T","View Company Online")</f>
        <v>View Company Online</v>
      </c>
    </row>
    <row r="10466" spans="1:18" hidden="1" x14ac:dyDescent="0.3">
      <c r="A10466" s="9" t="s">
        <v>29672</v>
      </c>
      <c r="B10466" s="9" t="s">
        <v>29673</v>
      </c>
      <c r="C10466" s="11" t="s">
        <v>28</v>
      </c>
      <c r="D10466" s="9" t="s">
        <v>29674</v>
      </c>
      <c r="E10466" s="11" t="s">
        <v>28</v>
      </c>
      <c r="F10466" s="10" t="s">
        <v>28</v>
      </c>
      <c r="G10466" s="10" t="s">
        <v>28</v>
      </c>
      <c r="H10466" s="10" t="s">
        <v>28</v>
      </c>
      <c r="I10466" s="11" t="s">
        <v>28</v>
      </c>
      <c r="J10466" s="11" t="s">
        <v>28</v>
      </c>
      <c r="K10466" s="11" t="s">
        <v>28</v>
      </c>
      <c r="L10466" s="11" t="s">
        <v>28</v>
      </c>
      <c r="M10466" s="11" t="s">
        <v>28</v>
      </c>
      <c r="N10466" s="8">
        <v>41718</v>
      </c>
      <c r="O10466" s="9" t="s">
        <v>30</v>
      </c>
      <c r="P10466" s="12" t="s">
        <v>1444</v>
      </c>
      <c r="Q10466" s="9" t="s">
        <v>1853</v>
      </c>
      <c r="R10466" s="14" t="str">
        <f>HYPERLINK("https://my.pitchbook.com?c=72220-78T","View Company Online")</f>
        <v>View Company Online</v>
      </c>
    </row>
    <row r="10467" spans="1:18" hidden="1" x14ac:dyDescent="0.3">
      <c r="A10467" s="15" t="s">
        <v>29675</v>
      </c>
      <c r="B10467" s="15" t="s">
        <v>29676</v>
      </c>
      <c r="C10467" s="18" t="s">
        <v>28</v>
      </c>
      <c r="D10467" s="15" t="s">
        <v>29677</v>
      </c>
      <c r="E10467" s="18" t="s">
        <v>28</v>
      </c>
      <c r="F10467" s="19">
        <v>4</v>
      </c>
      <c r="G10467" s="19">
        <v>3.2</v>
      </c>
      <c r="H10467" s="19">
        <v>4</v>
      </c>
      <c r="I10467" s="18" t="s">
        <v>28</v>
      </c>
      <c r="J10467" s="18" t="s">
        <v>28</v>
      </c>
      <c r="K10467" s="18" t="s">
        <v>28</v>
      </c>
      <c r="L10467" s="18" t="s">
        <v>28</v>
      </c>
      <c r="M10467" s="18" t="s">
        <v>28</v>
      </c>
      <c r="N10467" s="17">
        <v>41717</v>
      </c>
      <c r="O10467" s="15" t="s">
        <v>30</v>
      </c>
      <c r="P10467" s="16" t="s">
        <v>29678</v>
      </c>
      <c r="Q10467" s="15" t="s">
        <v>5870</v>
      </c>
      <c r="R10467" s="13" t="str">
        <f>HYPERLINK("https://my.pitchbook.com?c=89505-19T","View Company Online")</f>
        <v>View Company Online</v>
      </c>
    </row>
    <row r="10468" spans="1:18" hidden="1" x14ac:dyDescent="0.3">
      <c r="A10468" s="9" t="s">
        <v>29679</v>
      </c>
      <c r="B10468" s="9" t="s">
        <v>29680</v>
      </c>
      <c r="C10468" s="11" t="s">
        <v>28</v>
      </c>
      <c r="D10468" s="9" t="s">
        <v>29681</v>
      </c>
      <c r="E10468" s="11" t="s">
        <v>28</v>
      </c>
      <c r="F10468" s="10">
        <v>63.75</v>
      </c>
      <c r="G10468" s="10">
        <v>63.75</v>
      </c>
      <c r="H10468" s="10">
        <v>63.75</v>
      </c>
      <c r="I10468" s="11" t="s">
        <v>28</v>
      </c>
      <c r="J10468" s="11" t="s">
        <v>28</v>
      </c>
      <c r="K10468" s="11" t="s">
        <v>28</v>
      </c>
      <c r="L10468" s="11" t="s">
        <v>28</v>
      </c>
      <c r="M10468" s="11" t="s">
        <v>28</v>
      </c>
      <c r="N10468" s="8">
        <v>41716</v>
      </c>
      <c r="O10468" s="9" t="s">
        <v>30</v>
      </c>
      <c r="P10468" s="12" t="s">
        <v>24342</v>
      </c>
      <c r="Q10468" s="9" t="s">
        <v>424</v>
      </c>
      <c r="R10468" s="14" t="str">
        <f>HYPERLINK("https://my.pitchbook.com?c=75059-38T","View Company Online")</f>
        <v>View Company Online</v>
      </c>
    </row>
    <row r="10469" spans="1:18" hidden="1" x14ac:dyDescent="0.3">
      <c r="A10469" s="15" t="s">
        <v>29682</v>
      </c>
      <c r="B10469" s="15" t="s">
        <v>7245</v>
      </c>
      <c r="C10469" s="18" t="s">
        <v>28</v>
      </c>
      <c r="D10469" s="15" t="s">
        <v>7246</v>
      </c>
      <c r="E10469" s="18" t="s">
        <v>28</v>
      </c>
      <c r="F10469" s="19" t="s">
        <v>28</v>
      </c>
      <c r="G10469" s="19">
        <v>0.03</v>
      </c>
      <c r="H10469" s="19" t="s">
        <v>28</v>
      </c>
      <c r="I10469" s="18" t="s">
        <v>28</v>
      </c>
      <c r="J10469" s="18" t="s">
        <v>28</v>
      </c>
      <c r="K10469" s="18" t="s">
        <v>28</v>
      </c>
      <c r="L10469" s="18" t="s">
        <v>28</v>
      </c>
      <c r="M10469" s="18" t="s">
        <v>28</v>
      </c>
      <c r="N10469" s="17">
        <v>41715</v>
      </c>
      <c r="O10469" s="15" t="s">
        <v>52</v>
      </c>
      <c r="P10469" s="16" t="s">
        <v>15600</v>
      </c>
      <c r="Q10469" s="15" t="s">
        <v>43</v>
      </c>
      <c r="R10469" s="13" t="str">
        <f>HYPERLINK("https://my.pitchbook.com?c=142561-09T","View Company Online")</f>
        <v>View Company Online</v>
      </c>
    </row>
    <row r="10470" spans="1:18" hidden="1" x14ac:dyDescent="0.3">
      <c r="A10470" s="9" t="s">
        <v>29683</v>
      </c>
      <c r="B10470" s="9" t="s">
        <v>28253</v>
      </c>
      <c r="C10470" s="11" t="s">
        <v>28</v>
      </c>
      <c r="D10470" s="9" t="s">
        <v>28254</v>
      </c>
      <c r="E10470" s="11" t="s">
        <v>28</v>
      </c>
      <c r="F10470" s="10" t="s">
        <v>28</v>
      </c>
      <c r="G10470" s="10">
        <v>0.03</v>
      </c>
      <c r="H10470" s="10" t="s">
        <v>28</v>
      </c>
      <c r="I10470" s="11" t="s">
        <v>28</v>
      </c>
      <c r="J10470" s="11" t="s">
        <v>28</v>
      </c>
      <c r="K10470" s="11" t="s">
        <v>28</v>
      </c>
      <c r="L10470" s="11" t="s">
        <v>28</v>
      </c>
      <c r="M10470" s="11" t="s">
        <v>28</v>
      </c>
      <c r="N10470" s="8">
        <v>41715</v>
      </c>
      <c r="O10470" s="9" t="s">
        <v>52</v>
      </c>
      <c r="P10470" s="12" t="s">
        <v>15600</v>
      </c>
      <c r="Q10470" s="9" t="s">
        <v>249</v>
      </c>
      <c r="R10470" s="14" t="str">
        <f>HYPERLINK("https://my.pitchbook.com?c=146288-26T","View Company Online")</f>
        <v>View Company Online</v>
      </c>
    </row>
    <row r="10471" spans="1:18" hidden="1" x14ac:dyDescent="0.3">
      <c r="A10471" s="15" t="s">
        <v>29684</v>
      </c>
      <c r="B10471" s="15" t="s">
        <v>29685</v>
      </c>
      <c r="C10471" s="18" t="s">
        <v>28</v>
      </c>
      <c r="D10471" s="15" t="s">
        <v>29686</v>
      </c>
      <c r="E10471" s="18" t="s">
        <v>28</v>
      </c>
      <c r="F10471" s="19" t="s">
        <v>28</v>
      </c>
      <c r="G10471" s="19" t="s">
        <v>28</v>
      </c>
      <c r="H10471" s="19" t="s">
        <v>28</v>
      </c>
      <c r="I10471" s="18" t="s">
        <v>28</v>
      </c>
      <c r="J10471" s="18" t="s">
        <v>28</v>
      </c>
      <c r="K10471" s="18" t="s">
        <v>28</v>
      </c>
      <c r="L10471" s="18" t="s">
        <v>28</v>
      </c>
      <c r="M10471" s="18" t="s">
        <v>28</v>
      </c>
      <c r="N10471" s="17">
        <v>41715</v>
      </c>
      <c r="O10471" s="15" t="s">
        <v>52</v>
      </c>
      <c r="P10471" s="16" t="s">
        <v>15600</v>
      </c>
      <c r="Q10471" s="15" t="s">
        <v>263</v>
      </c>
      <c r="R10471" s="13" t="str">
        <f>HYPERLINK("https://my.pitchbook.com?c=149086-36T","View Company Online")</f>
        <v>View Company Online</v>
      </c>
    </row>
    <row r="10472" spans="1:18" hidden="1" x14ac:dyDescent="0.3">
      <c r="A10472" s="9" t="s">
        <v>29687</v>
      </c>
      <c r="B10472" s="9" t="s">
        <v>29688</v>
      </c>
      <c r="C10472" s="11" t="s">
        <v>28</v>
      </c>
      <c r="D10472" s="9" t="s">
        <v>29689</v>
      </c>
      <c r="E10472" s="11" t="s">
        <v>28</v>
      </c>
      <c r="F10472" s="10" t="s">
        <v>28</v>
      </c>
      <c r="G10472" s="10" t="s">
        <v>28</v>
      </c>
      <c r="H10472" s="10" t="s">
        <v>28</v>
      </c>
      <c r="I10472" s="11" t="s">
        <v>28</v>
      </c>
      <c r="J10472" s="11" t="s">
        <v>28</v>
      </c>
      <c r="K10472" s="11" t="s">
        <v>28</v>
      </c>
      <c r="L10472" s="11" t="s">
        <v>28</v>
      </c>
      <c r="M10472" s="11" t="s">
        <v>28</v>
      </c>
      <c r="N10472" s="8">
        <v>41715</v>
      </c>
      <c r="O10472" s="9" t="s">
        <v>52</v>
      </c>
      <c r="P10472" s="12" t="s">
        <v>15600</v>
      </c>
      <c r="Q10472" s="9" t="s">
        <v>386</v>
      </c>
      <c r="R10472" s="14" t="str">
        <f>HYPERLINK("https://my.pitchbook.com?c=156940-48T","View Company Online")</f>
        <v>View Company Online</v>
      </c>
    </row>
    <row r="10473" spans="1:18" hidden="1" x14ac:dyDescent="0.3">
      <c r="A10473" s="15" t="s">
        <v>29690</v>
      </c>
      <c r="B10473" s="15" t="s">
        <v>16731</v>
      </c>
      <c r="C10473" s="18" t="s">
        <v>28</v>
      </c>
      <c r="D10473" s="15" t="s">
        <v>16732</v>
      </c>
      <c r="E10473" s="18" t="s">
        <v>28</v>
      </c>
      <c r="F10473" s="19" t="s">
        <v>28</v>
      </c>
      <c r="G10473" s="19">
        <v>0.02</v>
      </c>
      <c r="H10473" s="19" t="s">
        <v>28</v>
      </c>
      <c r="I10473" s="18" t="s">
        <v>28</v>
      </c>
      <c r="J10473" s="18" t="s">
        <v>28</v>
      </c>
      <c r="K10473" s="18" t="s">
        <v>28</v>
      </c>
      <c r="L10473" s="18" t="s">
        <v>28</v>
      </c>
      <c r="M10473" s="18" t="s">
        <v>28</v>
      </c>
      <c r="N10473" s="17">
        <v>41713</v>
      </c>
      <c r="O10473" s="15" t="s">
        <v>52</v>
      </c>
      <c r="P10473" s="16" t="s">
        <v>25381</v>
      </c>
      <c r="Q10473" s="15" t="s">
        <v>419</v>
      </c>
      <c r="R10473" s="13" t="str">
        <f>HYPERLINK("https://my.pitchbook.com?c=56733-31T","View Company Online")</f>
        <v>View Company Online</v>
      </c>
    </row>
    <row r="10474" spans="1:18" hidden="1" x14ac:dyDescent="0.3">
      <c r="A10474" s="9" t="s">
        <v>29691</v>
      </c>
      <c r="B10474" s="9" t="s">
        <v>29692</v>
      </c>
      <c r="C10474" s="11" t="s">
        <v>28</v>
      </c>
      <c r="D10474" s="9" t="s">
        <v>29693</v>
      </c>
      <c r="E10474" s="11" t="s">
        <v>28</v>
      </c>
      <c r="F10474" s="10" t="s">
        <v>28</v>
      </c>
      <c r="G10474" s="10" t="s">
        <v>28</v>
      </c>
      <c r="H10474" s="10" t="s">
        <v>28</v>
      </c>
      <c r="I10474" s="11" t="s">
        <v>28</v>
      </c>
      <c r="J10474" s="11" t="s">
        <v>28</v>
      </c>
      <c r="K10474" s="11" t="s">
        <v>28</v>
      </c>
      <c r="L10474" s="11" t="s">
        <v>28</v>
      </c>
      <c r="M10474" s="11" t="s">
        <v>28</v>
      </c>
      <c r="N10474" s="8">
        <v>41712</v>
      </c>
      <c r="O10474" s="9" t="s">
        <v>30</v>
      </c>
      <c r="P10474" s="12" t="s">
        <v>29694</v>
      </c>
      <c r="Q10474" s="9" t="s">
        <v>1007</v>
      </c>
      <c r="R10474" s="14" t="str">
        <f>HYPERLINK("https://my.pitchbook.com?c=201637-72T","View Company Online")</f>
        <v>View Company Online</v>
      </c>
    </row>
    <row r="10475" spans="1:18" hidden="1" x14ac:dyDescent="0.3">
      <c r="A10475" s="15" t="s">
        <v>29695</v>
      </c>
      <c r="B10475" s="15" t="s">
        <v>11791</v>
      </c>
      <c r="C10475" s="18" t="s">
        <v>28</v>
      </c>
      <c r="D10475" s="15" t="s">
        <v>11792</v>
      </c>
      <c r="E10475" s="18" t="s">
        <v>28</v>
      </c>
      <c r="F10475" s="19" t="s">
        <v>28</v>
      </c>
      <c r="G10475" s="19">
        <v>105.79</v>
      </c>
      <c r="H10475" s="19">
        <v>528.96</v>
      </c>
      <c r="I10475" s="18" t="s">
        <v>28</v>
      </c>
      <c r="J10475" s="18" t="s">
        <v>28</v>
      </c>
      <c r="K10475" s="18">
        <v>245.15</v>
      </c>
      <c r="L10475" s="18">
        <v>2.16</v>
      </c>
      <c r="M10475" s="18" t="s">
        <v>28</v>
      </c>
      <c r="N10475" s="17">
        <v>41710</v>
      </c>
      <c r="O10475" s="15" t="s">
        <v>93</v>
      </c>
      <c r="P10475" s="16" t="s">
        <v>1833</v>
      </c>
      <c r="Q10475" s="15" t="s">
        <v>409</v>
      </c>
      <c r="R10475" s="13" t="str">
        <f>HYPERLINK("https://my.pitchbook.com?c=89525-44T","View Company Online")</f>
        <v>View Company Online</v>
      </c>
    </row>
    <row r="10476" spans="1:18" hidden="1" x14ac:dyDescent="0.3">
      <c r="A10476" s="9" t="s">
        <v>29696</v>
      </c>
      <c r="B10476" s="9" t="s">
        <v>29697</v>
      </c>
      <c r="C10476" s="11" t="s">
        <v>28</v>
      </c>
      <c r="D10476" s="9" t="s">
        <v>29698</v>
      </c>
      <c r="E10476" s="11" t="s">
        <v>28</v>
      </c>
      <c r="F10476" s="10" t="s">
        <v>28</v>
      </c>
      <c r="G10476" s="10" t="s">
        <v>28</v>
      </c>
      <c r="H10476" s="10" t="s">
        <v>28</v>
      </c>
      <c r="I10476" s="11" t="s">
        <v>28</v>
      </c>
      <c r="J10476" s="11" t="s">
        <v>28</v>
      </c>
      <c r="K10476" s="11" t="s">
        <v>28</v>
      </c>
      <c r="L10476" s="11" t="s">
        <v>28</v>
      </c>
      <c r="M10476" s="11" t="s">
        <v>28</v>
      </c>
      <c r="N10476" s="8">
        <v>41709</v>
      </c>
      <c r="O10476" s="9" t="s">
        <v>93</v>
      </c>
      <c r="P10476" s="12" t="s">
        <v>29699</v>
      </c>
      <c r="Q10476" s="9" t="s">
        <v>362</v>
      </c>
      <c r="R10476" s="14" t="str">
        <f>HYPERLINK("https://my.pitchbook.com?c=37307-08T","View Company Online")</f>
        <v>View Company Online</v>
      </c>
    </row>
    <row r="10477" spans="1:18" hidden="1" x14ac:dyDescent="0.3">
      <c r="A10477" s="15" t="s">
        <v>29700</v>
      </c>
      <c r="B10477" s="15" t="s">
        <v>29701</v>
      </c>
      <c r="C10477" s="18" t="s">
        <v>28</v>
      </c>
      <c r="D10477" s="15" t="s">
        <v>29702</v>
      </c>
      <c r="E10477" s="18" t="s">
        <v>28</v>
      </c>
      <c r="F10477" s="19" t="s">
        <v>28</v>
      </c>
      <c r="G10477" s="19" t="s">
        <v>28</v>
      </c>
      <c r="H10477" s="19" t="s">
        <v>28</v>
      </c>
      <c r="I10477" s="18" t="s">
        <v>28</v>
      </c>
      <c r="J10477" s="18" t="s">
        <v>28</v>
      </c>
      <c r="K10477" s="18" t="s">
        <v>28</v>
      </c>
      <c r="L10477" s="18" t="s">
        <v>28</v>
      </c>
      <c r="M10477" s="18" t="s">
        <v>28</v>
      </c>
      <c r="N10477" s="17">
        <v>41708</v>
      </c>
      <c r="O10477" s="15" t="s">
        <v>173</v>
      </c>
      <c r="P10477" s="16" t="s">
        <v>28</v>
      </c>
      <c r="Q10477" s="15" t="s">
        <v>174</v>
      </c>
      <c r="R10477" s="13" t="str">
        <f>HYPERLINK("https://my.pitchbook.com?c=226409-32T","View Company Online")</f>
        <v>View Company Online</v>
      </c>
    </row>
    <row r="10478" spans="1:18" hidden="1" x14ac:dyDescent="0.3">
      <c r="A10478" s="9" t="s">
        <v>29703</v>
      </c>
      <c r="B10478" s="9" t="s">
        <v>16643</v>
      </c>
      <c r="C10478" s="11" t="s">
        <v>28</v>
      </c>
      <c r="D10478" s="9" t="s">
        <v>16644</v>
      </c>
      <c r="E10478" s="11" t="s">
        <v>28</v>
      </c>
      <c r="F10478" s="10" t="s">
        <v>28</v>
      </c>
      <c r="G10478" s="10">
        <v>0.44</v>
      </c>
      <c r="H10478" s="10" t="s">
        <v>28</v>
      </c>
      <c r="I10478" s="11" t="s">
        <v>28</v>
      </c>
      <c r="J10478" s="11" t="s">
        <v>28</v>
      </c>
      <c r="K10478" s="11" t="s">
        <v>28</v>
      </c>
      <c r="L10478" s="11" t="s">
        <v>28</v>
      </c>
      <c r="M10478" s="11" t="s">
        <v>28</v>
      </c>
      <c r="N10478" s="8">
        <v>41707</v>
      </c>
      <c r="O10478" s="9" t="s">
        <v>99</v>
      </c>
      <c r="P10478" s="12" t="s">
        <v>1612</v>
      </c>
      <c r="Q10478" s="9" t="s">
        <v>37</v>
      </c>
      <c r="R10478" s="14" t="str">
        <f>HYPERLINK("https://my.pitchbook.com?c=50716-09T","View Company Online")</f>
        <v>View Company Online</v>
      </c>
    </row>
    <row r="10479" spans="1:18" hidden="1" x14ac:dyDescent="0.3">
      <c r="A10479" s="15" t="s">
        <v>29704</v>
      </c>
      <c r="B10479" s="15" t="s">
        <v>29705</v>
      </c>
      <c r="C10479" s="18" t="s">
        <v>28</v>
      </c>
      <c r="D10479" s="15" t="s">
        <v>29706</v>
      </c>
      <c r="E10479" s="18" t="s">
        <v>28</v>
      </c>
      <c r="F10479" s="19" t="s">
        <v>28</v>
      </c>
      <c r="G10479" s="19" t="s">
        <v>28</v>
      </c>
      <c r="H10479" s="19" t="s">
        <v>28</v>
      </c>
      <c r="I10479" s="18" t="s">
        <v>28</v>
      </c>
      <c r="J10479" s="18" t="s">
        <v>28</v>
      </c>
      <c r="K10479" s="18" t="s">
        <v>28</v>
      </c>
      <c r="L10479" s="18" t="s">
        <v>28</v>
      </c>
      <c r="M10479" s="18" t="s">
        <v>28</v>
      </c>
      <c r="N10479" s="17">
        <v>41705</v>
      </c>
      <c r="O10479" s="15" t="s">
        <v>30</v>
      </c>
      <c r="P10479" s="16" t="s">
        <v>6758</v>
      </c>
      <c r="Q10479" s="15" t="s">
        <v>85</v>
      </c>
      <c r="R10479" s="13" t="str">
        <f>HYPERLINK("https://my.pitchbook.com?c=89476-03T","View Company Online")</f>
        <v>View Company Online</v>
      </c>
    </row>
    <row r="10480" spans="1:18" hidden="1" x14ac:dyDescent="0.3">
      <c r="A10480" s="9" t="s">
        <v>29707</v>
      </c>
      <c r="B10480" s="9" t="s">
        <v>29708</v>
      </c>
      <c r="C10480" s="11" t="s">
        <v>28</v>
      </c>
      <c r="D10480" s="9" t="s">
        <v>29709</v>
      </c>
      <c r="E10480" s="11" t="s">
        <v>28</v>
      </c>
      <c r="F10480" s="10" t="s">
        <v>28</v>
      </c>
      <c r="G10480" s="10" t="s">
        <v>28</v>
      </c>
      <c r="H10480" s="10" t="s">
        <v>28</v>
      </c>
      <c r="I10480" s="11" t="s">
        <v>28</v>
      </c>
      <c r="J10480" s="11" t="s">
        <v>28</v>
      </c>
      <c r="K10480" s="11" t="s">
        <v>28</v>
      </c>
      <c r="L10480" s="11" t="s">
        <v>28</v>
      </c>
      <c r="M10480" s="11" t="s">
        <v>28</v>
      </c>
      <c r="N10480" s="8">
        <v>41702</v>
      </c>
      <c r="O10480" s="9" t="s">
        <v>30</v>
      </c>
      <c r="P10480" s="12" t="s">
        <v>29710</v>
      </c>
      <c r="Q10480" s="9" t="s">
        <v>226</v>
      </c>
      <c r="R10480" s="14" t="str">
        <f>HYPERLINK("https://my.pitchbook.com?c=96097-60T","View Company Online")</f>
        <v>View Company Online</v>
      </c>
    </row>
    <row r="10481" spans="1:18" hidden="1" x14ac:dyDescent="0.3">
      <c r="A10481" s="15" t="s">
        <v>29711</v>
      </c>
      <c r="B10481" s="15" t="s">
        <v>10855</v>
      </c>
      <c r="C10481" s="18" t="s">
        <v>28</v>
      </c>
      <c r="D10481" s="15" t="s">
        <v>10856</v>
      </c>
      <c r="E10481" s="18" t="s">
        <v>28</v>
      </c>
      <c r="F10481" s="19" t="s">
        <v>28</v>
      </c>
      <c r="G10481" s="19">
        <v>0.02</v>
      </c>
      <c r="H10481" s="19" t="s">
        <v>28</v>
      </c>
      <c r="I10481" s="18" t="s">
        <v>28</v>
      </c>
      <c r="J10481" s="18" t="s">
        <v>28</v>
      </c>
      <c r="K10481" s="18" t="s">
        <v>28</v>
      </c>
      <c r="L10481" s="18" t="s">
        <v>28</v>
      </c>
      <c r="M10481" s="18" t="s">
        <v>28</v>
      </c>
      <c r="N10481" s="17">
        <v>41702</v>
      </c>
      <c r="O10481" s="15" t="s">
        <v>47</v>
      </c>
      <c r="P10481" s="16" t="s">
        <v>29712</v>
      </c>
      <c r="Q10481" s="15" t="s">
        <v>1793</v>
      </c>
      <c r="R10481" s="13" t="str">
        <f>HYPERLINK("https://my.pitchbook.com?c=57546-10T","View Company Online")</f>
        <v>View Company Online</v>
      </c>
    </row>
    <row r="10482" spans="1:18" hidden="1" x14ac:dyDescent="0.3">
      <c r="A10482" s="9" t="s">
        <v>29713</v>
      </c>
      <c r="B10482" s="9" t="s">
        <v>10917</v>
      </c>
      <c r="C10482" s="11" t="s">
        <v>28</v>
      </c>
      <c r="D10482" s="9" t="s">
        <v>10918</v>
      </c>
      <c r="E10482" s="11" t="s">
        <v>28</v>
      </c>
      <c r="F10482" s="10">
        <v>128.36000000000001</v>
      </c>
      <c r="G10482" s="10">
        <v>38.51</v>
      </c>
      <c r="H10482" s="10">
        <v>128.36000000000001</v>
      </c>
      <c r="I10482" s="11" t="s">
        <v>28</v>
      </c>
      <c r="J10482" s="11" t="s">
        <v>28</v>
      </c>
      <c r="K10482" s="11" t="s">
        <v>28</v>
      </c>
      <c r="L10482" s="11" t="s">
        <v>28</v>
      </c>
      <c r="M10482" s="11" t="s">
        <v>28</v>
      </c>
      <c r="N10482" s="8">
        <v>41702</v>
      </c>
      <c r="O10482" s="9" t="s">
        <v>30</v>
      </c>
      <c r="P10482" s="12" t="s">
        <v>29714</v>
      </c>
      <c r="Q10482" s="9" t="s">
        <v>607</v>
      </c>
      <c r="R10482" s="14" t="str">
        <f>HYPERLINK("https://my.pitchbook.com?c=90133-57T","View Company Online")</f>
        <v>View Company Online</v>
      </c>
    </row>
    <row r="10483" spans="1:18" hidden="1" x14ac:dyDescent="0.3">
      <c r="A10483" s="15" t="s">
        <v>29715</v>
      </c>
      <c r="B10483" s="15" t="s">
        <v>8839</v>
      </c>
      <c r="C10483" s="18" t="s">
        <v>28</v>
      </c>
      <c r="D10483" s="15" t="s">
        <v>8840</v>
      </c>
      <c r="E10483" s="18" t="s">
        <v>28</v>
      </c>
      <c r="F10483" s="19" t="s">
        <v>28</v>
      </c>
      <c r="G10483" s="19" t="s">
        <v>28</v>
      </c>
      <c r="H10483" s="19" t="s">
        <v>28</v>
      </c>
      <c r="I10483" s="18" t="s">
        <v>28</v>
      </c>
      <c r="J10483" s="18" t="s">
        <v>28</v>
      </c>
      <c r="K10483" s="18" t="s">
        <v>28</v>
      </c>
      <c r="L10483" s="18" t="s">
        <v>28</v>
      </c>
      <c r="M10483" s="18" t="s">
        <v>28</v>
      </c>
      <c r="N10483" s="17">
        <v>41702</v>
      </c>
      <c r="O10483" s="15" t="s">
        <v>99</v>
      </c>
      <c r="P10483" s="16" t="s">
        <v>29716</v>
      </c>
      <c r="Q10483" s="15" t="s">
        <v>386</v>
      </c>
      <c r="R10483" s="13" t="str">
        <f>HYPERLINK("https://my.pitchbook.com?c=196926-67T","View Company Online")</f>
        <v>View Company Online</v>
      </c>
    </row>
    <row r="10484" spans="1:18" hidden="1" x14ac:dyDescent="0.3">
      <c r="A10484" s="9" t="s">
        <v>29717</v>
      </c>
      <c r="B10484" s="9" t="s">
        <v>21915</v>
      </c>
      <c r="C10484" s="11" t="s">
        <v>28</v>
      </c>
      <c r="D10484" s="9" t="s">
        <v>21916</v>
      </c>
      <c r="E10484" s="11" t="s">
        <v>28</v>
      </c>
      <c r="F10484" s="10" t="s">
        <v>28</v>
      </c>
      <c r="G10484" s="10" t="s">
        <v>28</v>
      </c>
      <c r="H10484" s="10" t="s">
        <v>28</v>
      </c>
      <c r="I10484" s="11" t="s">
        <v>28</v>
      </c>
      <c r="J10484" s="11" t="s">
        <v>28</v>
      </c>
      <c r="K10484" s="11" t="s">
        <v>28</v>
      </c>
      <c r="L10484" s="11" t="s">
        <v>28</v>
      </c>
      <c r="M10484" s="11" t="s">
        <v>28</v>
      </c>
      <c r="N10484" s="8">
        <v>41701</v>
      </c>
      <c r="O10484" s="9" t="s">
        <v>41</v>
      </c>
      <c r="P10484" s="12" t="s">
        <v>29718</v>
      </c>
      <c r="Q10484" s="9" t="s">
        <v>353</v>
      </c>
      <c r="R10484" s="14" t="str">
        <f>HYPERLINK("https://my.pitchbook.com?c=92021-59T","View Company Online")</f>
        <v>View Company Online</v>
      </c>
    </row>
    <row r="10485" spans="1:18" hidden="1" x14ac:dyDescent="0.3">
      <c r="A10485" s="15" t="s">
        <v>29719</v>
      </c>
      <c r="B10485" s="15" t="s">
        <v>8237</v>
      </c>
      <c r="C10485" s="18" t="s">
        <v>28</v>
      </c>
      <c r="D10485" s="15" t="s">
        <v>8238</v>
      </c>
      <c r="E10485" s="18" t="s">
        <v>28</v>
      </c>
      <c r="F10485" s="19" t="s">
        <v>28</v>
      </c>
      <c r="G10485" s="19">
        <v>0.1</v>
      </c>
      <c r="H10485" s="19" t="s">
        <v>28</v>
      </c>
      <c r="I10485" s="18" t="s">
        <v>28</v>
      </c>
      <c r="J10485" s="18" t="s">
        <v>28</v>
      </c>
      <c r="K10485" s="18" t="s">
        <v>28</v>
      </c>
      <c r="L10485" s="18" t="s">
        <v>28</v>
      </c>
      <c r="M10485" s="18" t="s">
        <v>28</v>
      </c>
      <c r="N10485" s="17">
        <v>41699</v>
      </c>
      <c r="O10485" s="15" t="s">
        <v>99</v>
      </c>
      <c r="P10485" s="16" t="s">
        <v>29720</v>
      </c>
      <c r="Q10485" s="15" t="s">
        <v>75</v>
      </c>
      <c r="R10485" s="13" t="str">
        <f>HYPERLINK("https://my.pitchbook.com?c=45720-82T","View Company Online")</f>
        <v>View Company Online</v>
      </c>
    </row>
    <row r="10486" spans="1:18" hidden="1" x14ac:dyDescent="0.3">
      <c r="A10486" s="9" t="s">
        <v>29721</v>
      </c>
      <c r="B10486" s="9" t="s">
        <v>29722</v>
      </c>
      <c r="C10486" s="11" t="s">
        <v>28</v>
      </c>
      <c r="D10486" s="9" t="s">
        <v>29723</v>
      </c>
      <c r="E10486" s="11" t="s">
        <v>28</v>
      </c>
      <c r="F10486" s="10" t="s">
        <v>28</v>
      </c>
      <c r="G10486" s="10" t="s">
        <v>28</v>
      </c>
      <c r="H10486" s="10" t="s">
        <v>28</v>
      </c>
      <c r="I10486" s="11" t="s">
        <v>28</v>
      </c>
      <c r="J10486" s="11" t="s">
        <v>28</v>
      </c>
      <c r="K10486" s="11" t="s">
        <v>28</v>
      </c>
      <c r="L10486" s="11" t="s">
        <v>28</v>
      </c>
      <c r="M10486" s="11" t="s">
        <v>28</v>
      </c>
      <c r="N10486" s="8">
        <v>41699</v>
      </c>
      <c r="O10486" s="9" t="s">
        <v>99</v>
      </c>
      <c r="P10486" s="12" t="s">
        <v>28</v>
      </c>
      <c r="Q10486" s="9" t="s">
        <v>75</v>
      </c>
      <c r="R10486" s="14" t="str">
        <f>HYPERLINK("https://my.pitchbook.com?c=62166-97T","View Company Online")</f>
        <v>View Company Online</v>
      </c>
    </row>
    <row r="10487" spans="1:18" hidden="1" x14ac:dyDescent="0.3">
      <c r="A10487" s="15" t="s">
        <v>29724</v>
      </c>
      <c r="B10487" s="15" t="s">
        <v>4894</v>
      </c>
      <c r="C10487" s="18" t="s">
        <v>28</v>
      </c>
      <c r="D10487" s="15" t="s">
        <v>4895</v>
      </c>
      <c r="E10487" s="18" t="s">
        <v>28</v>
      </c>
      <c r="F10487" s="19">
        <v>47.79</v>
      </c>
      <c r="G10487" s="19">
        <v>47.79</v>
      </c>
      <c r="H10487" s="19">
        <v>47.79</v>
      </c>
      <c r="I10487" s="18" t="s">
        <v>28</v>
      </c>
      <c r="J10487" s="18" t="s">
        <v>28</v>
      </c>
      <c r="K10487" s="18" t="s">
        <v>28</v>
      </c>
      <c r="L10487" s="18" t="s">
        <v>28</v>
      </c>
      <c r="M10487" s="18" t="s">
        <v>28</v>
      </c>
      <c r="N10487" s="17">
        <v>41699</v>
      </c>
      <c r="O10487" s="15" t="s">
        <v>30</v>
      </c>
      <c r="P10487" s="16" t="s">
        <v>29725</v>
      </c>
      <c r="Q10487" s="15" t="s">
        <v>136</v>
      </c>
      <c r="R10487" s="13" t="str">
        <f>HYPERLINK("https://my.pitchbook.com?c=89669-08T","View Company Online")</f>
        <v>View Company Online</v>
      </c>
    </row>
    <row r="10488" spans="1:18" hidden="1" x14ac:dyDescent="0.3">
      <c r="A10488" s="9" t="s">
        <v>29726</v>
      </c>
      <c r="B10488" s="9" t="s">
        <v>23035</v>
      </c>
      <c r="C10488" s="11" t="s">
        <v>28</v>
      </c>
      <c r="D10488" s="9" t="s">
        <v>23036</v>
      </c>
      <c r="E10488" s="11" t="s">
        <v>28</v>
      </c>
      <c r="F10488" s="10" t="s">
        <v>28</v>
      </c>
      <c r="G10488" s="10">
        <v>0.01</v>
      </c>
      <c r="H10488" s="10" t="s">
        <v>28</v>
      </c>
      <c r="I10488" s="11" t="s">
        <v>28</v>
      </c>
      <c r="J10488" s="11" t="s">
        <v>28</v>
      </c>
      <c r="K10488" s="11" t="s">
        <v>28</v>
      </c>
      <c r="L10488" s="11" t="s">
        <v>28</v>
      </c>
      <c r="M10488" s="11" t="s">
        <v>28</v>
      </c>
      <c r="N10488" s="8">
        <v>41699</v>
      </c>
      <c r="O10488" s="9" t="s">
        <v>9098</v>
      </c>
      <c r="P10488" s="12" t="s">
        <v>28</v>
      </c>
      <c r="Q10488" s="9" t="s">
        <v>119</v>
      </c>
      <c r="R10488" s="14" t="str">
        <f>HYPERLINK("https://my.pitchbook.com?c=99893-35T","View Company Online")</f>
        <v>View Company Online</v>
      </c>
    </row>
    <row r="10489" spans="1:18" hidden="1" x14ac:dyDescent="0.3">
      <c r="A10489" s="15" t="s">
        <v>29727</v>
      </c>
      <c r="B10489" s="15" t="s">
        <v>20946</v>
      </c>
      <c r="C10489" s="18" t="s">
        <v>28</v>
      </c>
      <c r="D10489" s="15" t="s">
        <v>20947</v>
      </c>
      <c r="E10489" s="18" t="s">
        <v>28</v>
      </c>
      <c r="F10489" s="19" t="s">
        <v>28</v>
      </c>
      <c r="G10489" s="19">
        <v>0.01</v>
      </c>
      <c r="H10489" s="19" t="s">
        <v>28</v>
      </c>
      <c r="I10489" s="18" t="s">
        <v>28</v>
      </c>
      <c r="J10489" s="18" t="s">
        <v>28</v>
      </c>
      <c r="K10489" s="18" t="s">
        <v>28</v>
      </c>
      <c r="L10489" s="18" t="s">
        <v>28</v>
      </c>
      <c r="M10489" s="18" t="s">
        <v>28</v>
      </c>
      <c r="N10489" s="17">
        <v>41699</v>
      </c>
      <c r="O10489" s="15" t="s">
        <v>52</v>
      </c>
      <c r="P10489" s="16" t="s">
        <v>27961</v>
      </c>
      <c r="Q10489" s="15" t="s">
        <v>75</v>
      </c>
      <c r="R10489" s="13" t="str">
        <f>HYPERLINK("https://my.pitchbook.com?c=75320-29T","View Company Online")</f>
        <v>View Company Online</v>
      </c>
    </row>
    <row r="10490" spans="1:18" hidden="1" x14ac:dyDescent="0.3">
      <c r="A10490" s="9" t="s">
        <v>29728</v>
      </c>
      <c r="B10490" s="9" t="s">
        <v>29729</v>
      </c>
      <c r="C10490" s="11" t="s">
        <v>28</v>
      </c>
      <c r="D10490" s="9" t="s">
        <v>29730</v>
      </c>
      <c r="E10490" s="11" t="s">
        <v>28</v>
      </c>
      <c r="F10490" s="10" t="s">
        <v>28</v>
      </c>
      <c r="G10490" s="10" t="s">
        <v>28</v>
      </c>
      <c r="H10490" s="10" t="s">
        <v>28</v>
      </c>
      <c r="I10490" s="11" t="s">
        <v>28</v>
      </c>
      <c r="J10490" s="11" t="s">
        <v>28</v>
      </c>
      <c r="K10490" s="11" t="s">
        <v>28</v>
      </c>
      <c r="L10490" s="11" t="s">
        <v>28</v>
      </c>
      <c r="M10490" s="11" t="s">
        <v>28</v>
      </c>
      <c r="N10490" s="8">
        <v>41699</v>
      </c>
      <c r="O10490" s="9" t="s">
        <v>30</v>
      </c>
      <c r="P10490" s="12" t="s">
        <v>29731</v>
      </c>
      <c r="Q10490" s="9" t="s">
        <v>160</v>
      </c>
      <c r="R10490" s="14" t="str">
        <f>HYPERLINK("https://my.pitchbook.com?c=102626-83T","View Company Online")</f>
        <v>View Company Online</v>
      </c>
    </row>
    <row r="10491" spans="1:18" hidden="1" x14ac:dyDescent="0.3">
      <c r="A10491" s="15" t="s">
        <v>29732</v>
      </c>
      <c r="B10491" s="15" t="s">
        <v>29733</v>
      </c>
      <c r="C10491" s="18" t="s">
        <v>28</v>
      </c>
      <c r="D10491" s="15" t="s">
        <v>29734</v>
      </c>
      <c r="E10491" s="18" t="s">
        <v>28</v>
      </c>
      <c r="F10491" s="19">
        <v>18.5</v>
      </c>
      <c r="G10491" s="19">
        <v>18.5</v>
      </c>
      <c r="H10491" s="19">
        <v>18.5</v>
      </c>
      <c r="I10491" s="18" t="s">
        <v>28</v>
      </c>
      <c r="J10491" s="18" t="s">
        <v>28</v>
      </c>
      <c r="K10491" s="18" t="s">
        <v>28</v>
      </c>
      <c r="L10491" s="18" t="s">
        <v>28</v>
      </c>
      <c r="M10491" s="18" t="s">
        <v>28</v>
      </c>
      <c r="N10491" s="17">
        <v>41697</v>
      </c>
      <c r="O10491" s="15" t="s">
        <v>30</v>
      </c>
      <c r="P10491" s="16" t="s">
        <v>29735</v>
      </c>
      <c r="Q10491" s="15" t="s">
        <v>114</v>
      </c>
      <c r="R10491" s="13" t="str">
        <f>HYPERLINK("https://my.pitchbook.com?c=96258-34T","View Company Online")</f>
        <v>View Company Online</v>
      </c>
    </row>
    <row r="10492" spans="1:18" hidden="1" x14ac:dyDescent="0.3">
      <c r="A10492" s="9" t="s">
        <v>29736</v>
      </c>
      <c r="B10492" s="9" t="s">
        <v>22200</v>
      </c>
      <c r="C10492" s="11" t="s">
        <v>28</v>
      </c>
      <c r="D10492" s="9" t="s">
        <v>22201</v>
      </c>
      <c r="E10492" s="11" t="s">
        <v>28</v>
      </c>
      <c r="F10492" s="10" t="s">
        <v>28</v>
      </c>
      <c r="G10492" s="10" t="s">
        <v>28</v>
      </c>
      <c r="H10492" s="10" t="s">
        <v>28</v>
      </c>
      <c r="I10492" s="11" t="s">
        <v>28</v>
      </c>
      <c r="J10492" s="11" t="s">
        <v>28</v>
      </c>
      <c r="K10492" s="11" t="s">
        <v>28</v>
      </c>
      <c r="L10492" s="11" t="s">
        <v>28</v>
      </c>
      <c r="M10492" s="11" t="s">
        <v>28</v>
      </c>
      <c r="N10492" s="8">
        <v>41697</v>
      </c>
      <c r="O10492" s="9" t="s">
        <v>58</v>
      </c>
      <c r="P10492" s="12" t="s">
        <v>22202</v>
      </c>
      <c r="Q10492" s="9" t="s">
        <v>54</v>
      </c>
      <c r="R10492" s="14" t="str">
        <f>HYPERLINK("https://my.pitchbook.com?c=117419-95T","View Company Online")</f>
        <v>View Company Online</v>
      </c>
    </row>
    <row r="10493" spans="1:18" hidden="1" x14ac:dyDescent="0.3">
      <c r="A10493" s="15" t="s">
        <v>29737</v>
      </c>
      <c r="B10493" s="15" t="s">
        <v>28246</v>
      </c>
      <c r="C10493" s="18" t="s">
        <v>28</v>
      </c>
      <c r="D10493" s="15" t="s">
        <v>28247</v>
      </c>
      <c r="E10493" s="18" t="s">
        <v>28</v>
      </c>
      <c r="F10493" s="19">
        <v>900</v>
      </c>
      <c r="G10493" s="19">
        <v>900</v>
      </c>
      <c r="H10493" s="19">
        <v>900</v>
      </c>
      <c r="I10493" s="18" t="s">
        <v>28</v>
      </c>
      <c r="J10493" s="18" t="s">
        <v>28</v>
      </c>
      <c r="K10493" s="18" t="s">
        <v>28</v>
      </c>
      <c r="L10493" s="18" t="s">
        <v>28</v>
      </c>
      <c r="M10493" s="18" t="s">
        <v>28</v>
      </c>
      <c r="N10493" s="17">
        <v>41697</v>
      </c>
      <c r="O10493" s="15" t="s">
        <v>41</v>
      </c>
      <c r="P10493" s="16" t="s">
        <v>29738</v>
      </c>
      <c r="Q10493" s="15" t="s">
        <v>5347</v>
      </c>
      <c r="R10493" s="13" t="str">
        <f>HYPERLINK("https://my.pitchbook.com?c=78043-78T","View Company Online")</f>
        <v>View Company Online</v>
      </c>
    </row>
    <row r="10494" spans="1:18" hidden="1" x14ac:dyDescent="0.3">
      <c r="A10494" s="9" t="s">
        <v>29739</v>
      </c>
      <c r="B10494" s="9" t="s">
        <v>14560</v>
      </c>
      <c r="C10494" s="11" t="s">
        <v>28</v>
      </c>
      <c r="D10494" s="9" t="s">
        <v>14561</v>
      </c>
      <c r="E10494" s="11" t="s">
        <v>28</v>
      </c>
      <c r="F10494" s="10" t="s">
        <v>28</v>
      </c>
      <c r="G10494" s="10">
        <v>3</v>
      </c>
      <c r="H10494" s="10" t="s">
        <v>28</v>
      </c>
      <c r="I10494" s="11" t="s">
        <v>28</v>
      </c>
      <c r="J10494" s="11" t="s">
        <v>28</v>
      </c>
      <c r="K10494" s="11" t="s">
        <v>28</v>
      </c>
      <c r="L10494" s="11" t="s">
        <v>28</v>
      </c>
      <c r="M10494" s="11" t="s">
        <v>28</v>
      </c>
      <c r="N10494" s="8">
        <v>41696</v>
      </c>
      <c r="O10494" s="9" t="s">
        <v>73</v>
      </c>
      <c r="P10494" s="12" t="s">
        <v>29740</v>
      </c>
      <c r="Q10494" s="9" t="s">
        <v>37</v>
      </c>
      <c r="R10494" s="14" t="str">
        <f>HYPERLINK("https://my.pitchbook.com?c=37982-53T","View Company Online")</f>
        <v>View Company Online</v>
      </c>
    </row>
    <row r="10495" spans="1:18" hidden="1" x14ac:dyDescent="0.3">
      <c r="A10495" s="15" t="s">
        <v>29741</v>
      </c>
      <c r="B10495" s="15" t="s">
        <v>29742</v>
      </c>
      <c r="C10495" s="18" t="s">
        <v>28</v>
      </c>
      <c r="D10495" s="15" t="s">
        <v>29743</v>
      </c>
      <c r="E10495" s="18" t="s">
        <v>28</v>
      </c>
      <c r="F10495" s="19" t="s">
        <v>28</v>
      </c>
      <c r="G10495" s="19">
        <v>0.45</v>
      </c>
      <c r="H10495" s="19" t="s">
        <v>28</v>
      </c>
      <c r="I10495" s="18" t="s">
        <v>28</v>
      </c>
      <c r="J10495" s="18" t="s">
        <v>28</v>
      </c>
      <c r="K10495" s="18" t="s">
        <v>28</v>
      </c>
      <c r="L10495" s="18" t="s">
        <v>28</v>
      </c>
      <c r="M10495" s="18" t="s">
        <v>28</v>
      </c>
      <c r="N10495" s="17">
        <v>41696</v>
      </c>
      <c r="O10495" s="15" t="s">
        <v>79</v>
      </c>
      <c r="P10495" s="16" t="s">
        <v>28</v>
      </c>
      <c r="Q10495" s="15" t="s">
        <v>419</v>
      </c>
      <c r="R10495" s="13" t="str">
        <f>HYPERLINK("https://my.pitchbook.com?c=31883-05T","View Company Online")</f>
        <v>View Company Online</v>
      </c>
    </row>
    <row r="10496" spans="1:18" hidden="1" x14ac:dyDescent="0.3">
      <c r="A10496" s="9" t="s">
        <v>29744</v>
      </c>
      <c r="B10496" s="9" t="s">
        <v>25402</v>
      </c>
      <c r="C10496" s="11" t="s">
        <v>28</v>
      </c>
      <c r="D10496" s="9" t="s">
        <v>25403</v>
      </c>
      <c r="E10496" s="11" t="s">
        <v>28</v>
      </c>
      <c r="F10496" s="10" t="s">
        <v>28</v>
      </c>
      <c r="G10496" s="10">
        <v>12.75</v>
      </c>
      <c r="H10496" s="10">
        <v>115.34</v>
      </c>
      <c r="I10496" s="11" t="s">
        <v>28</v>
      </c>
      <c r="J10496" s="11" t="s">
        <v>28</v>
      </c>
      <c r="K10496" s="11" t="s">
        <v>28</v>
      </c>
      <c r="L10496" s="11" t="s">
        <v>28</v>
      </c>
      <c r="M10496" s="11" t="s">
        <v>28</v>
      </c>
      <c r="N10496" s="8">
        <v>41691</v>
      </c>
      <c r="O10496" s="9" t="s">
        <v>79</v>
      </c>
      <c r="P10496" s="12" t="s">
        <v>29745</v>
      </c>
      <c r="Q10496" s="9" t="s">
        <v>119</v>
      </c>
      <c r="R10496" s="14" t="str">
        <f>HYPERLINK("https://my.pitchbook.com?c=33969-25T","View Company Online")</f>
        <v>View Company Online</v>
      </c>
    </row>
    <row r="10497" spans="1:18" hidden="1" x14ac:dyDescent="0.3">
      <c r="A10497" s="15" t="s">
        <v>29746</v>
      </c>
      <c r="B10497" s="15" t="s">
        <v>29747</v>
      </c>
      <c r="C10497" s="18" t="s">
        <v>28</v>
      </c>
      <c r="D10497" s="15" t="s">
        <v>29748</v>
      </c>
      <c r="E10497" s="18" t="s">
        <v>28</v>
      </c>
      <c r="F10497" s="19" t="s">
        <v>28</v>
      </c>
      <c r="G10497" s="19">
        <v>0.01</v>
      </c>
      <c r="H10497" s="19" t="s">
        <v>28</v>
      </c>
      <c r="I10497" s="18" t="s">
        <v>28</v>
      </c>
      <c r="J10497" s="18" t="s">
        <v>28</v>
      </c>
      <c r="K10497" s="18" t="s">
        <v>28</v>
      </c>
      <c r="L10497" s="18" t="s">
        <v>28</v>
      </c>
      <c r="M10497" s="18" t="s">
        <v>28</v>
      </c>
      <c r="N10497" s="17">
        <v>41690</v>
      </c>
      <c r="O10497" s="15" t="s">
        <v>99</v>
      </c>
      <c r="P10497" s="16" t="s">
        <v>28</v>
      </c>
      <c r="Q10497" s="15" t="s">
        <v>855</v>
      </c>
      <c r="R10497" s="13" t="str">
        <f>HYPERLINK("https://my.pitchbook.com?c=56583-19T","View Company Online")</f>
        <v>View Company Online</v>
      </c>
    </row>
    <row r="10498" spans="1:18" hidden="1" x14ac:dyDescent="0.3">
      <c r="A10498" s="9" t="s">
        <v>29749</v>
      </c>
      <c r="B10498" s="9" t="s">
        <v>22407</v>
      </c>
      <c r="C10498" s="11" t="s">
        <v>28</v>
      </c>
      <c r="D10498" s="9" t="s">
        <v>22408</v>
      </c>
      <c r="E10498" s="11" t="s">
        <v>28</v>
      </c>
      <c r="F10498" s="10" t="s">
        <v>28</v>
      </c>
      <c r="G10498" s="10">
        <v>16.63</v>
      </c>
      <c r="H10498" s="10" t="s">
        <v>28</v>
      </c>
      <c r="I10498" s="11" t="s">
        <v>28</v>
      </c>
      <c r="J10498" s="11" t="s">
        <v>28</v>
      </c>
      <c r="K10498" s="11">
        <v>42.09</v>
      </c>
      <c r="L10498" s="11" t="s">
        <v>28</v>
      </c>
      <c r="M10498" s="11" t="s">
        <v>28</v>
      </c>
      <c r="N10498" s="8">
        <v>41690</v>
      </c>
      <c r="O10498" s="9" t="s">
        <v>93</v>
      </c>
      <c r="P10498" s="12" t="s">
        <v>29750</v>
      </c>
      <c r="Q10498" s="9" t="s">
        <v>449</v>
      </c>
      <c r="R10498" s="14" t="str">
        <f>HYPERLINK("https://my.pitchbook.com?c=74560-96T","View Company Online")</f>
        <v>View Company Online</v>
      </c>
    </row>
    <row r="10499" spans="1:18" hidden="1" x14ac:dyDescent="0.3">
      <c r="A10499" s="15" t="s">
        <v>29751</v>
      </c>
      <c r="B10499" s="15" t="s">
        <v>29752</v>
      </c>
      <c r="C10499" s="18" t="s">
        <v>28</v>
      </c>
      <c r="D10499" s="15" t="s">
        <v>29753</v>
      </c>
      <c r="E10499" s="18" t="s">
        <v>28</v>
      </c>
      <c r="F10499" s="19">
        <v>4.2</v>
      </c>
      <c r="G10499" s="19">
        <v>2.94</v>
      </c>
      <c r="H10499" s="19">
        <v>4.2</v>
      </c>
      <c r="I10499" s="18" t="s">
        <v>28</v>
      </c>
      <c r="J10499" s="18" t="s">
        <v>28</v>
      </c>
      <c r="K10499" s="18">
        <v>6.9</v>
      </c>
      <c r="L10499" s="18">
        <v>0.61</v>
      </c>
      <c r="M10499" s="18">
        <v>-0.31</v>
      </c>
      <c r="N10499" s="17">
        <v>41690</v>
      </c>
      <c r="O10499" s="15" t="s">
        <v>30</v>
      </c>
      <c r="P10499" s="16" t="s">
        <v>29754</v>
      </c>
      <c r="Q10499" s="15" t="s">
        <v>419</v>
      </c>
      <c r="R10499" s="13" t="str">
        <f>HYPERLINK("https://my.pitchbook.com?c=166797-46T","View Company Online")</f>
        <v>View Company Online</v>
      </c>
    </row>
    <row r="10500" spans="1:18" hidden="1" x14ac:dyDescent="0.3">
      <c r="A10500" s="9" t="s">
        <v>29755</v>
      </c>
      <c r="B10500" s="9" t="s">
        <v>28319</v>
      </c>
      <c r="C10500" s="11" t="s">
        <v>28</v>
      </c>
      <c r="D10500" s="9" t="s">
        <v>28320</v>
      </c>
      <c r="E10500" s="11" t="s">
        <v>28</v>
      </c>
      <c r="F10500" s="10" t="s">
        <v>28</v>
      </c>
      <c r="G10500" s="10">
        <v>1.2</v>
      </c>
      <c r="H10500" s="10" t="s">
        <v>28</v>
      </c>
      <c r="I10500" s="11" t="s">
        <v>28</v>
      </c>
      <c r="J10500" s="11" t="s">
        <v>28</v>
      </c>
      <c r="K10500" s="11" t="s">
        <v>28</v>
      </c>
      <c r="L10500" s="11" t="s">
        <v>28</v>
      </c>
      <c r="M10500" s="11" t="s">
        <v>28</v>
      </c>
      <c r="N10500" s="8">
        <v>41690</v>
      </c>
      <c r="O10500" s="9" t="s">
        <v>73</v>
      </c>
      <c r="P10500" s="12" t="s">
        <v>28</v>
      </c>
      <c r="Q10500" s="9" t="s">
        <v>386</v>
      </c>
      <c r="R10500" s="14" t="str">
        <f>HYPERLINK("https://my.pitchbook.com?c=34653-34T","View Company Online")</f>
        <v>View Company Online</v>
      </c>
    </row>
    <row r="10501" spans="1:18" hidden="1" x14ac:dyDescent="0.3">
      <c r="A10501" s="15" t="s">
        <v>29756</v>
      </c>
      <c r="B10501" s="15" t="s">
        <v>10956</v>
      </c>
      <c r="C10501" s="18" t="s">
        <v>28</v>
      </c>
      <c r="D10501" s="15" t="s">
        <v>10957</v>
      </c>
      <c r="E10501" s="18">
        <v>-56.04</v>
      </c>
      <c r="F10501" s="19" t="s">
        <v>28</v>
      </c>
      <c r="G10501" s="19">
        <v>100</v>
      </c>
      <c r="H10501" s="19" t="s">
        <v>28</v>
      </c>
      <c r="I10501" s="18">
        <v>203.44</v>
      </c>
      <c r="J10501" s="18" t="s">
        <v>28</v>
      </c>
      <c r="K10501" s="18">
        <v>4142.67</v>
      </c>
      <c r="L10501" s="18" t="s">
        <v>28</v>
      </c>
      <c r="M10501" s="18">
        <v>-368.44</v>
      </c>
      <c r="N10501" s="17">
        <v>41689</v>
      </c>
      <c r="O10501" s="15" t="s">
        <v>159</v>
      </c>
      <c r="P10501" s="16" t="s">
        <v>29757</v>
      </c>
      <c r="Q10501" s="15" t="s">
        <v>2168</v>
      </c>
      <c r="R10501" s="13" t="str">
        <f>HYPERLINK("https://my.pitchbook.com?c=112267-36T","View Company Online")</f>
        <v>View Company Online</v>
      </c>
    </row>
    <row r="10502" spans="1:18" hidden="1" x14ac:dyDescent="0.3">
      <c r="A10502" s="9" t="s">
        <v>29758</v>
      </c>
      <c r="B10502" s="9" t="s">
        <v>29759</v>
      </c>
      <c r="C10502" s="11" t="s">
        <v>28</v>
      </c>
      <c r="D10502" s="9" t="s">
        <v>29760</v>
      </c>
      <c r="E10502" s="11" t="s">
        <v>28</v>
      </c>
      <c r="F10502" s="10">
        <v>12.34</v>
      </c>
      <c r="G10502" s="10">
        <v>12.34</v>
      </c>
      <c r="H10502" s="10">
        <v>12.34</v>
      </c>
      <c r="I10502" s="11" t="s">
        <v>28</v>
      </c>
      <c r="J10502" s="11" t="s">
        <v>28</v>
      </c>
      <c r="K10502" s="11" t="s">
        <v>28</v>
      </c>
      <c r="L10502" s="11" t="s">
        <v>28</v>
      </c>
      <c r="M10502" s="11" t="s">
        <v>28</v>
      </c>
      <c r="N10502" s="8">
        <v>41688</v>
      </c>
      <c r="O10502" s="9" t="s">
        <v>30</v>
      </c>
      <c r="P10502" s="12" t="s">
        <v>29761</v>
      </c>
      <c r="Q10502" s="9" t="s">
        <v>75</v>
      </c>
      <c r="R10502" s="14" t="str">
        <f>HYPERLINK("https://my.pitchbook.com?c=66481-48T","View Company Online")</f>
        <v>View Company Online</v>
      </c>
    </row>
    <row r="10503" spans="1:18" hidden="1" x14ac:dyDescent="0.3">
      <c r="A10503" s="15" t="s">
        <v>29762</v>
      </c>
      <c r="B10503" s="15" t="s">
        <v>29763</v>
      </c>
      <c r="C10503" s="18" t="s">
        <v>28</v>
      </c>
      <c r="D10503" s="15" t="s">
        <v>29764</v>
      </c>
      <c r="E10503" s="18" t="s">
        <v>28</v>
      </c>
      <c r="F10503" s="19" t="s">
        <v>28</v>
      </c>
      <c r="G10503" s="19" t="s">
        <v>28</v>
      </c>
      <c r="H10503" s="19" t="s">
        <v>28</v>
      </c>
      <c r="I10503" s="18" t="s">
        <v>28</v>
      </c>
      <c r="J10503" s="18" t="s">
        <v>28</v>
      </c>
      <c r="K10503" s="18" t="s">
        <v>28</v>
      </c>
      <c r="L10503" s="18" t="s">
        <v>28</v>
      </c>
      <c r="M10503" s="18" t="s">
        <v>28</v>
      </c>
      <c r="N10503" s="17">
        <v>41687</v>
      </c>
      <c r="O10503" s="15" t="s">
        <v>30</v>
      </c>
      <c r="P10503" s="16" t="s">
        <v>29765</v>
      </c>
      <c r="Q10503" s="15" t="s">
        <v>160</v>
      </c>
      <c r="R10503" s="13" t="str">
        <f>HYPERLINK("https://my.pitchbook.com?c=91727-38T","View Company Online")</f>
        <v>View Company Online</v>
      </c>
    </row>
    <row r="10504" spans="1:18" hidden="1" x14ac:dyDescent="0.3">
      <c r="A10504" s="9" t="s">
        <v>29766</v>
      </c>
      <c r="B10504" s="9" t="s">
        <v>29767</v>
      </c>
      <c r="C10504" s="11" t="s">
        <v>28</v>
      </c>
      <c r="D10504" s="9" t="s">
        <v>29768</v>
      </c>
      <c r="E10504" s="11" t="s">
        <v>28</v>
      </c>
      <c r="F10504" s="10">
        <v>0.01</v>
      </c>
      <c r="G10504" s="10">
        <v>0.01</v>
      </c>
      <c r="H10504" s="10">
        <v>0.01</v>
      </c>
      <c r="I10504" s="11" t="s">
        <v>28</v>
      </c>
      <c r="J10504" s="11" t="s">
        <v>28</v>
      </c>
      <c r="K10504" s="11" t="s">
        <v>28</v>
      </c>
      <c r="L10504" s="11" t="s">
        <v>28</v>
      </c>
      <c r="M10504" s="11" t="s">
        <v>28</v>
      </c>
      <c r="N10504" s="8">
        <v>41684</v>
      </c>
      <c r="O10504" s="9" t="s">
        <v>30</v>
      </c>
      <c r="P10504" s="12" t="s">
        <v>27901</v>
      </c>
      <c r="Q10504" s="9" t="s">
        <v>32</v>
      </c>
      <c r="R10504" s="14" t="str">
        <f>HYPERLINK("https://my.pitchbook.com?c=265163-32T","View Company Online")</f>
        <v>View Company Online</v>
      </c>
    </row>
    <row r="10505" spans="1:18" hidden="1" x14ac:dyDescent="0.3">
      <c r="A10505" s="15" t="s">
        <v>29769</v>
      </c>
      <c r="B10505" s="15" t="s">
        <v>20324</v>
      </c>
      <c r="C10505" s="18" t="s">
        <v>28</v>
      </c>
      <c r="D10505" s="15" t="s">
        <v>20325</v>
      </c>
      <c r="E10505" s="18" t="s">
        <v>28</v>
      </c>
      <c r="F10505" s="19" t="s">
        <v>28</v>
      </c>
      <c r="G10505" s="19">
        <v>2.09</v>
      </c>
      <c r="H10505" s="19" t="s">
        <v>28</v>
      </c>
      <c r="I10505" s="18" t="s">
        <v>28</v>
      </c>
      <c r="J10505" s="18" t="s">
        <v>28</v>
      </c>
      <c r="K10505" s="18" t="s">
        <v>28</v>
      </c>
      <c r="L10505" s="18" t="s">
        <v>28</v>
      </c>
      <c r="M10505" s="18" t="s">
        <v>28</v>
      </c>
      <c r="N10505" s="17">
        <v>41684</v>
      </c>
      <c r="O10505" s="15" t="s">
        <v>52</v>
      </c>
      <c r="P10505" s="16" t="s">
        <v>22281</v>
      </c>
      <c r="Q10505" s="15" t="s">
        <v>583</v>
      </c>
      <c r="R10505" s="13" t="str">
        <f>HYPERLINK("https://my.pitchbook.com?c=134949-70T","View Company Online")</f>
        <v>View Company Online</v>
      </c>
    </row>
    <row r="10506" spans="1:18" hidden="1" x14ac:dyDescent="0.3">
      <c r="A10506" s="9" t="s">
        <v>29770</v>
      </c>
      <c r="B10506" s="9" t="s">
        <v>29771</v>
      </c>
      <c r="C10506" s="11" t="s">
        <v>28</v>
      </c>
      <c r="D10506" s="9" t="s">
        <v>29772</v>
      </c>
      <c r="E10506" s="11" t="s">
        <v>28</v>
      </c>
      <c r="F10506" s="10">
        <v>10.43</v>
      </c>
      <c r="G10506" s="10">
        <v>5.22</v>
      </c>
      <c r="H10506" s="10">
        <v>10.43</v>
      </c>
      <c r="I10506" s="11" t="s">
        <v>28</v>
      </c>
      <c r="J10506" s="11" t="s">
        <v>28</v>
      </c>
      <c r="K10506" s="11" t="s">
        <v>28</v>
      </c>
      <c r="L10506" s="11" t="s">
        <v>28</v>
      </c>
      <c r="M10506" s="11" t="s">
        <v>28</v>
      </c>
      <c r="N10506" s="8">
        <v>41683</v>
      </c>
      <c r="O10506" s="9" t="s">
        <v>30</v>
      </c>
      <c r="P10506" s="12" t="s">
        <v>27288</v>
      </c>
      <c r="Q10506" s="9" t="s">
        <v>353</v>
      </c>
      <c r="R10506" s="14" t="str">
        <f>HYPERLINK("https://my.pitchbook.com?c=70505-20T","View Company Online")</f>
        <v>View Company Online</v>
      </c>
    </row>
    <row r="10507" spans="1:18" hidden="1" x14ac:dyDescent="0.3">
      <c r="A10507" s="15" t="s">
        <v>29773</v>
      </c>
      <c r="B10507" s="15" t="s">
        <v>25031</v>
      </c>
      <c r="C10507" s="18" t="s">
        <v>28</v>
      </c>
      <c r="D10507" s="15" t="s">
        <v>25032</v>
      </c>
      <c r="E10507" s="18" t="s">
        <v>28</v>
      </c>
      <c r="F10507" s="19" t="s">
        <v>28</v>
      </c>
      <c r="G10507" s="19">
        <v>29.7</v>
      </c>
      <c r="H10507" s="19">
        <v>119.3</v>
      </c>
      <c r="I10507" s="18" t="s">
        <v>28</v>
      </c>
      <c r="J10507" s="18" t="s">
        <v>28</v>
      </c>
      <c r="K10507" s="18" t="s">
        <v>28</v>
      </c>
      <c r="L10507" s="18" t="s">
        <v>28</v>
      </c>
      <c r="M10507" s="18" t="s">
        <v>28</v>
      </c>
      <c r="N10507" s="17">
        <v>41683</v>
      </c>
      <c r="O10507" s="15" t="s">
        <v>79</v>
      </c>
      <c r="P10507" s="16" t="s">
        <v>29774</v>
      </c>
      <c r="Q10507" s="15" t="s">
        <v>740</v>
      </c>
      <c r="R10507" s="13" t="str">
        <f>HYPERLINK("https://my.pitchbook.com?c=37343-53T","View Company Online")</f>
        <v>View Company Online</v>
      </c>
    </row>
    <row r="10508" spans="1:18" hidden="1" x14ac:dyDescent="0.3">
      <c r="A10508" s="9" t="s">
        <v>29775</v>
      </c>
      <c r="B10508" s="9" t="s">
        <v>22915</v>
      </c>
      <c r="C10508" s="11" t="s">
        <v>28</v>
      </c>
      <c r="D10508" s="9" t="s">
        <v>22916</v>
      </c>
      <c r="E10508" s="11" t="s">
        <v>28</v>
      </c>
      <c r="F10508" s="10" t="s">
        <v>28</v>
      </c>
      <c r="G10508" s="10" t="s">
        <v>28</v>
      </c>
      <c r="H10508" s="10" t="s">
        <v>28</v>
      </c>
      <c r="I10508" s="11" t="s">
        <v>28</v>
      </c>
      <c r="J10508" s="11" t="s">
        <v>28</v>
      </c>
      <c r="K10508" s="11" t="s">
        <v>28</v>
      </c>
      <c r="L10508" s="11" t="s">
        <v>28</v>
      </c>
      <c r="M10508" s="11" t="s">
        <v>28</v>
      </c>
      <c r="N10508" s="8">
        <v>41682</v>
      </c>
      <c r="O10508" s="9" t="s">
        <v>30</v>
      </c>
      <c r="P10508" s="12" t="s">
        <v>29776</v>
      </c>
      <c r="Q10508" s="9" t="s">
        <v>449</v>
      </c>
      <c r="R10508" s="14" t="str">
        <f>HYPERLINK("https://my.pitchbook.com?c=93128-95T","View Company Online")</f>
        <v>View Company Online</v>
      </c>
    </row>
    <row r="10509" spans="1:18" hidden="1" x14ac:dyDescent="0.3">
      <c r="A10509" s="15" t="s">
        <v>29777</v>
      </c>
      <c r="B10509" s="15" t="s">
        <v>29778</v>
      </c>
      <c r="C10509" s="18" t="s">
        <v>28</v>
      </c>
      <c r="D10509" s="15" t="s">
        <v>29779</v>
      </c>
      <c r="E10509" s="18" t="s">
        <v>28</v>
      </c>
      <c r="F10509" s="19" t="s">
        <v>28</v>
      </c>
      <c r="G10509" s="19" t="s">
        <v>28</v>
      </c>
      <c r="H10509" s="19" t="s">
        <v>28</v>
      </c>
      <c r="I10509" s="18" t="s">
        <v>28</v>
      </c>
      <c r="J10509" s="18" t="s">
        <v>28</v>
      </c>
      <c r="K10509" s="18" t="s">
        <v>28</v>
      </c>
      <c r="L10509" s="18" t="s">
        <v>28</v>
      </c>
      <c r="M10509" s="18" t="s">
        <v>28</v>
      </c>
      <c r="N10509" s="17">
        <v>41681</v>
      </c>
      <c r="O10509" s="15" t="s">
        <v>52</v>
      </c>
      <c r="P10509" s="16" t="s">
        <v>11539</v>
      </c>
      <c r="Q10509" s="15" t="s">
        <v>386</v>
      </c>
      <c r="R10509" s="13" t="str">
        <f>HYPERLINK("https://my.pitchbook.com?c=133052-32T","View Company Online")</f>
        <v>View Company Online</v>
      </c>
    </row>
    <row r="10510" spans="1:18" hidden="1" x14ac:dyDescent="0.3">
      <c r="A10510" s="9" t="s">
        <v>29780</v>
      </c>
      <c r="B10510" s="9" t="s">
        <v>24849</v>
      </c>
      <c r="C10510" s="11" t="s">
        <v>28</v>
      </c>
      <c r="D10510" s="9" t="s">
        <v>26529</v>
      </c>
      <c r="E10510" s="11">
        <v>0.18</v>
      </c>
      <c r="F10510" s="10" t="s">
        <v>28</v>
      </c>
      <c r="G10510" s="10" t="s">
        <v>28</v>
      </c>
      <c r="H10510" s="10" t="s">
        <v>28</v>
      </c>
      <c r="I10510" s="11">
        <v>0.85</v>
      </c>
      <c r="J10510" s="11" t="s">
        <v>28</v>
      </c>
      <c r="K10510" s="11">
        <v>14.7</v>
      </c>
      <c r="L10510" s="11" t="s">
        <v>28</v>
      </c>
      <c r="M10510" s="11">
        <v>0.09</v>
      </c>
      <c r="N10510" s="8">
        <v>41681</v>
      </c>
      <c r="O10510" s="9" t="s">
        <v>173</v>
      </c>
      <c r="P10510" s="12" t="s">
        <v>28</v>
      </c>
      <c r="Q10510" s="9" t="s">
        <v>880</v>
      </c>
      <c r="R10510" s="14" t="str">
        <f>HYPERLINK("https://my.pitchbook.com?c=91889-65T","View Company Online")</f>
        <v>View Company Online</v>
      </c>
    </row>
    <row r="10511" spans="1:18" hidden="1" x14ac:dyDescent="0.3">
      <c r="A10511" s="15" t="s">
        <v>29781</v>
      </c>
      <c r="B10511" s="15" t="s">
        <v>29782</v>
      </c>
      <c r="C10511" s="18" t="s">
        <v>28</v>
      </c>
      <c r="D10511" s="15" t="s">
        <v>29783</v>
      </c>
      <c r="E10511" s="18" t="s">
        <v>28</v>
      </c>
      <c r="F10511" s="19" t="s">
        <v>28</v>
      </c>
      <c r="G10511" s="19" t="s">
        <v>28</v>
      </c>
      <c r="H10511" s="19" t="s">
        <v>28</v>
      </c>
      <c r="I10511" s="18" t="s">
        <v>28</v>
      </c>
      <c r="J10511" s="18" t="s">
        <v>28</v>
      </c>
      <c r="K10511" s="18" t="s">
        <v>28</v>
      </c>
      <c r="L10511" s="18" t="s">
        <v>28</v>
      </c>
      <c r="M10511" s="18" t="s">
        <v>28</v>
      </c>
      <c r="N10511" s="17">
        <v>41681</v>
      </c>
      <c r="O10511" s="15" t="s">
        <v>41</v>
      </c>
      <c r="P10511" s="16" t="s">
        <v>29784</v>
      </c>
      <c r="Q10511" s="15" t="s">
        <v>85</v>
      </c>
      <c r="R10511" s="13" t="str">
        <f>HYPERLINK("https://my.pitchbook.com?c=31546-81T","View Company Online")</f>
        <v>View Company Online</v>
      </c>
    </row>
    <row r="10512" spans="1:18" hidden="1" x14ac:dyDescent="0.3">
      <c r="A10512" s="9" t="s">
        <v>29785</v>
      </c>
      <c r="B10512" s="9" t="s">
        <v>25600</v>
      </c>
      <c r="C10512" s="11" t="s">
        <v>28</v>
      </c>
      <c r="D10512" s="9" t="s">
        <v>25601</v>
      </c>
      <c r="E10512" s="11">
        <v>-0.02</v>
      </c>
      <c r="F10512" s="10" t="s">
        <v>28</v>
      </c>
      <c r="G10512" s="10" t="s">
        <v>28</v>
      </c>
      <c r="H10512" s="10" t="s">
        <v>28</v>
      </c>
      <c r="I10512" s="11">
        <v>-0.02</v>
      </c>
      <c r="J10512" s="11" t="s">
        <v>28</v>
      </c>
      <c r="K10512" s="11">
        <v>0</v>
      </c>
      <c r="L10512" s="11" t="s">
        <v>28</v>
      </c>
      <c r="M10512" s="11">
        <v>-0.02</v>
      </c>
      <c r="N10512" s="8">
        <v>41680</v>
      </c>
      <c r="O10512" s="9" t="s">
        <v>173</v>
      </c>
      <c r="P10512" s="12" t="s">
        <v>28</v>
      </c>
      <c r="Q10512" s="9" t="s">
        <v>658</v>
      </c>
      <c r="R10512" s="14" t="str">
        <f>HYPERLINK("https://my.pitchbook.com?c=225025-12T","View Company Online")</f>
        <v>View Company Online</v>
      </c>
    </row>
    <row r="10513" spans="1:18" hidden="1" x14ac:dyDescent="0.3">
      <c r="A10513" s="15" t="s">
        <v>29786</v>
      </c>
      <c r="B10513" s="15" t="s">
        <v>26727</v>
      </c>
      <c r="C10513" s="18" t="s">
        <v>28</v>
      </c>
      <c r="D10513" s="15" t="s">
        <v>26728</v>
      </c>
      <c r="E10513" s="18" t="s">
        <v>28</v>
      </c>
      <c r="F10513" s="19" t="s">
        <v>28</v>
      </c>
      <c r="G10513" s="19">
        <v>0.25</v>
      </c>
      <c r="H10513" s="19">
        <v>8.25</v>
      </c>
      <c r="I10513" s="18" t="s">
        <v>28</v>
      </c>
      <c r="J10513" s="18" t="s">
        <v>28</v>
      </c>
      <c r="K10513" s="18" t="s">
        <v>28</v>
      </c>
      <c r="L10513" s="18" t="s">
        <v>28</v>
      </c>
      <c r="M10513" s="18" t="s">
        <v>28</v>
      </c>
      <c r="N10513" s="17">
        <v>41680</v>
      </c>
      <c r="O10513" s="15" t="s">
        <v>379</v>
      </c>
      <c r="P10513" s="16" t="s">
        <v>28</v>
      </c>
      <c r="Q10513" s="15" t="s">
        <v>419</v>
      </c>
      <c r="R10513" s="13" t="str">
        <f>HYPERLINK("https://my.pitchbook.com?c=51578-74T","View Company Online")</f>
        <v>View Company Online</v>
      </c>
    </row>
    <row r="10514" spans="1:18" hidden="1" x14ac:dyDescent="0.3">
      <c r="A10514" s="9" t="s">
        <v>29787</v>
      </c>
      <c r="B10514" s="9" t="s">
        <v>29788</v>
      </c>
      <c r="C10514" s="11" t="s">
        <v>28</v>
      </c>
      <c r="D10514" s="9" t="s">
        <v>29789</v>
      </c>
      <c r="E10514" s="11" t="s">
        <v>28</v>
      </c>
      <c r="F10514" s="10" t="s">
        <v>28</v>
      </c>
      <c r="G10514" s="10" t="s">
        <v>28</v>
      </c>
      <c r="H10514" s="10" t="s">
        <v>28</v>
      </c>
      <c r="I10514" s="11" t="s">
        <v>28</v>
      </c>
      <c r="J10514" s="11" t="s">
        <v>28</v>
      </c>
      <c r="K10514" s="11" t="s">
        <v>28</v>
      </c>
      <c r="L10514" s="11" t="s">
        <v>28</v>
      </c>
      <c r="M10514" s="11" t="s">
        <v>28</v>
      </c>
      <c r="N10514" s="8">
        <v>41679</v>
      </c>
      <c r="O10514" s="9" t="s">
        <v>173</v>
      </c>
      <c r="P10514" s="12" t="s">
        <v>28</v>
      </c>
      <c r="Q10514" s="9" t="s">
        <v>174</v>
      </c>
      <c r="R10514" s="14" t="str">
        <f>HYPERLINK("https://my.pitchbook.com?c=251566-03T","View Company Online")</f>
        <v>View Company Online</v>
      </c>
    </row>
    <row r="10515" spans="1:18" hidden="1" x14ac:dyDescent="0.3">
      <c r="A10515" s="15" t="s">
        <v>29790</v>
      </c>
      <c r="B10515" s="15" t="s">
        <v>20837</v>
      </c>
      <c r="C10515" s="18" t="s">
        <v>28</v>
      </c>
      <c r="D10515" s="15" t="s">
        <v>20838</v>
      </c>
      <c r="E10515" s="18" t="s">
        <v>28</v>
      </c>
      <c r="F10515" s="19">
        <v>11.24</v>
      </c>
      <c r="G10515" s="19">
        <v>7.87</v>
      </c>
      <c r="H10515" s="19">
        <v>11.24</v>
      </c>
      <c r="I10515" s="18" t="s">
        <v>28</v>
      </c>
      <c r="J10515" s="18" t="s">
        <v>28</v>
      </c>
      <c r="K10515" s="18" t="s">
        <v>28</v>
      </c>
      <c r="L10515" s="18" t="s">
        <v>28</v>
      </c>
      <c r="M10515" s="18" t="s">
        <v>28</v>
      </c>
      <c r="N10515" s="17">
        <v>41676</v>
      </c>
      <c r="O10515" s="15" t="s">
        <v>30</v>
      </c>
      <c r="P10515" s="16" t="s">
        <v>29791</v>
      </c>
      <c r="Q10515" s="15" t="s">
        <v>75</v>
      </c>
      <c r="R10515" s="13" t="str">
        <f>HYPERLINK("https://my.pitchbook.com?c=47997-91T","View Company Online")</f>
        <v>View Company Online</v>
      </c>
    </row>
    <row r="10516" spans="1:18" hidden="1" x14ac:dyDescent="0.3">
      <c r="A10516" s="9" t="s">
        <v>29792</v>
      </c>
      <c r="B10516" s="9" t="s">
        <v>29793</v>
      </c>
      <c r="C10516" s="11" t="s">
        <v>28</v>
      </c>
      <c r="D10516" s="9" t="s">
        <v>29794</v>
      </c>
      <c r="E10516" s="11" t="s">
        <v>28</v>
      </c>
      <c r="F10516" s="10">
        <v>43.27</v>
      </c>
      <c r="G10516" s="10">
        <v>43.27</v>
      </c>
      <c r="H10516" s="10">
        <v>43.27</v>
      </c>
      <c r="I10516" s="11" t="s">
        <v>28</v>
      </c>
      <c r="J10516" s="11" t="s">
        <v>28</v>
      </c>
      <c r="K10516" s="11" t="s">
        <v>28</v>
      </c>
      <c r="L10516" s="11" t="s">
        <v>28</v>
      </c>
      <c r="M10516" s="11" t="s">
        <v>28</v>
      </c>
      <c r="N10516" s="8">
        <v>41676</v>
      </c>
      <c r="O10516" s="9" t="s">
        <v>30</v>
      </c>
      <c r="P10516" s="12" t="s">
        <v>29710</v>
      </c>
      <c r="Q10516" s="9" t="s">
        <v>183</v>
      </c>
      <c r="R10516" s="14" t="str">
        <f>HYPERLINK("https://my.pitchbook.com?c=89722-81T","View Company Online")</f>
        <v>View Company Online</v>
      </c>
    </row>
    <row r="10517" spans="1:18" hidden="1" x14ac:dyDescent="0.3">
      <c r="A10517" s="15" t="s">
        <v>29795</v>
      </c>
      <c r="B10517" s="15" t="s">
        <v>22084</v>
      </c>
      <c r="C10517" s="18" t="s">
        <v>28</v>
      </c>
      <c r="D10517" s="15" t="s">
        <v>22085</v>
      </c>
      <c r="E10517" s="18" t="s">
        <v>28</v>
      </c>
      <c r="F10517" s="19" t="s">
        <v>28</v>
      </c>
      <c r="G10517" s="19">
        <v>2</v>
      </c>
      <c r="H10517" s="19" t="s">
        <v>28</v>
      </c>
      <c r="I10517" s="18" t="s">
        <v>28</v>
      </c>
      <c r="J10517" s="18" t="s">
        <v>28</v>
      </c>
      <c r="K10517" s="18" t="s">
        <v>28</v>
      </c>
      <c r="L10517" s="18" t="s">
        <v>28</v>
      </c>
      <c r="M10517" s="18" t="s">
        <v>28</v>
      </c>
      <c r="N10517" s="17">
        <v>41675</v>
      </c>
      <c r="O10517" s="15" t="s">
        <v>79</v>
      </c>
      <c r="P10517" s="16" t="s">
        <v>29796</v>
      </c>
      <c r="Q10517" s="15" t="s">
        <v>566</v>
      </c>
      <c r="R10517" s="13" t="str">
        <f>HYPERLINK("https://my.pitchbook.com?c=36903-34T","View Company Online")</f>
        <v>View Company Online</v>
      </c>
    </row>
    <row r="10518" spans="1:18" hidden="1" x14ac:dyDescent="0.3">
      <c r="A10518" s="9" t="s">
        <v>29797</v>
      </c>
      <c r="B10518" s="9" t="s">
        <v>26943</v>
      </c>
      <c r="C10518" s="11" t="s">
        <v>28</v>
      </c>
      <c r="D10518" s="9" t="s">
        <v>26944</v>
      </c>
      <c r="E10518" s="11" t="s">
        <v>28</v>
      </c>
      <c r="F10518" s="10" t="s">
        <v>28</v>
      </c>
      <c r="G10518" s="10">
        <v>0.63</v>
      </c>
      <c r="H10518" s="10" t="s">
        <v>28</v>
      </c>
      <c r="I10518" s="11" t="s">
        <v>28</v>
      </c>
      <c r="J10518" s="11" t="s">
        <v>28</v>
      </c>
      <c r="K10518" s="11">
        <v>0.69</v>
      </c>
      <c r="L10518" s="11" t="s">
        <v>28</v>
      </c>
      <c r="M10518" s="11" t="s">
        <v>28</v>
      </c>
      <c r="N10518" s="8">
        <v>41673</v>
      </c>
      <c r="O10518" s="9" t="s">
        <v>79</v>
      </c>
      <c r="P10518" s="12" t="s">
        <v>11495</v>
      </c>
      <c r="Q10518" s="9" t="s">
        <v>362</v>
      </c>
      <c r="R10518" s="14" t="str">
        <f>HYPERLINK("https://my.pitchbook.com?c=98239-60T","View Company Online")</f>
        <v>View Company Online</v>
      </c>
    </row>
    <row r="10519" spans="1:18" hidden="1" x14ac:dyDescent="0.3">
      <c r="A10519" s="15" t="s">
        <v>29798</v>
      </c>
      <c r="B10519" s="15" t="s">
        <v>22168</v>
      </c>
      <c r="C10519" s="18" t="s">
        <v>28</v>
      </c>
      <c r="D10519" s="15" t="s">
        <v>22169</v>
      </c>
      <c r="E10519" s="18" t="s">
        <v>28</v>
      </c>
      <c r="F10519" s="19" t="s">
        <v>28</v>
      </c>
      <c r="G10519" s="19" t="s">
        <v>28</v>
      </c>
      <c r="H10519" s="19" t="s">
        <v>28</v>
      </c>
      <c r="I10519" s="18" t="s">
        <v>28</v>
      </c>
      <c r="J10519" s="18" t="s">
        <v>28</v>
      </c>
      <c r="K10519" s="18" t="s">
        <v>28</v>
      </c>
      <c r="L10519" s="18" t="s">
        <v>28</v>
      </c>
      <c r="M10519" s="18" t="s">
        <v>28</v>
      </c>
      <c r="N10519" s="17">
        <v>41671</v>
      </c>
      <c r="O10519" s="15" t="s">
        <v>93</v>
      </c>
      <c r="P10519" s="16" t="s">
        <v>29799</v>
      </c>
      <c r="Q10519" s="15" t="s">
        <v>75</v>
      </c>
      <c r="R10519" s="13" t="str">
        <f>HYPERLINK("https://my.pitchbook.com?c=90630-55T","View Company Online")</f>
        <v>View Company Online</v>
      </c>
    </row>
    <row r="10520" spans="1:18" hidden="1" x14ac:dyDescent="0.3">
      <c r="A10520" s="9" t="s">
        <v>29800</v>
      </c>
      <c r="B10520" s="9" t="s">
        <v>26103</v>
      </c>
      <c r="C10520" s="11" t="s">
        <v>28</v>
      </c>
      <c r="D10520" s="9" t="s">
        <v>26104</v>
      </c>
      <c r="E10520" s="11" t="s">
        <v>28</v>
      </c>
      <c r="F10520" s="10" t="s">
        <v>28</v>
      </c>
      <c r="G10520" s="10">
        <v>0.04</v>
      </c>
      <c r="H10520" s="10" t="s">
        <v>28</v>
      </c>
      <c r="I10520" s="11" t="s">
        <v>28</v>
      </c>
      <c r="J10520" s="11" t="s">
        <v>28</v>
      </c>
      <c r="K10520" s="11" t="s">
        <v>28</v>
      </c>
      <c r="L10520" s="11" t="s">
        <v>28</v>
      </c>
      <c r="M10520" s="11" t="s">
        <v>28</v>
      </c>
      <c r="N10520" s="8">
        <v>41671</v>
      </c>
      <c r="O10520" s="9" t="s">
        <v>47</v>
      </c>
      <c r="P10520" s="12" t="s">
        <v>29801</v>
      </c>
      <c r="Q10520" s="9" t="s">
        <v>583</v>
      </c>
      <c r="R10520" s="14" t="str">
        <f>HYPERLINK("https://my.pitchbook.com?c=81673-21T","View Company Online")</f>
        <v>View Company Online</v>
      </c>
    </row>
    <row r="10521" spans="1:18" hidden="1" x14ac:dyDescent="0.3">
      <c r="A10521" s="15" t="s">
        <v>29802</v>
      </c>
      <c r="B10521" s="15" t="s">
        <v>29803</v>
      </c>
      <c r="C10521" s="18" t="s">
        <v>28</v>
      </c>
      <c r="D10521" s="15" t="s">
        <v>29804</v>
      </c>
      <c r="E10521" s="18" t="s">
        <v>28</v>
      </c>
      <c r="F10521" s="19" t="s">
        <v>28</v>
      </c>
      <c r="G10521" s="19" t="s">
        <v>28</v>
      </c>
      <c r="H10521" s="19" t="s">
        <v>28</v>
      </c>
      <c r="I10521" s="18" t="s">
        <v>28</v>
      </c>
      <c r="J10521" s="18" t="s">
        <v>28</v>
      </c>
      <c r="K10521" s="18" t="s">
        <v>28</v>
      </c>
      <c r="L10521" s="18" t="s">
        <v>28</v>
      </c>
      <c r="M10521" s="18" t="s">
        <v>28</v>
      </c>
      <c r="N10521" s="17">
        <v>41670</v>
      </c>
      <c r="O10521" s="15" t="s">
        <v>30</v>
      </c>
      <c r="P10521" s="16" t="s">
        <v>29805</v>
      </c>
      <c r="Q10521" s="15" t="s">
        <v>10313</v>
      </c>
      <c r="R10521" s="13" t="str">
        <f>HYPERLINK("https://my.pitchbook.com?c=89476-66T","View Company Online")</f>
        <v>View Company Online</v>
      </c>
    </row>
    <row r="10522" spans="1:18" hidden="1" x14ac:dyDescent="0.3">
      <c r="A10522" s="9" t="s">
        <v>29806</v>
      </c>
      <c r="B10522" s="9" t="s">
        <v>29807</v>
      </c>
      <c r="C10522" s="11" t="s">
        <v>28</v>
      </c>
      <c r="D10522" s="9" t="s">
        <v>29808</v>
      </c>
      <c r="E10522" s="11" t="s">
        <v>28</v>
      </c>
      <c r="F10522" s="10">
        <v>43.45</v>
      </c>
      <c r="G10522" s="10">
        <v>43.45</v>
      </c>
      <c r="H10522" s="10">
        <v>43.45</v>
      </c>
      <c r="I10522" s="11" t="s">
        <v>28</v>
      </c>
      <c r="J10522" s="11" t="s">
        <v>28</v>
      </c>
      <c r="K10522" s="11">
        <v>92.51</v>
      </c>
      <c r="L10522" s="11">
        <v>0.47</v>
      </c>
      <c r="M10522" s="11" t="s">
        <v>28</v>
      </c>
      <c r="N10522" s="8">
        <v>41669</v>
      </c>
      <c r="O10522" s="9" t="s">
        <v>30</v>
      </c>
      <c r="P10522" s="12" t="s">
        <v>3647</v>
      </c>
      <c r="Q10522" s="9" t="s">
        <v>136</v>
      </c>
      <c r="R10522" s="14" t="str">
        <f>HYPERLINK("https://my.pitchbook.com?c=92905-39T","View Company Online")</f>
        <v>View Company Online</v>
      </c>
    </row>
    <row r="10523" spans="1:18" hidden="1" x14ac:dyDescent="0.3">
      <c r="A10523" s="15" t="s">
        <v>29809</v>
      </c>
      <c r="B10523" s="15" t="s">
        <v>29810</v>
      </c>
      <c r="C10523" s="18" t="s">
        <v>28</v>
      </c>
      <c r="D10523" s="15" t="s">
        <v>29811</v>
      </c>
      <c r="E10523" s="18" t="s">
        <v>28</v>
      </c>
      <c r="F10523" s="19" t="s">
        <v>28</v>
      </c>
      <c r="G10523" s="19" t="s">
        <v>28</v>
      </c>
      <c r="H10523" s="19" t="s">
        <v>28</v>
      </c>
      <c r="I10523" s="18" t="s">
        <v>28</v>
      </c>
      <c r="J10523" s="18" t="s">
        <v>28</v>
      </c>
      <c r="K10523" s="18" t="s">
        <v>28</v>
      </c>
      <c r="L10523" s="18" t="s">
        <v>28</v>
      </c>
      <c r="M10523" s="18" t="s">
        <v>28</v>
      </c>
      <c r="N10523" s="17">
        <v>41669</v>
      </c>
      <c r="O10523" s="15" t="s">
        <v>30</v>
      </c>
      <c r="P10523" s="16" t="s">
        <v>29805</v>
      </c>
      <c r="Q10523" s="15" t="s">
        <v>900</v>
      </c>
      <c r="R10523" s="13" t="str">
        <f>HYPERLINK("https://my.pitchbook.com?c=89468-74T","View Company Online")</f>
        <v>View Company Online</v>
      </c>
    </row>
    <row r="10524" spans="1:18" hidden="1" x14ac:dyDescent="0.3">
      <c r="A10524" s="9" t="s">
        <v>29812</v>
      </c>
      <c r="B10524" s="9" t="s">
        <v>23325</v>
      </c>
      <c r="C10524" s="11" t="s">
        <v>28</v>
      </c>
      <c r="D10524" s="9" t="s">
        <v>23326</v>
      </c>
      <c r="E10524" s="11" t="s">
        <v>28</v>
      </c>
      <c r="F10524" s="10" t="s">
        <v>28</v>
      </c>
      <c r="G10524" s="10">
        <v>0.1</v>
      </c>
      <c r="H10524" s="10" t="s">
        <v>28</v>
      </c>
      <c r="I10524" s="11" t="s">
        <v>28</v>
      </c>
      <c r="J10524" s="11" t="s">
        <v>28</v>
      </c>
      <c r="K10524" s="11" t="s">
        <v>28</v>
      </c>
      <c r="L10524" s="11" t="s">
        <v>28</v>
      </c>
      <c r="M10524" s="11" t="s">
        <v>28</v>
      </c>
      <c r="N10524" s="8">
        <v>41669</v>
      </c>
      <c r="O10524" s="9" t="s">
        <v>52</v>
      </c>
      <c r="P10524" s="12" t="s">
        <v>10628</v>
      </c>
      <c r="Q10524" s="9" t="s">
        <v>740</v>
      </c>
      <c r="R10524" s="14" t="str">
        <f>HYPERLINK("https://my.pitchbook.com?c=39107-62T","View Company Online")</f>
        <v>View Company Online</v>
      </c>
    </row>
    <row r="10525" spans="1:18" hidden="1" x14ac:dyDescent="0.3">
      <c r="A10525" s="15" t="s">
        <v>29813</v>
      </c>
      <c r="B10525" s="15" t="s">
        <v>29814</v>
      </c>
      <c r="C10525" s="18" t="s">
        <v>28</v>
      </c>
      <c r="D10525" s="15" t="s">
        <v>29815</v>
      </c>
      <c r="E10525" s="18" t="s">
        <v>28</v>
      </c>
      <c r="F10525" s="19" t="s">
        <v>28</v>
      </c>
      <c r="G10525" s="19" t="s">
        <v>28</v>
      </c>
      <c r="H10525" s="19" t="s">
        <v>28</v>
      </c>
      <c r="I10525" s="18" t="s">
        <v>28</v>
      </c>
      <c r="J10525" s="18" t="s">
        <v>28</v>
      </c>
      <c r="K10525" s="18" t="s">
        <v>28</v>
      </c>
      <c r="L10525" s="18" t="s">
        <v>28</v>
      </c>
      <c r="M10525" s="18" t="s">
        <v>28</v>
      </c>
      <c r="N10525" s="17">
        <v>41668</v>
      </c>
      <c r="O10525" s="15" t="s">
        <v>30</v>
      </c>
      <c r="P10525" s="16" t="s">
        <v>29816</v>
      </c>
      <c r="Q10525" s="15" t="s">
        <v>188</v>
      </c>
      <c r="R10525" s="13" t="str">
        <f>HYPERLINK("https://my.pitchbook.com?c=89529-58T","View Company Online")</f>
        <v>View Company Online</v>
      </c>
    </row>
    <row r="10526" spans="1:18" hidden="1" x14ac:dyDescent="0.3">
      <c r="A10526" s="9" t="s">
        <v>29817</v>
      </c>
      <c r="B10526" s="9" t="s">
        <v>10389</v>
      </c>
      <c r="C10526" s="11" t="s">
        <v>28</v>
      </c>
      <c r="D10526" s="9" t="s">
        <v>10390</v>
      </c>
      <c r="E10526" s="11" t="s">
        <v>28</v>
      </c>
      <c r="F10526" s="10" t="s">
        <v>28</v>
      </c>
      <c r="G10526" s="10">
        <v>20.45</v>
      </c>
      <c r="H10526" s="10" t="s">
        <v>28</v>
      </c>
      <c r="I10526" s="11" t="s">
        <v>28</v>
      </c>
      <c r="J10526" s="11" t="s">
        <v>28</v>
      </c>
      <c r="K10526" s="11">
        <v>200</v>
      </c>
      <c r="L10526" s="11" t="s">
        <v>28</v>
      </c>
      <c r="M10526" s="11" t="s">
        <v>28</v>
      </c>
      <c r="N10526" s="8">
        <v>41667</v>
      </c>
      <c r="O10526" s="9" t="s">
        <v>73</v>
      </c>
      <c r="P10526" s="12" t="s">
        <v>29818</v>
      </c>
      <c r="Q10526" s="9" t="s">
        <v>740</v>
      </c>
      <c r="R10526" s="14" t="str">
        <f>HYPERLINK("https://my.pitchbook.com?c=31230-82T","View Company Online")</f>
        <v>View Company Online</v>
      </c>
    </row>
    <row r="10527" spans="1:18" hidden="1" x14ac:dyDescent="0.3">
      <c r="A10527" s="15" t="s">
        <v>29819</v>
      </c>
      <c r="B10527" s="15" t="s">
        <v>8232</v>
      </c>
      <c r="C10527" s="18" t="s">
        <v>28</v>
      </c>
      <c r="D10527" s="15" t="s">
        <v>20441</v>
      </c>
      <c r="E10527" s="18">
        <v>-55.4</v>
      </c>
      <c r="F10527" s="19" t="s">
        <v>28</v>
      </c>
      <c r="G10527" s="19">
        <v>1003.23</v>
      </c>
      <c r="H10527" s="19" t="s">
        <v>28</v>
      </c>
      <c r="I10527" s="18">
        <v>-7.76</v>
      </c>
      <c r="J10527" s="18" t="s">
        <v>28</v>
      </c>
      <c r="K10527" s="18">
        <v>2816.22</v>
      </c>
      <c r="L10527" s="18" t="s">
        <v>28</v>
      </c>
      <c r="M10527" s="18">
        <v>-73.81</v>
      </c>
      <c r="N10527" s="17">
        <v>41665</v>
      </c>
      <c r="O10527" s="15" t="s">
        <v>159</v>
      </c>
      <c r="P10527" s="16" t="s">
        <v>29820</v>
      </c>
      <c r="Q10527" s="15" t="s">
        <v>740</v>
      </c>
      <c r="R10527" s="13" t="str">
        <f>HYPERLINK("https://my.pitchbook.com?c=31195-63T","View Company Online")</f>
        <v>View Company Online</v>
      </c>
    </row>
    <row r="10528" spans="1:18" hidden="1" x14ac:dyDescent="0.3">
      <c r="A10528" s="9" t="s">
        <v>29821</v>
      </c>
      <c r="B10528" s="9" t="s">
        <v>29822</v>
      </c>
      <c r="C10528" s="11" t="s">
        <v>28</v>
      </c>
      <c r="D10528" s="9" t="s">
        <v>29823</v>
      </c>
      <c r="E10528" s="11" t="s">
        <v>28</v>
      </c>
      <c r="F10528" s="10" t="s">
        <v>28</v>
      </c>
      <c r="G10528" s="10" t="s">
        <v>28</v>
      </c>
      <c r="H10528" s="10" t="s">
        <v>28</v>
      </c>
      <c r="I10528" s="11" t="s">
        <v>28</v>
      </c>
      <c r="J10528" s="11" t="s">
        <v>28</v>
      </c>
      <c r="K10528" s="11" t="s">
        <v>28</v>
      </c>
      <c r="L10528" s="11" t="s">
        <v>28</v>
      </c>
      <c r="M10528" s="11" t="s">
        <v>28</v>
      </c>
      <c r="N10528" s="8">
        <v>41661</v>
      </c>
      <c r="O10528" s="9" t="s">
        <v>30</v>
      </c>
      <c r="P10528" s="12" t="s">
        <v>28922</v>
      </c>
      <c r="Q10528" s="9" t="s">
        <v>7209</v>
      </c>
      <c r="R10528" s="14" t="str">
        <f>HYPERLINK("https://my.pitchbook.com?c=78198-85T","View Company Online")</f>
        <v>View Company Online</v>
      </c>
    </row>
    <row r="10529" spans="1:18" hidden="1" x14ac:dyDescent="0.3">
      <c r="A10529" s="15" t="s">
        <v>29824</v>
      </c>
      <c r="B10529" s="15" t="s">
        <v>29825</v>
      </c>
      <c r="C10529" s="18" t="s">
        <v>28</v>
      </c>
      <c r="D10529" s="15" t="s">
        <v>29826</v>
      </c>
      <c r="E10529" s="18" t="s">
        <v>28</v>
      </c>
      <c r="F10529" s="19" t="s">
        <v>28</v>
      </c>
      <c r="G10529" s="19" t="s">
        <v>28</v>
      </c>
      <c r="H10529" s="19" t="s">
        <v>28</v>
      </c>
      <c r="I10529" s="18" t="s">
        <v>28</v>
      </c>
      <c r="J10529" s="18" t="s">
        <v>28</v>
      </c>
      <c r="K10529" s="18" t="s">
        <v>28</v>
      </c>
      <c r="L10529" s="18" t="s">
        <v>28</v>
      </c>
      <c r="M10529" s="18" t="s">
        <v>28</v>
      </c>
      <c r="N10529" s="17">
        <v>41661</v>
      </c>
      <c r="O10529" s="15" t="s">
        <v>30</v>
      </c>
      <c r="P10529" s="16" t="s">
        <v>29827</v>
      </c>
      <c r="Q10529" s="15" t="s">
        <v>299</v>
      </c>
      <c r="R10529" s="13" t="str">
        <f>HYPERLINK("https://my.pitchbook.com?c=92907-46T","View Company Online")</f>
        <v>View Company Online</v>
      </c>
    </row>
    <row r="10530" spans="1:18" hidden="1" x14ac:dyDescent="0.3">
      <c r="A10530" s="9" t="s">
        <v>29828</v>
      </c>
      <c r="B10530" s="9" t="s">
        <v>29829</v>
      </c>
      <c r="C10530" s="11" t="s">
        <v>28</v>
      </c>
      <c r="D10530" s="9" t="s">
        <v>29830</v>
      </c>
      <c r="E10530" s="11" t="s">
        <v>28</v>
      </c>
      <c r="F10530" s="10" t="s">
        <v>28</v>
      </c>
      <c r="G10530" s="10" t="s">
        <v>28</v>
      </c>
      <c r="H10530" s="10" t="s">
        <v>28</v>
      </c>
      <c r="I10530" s="11" t="s">
        <v>28</v>
      </c>
      <c r="J10530" s="11" t="s">
        <v>28</v>
      </c>
      <c r="K10530" s="11" t="s">
        <v>28</v>
      </c>
      <c r="L10530" s="11" t="s">
        <v>28</v>
      </c>
      <c r="M10530" s="11" t="s">
        <v>28</v>
      </c>
      <c r="N10530" s="8">
        <v>41661</v>
      </c>
      <c r="O10530" s="9" t="s">
        <v>173</v>
      </c>
      <c r="P10530" s="12" t="s">
        <v>28</v>
      </c>
      <c r="Q10530" s="9" t="s">
        <v>174</v>
      </c>
      <c r="R10530" s="14" t="str">
        <f>HYPERLINK("https://my.pitchbook.com?c=251376-94T","View Company Online")</f>
        <v>View Company Online</v>
      </c>
    </row>
    <row r="10531" spans="1:18" hidden="1" x14ac:dyDescent="0.3">
      <c r="A10531" s="15" t="s">
        <v>29831</v>
      </c>
      <c r="B10531" s="15" t="s">
        <v>29832</v>
      </c>
      <c r="C10531" s="18" t="s">
        <v>28</v>
      </c>
      <c r="D10531" s="15" t="s">
        <v>29833</v>
      </c>
      <c r="E10531" s="18" t="s">
        <v>28</v>
      </c>
      <c r="F10531" s="19" t="s">
        <v>28</v>
      </c>
      <c r="G10531" s="19" t="s">
        <v>28</v>
      </c>
      <c r="H10531" s="19" t="s">
        <v>28</v>
      </c>
      <c r="I10531" s="18" t="s">
        <v>28</v>
      </c>
      <c r="J10531" s="18" t="s">
        <v>28</v>
      </c>
      <c r="K10531" s="18" t="s">
        <v>28</v>
      </c>
      <c r="L10531" s="18" t="s">
        <v>28</v>
      </c>
      <c r="M10531" s="18" t="s">
        <v>28</v>
      </c>
      <c r="N10531" s="17">
        <v>41660</v>
      </c>
      <c r="O10531" s="15" t="s">
        <v>30</v>
      </c>
      <c r="P10531" s="16" t="s">
        <v>29834</v>
      </c>
      <c r="Q10531" s="15" t="s">
        <v>353</v>
      </c>
      <c r="R10531" s="13" t="str">
        <f>HYPERLINK("https://my.pitchbook.com?c=66440-08T","View Company Online")</f>
        <v>View Company Online</v>
      </c>
    </row>
    <row r="10532" spans="1:18" hidden="1" x14ac:dyDescent="0.3">
      <c r="A10532" s="9" t="s">
        <v>29835</v>
      </c>
      <c r="B10532" s="9" t="s">
        <v>29606</v>
      </c>
      <c r="C10532" s="11" t="s">
        <v>28</v>
      </c>
      <c r="D10532" s="9" t="s">
        <v>29607</v>
      </c>
      <c r="E10532" s="11" t="s">
        <v>28</v>
      </c>
      <c r="F10532" s="10" t="s">
        <v>28</v>
      </c>
      <c r="G10532" s="10">
        <v>0.27</v>
      </c>
      <c r="H10532" s="10" t="s">
        <v>28</v>
      </c>
      <c r="I10532" s="11" t="s">
        <v>28</v>
      </c>
      <c r="J10532" s="11" t="s">
        <v>28</v>
      </c>
      <c r="K10532" s="11" t="s">
        <v>28</v>
      </c>
      <c r="L10532" s="11" t="s">
        <v>28</v>
      </c>
      <c r="M10532" s="11" t="s">
        <v>28</v>
      </c>
      <c r="N10532" s="8">
        <v>41660</v>
      </c>
      <c r="O10532" s="9" t="s">
        <v>99</v>
      </c>
      <c r="P10532" s="12" t="s">
        <v>28</v>
      </c>
      <c r="Q10532" s="9" t="s">
        <v>3912</v>
      </c>
      <c r="R10532" s="14" t="str">
        <f>HYPERLINK("https://my.pitchbook.com?c=54826-75T","View Company Online")</f>
        <v>View Company Online</v>
      </c>
    </row>
    <row r="10533" spans="1:18" hidden="1" x14ac:dyDescent="0.3">
      <c r="A10533" s="15" t="s">
        <v>29836</v>
      </c>
      <c r="B10533" s="15" t="s">
        <v>28301</v>
      </c>
      <c r="C10533" s="18" t="s">
        <v>28</v>
      </c>
      <c r="D10533" s="15" t="s">
        <v>28302</v>
      </c>
      <c r="E10533" s="18" t="s">
        <v>28</v>
      </c>
      <c r="F10533" s="19" t="s">
        <v>28</v>
      </c>
      <c r="G10533" s="19">
        <v>0.02</v>
      </c>
      <c r="H10533" s="19" t="s">
        <v>28</v>
      </c>
      <c r="I10533" s="18" t="s">
        <v>28</v>
      </c>
      <c r="J10533" s="18" t="s">
        <v>28</v>
      </c>
      <c r="K10533" s="18" t="s">
        <v>28</v>
      </c>
      <c r="L10533" s="18" t="s">
        <v>28</v>
      </c>
      <c r="M10533" s="18" t="s">
        <v>28</v>
      </c>
      <c r="N10533" s="17">
        <v>41654</v>
      </c>
      <c r="O10533" s="15" t="s">
        <v>52</v>
      </c>
      <c r="P10533" s="16" t="s">
        <v>28</v>
      </c>
      <c r="Q10533" s="15" t="s">
        <v>1191</v>
      </c>
      <c r="R10533" s="13" t="str">
        <f>HYPERLINK("https://my.pitchbook.com?c=48716-02T","View Company Online")</f>
        <v>View Company Online</v>
      </c>
    </row>
    <row r="10534" spans="1:18" hidden="1" x14ac:dyDescent="0.3">
      <c r="A10534" s="9" t="s">
        <v>29837</v>
      </c>
      <c r="B10534" s="9" t="s">
        <v>29838</v>
      </c>
      <c r="C10534" s="11" t="s">
        <v>28</v>
      </c>
      <c r="D10534" s="9" t="s">
        <v>29839</v>
      </c>
      <c r="E10534" s="11" t="s">
        <v>28</v>
      </c>
      <c r="F10534" s="10">
        <v>11.62</v>
      </c>
      <c r="G10534" s="10">
        <v>6.97</v>
      </c>
      <c r="H10534" s="10">
        <v>11.62</v>
      </c>
      <c r="I10534" s="11" t="s">
        <v>28</v>
      </c>
      <c r="J10534" s="11" t="s">
        <v>28</v>
      </c>
      <c r="K10534" s="11" t="s">
        <v>28</v>
      </c>
      <c r="L10534" s="11" t="s">
        <v>28</v>
      </c>
      <c r="M10534" s="11" t="s">
        <v>28</v>
      </c>
      <c r="N10534" s="8">
        <v>41653</v>
      </c>
      <c r="O10534" s="9" t="s">
        <v>30</v>
      </c>
      <c r="P10534" s="12" t="s">
        <v>29840</v>
      </c>
      <c r="Q10534" s="9" t="s">
        <v>245</v>
      </c>
      <c r="R10534" s="14" t="str">
        <f>HYPERLINK("https://my.pitchbook.com?c=106615-90T","View Company Online")</f>
        <v>View Company Online</v>
      </c>
    </row>
    <row r="10535" spans="1:18" hidden="1" x14ac:dyDescent="0.3">
      <c r="A10535" s="15" t="s">
        <v>29841</v>
      </c>
      <c r="B10535" s="15" t="s">
        <v>29842</v>
      </c>
      <c r="C10535" s="18" t="s">
        <v>28</v>
      </c>
      <c r="D10535" s="15" t="s">
        <v>29843</v>
      </c>
      <c r="E10535" s="18" t="s">
        <v>28</v>
      </c>
      <c r="F10535" s="19">
        <v>23.96</v>
      </c>
      <c r="G10535" s="19">
        <v>23.96</v>
      </c>
      <c r="H10535" s="19">
        <v>23.96</v>
      </c>
      <c r="I10535" s="18" t="s">
        <v>28</v>
      </c>
      <c r="J10535" s="18" t="s">
        <v>28</v>
      </c>
      <c r="K10535" s="18" t="s">
        <v>28</v>
      </c>
      <c r="L10535" s="18" t="s">
        <v>28</v>
      </c>
      <c r="M10535" s="18" t="s">
        <v>28</v>
      </c>
      <c r="N10535" s="17">
        <v>41649</v>
      </c>
      <c r="O10535" s="15" t="s">
        <v>30</v>
      </c>
      <c r="P10535" s="16" t="s">
        <v>29844</v>
      </c>
      <c r="Q10535" s="15" t="s">
        <v>2706</v>
      </c>
      <c r="R10535" s="13" t="str">
        <f>HYPERLINK("https://my.pitchbook.com?c=89383-15T","View Company Online")</f>
        <v>View Company Online</v>
      </c>
    </row>
    <row r="10536" spans="1:18" hidden="1" x14ac:dyDescent="0.3">
      <c r="A10536" s="9" t="s">
        <v>29845</v>
      </c>
      <c r="B10536" s="9" t="s">
        <v>29846</v>
      </c>
      <c r="C10536" s="11" t="s">
        <v>28</v>
      </c>
      <c r="D10536" s="9" t="s">
        <v>29847</v>
      </c>
      <c r="E10536" s="11" t="s">
        <v>28</v>
      </c>
      <c r="F10536" s="10" t="s">
        <v>28</v>
      </c>
      <c r="G10536" s="10">
        <v>0.2</v>
      </c>
      <c r="H10536" s="10" t="s">
        <v>28</v>
      </c>
      <c r="I10536" s="11" t="s">
        <v>28</v>
      </c>
      <c r="J10536" s="11" t="s">
        <v>28</v>
      </c>
      <c r="K10536" s="11" t="s">
        <v>28</v>
      </c>
      <c r="L10536" s="11" t="s">
        <v>28</v>
      </c>
      <c r="M10536" s="11" t="s">
        <v>28</v>
      </c>
      <c r="N10536" s="8">
        <v>41649</v>
      </c>
      <c r="O10536" s="9" t="s">
        <v>379</v>
      </c>
      <c r="P10536" s="12" t="s">
        <v>28</v>
      </c>
      <c r="Q10536" s="9" t="s">
        <v>75</v>
      </c>
      <c r="R10536" s="14" t="str">
        <f>HYPERLINK("https://my.pitchbook.com?c=54014-41T","View Company Online")</f>
        <v>View Company Online</v>
      </c>
    </row>
    <row r="10537" spans="1:18" hidden="1" x14ac:dyDescent="0.3">
      <c r="A10537" s="15" t="s">
        <v>29848</v>
      </c>
      <c r="B10537" s="15" t="s">
        <v>20809</v>
      </c>
      <c r="C10537" s="18" t="s">
        <v>28</v>
      </c>
      <c r="D10537" s="15" t="s">
        <v>20810</v>
      </c>
      <c r="E10537" s="18" t="s">
        <v>28</v>
      </c>
      <c r="F10537" s="19">
        <v>60.43</v>
      </c>
      <c r="G10537" s="19">
        <v>42.3</v>
      </c>
      <c r="H10537" s="19">
        <v>60.43</v>
      </c>
      <c r="I10537" s="18" t="s">
        <v>28</v>
      </c>
      <c r="J10537" s="18" t="s">
        <v>28</v>
      </c>
      <c r="K10537" s="18" t="s">
        <v>28</v>
      </c>
      <c r="L10537" s="18" t="s">
        <v>28</v>
      </c>
      <c r="M10537" s="18" t="s">
        <v>28</v>
      </c>
      <c r="N10537" s="17">
        <v>41649</v>
      </c>
      <c r="O10537" s="15" t="s">
        <v>30</v>
      </c>
      <c r="P10537" s="16" t="s">
        <v>29849</v>
      </c>
      <c r="Q10537" s="15" t="s">
        <v>245</v>
      </c>
      <c r="R10537" s="13" t="str">
        <f>HYPERLINK("https://my.pitchbook.com?c=73685-26T","View Company Online")</f>
        <v>View Company Online</v>
      </c>
    </row>
    <row r="10538" spans="1:18" hidden="1" x14ac:dyDescent="0.3">
      <c r="A10538" s="9" t="s">
        <v>29850</v>
      </c>
      <c r="B10538" s="9" t="s">
        <v>28301</v>
      </c>
      <c r="C10538" s="11" t="s">
        <v>28</v>
      </c>
      <c r="D10538" s="9" t="s">
        <v>28302</v>
      </c>
      <c r="E10538" s="11" t="s">
        <v>28</v>
      </c>
      <c r="F10538" s="10" t="s">
        <v>28</v>
      </c>
      <c r="G10538" s="10">
        <v>7.0000000000000007E-2</v>
      </c>
      <c r="H10538" s="10" t="s">
        <v>28</v>
      </c>
      <c r="I10538" s="11" t="s">
        <v>28</v>
      </c>
      <c r="J10538" s="11" t="s">
        <v>28</v>
      </c>
      <c r="K10538" s="11" t="s">
        <v>28</v>
      </c>
      <c r="L10538" s="11" t="s">
        <v>28</v>
      </c>
      <c r="M10538" s="11" t="s">
        <v>28</v>
      </c>
      <c r="N10538" s="8">
        <v>41649</v>
      </c>
      <c r="O10538" s="9" t="s">
        <v>47</v>
      </c>
      <c r="P10538" s="12" t="s">
        <v>28</v>
      </c>
      <c r="Q10538" s="9" t="s">
        <v>1191</v>
      </c>
      <c r="R10538" s="14" t="str">
        <f>HYPERLINK("https://my.pitchbook.com?c=48715-03T","View Company Online")</f>
        <v>View Company Online</v>
      </c>
    </row>
    <row r="10539" spans="1:18" hidden="1" x14ac:dyDescent="0.3">
      <c r="A10539" s="15" t="s">
        <v>29851</v>
      </c>
      <c r="B10539" s="15" t="s">
        <v>29852</v>
      </c>
      <c r="C10539" s="18" t="s">
        <v>28</v>
      </c>
      <c r="D10539" s="15" t="s">
        <v>29853</v>
      </c>
      <c r="E10539" s="18" t="s">
        <v>28</v>
      </c>
      <c r="F10539" s="19" t="s">
        <v>28</v>
      </c>
      <c r="G10539" s="19" t="s">
        <v>28</v>
      </c>
      <c r="H10539" s="19" t="s">
        <v>28</v>
      </c>
      <c r="I10539" s="18" t="s">
        <v>28</v>
      </c>
      <c r="J10539" s="18" t="s">
        <v>28</v>
      </c>
      <c r="K10539" s="18">
        <v>8.33</v>
      </c>
      <c r="L10539" s="18" t="s">
        <v>28</v>
      </c>
      <c r="M10539" s="18" t="s">
        <v>28</v>
      </c>
      <c r="N10539" s="17">
        <v>41648</v>
      </c>
      <c r="O10539" s="15" t="s">
        <v>30</v>
      </c>
      <c r="P10539" s="16" t="s">
        <v>27100</v>
      </c>
      <c r="Q10539" s="15" t="s">
        <v>409</v>
      </c>
      <c r="R10539" s="13" t="str">
        <f>HYPERLINK("https://my.pitchbook.com?c=102648-43T","View Company Online")</f>
        <v>View Company Online</v>
      </c>
    </row>
    <row r="10540" spans="1:18" hidden="1" x14ac:dyDescent="0.3">
      <c r="A10540" s="9" t="s">
        <v>29854</v>
      </c>
      <c r="B10540" s="9" t="s">
        <v>29855</v>
      </c>
      <c r="C10540" s="11" t="s">
        <v>28</v>
      </c>
      <c r="D10540" s="9" t="s">
        <v>29856</v>
      </c>
      <c r="E10540" s="11" t="s">
        <v>28</v>
      </c>
      <c r="F10540" s="10" t="s">
        <v>28</v>
      </c>
      <c r="G10540" s="10" t="s">
        <v>28</v>
      </c>
      <c r="H10540" s="10" t="s">
        <v>28</v>
      </c>
      <c r="I10540" s="11" t="s">
        <v>28</v>
      </c>
      <c r="J10540" s="11" t="s">
        <v>28</v>
      </c>
      <c r="K10540" s="11" t="s">
        <v>28</v>
      </c>
      <c r="L10540" s="11" t="s">
        <v>28</v>
      </c>
      <c r="M10540" s="11" t="s">
        <v>28</v>
      </c>
      <c r="N10540" s="8">
        <v>41647</v>
      </c>
      <c r="O10540" s="9" t="s">
        <v>30</v>
      </c>
      <c r="P10540" s="12" t="s">
        <v>29857</v>
      </c>
      <c r="Q10540" s="9" t="s">
        <v>249</v>
      </c>
      <c r="R10540" s="14" t="str">
        <f>HYPERLINK("https://my.pitchbook.com?c=70624-81T","View Company Online")</f>
        <v>View Company Online</v>
      </c>
    </row>
    <row r="10541" spans="1:18" hidden="1" x14ac:dyDescent="0.3">
      <c r="A10541" s="15" t="s">
        <v>29858</v>
      </c>
      <c r="B10541" s="15" t="s">
        <v>7535</v>
      </c>
      <c r="C10541" s="18" t="s">
        <v>28</v>
      </c>
      <c r="D10541" s="15" t="s">
        <v>7536</v>
      </c>
      <c r="E10541" s="18" t="s">
        <v>28</v>
      </c>
      <c r="F10541" s="19" t="s">
        <v>28</v>
      </c>
      <c r="G10541" s="19">
        <v>5</v>
      </c>
      <c r="H10541" s="19" t="s">
        <v>28</v>
      </c>
      <c r="I10541" s="18" t="s">
        <v>28</v>
      </c>
      <c r="J10541" s="18" t="s">
        <v>28</v>
      </c>
      <c r="K10541" s="18" t="s">
        <v>28</v>
      </c>
      <c r="L10541" s="18" t="s">
        <v>28</v>
      </c>
      <c r="M10541" s="18" t="s">
        <v>28</v>
      </c>
      <c r="N10541" s="17">
        <v>41641</v>
      </c>
      <c r="O10541" s="15" t="s">
        <v>73</v>
      </c>
      <c r="P10541" s="16" t="s">
        <v>29859</v>
      </c>
      <c r="Q10541" s="15" t="s">
        <v>43</v>
      </c>
      <c r="R10541" s="13" t="str">
        <f>HYPERLINK("https://my.pitchbook.com?c=30675-97T","View Company Online")</f>
        <v>View Company Online</v>
      </c>
    </row>
    <row r="10542" spans="1:18" hidden="1" x14ac:dyDescent="0.3">
      <c r="A10542" s="9" t="s">
        <v>29860</v>
      </c>
      <c r="B10542" s="9" t="s">
        <v>10515</v>
      </c>
      <c r="C10542" s="11" t="s">
        <v>28</v>
      </c>
      <c r="D10542" s="9" t="s">
        <v>10516</v>
      </c>
      <c r="E10542" s="11" t="s">
        <v>28</v>
      </c>
      <c r="F10542" s="10" t="s">
        <v>28</v>
      </c>
      <c r="G10542" s="10">
        <v>0.23</v>
      </c>
      <c r="H10542" s="10">
        <v>2</v>
      </c>
      <c r="I10542" s="11" t="s">
        <v>28</v>
      </c>
      <c r="J10542" s="11" t="s">
        <v>28</v>
      </c>
      <c r="K10542" s="11" t="s">
        <v>28</v>
      </c>
      <c r="L10542" s="11" t="s">
        <v>28</v>
      </c>
      <c r="M10542" s="11" t="s">
        <v>28</v>
      </c>
      <c r="N10542" s="8">
        <v>41641</v>
      </c>
      <c r="O10542" s="9" t="s">
        <v>1639</v>
      </c>
      <c r="P10542" s="12" t="s">
        <v>28</v>
      </c>
      <c r="Q10542" s="9" t="s">
        <v>832</v>
      </c>
      <c r="R10542" s="14" t="str">
        <f>HYPERLINK("https://my.pitchbook.com?c=49690-90T","View Company Online")</f>
        <v>View Company Online</v>
      </c>
    </row>
    <row r="10543" spans="1:18" hidden="1" x14ac:dyDescent="0.3">
      <c r="A10543" s="15" t="s">
        <v>29861</v>
      </c>
      <c r="B10543" s="15" t="s">
        <v>10883</v>
      </c>
      <c r="C10543" s="18" t="s">
        <v>28</v>
      </c>
      <c r="D10543" s="15" t="s">
        <v>10884</v>
      </c>
      <c r="E10543" s="18" t="s">
        <v>28</v>
      </c>
      <c r="F10543" s="19" t="s">
        <v>28</v>
      </c>
      <c r="G10543" s="19" t="s">
        <v>28</v>
      </c>
      <c r="H10543" s="19" t="s">
        <v>28</v>
      </c>
      <c r="I10543" s="18" t="s">
        <v>28</v>
      </c>
      <c r="J10543" s="18" t="s">
        <v>28</v>
      </c>
      <c r="K10543" s="18" t="s">
        <v>28</v>
      </c>
      <c r="L10543" s="18" t="s">
        <v>28</v>
      </c>
      <c r="M10543" s="18" t="s">
        <v>28</v>
      </c>
      <c r="N10543" s="17">
        <v>41640</v>
      </c>
      <c r="O10543" s="15" t="s">
        <v>30</v>
      </c>
      <c r="P10543" s="16" t="s">
        <v>28</v>
      </c>
      <c r="Q10543" s="15" t="s">
        <v>105</v>
      </c>
      <c r="R10543" s="13" t="str">
        <f>HYPERLINK("https://my.pitchbook.com?c=192757-42T","View Company Online")</f>
        <v>View Company Online</v>
      </c>
    </row>
    <row r="10544" spans="1:18" hidden="1" x14ac:dyDescent="0.3">
      <c r="A10544" s="9" t="s">
        <v>29862</v>
      </c>
      <c r="B10544" s="9" t="s">
        <v>8234</v>
      </c>
      <c r="C10544" s="11" t="s">
        <v>28</v>
      </c>
      <c r="D10544" s="9" t="s">
        <v>8235</v>
      </c>
      <c r="E10544" s="11" t="s">
        <v>28</v>
      </c>
      <c r="F10544" s="10" t="s">
        <v>28</v>
      </c>
      <c r="G10544" s="10" t="s">
        <v>28</v>
      </c>
      <c r="H10544" s="10" t="s">
        <v>28</v>
      </c>
      <c r="I10544" s="11" t="s">
        <v>28</v>
      </c>
      <c r="J10544" s="11" t="s">
        <v>28</v>
      </c>
      <c r="K10544" s="11" t="s">
        <v>28</v>
      </c>
      <c r="L10544" s="11" t="s">
        <v>28</v>
      </c>
      <c r="M10544" s="11" t="s">
        <v>28</v>
      </c>
      <c r="N10544" s="8">
        <v>41640</v>
      </c>
      <c r="O10544" s="9" t="s">
        <v>52</v>
      </c>
      <c r="P10544" s="12" t="s">
        <v>29863</v>
      </c>
      <c r="Q10544" s="9" t="s">
        <v>75</v>
      </c>
      <c r="R10544" s="14" t="str">
        <f>HYPERLINK("https://my.pitchbook.com?c=60856-21T","View Company Online")</f>
        <v>View Company Online</v>
      </c>
    </row>
    <row r="10545" spans="1:18" hidden="1" x14ac:dyDescent="0.3">
      <c r="A10545" s="15" t="s">
        <v>29864</v>
      </c>
      <c r="B10545" s="15" t="s">
        <v>8234</v>
      </c>
      <c r="C10545" s="18" t="s">
        <v>28</v>
      </c>
      <c r="D10545" s="15" t="s">
        <v>8235</v>
      </c>
      <c r="E10545" s="18" t="s">
        <v>28</v>
      </c>
      <c r="F10545" s="19" t="s">
        <v>28</v>
      </c>
      <c r="G10545" s="19" t="s">
        <v>28</v>
      </c>
      <c r="H10545" s="19" t="s">
        <v>28</v>
      </c>
      <c r="I10545" s="18" t="s">
        <v>28</v>
      </c>
      <c r="J10545" s="18" t="s">
        <v>28</v>
      </c>
      <c r="K10545" s="18" t="s">
        <v>28</v>
      </c>
      <c r="L10545" s="18" t="s">
        <v>28</v>
      </c>
      <c r="M10545" s="18" t="s">
        <v>28</v>
      </c>
      <c r="N10545" s="17">
        <v>41640</v>
      </c>
      <c r="O10545" s="15" t="s">
        <v>99</v>
      </c>
      <c r="P10545" s="16" t="s">
        <v>29865</v>
      </c>
      <c r="Q10545" s="15" t="s">
        <v>75</v>
      </c>
      <c r="R10545" s="13" t="str">
        <f>HYPERLINK("https://my.pitchbook.com?c=131697-28T","View Company Online")</f>
        <v>View Company Online</v>
      </c>
    </row>
    <row r="10546" spans="1:18" hidden="1" x14ac:dyDescent="0.3">
      <c r="A10546" s="9" t="s">
        <v>29866</v>
      </c>
      <c r="B10546" s="9" t="s">
        <v>7643</v>
      </c>
      <c r="C10546" s="11" t="s">
        <v>28</v>
      </c>
      <c r="D10546" s="9" t="s">
        <v>7644</v>
      </c>
      <c r="E10546" s="11" t="s">
        <v>28</v>
      </c>
      <c r="F10546" s="10" t="s">
        <v>28</v>
      </c>
      <c r="G10546" s="10" t="s">
        <v>28</v>
      </c>
      <c r="H10546" s="10" t="s">
        <v>28</v>
      </c>
      <c r="I10546" s="11" t="s">
        <v>28</v>
      </c>
      <c r="J10546" s="11" t="s">
        <v>28</v>
      </c>
      <c r="K10546" s="11" t="s">
        <v>28</v>
      </c>
      <c r="L10546" s="11" t="s">
        <v>28</v>
      </c>
      <c r="M10546" s="11" t="s">
        <v>28</v>
      </c>
      <c r="N10546" s="8">
        <v>41640</v>
      </c>
      <c r="O10546" s="9" t="s">
        <v>73</v>
      </c>
      <c r="P10546" s="12" t="s">
        <v>29867</v>
      </c>
      <c r="Q10546" s="9" t="s">
        <v>607</v>
      </c>
      <c r="R10546" s="14" t="str">
        <f>HYPERLINK("https://my.pitchbook.com?c=37588-06T","View Company Online")</f>
        <v>View Company Online</v>
      </c>
    </row>
    <row r="10547" spans="1:18" hidden="1" x14ac:dyDescent="0.3">
      <c r="A10547" s="15" t="s">
        <v>29868</v>
      </c>
      <c r="B10547" s="15" t="s">
        <v>9225</v>
      </c>
      <c r="C10547" s="18" t="s">
        <v>28</v>
      </c>
      <c r="D10547" s="15" t="s">
        <v>9226</v>
      </c>
      <c r="E10547" s="18" t="s">
        <v>28</v>
      </c>
      <c r="F10547" s="19" t="s">
        <v>28</v>
      </c>
      <c r="G10547" s="19" t="s">
        <v>28</v>
      </c>
      <c r="H10547" s="19" t="s">
        <v>28</v>
      </c>
      <c r="I10547" s="18" t="s">
        <v>28</v>
      </c>
      <c r="J10547" s="18" t="s">
        <v>28</v>
      </c>
      <c r="K10547" s="18" t="s">
        <v>28</v>
      </c>
      <c r="L10547" s="18" t="s">
        <v>28</v>
      </c>
      <c r="M10547" s="18" t="s">
        <v>28</v>
      </c>
      <c r="N10547" s="17">
        <v>41640</v>
      </c>
      <c r="O10547" s="15" t="s">
        <v>73</v>
      </c>
      <c r="P10547" s="16" t="s">
        <v>8852</v>
      </c>
      <c r="Q10547" s="15" t="s">
        <v>69</v>
      </c>
      <c r="R10547" s="13" t="str">
        <f>HYPERLINK("https://my.pitchbook.com?c=267886-54T","View Company Online")</f>
        <v>View Company Online</v>
      </c>
    </row>
    <row r="10548" spans="1:18" hidden="1" x14ac:dyDescent="0.3">
      <c r="A10548" s="9" t="s">
        <v>29869</v>
      </c>
      <c r="B10548" s="9" t="s">
        <v>25088</v>
      </c>
      <c r="C10548" s="11" t="s">
        <v>28</v>
      </c>
      <c r="D10548" s="9" t="s">
        <v>25089</v>
      </c>
      <c r="E10548" s="11" t="s">
        <v>28</v>
      </c>
      <c r="F10548" s="10" t="s">
        <v>28</v>
      </c>
      <c r="G10548" s="10" t="s">
        <v>28</v>
      </c>
      <c r="H10548" s="10" t="s">
        <v>28</v>
      </c>
      <c r="I10548" s="11" t="s">
        <v>28</v>
      </c>
      <c r="J10548" s="11" t="s">
        <v>28</v>
      </c>
      <c r="K10548" s="11" t="s">
        <v>28</v>
      </c>
      <c r="L10548" s="11" t="s">
        <v>28</v>
      </c>
      <c r="M10548" s="11" t="s">
        <v>28</v>
      </c>
      <c r="N10548" s="8">
        <v>41640</v>
      </c>
      <c r="O10548" s="9" t="s">
        <v>52</v>
      </c>
      <c r="P10548" s="12" t="s">
        <v>15600</v>
      </c>
      <c r="Q10548" s="9" t="s">
        <v>75</v>
      </c>
      <c r="R10548" s="14" t="str">
        <f>HYPERLINK("https://my.pitchbook.com?c=85535-02T","View Company Online")</f>
        <v>View Company Online</v>
      </c>
    </row>
    <row r="10549" spans="1:18" hidden="1" x14ac:dyDescent="0.3">
      <c r="A10549" s="15" t="s">
        <v>29870</v>
      </c>
      <c r="B10549" s="15" t="s">
        <v>29871</v>
      </c>
      <c r="C10549" s="18" t="s">
        <v>28</v>
      </c>
      <c r="D10549" s="15" t="s">
        <v>29872</v>
      </c>
      <c r="E10549" s="18" t="s">
        <v>28</v>
      </c>
      <c r="F10549" s="19" t="s">
        <v>28</v>
      </c>
      <c r="G10549" s="19" t="s">
        <v>28</v>
      </c>
      <c r="H10549" s="19" t="s">
        <v>28</v>
      </c>
      <c r="I10549" s="18" t="s">
        <v>28</v>
      </c>
      <c r="J10549" s="18" t="s">
        <v>28</v>
      </c>
      <c r="K10549" s="18" t="s">
        <v>28</v>
      </c>
      <c r="L10549" s="18" t="s">
        <v>28</v>
      </c>
      <c r="M10549" s="18" t="s">
        <v>28</v>
      </c>
      <c r="N10549" s="17">
        <v>41640</v>
      </c>
      <c r="O10549" s="15" t="s">
        <v>30</v>
      </c>
      <c r="P10549" s="16" t="s">
        <v>28</v>
      </c>
      <c r="Q10549" s="15" t="s">
        <v>419</v>
      </c>
      <c r="R10549" s="13" t="str">
        <f>HYPERLINK("https://my.pitchbook.com?c=210249-64T","View Company Online")</f>
        <v>View Company Online</v>
      </c>
    </row>
    <row r="10550" spans="1:18" hidden="1" x14ac:dyDescent="0.3">
      <c r="A10550" s="9" t="s">
        <v>29873</v>
      </c>
      <c r="B10550" s="9" t="s">
        <v>26740</v>
      </c>
      <c r="C10550" s="11" t="s">
        <v>28</v>
      </c>
      <c r="D10550" s="9" t="s">
        <v>26741</v>
      </c>
      <c r="E10550" s="11" t="s">
        <v>28</v>
      </c>
      <c r="F10550" s="10" t="s">
        <v>28</v>
      </c>
      <c r="G10550" s="10" t="s">
        <v>28</v>
      </c>
      <c r="H10550" s="10" t="s">
        <v>28</v>
      </c>
      <c r="I10550" s="11" t="s">
        <v>28</v>
      </c>
      <c r="J10550" s="11" t="s">
        <v>28</v>
      </c>
      <c r="K10550" s="11" t="s">
        <v>28</v>
      </c>
      <c r="L10550" s="11" t="s">
        <v>28</v>
      </c>
      <c r="M10550" s="11" t="s">
        <v>28</v>
      </c>
      <c r="N10550" s="8">
        <v>41640</v>
      </c>
      <c r="O10550" s="9" t="s">
        <v>52</v>
      </c>
      <c r="P10550" s="12" t="s">
        <v>1970</v>
      </c>
      <c r="Q10550" s="9" t="s">
        <v>75</v>
      </c>
      <c r="R10550" s="14" t="str">
        <f>HYPERLINK("https://my.pitchbook.com?c=127591-03T","View Company Online")</f>
        <v>View Company Online</v>
      </c>
    </row>
    <row r="10551" spans="1:18" hidden="1" x14ac:dyDescent="0.3">
      <c r="A10551" s="15" t="s">
        <v>29874</v>
      </c>
      <c r="B10551" s="15" t="s">
        <v>29875</v>
      </c>
      <c r="C10551" s="18" t="s">
        <v>28</v>
      </c>
      <c r="D10551" s="15" t="s">
        <v>17362</v>
      </c>
      <c r="E10551" s="18" t="s">
        <v>28</v>
      </c>
      <c r="F10551" s="19" t="s">
        <v>28</v>
      </c>
      <c r="G10551" s="19" t="s">
        <v>28</v>
      </c>
      <c r="H10551" s="19" t="s">
        <v>28</v>
      </c>
      <c r="I10551" s="18" t="s">
        <v>28</v>
      </c>
      <c r="J10551" s="18" t="s">
        <v>28</v>
      </c>
      <c r="K10551" s="18" t="s">
        <v>28</v>
      </c>
      <c r="L10551" s="18" t="s">
        <v>28</v>
      </c>
      <c r="M10551" s="18" t="s">
        <v>28</v>
      </c>
      <c r="N10551" s="17">
        <v>41640</v>
      </c>
      <c r="O10551" s="15" t="s">
        <v>52</v>
      </c>
      <c r="P10551" s="16" t="s">
        <v>23700</v>
      </c>
      <c r="Q10551" s="15" t="s">
        <v>95</v>
      </c>
      <c r="R10551" s="13" t="str">
        <f>HYPERLINK("https://my.pitchbook.com?c=73376-65T","View Company Online")</f>
        <v>View Company Online</v>
      </c>
    </row>
    <row r="10552" spans="1:18" hidden="1" x14ac:dyDescent="0.3">
      <c r="A10552" s="9" t="s">
        <v>29876</v>
      </c>
      <c r="B10552" s="9" t="s">
        <v>26450</v>
      </c>
      <c r="C10552" s="11" t="s">
        <v>28</v>
      </c>
      <c r="D10552" s="9" t="s">
        <v>29877</v>
      </c>
      <c r="E10552" s="11" t="s">
        <v>28</v>
      </c>
      <c r="F10552" s="10" t="s">
        <v>28</v>
      </c>
      <c r="G10552" s="10" t="s">
        <v>28</v>
      </c>
      <c r="H10552" s="10" t="s">
        <v>28</v>
      </c>
      <c r="I10552" s="11" t="s">
        <v>28</v>
      </c>
      <c r="J10552" s="11" t="s">
        <v>28</v>
      </c>
      <c r="K10552" s="11" t="s">
        <v>28</v>
      </c>
      <c r="L10552" s="11" t="s">
        <v>28</v>
      </c>
      <c r="M10552" s="11" t="s">
        <v>28</v>
      </c>
      <c r="N10552" s="8">
        <v>41640</v>
      </c>
      <c r="O10552" s="9" t="s">
        <v>93</v>
      </c>
      <c r="P10552" s="12" t="s">
        <v>29878</v>
      </c>
      <c r="Q10552" s="9" t="s">
        <v>5937</v>
      </c>
      <c r="R10552" s="14" t="str">
        <f>HYPERLINK("https://my.pitchbook.com?c=96510-07T","View Company Online")</f>
        <v>View Company Online</v>
      </c>
    </row>
    <row r="10553" spans="1:18" hidden="1" x14ac:dyDescent="0.3">
      <c r="A10553" s="15" t="s">
        <v>29879</v>
      </c>
      <c r="B10553" s="15" t="s">
        <v>29880</v>
      </c>
      <c r="C10553" s="18" t="s">
        <v>28</v>
      </c>
      <c r="D10553" s="15" t="s">
        <v>29881</v>
      </c>
      <c r="E10553" s="18" t="s">
        <v>28</v>
      </c>
      <c r="F10553" s="19" t="s">
        <v>28</v>
      </c>
      <c r="G10553" s="19" t="s">
        <v>28</v>
      </c>
      <c r="H10553" s="19" t="s">
        <v>28</v>
      </c>
      <c r="I10553" s="18" t="s">
        <v>28</v>
      </c>
      <c r="J10553" s="18" t="s">
        <v>28</v>
      </c>
      <c r="K10553" s="18" t="s">
        <v>28</v>
      </c>
      <c r="L10553" s="18" t="s">
        <v>28</v>
      </c>
      <c r="M10553" s="18" t="s">
        <v>28</v>
      </c>
      <c r="N10553" s="17">
        <v>41640</v>
      </c>
      <c r="O10553" s="15" t="s">
        <v>41</v>
      </c>
      <c r="P10553" s="16" t="s">
        <v>29882</v>
      </c>
      <c r="Q10553" s="15" t="s">
        <v>959</v>
      </c>
      <c r="R10553" s="13" t="str">
        <f>HYPERLINK("https://my.pitchbook.com?c=82465-39T","View Company Online")</f>
        <v>View Company Online</v>
      </c>
    </row>
    <row r="10554" spans="1:18" hidden="1" x14ac:dyDescent="0.3">
      <c r="A10554" s="9" t="s">
        <v>29883</v>
      </c>
      <c r="B10554" s="9" t="s">
        <v>28453</v>
      </c>
      <c r="C10554" s="11" t="s">
        <v>28</v>
      </c>
      <c r="D10554" s="9" t="s">
        <v>28454</v>
      </c>
      <c r="E10554" s="11" t="s">
        <v>28</v>
      </c>
      <c r="F10554" s="10" t="s">
        <v>28</v>
      </c>
      <c r="G10554" s="10" t="s">
        <v>28</v>
      </c>
      <c r="H10554" s="10" t="s">
        <v>28</v>
      </c>
      <c r="I10554" s="11" t="s">
        <v>28</v>
      </c>
      <c r="J10554" s="11" t="s">
        <v>28</v>
      </c>
      <c r="K10554" s="11" t="s">
        <v>28</v>
      </c>
      <c r="L10554" s="11" t="s">
        <v>28</v>
      </c>
      <c r="M10554" s="11" t="s">
        <v>28</v>
      </c>
      <c r="N10554" s="8">
        <v>41640</v>
      </c>
      <c r="O10554" s="9" t="s">
        <v>52</v>
      </c>
      <c r="P10554" s="12" t="s">
        <v>26424</v>
      </c>
      <c r="Q10554" s="9" t="s">
        <v>362</v>
      </c>
      <c r="R10554" s="14" t="str">
        <f>HYPERLINK("https://my.pitchbook.com?c=79955-11T","View Company Online")</f>
        <v>View Company Online</v>
      </c>
    </row>
    <row r="10555" spans="1:18" hidden="1" x14ac:dyDescent="0.3">
      <c r="A10555" s="15" t="s">
        <v>29884</v>
      </c>
      <c r="B10555" s="15" t="s">
        <v>12859</v>
      </c>
      <c r="C10555" s="18" t="s">
        <v>28</v>
      </c>
      <c r="D10555" s="15" t="s">
        <v>12860</v>
      </c>
      <c r="E10555" s="18">
        <v>0.11</v>
      </c>
      <c r="F10555" s="19">
        <v>616.65</v>
      </c>
      <c r="G10555" s="19">
        <v>314.49</v>
      </c>
      <c r="H10555" s="19">
        <v>616.64</v>
      </c>
      <c r="I10555" s="18" t="s">
        <v>28</v>
      </c>
      <c r="J10555" s="18" t="s">
        <v>28</v>
      </c>
      <c r="K10555" s="18">
        <v>0.14000000000000001</v>
      </c>
      <c r="L10555" s="18">
        <v>4291.42</v>
      </c>
      <c r="M10555" s="18">
        <v>0.04</v>
      </c>
      <c r="N10555" s="17">
        <v>41640</v>
      </c>
      <c r="O10555" s="15" t="s">
        <v>30</v>
      </c>
      <c r="P10555" s="16" t="s">
        <v>2368</v>
      </c>
      <c r="Q10555" s="15" t="s">
        <v>226</v>
      </c>
      <c r="R10555" s="13" t="str">
        <f>HYPERLINK("https://my.pitchbook.com?c=75012-58T","View Company Online")</f>
        <v>View Company Online</v>
      </c>
    </row>
    <row r="10556" spans="1:18" hidden="1" x14ac:dyDescent="0.3">
      <c r="A10556" s="9" t="s">
        <v>29885</v>
      </c>
      <c r="B10556" s="9" t="s">
        <v>29886</v>
      </c>
      <c r="C10556" s="11" t="s">
        <v>28</v>
      </c>
      <c r="D10556" s="9" t="s">
        <v>29887</v>
      </c>
      <c r="E10556" s="11" t="s">
        <v>28</v>
      </c>
      <c r="F10556" s="10" t="s">
        <v>28</v>
      </c>
      <c r="G10556" s="10" t="s">
        <v>28</v>
      </c>
      <c r="H10556" s="10" t="s">
        <v>28</v>
      </c>
      <c r="I10556" s="11" t="s">
        <v>28</v>
      </c>
      <c r="J10556" s="11" t="s">
        <v>28</v>
      </c>
      <c r="K10556" s="11" t="s">
        <v>28</v>
      </c>
      <c r="L10556" s="11" t="s">
        <v>28</v>
      </c>
      <c r="M10556" s="11" t="s">
        <v>28</v>
      </c>
      <c r="N10556" s="8">
        <v>41640</v>
      </c>
      <c r="O10556" s="9" t="s">
        <v>30</v>
      </c>
      <c r="P10556" s="12" t="s">
        <v>14675</v>
      </c>
      <c r="Q10556" s="9" t="s">
        <v>85</v>
      </c>
      <c r="R10556" s="14" t="str">
        <f>HYPERLINK("https://my.pitchbook.com?c=89615-62T","View Company Online")</f>
        <v>View Company Online</v>
      </c>
    </row>
    <row r="10557" spans="1:18" hidden="1" x14ac:dyDescent="0.3">
      <c r="A10557" s="15" t="s">
        <v>29888</v>
      </c>
      <c r="B10557" s="15" t="s">
        <v>29889</v>
      </c>
      <c r="C10557" s="18" t="s">
        <v>28</v>
      </c>
      <c r="D10557" s="15" t="s">
        <v>29890</v>
      </c>
      <c r="E10557" s="18" t="s">
        <v>28</v>
      </c>
      <c r="F10557" s="19" t="s">
        <v>28</v>
      </c>
      <c r="G10557" s="19" t="s">
        <v>28</v>
      </c>
      <c r="H10557" s="19" t="s">
        <v>28</v>
      </c>
      <c r="I10557" s="18" t="s">
        <v>28</v>
      </c>
      <c r="J10557" s="18" t="s">
        <v>28</v>
      </c>
      <c r="K10557" s="18" t="s">
        <v>28</v>
      </c>
      <c r="L10557" s="18" t="s">
        <v>28</v>
      </c>
      <c r="M10557" s="18" t="s">
        <v>28</v>
      </c>
      <c r="N10557" s="17">
        <v>41640</v>
      </c>
      <c r="O10557" s="15" t="s">
        <v>93</v>
      </c>
      <c r="P10557" s="16" t="s">
        <v>1990</v>
      </c>
      <c r="Q10557" s="15" t="s">
        <v>75</v>
      </c>
      <c r="R10557" s="13" t="str">
        <f>HYPERLINK("https://my.pitchbook.com?c=201360-79T","View Company Online")</f>
        <v>View Company Online</v>
      </c>
    </row>
    <row r="10558" spans="1:18" hidden="1" x14ac:dyDescent="0.3">
      <c r="A10558" s="9" t="s">
        <v>29891</v>
      </c>
      <c r="B10558" s="9" t="s">
        <v>18654</v>
      </c>
      <c r="C10558" s="11" t="s">
        <v>28</v>
      </c>
      <c r="D10558" s="9" t="s">
        <v>18655</v>
      </c>
      <c r="E10558" s="11" t="s">
        <v>28</v>
      </c>
      <c r="F10558" s="10" t="s">
        <v>28</v>
      </c>
      <c r="G10558" s="10" t="s">
        <v>28</v>
      </c>
      <c r="H10558" s="10" t="s">
        <v>28</v>
      </c>
      <c r="I10558" s="11" t="s">
        <v>28</v>
      </c>
      <c r="J10558" s="11" t="s">
        <v>28</v>
      </c>
      <c r="K10558" s="11" t="s">
        <v>28</v>
      </c>
      <c r="L10558" s="11" t="s">
        <v>28</v>
      </c>
      <c r="M10558" s="11" t="s">
        <v>28</v>
      </c>
      <c r="N10558" s="8">
        <v>41640</v>
      </c>
      <c r="O10558" s="9" t="s">
        <v>99</v>
      </c>
      <c r="P10558" s="12" t="s">
        <v>28</v>
      </c>
      <c r="Q10558" s="9" t="s">
        <v>75</v>
      </c>
      <c r="R10558" s="14" t="str">
        <f>HYPERLINK("https://my.pitchbook.com?c=262702-36T","View Company Online")</f>
        <v>View Company Online</v>
      </c>
    </row>
    <row r="10559" spans="1:18" hidden="1" x14ac:dyDescent="0.3">
      <c r="A10559" s="15" t="s">
        <v>29892</v>
      </c>
      <c r="B10559" s="15" t="s">
        <v>28477</v>
      </c>
      <c r="C10559" s="18" t="s">
        <v>28</v>
      </c>
      <c r="D10559" s="15" t="s">
        <v>28478</v>
      </c>
      <c r="E10559" s="18" t="s">
        <v>28</v>
      </c>
      <c r="F10559" s="19" t="s">
        <v>28</v>
      </c>
      <c r="G10559" s="19" t="s">
        <v>28</v>
      </c>
      <c r="H10559" s="19" t="s">
        <v>28</v>
      </c>
      <c r="I10559" s="18" t="s">
        <v>28</v>
      </c>
      <c r="J10559" s="18" t="s">
        <v>28</v>
      </c>
      <c r="K10559" s="18" t="s">
        <v>28</v>
      </c>
      <c r="L10559" s="18" t="s">
        <v>28</v>
      </c>
      <c r="M10559" s="18" t="s">
        <v>28</v>
      </c>
      <c r="N10559" s="17">
        <v>41640</v>
      </c>
      <c r="O10559" s="15" t="s">
        <v>52</v>
      </c>
      <c r="P10559" s="16" t="s">
        <v>1970</v>
      </c>
      <c r="Q10559" s="15" t="s">
        <v>75</v>
      </c>
      <c r="R10559" s="13" t="str">
        <f>HYPERLINK("https://my.pitchbook.com?c=291101-05T","View Company Online")</f>
        <v>View Company Online</v>
      </c>
    </row>
    <row r="10560" spans="1:18" hidden="1" x14ac:dyDescent="0.3">
      <c r="A10560" s="9" t="s">
        <v>29893</v>
      </c>
      <c r="B10560" s="9" t="s">
        <v>26633</v>
      </c>
      <c r="C10560" s="11" t="s">
        <v>28</v>
      </c>
      <c r="D10560" s="9" t="s">
        <v>26634</v>
      </c>
      <c r="E10560" s="11" t="s">
        <v>28</v>
      </c>
      <c r="F10560" s="10" t="s">
        <v>28</v>
      </c>
      <c r="G10560" s="10" t="s">
        <v>28</v>
      </c>
      <c r="H10560" s="10" t="s">
        <v>28</v>
      </c>
      <c r="I10560" s="11" t="s">
        <v>28</v>
      </c>
      <c r="J10560" s="11" t="s">
        <v>28</v>
      </c>
      <c r="K10560" s="11" t="s">
        <v>28</v>
      </c>
      <c r="L10560" s="11" t="s">
        <v>28</v>
      </c>
      <c r="M10560" s="11" t="s">
        <v>28</v>
      </c>
      <c r="N10560" s="8">
        <v>41640</v>
      </c>
      <c r="O10560" s="9" t="s">
        <v>52</v>
      </c>
      <c r="P10560" s="12" t="s">
        <v>221</v>
      </c>
      <c r="Q10560" s="9" t="s">
        <v>136</v>
      </c>
      <c r="R10560" s="14" t="str">
        <f>HYPERLINK("https://my.pitchbook.com?c=78198-22T","View Company Online")</f>
        <v>View Company Online</v>
      </c>
    </row>
    <row r="10561" spans="1:18" hidden="1" x14ac:dyDescent="0.3">
      <c r="A10561" s="15" t="s">
        <v>29894</v>
      </c>
      <c r="B10561" s="15" t="s">
        <v>29895</v>
      </c>
      <c r="C10561" s="18" t="s">
        <v>28</v>
      </c>
      <c r="D10561" s="15" t="s">
        <v>29896</v>
      </c>
      <c r="E10561" s="18" t="s">
        <v>28</v>
      </c>
      <c r="F10561" s="19">
        <v>34.43</v>
      </c>
      <c r="G10561" s="19">
        <v>20.66</v>
      </c>
      <c r="H10561" s="19">
        <v>34.43</v>
      </c>
      <c r="I10561" s="18" t="s">
        <v>28</v>
      </c>
      <c r="J10561" s="18" t="s">
        <v>28</v>
      </c>
      <c r="K10561" s="18" t="s">
        <v>28</v>
      </c>
      <c r="L10561" s="18" t="s">
        <v>28</v>
      </c>
      <c r="M10561" s="18" t="s">
        <v>28</v>
      </c>
      <c r="N10561" s="17">
        <v>41640</v>
      </c>
      <c r="O10561" s="15" t="s">
        <v>30</v>
      </c>
      <c r="P10561" s="16" t="s">
        <v>29897</v>
      </c>
      <c r="Q10561" s="15" t="s">
        <v>5347</v>
      </c>
      <c r="R10561" s="13" t="str">
        <f>HYPERLINK("https://my.pitchbook.com?c=70639-75T","View Company Online")</f>
        <v>View Company Online</v>
      </c>
    </row>
    <row r="10562" spans="1:18" hidden="1" x14ac:dyDescent="0.3">
      <c r="A10562" s="9" t="s">
        <v>29898</v>
      </c>
      <c r="B10562" s="9" t="s">
        <v>29899</v>
      </c>
      <c r="C10562" s="11" t="s">
        <v>28</v>
      </c>
      <c r="D10562" s="9" t="s">
        <v>29900</v>
      </c>
      <c r="E10562" s="11" t="s">
        <v>28</v>
      </c>
      <c r="F10562" s="10" t="s">
        <v>28</v>
      </c>
      <c r="G10562" s="10">
        <v>0.09</v>
      </c>
      <c r="H10562" s="10" t="s">
        <v>28</v>
      </c>
      <c r="I10562" s="11" t="s">
        <v>28</v>
      </c>
      <c r="J10562" s="11" t="s">
        <v>28</v>
      </c>
      <c r="K10562" s="11" t="s">
        <v>28</v>
      </c>
      <c r="L10562" s="11" t="s">
        <v>28</v>
      </c>
      <c r="M10562" s="11" t="s">
        <v>28</v>
      </c>
      <c r="N10562" s="8">
        <v>41640</v>
      </c>
      <c r="O10562" s="9" t="s">
        <v>52</v>
      </c>
      <c r="P10562" s="12" t="s">
        <v>11539</v>
      </c>
      <c r="Q10562" s="9" t="s">
        <v>3912</v>
      </c>
      <c r="R10562" s="14" t="str">
        <f>HYPERLINK("https://my.pitchbook.com?c=134521-57T","View Company Online")</f>
        <v>View Company Online</v>
      </c>
    </row>
    <row r="10563" spans="1:18" hidden="1" x14ac:dyDescent="0.3">
      <c r="A10563" s="15" t="s">
        <v>29901</v>
      </c>
      <c r="B10563" s="15" t="s">
        <v>29902</v>
      </c>
      <c r="C10563" s="18" t="s">
        <v>28</v>
      </c>
      <c r="D10563" s="15" t="s">
        <v>29903</v>
      </c>
      <c r="E10563" s="18" t="s">
        <v>28</v>
      </c>
      <c r="F10563" s="19" t="s">
        <v>28</v>
      </c>
      <c r="G10563" s="19" t="s">
        <v>28</v>
      </c>
      <c r="H10563" s="19" t="s">
        <v>28</v>
      </c>
      <c r="I10563" s="18" t="s">
        <v>28</v>
      </c>
      <c r="J10563" s="18" t="s">
        <v>28</v>
      </c>
      <c r="K10563" s="18" t="s">
        <v>28</v>
      </c>
      <c r="L10563" s="18" t="s">
        <v>28</v>
      </c>
      <c r="M10563" s="18" t="s">
        <v>28</v>
      </c>
      <c r="N10563" s="17">
        <v>41640</v>
      </c>
      <c r="O10563" s="15" t="s">
        <v>52</v>
      </c>
      <c r="P10563" s="16" t="s">
        <v>11539</v>
      </c>
      <c r="Q10563" s="15" t="s">
        <v>95</v>
      </c>
      <c r="R10563" s="13" t="str">
        <f>HYPERLINK("https://my.pitchbook.com?c=83036-53T","View Company Online")</f>
        <v>View Company Online</v>
      </c>
    </row>
    <row r="10564" spans="1:18" hidden="1" x14ac:dyDescent="0.3">
      <c r="A10564" s="9" t="s">
        <v>29904</v>
      </c>
      <c r="B10564" s="9" t="s">
        <v>11259</v>
      </c>
      <c r="C10564" s="11" t="s">
        <v>28</v>
      </c>
      <c r="D10564" s="9" t="s">
        <v>11260</v>
      </c>
      <c r="E10564" s="11" t="s">
        <v>28</v>
      </c>
      <c r="F10564" s="10" t="s">
        <v>28</v>
      </c>
      <c r="G10564" s="10" t="s">
        <v>28</v>
      </c>
      <c r="H10564" s="10" t="s">
        <v>28</v>
      </c>
      <c r="I10564" s="11" t="s">
        <v>28</v>
      </c>
      <c r="J10564" s="11" t="s">
        <v>28</v>
      </c>
      <c r="K10564" s="11" t="s">
        <v>28</v>
      </c>
      <c r="L10564" s="11" t="s">
        <v>28</v>
      </c>
      <c r="M10564" s="11" t="s">
        <v>28</v>
      </c>
      <c r="N10564" s="8">
        <v>41640</v>
      </c>
      <c r="O10564" s="9" t="s">
        <v>52</v>
      </c>
      <c r="P10564" s="12" t="s">
        <v>1970</v>
      </c>
      <c r="Q10564" s="9" t="s">
        <v>75</v>
      </c>
      <c r="R10564" s="14" t="str">
        <f>HYPERLINK("https://my.pitchbook.com?c=291222-19T","View Company Online")</f>
        <v>View Company Online</v>
      </c>
    </row>
    <row r="10565" spans="1:18" hidden="1" x14ac:dyDescent="0.3">
      <c r="A10565" s="15" t="s">
        <v>29905</v>
      </c>
      <c r="B10565" s="15" t="s">
        <v>20202</v>
      </c>
      <c r="C10565" s="18" t="s">
        <v>28</v>
      </c>
      <c r="D10565" s="15" t="s">
        <v>20203</v>
      </c>
      <c r="E10565" s="18" t="s">
        <v>28</v>
      </c>
      <c r="F10565" s="19" t="s">
        <v>28</v>
      </c>
      <c r="G10565" s="19" t="s">
        <v>28</v>
      </c>
      <c r="H10565" s="19" t="s">
        <v>28</v>
      </c>
      <c r="I10565" s="18" t="s">
        <v>28</v>
      </c>
      <c r="J10565" s="18" t="s">
        <v>28</v>
      </c>
      <c r="K10565" s="18" t="s">
        <v>28</v>
      </c>
      <c r="L10565" s="18" t="s">
        <v>28</v>
      </c>
      <c r="M10565" s="18" t="s">
        <v>28</v>
      </c>
      <c r="N10565" s="17">
        <v>41640</v>
      </c>
      <c r="O10565" s="15" t="s">
        <v>79</v>
      </c>
      <c r="P10565" s="16" t="s">
        <v>29906</v>
      </c>
      <c r="Q10565" s="15" t="s">
        <v>95</v>
      </c>
      <c r="R10565" s="13" t="str">
        <f>HYPERLINK("https://my.pitchbook.com?c=124760-35T","View Company Online")</f>
        <v>View Company Online</v>
      </c>
    </row>
    <row r="10566" spans="1:18" hidden="1" x14ac:dyDescent="0.3">
      <c r="A10566" s="9" t="s">
        <v>29907</v>
      </c>
      <c r="B10566" s="9" t="s">
        <v>29908</v>
      </c>
      <c r="C10566" s="11" t="s">
        <v>28</v>
      </c>
      <c r="D10566" s="9" t="s">
        <v>29909</v>
      </c>
      <c r="E10566" s="11" t="s">
        <v>28</v>
      </c>
      <c r="F10566" s="10" t="s">
        <v>28</v>
      </c>
      <c r="G10566" s="10" t="s">
        <v>28</v>
      </c>
      <c r="H10566" s="10" t="s">
        <v>28</v>
      </c>
      <c r="I10566" s="11" t="s">
        <v>28</v>
      </c>
      <c r="J10566" s="11" t="s">
        <v>28</v>
      </c>
      <c r="K10566" s="11" t="s">
        <v>28</v>
      </c>
      <c r="L10566" s="11" t="s">
        <v>28</v>
      </c>
      <c r="M10566" s="11" t="s">
        <v>28</v>
      </c>
      <c r="N10566" s="8">
        <v>41640</v>
      </c>
      <c r="O10566" s="9" t="s">
        <v>52</v>
      </c>
      <c r="P10566" s="12" t="s">
        <v>27943</v>
      </c>
      <c r="Q10566" s="9" t="s">
        <v>75</v>
      </c>
      <c r="R10566" s="14" t="str">
        <f>HYPERLINK("https://my.pitchbook.com?c=64688-77T","View Company Online")</f>
        <v>View Company Online</v>
      </c>
    </row>
    <row r="10567" spans="1:18" hidden="1" x14ac:dyDescent="0.3">
      <c r="A10567" s="15" t="s">
        <v>29910</v>
      </c>
      <c r="B10567" s="15" t="s">
        <v>12745</v>
      </c>
      <c r="C10567" s="18" t="s">
        <v>28</v>
      </c>
      <c r="D10567" s="15" t="s">
        <v>12746</v>
      </c>
      <c r="E10567" s="18" t="s">
        <v>28</v>
      </c>
      <c r="F10567" s="19" t="s">
        <v>28</v>
      </c>
      <c r="G10567" s="19">
        <v>0.15</v>
      </c>
      <c r="H10567" s="19">
        <v>0.3</v>
      </c>
      <c r="I10567" s="18" t="s">
        <v>28</v>
      </c>
      <c r="J10567" s="18" t="s">
        <v>28</v>
      </c>
      <c r="K10567" s="18" t="s">
        <v>28</v>
      </c>
      <c r="L10567" s="18" t="s">
        <v>28</v>
      </c>
      <c r="M10567" s="18" t="s">
        <v>28</v>
      </c>
      <c r="N10567" s="17">
        <v>41640</v>
      </c>
      <c r="O10567" s="15" t="s">
        <v>99</v>
      </c>
      <c r="P10567" s="16" t="s">
        <v>29911</v>
      </c>
      <c r="Q10567" s="15" t="s">
        <v>399</v>
      </c>
      <c r="R10567" s="13" t="str">
        <f>HYPERLINK("https://my.pitchbook.com?c=184920-67T","View Company Online")</f>
        <v>View Company Online</v>
      </c>
    </row>
    <row r="10568" spans="1:18" hidden="1" x14ac:dyDescent="0.3">
      <c r="A10568" s="9" t="s">
        <v>29912</v>
      </c>
      <c r="B10568" s="9" t="s">
        <v>29913</v>
      </c>
      <c r="C10568" s="11" t="s">
        <v>28</v>
      </c>
      <c r="D10568" s="9" t="s">
        <v>29914</v>
      </c>
      <c r="E10568" s="11" t="s">
        <v>28</v>
      </c>
      <c r="F10568" s="10" t="s">
        <v>28</v>
      </c>
      <c r="G10568" s="10" t="s">
        <v>28</v>
      </c>
      <c r="H10568" s="10" t="s">
        <v>28</v>
      </c>
      <c r="I10568" s="11" t="s">
        <v>28</v>
      </c>
      <c r="J10568" s="11" t="s">
        <v>28</v>
      </c>
      <c r="K10568" s="11" t="s">
        <v>28</v>
      </c>
      <c r="L10568" s="11" t="s">
        <v>28</v>
      </c>
      <c r="M10568" s="11" t="s">
        <v>28</v>
      </c>
      <c r="N10568" s="8">
        <v>41640</v>
      </c>
      <c r="O10568" s="9" t="s">
        <v>30</v>
      </c>
      <c r="P10568" s="12" t="s">
        <v>29915</v>
      </c>
      <c r="Q10568" s="9" t="s">
        <v>1179</v>
      </c>
      <c r="R10568" s="14" t="str">
        <f>HYPERLINK("https://my.pitchbook.com?c=226856-17T","View Company Online")</f>
        <v>View Company Online</v>
      </c>
    </row>
    <row r="10569" spans="1:18" hidden="1" x14ac:dyDescent="0.3">
      <c r="A10569" s="15" t="s">
        <v>29916</v>
      </c>
      <c r="B10569" s="15" t="s">
        <v>28505</v>
      </c>
      <c r="C10569" s="18" t="s">
        <v>28</v>
      </c>
      <c r="D10569" s="15" t="s">
        <v>28506</v>
      </c>
      <c r="E10569" s="18" t="s">
        <v>28</v>
      </c>
      <c r="F10569" s="19" t="s">
        <v>28</v>
      </c>
      <c r="G10569" s="19" t="s">
        <v>28</v>
      </c>
      <c r="H10569" s="19" t="s">
        <v>28</v>
      </c>
      <c r="I10569" s="18" t="s">
        <v>28</v>
      </c>
      <c r="J10569" s="18" t="s">
        <v>28</v>
      </c>
      <c r="K10569" s="18" t="s">
        <v>28</v>
      </c>
      <c r="L10569" s="18" t="s">
        <v>28</v>
      </c>
      <c r="M10569" s="18" t="s">
        <v>28</v>
      </c>
      <c r="N10569" s="17">
        <v>41640</v>
      </c>
      <c r="O10569" s="15" t="s">
        <v>52</v>
      </c>
      <c r="P10569" s="16" t="s">
        <v>29917</v>
      </c>
      <c r="Q10569" s="15" t="s">
        <v>4602</v>
      </c>
      <c r="R10569" s="13" t="str">
        <f>HYPERLINK("https://my.pitchbook.com?c=93171-52T","View Company Online")</f>
        <v>View Company Online</v>
      </c>
    </row>
    <row r="10570" spans="1:18" hidden="1" x14ac:dyDescent="0.3">
      <c r="A10570" s="9" t="s">
        <v>29918</v>
      </c>
      <c r="B10570" s="9" t="s">
        <v>28505</v>
      </c>
      <c r="C10570" s="11" t="s">
        <v>28</v>
      </c>
      <c r="D10570" s="9" t="s">
        <v>28506</v>
      </c>
      <c r="E10570" s="11" t="s">
        <v>28</v>
      </c>
      <c r="F10570" s="10" t="s">
        <v>28</v>
      </c>
      <c r="G10570" s="10">
        <v>0.77</v>
      </c>
      <c r="H10570" s="10" t="s">
        <v>28</v>
      </c>
      <c r="I10570" s="11" t="s">
        <v>28</v>
      </c>
      <c r="J10570" s="11" t="s">
        <v>28</v>
      </c>
      <c r="K10570" s="11" t="s">
        <v>28</v>
      </c>
      <c r="L10570" s="11" t="s">
        <v>28</v>
      </c>
      <c r="M10570" s="11" t="s">
        <v>28</v>
      </c>
      <c r="N10570" s="8">
        <v>41640</v>
      </c>
      <c r="O10570" s="9" t="s">
        <v>47</v>
      </c>
      <c r="P10570" s="12" t="s">
        <v>3097</v>
      </c>
      <c r="Q10570" s="9" t="s">
        <v>4602</v>
      </c>
      <c r="R10570" s="14" t="str">
        <f>HYPERLINK("https://my.pitchbook.com?c=93177-28T","View Company Online")</f>
        <v>View Company Online</v>
      </c>
    </row>
    <row r="10571" spans="1:18" hidden="1" x14ac:dyDescent="0.3">
      <c r="A10571" s="15" t="s">
        <v>29919</v>
      </c>
      <c r="B10571" s="15" t="s">
        <v>29920</v>
      </c>
      <c r="C10571" s="18" t="s">
        <v>28</v>
      </c>
      <c r="D10571" s="15" t="s">
        <v>29921</v>
      </c>
      <c r="E10571" s="18" t="s">
        <v>28</v>
      </c>
      <c r="F10571" s="19" t="s">
        <v>28</v>
      </c>
      <c r="G10571" s="19" t="s">
        <v>28</v>
      </c>
      <c r="H10571" s="19" t="s">
        <v>28</v>
      </c>
      <c r="I10571" s="18" t="s">
        <v>28</v>
      </c>
      <c r="J10571" s="18" t="s">
        <v>28</v>
      </c>
      <c r="K10571" s="18" t="s">
        <v>28</v>
      </c>
      <c r="L10571" s="18" t="s">
        <v>28</v>
      </c>
      <c r="M10571" s="18" t="s">
        <v>28</v>
      </c>
      <c r="N10571" s="17">
        <v>41640</v>
      </c>
      <c r="O10571" s="15" t="s">
        <v>79</v>
      </c>
      <c r="P10571" s="16" t="s">
        <v>18465</v>
      </c>
      <c r="Q10571" s="15" t="s">
        <v>235</v>
      </c>
      <c r="R10571" s="13" t="str">
        <f>HYPERLINK("https://my.pitchbook.com?c=90818-83T","View Company Online")</f>
        <v>View Company Online</v>
      </c>
    </row>
    <row r="10572" spans="1:18" hidden="1" x14ac:dyDescent="0.3">
      <c r="A10572" s="9" t="s">
        <v>29922</v>
      </c>
      <c r="B10572" s="9" t="s">
        <v>6770</v>
      </c>
      <c r="C10572" s="11" t="s">
        <v>28</v>
      </c>
      <c r="D10572" s="9" t="s">
        <v>6771</v>
      </c>
      <c r="E10572" s="11" t="s">
        <v>28</v>
      </c>
      <c r="F10572" s="10">
        <v>528.29</v>
      </c>
      <c r="G10572" s="10">
        <v>467.55</v>
      </c>
      <c r="H10572" s="10">
        <v>528.29</v>
      </c>
      <c r="I10572" s="11" t="s">
        <v>28</v>
      </c>
      <c r="J10572" s="11" t="s">
        <v>28</v>
      </c>
      <c r="K10572" s="11" t="s">
        <v>28</v>
      </c>
      <c r="L10572" s="11" t="s">
        <v>28</v>
      </c>
      <c r="M10572" s="11" t="s">
        <v>28</v>
      </c>
      <c r="N10572" s="8">
        <v>41640</v>
      </c>
      <c r="O10572" s="9" t="s">
        <v>30</v>
      </c>
      <c r="P10572" s="12" t="s">
        <v>13674</v>
      </c>
      <c r="Q10572" s="9" t="s">
        <v>37</v>
      </c>
      <c r="R10572" s="14" t="str">
        <f>HYPERLINK("https://my.pitchbook.com?c=218974-51T","View Company Online")</f>
        <v>View Company Online</v>
      </c>
    </row>
    <row r="10573" spans="1:18" hidden="1" x14ac:dyDescent="0.3">
      <c r="A10573" s="15" t="s">
        <v>29923</v>
      </c>
      <c r="B10573" s="15" t="s">
        <v>29924</v>
      </c>
      <c r="C10573" s="18" t="s">
        <v>28</v>
      </c>
      <c r="D10573" s="15" t="s">
        <v>29925</v>
      </c>
      <c r="E10573" s="18" t="s">
        <v>28</v>
      </c>
      <c r="F10573" s="19" t="s">
        <v>28</v>
      </c>
      <c r="G10573" s="19" t="s">
        <v>28</v>
      </c>
      <c r="H10573" s="19" t="s">
        <v>28</v>
      </c>
      <c r="I10573" s="18" t="s">
        <v>28</v>
      </c>
      <c r="J10573" s="18" t="s">
        <v>28</v>
      </c>
      <c r="K10573" s="18" t="s">
        <v>28</v>
      </c>
      <c r="L10573" s="18" t="s">
        <v>28</v>
      </c>
      <c r="M10573" s="18" t="s">
        <v>28</v>
      </c>
      <c r="N10573" s="17">
        <v>41640</v>
      </c>
      <c r="O10573" s="15" t="s">
        <v>52</v>
      </c>
      <c r="P10573" s="16" t="s">
        <v>27943</v>
      </c>
      <c r="Q10573" s="15" t="s">
        <v>386</v>
      </c>
      <c r="R10573" s="13" t="str">
        <f>HYPERLINK("https://my.pitchbook.com?c=132281-83T","View Company Online")</f>
        <v>View Company Online</v>
      </c>
    </row>
    <row r="10574" spans="1:18" hidden="1" x14ac:dyDescent="0.3">
      <c r="A10574" s="9" t="s">
        <v>29926</v>
      </c>
      <c r="B10574" s="9" t="s">
        <v>29927</v>
      </c>
      <c r="C10574" s="11" t="s">
        <v>28</v>
      </c>
      <c r="D10574" s="9" t="s">
        <v>29928</v>
      </c>
      <c r="E10574" s="11" t="s">
        <v>28</v>
      </c>
      <c r="F10574" s="10" t="s">
        <v>28</v>
      </c>
      <c r="G10574" s="10">
        <v>0.43</v>
      </c>
      <c r="H10574" s="10" t="s">
        <v>28</v>
      </c>
      <c r="I10574" s="11" t="s">
        <v>28</v>
      </c>
      <c r="J10574" s="11" t="s">
        <v>28</v>
      </c>
      <c r="K10574" s="11" t="s">
        <v>28</v>
      </c>
      <c r="L10574" s="11" t="s">
        <v>28</v>
      </c>
      <c r="M10574" s="11" t="s">
        <v>28</v>
      </c>
      <c r="N10574" s="8">
        <v>41640</v>
      </c>
      <c r="O10574" s="9" t="s">
        <v>73</v>
      </c>
      <c r="P10574" s="12" t="s">
        <v>29929</v>
      </c>
      <c r="Q10574" s="9" t="s">
        <v>1088</v>
      </c>
      <c r="R10574" s="14" t="str">
        <f>HYPERLINK("https://my.pitchbook.com?c=139421-26T","View Company Online")</f>
        <v>View Company Online</v>
      </c>
    </row>
    <row r="10575" spans="1:18" hidden="1" x14ac:dyDescent="0.3">
      <c r="A10575" s="15" t="s">
        <v>29930</v>
      </c>
      <c r="B10575" s="15" t="s">
        <v>23255</v>
      </c>
      <c r="C10575" s="18" t="s">
        <v>28</v>
      </c>
      <c r="D10575" s="15" t="s">
        <v>23256</v>
      </c>
      <c r="E10575" s="18" t="s">
        <v>28</v>
      </c>
      <c r="F10575" s="19" t="s">
        <v>28</v>
      </c>
      <c r="G10575" s="19" t="s">
        <v>28</v>
      </c>
      <c r="H10575" s="19" t="s">
        <v>28</v>
      </c>
      <c r="I10575" s="18" t="s">
        <v>28</v>
      </c>
      <c r="J10575" s="18" t="s">
        <v>28</v>
      </c>
      <c r="K10575" s="18" t="s">
        <v>28</v>
      </c>
      <c r="L10575" s="18" t="s">
        <v>28</v>
      </c>
      <c r="M10575" s="18" t="s">
        <v>28</v>
      </c>
      <c r="N10575" s="17">
        <v>41640</v>
      </c>
      <c r="O10575" s="15" t="s">
        <v>52</v>
      </c>
      <c r="P10575" s="16" t="s">
        <v>7022</v>
      </c>
      <c r="Q10575" s="15" t="s">
        <v>3912</v>
      </c>
      <c r="R10575" s="13" t="str">
        <f>HYPERLINK("https://my.pitchbook.com?c=62863-39T","View Company Online")</f>
        <v>View Company Online</v>
      </c>
    </row>
    <row r="10576" spans="1:18" hidden="1" x14ac:dyDescent="0.3">
      <c r="A10576" s="9" t="s">
        <v>29931</v>
      </c>
      <c r="B10576" s="9" t="s">
        <v>29932</v>
      </c>
      <c r="C10576" s="11" t="s">
        <v>28</v>
      </c>
      <c r="D10576" s="9" t="s">
        <v>29933</v>
      </c>
      <c r="E10576" s="11" t="s">
        <v>28</v>
      </c>
      <c r="F10576" s="10" t="s">
        <v>28</v>
      </c>
      <c r="G10576" s="10">
        <v>0.03</v>
      </c>
      <c r="H10576" s="10">
        <v>0.1</v>
      </c>
      <c r="I10576" s="11" t="s">
        <v>28</v>
      </c>
      <c r="J10576" s="11" t="s">
        <v>28</v>
      </c>
      <c r="K10576" s="11" t="s">
        <v>28</v>
      </c>
      <c r="L10576" s="11" t="s">
        <v>28</v>
      </c>
      <c r="M10576" s="11" t="s">
        <v>28</v>
      </c>
      <c r="N10576" s="8">
        <v>41640</v>
      </c>
      <c r="O10576" s="9" t="s">
        <v>99</v>
      </c>
      <c r="P10576" s="12" t="s">
        <v>29934</v>
      </c>
      <c r="Q10576" s="9" t="s">
        <v>105</v>
      </c>
      <c r="R10576" s="14" t="str">
        <f>HYPERLINK("https://my.pitchbook.com?c=254681-38T","View Company Online")</f>
        <v>View Company Online</v>
      </c>
    </row>
    <row r="10577" spans="1:18" hidden="1" x14ac:dyDescent="0.3">
      <c r="A10577" s="15" t="s">
        <v>29935</v>
      </c>
      <c r="B10577" s="15" t="s">
        <v>21186</v>
      </c>
      <c r="C10577" s="18" t="s">
        <v>28</v>
      </c>
      <c r="D10577" s="15" t="s">
        <v>21187</v>
      </c>
      <c r="E10577" s="18" t="s">
        <v>28</v>
      </c>
      <c r="F10577" s="19" t="s">
        <v>28</v>
      </c>
      <c r="G10577" s="19">
        <v>0.09</v>
      </c>
      <c r="H10577" s="19" t="s">
        <v>28</v>
      </c>
      <c r="I10577" s="18" t="s">
        <v>28</v>
      </c>
      <c r="J10577" s="18" t="s">
        <v>28</v>
      </c>
      <c r="K10577" s="18" t="s">
        <v>28</v>
      </c>
      <c r="L10577" s="18" t="s">
        <v>28</v>
      </c>
      <c r="M10577" s="18" t="s">
        <v>28</v>
      </c>
      <c r="N10577" s="17">
        <v>41640</v>
      </c>
      <c r="O10577" s="15" t="s">
        <v>52</v>
      </c>
      <c r="P10577" s="16" t="s">
        <v>29520</v>
      </c>
      <c r="Q10577" s="15" t="s">
        <v>75</v>
      </c>
      <c r="R10577" s="13" t="str">
        <f>HYPERLINK("https://my.pitchbook.com?c=66101-32T","View Company Online")</f>
        <v>View Company Online</v>
      </c>
    </row>
    <row r="10578" spans="1:18" hidden="1" x14ac:dyDescent="0.3">
      <c r="A10578" s="9" t="s">
        <v>29936</v>
      </c>
      <c r="B10578" s="9" t="s">
        <v>20840</v>
      </c>
      <c r="C10578" s="11" t="s">
        <v>28</v>
      </c>
      <c r="D10578" s="9" t="s">
        <v>20841</v>
      </c>
      <c r="E10578" s="11" t="s">
        <v>28</v>
      </c>
      <c r="F10578" s="10" t="s">
        <v>28</v>
      </c>
      <c r="G10578" s="10">
        <v>0.21</v>
      </c>
      <c r="H10578" s="10" t="s">
        <v>28</v>
      </c>
      <c r="I10578" s="11" t="s">
        <v>28</v>
      </c>
      <c r="J10578" s="11" t="s">
        <v>28</v>
      </c>
      <c r="K10578" s="11" t="s">
        <v>28</v>
      </c>
      <c r="L10578" s="11" t="s">
        <v>28</v>
      </c>
      <c r="M10578" s="11" t="s">
        <v>28</v>
      </c>
      <c r="N10578" s="8">
        <v>41640</v>
      </c>
      <c r="O10578" s="9" t="s">
        <v>9098</v>
      </c>
      <c r="P10578" s="12" t="s">
        <v>28</v>
      </c>
      <c r="Q10578" s="9" t="s">
        <v>362</v>
      </c>
      <c r="R10578" s="14" t="str">
        <f>HYPERLINK("https://my.pitchbook.com?c=135390-61T","View Company Online")</f>
        <v>View Company Online</v>
      </c>
    </row>
    <row r="10579" spans="1:18" hidden="1" x14ac:dyDescent="0.3">
      <c r="A10579" s="15" t="s">
        <v>29937</v>
      </c>
      <c r="B10579" s="15" t="s">
        <v>24080</v>
      </c>
      <c r="C10579" s="18" t="s">
        <v>28</v>
      </c>
      <c r="D10579" s="15" t="s">
        <v>24081</v>
      </c>
      <c r="E10579" s="18" t="s">
        <v>28</v>
      </c>
      <c r="F10579" s="19" t="s">
        <v>28</v>
      </c>
      <c r="G10579" s="19">
        <v>0.05</v>
      </c>
      <c r="H10579" s="19" t="s">
        <v>28</v>
      </c>
      <c r="I10579" s="18" t="s">
        <v>28</v>
      </c>
      <c r="J10579" s="18" t="s">
        <v>28</v>
      </c>
      <c r="K10579" s="18" t="s">
        <v>28</v>
      </c>
      <c r="L10579" s="18" t="s">
        <v>28</v>
      </c>
      <c r="M10579" s="18" t="s">
        <v>28</v>
      </c>
      <c r="N10579" s="17">
        <v>41640</v>
      </c>
      <c r="O10579" s="15" t="s">
        <v>9098</v>
      </c>
      <c r="P10579" s="16" t="s">
        <v>28</v>
      </c>
      <c r="Q10579" s="15" t="s">
        <v>566</v>
      </c>
      <c r="R10579" s="13" t="str">
        <f>HYPERLINK("https://my.pitchbook.com?c=111450-61T","View Company Online")</f>
        <v>View Company Online</v>
      </c>
    </row>
    <row r="10580" spans="1:18" hidden="1" x14ac:dyDescent="0.3">
      <c r="A10580" s="9" t="s">
        <v>29938</v>
      </c>
      <c r="B10580" s="9" t="s">
        <v>29939</v>
      </c>
      <c r="C10580" s="11" t="s">
        <v>28</v>
      </c>
      <c r="D10580" s="9" t="s">
        <v>29940</v>
      </c>
      <c r="E10580" s="11" t="s">
        <v>28</v>
      </c>
      <c r="F10580" s="10" t="s">
        <v>28</v>
      </c>
      <c r="G10580" s="10" t="s">
        <v>28</v>
      </c>
      <c r="H10580" s="10" t="s">
        <v>28</v>
      </c>
      <c r="I10580" s="11" t="s">
        <v>28</v>
      </c>
      <c r="J10580" s="11" t="s">
        <v>28</v>
      </c>
      <c r="K10580" s="11" t="s">
        <v>28</v>
      </c>
      <c r="L10580" s="11" t="s">
        <v>28</v>
      </c>
      <c r="M10580" s="11" t="s">
        <v>28</v>
      </c>
      <c r="N10580" s="8">
        <v>41640</v>
      </c>
      <c r="O10580" s="9" t="s">
        <v>52</v>
      </c>
      <c r="P10580" s="12" t="s">
        <v>2628</v>
      </c>
      <c r="Q10580" s="9" t="s">
        <v>75</v>
      </c>
      <c r="R10580" s="14" t="str">
        <f>HYPERLINK("https://my.pitchbook.com?c=253095-85T","View Company Online")</f>
        <v>View Company Online</v>
      </c>
    </row>
    <row r="10581" spans="1:18" hidden="1" x14ac:dyDescent="0.3">
      <c r="A10581" s="15" t="s">
        <v>29941</v>
      </c>
      <c r="B10581" s="15" t="s">
        <v>17160</v>
      </c>
      <c r="C10581" s="18" t="s">
        <v>28</v>
      </c>
      <c r="D10581" s="15" t="s">
        <v>17161</v>
      </c>
      <c r="E10581" s="18" t="s">
        <v>28</v>
      </c>
      <c r="F10581" s="19" t="s">
        <v>28</v>
      </c>
      <c r="G10581" s="19">
        <v>1.3</v>
      </c>
      <c r="H10581" s="19" t="s">
        <v>28</v>
      </c>
      <c r="I10581" s="18" t="s">
        <v>28</v>
      </c>
      <c r="J10581" s="18" t="s">
        <v>28</v>
      </c>
      <c r="K10581" s="18" t="s">
        <v>28</v>
      </c>
      <c r="L10581" s="18" t="s">
        <v>28</v>
      </c>
      <c r="M10581" s="18" t="s">
        <v>28</v>
      </c>
      <c r="N10581" s="17">
        <v>41640</v>
      </c>
      <c r="O10581" s="15" t="s">
        <v>99</v>
      </c>
      <c r="P10581" s="16" t="s">
        <v>29942</v>
      </c>
      <c r="Q10581" s="15" t="s">
        <v>75</v>
      </c>
      <c r="R10581" s="13" t="str">
        <f>HYPERLINK("https://my.pitchbook.com?c=49108-33T","View Company Online")</f>
        <v>View Company Online</v>
      </c>
    </row>
    <row r="10582" spans="1:18" hidden="1" x14ac:dyDescent="0.3">
      <c r="A10582" s="9" t="s">
        <v>29943</v>
      </c>
      <c r="B10582" s="9" t="s">
        <v>29944</v>
      </c>
      <c r="C10582" s="11" t="s">
        <v>28</v>
      </c>
      <c r="D10582" s="9" t="s">
        <v>29945</v>
      </c>
      <c r="E10582" s="11" t="s">
        <v>28</v>
      </c>
      <c r="F10582" s="10" t="s">
        <v>28</v>
      </c>
      <c r="G10582" s="10" t="s">
        <v>28</v>
      </c>
      <c r="H10582" s="10" t="s">
        <v>28</v>
      </c>
      <c r="I10582" s="11" t="s">
        <v>28</v>
      </c>
      <c r="J10582" s="11" t="s">
        <v>28</v>
      </c>
      <c r="K10582" s="11" t="s">
        <v>28</v>
      </c>
      <c r="L10582" s="11" t="s">
        <v>28</v>
      </c>
      <c r="M10582" s="11" t="s">
        <v>28</v>
      </c>
      <c r="N10582" s="8">
        <v>41640</v>
      </c>
      <c r="O10582" s="9" t="s">
        <v>52</v>
      </c>
      <c r="P10582" s="12" t="s">
        <v>29946</v>
      </c>
      <c r="Q10582" s="9" t="s">
        <v>419</v>
      </c>
      <c r="R10582" s="14" t="str">
        <f>HYPERLINK("https://my.pitchbook.com?c=40042-63T","View Company Online")</f>
        <v>View Company Online</v>
      </c>
    </row>
    <row r="10583" spans="1:18" hidden="1" x14ac:dyDescent="0.3">
      <c r="A10583" s="15" t="s">
        <v>29947</v>
      </c>
      <c r="B10583" s="15" t="s">
        <v>4542</v>
      </c>
      <c r="C10583" s="18" t="s">
        <v>28</v>
      </c>
      <c r="D10583" s="15" t="s">
        <v>4543</v>
      </c>
      <c r="E10583" s="18" t="s">
        <v>28</v>
      </c>
      <c r="F10583" s="19" t="s">
        <v>28</v>
      </c>
      <c r="G10583" s="19" t="s">
        <v>28</v>
      </c>
      <c r="H10583" s="19" t="s">
        <v>28</v>
      </c>
      <c r="I10583" s="18" t="s">
        <v>28</v>
      </c>
      <c r="J10583" s="18" t="s">
        <v>28</v>
      </c>
      <c r="K10583" s="18" t="s">
        <v>28</v>
      </c>
      <c r="L10583" s="18" t="s">
        <v>28</v>
      </c>
      <c r="M10583" s="18" t="s">
        <v>28</v>
      </c>
      <c r="N10583" s="17">
        <v>41640</v>
      </c>
      <c r="O10583" s="15" t="s">
        <v>73</v>
      </c>
      <c r="P10583" s="16" t="s">
        <v>22930</v>
      </c>
      <c r="Q10583" s="15" t="s">
        <v>37</v>
      </c>
      <c r="R10583" s="13" t="str">
        <f>HYPERLINK("https://my.pitchbook.com?c=293896-63T","View Company Online")</f>
        <v>View Company Online</v>
      </c>
    </row>
    <row r="10584" spans="1:18" hidden="1" x14ac:dyDescent="0.3">
      <c r="A10584" s="9" t="s">
        <v>29948</v>
      </c>
      <c r="B10584" s="9" t="s">
        <v>2516</v>
      </c>
      <c r="C10584" s="11" t="s">
        <v>28</v>
      </c>
      <c r="D10584" s="9" t="s">
        <v>2517</v>
      </c>
      <c r="E10584" s="11" t="s">
        <v>28</v>
      </c>
      <c r="F10584" s="10" t="s">
        <v>28</v>
      </c>
      <c r="G10584" s="10">
        <v>0.28000000000000003</v>
      </c>
      <c r="H10584" s="10" t="s">
        <v>28</v>
      </c>
      <c r="I10584" s="11" t="s">
        <v>28</v>
      </c>
      <c r="J10584" s="11" t="s">
        <v>28</v>
      </c>
      <c r="K10584" s="11" t="s">
        <v>28</v>
      </c>
      <c r="L10584" s="11" t="s">
        <v>28</v>
      </c>
      <c r="M10584" s="11" t="s">
        <v>28</v>
      </c>
      <c r="N10584" s="8">
        <v>41640</v>
      </c>
      <c r="O10584" s="9" t="s">
        <v>79</v>
      </c>
      <c r="P10584" s="12" t="s">
        <v>1755</v>
      </c>
      <c r="Q10584" s="9" t="s">
        <v>75</v>
      </c>
      <c r="R10584" s="14" t="str">
        <f>HYPERLINK("https://my.pitchbook.com?c=79756-84T","View Company Online")</f>
        <v>View Company Online</v>
      </c>
    </row>
    <row r="10585" spans="1:18" hidden="1" x14ac:dyDescent="0.3">
      <c r="A10585" s="15" t="s">
        <v>29949</v>
      </c>
      <c r="B10585" s="15" t="s">
        <v>29950</v>
      </c>
      <c r="C10585" s="18" t="s">
        <v>28</v>
      </c>
      <c r="D10585" s="15" t="s">
        <v>29951</v>
      </c>
      <c r="E10585" s="18" t="s">
        <v>28</v>
      </c>
      <c r="F10585" s="19" t="s">
        <v>28</v>
      </c>
      <c r="G10585" s="19" t="s">
        <v>28</v>
      </c>
      <c r="H10585" s="19" t="s">
        <v>28</v>
      </c>
      <c r="I10585" s="18" t="s">
        <v>28</v>
      </c>
      <c r="J10585" s="18" t="s">
        <v>28</v>
      </c>
      <c r="K10585" s="18" t="s">
        <v>28</v>
      </c>
      <c r="L10585" s="18" t="s">
        <v>28</v>
      </c>
      <c r="M10585" s="18" t="s">
        <v>28</v>
      </c>
      <c r="N10585" s="17">
        <v>41640</v>
      </c>
      <c r="O10585" s="15" t="s">
        <v>52</v>
      </c>
      <c r="P10585" s="16" t="s">
        <v>11539</v>
      </c>
      <c r="Q10585" s="15" t="s">
        <v>75</v>
      </c>
      <c r="R10585" s="13" t="str">
        <f>HYPERLINK("https://my.pitchbook.com?c=65097-46T","View Company Online")</f>
        <v>View Company Online</v>
      </c>
    </row>
    <row r="10586" spans="1:18" hidden="1" x14ac:dyDescent="0.3">
      <c r="A10586" s="9" t="s">
        <v>29952</v>
      </c>
      <c r="B10586" s="9" t="s">
        <v>29953</v>
      </c>
      <c r="C10586" s="11" t="s">
        <v>28</v>
      </c>
      <c r="D10586" s="9" t="s">
        <v>29954</v>
      </c>
      <c r="E10586" s="11" t="s">
        <v>28</v>
      </c>
      <c r="F10586" s="10" t="s">
        <v>28</v>
      </c>
      <c r="G10586" s="10" t="s">
        <v>28</v>
      </c>
      <c r="H10586" s="10" t="s">
        <v>28</v>
      </c>
      <c r="I10586" s="11" t="s">
        <v>28</v>
      </c>
      <c r="J10586" s="11" t="s">
        <v>28</v>
      </c>
      <c r="K10586" s="11" t="s">
        <v>28</v>
      </c>
      <c r="L10586" s="11" t="s">
        <v>28</v>
      </c>
      <c r="M10586" s="11" t="s">
        <v>28</v>
      </c>
      <c r="N10586" s="8">
        <v>41640</v>
      </c>
      <c r="O10586" s="9" t="s">
        <v>30</v>
      </c>
      <c r="P10586" s="12" t="s">
        <v>29955</v>
      </c>
      <c r="Q10586" s="9" t="s">
        <v>1007</v>
      </c>
      <c r="R10586" s="14" t="str">
        <f>HYPERLINK("https://my.pitchbook.com?c=210265-30T","View Company Online")</f>
        <v>View Company Online</v>
      </c>
    </row>
    <row r="10587" spans="1:18" hidden="1" x14ac:dyDescent="0.3">
      <c r="A10587" s="15" t="s">
        <v>29956</v>
      </c>
      <c r="B10587" s="15" t="s">
        <v>29957</v>
      </c>
      <c r="C10587" s="18" t="s">
        <v>28</v>
      </c>
      <c r="D10587" s="15" t="s">
        <v>29958</v>
      </c>
      <c r="E10587" s="18" t="s">
        <v>28</v>
      </c>
      <c r="F10587" s="19" t="s">
        <v>28</v>
      </c>
      <c r="G10587" s="19" t="s">
        <v>28</v>
      </c>
      <c r="H10587" s="19" t="s">
        <v>28</v>
      </c>
      <c r="I10587" s="18" t="s">
        <v>28</v>
      </c>
      <c r="J10587" s="18" t="s">
        <v>28</v>
      </c>
      <c r="K10587" s="18" t="s">
        <v>28</v>
      </c>
      <c r="L10587" s="18" t="s">
        <v>28</v>
      </c>
      <c r="M10587" s="18" t="s">
        <v>28</v>
      </c>
      <c r="N10587" s="17">
        <v>41640</v>
      </c>
      <c r="O10587" s="15" t="s">
        <v>30</v>
      </c>
      <c r="P10587" s="16" t="s">
        <v>29959</v>
      </c>
      <c r="Q10587" s="15" t="s">
        <v>75</v>
      </c>
      <c r="R10587" s="13" t="str">
        <f>HYPERLINK("https://my.pitchbook.com?c=69494-59T","View Company Online")</f>
        <v>View Company Online</v>
      </c>
    </row>
    <row r="10588" spans="1:18" hidden="1" x14ac:dyDescent="0.3">
      <c r="A10588" s="9" t="s">
        <v>29960</v>
      </c>
      <c r="B10588" s="9" t="s">
        <v>2925</v>
      </c>
      <c r="C10588" s="11" t="s">
        <v>28</v>
      </c>
      <c r="D10588" s="9" t="s">
        <v>2926</v>
      </c>
      <c r="E10588" s="11" t="s">
        <v>28</v>
      </c>
      <c r="F10588" s="10" t="s">
        <v>28</v>
      </c>
      <c r="G10588" s="10">
        <v>0.04</v>
      </c>
      <c r="H10588" s="10" t="s">
        <v>28</v>
      </c>
      <c r="I10588" s="11" t="s">
        <v>28</v>
      </c>
      <c r="J10588" s="11" t="s">
        <v>28</v>
      </c>
      <c r="K10588" s="11" t="s">
        <v>28</v>
      </c>
      <c r="L10588" s="11" t="s">
        <v>28</v>
      </c>
      <c r="M10588" s="11" t="s">
        <v>28</v>
      </c>
      <c r="N10588" s="8">
        <v>41640</v>
      </c>
      <c r="O10588" s="9" t="s">
        <v>47</v>
      </c>
      <c r="P10588" s="12" t="s">
        <v>29961</v>
      </c>
      <c r="Q10588" s="9" t="s">
        <v>85</v>
      </c>
      <c r="R10588" s="14" t="str">
        <f>HYPERLINK("https://my.pitchbook.com?c=100332-28T","View Company Online")</f>
        <v>View Company Online</v>
      </c>
    </row>
    <row r="10589" spans="1:18" hidden="1" x14ac:dyDescent="0.3">
      <c r="A10589" s="15" t="s">
        <v>29962</v>
      </c>
      <c r="B10589" s="15" t="s">
        <v>7549</v>
      </c>
      <c r="C10589" s="18" t="s">
        <v>28</v>
      </c>
      <c r="D10589" s="15" t="s">
        <v>11538</v>
      </c>
      <c r="E10589" s="18" t="s">
        <v>28</v>
      </c>
      <c r="F10589" s="19" t="s">
        <v>28</v>
      </c>
      <c r="G10589" s="19" t="s">
        <v>28</v>
      </c>
      <c r="H10589" s="19" t="s">
        <v>28</v>
      </c>
      <c r="I10589" s="18" t="s">
        <v>28</v>
      </c>
      <c r="J10589" s="18" t="s">
        <v>28</v>
      </c>
      <c r="K10589" s="18" t="s">
        <v>28</v>
      </c>
      <c r="L10589" s="18" t="s">
        <v>28</v>
      </c>
      <c r="M10589" s="18" t="s">
        <v>28</v>
      </c>
      <c r="N10589" s="17">
        <v>41640</v>
      </c>
      <c r="O10589" s="15" t="s">
        <v>52</v>
      </c>
      <c r="P10589" s="16" t="s">
        <v>18449</v>
      </c>
      <c r="Q10589" s="15" t="s">
        <v>566</v>
      </c>
      <c r="R10589" s="13" t="str">
        <f>HYPERLINK("https://my.pitchbook.com?c=50777-65T","View Company Online")</f>
        <v>View Company Online</v>
      </c>
    </row>
    <row r="10590" spans="1:18" hidden="1" x14ac:dyDescent="0.3">
      <c r="A10590" s="9" t="s">
        <v>29963</v>
      </c>
      <c r="B10590" s="9" t="s">
        <v>3903</v>
      </c>
      <c r="C10590" s="11" t="s">
        <v>28</v>
      </c>
      <c r="D10590" s="9" t="s">
        <v>3904</v>
      </c>
      <c r="E10590" s="11" t="s">
        <v>28</v>
      </c>
      <c r="F10590" s="10" t="s">
        <v>28</v>
      </c>
      <c r="G10590" s="10" t="s">
        <v>28</v>
      </c>
      <c r="H10590" s="10" t="s">
        <v>28</v>
      </c>
      <c r="I10590" s="11" t="s">
        <v>28</v>
      </c>
      <c r="J10590" s="11" t="s">
        <v>28</v>
      </c>
      <c r="K10590" s="11" t="s">
        <v>28</v>
      </c>
      <c r="L10590" s="11" t="s">
        <v>28</v>
      </c>
      <c r="M10590" s="11" t="s">
        <v>28</v>
      </c>
      <c r="N10590" s="8">
        <v>41640</v>
      </c>
      <c r="O10590" s="9" t="s">
        <v>52</v>
      </c>
      <c r="P10590" s="12" t="s">
        <v>1970</v>
      </c>
      <c r="Q10590" s="9" t="s">
        <v>75</v>
      </c>
      <c r="R10590" s="14" t="str">
        <f>HYPERLINK("https://my.pitchbook.com?c=133962-04T","View Company Online")</f>
        <v>View Company Online</v>
      </c>
    </row>
    <row r="10591" spans="1:18" hidden="1" x14ac:dyDescent="0.3">
      <c r="A10591" s="15" t="s">
        <v>29964</v>
      </c>
      <c r="B10591" s="15" t="s">
        <v>29965</v>
      </c>
      <c r="C10591" s="18" t="s">
        <v>28</v>
      </c>
      <c r="D10591" s="15" t="s">
        <v>29966</v>
      </c>
      <c r="E10591" s="18" t="s">
        <v>28</v>
      </c>
      <c r="F10591" s="19" t="s">
        <v>28</v>
      </c>
      <c r="G10591" s="19">
        <v>0.02</v>
      </c>
      <c r="H10591" s="19">
        <v>0.75</v>
      </c>
      <c r="I10591" s="18" t="s">
        <v>28</v>
      </c>
      <c r="J10591" s="18" t="s">
        <v>28</v>
      </c>
      <c r="K10591" s="18" t="s">
        <v>28</v>
      </c>
      <c r="L10591" s="18" t="s">
        <v>28</v>
      </c>
      <c r="M10591" s="18" t="s">
        <v>28</v>
      </c>
      <c r="N10591" s="17">
        <v>41640</v>
      </c>
      <c r="O10591" s="15" t="s">
        <v>52</v>
      </c>
      <c r="P10591" s="16" t="s">
        <v>27943</v>
      </c>
      <c r="Q10591" s="15" t="s">
        <v>583</v>
      </c>
      <c r="R10591" s="13" t="str">
        <f>HYPERLINK("https://my.pitchbook.com?c=132282-28T","View Company Online")</f>
        <v>View Company Online</v>
      </c>
    </row>
    <row r="10592" spans="1:18" hidden="1" x14ac:dyDescent="0.3">
      <c r="A10592" s="9" t="s">
        <v>29967</v>
      </c>
      <c r="B10592" s="9" t="s">
        <v>28401</v>
      </c>
      <c r="C10592" s="11" t="s">
        <v>28</v>
      </c>
      <c r="D10592" s="9" t="s">
        <v>28402</v>
      </c>
      <c r="E10592" s="11" t="s">
        <v>28</v>
      </c>
      <c r="F10592" s="10" t="s">
        <v>28</v>
      </c>
      <c r="G10592" s="10" t="s">
        <v>28</v>
      </c>
      <c r="H10592" s="10" t="s">
        <v>28</v>
      </c>
      <c r="I10592" s="11" t="s">
        <v>28</v>
      </c>
      <c r="J10592" s="11" t="s">
        <v>28</v>
      </c>
      <c r="K10592" s="11" t="s">
        <v>28</v>
      </c>
      <c r="L10592" s="11" t="s">
        <v>28</v>
      </c>
      <c r="M10592" s="11" t="s">
        <v>28</v>
      </c>
      <c r="N10592" s="8">
        <v>41640</v>
      </c>
      <c r="O10592" s="9" t="s">
        <v>52</v>
      </c>
      <c r="P10592" s="12" t="s">
        <v>1970</v>
      </c>
      <c r="Q10592" s="9" t="s">
        <v>386</v>
      </c>
      <c r="R10592" s="14" t="str">
        <f>HYPERLINK("https://my.pitchbook.com?c=291119-68T","View Company Online")</f>
        <v>View Company Online</v>
      </c>
    </row>
    <row r="10593" spans="1:18" hidden="1" x14ac:dyDescent="0.3">
      <c r="A10593" s="15" t="s">
        <v>29968</v>
      </c>
      <c r="B10593" s="15" t="s">
        <v>18273</v>
      </c>
      <c r="C10593" s="18" t="s">
        <v>28</v>
      </c>
      <c r="D10593" s="15" t="s">
        <v>18274</v>
      </c>
      <c r="E10593" s="18" t="s">
        <v>28</v>
      </c>
      <c r="F10593" s="19" t="s">
        <v>28</v>
      </c>
      <c r="G10593" s="19">
        <v>0.23</v>
      </c>
      <c r="H10593" s="19" t="s">
        <v>28</v>
      </c>
      <c r="I10593" s="18" t="s">
        <v>28</v>
      </c>
      <c r="J10593" s="18" t="s">
        <v>28</v>
      </c>
      <c r="K10593" s="18" t="s">
        <v>28</v>
      </c>
      <c r="L10593" s="18" t="s">
        <v>28</v>
      </c>
      <c r="M10593" s="18" t="s">
        <v>28</v>
      </c>
      <c r="N10593" s="17">
        <v>41640</v>
      </c>
      <c r="O10593" s="15" t="s">
        <v>47</v>
      </c>
      <c r="P10593" s="16" t="s">
        <v>29969</v>
      </c>
      <c r="Q10593" s="15" t="s">
        <v>136</v>
      </c>
      <c r="R10593" s="13" t="str">
        <f>HYPERLINK("https://my.pitchbook.com?c=125720-38T","View Company Online")</f>
        <v>View Company Online</v>
      </c>
    </row>
    <row r="10594" spans="1:18" hidden="1" x14ac:dyDescent="0.3">
      <c r="A10594" s="9" t="s">
        <v>29970</v>
      </c>
      <c r="B10594" s="9" t="s">
        <v>16366</v>
      </c>
      <c r="C10594" s="11" t="s">
        <v>28</v>
      </c>
      <c r="D10594" s="9" t="s">
        <v>16367</v>
      </c>
      <c r="E10594" s="11" t="s">
        <v>28</v>
      </c>
      <c r="F10594" s="10" t="s">
        <v>28</v>
      </c>
      <c r="G10594" s="10">
        <v>34</v>
      </c>
      <c r="H10594" s="10" t="s">
        <v>28</v>
      </c>
      <c r="I10594" s="11" t="s">
        <v>28</v>
      </c>
      <c r="J10594" s="11" t="s">
        <v>28</v>
      </c>
      <c r="K10594" s="11" t="s">
        <v>28</v>
      </c>
      <c r="L10594" s="11" t="s">
        <v>28</v>
      </c>
      <c r="M10594" s="11" t="s">
        <v>28</v>
      </c>
      <c r="N10594" s="8">
        <v>41640</v>
      </c>
      <c r="O10594" s="9" t="s">
        <v>93</v>
      </c>
      <c r="P10594" s="12" t="s">
        <v>28</v>
      </c>
      <c r="Q10594" s="9" t="s">
        <v>1088</v>
      </c>
      <c r="R10594" s="14" t="str">
        <f>HYPERLINK("https://my.pitchbook.com?c=106744-15T","View Company Online")</f>
        <v>View Company Online</v>
      </c>
    </row>
    <row r="10595" spans="1:18" hidden="1" x14ac:dyDescent="0.3">
      <c r="A10595" s="15" t="s">
        <v>29971</v>
      </c>
      <c r="B10595" s="15" t="s">
        <v>15617</v>
      </c>
      <c r="C10595" s="18" t="s">
        <v>28</v>
      </c>
      <c r="D10595" s="15" t="s">
        <v>15618</v>
      </c>
      <c r="E10595" s="18" t="s">
        <v>28</v>
      </c>
      <c r="F10595" s="19" t="s">
        <v>28</v>
      </c>
      <c r="G10595" s="19" t="s">
        <v>28</v>
      </c>
      <c r="H10595" s="19" t="s">
        <v>28</v>
      </c>
      <c r="I10595" s="18" t="s">
        <v>28</v>
      </c>
      <c r="J10595" s="18" t="s">
        <v>28</v>
      </c>
      <c r="K10595" s="18" t="s">
        <v>28</v>
      </c>
      <c r="L10595" s="18" t="s">
        <v>28</v>
      </c>
      <c r="M10595" s="18" t="s">
        <v>28</v>
      </c>
      <c r="N10595" s="17">
        <v>41640</v>
      </c>
      <c r="O10595" s="15" t="s">
        <v>30</v>
      </c>
      <c r="P10595" s="16" t="s">
        <v>28</v>
      </c>
      <c r="Q10595" s="15" t="s">
        <v>75</v>
      </c>
      <c r="R10595" s="13" t="str">
        <f>HYPERLINK("https://my.pitchbook.com?c=211895-47T","View Company Online")</f>
        <v>View Company Online</v>
      </c>
    </row>
    <row r="10596" spans="1:18" hidden="1" x14ac:dyDescent="0.3">
      <c r="A10596" s="9" t="s">
        <v>29972</v>
      </c>
      <c r="B10596" s="9" t="s">
        <v>3424</v>
      </c>
      <c r="C10596" s="11" t="s">
        <v>28</v>
      </c>
      <c r="D10596" s="9" t="s">
        <v>3425</v>
      </c>
      <c r="E10596" s="11" t="s">
        <v>28</v>
      </c>
      <c r="F10596" s="10" t="s">
        <v>28</v>
      </c>
      <c r="G10596" s="10" t="s">
        <v>28</v>
      </c>
      <c r="H10596" s="10" t="s">
        <v>28</v>
      </c>
      <c r="I10596" s="11" t="s">
        <v>28</v>
      </c>
      <c r="J10596" s="11" t="s">
        <v>28</v>
      </c>
      <c r="K10596" s="11" t="s">
        <v>28</v>
      </c>
      <c r="L10596" s="11" t="s">
        <v>28</v>
      </c>
      <c r="M10596" s="11" t="s">
        <v>28</v>
      </c>
      <c r="N10596" s="8">
        <v>41640</v>
      </c>
      <c r="O10596" s="9" t="s">
        <v>41</v>
      </c>
      <c r="P10596" s="12" t="s">
        <v>29973</v>
      </c>
      <c r="Q10596" s="9" t="s">
        <v>226</v>
      </c>
      <c r="R10596" s="14" t="str">
        <f>HYPERLINK("https://my.pitchbook.com?c=169580-35T","View Company Online")</f>
        <v>View Company Online</v>
      </c>
    </row>
    <row r="10597" spans="1:18" hidden="1" x14ac:dyDescent="0.3">
      <c r="A10597" s="15" t="s">
        <v>29974</v>
      </c>
      <c r="B10597" s="15" t="s">
        <v>29975</v>
      </c>
      <c r="C10597" s="18" t="s">
        <v>28</v>
      </c>
      <c r="D10597" s="15" t="s">
        <v>29976</v>
      </c>
      <c r="E10597" s="18" t="s">
        <v>28</v>
      </c>
      <c r="F10597" s="19" t="s">
        <v>28</v>
      </c>
      <c r="G10597" s="19" t="s">
        <v>28</v>
      </c>
      <c r="H10597" s="19" t="s">
        <v>28</v>
      </c>
      <c r="I10597" s="18" t="s">
        <v>28</v>
      </c>
      <c r="J10597" s="18" t="s">
        <v>28</v>
      </c>
      <c r="K10597" s="18" t="s">
        <v>28</v>
      </c>
      <c r="L10597" s="18" t="s">
        <v>28</v>
      </c>
      <c r="M10597" s="18" t="s">
        <v>28</v>
      </c>
      <c r="N10597" s="17">
        <v>41640</v>
      </c>
      <c r="O10597" s="15" t="s">
        <v>52</v>
      </c>
      <c r="P10597" s="16" t="s">
        <v>1970</v>
      </c>
      <c r="Q10597" s="15" t="s">
        <v>75</v>
      </c>
      <c r="R10597" s="13" t="str">
        <f>HYPERLINK("https://my.pitchbook.com?c=291088-81T","View Company Online")</f>
        <v>View Company Online</v>
      </c>
    </row>
    <row r="10598" spans="1:18" hidden="1" x14ac:dyDescent="0.3">
      <c r="A10598" s="9" t="s">
        <v>29977</v>
      </c>
      <c r="B10598" s="9" t="s">
        <v>29978</v>
      </c>
      <c r="C10598" s="11" t="s">
        <v>28</v>
      </c>
      <c r="D10598" s="9" t="s">
        <v>29979</v>
      </c>
      <c r="E10598" s="11" t="s">
        <v>28</v>
      </c>
      <c r="F10598" s="10" t="s">
        <v>28</v>
      </c>
      <c r="G10598" s="10">
        <v>1.4</v>
      </c>
      <c r="H10598" s="10" t="s">
        <v>28</v>
      </c>
      <c r="I10598" s="11" t="s">
        <v>28</v>
      </c>
      <c r="J10598" s="11" t="s">
        <v>28</v>
      </c>
      <c r="K10598" s="11" t="s">
        <v>28</v>
      </c>
      <c r="L10598" s="11" t="s">
        <v>28</v>
      </c>
      <c r="M10598" s="11" t="s">
        <v>28</v>
      </c>
      <c r="N10598" s="8">
        <v>41640</v>
      </c>
      <c r="O10598" s="9" t="s">
        <v>73</v>
      </c>
      <c r="P10598" s="12" t="s">
        <v>28</v>
      </c>
      <c r="Q10598" s="9" t="s">
        <v>740</v>
      </c>
      <c r="R10598" s="14" t="str">
        <f>HYPERLINK("https://my.pitchbook.com?c=33644-71T","View Company Online")</f>
        <v>View Company Online</v>
      </c>
    </row>
    <row r="10599" spans="1:18" hidden="1" x14ac:dyDescent="0.3">
      <c r="A10599" s="15" t="s">
        <v>29980</v>
      </c>
      <c r="B10599" s="15" t="s">
        <v>24697</v>
      </c>
      <c r="C10599" s="18" t="s">
        <v>28</v>
      </c>
      <c r="D10599" s="15" t="s">
        <v>24698</v>
      </c>
      <c r="E10599" s="18" t="s">
        <v>28</v>
      </c>
      <c r="F10599" s="19" t="s">
        <v>28</v>
      </c>
      <c r="G10599" s="19">
        <v>0.05</v>
      </c>
      <c r="H10599" s="19" t="s">
        <v>28</v>
      </c>
      <c r="I10599" s="18" t="s">
        <v>28</v>
      </c>
      <c r="J10599" s="18" t="s">
        <v>28</v>
      </c>
      <c r="K10599" s="18" t="s">
        <v>28</v>
      </c>
      <c r="L10599" s="18" t="s">
        <v>28</v>
      </c>
      <c r="M10599" s="18" t="s">
        <v>28</v>
      </c>
      <c r="N10599" s="17">
        <v>41640</v>
      </c>
      <c r="O10599" s="15" t="s">
        <v>52</v>
      </c>
      <c r="P10599" s="16" t="s">
        <v>11539</v>
      </c>
      <c r="Q10599" s="15" t="s">
        <v>75</v>
      </c>
      <c r="R10599" s="13" t="str">
        <f>HYPERLINK("https://my.pitchbook.com?c=65661-13T","View Company Online")</f>
        <v>View Company Online</v>
      </c>
    </row>
    <row r="10600" spans="1:18" hidden="1" x14ac:dyDescent="0.3">
      <c r="A10600" s="9" t="s">
        <v>29981</v>
      </c>
      <c r="B10600" s="9" t="s">
        <v>4067</v>
      </c>
      <c r="C10600" s="11" t="s">
        <v>28</v>
      </c>
      <c r="D10600" s="9" t="s">
        <v>4068</v>
      </c>
      <c r="E10600" s="11" t="s">
        <v>28</v>
      </c>
      <c r="F10600" s="10" t="s">
        <v>28</v>
      </c>
      <c r="G10600" s="10">
        <v>0.32</v>
      </c>
      <c r="H10600" s="10" t="s">
        <v>28</v>
      </c>
      <c r="I10600" s="11" t="s">
        <v>28</v>
      </c>
      <c r="J10600" s="11" t="s">
        <v>28</v>
      </c>
      <c r="K10600" s="11" t="s">
        <v>28</v>
      </c>
      <c r="L10600" s="11" t="s">
        <v>28</v>
      </c>
      <c r="M10600" s="11" t="s">
        <v>28</v>
      </c>
      <c r="N10600" s="8">
        <v>41640</v>
      </c>
      <c r="O10600" s="9" t="s">
        <v>9098</v>
      </c>
      <c r="P10600" s="12" t="s">
        <v>28</v>
      </c>
      <c r="Q10600" s="9" t="s">
        <v>381</v>
      </c>
      <c r="R10600" s="14" t="str">
        <f>HYPERLINK("https://my.pitchbook.com?c=180096-85T","View Company Online")</f>
        <v>View Company Online</v>
      </c>
    </row>
    <row r="10601" spans="1:18" hidden="1" x14ac:dyDescent="0.3">
      <c r="A10601" s="15" t="s">
        <v>29982</v>
      </c>
      <c r="B10601" s="15" t="s">
        <v>17679</v>
      </c>
      <c r="C10601" s="18" t="s">
        <v>28</v>
      </c>
      <c r="D10601" s="15" t="s">
        <v>17680</v>
      </c>
      <c r="E10601" s="18" t="s">
        <v>28</v>
      </c>
      <c r="F10601" s="19" t="s">
        <v>28</v>
      </c>
      <c r="G10601" s="19" t="s">
        <v>28</v>
      </c>
      <c r="H10601" s="19" t="s">
        <v>28</v>
      </c>
      <c r="I10601" s="18" t="s">
        <v>28</v>
      </c>
      <c r="J10601" s="18" t="s">
        <v>28</v>
      </c>
      <c r="K10601" s="18" t="s">
        <v>28</v>
      </c>
      <c r="L10601" s="18" t="s">
        <v>28</v>
      </c>
      <c r="M10601" s="18" t="s">
        <v>28</v>
      </c>
      <c r="N10601" s="17">
        <v>41640</v>
      </c>
      <c r="O10601" s="15" t="s">
        <v>30</v>
      </c>
      <c r="P10601" s="16" t="s">
        <v>29983</v>
      </c>
      <c r="Q10601" s="15" t="s">
        <v>75</v>
      </c>
      <c r="R10601" s="13" t="str">
        <f>HYPERLINK("https://my.pitchbook.com?c=190912-87T","View Company Online")</f>
        <v>View Company Online</v>
      </c>
    </row>
    <row r="10602" spans="1:18" hidden="1" x14ac:dyDescent="0.3">
      <c r="A10602" s="9" t="s">
        <v>29984</v>
      </c>
      <c r="B10602" s="9" t="s">
        <v>29985</v>
      </c>
      <c r="C10602" s="11" t="s">
        <v>28</v>
      </c>
      <c r="D10602" s="9" t="s">
        <v>29986</v>
      </c>
      <c r="E10602" s="11" t="s">
        <v>28</v>
      </c>
      <c r="F10602" s="10" t="s">
        <v>28</v>
      </c>
      <c r="G10602" s="10" t="s">
        <v>28</v>
      </c>
      <c r="H10602" s="10" t="s">
        <v>28</v>
      </c>
      <c r="I10602" s="11" t="s">
        <v>28</v>
      </c>
      <c r="J10602" s="11" t="s">
        <v>28</v>
      </c>
      <c r="K10602" s="11" t="s">
        <v>28</v>
      </c>
      <c r="L10602" s="11" t="s">
        <v>28</v>
      </c>
      <c r="M10602" s="11" t="s">
        <v>28</v>
      </c>
      <c r="N10602" s="8">
        <v>41640</v>
      </c>
      <c r="O10602" s="9" t="s">
        <v>30</v>
      </c>
      <c r="P10602" s="12" t="s">
        <v>29987</v>
      </c>
      <c r="Q10602" s="9" t="s">
        <v>386</v>
      </c>
      <c r="R10602" s="14" t="str">
        <f>HYPERLINK("https://my.pitchbook.com?c=71488-99T","View Company Online")</f>
        <v>View Company Online</v>
      </c>
    </row>
    <row r="10603" spans="1:18" hidden="1" x14ac:dyDescent="0.3">
      <c r="A10603" s="15" t="s">
        <v>29988</v>
      </c>
      <c r="B10603" s="15" t="s">
        <v>29989</v>
      </c>
      <c r="C10603" s="18" t="s">
        <v>28</v>
      </c>
      <c r="D10603" s="15" t="s">
        <v>29990</v>
      </c>
      <c r="E10603" s="18" t="s">
        <v>28</v>
      </c>
      <c r="F10603" s="19" t="s">
        <v>28</v>
      </c>
      <c r="G10603" s="19">
        <v>7.0000000000000007E-2</v>
      </c>
      <c r="H10603" s="19" t="s">
        <v>28</v>
      </c>
      <c r="I10603" s="18" t="s">
        <v>28</v>
      </c>
      <c r="J10603" s="18" t="s">
        <v>28</v>
      </c>
      <c r="K10603" s="18" t="s">
        <v>28</v>
      </c>
      <c r="L10603" s="18" t="s">
        <v>28</v>
      </c>
      <c r="M10603" s="18" t="s">
        <v>28</v>
      </c>
      <c r="N10603" s="17">
        <v>41640</v>
      </c>
      <c r="O10603" s="15" t="s">
        <v>379</v>
      </c>
      <c r="P10603" s="16" t="s">
        <v>28</v>
      </c>
      <c r="Q10603" s="15" t="s">
        <v>449</v>
      </c>
      <c r="R10603" s="13" t="str">
        <f>HYPERLINK("https://my.pitchbook.com?c=59439-79T","View Company Online")</f>
        <v>View Company Online</v>
      </c>
    </row>
    <row r="10604" spans="1:18" hidden="1" x14ac:dyDescent="0.3">
      <c r="A10604" s="9" t="s">
        <v>29991</v>
      </c>
      <c r="B10604" s="9" t="s">
        <v>29992</v>
      </c>
      <c r="C10604" s="11" t="s">
        <v>28</v>
      </c>
      <c r="D10604" s="9" t="s">
        <v>29993</v>
      </c>
      <c r="E10604" s="11" t="s">
        <v>28</v>
      </c>
      <c r="F10604" s="10" t="s">
        <v>28</v>
      </c>
      <c r="G10604" s="10" t="s">
        <v>28</v>
      </c>
      <c r="H10604" s="10" t="s">
        <v>28</v>
      </c>
      <c r="I10604" s="11" t="s">
        <v>28</v>
      </c>
      <c r="J10604" s="11" t="s">
        <v>28</v>
      </c>
      <c r="K10604" s="11" t="s">
        <v>28</v>
      </c>
      <c r="L10604" s="11" t="s">
        <v>28</v>
      </c>
      <c r="M10604" s="11" t="s">
        <v>28</v>
      </c>
      <c r="N10604" s="8">
        <v>41640</v>
      </c>
      <c r="O10604" s="9" t="s">
        <v>52</v>
      </c>
      <c r="P10604" s="12" t="s">
        <v>29994</v>
      </c>
      <c r="Q10604" s="9" t="s">
        <v>855</v>
      </c>
      <c r="R10604" s="14" t="str">
        <f>HYPERLINK("https://my.pitchbook.com?c=52084-45T","View Company Online")</f>
        <v>View Company Online</v>
      </c>
    </row>
    <row r="10605" spans="1:18" hidden="1" x14ac:dyDescent="0.3">
      <c r="A10605" s="15" t="s">
        <v>29995</v>
      </c>
      <c r="B10605" s="15" t="s">
        <v>23863</v>
      </c>
      <c r="C10605" s="18" t="s">
        <v>28</v>
      </c>
      <c r="D10605" s="15" t="s">
        <v>23864</v>
      </c>
      <c r="E10605" s="18" t="s">
        <v>28</v>
      </c>
      <c r="F10605" s="19" t="s">
        <v>28</v>
      </c>
      <c r="G10605" s="19" t="s">
        <v>28</v>
      </c>
      <c r="H10605" s="19" t="s">
        <v>28</v>
      </c>
      <c r="I10605" s="18" t="s">
        <v>28</v>
      </c>
      <c r="J10605" s="18" t="s">
        <v>28</v>
      </c>
      <c r="K10605" s="18" t="s">
        <v>28</v>
      </c>
      <c r="L10605" s="18" t="s">
        <v>28</v>
      </c>
      <c r="M10605" s="18" t="s">
        <v>28</v>
      </c>
      <c r="N10605" s="17">
        <v>41640</v>
      </c>
      <c r="O10605" s="15" t="s">
        <v>52</v>
      </c>
      <c r="P10605" s="16" t="s">
        <v>11539</v>
      </c>
      <c r="Q10605" s="15" t="s">
        <v>583</v>
      </c>
      <c r="R10605" s="13" t="str">
        <f>HYPERLINK("https://my.pitchbook.com?c=66485-53T","View Company Online")</f>
        <v>View Company Online</v>
      </c>
    </row>
    <row r="10606" spans="1:18" hidden="1" x14ac:dyDescent="0.3">
      <c r="A10606" s="9" t="s">
        <v>29996</v>
      </c>
      <c r="B10606" s="9" t="s">
        <v>22652</v>
      </c>
      <c r="C10606" s="11" t="s">
        <v>28</v>
      </c>
      <c r="D10606" s="9" t="s">
        <v>22653</v>
      </c>
      <c r="E10606" s="11" t="s">
        <v>28</v>
      </c>
      <c r="F10606" s="10" t="s">
        <v>28</v>
      </c>
      <c r="G10606" s="10" t="s">
        <v>28</v>
      </c>
      <c r="H10606" s="10" t="s">
        <v>28</v>
      </c>
      <c r="I10606" s="11" t="s">
        <v>28</v>
      </c>
      <c r="J10606" s="11" t="s">
        <v>28</v>
      </c>
      <c r="K10606" s="11" t="s">
        <v>28</v>
      </c>
      <c r="L10606" s="11" t="s">
        <v>28</v>
      </c>
      <c r="M10606" s="11" t="s">
        <v>28</v>
      </c>
      <c r="N10606" s="8">
        <v>41640</v>
      </c>
      <c r="O10606" s="9" t="s">
        <v>52</v>
      </c>
      <c r="P10606" s="12" t="s">
        <v>15600</v>
      </c>
      <c r="Q10606" s="9" t="s">
        <v>419</v>
      </c>
      <c r="R10606" s="14" t="str">
        <f>HYPERLINK("https://my.pitchbook.com?c=128837-80T","View Company Online")</f>
        <v>View Company Online</v>
      </c>
    </row>
    <row r="10607" spans="1:18" hidden="1" x14ac:dyDescent="0.3">
      <c r="A10607" s="15" t="s">
        <v>29997</v>
      </c>
      <c r="B10607" s="15" t="s">
        <v>29998</v>
      </c>
      <c r="C10607" s="18" t="s">
        <v>28</v>
      </c>
      <c r="D10607" s="15" t="s">
        <v>29999</v>
      </c>
      <c r="E10607" s="18" t="s">
        <v>28</v>
      </c>
      <c r="F10607" s="19" t="s">
        <v>28</v>
      </c>
      <c r="G10607" s="19" t="s">
        <v>28</v>
      </c>
      <c r="H10607" s="19" t="s">
        <v>28</v>
      </c>
      <c r="I10607" s="18" t="s">
        <v>28</v>
      </c>
      <c r="J10607" s="18" t="s">
        <v>28</v>
      </c>
      <c r="K10607" s="18" t="s">
        <v>28</v>
      </c>
      <c r="L10607" s="18" t="s">
        <v>28</v>
      </c>
      <c r="M10607" s="18" t="s">
        <v>28</v>
      </c>
      <c r="N10607" s="17">
        <v>41640</v>
      </c>
      <c r="O10607" s="15" t="s">
        <v>52</v>
      </c>
      <c r="P10607" s="16" t="s">
        <v>11539</v>
      </c>
      <c r="Q10607" s="15" t="s">
        <v>419</v>
      </c>
      <c r="R10607" s="13" t="str">
        <f>HYPERLINK("https://my.pitchbook.com?c=66470-32T","View Company Online")</f>
        <v>View Company Online</v>
      </c>
    </row>
    <row r="10608" spans="1:18" hidden="1" x14ac:dyDescent="0.3">
      <c r="A10608" s="9" t="s">
        <v>30000</v>
      </c>
      <c r="B10608" s="9" t="s">
        <v>30001</v>
      </c>
      <c r="C10608" s="11" t="s">
        <v>28</v>
      </c>
      <c r="D10608" s="9" t="s">
        <v>30002</v>
      </c>
      <c r="E10608" s="11" t="s">
        <v>28</v>
      </c>
      <c r="F10608" s="10" t="s">
        <v>28</v>
      </c>
      <c r="G10608" s="10" t="s">
        <v>28</v>
      </c>
      <c r="H10608" s="10" t="s">
        <v>28</v>
      </c>
      <c r="I10608" s="11" t="s">
        <v>28</v>
      </c>
      <c r="J10608" s="11" t="s">
        <v>28</v>
      </c>
      <c r="K10608" s="11" t="s">
        <v>28</v>
      </c>
      <c r="L10608" s="11" t="s">
        <v>28</v>
      </c>
      <c r="M10608" s="11" t="s">
        <v>28</v>
      </c>
      <c r="N10608" s="8">
        <v>41640</v>
      </c>
      <c r="O10608" s="9" t="s">
        <v>30</v>
      </c>
      <c r="P10608" s="12" t="s">
        <v>30003</v>
      </c>
      <c r="Q10608" s="9" t="s">
        <v>5347</v>
      </c>
      <c r="R10608" s="14" t="str">
        <f>HYPERLINK("https://my.pitchbook.com?c=106763-50T","View Company Online")</f>
        <v>View Company Online</v>
      </c>
    </row>
    <row r="10609" spans="1:18" hidden="1" x14ac:dyDescent="0.3">
      <c r="A10609" s="15" t="s">
        <v>30004</v>
      </c>
      <c r="B10609" s="15" t="s">
        <v>30005</v>
      </c>
      <c r="C10609" s="18" t="s">
        <v>28</v>
      </c>
      <c r="D10609" s="15" t="s">
        <v>30006</v>
      </c>
      <c r="E10609" s="18" t="s">
        <v>28</v>
      </c>
      <c r="F10609" s="19" t="s">
        <v>28</v>
      </c>
      <c r="G10609" s="19" t="s">
        <v>28</v>
      </c>
      <c r="H10609" s="19" t="s">
        <v>28</v>
      </c>
      <c r="I10609" s="18" t="s">
        <v>28</v>
      </c>
      <c r="J10609" s="18" t="s">
        <v>28</v>
      </c>
      <c r="K10609" s="18" t="s">
        <v>28</v>
      </c>
      <c r="L10609" s="18" t="s">
        <v>28</v>
      </c>
      <c r="M10609" s="18" t="s">
        <v>28</v>
      </c>
      <c r="N10609" s="17">
        <v>41640</v>
      </c>
      <c r="O10609" s="15" t="s">
        <v>52</v>
      </c>
      <c r="P10609" s="16" t="s">
        <v>11539</v>
      </c>
      <c r="Q10609" s="15" t="s">
        <v>245</v>
      </c>
      <c r="R10609" s="13" t="str">
        <f>HYPERLINK("https://my.pitchbook.com?c=65101-78T","View Company Online")</f>
        <v>View Company Online</v>
      </c>
    </row>
    <row r="10610" spans="1:18" hidden="1" x14ac:dyDescent="0.3">
      <c r="A10610" s="9" t="s">
        <v>30007</v>
      </c>
      <c r="B10610" s="9" t="s">
        <v>26395</v>
      </c>
      <c r="C10610" s="11" t="s">
        <v>28</v>
      </c>
      <c r="D10610" s="9" t="s">
        <v>26396</v>
      </c>
      <c r="E10610" s="11" t="s">
        <v>28</v>
      </c>
      <c r="F10610" s="10" t="s">
        <v>28</v>
      </c>
      <c r="G10610" s="10" t="s">
        <v>28</v>
      </c>
      <c r="H10610" s="10" t="s">
        <v>28</v>
      </c>
      <c r="I10610" s="11" t="s">
        <v>28</v>
      </c>
      <c r="J10610" s="11" t="s">
        <v>28</v>
      </c>
      <c r="K10610" s="11" t="s">
        <v>28</v>
      </c>
      <c r="L10610" s="11" t="s">
        <v>28</v>
      </c>
      <c r="M10610" s="11" t="s">
        <v>28</v>
      </c>
      <c r="N10610" s="8">
        <v>41640</v>
      </c>
      <c r="O10610" s="9" t="s">
        <v>52</v>
      </c>
      <c r="P10610" s="12" t="s">
        <v>11539</v>
      </c>
      <c r="Q10610" s="9" t="s">
        <v>880</v>
      </c>
      <c r="R10610" s="14" t="str">
        <f>HYPERLINK("https://my.pitchbook.com?c=72690-40T","View Company Online")</f>
        <v>View Company Online</v>
      </c>
    </row>
    <row r="10611" spans="1:18" hidden="1" x14ac:dyDescent="0.3">
      <c r="A10611" s="15" t="s">
        <v>30008</v>
      </c>
      <c r="B10611" s="15" t="s">
        <v>26395</v>
      </c>
      <c r="C10611" s="18" t="s">
        <v>28</v>
      </c>
      <c r="D10611" s="15" t="s">
        <v>26396</v>
      </c>
      <c r="E10611" s="18" t="s">
        <v>28</v>
      </c>
      <c r="F10611" s="19" t="s">
        <v>28</v>
      </c>
      <c r="G10611" s="19" t="s">
        <v>28</v>
      </c>
      <c r="H10611" s="19" t="s">
        <v>28</v>
      </c>
      <c r="I10611" s="18" t="s">
        <v>28</v>
      </c>
      <c r="J10611" s="18" t="s">
        <v>28</v>
      </c>
      <c r="K10611" s="18" t="s">
        <v>28</v>
      </c>
      <c r="L10611" s="18" t="s">
        <v>28</v>
      </c>
      <c r="M10611" s="18" t="s">
        <v>28</v>
      </c>
      <c r="N10611" s="17">
        <v>41640</v>
      </c>
      <c r="O10611" s="15" t="s">
        <v>52</v>
      </c>
      <c r="P10611" s="16" t="s">
        <v>1970</v>
      </c>
      <c r="Q10611" s="15" t="s">
        <v>880</v>
      </c>
      <c r="R10611" s="13" t="str">
        <f>HYPERLINK("https://my.pitchbook.com?c=291085-39T","View Company Online")</f>
        <v>View Company Online</v>
      </c>
    </row>
    <row r="10612" spans="1:18" hidden="1" x14ac:dyDescent="0.3">
      <c r="A10612" s="9" t="s">
        <v>30009</v>
      </c>
      <c r="B10612" s="9" t="s">
        <v>10814</v>
      </c>
      <c r="C10612" s="11" t="s">
        <v>28</v>
      </c>
      <c r="D10612" s="9" t="s">
        <v>10815</v>
      </c>
      <c r="E10612" s="11" t="s">
        <v>28</v>
      </c>
      <c r="F10612" s="10" t="s">
        <v>28</v>
      </c>
      <c r="G10612" s="10" t="s">
        <v>28</v>
      </c>
      <c r="H10612" s="10" t="s">
        <v>28</v>
      </c>
      <c r="I10612" s="11" t="s">
        <v>28</v>
      </c>
      <c r="J10612" s="11" t="s">
        <v>28</v>
      </c>
      <c r="K10612" s="11" t="s">
        <v>28</v>
      </c>
      <c r="L10612" s="11" t="s">
        <v>28</v>
      </c>
      <c r="M10612" s="11" t="s">
        <v>28</v>
      </c>
      <c r="N10612" s="8">
        <v>41640</v>
      </c>
      <c r="O10612" s="9" t="s">
        <v>52</v>
      </c>
      <c r="P10612" s="12" t="s">
        <v>8261</v>
      </c>
      <c r="Q10612" s="9" t="s">
        <v>75</v>
      </c>
      <c r="R10612" s="14" t="str">
        <f>HYPERLINK("https://my.pitchbook.com?c=193122-28T","View Company Online")</f>
        <v>View Company Online</v>
      </c>
    </row>
    <row r="10613" spans="1:18" hidden="1" x14ac:dyDescent="0.3">
      <c r="A10613" s="15" t="s">
        <v>30010</v>
      </c>
      <c r="B10613" s="15" t="s">
        <v>17627</v>
      </c>
      <c r="C10613" s="18" t="s">
        <v>28</v>
      </c>
      <c r="D10613" s="15" t="s">
        <v>17628</v>
      </c>
      <c r="E10613" s="18" t="s">
        <v>28</v>
      </c>
      <c r="F10613" s="19" t="s">
        <v>28</v>
      </c>
      <c r="G10613" s="19" t="s">
        <v>28</v>
      </c>
      <c r="H10613" s="19" t="s">
        <v>28</v>
      </c>
      <c r="I10613" s="18" t="s">
        <v>28</v>
      </c>
      <c r="J10613" s="18" t="s">
        <v>28</v>
      </c>
      <c r="K10613" s="18" t="s">
        <v>28</v>
      </c>
      <c r="L10613" s="18" t="s">
        <v>28</v>
      </c>
      <c r="M10613" s="18" t="s">
        <v>28</v>
      </c>
      <c r="N10613" s="17">
        <v>41640</v>
      </c>
      <c r="O10613" s="15" t="s">
        <v>52</v>
      </c>
      <c r="P10613" s="16" t="s">
        <v>15600</v>
      </c>
      <c r="Q10613" s="15" t="s">
        <v>1793</v>
      </c>
      <c r="R10613" s="13" t="str">
        <f>HYPERLINK("https://my.pitchbook.com?c=44693-56T","View Company Online")</f>
        <v>View Company Online</v>
      </c>
    </row>
    <row r="10614" spans="1:18" hidden="1" x14ac:dyDescent="0.3">
      <c r="A10614" s="9" t="s">
        <v>30011</v>
      </c>
      <c r="B10614" s="9" t="s">
        <v>17627</v>
      </c>
      <c r="C10614" s="11" t="s">
        <v>28</v>
      </c>
      <c r="D10614" s="9" t="s">
        <v>17628</v>
      </c>
      <c r="E10614" s="11" t="s">
        <v>28</v>
      </c>
      <c r="F10614" s="10" t="s">
        <v>28</v>
      </c>
      <c r="G10614" s="10">
        <v>0.04</v>
      </c>
      <c r="H10614" s="10">
        <v>0.4</v>
      </c>
      <c r="I10614" s="11" t="s">
        <v>28</v>
      </c>
      <c r="J10614" s="11" t="s">
        <v>28</v>
      </c>
      <c r="K10614" s="11" t="s">
        <v>28</v>
      </c>
      <c r="L10614" s="11" t="s">
        <v>28</v>
      </c>
      <c r="M10614" s="11" t="s">
        <v>28</v>
      </c>
      <c r="N10614" s="8">
        <v>41640</v>
      </c>
      <c r="O10614" s="9" t="s">
        <v>52</v>
      </c>
      <c r="P10614" s="12" t="s">
        <v>28389</v>
      </c>
      <c r="Q10614" s="9" t="s">
        <v>1793</v>
      </c>
      <c r="R10614" s="14" t="str">
        <f>HYPERLINK("https://my.pitchbook.com?c=44695-18T","View Company Online")</f>
        <v>View Company Online</v>
      </c>
    </row>
    <row r="10615" spans="1:18" hidden="1" x14ac:dyDescent="0.3">
      <c r="A10615" s="15" t="s">
        <v>30012</v>
      </c>
      <c r="B10615" s="15" t="s">
        <v>17320</v>
      </c>
      <c r="C10615" s="18" t="s">
        <v>28</v>
      </c>
      <c r="D10615" s="15" t="s">
        <v>17321</v>
      </c>
      <c r="E10615" s="18" t="s">
        <v>28</v>
      </c>
      <c r="F10615" s="19" t="s">
        <v>28</v>
      </c>
      <c r="G10615" s="19">
        <v>0.01</v>
      </c>
      <c r="H10615" s="19">
        <v>0.27</v>
      </c>
      <c r="I10615" s="18" t="s">
        <v>28</v>
      </c>
      <c r="J10615" s="18" t="s">
        <v>28</v>
      </c>
      <c r="K10615" s="18" t="s">
        <v>28</v>
      </c>
      <c r="L10615" s="18" t="s">
        <v>28</v>
      </c>
      <c r="M10615" s="18" t="s">
        <v>28</v>
      </c>
      <c r="N10615" s="17">
        <v>41640</v>
      </c>
      <c r="O10615" s="15" t="s">
        <v>52</v>
      </c>
      <c r="P10615" s="16" t="s">
        <v>11539</v>
      </c>
      <c r="Q10615" s="15" t="s">
        <v>75</v>
      </c>
      <c r="R10615" s="13" t="str">
        <f>HYPERLINK("https://my.pitchbook.com?c=66485-98T","View Company Online")</f>
        <v>View Company Online</v>
      </c>
    </row>
    <row r="10616" spans="1:18" hidden="1" x14ac:dyDescent="0.3">
      <c r="A10616" s="9" t="s">
        <v>30013</v>
      </c>
      <c r="B10616" s="9" t="s">
        <v>22957</v>
      </c>
      <c r="C10616" s="11" t="s">
        <v>28</v>
      </c>
      <c r="D10616" s="9" t="s">
        <v>22958</v>
      </c>
      <c r="E10616" s="11" t="s">
        <v>28</v>
      </c>
      <c r="F10616" s="10" t="s">
        <v>28</v>
      </c>
      <c r="G10616" s="10" t="s">
        <v>28</v>
      </c>
      <c r="H10616" s="10" t="s">
        <v>28</v>
      </c>
      <c r="I10616" s="11" t="s">
        <v>28</v>
      </c>
      <c r="J10616" s="11" t="s">
        <v>28</v>
      </c>
      <c r="K10616" s="11" t="s">
        <v>28</v>
      </c>
      <c r="L10616" s="11" t="s">
        <v>28</v>
      </c>
      <c r="M10616" s="11" t="s">
        <v>28</v>
      </c>
      <c r="N10616" s="8">
        <v>41640</v>
      </c>
      <c r="O10616" s="9" t="s">
        <v>79</v>
      </c>
      <c r="P10616" s="12" t="s">
        <v>1986</v>
      </c>
      <c r="Q10616" s="9" t="s">
        <v>1088</v>
      </c>
      <c r="R10616" s="14" t="str">
        <f>HYPERLINK("https://my.pitchbook.com?c=106645-51T","View Company Online")</f>
        <v>View Company Online</v>
      </c>
    </row>
    <row r="10617" spans="1:18" hidden="1" x14ac:dyDescent="0.3">
      <c r="A10617" s="15" t="s">
        <v>30014</v>
      </c>
      <c r="B10617" s="15" t="s">
        <v>8970</v>
      </c>
      <c r="C10617" s="18" t="s">
        <v>28</v>
      </c>
      <c r="D10617" s="15" t="s">
        <v>8971</v>
      </c>
      <c r="E10617" s="18" t="s">
        <v>28</v>
      </c>
      <c r="F10617" s="19" t="s">
        <v>28</v>
      </c>
      <c r="G10617" s="19" t="s">
        <v>28</v>
      </c>
      <c r="H10617" s="19" t="s">
        <v>28</v>
      </c>
      <c r="I10617" s="18" t="s">
        <v>28</v>
      </c>
      <c r="J10617" s="18" t="s">
        <v>28</v>
      </c>
      <c r="K10617" s="18" t="s">
        <v>28</v>
      </c>
      <c r="L10617" s="18" t="s">
        <v>28</v>
      </c>
      <c r="M10617" s="18" t="s">
        <v>28</v>
      </c>
      <c r="N10617" s="17">
        <v>41640</v>
      </c>
      <c r="O10617" s="15" t="s">
        <v>52</v>
      </c>
      <c r="P10617" s="16" t="s">
        <v>1970</v>
      </c>
      <c r="Q10617" s="15" t="s">
        <v>75</v>
      </c>
      <c r="R10617" s="13" t="str">
        <f>HYPERLINK("https://my.pitchbook.com?c=291124-00T","View Company Online")</f>
        <v>View Company Online</v>
      </c>
    </row>
    <row r="10618" spans="1:18" hidden="1" x14ac:dyDescent="0.3">
      <c r="A10618" s="9" t="s">
        <v>30015</v>
      </c>
      <c r="B10618" s="9" t="s">
        <v>28795</v>
      </c>
      <c r="C10618" s="11" t="s">
        <v>28</v>
      </c>
      <c r="D10618" s="9" t="s">
        <v>30016</v>
      </c>
      <c r="E10618" s="11">
        <v>-12.83</v>
      </c>
      <c r="F10618" s="10" t="s">
        <v>28</v>
      </c>
      <c r="G10618" s="10" t="s">
        <v>28</v>
      </c>
      <c r="H10618" s="10" t="s">
        <v>28</v>
      </c>
      <c r="I10618" s="11">
        <v>16.53</v>
      </c>
      <c r="J10618" s="11" t="s">
        <v>28</v>
      </c>
      <c r="K10618" s="11">
        <v>330.11</v>
      </c>
      <c r="L10618" s="11" t="s">
        <v>28</v>
      </c>
      <c r="M10618" s="11">
        <v>-8.51</v>
      </c>
      <c r="N10618" s="8">
        <v>41640</v>
      </c>
      <c r="O10618" s="9" t="s">
        <v>159</v>
      </c>
      <c r="P10618" s="12" t="s">
        <v>4006</v>
      </c>
      <c r="Q10618" s="9" t="s">
        <v>607</v>
      </c>
      <c r="R10618" s="14" t="str">
        <f>HYPERLINK("https://my.pitchbook.com?c=302281-39T","View Company Online")</f>
        <v>View Company Online</v>
      </c>
    </row>
    <row r="10619" spans="1:18" hidden="1" x14ac:dyDescent="0.3">
      <c r="A10619" s="15" t="s">
        <v>30017</v>
      </c>
      <c r="B10619" s="15" t="s">
        <v>6382</v>
      </c>
      <c r="C10619" s="18" t="s">
        <v>28</v>
      </c>
      <c r="D10619" s="15" t="s">
        <v>14051</v>
      </c>
      <c r="E10619" s="18" t="s">
        <v>28</v>
      </c>
      <c r="F10619" s="19" t="s">
        <v>28</v>
      </c>
      <c r="G10619" s="19" t="s">
        <v>28</v>
      </c>
      <c r="H10619" s="19" t="s">
        <v>28</v>
      </c>
      <c r="I10619" s="18" t="s">
        <v>28</v>
      </c>
      <c r="J10619" s="18" t="s">
        <v>28</v>
      </c>
      <c r="K10619" s="18" t="s">
        <v>28</v>
      </c>
      <c r="L10619" s="18" t="s">
        <v>28</v>
      </c>
      <c r="M10619" s="18" t="s">
        <v>28</v>
      </c>
      <c r="N10619" s="17">
        <v>41640</v>
      </c>
      <c r="O10619" s="15" t="s">
        <v>93</v>
      </c>
      <c r="P10619" s="16" t="s">
        <v>30018</v>
      </c>
      <c r="Q10619" s="15" t="s">
        <v>1007</v>
      </c>
      <c r="R10619" s="13" t="str">
        <f>HYPERLINK("https://my.pitchbook.com?c=225827-38T","View Company Online")</f>
        <v>View Company Online</v>
      </c>
    </row>
    <row r="10620" spans="1:18" hidden="1" x14ac:dyDescent="0.3">
      <c r="A10620" s="9" t="s">
        <v>30019</v>
      </c>
      <c r="B10620" s="9" t="s">
        <v>30020</v>
      </c>
      <c r="C10620" s="11" t="s">
        <v>28</v>
      </c>
      <c r="D10620" s="9" t="s">
        <v>30021</v>
      </c>
      <c r="E10620" s="11" t="s">
        <v>28</v>
      </c>
      <c r="F10620" s="10" t="s">
        <v>28</v>
      </c>
      <c r="G10620" s="10" t="s">
        <v>28</v>
      </c>
      <c r="H10620" s="10" t="s">
        <v>28</v>
      </c>
      <c r="I10620" s="11" t="s">
        <v>28</v>
      </c>
      <c r="J10620" s="11" t="s">
        <v>28</v>
      </c>
      <c r="K10620" s="11" t="s">
        <v>28</v>
      </c>
      <c r="L10620" s="11" t="s">
        <v>28</v>
      </c>
      <c r="M10620" s="11" t="s">
        <v>28</v>
      </c>
      <c r="N10620" s="8">
        <v>41640</v>
      </c>
      <c r="O10620" s="9" t="s">
        <v>52</v>
      </c>
      <c r="P10620" s="12" t="s">
        <v>27532</v>
      </c>
      <c r="Q10620" s="9" t="s">
        <v>583</v>
      </c>
      <c r="R10620" s="14" t="str">
        <f>HYPERLINK("https://my.pitchbook.com?c=67075-57T","View Company Online")</f>
        <v>View Company Online</v>
      </c>
    </row>
    <row r="10621" spans="1:18" hidden="1" x14ac:dyDescent="0.3">
      <c r="A10621" s="15" t="s">
        <v>30022</v>
      </c>
      <c r="B10621" s="15" t="s">
        <v>26080</v>
      </c>
      <c r="C10621" s="18" t="s">
        <v>28</v>
      </c>
      <c r="D10621" s="15" t="s">
        <v>26081</v>
      </c>
      <c r="E10621" s="18" t="s">
        <v>28</v>
      </c>
      <c r="F10621" s="19" t="s">
        <v>28</v>
      </c>
      <c r="G10621" s="19">
        <v>0.13</v>
      </c>
      <c r="H10621" s="19" t="s">
        <v>28</v>
      </c>
      <c r="I10621" s="18" t="s">
        <v>28</v>
      </c>
      <c r="J10621" s="18" t="s">
        <v>28</v>
      </c>
      <c r="K10621" s="18" t="s">
        <v>28</v>
      </c>
      <c r="L10621" s="18" t="s">
        <v>28</v>
      </c>
      <c r="M10621" s="18" t="s">
        <v>28</v>
      </c>
      <c r="N10621" s="17">
        <v>41640</v>
      </c>
      <c r="O10621" s="15" t="s">
        <v>9098</v>
      </c>
      <c r="P10621" s="16" t="s">
        <v>28</v>
      </c>
      <c r="Q10621" s="15" t="s">
        <v>75</v>
      </c>
      <c r="R10621" s="13" t="str">
        <f>HYPERLINK("https://my.pitchbook.com?c=78578-02T","View Company Online")</f>
        <v>View Company Online</v>
      </c>
    </row>
    <row r="10622" spans="1:18" hidden="1" x14ac:dyDescent="0.3">
      <c r="A10622" s="9" t="s">
        <v>30023</v>
      </c>
      <c r="B10622" s="9" t="s">
        <v>30024</v>
      </c>
      <c r="C10622" s="11" t="s">
        <v>28</v>
      </c>
      <c r="D10622" s="9" t="s">
        <v>30025</v>
      </c>
      <c r="E10622" s="11" t="s">
        <v>28</v>
      </c>
      <c r="F10622" s="10" t="s">
        <v>28</v>
      </c>
      <c r="G10622" s="10">
        <v>0.02</v>
      </c>
      <c r="H10622" s="10">
        <v>1.03</v>
      </c>
      <c r="I10622" s="11" t="s">
        <v>28</v>
      </c>
      <c r="J10622" s="11" t="s">
        <v>28</v>
      </c>
      <c r="K10622" s="11" t="s">
        <v>28</v>
      </c>
      <c r="L10622" s="11" t="s">
        <v>28</v>
      </c>
      <c r="M10622" s="11" t="s">
        <v>28</v>
      </c>
      <c r="N10622" s="8">
        <v>41640</v>
      </c>
      <c r="O10622" s="9" t="s">
        <v>52</v>
      </c>
      <c r="P10622" s="12" t="s">
        <v>27943</v>
      </c>
      <c r="Q10622" s="9" t="s">
        <v>386</v>
      </c>
      <c r="R10622" s="14" t="str">
        <f>HYPERLINK("https://my.pitchbook.com?c=132281-29T","View Company Online")</f>
        <v>View Company Online</v>
      </c>
    </row>
    <row r="10623" spans="1:18" hidden="1" x14ac:dyDescent="0.3">
      <c r="A10623" s="15" t="s">
        <v>30026</v>
      </c>
      <c r="B10623" s="15" t="s">
        <v>3369</v>
      </c>
      <c r="C10623" s="18" t="s">
        <v>28</v>
      </c>
      <c r="D10623" s="15" t="s">
        <v>3370</v>
      </c>
      <c r="E10623" s="18" t="s">
        <v>28</v>
      </c>
      <c r="F10623" s="19" t="s">
        <v>28</v>
      </c>
      <c r="G10623" s="19">
        <v>100</v>
      </c>
      <c r="H10623" s="19">
        <v>487.81</v>
      </c>
      <c r="I10623" s="18" t="s">
        <v>28</v>
      </c>
      <c r="J10623" s="18" t="s">
        <v>28</v>
      </c>
      <c r="K10623" s="18" t="s">
        <v>28</v>
      </c>
      <c r="L10623" s="18" t="s">
        <v>28</v>
      </c>
      <c r="M10623" s="18" t="s">
        <v>28</v>
      </c>
      <c r="N10623" s="17">
        <v>41640</v>
      </c>
      <c r="O10623" s="15" t="s">
        <v>93</v>
      </c>
      <c r="P10623" s="16" t="s">
        <v>30027</v>
      </c>
      <c r="Q10623" s="15" t="s">
        <v>169</v>
      </c>
      <c r="R10623" s="13" t="str">
        <f>HYPERLINK("https://my.pitchbook.com?c=101735-29T","View Company Online")</f>
        <v>View Company Online</v>
      </c>
    </row>
    <row r="10624" spans="1:18" hidden="1" x14ac:dyDescent="0.3">
      <c r="A10624" s="9" t="s">
        <v>30028</v>
      </c>
      <c r="B10624" s="9" t="s">
        <v>30029</v>
      </c>
      <c r="C10624" s="11" t="s">
        <v>28</v>
      </c>
      <c r="D10624" s="9" t="s">
        <v>30030</v>
      </c>
      <c r="E10624" s="11" t="s">
        <v>28</v>
      </c>
      <c r="F10624" s="10" t="s">
        <v>28</v>
      </c>
      <c r="G10624" s="10" t="s">
        <v>28</v>
      </c>
      <c r="H10624" s="10" t="s">
        <v>28</v>
      </c>
      <c r="I10624" s="11" t="s">
        <v>28</v>
      </c>
      <c r="J10624" s="11" t="s">
        <v>28</v>
      </c>
      <c r="K10624" s="11" t="s">
        <v>28</v>
      </c>
      <c r="L10624" s="11" t="s">
        <v>28</v>
      </c>
      <c r="M10624" s="11" t="s">
        <v>28</v>
      </c>
      <c r="N10624" s="8">
        <v>41639</v>
      </c>
      <c r="O10624" s="9" t="s">
        <v>30</v>
      </c>
      <c r="P10624" s="12" t="s">
        <v>30031</v>
      </c>
      <c r="Q10624" s="9" t="s">
        <v>900</v>
      </c>
      <c r="R10624" s="14" t="str">
        <f>HYPERLINK("https://my.pitchbook.com?c=66574-45T","View Company Online")</f>
        <v>View Company Online</v>
      </c>
    </row>
    <row r="10625" spans="1:18" hidden="1" x14ac:dyDescent="0.3">
      <c r="A10625" s="15" t="s">
        <v>30032</v>
      </c>
      <c r="B10625" s="15" t="s">
        <v>30033</v>
      </c>
      <c r="C10625" s="18" t="s">
        <v>28</v>
      </c>
      <c r="D10625" s="15" t="s">
        <v>30034</v>
      </c>
      <c r="E10625" s="18" t="s">
        <v>28</v>
      </c>
      <c r="F10625" s="19">
        <v>0.03</v>
      </c>
      <c r="G10625" s="19">
        <v>0.02</v>
      </c>
      <c r="H10625" s="19">
        <v>0.02</v>
      </c>
      <c r="I10625" s="18" t="s">
        <v>28</v>
      </c>
      <c r="J10625" s="18" t="s">
        <v>28</v>
      </c>
      <c r="K10625" s="18" t="s">
        <v>28</v>
      </c>
      <c r="L10625" s="18" t="s">
        <v>28</v>
      </c>
      <c r="M10625" s="18" t="s">
        <v>28</v>
      </c>
      <c r="N10625" s="17">
        <v>41639</v>
      </c>
      <c r="O10625" s="15" t="s">
        <v>30</v>
      </c>
      <c r="P10625" s="16" t="s">
        <v>30035</v>
      </c>
      <c r="Q10625" s="15" t="s">
        <v>900</v>
      </c>
      <c r="R10625" s="13" t="str">
        <f>HYPERLINK("https://my.pitchbook.com?c=89734-33T","View Company Online")</f>
        <v>View Company Online</v>
      </c>
    </row>
    <row r="10626" spans="1:18" hidden="1" x14ac:dyDescent="0.3">
      <c r="A10626" s="9" t="s">
        <v>30036</v>
      </c>
      <c r="B10626" s="9" t="s">
        <v>17790</v>
      </c>
      <c r="C10626" s="11" t="s">
        <v>28</v>
      </c>
      <c r="D10626" s="9" t="s">
        <v>17791</v>
      </c>
      <c r="E10626" s="11" t="s">
        <v>28</v>
      </c>
      <c r="F10626" s="10" t="s">
        <v>28</v>
      </c>
      <c r="G10626" s="10">
        <v>1</v>
      </c>
      <c r="H10626" s="10" t="s">
        <v>28</v>
      </c>
      <c r="I10626" s="11" t="s">
        <v>28</v>
      </c>
      <c r="J10626" s="11" t="s">
        <v>28</v>
      </c>
      <c r="K10626" s="11" t="s">
        <v>28</v>
      </c>
      <c r="L10626" s="11" t="s">
        <v>28</v>
      </c>
      <c r="M10626" s="11" t="s">
        <v>28</v>
      </c>
      <c r="N10626" s="8">
        <v>41635</v>
      </c>
      <c r="O10626" s="9" t="s">
        <v>99</v>
      </c>
      <c r="P10626" s="12" t="s">
        <v>30037</v>
      </c>
      <c r="Q10626" s="9" t="s">
        <v>855</v>
      </c>
      <c r="R10626" s="14" t="str">
        <f>HYPERLINK("https://my.pitchbook.com?c=37983-79T","View Company Online")</f>
        <v>View Company Online</v>
      </c>
    </row>
    <row r="10627" spans="1:18" x14ac:dyDescent="0.3">
      <c r="A10627" s="15" t="s">
        <v>30038</v>
      </c>
      <c r="B10627" s="15" t="s">
        <v>23353</v>
      </c>
      <c r="C10627" s="18">
        <v>7.05</v>
      </c>
      <c r="D10627" s="15" t="s">
        <v>26303</v>
      </c>
      <c r="E10627" s="18">
        <v>452.34</v>
      </c>
      <c r="F10627" s="19">
        <v>3918.56</v>
      </c>
      <c r="G10627" s="19">
        <v>855.34</v>
      </c>
      <c r="H10627" s="19">
        <v>4501.7700000000004</v>
      </c>
      <c r="I10627" s="18">
        <v>555.54</v>
      </c>
      <c r="J10627" s="18">
        <v>8.1</v>
      </c>
      <c r="K10627" s="18">
        <v>1213.02</v>
      </c>
      <c r="L10627" s="18">
        <v>3.71</v>
      </c>
      <c r="M10627" s="18">
        <v>208.87</v>
      </c>
      <c r="N10627" s="17">
        <v>41635</v>
      </c>
      <c r="O10627" s="15" t="s">
        <v>30</v>
      </c>
      <c r="P10627" s="16" t="s">
        <v>30039</v>
      </c>
      <c r="Q10627" s="15" t="s">
        <v>5347</v>
      </c>
      <c r="R10627" s="13" t="str">
        <f>HYPERLINK("https://my.pitchbook.com?c=62244-37T","View Company Online")</f>
        <v>View Company Online</v>
      </c>
    </row>
    <row r="10628" spans="1:18" hidden="1" x14ac:dyDescent="0.3">
      <c r="A10628" s="9" t="s">
        <v>30040</v>
      </c>
      <c r="B10628" s="9" t="s">
        <v>24817</v>
      </c>
      <c r="C10628" s="11" t="s">
        <v>28</v>
      </c>
      <c r="D10628" s="9" t="s">
        <v>24818</v>
      </c>
      <c r="E10628" s="11">
        <v>160.83000000000001</v>
      </c>
      <c r="F10628" s="10" t="s">
        <v>28</v>
      </c>
      <c r="G10628" s="10">
        <v>101.83</v>
      </c>
      <c r="H10628" s="10" t="s">
        <v>28</v>
      </c>
      <c r="I10628" s="11">
        <v>253.37</v>
      </c>
      <c r="J10628" s="11" t="s">
        <v>28</v>
      </c>
      <c r="K10628" s="11">
        <v>2421.0500000000002</v>
      </c>
      <c r="L10628" s="11" t="s">
        <v>28</v>
      </c>
      <c r="M10628" s="11">
        <v>9.58</v>
      </c>
      <c r="N10628" s="8">
        <v>41632</v>
      </c>
      <c r="O10628" s="9" t="s">
        <v>93</v>
      </c>
      <c r="P10628" s="12" t="s">
        <v>30041</v>
      </c>
      <c r="Q10628" s="9" t="s">
        <v>2168</v>
      </c>
      <c r="R10628" s="14" t="str">
        <f>HYPERLINK("https://my.pitchbook.com?c=78688-00T","View Company Online")</f>
        <v>View Company Online</v>
      </c>
    </row>
    <row r="10629" spans="1:18" hidden="1" x14ac:dyDescent="0.3">
      <c r="A10629" s="15" t="s">
        <v>30042</v>
      </c>
      <c r="B10629" s="15" t="s">
        <v>8255</v>
      </c>
      <c r="C10629" s="18" t="s">
        <v>28</v>
      </c>
      <c r="D10629" s="15" t="s">
        <v>8256</v>
      </c>
      <c r="E10629" s="18" t="s">
        <v>28</v>
      </c>
      <c r="F10629" s="19" t="s">
        <v>28</v>
      </c>
      <c r="G10629" s="19">
        <v>57.03</v>
      </c>
      <c r="H10629" s="19">
        <v>57.03</v>
      </c>
      <c r="I10629" s="18" t="s">
        <v>28</v>
      </c>
      <c r="J10629" s="18" t="s">
        <v>28</v>
      </c>
      <c r="K10629" s="18" t="s">
        <v>28</v>
      </c>
      <c r="L10629" s="18" t="s">
        <v>28</v>
      </c>
      <c r="M10629" s="18" t="s">
        <v>28</v>
      </c>
      <c r="N10629" s="17">
        <v>41631</v>
      </c>
      <c r="O10629" s="15" t="s">
        <v>30</v>
      </c>
      <c r="P10629" s="16" t="s">
        <v>30043</v>
      </c>
      <c r="Q10629" s="15" t="s">
        <v>1341</v>
      </c>
      <c r="R10629" s="13" t="str">
        <f>HYPERLINK("https://my.pitchbook.com?c=92206-27T","View Company Online")</f>
        <v>View Company Online</v>
      </c>
    </row>
    <row r="10630" spans="1:18" hidden="1" x14ac:dyDescent="0.3">
      <c r="A10630" s="9" t="s">
        <v>30044</v>
      </c>
      <c r="B10630" s="9" t="s">
        <v>30045</v>
      </c>
      <c r="C10630" s="11" t="s">
        <v>28</v>
      </c>
      <c r="D10630" s="9" t="s">
        <v>30046</v>
      </c>
      <c r="E10630" s="11" t="s">
        <v>28</v>
      </c>
      <c r="F10630" s="10" t="s">
        <v>28</v>
      </c>
      <c r="G10630" s="10" t="s">
        <v>28</v>
      </c>
      <c r="H10630" s="10" t="s">
        <v>28</v>
      </c>
      <c r="I10630" s="11" t="s">
        <v>28</v>
      </c>
      <c r="J10630" s="11" t="s">
        <v>28</v>
      </c>
      <c r="K10630" s="11" t="s">
        <v>28</v>
      </c>
      <c r="L10630" s="11" t="s">
        <v>28</v>
      </c>
      <c r="M10630" s="11" t="s">
        <v>28</v>
      </c>
      <c r="N10630" s="8">
        <v>41627</v>
      </c>
      <c r="O10630" s="9" t="s">
        <v>93</v>
      </c>
      <c r="P10630" s="12" t="s">
        <v>28</v>
      </c>
      <c r="Q10630" s="9" t="s">
        <v>3912</v>
      </c>
      <c r="R10630" s="14" t="str">
        <f>HYPERLINK("https://my.pitchbook.com?c=55361-71T","View Company Online")</f>
        <v>View Company Online</v>
      </c>
    </row>
    <row r="10631" spans="1:18" hidden="1" x14ac:dyDescent="0.3">
      <c r="A10631" s="15" t="s">
        <v>30047</v>
      </c>
      <c r="B10631" s="15" t="s">
        <v>26324</v>
      </c>
      <c r="C10631" s="18" t="s">
        <v>28</v>
      </c>
      <c r="D10631" s="15" t="s">
        <v>26325</v>
      </c>
      <c r="E10631" s="18" t="s">
        <v>28</v>
      </c>
      <c r="F10631" s="19" t="s">
        <v>28</v>
      </c>
      <c r="G10631" s="19" t="s">
        <v>28</v>
      </c>
      <c r="H10631" s="19" t="s">
        <v>28</v>
      </c>
      <c r="I10631" s="18" t="s">
        <v>28</v>
      </c>
      <c r="J10631" s="18" t="s">
        <v>28</v>
      </c>
      <c r="K10631" s="18" t="s">
        <v>28</v>
      </c>
      <c r="L10631" s="18" t="s">
        <v>28</v>
      </c>
      <c r="M10631" s="18" t="s">
        <v>28</v>
      </c>
      <c r="N10631" s="17">
        <v>41627</v>
      </c>
      <c r="O10631" s="15" t="s">
        <v>93</v>
      </c>
      <c r="P10631" s="16" t="s">
        <v>30048</v>
      </c>
      <c r="Q10631" s="15" t="s">
        <v>169</v>
      </c>
      <c r="R10631" s="13" t="str">
        <f>HYPERLINK("https://my.pitchbook.com?c=102165-22T","View Company Online")</f>
        <v>View Company Online</v>
      </c>
    </row>
    <row r="10632" spans="1:18" hidden="1" x14ac:dyDescent="0.3">
      <c r="A10632" s="9" t="s">
        <v>30049</v>
      </c>
      <c r="B10632" s="9" t="s">
        <v>15714</v>
      </c>
      <c r="C10632" s="11" t="s">
        <v>28</v>
      </c>
      <c r="D10632" s="9" t="s">
        <v>15715</v>
      </c>
      <c r="E10632" s="11" t="s">
        <v>28</v>
      </c>
      <c r="F10632" s="10" t="s">
        <v>28</v>
      </c>
      <c r="G10632" s="10" t="s">
        <v>28</v>
      </c>
      <c r="H10632" s="10" t="s">
        <v>28</v>
      </c>
      <c r="I10632" s="11" t="s">
        <v>28</v>
      </c>
      <c r="J10632" s="11" t="s">
        <v>28</v>
      </c>
      <c r="K10632" s="11">
        <v>16.190000000000001</v>
      </c>
      <c r="L10632" s="11" t="s">
        <v>28</v>
      </c>
      <c r="M10632" s="11" t="s">
        <v>28</v>
      </c>
      <c r="N10632" s="8">
        <v>41626</v>
      </c>
      <c r="O10632" s="9" t="s">
        <v>93</v>
      </c>
      <c r="P10632" s="12" t="s">
        <v>30050</v>
      </c>
      <c r="Q10632" s="9" t="s">
        <v>880</v>
      </c>
      <c r="R10632" s="14" t="str">
        <f>HYPERLINK("https://my.pitchbook.com?c=34578-82T","View Company Online")</f>
        <v>View Company Online</v>
      </c>
    </row>
    <row r="10633" spans="1:18" hidden="1" x14ac:dyDescent="0.3">
      <c r="A10633" s="15" t="s">
        <v>30051</v>
      </c>
      <c r="B10633" s="15" t="s">
        <v>30052</v>
      </c>
      <c r="C10633" s="18" t="s">
        <v>28</v>
      </c>
      <c r="D10633" s="15" t="s">
        <v>30053</v>
      </c>
      <c r="E10633" s="18" t="s">
        <v>28</v>
      </c>
      <c r="F10633" s="19" t="s">
        <v>28</v>
      </c>
      <c r="G10633" s="19" t="s">
        <v>28</v>
      </c>
      <c r="H10633" s="19" t="s">
        <v>28</v>
      </c>
      <c r="I10633" s="18" t="s">
        <v>28</v>
      </c>
      <c r="J10633" s="18" t="s">
        <v>28</v>
      </c>
      <c r="K10633" s="18" t="s">
        <v>28</v>
      </c>
      <c r="L10633" s="18" t="s">
        <v>28</v>
      </c>
      <c r="M10633" s="18" t="s">
        <v>28</v>
      </c>
      <c r="N10633" s="17">
        <v>41626</v>
      </c>
      <c r="O10633" s="15" t="s">
        <v>52</v>
      </c>
      <c r="P10633" s="16" t="s">
        <v>11539</v>
      </c>
      <c r="Q10633" s="15" t="s">
        <v>362</v>
      </c>
      <c r="R10633" s="13" t="str">
        <f>HYPERLINK("https://my.pitchbook.com?c=133043-32T","View Company Online")</f>
        <v>View Company Online</v>
      </c>
    </row>
    <row r="10634" spans="1:18" hidden="1" x14ac:dyDescent="0.3">
      <c r="A10634" s="9" t="s">
        <v>30054</v>
      </c>
      <c r="B10634" s="9" t="s">
        <v>30055</v>
      </c>
      <c r="C10634" s="11" t="s">
        <v>28</v>
      </c>
      <c r="D10634" s="9" t="s">
        <v>30056</v>
      </c>
      <c r="E10634" s="11">
        <v>-11.34</v>
      </c>
      <c r="F10634" s="10" t="s">
        <v>28</v>
      </c>
      <c r="G10634" s="10" t="s">
        <v>28</v>
      </c>
      <c r="H10634" s="10" t="s">
        <v>28</v>
      </c>
      <c r="I10634" s="11">
        <v>-7.3</v>
      </c>
      <c r="J10634" s="11" t="s">
        <v>28</v>
      </c>
      <c r="K10634" s="11" t="s">
        <v>28</v>
      </c>
      <c r="L10634" s="11" t="s">
        <v>28</v>
      </c>
      <c r="M10634" s="11">
        <v>-7.88</v>
      </c>
      <c r="N10634" s="8">
        <v>41625</v>
      </c>
      <c r="O10634" s="9" t="s">
        <v>30</v>
      </c>
      <c r="P10634" s="12" t="s">
        <v>30057</v>
      </c>
      <c r="Q10634" s="9" t="s">
        <v>64</v>
      </c>
      <c r="R10634" s="14" t="str">
        <f>HYPERLINK("https://my.pitchbook.com?c=108087-31T","View Company Online")</f>
        <v>View Company Online</v>
      </c>
    </row>
    <row r="10635" spans="1:18" hidden="1" x14ac:dyDescent="0.3">
      <c r="A10635" s="15" t="s">
        <v>30058</v>
      </c>
      <c r="B10635" s="15" t="s">
        <v>30059</v>
      </c>
      <c r="C10635" s="18" t="s">
        <v>28</v>
      </c>
      <c r="D10635" s="15" t="s">
        <v>30060</v>
      </c>
      <c r="E10635" s="18" t="s">
        <v>28</v>
      </c>
      <c r="F10635" s="19">
        <v>53.31</v>
      </c>
      <c r="G10635" s="19">
        <v>53.31</v>
      </c>
      <c r="H10635" s="19">
        <v>53.31</v>
      </c>
      <c r="I10635" s="18" t="s">
        <v>28</v>
      </c>
      <c r="J10635" s="18" t="s">
        <v>28</v>
      </c>
      <c r="K10635" s="18" t="s">
        <v>28</v>
      </c>
      <c r="L10635" s="18" t="s">
        <v>28</v>
      </c>
      <c r="M10635" s="18" t="s">
        <v>28</v>
      </c>
      <c r="N10635" s="17">
        <v>41624</v>
      </c>
      <c r="O10635" s="15" t="s">
        <v>30</v>
      </c>
      <c r="P10635" s="16" t="s">
        <v>18982</v>
      </c>
      <c r="Q10635" s="15" t="s">
        <v>226</v>
      </c>
      <c r="R10635" s="13" t="str">
        <f>HYPERLINK("https://my.pitchbook.com?c=89627-95T","View Company Online")</f>
        <v>View Company Online</v>
      </c>
    </row>
    <row r="10636" spans="1:18" hidden="1" x14ac:dyDescent="0.3">
      <c r="A10636" s="9" t="s">
        <v>30061</v>
      </c>
      <c r="B10636" s="9" t="s">
        <v>4988</v>
      </c>
      <c r="C10636" s="11" t="s">
        <v>28</v>
      </c>
      <c r="D10636" s="9" t="s">
        <v>4989</v>
      </c>
      <c r="E10636" s="11">
        <v>575.70000000000005</v>
      </c>
      <c r="F10636" s="10" t="s">
        <v>28</v>
      </c>
      <c r="G10636" s="10">
        <v>1063.67</v>
      </c>
      <c r="H10636" s="10" t="s">
        <v>28</v>
      </c>
      <c r="I10636" s="11">
        <v>657.92</v>
      </c>
      <c r="J10636" s="11" t="s">
        <v>28</v>
      </c>
      <c r="K10636" s="11">
        <v>10021.56</v>
      </c>
      <c r="L10636" s="11" t="s">
        <v>28</v>
      </c>
      <c r="M10636" s="11">
        <v>289.62</v>
      </c>
      <c r="N10636" s="8">
        <v>41624</v>
      </c>
      <c r="O10636" s="9" t="s">
        <v>173</v>
      </c>
      <c r="P10636" s="12" t="s">
        <v>28</v>
      </c>
      <c r="Q10636" s="9" t="s">
        <v>409</v>
      </c>
      <c r="R10636" s="14" t="str">
        <f>HYPERLINK("https://my.pitchbook.com?c=35757-64T","View Company Online")</f>
        <v>View Company Online</v>
      </c>
    </row>
    <row r="10637" spans="1:18" hidden="1" x14ac:dyDescent="0.3">
      <c r="A10637" s="15" t="s">
        <v>30062</v>
      </c>
      <c r="B10637" s="15" t="s">
        <v>28786</v>
      </c>
      <c r="C10637" s="18" t="s">
        <v>28</v>
      </c>
      <c r="D10637" s="15" t="s">
        <v>28787</v>
      </c>
      <c r="E10637" s="18" t="s">
        <v>28</v>
      </c>
      <c r="F10637" s="19" t="s">
        <v>28</v>
      </c>
      <c r="G10637" s="19">
        <v>0.03</v>
      </c>
      <c r="H10637" s="19" t="s">
        <v>28</v>
      </c>
      <c r="I10637" s="18" t="s">
        <v>28</v>
      </c>
      <c r="J10637" s="18" t="s">
        <v>28</v>
      </c>
      <c r="K10637" s="18" t="s">
        <v>28</v>
      </c>
      <c r="L10637" s="18" t="s">
        <v>28</v>
      </c>
      <c r="M10637" s="18" t="s">
        <v>28</v>
      </c>
      <c r="N10637" s="17">
        <v>41621</v>
      </c>
      <c r="O10637" s="15" t="s">
        <v>47</v>
      </c>
      <c r="P10637" s="16" t="s">
        <v>28</v>
      </c>
      <c r="Q10637" s="15" t="s">
        <v>1793</v>
      </c>
      <c r="R10637" s="13" t="str">
        <f>HYPERLINK("https://my.pitchbook.com?c=141000-49T","View Company Online")</f>
        <v>View Company Online</v>
      </c>
    </row>
    <row r="10638" spans="1:18" hidden="1" x14ac:dyDescent="0.3">
      <c r="A10638" s="9" t="s">
        <v>30063</v>
      </c>
      <c r="B10638" s="9" t="s">
        <v>30064</v>
      </c>
      <c r="C10638" s="11" t="s">
        <v>28</v>
      </c>
      <c r="D10638" s="9" t="s">
        <v>30065</v>
      </c>
      <c r="E10638" s="11" t="s">
        <v>28</v>
      </c>
      <c r="F10638" s="10" t="s">
        <v>28</v>
      </c>
      <c r="G10638" s="10" t="s">
        <v>28</v>
      </c>
      <c r="H10638" s="10" t="s">
        <v>28</v>
      </c>
      <c r="I10638" s="11" t="s">
        <v>28</v>
      </c>
      <c r="J10638" s="11" t="s">
        <v>28</v>
      </c>
      <c r="K10638" s="11" t="s">
        <v>28</v>
      </c>
      <c r="L10638" s="11" t="s">
        <v>28</v>
      </c>
      <c r="M10638" s="11" t="s">
        <v>28</v>
      </c>
      <c r="N10638" s="8">
        <v>41621</v>
      </c>
      <c r="O10638" s="9" t="s">
        <v>173</v>
      </c>
      <c r="P10638" s="12" t="s">
        <v>28</v>
      </c>
      <c r="Q10638" s="9" t="s">
        <v>174</v>
      </c>
      <c r="R10638" s="14" t="str">
        <f>HYPERLINK("https://my.pitchbook.com?c=223511-14T","View Company Online")</f>
        <v>View Company Online</v>
      </c>
    </row>
    <row r="10639" spans="1:18" hidden="1" x14ac:dyDescent="0.3">
      <c r="A10639" s="15" t="s">
        <v>30066</v>
      </c>
      <c r="B10639" s="15" t="s">
        <v>28793</v>
      </c>
      <c r="C10639" s="18" t="s">
        <v>28</v>
      </c>
      <c r="D10639" s="15" t="s">
        <v>28794</v>
      </c>
      <c r="E10639" s="18" t="s">
        <v>28</v>
      </c>
      <c r="F10639" s="19">
        <v>386.57</v>
      </c>
      <c r="G10639" s="19">
        <v>279.5</v>
      </c>
      <c r="H10639" s="19">
        <v>386.57</v>
      </c>
      <c r="I10639" s="18" t="s">
        <v>28</v>
      </c>
      <c r="J10639" s="18" t="s">
        <v>28</v>
      </c>
      <c r="K10639" s="18" t="s">
        <v>28</v>
      </c>
      <c r="L10639" s="18" t="s">
        <v>28</v>
      </c>
      <c r="M10639" s="18" t="s">
        <v>28</v>
      </c>
      <c r="N10639" s="17">
        <v>41621</v>
      </c>
      <c r="O10639" s="15" t="s">
        <v>41</v>
      </c>
      <c r="P10639" s="16" t="s">
        <v>30067</v>
      </c>
      <c r="Q10639" s="15" t="s">
        <v>1643</v>
      </c>
      <c r="R10639" s="13" t="str">
        <f>HYPERLINK("https://my.pitchbook.com?c=33294-43T","View Company Online")</f>
        <v>View Company Online</v>
      </c>
    </row>
    <row r="10640" spans="1:18" hidden="1" x14ac:dyDescent="0.3">
      <c r="A10640" s="9" t="s">
        <v>30068</v>
      </c>
      <c r="B10640" s="9" t="s">
        <v>30069</v>
      </c>
      <c r="C10640" s="11" t="s">
        <v>28</v>
      </c>
      <c r="D10640" s="9" t="s">
        <v>30070</v>
      </c>
      <c r="E10640" s="11" t="s">
        <v>28</v>
      </c>
      <c r="F10640" s="10" t="s">
        <v>28</v>
      </c>
      <c r="G10640" s="10">
        <v>7.31</v>
      </c>
      <c r="H10640" s="10">
        <v>7.31</v>
      </c>
      <c r="I10640" s="11" t="s">
        <v>28</v>
      </c>
      <c r="J10640" s="11" t="s">
        <v>28</v>
      </c>
      <c r="K10640" s="11">
        <v>18.5</v>
      </c>
      <c r="L10640" s="11">
        <v>0.4</v>
      </c>
      <c r="M10640" s="11" t="s">
        <v>28</v>
      </c>
      <c r="N10640" s="8">
        <v>41621</v>
      </c>
      <c r="O10640" s="9" t="s">
        <v>30</v>
      </c>
      <c r="P10640" s="12" t="s">
        <v>4004</v>
      </c>
      <c r="Q10640" s="9" t="s">
        <v>188</v>
      </c>
      <c r="R10640" s="14" t="str">
        <f>HYPERLINK("https://my.pitchbook.com?c=89629-84T","View Company Online")</f>
        <v>View Company Online</v>
      </c>
    </row>
    <row r="10641" spans="1:18" hidden="1" x14ac:dyDescent="0.3">
      <c r="A10641" s="15" t="s">
        <v>30071</v>
      </c>
      <c r="B10641" s="15" t="s">
        <v>1562</v>
      </c>
      <c r="C10641" s="18" t="s">
        <v>28</v>
      </c>
      <c r="D10641" s="15" t="s">
        <v>1563</v>
      </c>
      <c r="E10641" s="18" t="s">
        <v>28</v>
      </c>
      <c r="F10641" s="19" t="s">
        <v>28</v>
      </c>
      <c r="G10641" s="19" t="s">
        <v>28</v>
      </c>
      <c r="H10641" s="19" t="s">
        <v>28</v>
      </c>
      <c r="I10641" s="18" t="s">
        <v>28</v>
      </c>
      <c r="J10641" s="18" t="s">
        <v>28</v>
      </c>
      <c r="K10641" s="18">
        <v>250</v>
      </c>
      <c r="L10641" s="18" t="s">
        <v>28</v>
      </c>
      <c r="M10641" s="18" t="s">
        <v>28</v>
      </c>
      <c r="N10641" s="17">
        <v>41621</v>
      </c>
      <c r="O10641" s="15" t="s">
        <v>41</v>
      </c>
      <c r="P10641" s="16" t="s">
        <v>30072</v>
      </c>
      <c r="Q10641" s="15" t="s">
        <v>616</v>
      </c>
      <c r="R10641" s="13" t="str">
        <f>HYPERLINK("https://my.pitchbook.com?c=28518-49T","View Company Online")</f>
        <v>View Company Online</v>
      </c>
    </row>
    <row r="10642" spans="1:18" hidden="1" x14ac:dyDescent="0.3">
      <c r="A10642" s="9" t="s">
        <v>30073</v>
      </c>
      <c r="B10642" s="9" t="s">
        <v>17601</v>
      </c>
      <c r="C10642" s="11" t="s">
        <v>28</v>
      </c>
      <c r="D10642" s="9" t="s">
        <v>30074</v>
      </c>
      <c r="E10642" s="11">
        <v>433.67</v>
      </c>
      <c r="F10642" s="10" t="s">
        <v>28</v>
      </c>
      <c r="G10642" s="10">
        <v>300</v>
      </c>
      <c r="H10642" s="10" t="s">
        <v>28</v>
      </c>
      <c r="I10642" s="11">
        <v>774.69</v>
      </c>
      <c r="J10642" s="11" t="s">
        <v>28</v>
      </c>
      <c r="K10642" s="11">
        <v>2107.9699999999998</v>
      </c>
      <c r="L10642" s="11" t="s">
        <v>28</v>
      </c>
      <c r="M10642" s="11">
        <v>197.01</v>
      </c>
      <c r="N10642" s="8">
        <v>41620</v>
      </c>
      <c r="O10642" s="9" t="s">
        <v>159</v>
      </c>
      <c r="P10642" s="12" t="s">
        <v>30075</v>
      </c>
      <c r="Q10642" s="9" t="s">
        <v>5633</v>
      </c>
      <c r="R10642" s="14" t="str">
        <f>HYPERLINK("https://my.pitchbook.com?c=119835-64T","View Company Online")</f>
        <v>View Company Online</v>
      </c>
    </row>
    <row r="10643" spans="1:18" hidden="1" x14ac:dyDescent="0.3">
      <c r="A10643" s="15" t="s">
        <v>30076</v>
      </c>
      <c r="B10643" s="15" t="s">
        <v>30077</v>
      </c>
      <c r="C10643" s="18" t="s">
        <v>28</v>
      </c>
      <c r="D10643" s="15" t="s">
        <v>30078</v>
      </c>
      <c r="E10643" s="18" t="s">
        <v>28</v>
      </c>
      <c r="F10643" s="19" t="s">
        <v>28</v>
      </c>
      <c r="G10643" s="19">
        <v>0.04</v>
      </c>
      <c r="H10643" s="19" t="s">
        <v>28</v>
      </c>
      <c r="I10643" s="18" t="s">
        <v>28</v>
      </c>
      <c r="J10643" s="18" t="s">
        <v>28</v>
      </c>
      <c r="K10643" s="18" t="s">
        <v>28</v>
      </c>
      <c r="L10643" s="18" t="s">
        <v>28</v>
      </c>
      <c r="M10643" s="18" t="s">
        <v>28</v>
      </c>
      <c r="N10643" s="17">
        <v>41620</v>
      </c>
      <c r="O10643" s="15" t="s">
        <v>52</v>
      </c>
      <c r="P10643" s="16" t="s">
        <v>1792</v>
      </c>
      <c r="Q10643" s="15" t="s">
        <v>855</v>
      </c>
      <c r="R10643" s="13" t="str">
        <f>HYPERLINK("https://my.pitchbook.com?c=44588-35T","View Company Online")</f>
        <v>View Company Online</v>
      </c>
    </row>
    <row r="10644" spans="1:18" hidden="1" x14ac:dyDescent="0.3">
      <c r="A10644" s="9" t="s">
        <v>30079</v>
      </c>
      <c r="B10644" s="9" t="s">
        <v>985</v>
      </c>
      <c r="C10644" s="11" t="s">
        <v>28</v>
      </c>
      <c r="D10644" s="9" t="s">
        <v>986</v>
      </c>
      <c r="E10644" s="11" t="s">
        <v>28</v>
      </c>
      <c r="F10644" s="10" t="s">
        <v>28</v>
      </c>
      <c r="G10644" s="10">
        <v>0.22</v>
      </c>
      <c r="H10644" s="10" t="s">
        <v>28</v>
      </c>
      <c r="I10644" s="11" t="s">
        <v>28</v>
      </c>
      <c r="J10644" s="11" t="s">
        <v>28</v>
      </c>
      <c r="K10644" s="11" t="s">
        <v>28</v>
      </c>
      <c r="L10644" s="11" t="s">
        <v>28</v>
      </c>
      <c r="M10644" s="11" t="s">
        <v>28</v>
      </c>
      <c r="N10644" s="8">
        <v>41618</v>
      </c>
      <c r="O10644" s="9" t="s">
        <v>379</v>
      </c>
      <c r="P10644" s="12" t="s">
        <v>28</v>
      </c>
      <c r="Q10644" s="9" t="s">
        <v>37</v>
      </c>
      <c r="R10644" s="14" t="str">
        <f>HYPERLINK("https://my.pitchbook.com?c=54901-72T","View Company Online")</f>
        <v>View Company Online</v>
      </c>
    </row>
    <row r="10645" spans="1:18" hidden="1" x14ac:dyDescent="0.3">
      <c r="A10645" s="15" t="s">
        <v>30080</v>
      </c>
      <c r="B10645" s="15" t="s">
        <v>17645</v>
      </c>
      <c r="C10645" s="18" t="s">
        <v>28</v>
      </c>
      <c r="D10645" s="15" t="s">
        <v>17646</v>
      </c>
      <c r="E10645" s="18" t="s">
        <v>28</v>
      </c>
      <c r="F10645" s="19">
        <v>768.51</v>
      </c>
      <c r="G10645" s="19">
        <v>537.87</v>
      </c>
      <c r="H10645" s="19">
        <v>768.51</v>
      </c>
      <c r="I10645" s="18" t="s">
        <v>28</v>
      </c>
      <c r="J10645" s="18" t="s">
        <v>28</v>
      </c>
      <c r="K10645" s="18" t="s">
        <v>28</v>
      </c>
      <c r="L10645" s="18" t="s">
        <v>28</v>
      </c>
      <c r="M10645" s="18" t="s">
        <v>28</v>
      </c>
      <c r="N10645" s="17">
        <v>41617</v>
      </c>
      <c r="O10645" s="15" t="s">
        <v>41</v>
      </c>
      <c r="P10645" s="16" t="s">
        <v>30081</v>
      </c>
      <c r="Q10645" s="15" t="s">
        <v>119</v>
      </c>
      <c r="R10645" s="13" t="str">
        <f>HYPERLINK("https://my.pitchbook.com?c=25255-81T","View Company Online")</f>
        <v>View Company Online</v>
      </c>
    </row>
    <row r="10646" spans="1:18" hidden="1" x14ac:dyDescent="0.3">
      <c r="A10646" s="9" t="s">
        <v>30082</v>
      </c>
      <c r="B10646" s="9" t="s">
        <v>5722</v>
      </c>
      <c r="C10646" s="11" t="s">
        <v>28</v>
      </c>
      <c r="D10646" s="9" t="s">
        <v>5723</v>
      </c>
      <c r="E10646" s="11">
        <v>60.72</v>
      </c>
      <c r="F10646" s="10" t="s">
        <v>28</v>
      </c>
      <c r="G10646" s="10">
        <v>232.36</v>
      </c>
      <c r="H10646" s="10">
        <v>893.15</v>
      </c>
      <c r="I10646" s="11">
        <v>71.39</v>
      </c>
      <c r="J10646" s="11">
        <v>12.51</v>
      </c>
      <c r="K10646" s="11">
        <v>293.02999999999997</v>
      </c>
      <c r="L10646" s="11">
        <v>3.05</v>
      </c>
      <c r="M10646" s="11">
        <v>6.53</v>
      </c>
      <c r="N10646" s="8">
        <v>41617</v>
      </c>
      <c r="O10646" s="9" t="s">
        <v>173</v>
      </c>
      <c r="P10646" s="12" t="s">
        <v>28</v>
      </c>
      <c r="Q10646" s="9" t="s">
        <v>566</v>
      </c>
      <c r="R10646" s="14" t="str">
        <f>HYPERLINK("https://my.pitchbook.com?c=29206-81T","View Company Online")</f>
        <v>View Company Online</v>
      </c>
    </row>
    <row r="10647" spans="1:18" hidden="1" x14ac:dyDescent="0.3">
      <c r="A10647" s="15" t="s">
        <v>30083</v>
      </c>
      <c r="B10647" s="15" t="s">
        <v>23531</v>
      </c>
      <c r="C10647" s="18" t="s">
        <v>28</v>
      </c>
      <c r="D10647" s="15" t="s">
        <v>23532</v>
      </c>
      <c r="E10647" s="18" t="s">
        <v>28</v>
      </c>
      <c r="F10647" s="19" t="s">
        <v>28</v>
      </c>
      <c r="G10647" s="19" t="s">
        <v>28</v>
      </c>
      <c r="H10647" s="19" t="s">
        <v>28</v>
      </c>
      <c r="I10647" s="18" t="s">
        <v>28</v>
      </c>
      <c r="J10647" s="18" t="s">
        <v>28</v>
      </c>
      <c r="K10647" s="18" t="s">
        <v>28</v>
      </c>
      <c r="L10647" s="18" t="s">
        <v>28</v>
      </c>
      <c r="M10647" s="18" t="s">
        <v>28</v>
      </c>
      <c r="N10647" s="17">
        <v>41614</v>
      </c>
      <c r="O10647" s="15" t="s">
        <v>73</v>
      </c>
      <c r="P10647" s="16" t="s">
        <v>30084</v>
      </c>
      <c r="Q10647" s="15" t="s">
        <v>85</v>
      </c>
      <c r="R10647" s="13" t="str">
        <f>HYPERLINK("https://my.pitchbook.com?c=31613-95T","View Company Online")</f>
        <v>View Company Online</v>
      </c>
    </row>
    <row r="10648" spans="1:18" hidden="1" x14ac:dyDescent="0.3">
      <c r="A10648" s="9" t="s">
        <v>30085</v>
      </c>
      <c r="B10648" s="9" t="s">
        <v>30086</v>
      </c>
      <c r="C10648" s="11" t="s">
        <v>28</v>
      </c>
      <c r="D10648" s="9" t="s">
        <v>30087</v>
      </c>
      <c r="E10648" s="11" t="s">
        <v>28</v>
      </c>
      <c r="F10648" s="10" t="s">
        <v>28</v>
      </c>
      <c r="G10648" s="10">
        <v>1.29</v>
      </c>
      <c r="H10648" s="10" t="s">
        <v>28</v>
      </c>
      <c r="I10648" s="11" t="s">
        <v>28</v>
      </c>
      <c r="J10648" s="11" t="s">
        <v>28</v>
      </c>
      <c r="K10648" s="11" t="s">
        <v>28</v>
      </c>
      <c r="L10648" s="11" t="s">
        <v>28</v>
      </c>
      <c r="M10648" s="11" t="s">
        <v>28</v>
      </c>
      <c r="N10648" s="8">
        <v>41614</v>
      </c>
      <c r="O10648" s="9" t="s">
        <v>79</v>
      </c>
      <c r="P10648" s="12" t="s">
        <v>30088</v>
      </c>
      <c r="Q10648" s="9" t="s">
        <v>75</v>
      </c>
      <c r="R10648" s="14" t="str">
        <f>HYPERLINK("https://my.pitchbook.com?c=70128-55T","View Company Online")</f>
        <v>View Company Online</v>
      </c>
    </row>
    <row r="10649" spans="1:18" hidden="1" x14ac:dyDescent="0.3">
      <c r="A10649" s="15" t="s">
        <v>30089</v>
      </c>
      <c r="B10649" s="15" t="s">
        <v>30090</v>
      </c>
      <c r="C10649" s="18" t="s">
        <v>28</v>
      </c>
      <c r="D10649" s="15" t="s">
        <v>30091</v>
      </c>
      <c r="E10649" s="18" t="s">
        <v>28</v>
      </c>
      <c r="F10649" s="19" t="s">
        <v>28</v>
      </c>
      <c r="G10649" s="19">
        <v>2</v>
      </c>
      <c r="H10649" s="19">
        <v>3</v>
      </c>
      <c r="I10649" s="18" t="s">
        <v>28</v>
      </c>
      <c r="J10649" s="18" t="s">
        <v>28</v>
      </c>
      <c r="K10649" s="18" t="s">
        <v>28</v>
      </c>
      <c r="L10649" s="18" t="s">
        <v>28</v>
      </c>
      <c r="M10649" s="18" t="s">
        <v>28</v>
      </c>
      <c r="N10649" s="17">
        <v>41614</v>
      </c>
      <c r="O10649" s="15" t="s">
        <v>9098</v>
      </c>
      <c r="P10649" s="16" t="s">
        <v>28</v>
      </c>
      <c r="Q10649" s="15" t="s">
        <v>5633</v>
      </c>
      <c r="R10649" s="13" t="str">
        <f>HYPERLINK("https://my.pitchbook.com?c=182103-67T","View Company Online")</f>
        <v>View Company Online</v>
      </c>
    </row>
    <row r="10650" spans="1:18" hidden="1" x14ac:dyDescent="0.3">
      <c r="A10650" s="9" t="s">
        <v>30092</v>
      </c>
      <c r="B10650" s="9" t="s">
        <v>13904</v>
      </c>
      <c r="C10650" s="11" t="s">
        <v>28</v>
      </c>
      <c r="D10650" s="9" t="s">
        <v>13905</v>
      </c>
      <c r="E10650" s="11" t="s">
        <v>28</v>
      </c>
      <c r="F10650" s="10" t="s">
        <v>28</v>
      </c>
      <c r="G10650" s="10" t="s">
        <v>28</v>
      </c>
      <c r="H10650" s="10" t="s">
        <v>28</v>
      </c>
      <c r="I10650" s="11" t="s">
        <v>28</v>
      </c>
      <c r="J10650" s="11" t="s">
        <v>28</v>
      </c>
      <c r="K10650" s="11" t="s">
        <v>28</v>
      </c>
      <c r="L10650" s="11" t="s">
        <v>28</v>
      </c>
      <c r="M10650" s="11" t="s">
        <v>28</v>
      </c>
      <c r="N10650" s="8">
        <v>41614</v>
      </c>
      <c r="O10650" s="9" t="s">
        <v>79</v>
      </c>
      <c r="P10650" s="12" t="s">
        <v>30093</v>
      </c>
      <c r="Q10650" s="9" t="s">
        <v>583</v>
      </c>
      <c r="R10650" s="14" t="str">
        <f>HYPERLINK("https://my.pitchbook.com?c=56020-15T","View Company Online")</f>
        <v>View Company Online</v>
      </c>
    </row>
    <row r="10651" spans="1:18" hidden="1" x14ac:dyDescent="0.3">
      <c r="A10651" s="15" t="s">
        <v>30094</v>
      </c>
      <c r="B10651" s="15" t="s">
        <v>27534</v>
      </c>
      <c r="C10651" s="18" t="s">
        <v>28</v>
      </c>
      <c r="D10651" s="15" t="s">
        <v>27535</v>
      </c>
      <c r="E10651" s="18" t="s">
        <v>28</v>
      </c>
      <c r="F10651" s="19" t="s">
        <v>28</v>
      </c>
      <c r="G10651" s="19">
        <v>0.04</v>
      </c>
      <c r="H10651" s="19" t="s">
        <v>28</v>
      </c>
      <c r="I10651" s="18" t="s">
        <v>28</v>
      </c>
      <c r="J10651" s="18" t="s">
        <v>28</v>
      </c>
      <c r="K10651" s="18" t="s">
        <v>28</v>
      </c>
      <c r="L10651" s="18" t="s">
        <v>28</v>
      </c>
      <c r="M10651" s="18" t="s">
        <v>28</v>
      </c>
      <c r="N10651" s="17">
        <v>41613</v>
      </c>
      <c r="O10651" s="15" t="s">
        <v>52</v>
      </c>
      <c r="P10651" s="16" t="s">
        <v>24901</v>
      </c>
      <c r="Q10651" s="15" t="s">
        <v>235</v>
      </c>
      <c r="R10651" s="13" t="str">
        <f>HYPERLINK("https://my.pitchbook.com?c=134891-47T","View Company Online")</f>
        <v>View Company Online</v>
      </c>
    </row>
    <row r="10652" spans="1:18" hidden="1" x14ac:dyDescent="0.3">
      <c r="A10652" s="9" t="s">
        <v>30095</v>
      </c>
      <c r="B10652" s="9" t="s">
        <v>30096</v>
      </c>
      <c r="C10652" s="11" t="s">
        <v>28</v>
      </c>
      <c r="D10652" s="9" t="s">
        <v>30097</v>
      </c>
      <c r="E10652" s="11" t="s">
        <v>28</v>
      </c>
      <c r="F10652" s="10" t="s">
        <v>28</v>
      </c>
      <c r="G10652" s="10" t="s">
        <v>28</v>
      </c>
      <c r="H10652" s="10" t="s">
        <v>28</v>
      </c>
      <c r="I10652" s="11" t="s">
        <v>28</v>
      </c>
      <c r="J10652" s="11" t="s">
        <v>28</v>
      </c>
      <c r="K10652" s="11" t="s">
        <v>28</v>
      </c>
      <c r="L10652" s="11" t="s">
        <v>28</v>
      </c>
      <c r="M10652" s="11" t="s">
        <v>28</v>
      </c>
      <c r="N10652" s="8">
        <v>41613</v>
      </c>
      <c r="O10652" s="9" t="s">
        <v>30</v>
      </c>
      <c r="P10652" s="12" t="s">
        <v>30098</v>
      </c>
      <c r="Q10652" s="9" t="s">
        <v>616</v>
      </c>
      <c r="R10652" s="14" t="str">
        <f>HYPERLINK("https://my.pitchbook.com?c=38904-58T","View Company Online")</f>
        <v>View Company Online</v>
      </c>
    </row>
    <row r="10653" spans="1:18" hidden="1" x14ac:dyDescent="0.3">
      <c r="A10653" s="15" t="s">
        <v>30099</v>
      </c>
      <c r="B10653" s="15" t="s">
        <v>27755</v>
      </c>
      <c r="C10653" s="18" t="s">
        <v>28</v>
      </c>
      <c r="D10653" s="15" t="s">
        <v>27756</v>
      </c>
      <c r="E10653" s="18" t="s">
        <v>28</v>
      </c>
      <c r="F10653" s="19">
        <v>12.29</v>
      </c>
      <c r="G10653" s="19">
        <v>6.76</v>
      </c>
      <c r="H10653" s="19">
        <v>12.29</v>
      </c>
      <c r="I10653" s="18" t="s">
        <v>28</v>
      </c>
      <c r="J10653" s="18" t="s">
        <v>28</v>
      </c>
      <c r="K10653" s="18" t="s">
        <v>28</v>
      </c>
      <c r="L10653" s="18" t="s">
        <v>28</v>
      </c>
      <c r="M10653" s="18" t="s">
        <v>28</v>
      </c>
      <c r="N10653" s="17">
        <v>41611</v>
      </c>
      <c r="O10653" s="15" t="s">
        <v>30</v>
      </c>
      <c r="P10653" s="16" t="s">
        <v>27757</v>
      </c>
      <c r="Q10653" s="15" t="s">
        <v>4670</v>
      </c>
      <c r="R10653" s="13" t="str">
        <f>HYPERLINK("https://my.pitchbook.com?c=76104-19T","View Company Online")</f>
        <v>View Company Online</v>
      </c>
    </row>
    <row r="10654" spans="1:18" hidden="1" x14ac:dyDescent="0.3">
      <c r="A10654" s="9" t="s">
        <v>30100</v>
      </c>
      <c r="B10654" s="9" t="s">
        <v>30101</v>
      </c>
      <c r="C10654" s="11" t="s">
        <v>28</v>
      </c>
      <c r="D10654" s="9" t="s">
        <v>30102</v>
      </c>
      <c r="E10654" s="11" t="s">
        <v>28</v>
      </c>
      <c r="F10654" s="10" t="s">
        <v>28</v>
      </c>
      <c r="G10654" s="10" t="s">
        <v>28</v>
      </c>
      <c r="H10654" s="10" t="s">
        <v>28</v>
      </c>
      <c r="I10654" s="11" t="s">
        <v>28</v>
      </c>
      <c r="J10654" s="11" t="s">
        <v>28</v>
      </c>
      <c r="K10654" s="11" t="s">
        <v>28</v>
      </c>
      <c r="L10654" s="11" t="s">
        <v>28</v>
      </c>
      <c r="M10654" s="11" t="s">
        <v>28</v>
      </c>
      <c r="N10654" s="8">
        <v>41610</v>
      </c>
      <c r="O10654" s="9" t="s">
        <v>30</v>
      </c>
      <c r="P10654" s="12" t="s">
        <v>30103</v>
      </c>
      <c r="Q10654" s="9" t="s">
        <v>37</v>
      </c>
      <c r="R10654" s="14" t="str">
        <f>HYPERLINK("https://my.pitchbook.com?c=89640-10T","View Company Online")</f>
        <v>View Company Online</v>
      </c>
    </row>
    <row r="10655" spans="1:18" hidden="1" x14ac:dyDescent="0.3">
      <c r="A10655" s="15" t="s">
        <v>30104</v>
      </c>
      <c r="B10655" s="15" t="s">
        <v>30105</v>
      </c>
      <c r="C10655" s="18" t="s">
        <v>28</v>
      </c>
      <c r="D10655" s="15" t="s">
        <v>30106</v>
      </c>
      <c r="E10655" s="18" t="s">
        <v>28</v>
      </c>
      <c r="F10655" s="19" t="s">
        <v>28</v>
      </c>
      <c r="G10655" s="19" t="s">
        <v>28</v>
      </c>
      <c r="H10655" s="19" t="s">
        <v>28</v>
      </c>
      <c r="I10655" s="18" t="s">
        <v>28</v>
      </c>
      <c r="J10655" s="18" t="s">
        <v>28</v>
      </c>
      <c r="K10655" s="18" t="s">
        <v>28</v>
      </c>
      <c r="L10655" s="18" t="s">
        <v>28</v>
      </c>
      <c r="M10655" s="18" t="s">
        <v>28</v>
      </c>
      <c r="N10655" s="17">
        <v>41610</v>
      </c>
      <c r="O10655" s="15" t="s">
        <v>30</v>
      </c>
      <c r="P10655" s="16" t="s">
        <v>28</v>
      </c>
      <c r="Q10655" s="15" t="s">
        <v>136</v>
      </c>
      <c r="R10655" s="13" t="str">
        <f>HYPERLINK("https://my.pitchbook.com?c=95638-78T","View Company Online")</f>
        <v>View Company Online</v>
      </c>
    </row>
    <row r="10656" spans="1:18" hidden="1" x14ac:dyDescent="0.3">
      <c r="A10656" s="9" t="s">
        <v>30107</v>
      </c>
      <c r="B10656" s="9" t="s">
        <v>27608</v>
      </c>
      <c r="C10656" s="11" t="s">
        <v>28</v>
      </c>
      <c r="D10656" s="9" t="s">
        <v>27609</v>
      </c>
      <c r="E10656" s="11" t="s">
        <v>28</v>
      </c>
      <c r="F10656" s="10" t="s">
        <v>28</v>
      </c>
      <c r="G10656" s="10" t="s">
        <v>28</v>
      </c>
      <c r="H10656" s="10" t="s">
        <v>28</v>
      </c>
      <c r="I10656" s="11" t="s">
        <v>28</v>
      </c>
      <c r="J10656" s="11" t="s">
        <v>28</v>
      </c>
      <c r="K10656" s="11" t="s">
        <v>28</v>
      </c>
      <c r="L10656" s="11" t="s">
        <v>28</v>
      </c>
      <c r="M10656" s="11" t="s">
        <v>28</v>
      </c>
      <c r="N10656" s="8">
        <v>41610</v>
      </c>
      <c r="O10656" s="9" t="s">
        <v>58</v>
      </c>
      <c r="P10656" s="12" t="s">
        <v>27610</v>
      </c>
      <c r="Q10656" s="9" t="s">
        <v>3912</v>
      </c>
      <c r="R10656" s="14" t="str">
        <f>HYPERLINK("https://my.pitchbook.com?c=36915-94T","View Company Online")</f>
        <v>View Company Online</v>
      </c>
    </row>
    <row r="10657" spans="1:18" hidden="1" x14ac:dyDescent="0.3">
      <c r="A10657" s="15" t="s">
        <v>30108</v>
      </c>
      <c r="B10657" s="15" t="s">
        <v>28439</v>
      </c>
      <c r="C10657" s="18" t="s">
        <v>28</v>
      </c>
      <c r="D10657" s="15" t="s">
        <v>28440</v>
      </c>
      <c r="E10657" s="18" t="s">
        <v>28</v>
      </c>
      <c r="F10657" s="19" t="s">
        <v>28</v>
      </c>
      <c r="G10657" s="19" t="s">
        <v>28</v>
      </c>
      <c r="H10657" s="19" t="s">
        <v>28</v>
      </c>
      <c r="I10657" s="18" t="s">
        <v>28</v>
      </c>
      <c r="J10657" s="18" t="s">
        <v>28</v>
      </c>
      <c r="K10657" s="18" t="s">
        <v>28</v>
      </c>
      <c r="L10657" s="18" t="s">
        <v>28</v>
      </c>
      <c r="M10657" s="18" t="s">
        <v>28</v>
      </c>
      <c r="N10657" s="17">
        <v>41609</v>
      </c>
      <c r="O10657" s="15" t="s">
        <v>52</v>
      </c>
      <c r="P10657" s="16" t="s">
        <v>15600</v>
      </c>
      <c r="Q10657" s="15" t="s">
        <v>75</v>
      </c>
      <c r="R10657" s="13" t="str">
        <f>HYPERLINK("https://my.pitchbook.com?c=87262-03T","View Company Online")</f>
        <v>View Company Online</v>
      </c>
    </row>
    <row r="10658" spans="1:18" hidden="1" x14ac:dyDescent="0.3">
      <c r="A10658" s="9" t="s">
        <v>30109</v>
      </c>
      <c r="B10658" s="9" t="s">
        <v>30110</v>
      </c>
      <c r="C10658" s="11" t="s">
        <v>28</v>
      </c>
      <c r="D10658" s="9" t="s">
        <v>30111</v>
      </c>
      <c r="E10658" s="11" t="s">
        <v>28</v>
      </c>
      <c r="F10658" s="10" t="s">
        <v>28</v>
      </c>
      <c r="G10658" s="10">
        <v>19.95</v>
      </c>
      <c r="H10658" s="10" t="s">
        <v>28</v>
      </c>
      <c r="I10658" s="11" t="s">
        <v>28</v>
      </c>
      <c r="J10658" s="11" t="s">
        <v>28</v>
      </c>
      <c r="K10658" s="11" t="s">
        <v>28</v>
      </c>
      <c r="L10658" s="11" t="s">
        <v>28</v>
      </c>
      <c r="M10658" s="11" t="s">
        <v>28</v>
      </c>
      <c r="N10658" s="8">
        <v>41609</v>
      </c>
      <c r="O10658" s="9" t="s">
        <v>93</v>
      </c>
      <c r="P10658" s="12" t="s">
        <v>29390</v>
      </c>
      <c r="Q10658" s="9" t="s">
        <v>753</v>
      </c>
      <c r="R10658" s="14" t="str">
        <f>HYPERLINK("https://my.pitchbook.com?c=127194-49T","View Company Online")</f>
        <v>View Company Online</v>
      </c>
    </row>
    <row r="10659" spans="1:18" hidden="1" x14ac:dyDescent="0.3">
      <c r="A10659" s="15" t="s">
        <v>30112</v>
      </c>
      <c r="B10659" s="15" t="s">
        <v>27941</v>
      </c>
      <c r="C10659" s="18" t="s">
        <v>28</v>
      </c>
      <c r="D10659" s="15" t="s">
        <v>27942</v>
      </c>
      <c r="E10659" s="18" t="s">
        <v>28</v>
      </c>
      <c r="F10659" s="19" t="s">
        <v>28</v>
      </c>
      <c r="G10659" s="19" t="s">
        <v>28</v>
      </c>
      <c r="H10659" s="19" t="s">
        <v>28</v>
      </c>
      <c r="I10659" s="18" t="s">
        <v>28</v>
      </c>
      <c r="J10659" s="18" t="s">
        <v>28</v>
      </c>
      <c r="K10659" s="18" t="s">
        <v>28</v>
      </c>
      <c r="L10659" s="18" t="s">
        <v>28</v>
      </c>
      <c r="M10659" s="18" t="s">
        <v>28</v>
      </c>
      <c r="N10659" s="17">
        <v>41609</v>
      </c>
      <c r="O10659" s="15" t="s">
        <v>52</v>
      </c>
      <c r="P10659" s="16" t="s">
        <v>15600</v>
      </c>
      <c r="Q10659" s="15" t="s">
        <v>583</v>
      </c>
      <c r="R10659" s="13" t="str">
        <f>HYPERLINK("https://my.pitchbook.com?c=131850-19T","View Company Online")</f>
        <v>View Company Online</v>
      </c>
    </row>
    <row r="10660" spans="1:18" hidden="1" x14ac:dyDescent="0.3">
      <c r="A10660" s="9" t="s">
        <v>30113</v>
      </c>
      <c r="B10660" s="9" t="s">
        <v>30114</v>
      </c>
      <c r="C10660" s="11" t="s">
        <v>28</v>
      </c>
      <c r="D10660" s="9" t="s">
        <v>30115</v>
      </c>
      <c r="E10660" s="11" t="s">
        <v>28</v>
      </c>
      <c r="F10660" s="10" t="s">
        <v>28</v>
      </c>
      <c r="G10660" s="10" t="s">
        <v>28</v>
      </c>
      <c r="H10660" s="10" t="s">
        <v>28</v>
      </c>
      <c r="I10660" s="11" t="s">
        <v>28</v>
      </c>
      <c r="J10660" s="11" t="s">
        <v>28</v>
      </c>
      <c r="K10660" s="11" t="s">
        <v>28</v>
      </c>
      <c r="L10660" s="11" t="s">
        <v>28</v>
      </c>
      <c r="M10660" s="11" t="s">
        <v>28</v>
      </c>
      <c r="N10660" s="8">
        <v>41609</v>
      </c>
      <c r="O10660" s="9" t="s">
        <v>30</v>
      </c>
      <c r="P10660" s="12" t="s">
        <v>30116</v>
      </c>
      <c r="Q10660" s="9" t="s">
        <v>855</v>
      </c>
      <c r="R10660" s="14" t="str">
        <f>HYPERLINK("https://my.pitchbook.com?c=46627-75T","View Company Online")</f>
        <v>View Company Online</v>
      </c>
    </row>
    <row r="10661" spans="1:18" hidden="1" x14ac:dyDescent="0.3">
      <c r="A10661" s="15" t="s">
        <v>30117</v>
      </c>
      <c r="B10661" s="15" t="s">
        <v>28994</v>
      </c>
      <c r="C10661" s="18" t="s">
        <v>28</v>
      </c>
      <c r="D10661" s="15" t="s">
        <v>28995</v>
      </c>
      <c r="E10661" s="18" t="s">
        <v>28</v>
      </c>
      <c r="F10661" s="19" t="s">
        <v>28</v>
      </c>
      <c r="G10661" s="19">
        <v>0.1</v>
      </c>
      <c r="H10661" s="19" t="s">
        <v>28</v>
      </c>
      <c r="I10661" s="18" t="s">
        <v>28</v>
      </c>
      <c r="J10661" s="18" t="s">
        <v>28</v>
      </c>
      <c r="K10661" s="18" t="s">
        <v>28</v>
      </c>
      <c r="L10661" s="18" t="s">
        <v>28</v>
      </c>
      <c r="M10661" s="18" t="s">
        <v>28</v>
      </c>
      <c r="N10661" s="17">
        <v>41609</v>
      </c>
      <c r="O10661" s="15" t="s">
        <v>379</v>
      </c>
      <c r="P10661" s="16" t="s">
        <v>28</v>
      </c>
      <c r="Q10661" s="15" t="s">
        <v>3912</v>
      </c>
      <c r="R10661" s="13" t="str">
        <f>HYPERLINK("https://my.pitchbook.com?c=50676-40T","View Company Online")</f>
        <v>View Company Online</v>
      </c>
    </row>
    <row r="10662" spans="1:18" hidden="1" x14ac:dyDescent="0.3">
      <c r="A10662" s="9" t="s">
        <v>30118</v>
      </c>
      <c r="B10662" s="9" t="s">
        <v>26526</v>
      </c>
      <c r="C10662" s="11" t="s">
        <v>28</v>
      </c>
      <c r="D10662" s="9" t="s">
        <v>26527</v>
      </c>
      <c r="E10662" s="11" t="s">
        <v>28</v>
      </c>
      <c r="F10662" s="10" t="s">
        <v>28</v>
      </c>
      <c r="G10662" s="10" t="s">
        <v>28</v>
      </c>
      <c r="H10662" s="10" t="s">
        <v>28</v>
      </c>
      <c r="I10662" s="11" t="s">
        <v>28</v>
      </c>
      <c r="J10662" s="11" t="s">
        <v>28</v>
      </c>
      <c r="K10662" s="11" t="s">
        <v>28</v>
      </c>
      <c r="L10662" s="11" t="s">
        <v>28</v>
      </c>
      <c r="M10662" s="11" t="s">
        <v>28</v>
      </c>
      <c r="N10662" s="8">
        <v>41609</v>
      </c>
      <c r="O10662" s="9" t="s">
        <v>52</v>
      </c>
      <c r="P10662" s="12" t="s">
        <v>15600</v>
      </c>
      <c r="Q10662" s="9" t="s">
        <v>7209</v>
      </c>
      <c r="R10662" s="14" t="str">
        <f>HYPERLINK("https://my.pitchbook.com?c=132875-29T","View Company Online")</f>
        <v>View Company Online</v>
      </c>
    </row>
    <row r="10663" spans="1:18" hidden="1" x14ac:dyDescent="0.3">
      <c r="A10663" s="15" t="s">
        <v>30119</v>
      </c>
      <c r="B10663" s="15" t="s">
        <v>30120</v>
      </c>
      <c r="C10663" s="18" t="s">
        <v>28</v>
      </c>
      <c r="D10663" s="15" t="s">
        <v>30121</v>
      </c>
      <c r="E10663" s="18" t="s">
        <v>28</v>
      </c>
      <c r="F10663" s="19" t="s">
        <v>28</v>
      </c>
      <c r="G10663" s="19">
        <v>0.2</v>
      </c>
      <c r="H10663" s="19" t="s">
        <v>28</v>
      </c>
      <c r="I10663" s="18" t="s">
        <v>28</v>
      </c>
      <c r="J10663" s="18" t="s">
        <v>28</v>
      </c>
      <c r="K10663" s="18" t="s">
        <v>28</v>
      </c>
      <c r="L10663" s="18" t="s">
        <v>28</v>
      </c>
      <c r="M10663" s="18" t="s">
        <v>28</v>
      </c>
      <c r="N10663" s="17">
        <v>41609</v>
      </c>
      <c r="O10663" s="15" t="s">
        <v>52</v>
      </c>
      <c r="P10663" s="16" t="s">
        <v>11539</v>
      </c>
      <c r="Q10663" s="15" t="s">
        <v>583</v>
      </c>
      <c r="R10663" s="13" t="str">
        <f>HYPERLINK("https://my.pitchbook.com?c=65586-97T","View Company Online")</f>
        <v>View Company Online</v>
      </c>
    </row>
    <row r="10664" spans="1:18" hidden="1" x14ac:dyDescent="0.3">
      <c r="A10664" s="9" t="s">
        <v>30122</v>
      </c>
      <c r="B10664" s="9" t="s">
        <v>24566</v>
      </c>
      <c r="C10664" s="11" t="s">
        <v>28</v>
      </c>
      <c r="D10664" s="9" t="s">
        <v>24567</v>
      </c>
      <c r="E10664" s="11" t="s">
        <v>28</v>
      </c>
      <c r="F10664" s="10" t="s">
        <v>28</v>
      </c>
      <c r="G10664" s="10">
        <v>1.75</v>
      </c>
      <c r="H10664" s="10" t="s">
        <v>28</v>
      </c>
      <c r="I10664" s="11" t="s">
        <v>28</v>
      </c>
      <c r="J10664" s="11" t="s">
        <v>28</v>
      </c>
      <c r="K10664" s="11" t="s">
        <v>28</v>
      </c>
      <c r="L10664" s="11" t="s">
        <v>28</v>
      </c>
      <c r="M10664" s="11" t="s">
        <v>28</v>
      </c>
      <c r="N10664" s="8">
        <v>41609</v>
      </c>
      <c r="O10664" s="9" t="s">
        <v>99</v>
      </c>
      <c r="P10664" s="12" t="s">
        <v>30123</v>
      </c>
      <c r="Q10664" s="9" t="s">
        <v>75</v>
      </c>
      <c r="R10664" s="14" t="str">
        <f>HYPERLINK("https://my.pitchbook.com?c=46626-58T","View Company Online")</f>
        <v>View Company Online</v>
      </c>
    </row>
    <row r="10665" spans="1:18" hidden="1" x14ac:dyDescent="0.3">
      <c r="A10665" s="15" t="s">
        <v>30124</v>
      </c>
      <c r="B10665" s="15" t="s">
        <v>24427</v>
      </c>
      <c r="C10665" s="18" t="s">
        <v>28</v>
      </c>
      <c r="D10665" s="15" t="s">
        <v>24428</v>
      </c>
      <c r="E10665" s="18" t="s">
        <v>28</v>
      </c>
      <c r="F10665" s="19" t="s">
        <v>28</v>
      </c>
      <c r="G10665" s="19" t="s">
        <v>28</v>
      </c>
      <c r="H10665" s="19" t="s">
        <v>28</v>
      </c>
      <c r="I10665" s="18" t="s">
        <v>28</v>
      </c>
      <c r="J10665" s="18" t="s">
        <v>28</v>
      </c>
      <c r="K10665" s="18" t="s">
        <v>28</v>
      </c>
      <c r="L10665" s="18" t="s">
        <v>28</v>
      </c>
      <c r="M10665" s="18" t="s">
        <v>28</v>
      </c>
      <c r="N10665" s="17">
        <v>41609</v>
      </c>
      <c r="O10665" s="15" t="s">
        <v>93</v>
      </c>
      <c r="P10665" s="16" t="s">
        <v>30125</v>
      </c>
      <c r="Q10665" s="15" t="s">
        <v>280</v>
      </c>
      <c r="R10665" s="13" t="str">
        <f>HYPERLINK("https://my.pitchbook.com?c=57878-20T","View Company Online")</f>
        <v>View Company Online</v>
      </c>
    </row>
    <row r="10666" spans="1:18" hidden="1" x14ac:dyDescent="0.3">
      <c r="A10666" s="9" t="s">
        <v>30126</v>
      </c>
      <c r="B10666" s="9" t="s">
        <v>18751</v>
      </c>
      <c r="C10666" s="11" t="s">
        <v>28</v>
      </c>
      <c r="D10666" s="9" t="s">
        <v>18752</v>
      </c>
      <c r="E10666" s="11" t="s">
        <v>28</v>
      </c>
      <c r="F10666" s="10" t="s">
        <v>28</v>
      </c>
      <c r="G10666" s="10" t="s">
        <v>28</v>
      </c>
      <c r="H10666" s="10" t="s">
        <v>28</v>
      </c>
      <c r="I10666" s="11" t="s">
        <v>28</v>
      </c>
      <c r="J10666" s="11" t="s">
        <v>28</v>
      </c>
      <c r="K10666" s="11" t="s">
        <v>28</v>
      </c>
      <c r="L10666" s="11" t="s">
        <v>28</v>
      </c>
      <c r="M10666" s="11" t="s">
        <v>28</v>
      </c>
      <c r="N10666" s="8">
        <v>41609</v>
      </c>
      <c r="O10666" s="9" t="s">
        <v>30</v>
      </c>
      <c r="P10666" s="12" t="s">
        <v>30127</v>
      </c>
      <c r="Q10666" s="9" t="s">
        <v>4773</v>
      </c>
      <c r="R10666" s="14" t="str">
        <f>HYPERLINK("https://my.pitchbook.com?c=110575-27T","View Company Online")</f>
        <v>View Company Online</v>
      </c>
    </row>
    <row r="10667" spans="1:18" hidden="1" x14ac:dyDescent="0.3">
      <c r="A10667" s="15" t="s">
        <v>30128</v>
      </c>
      <c r="B10667" s="15" t="s">
        <v>30129</v>
      </c>
      <c r="C10667" s="18" t="s">
        <v>28</v>
      </c>
      <c r="D10667" s="15" t="s">
        <v>30130</v>
      </c>
      <c r="E10667" s="18" t="s">
        <v>28</v>
      </c>
      <c r="F10667" s="19" t="s">
        <v>28</v>
      </c>
      <c r="G10667" s="19" t="s">
        <v>28</v>
      </c>
      <c r="H10667" s="19" t="s">
        <v>28</v>
      </c>
      <c r="I10667" s="18" t="s">
        <v>28</v>
      </c>
      <c r="J10667" s="18" t="s">
        <v>28</v>
      </c>
      <c r="K10667" s="18" t="s">
        <v>28</v>
      </c>
      <c r="L10667" s="18" t="s">
        <v>28</v>
      </c>
      <c r="M10667" s="18" t="s">
        <v>28</v>
      </c>
      <c r="N10667" s="17">
        <v>41609</v>
      </c>
      <c r="O10667" s="15" t="s">
        <v>30</v>
      </c>
      <c r="P10667" s="16" t="s">
        <v>30131</v>
      </c>
      <c r="Q10667" s="15" t="s">
        <v>299</v>
      </c>
      <c r="R10667" s="13" t="str">
        <f>HYPERLINK("https://my.pitchbook.com?c=102652-75T","View Company Online")</f>
        <v>View Company Online</v>
      </c>
    </row>
    <row r="10668" spans="1:18" hidden="1" x14ac:dyDescent="0.3">
      <c r="A10668" s="9" t="s">
        <v>30132</v>
      </c>
      <c r="B10668" s="9" t="s">
        <v>30133</v>
      </c>
      <c r="C10668" s="11" t="s">
        <v>28</v>
      </c>
      <c r="D10668" s="9" t="s">
        <v>30134</v>
      </c>
      <c r="E10668" s="11" t="s">
        <v>28</v>
      </c>
      <c r="F10668" s="10" t="s">
        <v>28</v>
      </c>
      <c r="G10668" s="10" t="s">
        <v>28</v>
      </c>
      <c r="H10668" s="10" t="s">
        <v>28</v>
      </c>
      <c r="I10668" s="11" t="s">
        <v>28</v>
      </c>
      <c r="J10668" s="11" t="s">
        <v>28</v>
      </c>
      <c r="K10668" s="11" t="s">
        <v>28</v>
      </c>
      <c r="L10668" s="11" t="s">
        <v>28</v>
      </c>
      <c r="M10668" s="11" t="s">
        <v>28</v>
      </c>
      <c r="N10668" s="8">
        <v>41606</v>
      </c>
      <c r="O10668" s="9" t="s">
        <v>30</v>
      </c>
      <c r="P10668" s="12" t="s">
        <v>30135</v>
      </c>
      <c r="Q10668" s="9" t="s">
        <v>13990</v>
      </c>
      <c r="R10668" s="14" t="str">
        <f>HYPERLINK("https://my.pitchbook.com?c=90327-43T","View Company Online")</f>
        <v>View Company Online</v>
      </c>
    </row>
    <row r="10669" spans="1:18" hidden="1" x14ac:dyDescent="0.3">
      <c r="A10669" s="15" t="s">
        <v>30136</v>
      </c>
      <c r="B10669" s="15" t="s">
        <v>30137</v>
      </c>
      <c r="C10669" s="18" t="s">
        <v>28</v>
      </c>
      <c r="D10669" s="15" t="s">
        <v>30138</v>
      </c>
      <c r="E10669" s="18" t="s">
        <v>28</v>
      </c>
      <c r="F10669" s="19">
        <v>7.98</v>
      </c>
      <c r="G10669" s="19">
        <v>7.98</v>
      </c>
      <c r="H10669" s="19">
        <v>7.98</v>
      </c>
      <c r="I10669" s="18" t="s">
        <v>28</v>
      </c>
      <c r="J10669" s="18" t="s">
        <v>28</v>
      </c>
      <c r="K10669" s="18" t="s">
        <v>28</v>
      </c>
      <c r="L10669" s="18" t="s">
        <v>28</v>
      </c>
      <c r="M10669" s="18" t="s">
        <v>28</v>
      </c>
      <c r="N10669" s="17">
        <v>41606</v>
      </c>
      <c r="O10669" s="15" t="s">
        <v>30</v>
      </c>
      <c r="P10669" s="16" t="s">
        <v>4262</v>
      </c>
      <c r="Q10669" s="15" t="s">
        <v>245</v>
      </c>
      <c r="R10669" s="13" t="str">
        <f>HYPERLINK("https://my.pitchbook.com?c=38948-86T","View Company Online")</f>
        <v>View Company Online</v>
      </c>
    </row>
    <row r="10670" spans="1:18" hidden="1" x14ac:dyDescent="0.3">
      <c r="A10670" s="9" t="s">
        <v>30139</v>
      </c>
      <c r="B10670" s="9" t="s">
        <v>29944</v>
      </c>
      <c r="C10670" s="11" t="s">
        <v>28</v>
      </c>
      <c r="D10670" s="9" t="s">
        <v>29945</v>
      </c>
      <c r="E10670" s="11" t="s">
        <v>28</v>
      </c>
      <c r="F10670" s="10" t="s">
        <v>28</v>
      </c>
      <c r="G10670" s="10" t="s">
        <v>28</v>
      </c>
      <c r="H10670" s="10" t="s">
        <v>28</v>
      </c>
      <c r="I10670" s="11" t="s">
        <v>28</v>
      </c>
      <c r="J10670" s="11" t="s">
        <v>28</v>
      </c>
      <c r="K10670" s="11" t="s">
        <v>28</v>
      </c>
      <c r="L10670" s="11" t="s">
        <v>28</v>
      </c>
      <c r="M10670" s="11" t="s">
        <v>28</v>
      </c>
      <c r="N10670" s="8">
        <v>41603</v>
      </c>
      <c r="O10670" s="9" t="s">
        <v>99</v>
      </c>
      <c r="P10670" s="12" t="s">
        <v>30140</v>
      </c>
      <c r="Q10670" s="9" t="s">
        <v>419</v>
      </c>
      <c r="R10670" s="14" t="str">
        <f>HYPERLINK("https://my.pitchbook.com?c=40042-09T","View Company Online")</f>
        <v>View Company Online</v>
      </c>
    </row>
    <row r="10671" spans="1:18" hidden="1" x14ac:dyDescent="0.3">
      <c r="A10671" s="15" t="s">
        <v>30141</v>
      </c>
      <c r="B10671" s="15" t="s">
        <v>30142</v>
      </c>
      <c r="C10671" s="18" t="s">
        <v>28</v>
      </c>
      <c r="D10671" s="15" t="s">
        <v>30143</v>
      </c>
      <c r="E10671" s="18" t="s">
        <v>28</v>
      </c>
      <c r="F10671" s="19" t="s">
        <v>28</v>
      </c>
      <c r="G10671" s="19" t="s">
        <v>28</v>
      </c>
      <c r="H10671" s="19" t="s">
        <v>28</v>
      </c>
      <c r="I10671" s="18" t="s">
        <v>28</v>
      </c>
      <c r="J10671" s="18" t="s">
        <v>28</v>
      </c>
      <c r="K10671" s="18" t="s">
        <v>28</v>
      </c>
      <c r="L10671" s="18" t="s">
        <v>28</v>
      </c>
      <c r="M10671" s="18" t="s">
        <v>28</v>
      </c>
      <c r="N10671" s="17">
        <v>41603</v>
      </c>
      <c r="O10671" s="15" t="s">
        <v>30</v>
      </c>
      <c r="P10671" s="16" t="s">
        <v>19245</v>
      </c>
      <c r="Q10671" s="15" t="s">
        <v>75</v>
      </c>
      <c r="R10671" s="13" t="str">
        <f>HYPERLINK("https://my.pitchbook.com?c=216305-92T","View Company Online")</f>
        <v>View Company Online</v>
      </c>
    </row>
    <row r="10672" spans="1:18" hidden="1" x14ac:dyDescent="0.3">
      <c r="A10672" s="9" t="s">
        <v>30144</v>
      </c>
      <c r="B10672" s="9" t="s">
        <v>30145</v>
      </c>
      <c r="C10672" s="11" t="s">
        <v>28</v>
      </c>
      <c r="D10672" s="9" t="s">
        <v>30146</v>
      </c>
      <c r="E10672" s="11" t="s">
        <v>28</v>
      </c>
      <c r="F10672" s="10" t="s">
        <v>28</v>
      </c>
      <c r="G10672" s="10" t="s">
        <v>28</v>
      </c>
      <c r="H10672" s="10" t="s">
        <v>28</v>
      </c>
      <c r="I10672" s="11" t="s">
        <v>28</v>
      </c>
      <c r="J10672" s="11" t="s">
        <v>28</v>
      </c>
      <c r="K10672" s="11" t="s">
        <v>28</v>
      </c>
      <c r="L10672" s="11" t="s">
        <v>28</v>
      </c>
      <c r="M10672" s="11" t="s">
        <v>28</v>
      </c>
      <c r="N10672" s="8">
        <v>41603</v>
      </c>
      <c r="O10672" s="9" t="s">
        <v>30</v>
      </c>
      <c r="P10672" s="12" t="s">
        <v>30147</v>
      </c>
      <c r="Q10672" s="9" t="s">
        <v>1088</v>
      </c>
      <c r="R10672" s="14" t="str">
        <f>HYPERLINK("https://my.pitchbook.com?c=38984-32T","View Company Online")</f>
        <v>View Company Online</v>
      </c>
    </row>
    <row r="10673" spans="1:18" hidden="1" x14ac:dyDescent="0.3">
      <c r="A10673" s="15" t="s">
        <v>30148</v>
      </c>
      <c r="B10673" s="15" t="s">
        <v>20686</v>
      </c>
      <c r="C10673" s="18" t="s">
        <v>28</v>
      </c>
      <c r="D10673" s="15" t="s">
        <v>20687</v>
      </c>
      <c r="E10673" s="18" t="s">
        <v>28</v>
      </c>
      <c r="F10673" s="19" t="s">
        <v>28</v>
      </c>
      <c r="G10673" s="19" t="s">
        <v>28</v>
      </c>
      <c r="H10673" s="19" t="s">
        <v>28</v>
      </c>
      <c r="I10673" s="18" t="s">
        <v>28</v>
      </c>
      <c r="J10673" s="18" t="s">
        <v>28</v>
      </c>
      <c r="K10673" s="18" t="s">
        <v>28</v>
      </c>
      <c r="L10673" s="18" t="s">
        <v>28</v>
      </c>
      <c r="M10673" s="18" t="s">
        <v>28</v>
      </c>
      <c r="N10673" s="17">
        <v>41601</v>
      </c>
      <c r="O10673" s="15" t="s">
        <v>52</v>
      </c>
      <c r="P10673" s="16" t="s">
        <v>30149</v>
      </c>
      <c r="Q10673" s="15" t="s">
        <v>1643</v>
      </c>
      <c r="R10673" s="13" t="str">
        <f>HYPERLINK("https://my.pitchbook.com?c=57354-13T","View Company Online")</f>
        <v>View Company Online</v>
      </c>
    </row>
    <row r="10674" spans="1:18" hidden="1" x14ac:dyDescent="0.3">
      <c r="A10674" s="9" t="s">
        <v>30150</v>
      </c>
      <c r="B10674" s="9" t="s">
        <v>23761</v>
      </c>
      <c r="C10674" s="11" t="s">
        <v>28</v>
      </c>
      <c r="D10674" s="9" t="s">
        <v>23762</v>
      </c>
      <c r="E10674" s="11" t="s">
        <v>28</v>
      </c>
      <c r="F10674" s="10">
        <v>1647.53</v>
      </c>
      <c r="G10674" s="10">
        <v>840.24</v>
      </c>
      <c r="H10674" s="10">
        <v>1647.53</v>
      </c>
      <c r="I10674" s="11" t="s">
        <v>28</v>
      </c>
      <c r="J10674" s="11" t="s">
        <v>28</v>
      </c>
      <c r="K10674" s="11" t="s">
        <v>28</v>
      </c>
      <c r="L10674" s="11" t="s">
        <v>28</v>
      </c>
      <c r="M10674" s="11" t="s">
        <v>28</v>
      </c>
      <c r="N10674" s="8">
        <v>41601</v>
      </c>
      <c r="O10674" s="9" t="s">
        <v>30</v>
      </c>
      <c r="P10674" s="12" t="s">
        <v>30151</v>
      </c>
      <c r="Q10674" s="9" t="s">
        <v>2168</v>
      </c>
      <c r="R10674" s="14" t="str">
        <f>HYPERLINK("https://my.pitchbook.com?c=86532-76T","View Company Online")</f>
        <v>View Company Online</v>
      </c>
    </row>
    <row r="10675" spans="1:18" hidden="1" x14ac:dyDescent="0.3">
      <c r="A10675" s="15" t="s">
        <v>30152</v>
      </c>
      <c r="B10675" s="15" t="s">
        <v>30153</v>
      </c>
      <c r="C10675" s="18" t="s">
        <v>28</v>
      </c>
      <c r="D10675" s="15" t="s">
        <v>30154</v>
      </c>
      <c r="E10675" s="18" t="s">
        <v>28</v>
      </c>
      <c r="F10675" s="19" t="s">
        <v>28</v>
      </c>
      <c r="G10675" s="19" t="s">
        <v>28</v>
      </c>
      <c r="H10675" s="19" t="s">
        <v>28</v>
      </c>
      <c r="I10675" s="18" t="s">
        <v>28</v>
      </c>
      <c r="J10675" s="18" t="s">
        <v>28</v>
      </c>
      <c r="K10675" s="18" t="s">
        <v>28</v>
      </c>
      <c r="L10675" s="18" t="s">
        <v>28</v>
      </c>
      <c r="M10675" s="18" t="s">
        <v>28</v>
      </c>
      <c r="N10675" s="17">
        <v>41600</v>
      </c>
      <c r="O10675" s="15" t="s">
        <v>173</v>
      </c>
      <c r="P10675" s="16" t="s">
        <v>28</v>
      </c>
      <c r="Q10675" s="15" t="s">
        <v>174</v>
      </c>
      <c r="R10675" s="13" t="str">
        <f>HYPERLINK("https://my.pitchbook.com?c=222913-09T","View Company Online")</f>
        <v>View Company Online</v>
      </c>
    </row>
    <row r="10676" spans="1:18" hidden="1" x14ac:dyDescent="0.3">
      <c r="A10676" s="9" t="s">
        <v>30155</v>
      </c>
      <c r="B10676" s="9" t="s">
        <v>18436</v>
      </c>
      <c r="C10676" s="11" t="s">
        <v>28</v>
      </c>
      <c r="D10676" s="9" t="s">
        <v>18437</v>
      </c>
      <c r="E10676" s="11" t="s">
        <v>28</v>
      </c>
      <c r="F10676" s="10" t="s">
        <v>28</v>
      </c>
      <c r="G10676" s="10" t="s">
        <v>28</v>
      </c>
      <c r="H10676" s="10" t="s">
        <v>28</v>
      </c>
      <c r="I10676" s="11" t="s">
        <v>28</v>
      </c>
      <c r="J10676" s="11" t="s">
        <v>28</v>
      </c>
      <c r="K10676" s="11" t="s">
        <v>28</v>
      </c>
      <c r="L10676" s="11" t="s">
        <v>28</v>
      </c>
      <c r="M10676" s="11" t="s">
        <v>28</v>
      </c>
      <c r="N10676" s="8">
        <v>41600</v>
      </c>
      <c r="O10676" s="9" t="s">
        <v>52</v>
      </c>
      <c r="P10676" s="12" t="s">
        <v>30156</v>
      </c>
      <c r="Q10676" s="9" t="s">
        <v>583</v>
      </c>
      <c r="R10676" s="14" t="str">
        <f>HYPERLINK("https://my.pitchbook.com?c=76062-43T","View Company Online")</f>
        <v>View Company Online</v>
      </c>
    </row>
    <row r="10677" spans="1:18" hidden="1" x14ac:dyDescent="0.3">
      <c r="A10677" s="15" t="s">
        <v>30157</v>
      </c>
      <c r="B10677" s="15" t="s">
        <v>30158</v>
      </c>
      <c r="C10677" s="18" t="s">
        <v>28</v>
      </c>
      <c r="D10677" s="15" t="s">
        <v>30159</v>
      </c>
      <c r="E10677" s="18" t="s">
        <v>28</v>
      </c>
      <c r="F10677" s="19" t="s">
        <v>28</v>
      </c>
      <c r="G10677" s="19" t="s">
        <v>28</v>
      </c>
      <c r="H10677" s="19" t="s">
        <v>28</v>
      </c>
      <c r="I10677" s="18" t="s">
        <v>28</v>
      </c>
      <c r="J10677" s="18" t="s">
        <v>28</v>
      </c>
      <c r="K10677" s="18" t="s">
        <v>28</v>
      </c>
      <c r="L10677" s="18" t="s">
        <v>28</v>
      </c>
      <c r="M10677" s="18" t="s">
        <v>28</v>
      </c>
      <c r="N10677" s="17">
        <v>41600</v>
      </c>
      <c r="O10677" s="15" t="s">
        <v>52</v>
      </c>
      <c r="P10677" s="16" t="s">
        <v>18449</v>
      </c>
      <c r="Q10677" s="15" t="s">
        <v>3912</v>
      </c>
      <c r="R10677" s="13" t="str">
        <f>HYPERLINK("https://my.pitchbook.com?c=55549-72T","View Company Online")</f>
        <v>View Company Online</v>
      </c>
    </row>
    <row r="10678" spans="1:18" hidden="1" x14ac:dyDescent="0.3">
      <c r="A10678" s="9" t="s">
        <v>30160</v>
      </c>
      <c r="B10678" s="9" t="s">
        <v>30161</v>
      </c>
      <c r="C10678" s="11" t="s">
        <v>28</v>
      </c>
      <c r="D10678" s="9" t="s">
        <v>30162</v>
      </c>
      <c r="E10678" s="11" t="s">
        <v>28</v>
      </c>
      <c r="F10678" s="10" t="s">
        <v>28</v>
      </c>
      <c r="G10678" s="10" t="s">
        <v>28</v>
      </c>
      <c r="H10678" s="10" t="s">
        <v>28</v>
      </c>
      <c r="I10678" s="11" t="s">
        <v>28</v>
      </c>
      <c r="J10678" s="11" t="s">
        <v>28</v>
      </c>
      <c r="K10678" s="11" t="s">
        <v>28</v>
      </c>
      <c r="L10678" s="11" t="s">
        <v>28</v>
      </c>
      <c r="M10678" s="11" t="s">
        <v>28</v>
      </c>
      <c r="N10678" s="8">
        <v>41600</v>
      </c>
      <c r="O10678" s="9" t="s">
        <v>52</v>
      </c>
      <c r="P10678" s="12" t="s">
        <v>18449</v>
      </c>
      <c r="Q10678" s="9" t="s">
        <v>607</v>
      </c>
      <c r="R10678" s="14" t="str">
        <f>HYPERLINK("https://my.pitchbook.com?c=55488-70T","View Company Online")</f>
        <v>View Company Online</v>
      </c>
    </row>
    <row r="10679" spans="1:18" hidden="1" x14ac:dyDescent="0.3">
      <c r="A10679" s="15" t="s">
        <v>30163</v>
      </c>
      <c r="B10679" s="15" t="s">
        <v>30164</v>
      </c>
      <c r="C10679" s="18" t="s">
        <v>28</v>
      </c>
      <c r="D10679" s="15" t="s">
        <v>30165</v>
      </c>
      <c r="E10679" s="18" t="s">
        <v>28</v>
      </c>
      <c r="F10679" s="19" t="s">
        <v>28</v>
      </c>
      <c r="G10679" s="19" t="s">
        <v>28</v>
      </c>
      <c r="H10679" s="19" t="s">
        <v>28</v>
      </c>
      <c r="I10679" s="18" t="s">
        <v>28</v>
      </c>
      <c r="J10679" s="18" t="s">
        <v>28</v>
      </c>
      <c r="K10679" s="18" t="s">
        <v>28</v>
      </c>
      <c r="L10679" s="18" t="s">
        <v>28</v>
      </c>
      <c r="M10679" s="18" t="s">
        <v>28</v>
      </c>
      <c r="N10679" s="17">
        <v>41600</v>
      </c>
      <c r="O10679" s="15" t="s">
        <v>52</v>
      </c>
      <c r="P10679" s="16" t="s">
        <v>18449</v>
      </c>
      <c r="Q10679" s="15" t="s">
        <v>95</v>
      </c>
      <c r="R10679" s="13" t="str">
        <f>HYPERLINK("https://my.pitchbook.com?c=55708-93T","View Company Online")</f>
        <v>View Company Online</v>
      </c>
    </row>
    <row r="10680" spans="1:18" hidden="1" x14ac:dyDescent="0.3">
      <c r="A10680" s="9" t="s">
        <v>30166</v>
      </c>
      <c r="B10680" s="9" t="s">
        <v>30167</v>
      </c>
      <c r="C10680" s="11" t="s">
        <v>28</v>
      </c>
      <c r="D10680" s="9" t="s">
        <v>30168</v>
      </c>
      <c r="E10680" s="11" t="s">
        <v>28</v>
      </c>
      <c r="F10680" s="10">
        <v>3.39</v>
      </c>
      <c r="G10680" s="10">
        <v>2.57</v>
      </c>
      <c r="H10680" s="10">
        <v>3.39</v>
      </c>
      <c r="I10680" s="11" t="s">
        <v>28</v>
      </c>
      <c r="J10680" s="11" t="s">
        <v>28</v>
      </c>
      <c r="K10680" s="11" t="s">
        <v>28</v>
      </c>
      <c r="L10680" s="11" t="s">
        <v>28</v>
      </c>
      <c r="M10680" s="11" t="s">
        <v>28</v>
      </c>
      <c r="N10680" s="8">
        <v>41599</v>
      </c>
      <c r="O10680" s="9" t="s">
        <v>30</v>
      </c>
      <c r="P10680" s="12" t="s">
        <v>30169</v>
      </c>
      <c r="Q10680" s="9" t="s">
        <v>880</v>
      </c>
      <c r="R10680" s="14" t="str">
        <f>HYPERLINK("https://my.pitchbook.com?c=89761-60T","View Company Online")</f>
        <v>View Company Online</v>
      </c>
    </row>
    <row r="10681" spans="1:18" hidden="1" x14ac:dyDescent="0.3">
      <c r="A10681" s="15" t="s">
        <v>30170</v>
      </c>
      <c r="B10681" s="15" t="s">
        <v>30171</v>
      </c>
      <c r="C10681" s="18" t="s">
        <v>28</v>
      </c>
      <c r="D10681" s="15" t="s">
        <v>30172</v>
      </c>
      <c r="E10681" s="18" t="s">
        <v>28</v>
      </c>
      <c r="F10681" s="19">
        <v>118.16</v>
      </c>
      <c r="G10681" s="19">
        <v>118.16</v>
      </c>
      <c r="H10681" s="19">
        <v>118.16</v>
      </c>
      <c r="I10681" s="18" t="s">
        <v>28</v>
      </c>
      <c r="J10681" s="18" t="s">
        <v>28</v>
      </c>
      <c r="K10681" s="18" t="s">
        <v>28</v>
      </c>
      <c r="L10681" s="18" t="s">
        <v>28</v>
      </c>
      <c r="M10681" s="18" t="s">
        <v>28</v>
      </c>
      <c r="N10681" s="17">
        <v>41598</v>
      </c>
      <c r="O10681" s="15" t="s">
        <v>30</v>
      </c>
      <c r="P10681" s="16" t="s">
        <v>30173</v>
      </c>
      <c r="Q10681" s="15" t="s">
        <v>85</v>
      </c>
      <c r="R10681" s="13" t="str">
        <f>HYPERLINK("https://my.pitchbook.com?c=70737-49T","View Company Online")</f>
        <v>View Company Online</v>
      </c>
    </row>
    <row r="10682" spans="1:18" hidden="1" x14ac:dyDescent="0.3">
      <c r="A10682" s="9" t="s">
        <v>30174</v>
      </c>
      <c r="B10682" s="9" t="s">
        <v>24851</v>
      </c>
      <c r="C10682" s="11" t="s">
        <v>28</v>
      </c>
      <c r="D10682" s="9" t="s">
        <v>24852</v>
      </c>
      <c r="E10682" s="11" t="s">
        <v>28</v>
      </c>
      <c r="F10682" s="10">
        <v>500</v>
      </c>
      <c r="G10682" s="10">
        <v>500</v>
      </c>
      <c r="H10682" s="10">
        <v>500</v>
      </c>
      <c r="I10682" s="11" t="s">
        <v>28</v>
      </c>
      <c r="J10682" s="11" t="s">
        <v>28</v>
      </c>
      <c r="K10682" s="11" t="s">
        <v>28</v>
      </c>
      <c r="L10682" s="11" t="s">
        <v>28</v>
      </c>
      <c r="M10682" s="11" t="s">
        <v>28</v>
      </c>
      <c r="N10682" s="8">
        <v>41598</v>
      </c>
      <c r="O10682" s="9" t="s">
        <v>30</v>
      </c>
      <c r="P10682" s="12" t="s">
        <v>28</v>
      </c>
      <c r="Q10682" s="9" t="s">
        <v>900</v>
      </c>
      <c r="R10682" s="14" t="str">
        <f>HYPERLINK("https://my.pitchbook.com?c=77391-73T","View Company Online")</f>
        <v>View Company Online</v>
      </c>
    </row>
    <row r="10683" spans="1:18" hidden="1" x14ac:dyDescent="0.3">
      <c r="A10683" s="15" t="s">
        <v>30175</v>
      </c>
      <c r="B10683" s="15" t="s">
        <v>30176</v>
      </c>
      <c r="C10683" s="18" t="s">
        <v>28</v>
      </c>
      <c r="D10683" s="15" t="s">
        <v>30177</v>
      </c>
      <c r="E10683" s="18" t="s">
        <v>28</v>
      </c>
      <c r="F10683" s="19">
        <v>51.86</v>
      </c>
      <c r="G10683" s="19">
        <v>31.11</v>
      </c>
      <c r="H10683" s="19">
        <v>51.86</v>
      </c>
      <c r="I10683" s="18" t="s">
        <v>28</v>
      </c>
      <c r="J10683" s="18" t="s">
        <v>28</v>
      </c>
      <c r="K10683" s="18" t="s">
        <v>28</v>
      </c>
      <c r="L10683" s="18" t="s">
        <v>28</v>
      </c>
      <c r="M10683" s="18" t="s">
        <v>28</v>
      </c>
      <c r="N10683" s="17">
        <v>41597</v>
      </c>
      <c r="O10683" s="15" t="s">
        <v>41</v>
      </c>
      <c r="P10683" s="16" t="s">
        <v>30178</v>
      </c>
      <c r="Q10683" s="15" t="s">
        <v>1007</v>
      </c>
      <c r="R10683" s="13" t="str">
        <f>HYPERLINK("https://my.pitchbook.com?c=70142-14T","View Company Online")</f>
        <v>View Company Online</v>
      </c>
    </row>
    <row r="10684" spans="1:18" hidden="1" x14ac:dyDescent="0.3">
      <c r="A10684" s="9" t="s">
        <v>30179</v>
      </c>
      <c r="B10684" s="9" t="s">
        <v>30180</v>
      </c>
      <c r="C10684" s="11" t="s">
        <v>28</v>
      </c>
      <c r="D10684" s="9" t="s">
        <v>30181</v>
      </c>
      <c r="E10684" s="11" t="s">
        <v>28</v>
      </c>
      <c r="F10684" s="10" t="s">
        <v>28</v>
      </c>
      <c r="G10684" s="10" t="s">
        <v>28</v>
      </c>
      <c r="H10684" s="10" t="s">
        <v>28</v>
      </c>
      <c r="I10684" s="11" t="s">
        <v>28</v>
      </c>
      <c r="J10684" s="11" t="s">
        <v>28</v>
      </c>
      <c r="K10684" s="11" t="s">
        <v>28</v>
      </c>
      <c r="L10684" s="11" t="s">
        <v>28</v>
      </c>
      <c r="M10684" s="11" t="s">
        <v>28</v>
      </c>
      <c r="N10684" s="8">
        <v>41597</v>
      </c>
      <c r="O10684" s="9" t="s">
        <v>30</v>
      </c>
      <c r="P10684" s="12" t="s">
        <v>30182</v>
      </c>
      <c r="Q10684" s="9" t="s">
        <v>3912</v>
      </c>
      <c r="R10684" s="14" t="str">
        <f>HYPERLINK("https://my.pitchbook.com?c=62899-48T","View Company Online")</f>
        <v>View Company Online</v>
      </c>
    </row>
    <row r="10685" spans="1:18" hidden="1" x14ac:dyDescent="0.3">
      <c r="A10685" s="15" t="s">
        <v>30183</v>
      </c>
      <c r="B10685" s="15" t="s">
        <v>30184</v>
      </c>
      <c r="C10685" s="18" t="s">
        <v>28</v>
      </c>
      <c r="D10685" s="15" t="s">
        <v>30185</v>
      </c>
      <c r="E10685" s="18" t="s">
        <v>28</v>
      </c>
      <c r="F10685" s="19" t="s">
        <v>28</v>
      </c>
      <c r="G10685" s="19">
        <v>0.04</v>
      </c>
      <c r="H10685" s="19" t="s">
        <v>28</v>
      </c>
      <c r="I10685" s="18" t="s">
        <v>28</v>
      </c>
      <c r="J10685" s="18" t="s">
        <v>28</v>
      </c>
      <c r="K10685" s="18" t="s">
        <v>28</v>
      </c>
      <c r="L10685" s="18" t="s">
        <v>28</v>
      </c>
      <c r="M10685" s="18" t="s">
        <v>28</v>
      </c>
      <c r="N10685" s="17">
        <v>41596</v>
      </c>
      <c r="O10685" s="15" t="s">
        <v>52</v>
      </c>
      <c r="P10685" s="16" t="s">
        <v>11539</v>
      </c>
      <c r="Q10685" s="15" t="s">
        <v>75</v>
      </c>
      <c r="R10685" s="13" t="str">
        <f>HYPERLINK("https://my.pitchbook.com?c=66118-15T","View Company Online")</f>
        <v>View Company Online</v>
      </c>
    </row>
    <row r="10686" spans="1:18" hidden="1" x14ac:dyDescent="0.3">
      <c r="A10686" s="9" t="s">
        <v>30186</v>
      </c>
      <c r="B10686" s="9" t="s">
        <v>30187</v>
      </c>
      <c r="C10686" s="11" t="s">
        <v>28</v>
      </c>
      <c r="D10686" s="9" t="s">
        <v>30188</v>
      </c>
      <c r="E10686" s="11" t="s">
        <v>28</v>
      </c>
      <c r="F10686" s="10" t="s">
        <v>28</v>
      </c>
      <c r="G10686" s="10">
        <v>0.04</v>
      </c>
      <c r="H10686" s="10" t="s">
        <v>28</v>
      </c>
      <c r="I10686" s="11" t="s">
        <v>28</v>
      </c>
      <c r="J10686" s="11" t="s">
        <v>28</v>
      </c>
      <c r="K10686" s="11" t="s">
        <v>28</v>
      </c>
      <c r="L10686" s="11" t="s">
        <v>28</v>
      </c>
      <c r="M10686" s="11" t="s">
        <v>28</v>
      </c>
      <c r="N10686" s="8">
        <v>41593</v>
      </c>
      <c r="O10686" s="9" t="s">
        <v>52</v>
      </c>
      <c r="P10686" s="12" t="s">
        <v>15600</v>
      </c>
      <c r="Q10686" s="9" t="s">
        <v>75</v>
      </c>
      <c r="R10686" s="14" t="str">
        <f>HYPERLINK("https://my.pitchbook.com?c=95731-66T","View Company Online")</f>
        <v>View Company Online</v>
      </c>
    </row>
    <row r="10687" spans="1:18" hidden="1" x14ac:dyDescent="0.3">
      <c r="A10687" s="15" t="s">
        <v>30189</v>
      </c>
      <c r="B10687" s="15" t="s">
        <v>30190</v>
      </c>
      <c r="C10687" s="18" t="s">
        <v>28</v>
      </c>
      <c r="D10687" s="15" t="s">
        <v>30191</v>
      </c>
      <c r="E10687" s="18" t="s">
        <v>28</v>
      </c>
      <c r="F10687" s="19" t="s">
        <v>28</v>
      </c>
      <c r="G10687" s="19">
        <v>0.04</v>
      </c>
      <c r="H10687" s="19" t="s">
        <v>28</v>
      </c>
      <c r="I10687" s="18" t="s">
        <v>28</v>
      </c>
      <c r="J10687" s="18" t="s">
        <v>28</v>
      </c>
      <c r="K10687" s="18" t="s">
        <v>28</v>
      </c>
      <c r="L10687" s="18" t="s">
        <v>28</v>
      </c>
      <c r="M10687" s="18" t="s">
        <v>28</v>
      </c>
      <c r="N10687" s="17">
        <v>41593</v>
      </c>
      <c r="O10687" s="15" t="s">
        <v>52</v>
      </c>
      <c r="P10687" s="16" t="s">
        <v>30192</v>
      </c>
      <c r="Q10687" s="15" t="s">
        <v>386</v>
      </c>
      <c r="R10687" s="13" t="str">
        <f>HYPERLINK("https://my.pitchbook.com?c=155852-20T","View Company Online")</f>
        <v>View Company Online</v>
      </c>
    </row>
    <row r="10688" spans="1:18" hidden="1" x14ac:dyDescent="0.3">
      <c r="A10688" s="9" t="s">
        <v>30193</v>
      </c>
      <c r="B10688" s="9" t="s">
        <v>30194</v>
      </c>
      <c r="C10688" s="11" t="s">
        <v>28</v>
      </c>
      <c r="D10688" s="9" t="s">
        <v>30195</v>
      </c>
      <c r="E10688" s="11" t="s">
        <v>28</v>
      </c>
      <c r="F10688" s="10" t="s">
        <v>28</v>
      </c>
      <c r="G10688" s="10">
        <v>0.03</v>
      </c>
      <c r="H10688" s="10" t="s">
        <v>28</v>
      </c>
      <c r="I10688" s="11" t="s">
        <v>28</v>
      </c>
      <c r="J10688" s="11" t="s">
        <v>28</v>
      </c>
      <c r="K10688" s="11" t="s">
        <v>28</v>
      </c>
      <c r="L10688" s="11" t="s">
        <v>28</v>
      </c>
      <c r="M10688" s="11" t="s">
        <v>28</v>
      </c>
      <c r="N10688" s="8">
        <v>41593</v>
      </c>
      <c r="O10688" s="9" t="s">
        <v>52</v>
      </c>
      <c r="P10688" s="12" t="s">
        <v>30192</v>
      </c>
      <c r="Q10688" s="9" t="s">
        <v>136</v>
      </c>
      <c r="R10688" s="14" t="str">
        <f>HYPERLINK("https://my.pitchbook.com?c=141378-31T","View Company Online")</f>
        <v>View Company Online</v>
      </c>
    </row>
    <row r="10689" spans="1:18" hidden="1" x14ac:dyDescent="0.3">
      <c r="A10689" s="15" t="s">
        <v>30196</v>
      </c>
      <c r="B10689" s="15" t="s">
        <v>30197</v>
      </c>
      <c r="C10689" s="18" t="s">
        <v>28</v>
      </c>
      <c r="D10689" s="15" t="s">
        <v>30198</v>
      </c>
      <c r="E10689" s="18" t="s">
        <v>28</v>
      </c>
      <c r="F10689" s="19" t="s">
        <v>28</v>
      </c>
      <c r="G10689" s="19">
        <v>0.04</v>
      </c>
      <c r="H10689" s="19" t="s">
        <v>28</v>
      </c>
      <c r="I10689" s="18" t="s">
        <v>28</v>
      </c>
      <c r="J10689" s="18" t="s">
        <v>28</v>
      </c>
      <c r="K10689" s="18" t="s">
        <v>28</v>
      </c>
      <c r="L10689" s="18" t="s">
        <v>28</v>
      </c>
      <c r="M10689" s="18" t="s">
        <v>28</v>
      </c>
      <c r="N10689" s="17">
        <v>41593</v>
      </c>
      <c r="O10689" s="15" t="s">
        <v>52</v>
      </c>
      <c r="P10689" s="16" t="s">
        <v>15600</v>
      </c>
      <c r="Q10689" s="15" t="s">
        <v>386</v>
      </c>
      <c r="R10689" s="13" t="str">
        <f>HYPERLINK("https://my.pitchbook.com?c=141391-81T","View Company Online")</f>
        <v>View Company Online</v>
      </c>
    </row>
    <row r="10690" spans="1:18" hidden="1" x14ac:dyDescent="0.3">
      <c r="A10690" s="9" t="s">
        <v>30199</v>
      </c>
      <c r="B10690" s="9" t="s">
        <v>26332</v>
      </c>
      <c r="C10690" s="11" t="s">
        <v>28</v>
      </c>
      <c r="D10690" s="9" t="s">
        <v>26333</v>
      </c>
      <c r="E10690" s="11" t="s">
        <v>28</v>
      </c>
      <c r="F10690" s="10" t="s">
        <v>28</v>
      </c>
      <c r="G10690" s="10" t="s">
        <v>28</v>
      </c>
      <c r="H10690" s="10" t="s">
        <v>28</v>
      </c>
      <c r="I10690" s="11" t="s">
        <v>28</v>
      </c>
      <c r="J10690" s="11" t="s">
        <v>28</v>
      </c>
      <c r="K10690" s="11" t="s">
        <v>28</v>
      </c>
      <c r="L10690" s="11" t="s">
        <v>28</v>
      </c>
      <c r="M10690" s="11" t="s">
        <v>28</v>
      </c>
      <c r="N10690" s="8">
        <v>41593</v>
      </c>
      <c r="O10690" s="9" t="s">
        <v>52</v>
      </c>
      <c r="P10690" s="12" t="s">
        <v>15600</v>
      </c>
      <c r="Q10690" s="9" t="s">
        <v>75</v>
      </c>
      <c r="R10690" s="14" t="str">
        <f>HYPERLINK("https://my.pitchbook.com?c=156029-68T","View Company Online")</f>
        <v>View Company Online</v>
      </c>
    </row>
    <row r="10691" spans="1:18" hidden="1" x14ac:dyDescent="0.3">
      <c r="A10691" s="15" t="s">
        <v>30200</v>
      </c>
      <c r="B10691" s="15" t="s">
        <v>28395</v>
      </c>
      <c r="C10691" s="18" t="s">
        <v>28</v>
      </c>
      <c r="D10691" s="15" t="s">
        <v>28396</v>
      </c>
      <c r="E10691" s="18" t="s">
        <v>28</v>
      </c>
      <c r="F10691" s="19" t="s">
        <v>28</v>
      </c>
      <c r="G10691" s="19">
        <v>0.04</v>
      </c>
      <c r="H10691" s="19" t="s">
        <v>28</v>
      </c>
      <c r="I10691" s="18" t="s">
        <v>28</v>
      </c>
      <c r="J10691" s="18" t="s">
        <v>28</v>
      </c>
      <c r="K10691" s="18" t="s">
        <v>28</v>
      </c>
      <c r="L10691" s="18" t="s">
        <v>28</v>
      </c>
      <c r="M10691" s="18" t="s">
        <v>28</v>
      </c>
      <c r="N10691" s="17">
        <v>41592</v>
      </c>
      <c r="O10691" s="15" t="s">
        <v>52</v>
      </c>
      <c r="P10691" s="16" t="s">
        <v>30201</v>
      </c>
      <c r="Q10691" s="15" t="s">
        <v>386</v>
      </c>
      <c r="R10691" s="13" t="str">
        <f>HYPERLINK("https://my.pitchbook.com?c=62784-28T","View Company Online")</f>
        <v>View Company Online</v>
      </c>
    </row>
    <row r="10692" spans="1:18" hidden="1" x14ac:dyDescent="0.3">
      <c r="A10692" s="9" t="s">
        <v>30202</v>
      </c>
      <c r="B10692" s="9" t="s">
        <v>7135</v>
      </c>
      <c r="C10692" s="11" t="s">
        <v>28</v>
      </c>
      <c r="D10692" s="9" t="s">
        <v>7136</v>
      </c>
      <c r="E10692" s="11" t="s">
        <v>28</v>
      </c>
      <c r="F10692" s="10" t="s">
        <v>28</v>
      </c>
      <c r="G10692" s="10">
        <v>0.01</v>
      </c>
      <c r="H10692" s="10" t="s">
        <v>28</v>
      </c>
      <c r="I10692" s="11" t="s">
        <v>28</v>
      </c>
      <c r="J10692" s="11" t="s">
        <v>28</v>
      </c>
      <c r="K10692" s="11" t="s">
        <v>28</v>
      </c>
      <c r="L10692" s="11" t="s">
        <v>28</v>
      </c>
      <c r="M10692" s="11" t="s">
        <v>28</v>
      </c>
      <c r="N10692" s="8">
        <v>41592</v>
      </c>
      <c r="O10692" s="9" t="s">
        <v>52</v>
      </c>
      <c r="P10692" s="12" t="s">
        <v>15600</v>
      </c>
      <c r="Q10692" s="9" t="s">
        <v>75</v>
      </c>
      <c r="R10692" s="14" t="str">
        <f>HYPERLINK("https://my.pitchbook.com?c=85330-81T","View Company Online")</f>
        <v>View Company Online</v>
      </c>
    </row>
    <row r="10693" spans="1:18" hidden="1" x14ac:dyDescent="0.3">
      <c r="A10693" s="15" t="s">
        <v>30203</v>
      </c>
      <c r="B10693" s="15" t="s">
        <v>30204</v>
      </c>
      <c r="C10693" s="18" t="s">
        <v>28</v>
      </c>
      <c r="D10693" s="15" t="s">
        <v>30205</v>
      </c>
      <c r="E10693" s="18" t="s">
        <v>28</v>
      </c>
      <c r="F10693" s="19" t="s">
        <v>28</v>
      </c>
      <c r="G10693" s="19">
        <v>0.04</v>
      </c>
      <c r="H10693" s="19" t="s">
        <v>28</v>
      </c>
      <c r="I10693" s="18" t="s">
        <v>28</v>
      </c>
      <c r="J10693" s="18" t="s">
        <v>28</v>
      </c>
      <c r="K10693" s="18" t="s">
        <v>28</v>
      </c>
      <c r="L10693" s="18" t="s">
        <v>28</v>
      </c>
      <c r="M10693" s="18" t="s">
        <v>28</v>
      </c>
      <c r="N10693" s="17">
        <v>41592</v>
      </c>
      <c r="O10693" s="15" t="s">
        <v>52</v>
      </c>
      <c r="P10693" s="16" t="s">
        <v>15600</v>
      </c>
      <c r="Q10693" s="15" t="s">
        <v>75</v>
      </c>
      <c r="R10693" s="13" t="str">
        <f>HYPERLINK("https://my.pitchbook.com?c=141047-29T","View Company Online")</f>
        <v>View Company Online</v>
      </c>
    </row>
    <row r="10694" spans="1:18" hidden="1" x14ac:dyDescent="0.3">
      <c r="A10694" s="9" t="s">
        <v>30206</v>
      </c>
      <c r="B10694" s="9" t="s">
        <v>30207</v>
      </c>
      <c r="C10694" s="11" t="s">
        <v>28</v>
      </c>
      <c r="D10694" s="9" t="s">
        <v>30208</v>
      </c>
      <c r="E10694" s="11" t="s">
        <v>28</v>
      </c>
      <c r="F10694" s="10" t="s">
        <v>28</v>
      </c>
      <c r="G10694" s="10">
        <v>0.04</v>
      </c>
      <c r="H10694" s="10" t="s">
        <v>28</v>
      </c>
      <c r="I10694" s="11" t="s">
        <v>28</v>
      </c>
      <c r="J10694" s="11" t="s">
        <v>28</v>
      </c>
      <c r="K10694" s="11" t="s">
        <v>28</v>
      </c>
      <c r="L10694" s="11" t="s">
        <v>28</v>
      </c>
      <c r="M10694" s="11" t="s">
        <v>28</v>
      </c>
      <c r="N10694" s="8">
        <v>41592</v>
      </c>
      <c r="O10694" s="9" t="s">
        <v>52</v>
      </c>
      <c r="P10694" s="12" t="s">
        <v>15600</v>
      </c>
      <c r="Q10694" s="9" t="s">
        <v>583</v>
      </c>
      <c r="R10694" s="14" t="str">
        <f>HYPERLINK("https://my.pitchbook.com?c=149061-25T","View Company Online")</f>
        <v>View Company Online</v>
      </c>
    </row>
    <row r="10695" spans="1:18" hidden="1" x14ac:dyDescent="0.3">
      <c r="A10695" s="15" t="s">
        <v>30209</v>
      </c>
      <c r="B10695" s="15" t="s">
        <v>30210</v>
      </c>
      <c r="C10695" s="18" t="s">
        <v>28</v>
      </c>
      <c r="D10695" s="15" t="s">
        <v>30211</v>
      </c>
      <c r="E10695" s="18" t="s">
        <v>28</v>
      </c>
      <c r="F10695" s="19" t="s">
        <v>28</v>
      </c>
      <c r="G10695" s="19">
        <v>0.04</v>
      </c>
      <c r="H10695" s="19" t="s">
        <v>28</v>
      </c>
      <c r="I10695" s="18" t="s">
        <v>28</v>
      </c>
      <c r="J10695" s="18" t="s">
        <v>28</v>
      </c>
      <c r="K10695" s="18" t="s">
        <v>28</v>
      </c>
      <c r="L10695" s="18" t="s">
        <v>28</v>
      </c>
      <c r="M10695" s="18" t="s">
        <v>28</v>
      </c>
      <c r="N10695" s="17">
        <v>41592</v>
      </c>
      <c r="O10695" s="15" t="s">
        <v>52</v>
      </c>
      <c r="P10695" s="16" t="s">
        <v>15600</v>
      </c>
      <c r="Q10695" s="15" t="s">
        <v>386</v>
      </c>
      <c r="R10695" s="13" t="str">
        <f>HYPERLINK("https://my.pitchbook.com?c=132282-46T","View Company Online")</f>
        <v>View Company Online</v>
      </c>
    </row>
    <row r="10696" spans="1:18" hidden="1" x14ac:dyDescent="0.3">
      <c r="A10696" s="9" t="s">
        <v>30212</v>
      </c>
      <c r="B10696" s="9" t="s">
        <v>27032</v>
      </c>
      <c r="C10696" s="11" t="s">
        <v>28</v>
      </c>
      <c r="D10696" s="9" t="s">
        <v>27033</v>
      </c>
      <c r="E10696" s="11" t="s">
        <v>28</v>
      </c>
      <c r="F10696" s="10" t="s">
        <v>28</v>
      </c>
      <c r="G10696" s="10">
        <v>0.04</v>
      </c>
      <c r="H10696" s="10" t="s">
        <v>28</v>
      </c>
      <c r="I10696" s="11" t="s">
        <v>28</v>
      </c>
      <c r="J10696" s="11" t="s">
        <v>28</v>
      </c>
      <c r="K10696" s="11" t="s">
        <v>28</v>
      </c>
      <c r="L10696" s="11" t="s">
        <v>28</v>
      </c>
      <c r="M10696" s="11" t="s">
        <v>28</v>
      </c>
      <c r="N10696" s="8">
        <v>41592</v>
      </c>
      <c r="O10696" s="9" t="s">
        <v>52</v>
      </c>
      <c r="P10696" s="12" t="s">
        <v>15600</v>
      </c>
      <c r="Q10696" s="9" t="s">
        <v>880</v>
      </c>
      <c r="R10696" s="14" t="str">
        <f>HYPERLINK("https://my.pitchbook.com?c=149065-66T","View Company Online")</f>
        <v>View Company Online</v>
      </c>
    </row>
    <row r="10697" spans="1:18" hidden="1" x14ac:dyDescent="0.3">
      <c r="A10697" s="15" t="s">
        <v>30213</v>
      </c>
      <c r="B10697" s="15" t="s">
        <v>30214</v>
      </c>
      <c r="C10697" s="18" t="s">
        <v>28</v>
      </c>
      <c r="D10697" s="15" t="s">
        <v>30215</v>
      </c>
      <c r="E10697" s="18" t="s">
        <v>28</v>
      </c>
      <c r="F10697" s="19" t="s">
        <v>28</v>
      </c>
      <c r="G10697" s="19" t="s">
        <v>28</v>
      </c>
      <c r="H10697" s="19" t="s">
        <v>28</v>
      </c>
      <c r="I10697" s="18" t="s">
        <v>28</v>
      </c>
      <c r="J10697" s="18" t="s">
        <v>28</v>
      </c>
      <c r="K10697" s="18" t="s">
        <v>28</v>
      </c>
      <c r="L10697" s="18" t="s">
        <v>28</v>
      </c>
      <c r="M10697" s="18" t="s">
        <v>28</v>
      </c>
      <c r="N10697" s="17">
        <v>41592</v>
      </c>
      <c r="O10697" s="15" t="s">
        <v>52</v>
      </c>
      <c r="P10697" s="16" t="s">
        <v>4500</v>
      </c>
      <c r="Q10697" s="15" t="s">
        <v>583</v>
      </c>
      <c r="R10697" s="13" t="str">
        <f>HYPERLINK("https://my.pitchbook.com?c=250755-22T","View Company Online")</f>
        <v>View Company Online</v>
      </c>
    </row>
    <row r="10698" spans="1:18" hidden="1" x14ac:dyDescent="0.3">
      <c r="A10698" s="9" t="s">
        <v>30216</v>
      </c>
      <c r="B10698" s="9" t="s">
        <v>29504</v>
      </c>
      <c r="C10698" s="11" t="s">
        <v>28</v>
      </c>
      <c r="D10698" s="9" t="s">
        <v>29505</v>
      </c>
      <c r="E10698" s="11" t="s">
        <v>28</v>
      </c>
      <c r="F10698" s="10" t="s">
        <v>28</v>
      </c>
      <c r="G10698" s="10" t="s">
        <v>28</v>
      </c>
      <c r="H10698" s="10" t="s">
        <v>28</v>
      </c>
      <c r="I10698" s="11" t="s">
        <v>28</v>
      </c>
      <c r="J10698" s="11" t="s">
        <v>28</v>
      </c>
      <c r="K10698" s="11" t="s">
        <v>28</v>
      </c>
      <c r="L10698" s="11" t="s">
        <v>28</v>
      </c>
      <c r="M10698" s="11" t="s">
        <v>28</v>
      </c>
      <c r="N10698" s="8">
        <v>41592</v>
      </c>
      <c r="O10698" s="9" t="s">
        <v>52</v>
      </c>
      <c r="P10698" s="12" t="s">
        <v>30192</v>
      </c>
      <c r="Q10698" s="9" t="s">
        <v>740</v>
      </c>
      <c r="R10698" s="14" t="str">
        <f>HYPERLINK("https://my.pitchbook.com?c=156048-22T","View Company Online")</f>
        <v>View Company Online</v>
      </c>
    </row>
    <row r="10699" spans="1:18" hidden="1" x14ac:dyDescent="0.3">
      <c r="A10699" s="15" t="s">
        <v>30217</v>
      </c>
      <c r="B10699" s="15" t="s">
        <v>7560</v>
      </c>
      <c r="C10699" s="18" t="s">
        <v>28</v>
      </c>
      <c r="D10699" s="15" t="s">
        <v>7561</v>
      </c>
      <c r="E10699" s="18" t="s">
        <v>28</v>
      </c>
      <c r="F10699" s="19" t="s">
        <v>28</v>
      </c>
      <c r="G10699" s="19">
        <v>150</v>
      </c>
      <c r="H10699" s="19" t="s">
        <v>28</v>
      </c>
      <c r="I10699" s="18" t="s">
        <v>28</v>
      </c>
      <c r="J10699" s="18" t="s">
        <v>28</v>
      </c>
      <c r="K10699" s="18" t="s">
        <v>28</v>
      </c>
      <c r="L10699" s="18" t="s">
        <v>28</v>
      </c>
      <c r="M10699" s="18" t="s">
        <v>28</v>
      </c>
      <c r="N10699" s="17">
        <v>41589</v>
      </c>
      <c r="O10699" s="15" t="s">
        <v>93</v>
      </c>
      <c r="P10699" s="16" t="s">
        <v>30218</v>
      </c>
      <c r="Q10699" s="15" t="s">
        <v>470</v>
      </c>
      <c r="R10699" s="13" t="str">
        <f>HYPERLINK("https://my.pitchbook.com?c=29590-84T","View Company Online")</f>
        <v>View Company Online</v>
      </c>
    </row>
    <row r="10700" spans="1:18" hidden="1" x14ac:dyDescent="0.3">
      <c r="A10700" s="9" t="s">
        <v>30219</v>
      </c>
      <c r="B10700" s="9" t="s">
        <v>26229</v>
      </c>
      <c r="C10700" s="11" t="s">
        <v>28</v>
      </c>
      <c r="D10700" s="9" t="s">
        <v>26230</v>
      </c>
      <c r="E10700" s="11" t="s">
        <v>28</v>
      </c>
      <c r="F10700" s="10" t="s">
        <v>28</v>
      </c>
      <c r="G10700" s="10">
        <v>0.15</v>
      </c>
      <c r="H10700" s="10" t="s">
        <v>28</v>
      </c>
      <c r="I10700" s="11" t="s">
        <v>28</v>
      </c>
      <c r="J10700" s="11" t="s">
        <v>28</v>
      </c>
      <c r="K10700" s="11" t="s">
        <v>28</v>
      </c>
      <c r="L10700" s="11" t="s">
        <v>28</v>
      </c>
      <c r="M10700" s="11" t="s">
        <v>28</v>
      </c>
      <c r="N10700" s="8">
        <v>41586</v>
      </c>
      <c r="O10700" s="9" t="s">
        <v>52</v>
      </c>
      <c r="P10700" s="12" t="s">
        <v>30220</v>
      </c>
      <c r="Q10700" s="9" t="s">
        <v>3912</v>
      </c>
      <c r="R10700" s="14" t="str">
        <f>HYPERLINK("https://my.pitchbook.com?c=73140-22T","View Company Online")</f>
        <v>View Company Online</v>
      </c>
    </row>
    <row r="10701" spans="1:18" hidden="1" x14ac:dyDescent="0.3">
      <c r="A10701" s="15" t="s">
        <v>30221</v>
      </c>
      <c r="B10701" s="15" t="s">
        <v>30222</v>
      </c>
      <c r="C10701" s="18" t="s">
        <v>28</v>
      </c>
      <c r="D10701" s="15" t="s">
        <v>30223</v>
      </c>
      <c r="E10701" s="18" t="s">
        <v>28</v>
      </c>
      <c r="F10701" s="19" t="s">
        <v>28</v>
      </c>
      <c r="G10701" s="19" t="s">
        <v>28</v>
      </c>
      <c r="H10701" s="19" t="s">
        <v>28</v>
      </c>
      <c r="I10701" s="18" t="s">
        <v>28</v>
      </c>
      <c r="J10701" s="18" t="s">
        <v>28</v>
      </c>
      <c r="K10701" s="18">
        <v>5.09</v>
      </c>
      <c r="L10701" s="18" t="s">
        <v>28</v>
      </c>
      <c r="M10701" s="18" t="s">
        <v>28</v>
      </c>
      <c r="N10701" s="17">
        <v>41585</v>
      </c>
      <c r="O10701" s="15" t="s">
        <v>30</v>
      </c>
      <c r="P10701" s="16" t="s">
        <v>30224</v>
      </c>
      <c r="Q10701" s="15" t="s">
        <v>75</v>
      </c>
      <c r="R10701" s="13" t="str">
        <f>HYPERLINK("https://my.pitchbook.com?c=67878-46T","View Company Online")</f>
        <v>View Company Online</v>
      </c>
    </row>
    <row r="10702" spans="1:18" hidden="1" x14ac:dyDescent="0.3">
      <c r="A10702" s="9" t="s">
        <v>30225</v>
      </c>
      <c r="B10702" s="9" t="s">
        <v>30226</v>
      </c>
      <c r="C10702" s="11" t="s">
        <v>28</v>
      </c>
      <c r="D10702" s="9" t="s">
        <v>30227</v>
      </c>
      <c r="E10702" s="11" t="s">
        <v>28</v>
      </c>
      <c r="F10702" s="10" t="s">
        <v>28</v>
      </c>
      <c r="G10702" s="10" t="s">
        <v>28</v>
      </c>
      <c r="H10702" s="10" t="s">
        <v>28</v>
      </c>
      <c r="I10702" s="11" t="s">
        <v>28</v>
      </c>
      <c r="J10702" s="11" t="s">
        <v>28</v>
      </c>
      <c r="K10702" s="11" t="s">
        <v>28</v>
      </c>
      <c r="L10702" s="11" t="s">
        <v>28</v>
      </c>
      <c r="M10702" s="11" t="s">
        <v>28</v>
      </c>
      <c r="N10702" s="8">
        <v>41583</v>
      </c>
      <c r="O10702" s="9" t="s">
        <v>58</v>
      </c>
      <c r="P10702" s="12" t="s">
        <v>30228</v>
      </c>
      <c r="Q10702" s="9" t="s">
        <v>299</v>
      </c>
      <c r="R10702" s="14" t="str">
        <f>HYPERLINK("https://my.pitchbook.com?c=39032-47T","View Company Online")</f>
        <v>View Company Online</v>
      </c>
    </row>
    <row r="10703" spans="1:18" hidden="1" x14ac:dyDescent="0.3">
      <c r="A10703" s="15" t="s">
        <v>30229</v>
      </c>
      <c r="B10703" s="15" t="s">
        <v>30230</v>
      </c>
      <c r="C10703" s="18" t="s">
        <v>28</v>
      </c>
      <c r="D10703" s="15" t="s">
        <v>30231</v>
      </c>
      <c r="E10703" s="18" t="s">
        <v>28</v>
      </c>
      <c r="F10703" s="19">
        <v>3</v>
      </c>
      <c r="G10703" s="19">
        <v>3</v>
      </c>
      <c r="H10703" s="19">
        <v>3</v>
      </c>
      <c r="I10703" s="18" t="s">
        <v>28</v>
      </c>
      <c r="J10703" s="18" t="s">
        <v>28</v>
      </c>
      <c r="K10703" s="18" t="s">
        <v>28</v>
      </c>
      <c r="L10703" s="18" t="s">
        <v>28</v>
      </c>
      <c r="M10703" s="18" t="s">
        <v>28</v>
      </c>
      <c r="N10703" s="17">
        <v>41583</v>
      </c>
      <c r="O10703" s="15" t="s">
        <v>30</v>
      </c>
      <c r="P10703" s="16" t="s">
        <v>30232</v>
      </c>
      <c r="Q10703" s="15" t="s">
        <v>3912</v>
      </c>
      <c r="R10703" s="13" t="str">
        <f>HYPERLINK("https://my.pitchbook.com?c=54636-94T","View Company Online")</f>
        <v>View Company Online</v>
      </c>
    </row>
    <row r="10704" spans="1:18" hidden="1" x14ac:dyDescent="0.3">
      <c r="A10704" s="9" t="s">
        <v>30233</v>
      </c>
      <c r="B10704" s="9" t="s">
        <v>30234</v>
      </c>
      <c r="C10704" s="11" t="s">
        <v>28</v>
      </c>
      <c r="D10704" s="9" t="s">
        <v>30235</v>
      </c>
      <c r="E10704" s="11" t="s">
        <v>28</v>
      </c>
      <c r="F10704" s="10">
        <v>106.37</v>
      </c>
      <c r="G10704" s="10">
        <v>106.37</v>
      </c>
      <c r="H10704" s="10">
        <v>106.37</v>
      </c>
      <c r="I10704" s="11" t="s">
        <v>28</v>
      </c>
      <c r="J10704" s="11" t="s">
        <v>28</v>
      </c>
      <c r="K10704" s="11" t="s">
        <v>28</v>
      </c>
      <c r="L10704" s="11" t="s">
        <v>28</v>
      </c>
      <c r="M10704" s="11" t="s">
        <v>28</v>
      </c>
      <c r="N10704" s="8">
        <v>41582</v>
      </c>
      <c r="O10704" s="9" t="s">
        <v>30</v>
      </c>
      <c r="P10704" s="12" t="s">
        <v>30236</v>
      </c>
      <c r="Q10704" s="9" t="s">
        <v>470</v>
      </c>
      <c r="R10704" s="14" t="str">
        <f>HYPERLINK("https://my.pitchbook.com?c=88357-06T","View Company Online")</f>
        <v>View Company Online</v>
      </c>
    </row>
    <row r="10705" spans="1:18" hidden="1" x14ac:dyDescent="0.3">
      <c r="A10705" s="15" t="s">
        <v>30237</v>
      </c>
      <c r="B10705" s="15" t="s">
        <v>22752</v>
      </c>
      <c r="C10705" s="18" t="s">
        <v>28</v>
      </c>
      <c r="D10705" s="15" t="s">
        <v>23133</v>
      </c>
      <c r="E10705" s="18" t="s">
        <v>28</v>
      </c>
      <c r="F10705" s="19" t="s">
        <v>28</v>
      </c>
      <c r="G10705" s="19">
        <v>11</v>
      </c>
      <c r="H10705" s="19" t="s">
        <v>28</v>
      </c>
      <c r="I10705" s="18" t="s">
        <v>28</v>
      </c>
      <c r="J10705" s="18" t="s">
        <v>28</v>
      </c>
      <c r="K10705" s="18" t="s">
        <v>28</v>
      </c>
      <c r="L10705" s="18" t="s">
        <v>28</v>
      </c>
      <c r="M10705" s="18" t="s">
        <v>28</v>
      </c>
      <c r="N10705" s="17">
        <v>41582</v>
      </c>
      <c r="O10705" s="15" t="s">
        <v>73</v>
      </c>
      <c r="P10705" s="16" t="s">
        <v>30238</v>
      </c>
      <c r="Q10705" s="15" t="s">
        <v>75</v>
      </c>
      <c r="R10705" s="13" t="str">
        <f>HYPERLINK("https://my.pitchbook.com?c=29467-90T","View Company Online")</f>
        <v>View Company Online</v>
      </c>
    </row>
    <row r="10706" spans="1:18" hidden="1" x14ac:dyDescent="0.3">
      <c r="A10706" s="9" t="s">
        <v>30239</v>
      </c>
      <c r="B10706" s="9" t="s">
        <v>16423</v>
      </c>
      <c r="C10706" s="11" t="s">
        <v>28</v>
      </c>
      <c r="D10706" s="9" t="s">
        <v>16424</v>
      </c>
      <c r="E10706" s="11" t="s">
        <v>28</v>
      </c>
      <c r="F10706" s="10" t="s">
        <v>28</v>
      </c>
      <c r="G10706" s="10">
        <v>4.59</v>
      </c>
      <c r="H10706" s="10" t="s">
        <v>28</v>
      </c>
      <c r="I10706" s="11" t="s">
        <v>28</v>
      </c>
      <c r="J10706" s="11" t="s">
        <v>28</v>
      </c>
      <c r="K10706" s="11" t="s">
        <v>28</v>
      </c>
      <c r="L10706" s="11" t="s">
        <v>28</v>
      </c>
      <c r="M10706" s="11" t="s">
        <v>28</v>
      </c>
      <c r="N10706" s="8">
        <v>41582</v>
      </c>
      <c r="O10706" s="9" t="s">
        <v>73</v>
      </c>
      <c r="P10706" s="12" t="s">
        <v>19170</v>
      </c>
      <c r="Q10706" s="9" t="s">
        <v>409</v>
      </c>
      <c r="R10706" s="14" t="str">
        <f>HYPERLINK("https://my.pitchbook.com?c=33598-45T","View Company Online")</f>
        <v>View Company Online</v>
      </c>
    </row>
    <row r="10707" spans="1:18" hidden="1" x14ac:dyDescent="0.3">
      <c r="A10707" s="15" t="s">
        <v>30240</v>
      </c>
      <c r="B10707" s="15" t="s">
        <v>4468</v>
      </c>
      <c r="C10707" s="18" t="s">
        <v>28</v>
      </c>
      <c r="D10707" s="15" t="s">
        <v>16720</v>
      </c>
      <c r="E10707" s="18">
        <v>6609.79</v>
      </c>
      <c r="F10707" s="19" t="s">
        <v>28</v>
      </c>
      <c r="G10707" s="19" t="s">
        <v>28</v>
      </c>
      <c r="H10707" s="19" t="s">
        <v>28</v>
      </c>
      <c r="I10707" s="18">
        <v>7620.17</v>
      </c>
      <c r="J10707" s="18" t="s">
        <v>28</v>
      </c>
      <c r="K10707" s="18">
        <v>16292.28</v>
      </c>
      <c r="L10707" s="18" t="s">
        <v>28</v>
      </c>
      <c r="M10707" s="18">
        <v>3400.37</v>
      </c>
      <c r="N10707" s="17">
        <v>41579</v>
      </c>
      <c r="O10707" s="15" t="s">
        <v>173</v>
      </c>
      <c r="P10707" s="16" t="s">
        <v>28</v>
      </c>
      <c r="Q10707" s="15" t="s">
        <v>105</v>
      </c>
      <c r="R10707" s="13" t="str">
        <f>HYPERLINK("https://my.pitchbook.com?c=182796-85T","View Company Online")</f>
        <v>View Company Online</v>
      </c>
    </row>
    <row r="10708" spans="1:18" hidden="1" x14ac:dyDescent="0.3">
      <c r="A10708" s="9" t="s">
        <v>30241</v>
      </c>
      <c r="B10708" s="9" t="s">
        <v>30242</v>
      </c>
      <c r="C10708" s="11" t="s">
        <v>28</v>
      </c>
      <c r="D10708" s="9" t="s">
        <v>30243</v>
      </c>
      <c r="E10708" s="11" t="s">
        <v>28</v>
      </c>
      <c r="F10708" s="10" t="s">
        <v>28</v>
      </c>
      <c r="G10708" s="10" t="s">
        <v>28</v>
      </c>
      <c r="H10708" s="10" t="s">
        <v>28</v>
      </c>
      <c r="I10708" s="11" t="s">
        <v>28</v>
      </c>
      <c r="J10708" s="11" t="s">
        <v>28</v>
      </c>
      <c r="K10708" s="11" t="s">
        <v>28</v>
      </c>
      <c r="L10708" s="11" t="s">
        <v>28</v>
      </c>
      <c r="M10708" s="11" t="s">
        <v>28</v>
      </c>
      <c r="N10708" s="8">
        <v>41579</v>
      </c>
      <c r="O10708" s="9" t="s">
        <v>73</v>
      </c>
      <c r="P10708" s="12" t="s">
        <v>30244</v>
      </c>
      <c r="Q10708" s="9" t="s">
        <v>4753</v>
      </c>
      <c r="R10708" s="14" t="str">
        <f>HYPERLINK("https://my.pitchbook.com?c=25617-07T","View Company Online")</f>
        <v>View Company Online</v>
      </c>
    </row>
    <row r="10709" spans="1:18" hidden="1" x14ac:dyDescent="0.3">
      <c r="A10709" s="15" t="s">
        <v>30245</v>
      </c>
      <c r="B10709" s="15" t="s">
        <v>30246</v>
      </c>
      <c r="C10709" s="18" t="s">
        <v>28</v>
      </c>
      <c r="D10709" s="15" t="s">
        <v>30247</v>
      </c>
      <c r="E10709" s="18" t="s">
        <v>28</v>
      </c>
      <c r="F10709" s="19" t="s">
        <v>28</v>
      </c>
      <c r="G10709" s="19" t="s">
        <v>28</v>
      </c>
      <c r="H10709" s="19" t="s">
        <v>28</v>
      </c>
      <c r="I10709" s="18" t="s">
        <v>28</v>
      </c>
      <c r="J10709" s="18" t="s">
        <v>28</v>
      </c>
      <c r="K10709" s="18" t="s">
        <v>28</v>
      </c>
      <c r="L10709" s="18" t="s">
        <v>28</v>
      </c>
      <c r="M10709" s="18" t="s">
        <v>28</v>
      </c>
      <c r="N10709" s="17">
        <v>41579</v>
      </c>
      <c r="O10709" s="15" t="s">
        <v>30</v>
      </c>
      <c r="P10709" s="16" t="s">
        <v>3329</v>
      </c>
      <c r="Q10709" s="15" t="s">
        <v>136</v>
      </c>
      <c r="R10709" s="13" t="str">
        <f>HYPERLINK("https://my.pitchbook.com?c=53229-88T","View Company Online")</f>
        <v>View Company Online</v>
      </c>
    </row>
    <row r="10710" spans="1:18" hidden="1" x14ac:dyDescent="0.3">
      <c r="A10710" s="9" t="s">
        <v>30248</v>
      </c>
      <c r="B10710" s="9" t="s">
        <v>30249</v>
      </c>
      <c r="C10710" s="11" t="s">
        <v>28</v>
      </c>
      <c r="D10710" s="9" t="s">
        <v>30250</v>
      </c>
      <c r="E10710" s="11" t="s">
        <v>28</v>
      </c>
      <c r="F10710" s="10" t="s">
        <v>28</v>
      </c>
      <c r="G10710" s="10" t="s">
        <v>28</v>
      </c>
      <c r="H10710" s="10" t="s">
        <v>28</v>
      </c>
      <c r="I10710" s="11" t="s">
        <v>28</v>
      </c>
      <c r="J10710" s="11" t="s">
        <v>28</v>
      </c>
      <c r="K10710" s="11" t="s">
        <v>28</v>
      </c>
      <c r="L10710" s="11" t="s">
        <v>28</v>
      </c>
      <c r="M10710" s="11" t="s">
        <v>28</v>
      </c>
      <c r="N10710" s="8">
        <v>41579</v>
      </c>
      <c r="O10710" s="9" t="s">
        <v>30</v>
      </c>
      <c r="P10710" s="12" t="s">
        <v>17385</v>
      </c>
      <c r="Q10710" s="9" t="s">
        <v>114</v>
      </c>
      <c r="R10710" s="14" t="str">
        <f>HYPERLINK("https://my.pitchbook.com?c=89629-93T","View Company Online")</f>
        <v>View Company Online</v>
      </c>
    </row>
    <row r="10711" spans="1:18" hidden="1" x14ac:dyDescent="0.3">
      <c r="A10711" s="15" t="s">
        <v>30251</v>
      </c>
      <c r="B10711" s="15" t="s">
        <v>14464</v>
      </c>
      <c r="C10711" s="18" t="s">
        <v>28</v>
      </c>
      <c r="D10711" s="15" t="s">
        <v>14465</v>
      </c>
      <c r="E10711" s="18" t="s">
        <v>28</v>
      </c>
      <c r="F10711" s="19" t="s">
        <v>28</v>
      </c>
      <c r="G10711" s="19">
        <v>0.14000000000000001</v>
      </c>
      <c r="H10711" s="19" t="s">
        <v>28</v>
      </c>
      <c r="I10711" s="18" t="s">
        <v>28</v>
      </c>
      <c r="J10711" s="18" t="s">
        <v>28</v>
      </c>
      <c r="K10711" s="18" t="s">
        <v>28</v>
      </c>
      <c r="L10711" s="18" t="s">
        <v>28</v>
      </c>
      <c r="M10711" s="18" t="s">
        <v>28</v>
      </c>
      <c r="N10711" s="17">
        <v>41579</v>
      </c>
      <c r="O10711" s="15" t="s">
        <v>52</v>
      </c>
      <c r="P10711" s="16" t="s">
        <v>28992</v>
      </c>
      <c r="Q10711" s="15" t="s">
        <v>75</v>
      </c>
      <c r="R10711" s="13" t="str">
        <f>HYPERLINK("https://my.pitchbook.com?c=58097-44T","View Company Online")</f>
        <v>View Company Online</v>
      </c>
    </row>
    <row r="10712" spans="1:18" hidden="1" x14ac:dyDescent="0.3">
      <c r="A10712" s="9" t="s">
        <v>30252</v>
      </c>
      <c r="B10712" s="9" t="s">
        <v>30253</v>
      </c>
      <c r="C10712" s="11" t="s">
        <v>28</v>
      </c>
      <c r="D10712" s="9" t="s">
        <v>30254</v>
      </c>
      <c r="E10712" s="11" t="s">
        <v>28</v>
      </c>
      <c r="F10712" s="10">
        <v>1255.8499999999999</v>
      </c>
      <c r="G10712" s="10">
        <v>728.39</v>
      </c>
      <c r="H10712" s="10">
        <v>1255.8499999999999</v>
      </c>
      <c r="I10712" s="11" t="s">
        <v>28</v>
      </c>
      <c r="J10712" s="11" t="s">
        <v>28</v>
      </c>
      <c r="K10712" s="11" t="s">
        <v>28</v>
      </c>
      <c r="L10712" s="11" t="s">
        <v>28</v>
      </c>
      <c r="M10712" s="11" t="s">
        <v>28</v>
      </c>
      <c r="N10712" s="8">
        <v>41579</v>
      </c>
      <c r="O10712" s="9" t="s">
        <v>30</v>
      </c>
      <c r="P10712" s="12" t="s">
        <v>30255</v>
      </c>
      <c r="Q10712" s="9" t="s">
        <v>226</v>
      </c>
      <c r="R10712" s="14" t="str">
        <f>HYPERLINK("https://my.pitchbook.com?c=75006-19T","View Company Online")</f>
        <v>View Company Online</v>
      </c>
    </row>
    <row r="10713" spans="1:18" hidden="1" x14ac:dyDescent="0.3">
      <c r="A10713" s="15" t="s">
        <v>30256</v>
      </c>
      <c r="B10713" s="15" t="s">
        <v>30257</v>
      </c>
      <c r="C10713" s="18" t="s">
        <v>28</v>
      </c>
      <c r="D10713" s="15" t="s">
        <v>30258</v>
      </c>
      <c r="E10713" s="18" t="s">
        <v>28</v>
      </c>
      <c r="F10713" s="19" t="s">
        <v>28</v>
      </c>
      <c r="G10713" s="19" t="s">
        <v>28</v>
      </c>
      <c r="H10713" s="19" t="s">
        <v>28</v>
      </c>
      <c r="I10713" s="18" t="s">
        <v>28</v>
      </c>
      <c r="J10713" s="18" t="s">
        <v>28</v>
      </c>
      <c r="K10713" s="18" t="s">
        <v>28</v>
      </c>
      <c r="L10713" s="18" t="s">
        <v>28</v>
      </c>
      <c r="M10713" s="18" t="s">
        <v>28</v>
      </c>
      <c r="N10713" s="17">
        <v>41579</v>
      </c>
      <c r="O10713" s="15" t="s">
        <v>99</v>
      </c>
      <c r="P10713" s="16" t="s">
        <v>22084</v>
      </c>
      <c r="Q10713" s="15" t="s">
        <v>855</v>
      </c>
      <c r="R10713" s="13" t="str">
        <f>HYPERLINK("https://my.pitchbook.com?c=62285-05T","View Company Online")</f>
        <v>View Company Online</v>
      </c>
    </row>
    <row r="10714" spans="1:18" hidden="1" x14ac:dyDescent="0.3">
      <c r="A10714" s="9" t="s">
        <v>30259</v>
      </c>
      <c r="B10714" s="9" t="s">
        <v>16272</v>
      </c>
      <c r="C10714" s="11" t="s">
        <v>28</v>
      </c>
      <c r="D10714" s="9" t="s">
        <v>16273</v>
      </c>
      <c r="E10714" s="11" t="s">
        <v>28</v>
      </c>
      <c r="F10714" s="10" t="s">
        <v>28</v>
      </c>
      <c r="G10714" s="10">
        <v>1.18</v>
      </c>
      <c r="H10714" s="10" t="s">
        <v>28</v>
      </c>
      <c r="I10714" s="11" t="s">
        <v>28</v>
      </c>
      <c r="J10714" s="11" t="s">
        <v>28</v>
      </c>
      <c r="K10714" s="11" t="s">
        <v>28</v>
      </c>
      <c r="L10714" s="11" t="s">
        <v>28</v>
      </c>
      <c r="M10714" s="11" t="s">
        <v>28</v>
      </c>
      <c r="N10714" s="8">
        <v>41579</v>
      </c>
      <c r="O10714" s="9" t="s">
        <v>379</v>
      </c>
      <c r="P10714" s="12" t="s">
        <v>30260</v>
      </c>
      <c r="Q10714" s="9" t="s">
        <v>5347</v>
      </c>
      <c r="R10714" s="14" t="str">
        <f>HYPERLINK("https://my.pitchbook.com?c=38681-47T","View Company Online")</f>
        <v>View Company Online</v>
      </c>
    </row>
    <row r="10715" spans="1:18" hidden="1" x14ac:dyDescent="0.3">
      <c r="A10715" s="15" t="s">
        <v>30261</v>
      </c>
      <c r="B10715" s="15" t="s">
        <v>30262</v>
      </c>
      <c r="C10715" s="18" t="s">
        <v>28</v>
      </c>
      <c r="D10715" s="15" t="s">
        <v>30263</v>
      </c>
      <c r="E10715" s="18">
        <v>-3673.62</v>
      </c>
      <c r="F10715" s="19" t="s">
        <v>28</v>
      </c>
      <c r="G10715" s="19">
        <v>113.81</v>
      </c>
      <c r="H10715" s="19" t="s">
        <v>28</v>
      </c>
      <c r="I10715" s="18">
        <v>-3609.66</v>
      </c>
      <c r="J10715" s="18" t="s">
        <v>28</v>
      </c>
      <c r="K10715" s="18">
        <v>82.92</v>
      </c>
      <c r="L10715" s="18" t="s">
        <v>28</v>
      </c>
      <c r="M10715" s="18">
        <v>-3759.72</v>
      </c>
      <c r="N10715" s="17">
        <v>41579</v>
      </c>
      <c r="O10715" s="15" t="s">
        <v>159</v>
      </c>
      <c r="P10715" s="16" t="s">
        <v>30264</v>
      </c>
      <c r="Q10715" s="15" t="s">
        <v>268</v>
      </c>
      <c r="R10715" s="13" t="str">
        <f>HYPERLINK("https://my.pitchbook.com?c=29312-74T","View Company Online")</f>
        <v>View Company Online</v>
      </c>
    </row>
    <row r="10716" spans="1:18" hidden="1" x14ac:dyDescent="0.3">
      <c r="A10716" s="9" t="s">
        <v>30265</v>
      </c>
      <c r="B10716" s="9" t="s">
        <v>30266</v>
      </c>
      <c r="C10716" s="11" t="s">
        <v>28</v>
      </c>
      <c r="D10716" s="9" t="s">
        <v>30267</v>
      </c>
      <c r="E10716" s="11" t="s">
        <v>28</v>
      </c>
      <c r="F10716" s="10" t="s">
        <v>28</v>
      </c>
      <c r="G10716" s="10" t="s">
        <v>28</v>
      </c>
      <c r="H10716" s="10" t="s">
        <v>28</v>
      </c>
      <c r="I10716" s="11" t="s">
        <v>28</v>
      </c>
      <c r="J10716" s="11" t="s">
        <v>28</v>
      </c>
      <c r="K10716" s="11" t="s">
        <v>28</v>
      </c>
      <c r="L10716" s="11" t="s">
        <v>28</v>
      </c>
      <c r="M10716" s="11" t="s">
        <v>28</v>
      </c>
      <c r="N10716" s="8">
        <v>41579</v>
      </c>
      <c r="O10716" s="9" t="s">
        <v>79</v>
      </c>
      <c r="P10716" s="12" t="s">
        <v>10643</v>
      </c>
      <c r="Q10716" s="9" t="s">
        <v>1643</v>
      </c>
      <c r="R10716" s="14" t="str">
        <f>HYPERLINK("https://my.pitchbook.com?c=46632-70T","View Company Online")</f>
        <v>View Company Online</v>
      </c>
    </row>
    <row r="10717" spans="1:18" hidden="1" x14ac:dyDescent="0.3">
      <c r="A10717" s="15" t="s">
        <v>30268</v>
      </c>
      <c r="B10717" s="15" t="s">
        <v>30269</v>
      </c>
      <c r="C10717" s="18" t="s">
        <v>28</v>
      </c>
      <c r="D10717" s="15" t="s">
        <v>30270</v>
      </c>
      <c r="E10717" s="18" t="s">
        <v>28</v>
      </c>
      <c r="F10717" s="19">
        <v>137.03</v>
      </c>
      <c r="G10717" s="19">
        <v>109.71</v>
      </c>
      <c r="H10717" s="19">
        <v>137.03</v>
      </c>
      <c r="I10717" s="18" t="s">
        <v>28</v>
      </c>
      <c r="J10717" s="18" t="s">
        <v>28</v>
      </c>
      <c r="K10717" s="18" t="s">
        <v>28</v>
      </c>
      <c r="L10717" s="18" t="s">
        <v>28</v>
      </c>
      <c r="M10717" s="18" t="s">
        <v>28</v>
      </c>
      <c r="N10717" s="17">
        <v>41579</v>
      </c>
      <c r="O10717" s="15" t="s">
        <v>30</v>
      </c>
      <c r="P10717" s="16" t="s">
        <v>30271</v>
      </c>
      <c r="Q10717" s="15" t="s">
        <v>160</v>
      </c>
      <c r="R10717" s="13" t="str">
        <f>HYPERLINK("https://my.pitchbook.com?c=95768-38T","View Company Online")</f>
        <v>View Company Online</v>
      </c>
    </row>
    <row r="10718" spans="1:18" hidden="1" x14ac:dyDescent="0.3">
      <c r="A10718" s="9" t="s">
        <v>30272</v>
      </c>
      <c r="B10718" s="9" t="s">
        <v>16358</v>
      </c>
      <c r="C10718" s="11" t="s">
        <v>28</v>
      </c>
      <c r="D10718" s="9" t="s">
        <v>16359</v>
      </c>
      <c r="E10718" s="11" t="s">
        <v>28</v>
      </c>
      <c r="F10718" s="10" t="s">
        <v>28</v>
      </c>
      <c r="G10718" s="10">
        <v>30</v>
      </c>
      <c r="H10718" s="10">
        <v>130</v>
      </c>
      <c r="I10718" s="11" t="s">
        <v>28</v>
      </c>
      <c r="J10718" s="11" t="s">
        <v>28</v>
      </c>
      <c r="K10718" s="11" t="s">
        <v>28</v>
      </c>
      <c r="L10718" s="11" t="s">
        <v>28</v>
      </c>
      <c r="M10718" s="11" t="s">
        <v>28</v>
      </c>
      <c r="N10718" s="8">
        <v>41579</v>
      </c>
      <c r="O10718" s="9" t="s">
        <v>79</v>
      </c>
      <c r="P10718" s="12" t="s">
        <v>27730</v>
      </c>
      <c r="Q10718" s="9" t="s">
        <v>414</v>
      </c>
      <c r="R10718" s="14" t="str">
        <f>HYPERLINK("https://my.pitchbook.com?c=45170-11T","View Company Online")</f>
        <v>View Company Online</v>
      </c>
    </row>
    <row r="10719" spans="1:18" hidden="1" x14ac:dyDescent="0.3">
      <c r="A10719" s="15" t="s">
        <v>30273</v>
      </c>
      <c r="B10719" s="15" t="s">
        <v>30274</v>
      </c>
      <c r="C10719" s="18" t="s">
        <v>28</v>
      </c>
      <c r="D10719" s="15" t="s">
        <v>30275</v>
      </c>
      <c r="E10719" s="18" t="s">
        <v>28</v>
      </c>
      <c r="F10719" s="19" t="s">
        <v>28</v>
      </c>
      <c r="G10719" s="19">
        <v>0.14000000000000001</v>
      </c>
      <c r="H10719" s="19" t="s">
        <v>28</v>
      </c>
      <c r="I10719" s="18" t="s">
        <v>28</v>
      </c>
      <c r="J10719" s="18" t="s">
        <v>28</v>
      </c>
      <c r="K10719" s="18" t="s">
        <v>28</v>
      </c>
      <c r="L10719" s="18" t="s">
        <v>28</v>
      </c>
      <c r="M10719" s="18" t="s">
        <v>28</v>
      </c>
      <c r="N10719" s="17">
        <v>41579</v>
      </c>
      <c r="O10719" s="15" t="s">
        <v>52</v>
      </c>
      <c r="P10719" s="16" t="s">
        <v>28992</v>
      </c>
      <c r="Q10719" s="15" t="s">
        <v>522</v>
      </c>
      <c r="R10719" s="13" t="str">
        <f>HYPERLINK("https://my.pitchbook.com?c=57568-33T","View Company Online")</f>
        <v>View Company Online</v>
      </c>
    </row>
    <row r="10720" spans="1:18" hidden="1" x14ac:dyDescent="0.3">
      <c r="A10720" s="9" t="s">
        <v>30276</v>
      </c>
      <c r="B10720" s="9" t="s">
        <v>5142</v>
      </c>
      <c r="C10720" s="11" t="s">
        <v>28</v>
      </c>
      <c r="D10720" s="9" t="s">
        <v>5143</v>
      </c>
      <c r="E10720" s="11" t="s">
        <v>28</v>
      </c>
      <c r="F10720" s="10" t="s">
        <v>28</v>
      </c>
      <c r="G10720" s="10">
        <v>1.64</v>
      </c>
      <c r="H10720" s="10" t="s">
        <v>28</v>
      </c>
      <c r="I10720" s="11" t="s">
        <v>28</v>
      </c>
      <c r="J10720" s="11" t="s">
        <v>28</v>
      </c>
      <c r="K10720" s="11" t="s">
        <v>28</v>
      </c>
      <c r="L10720" s="11" t="s">
        <v>28</v>
      </c>
      <c r="M10720" s="11" t="s">
        <v>28</v>
      </c>
      <c r="N10720" s="8">
        <v>41579</v>
      </c>
      <c r="O10720" s="9" t="s">
        <v>73</v>
      </c>
      <c r="P10720" s="12" t="s">
        <v>16566</v>
      </c>
      <c r="Q10720" s="9" t="s">
        <v>583</v>
      </c>
      <c r="R10720" s="14" t="str">
        <f>HYPERLINK("https://my.pitchbook.com?c=66703-87T","View Company Online")</f>
        <v>View Company Online</v>
      </c>
    </row>
    <row r="10721" spans="1:18" hidden="1" x14ac:dyDescent="0.3">
      <c r="A10721" s="15" t="s">
        <v>30277</v>
      </c>
      <c r="B10721" s="15" t="s">
        <v>30278</v>
      </c>
      <c r="C10721" s="18" t="s">
        <v>28</v>
      </c>
      <c r="D10721" s="15" t="s">
        <v>30279</v>
      </c>
      <c r="E10721" s="18" t="s">
        <v>28</v>
      </c>
      <c r="F10721" s="19" t="s">
        <v>28</v>
      </c>
      <c r="G10721" s="19">
        <v>31</v>
      </c>
      <c r="H10721" s="19" t="s">
        <v>28</v>
      </c>
      <c r="I10721" s="18" t="s">
        <v>28</v>
      </c>
      <c r="J10721" s="18" t="s">
        <v>28</v>
      </c>
      <c r="K10721" s="18" t="s">
        <v>28</v>
      </c>
      <c r="L10721" s="18" t="s">
        <v>28</v>
      </c>
      <c r="M10721" s="18" t="s">
        <v>28</v>
      </c>
      <c r="N10721" s="17">
        <v>41579</v>
      </c>
      <c r="O10721" s="15" t="s">
        <v>93</v>
      </c>
      <c r="P10721" s="16" t="s">
        <v>30280</v>
      </c>
      <c r="Q10721" s="15" t="s">
        <v>226</v>
      </c>
      <c r="R10721" s="13" t="str">
        <f>HYPERLINK("https://my.pitchbook.com?c=75979-81T","View Company Online")</f>
        <v>View Company Online</v>
      </c>
    </row>
    <row r="10722" spans="1:18" hidden="1" x14ac:dyDescent="0.3">
      <c r="A10722" s="9" t="s">
        <v>30281</v>
      </c>
      <c r="B10722" s="9" t="s">
        <v>30282</v>
      </c>
      <c r="C10722" s="11" t="s">
        <v>28</v>
      </c>
      <c r="D10722" s="9" t="s">
        <v>30283</v>
      </c>
      <c r="E10722" s="11" t="s">
        <v>28</v>
      </c>
      <c r="F10722" s="10" t="s">
        <v>28</v>
      </c>
      <c r="G10722" s="10" t="s">
        <v>28</v>
      </c>
      <c r="H10722" s="10" t="s">
        <v>28</v>
      </c>
      <c r="I10722" s="11" t="s">
        <v>28</v>
      </c>
      <c r="J10722" s="11" t="s">
        <v>28</v>
      </c>
      <c r="K10722" s="11" t="s">
        <v>28</v>
      </c>
      <c r="L10722" s="11" t="s">
        <v>28</v>
      </c>
      <c r="M10722" s="11" t="s">
        <v>28</v>
      </c>
      <c r="N10722" s="8">
        <v>41579</v>
      </c>
      <c r="O10722" s="9" t="s">
        <v>30</v>
      </c>
      <c r="P10722" s="12" t="s">
        <v>30284</v>
      </c>
      <c r="Q10722" s="9" t="s">
        <v>37</v>
      </c>
      <c r="R10722" s="14" t="str">
        <f>HYPERLINK("https://my.pitchbook.com?c=99337-69T","View Company Online")</f>
        <v>View Company Online</v>
      </c>
    </row>
    <row r="10723" spans="1:18" hidden="1" x14ac:dyDescent="0.3">
      <c r="A10723" s="15" t="s">
        <v>30285</v>
      </c>
      <c r="B10723" s="15" t="s">
        <v>26700</v>
      </c>
      <c r="C10723" s="18" t="s">
        <v>28</v>
      </c>
      <c r="D10723" s="15" t="s">
        <v>26701</v>
      </c>
      <c r="E10723" s="18" t="s">
        <v>28</v>
      </c>
      <c r="F10723" s="19" t="s">
        <v>28</v>
      </c>
      <c r="G10723" s="19" t="s">
        <v>28</v>
      </c>
      <c r="H10723" s="19" t="s">
        <v>28</v>
      </c>
      <c r="I10723" s="18" t="s">
        <v>28</v>
      </c>
      <c r="J10723" s="18" t="s">
        <v>28</v>
      </c>
      <c r="K10723" s="18" t="s">
        <v>28</v>
      </c>
      <c r="L10723" s="18" t="s">
        <v>28</v>
      </c>
      <c r="M10723" s="18" t="s">
        <v>28</v>
      </c>
      <c r="N10723" s="17">
        <v>41578</v>
      </c>
      <c r="O10723" s="15" t="s">
        <v>73</v>
      </c>
      <c r="P10723" s="16" t="s">
        <v>30286</v>
      </c>
      <c r="Q10723" s="15" t="s">
        <v>75</v>
      </c>
      <c r="R10723" s="13" t="str">
        <f>HYPERLINK("https://my.pitchbook.com?c=29336-68T","View Company Online")</f>
        <v>View Company Online</v>
      </c>
    </row>
    <row r="10724" spans="1:18" hidden="1" x14ac:dyDescent="0.3">
      <c r="A10724" s="9" t="s">
        <v>30287</v>
      </c>
      <c r="B10724" s="9" t="s">
        <v>30288</v>
      </c>
      <c r="C10724" s="11" t="s">
        <v>28</v>
      </c>
      <c r="D10724" s="9" t="s">
        <v>30289</v>
      </c>
      <c r="E10724" s="11" t="s">
        <v>28</v>
      </c>
      <c r="F10724" s="10">
        <v>91.13</v>
      </c>
      <c r="G10724" s="10">
        <v>91.13</v>
      </c>
      <c r="H10724" s="10">
        <v>91.13</v>
      </c>
      <c r="I10724" s="11" t="s">
        <v>28</v>
      </c>
      <c r="J10724" s="11" t="s">
        <v>28</v>
      </c>
      <c r="K10724" s="11" t="s">
        <v>28</v>
      </c>
      <c r="L10724" s="11" t="s">
        <v>28</v>
      </c>
      <c r="M10724" s="11">
        <v>0.01</v>
      </c>
      <c r="N10724" s="8">
        <v>41577</v>
      </c>
      <c r="O10724" s="9" t="s">
        <v>30</v>
      </c>
      <c r="P10724" s="12" t="s">
        <v>30290</v>
      </c>
      <c r="Q10724" s="9" t="s">
        <v>4670</v>
      </c>
      <c r="R10724" s="14" t="str">
        <f>HYPERLINK("https://my.pitchbook.com?c=89689-78T","View Company Online")</f>
        <v>View Company Online</v>
      </c>
    </row>
    <row r="10725" spans="1:18" x14ac:dyDescent="0.3">
      <c r="A10725" s="15" t="s">
        <v>30291</v>
      </c>
      <c r="B10725" s="15" t="s">
        <v>30292</v>
      </c>
      <c r="C10725" s="18">
        <v>13843.28</v>
      </c>
      <c r="D10725" s="15" t="s">
        <v>30293</v>
      </c>
      <c r="E10725" s="18">
        <v>0.13</v>
      </c>
      <c r="F10725" s="19">
        <v>1855</v>
      </c>
      <c r="G10725" s="19">
        <v>1855</v>
      </c>
      <c r="H10725" s="19">
        <v>1855</v>
      </c>
      <c r="I10725" s="18">
        <v>0.13</v>
      </c>
      <c r="J10725" s="18">
        <v>13843.28</v>
      </c>
      <c r="K10725" s="18">
        <v>905</v>
      </c>
      <c r="L10725" s="18">
        <v>2.0499999999999998</v>
      </c>
      <c r="M10725" s="18" t="s">
        <v>28</v>
      </c>
      <c r="N10725" s="17">
        <v>41576</v>
      </c>
      <c r="O10725" s="15" t="s">
        <v>30</v>
      </c>
      <c r="P10725" s="16" t="s">
        <v>30294</v>
      </c>
      <c r="Q10725" s="15" t="s">
        <v>105</v>
      </c>
      <c r="R10725" s="13" t="str">
        <f>HYPERLINK("https://my.pitchbook.com?c=39119-95T","View Company Online")</f>
        <v>View Company Online</v>
      </c>
    </row>
    <row r="10726" spans="1:18" hidden="1" x14ac:dyDescent="0.3">
      <c r="A10726" s="9" t="s">
        <v>30295</v>
      </c>
      <c r="B10726" s="9" t="s">
        <v>24916</v>
      </c>
      <c r="C10726" s="11" t="s">
        <v>28</v>
      </c>
      <c r="D10726" s="9" t="s">
        <v>24917</v>
      </c>
      <c r="E10726" s="11" t="s">
        <v>28</v>
      </c>
      <c r="F10726" s="10" t="s">
        <v>28</v>
      </c>
      <c r="G10726" s="10">
        <v>0.01</v>
      </c>
      <c r="H10726" s="10" t="s">
        <v>28</v>
      </c>
      <c r="I10726" s="11" t="s">
        <v>28</v>
      </c>
      <c r="J10726" s="11" t="s">
        <v>28</v>
      </c>
      <c r="K10726" s="11" t="s">
        <v>28</v>
      </c>
      <c r="L10726" s="11" t="s">
        <v>28</v>
      </c>
      <c r="M10726" s="11" t="s">
        <v>28</v>
      </c>
      <c r="N10726" s="8">
        <v>41571</v>
      </c>
      <c r="O10726" s="9" t="s">
        <v>52</v>
      </c>
      <c r="P10726" s="12" t="s">
        <v>11539</v>
      </c>
      <c r="Q10726" s="9" t="s">
        <v>43</v>
      </c>
      <c r="R10726" s="14" t="str">
        <f>HYPERLINK("https://my.pitchbook.com?c=65808-19T","View Company Online")</f>
        <v>View Company Online</v>
      </c>
    </row>
    <row r="10727" spans="1:18" hidden="1" x14ac:dyDescent="0.3">
      <c r="A10727" s="15" t="s">
        <v>30296</v>
      </c>
      <c r="B10727" s="15" t="s">
        <v>30297</v>
      </c>
      <c r="C10727" s="18" t="s">
        <v>28</v>
      </c>
      <c r="D10727" s="15" t="s">
        <v>30298</v>
      </c>
      <c r="E10727" s="18" t="s">
        <v>28</v>
      </c>
      <c r="F10727" s="19" t="s">
        <v>28</v>
      </c>
      <c r="G10727" s="19" t="s">
        <v>28</v>
      </c>
      <c r="H10727" s="19" t="s">
        <v>28</v>
      </c>
      <c r="I10727" s="18" t="s">
        <v>28</v>
      </c>
      <c r="J10727" s="18" t="s">
        <v>28</v>
      </c>
      <c r="K10727" s="18" t="s">
        <v>28</v>
      </c>
      <c r="L10727" s="18" t="s">
        <v>28</v>
      </c>
      <c r="M10727" s="18" t="s">
        <v>28</v>
      </c>
      <c r="N10727" s="17">
        <v>41571</v>
      </c>
      <c r="O10727" s="15" t="s">
        <v>52</v>
      </c>
      <c r="P10727" s="16" t="s">
        <v>11539</v>
      </c>
      <c r="Q10727" s="15" t="s">
        <v>5347</v>
      </c>
      <c r="R10727" s="13" t="str">
        <f>HYPERLINK("https://my.pitchbook.com?c=65578-96T","View Company Online")</f>
        <v>View Company Online</v>
      </c>
    </row>
    <row r="10728" spans="1:18" hidden="1" x14ac:dyDescent="0.3">
      <c r="A10728" s="9" t="s">
        <v>30299</v>
      </c>
      <c r="B10728" s="9" t="s">
        <v>30300</v>
      </c>
      <c r="C10728" s="11" t="s">
        <v>28</v>
      </c>
      <c r="D10728" s="9" t="s">
        <v>30301</v>
      </c>
      <c r="E10728" s="11" t="s">
        <v>28</v>
      </c>
      <c r="F10728" s="10" t="s">
        <v>28</v>
      </c>
      <c r="G10728" s="10" t="s">
        <v>28</v>
      </c>
      <c r="H10728" s="10" t="s">
        <v>28</v>
      </c>
      <c r="I10728" s="11" t="s">
        <v>28</v>
      </c>
      <c r="J10728" s="11" t="s">
        <v>28</v>
      </c>
      <c r="K10728" s="11" t="s">
        <v>28</v>
      </c>
      <c r="L10728" s="11" t="s">
        <v>28</v>
      </c>
      <c r="M10728" s="11" t="s">
        <v>28</v>
      </c>
      <c r="N10728" s="8">
        <v>41571</v>
      </c>
      <c r="O10728" s="9" t="s">
        <v>30</v>
      </c>
      <c r="P10728" s="12" t="s">
        <v>30302</v>
      </c>
      <c r="Q10728" s="9" t="s">
        <v>4670</v>
      </c>
      <c r="R10728" s="14" t="str">
        <f>HYPERLINK("https://my.pitchbook.com?c=39137-95T","View Company Online")</f>
        <v>View Company Online</v>
      </c>
    </row>
    <row r="10729" spans="1:18" hidden="1" x14ac:dyDescent="0.3">
      <c r="A10729" s="15" t="s">
        <v>30303</v>
      </c>
      <c r="B10729" s="15" t="s">
        <v>30304</v>
      </c>
      <c r="C10729" s="18" t="s">
        <v>28</v>
      </c>
      <c r="D10729" s="15" t="s">
        <v>30305</v>
      </c>
      <c r="E10729" s="18" t="s">
        <v>28</v>
      </c>
      <c r="F10729" s="19" t="s">
        <v>28</v>
      </c>
      <c r="G10729" s="19" t="s">
        <v>28</v>
      </c>
      <c r="H10729" s="19" t="s">
        <v>28</v>
      </c>
      <c r="I10729" s="18" t="s">
        <v>28</v>
      </c>
      <c r="J10729" s="18" t="s">
        <v>28</v>
      </c>
      <c r="K10729" s="18" t="s">
        <v>28</v>
      </c>
      <c r="L10729" s="18" t="s">
        <v>28</v>
      </c>
      <c r="M10729" s="18" t="s">
        <v>28</v>
      </c>
      <c r="N10729" s="17">
        <v>41564</v>
      </c>
      <c r="O10729" s="15" t="s">
        <v>30</v>
      </c>
      <c r="P10729" s="16" t="s">
        <v>3076</v>
      </c>
      <c r="Q10729" s="15" t="s">
        <v>1191</v>
      </c>
      <c r="R10729" s="13" t="str">
        <f>HYPERLINK("https://my.pitchbook.com?c=89693-92T","View Company Online")</f>
        <v>View Company Online</v>
      </c>
    </row>
    <row r="10730" spans="1:18" hidden="1" x14ac:dyDescent="0.3">
      <c r="A10730" s="9" t="s">
        <v>30306</v>
      </c>
      <c r="B10730" s="9" t="s">
        <v>28017</v>
      </c>
      <c r="C10730" s="11" t="s">
        <v>28</v>
      </c>
      <c r="D10730" s="9" t="s">
        <v>28018</v>
      </c>
      <c r="E10730" s="11" t="s">
        <v>28</v>
      </c>
      <c r="F10730" s="10" t="s">
        <v>28</v>
      </c>
      <c r="G10730" s="10">
        <v>2.4</v>
      </c>
      <c r="H10730" s="10" t="s">
        <v>28</v>
      </c>
      <c r="I10730" s="11" t="s">
        <v>28</v>
      </c>
      <c r="J10730" s="11" t="s">
        <v>28</v>
      </c>
      <c r="K10730" s="11" t="s">
        <v>28</v>
      </c>
      <c r="L10730" s="11" t="s">
        <v>28</v>
      </c>
      <c r="M10730" s="11" t="s">
        <v>28</v>
      </c>
      <c r="N10730" s="8">
        <v>41562</v>
      </c>
      <c r="O10730" s="9" t="s">
        <v>73</v>
      </c>
      <c r="P10730" s="12" t="s">
        <v>28</v>
      </c>
      <c r="Q10730" s="9" t="s">
        <v>1643</v>
      </c>
      <c r="R10730" s="14" t="str">
        <f>HYPERLINK("https://my.pitchbook.com?c=32726-26T","View Company Online")</f>
        <v>View Company Online</v>
      </c>
    </row>
    <row r="10731" spans="1:18" hidden="1" x14ac:dyDescent="0.3">
      <c r="A10731" s="15" t="s">
        <v>30307</v>
      </c>
      <c r="B10731" s="15" t="s">
        <v>30308</v>
      </c>
      <c r="C10731" s="18" t="s">
        <v>28</v>
      </c>
      <c r="D10731" s="15" t="s">
        <v>30309</v>
      </c>
      <c r="E10731" s="18" t="s">
        <v>28</v>
      </c>
      <c r="F10731" s="19">
        <v>26.52</v>
      </c>
      <c r="G10731" s="19">
        <v>26.52</v>
      </c>
      <c r="H10731" s="19">
        <v>26.52</v>
      </c>
      <c r="I10731" s="18" t="s">
        <v>28</v>
      </c>
      <c r="J10731" s="18" t="s">
        <v>28</v>
      </c>
      <c r="K10731" s="18" t="s">
        <v>28</v>
      </c>
      <c r="L10731" s="18" t="s">
        <v>28</v>
      </c>
      <c r="M10731" s="18" t="s">
        <v>28</v>
      </c>
      <c r="N10731" s="17">
        <v>41562</v>
      </c>
      <c r="O10731" s="15" t="s">
        <v>30</v>
      </c>
      <c r="P10731" s="16" t="s">
        <v>30310</v>
      </c>
      <c r="Q10731" s="15" t="s">
        <v>299</v>
      </c>
      <c r="R10731" s="13" t="str">
        <f>HYPERLINK("https://my.pitchbook.com?c=102774-79T","View Company Online")</f>
        <v>View Company Online</v>
      </c>
    </row>
    <row r="10732" spans="1:18" hidden="1" x14ac:dyDescent="0.3">
      <c r="A10732" s="9" t="s">
        <v>30311</v>
      </c>
      <c r="B10732" s="9" t="s">
        <v>30312</v>
      </c>
      <c r="C10732" s="11" t="s">
        <v>28</v>
      </c>
      <c r="D10732" s="9" t="s">
        <v>30313</v>
      </c>
      <c r="E10732" s="11" t="s">
        <v>28</v>
      </c>
      <c r="F10732" s="10" t="s">
        <v>28</v>
      </c>
      <c r="G10732" s="10" t="s">
        <v>28</v>
      </c>
      <c r="H10732" s="10" t="s">
        <v>28</v>
      </c>
      <c r="I10732" s="11" t="s">
        <v>28</v>
      </c>
      <c r="J10732" s="11" t="s">
        <v>28</v>
      </c>
      <c r="K10732" s="11" t="s">
        <v>28</v>
      </c>
      <c r="L10732" s="11" t="s">
        <v>28</v>
      </c>
      <c r="M10732" s="11" t="s">
        <v>28</v>
      </c>
      <c r="N10732" s="8">
        <v>41562</v>
      </c>
      <c r="O10732" s="9" t="s">
        <v>52</v>
      </c>
      <c r="P10732" s="12" t="s">
        <v>30314</v>
      </c>
      <c r="Q10732" s="9" t="s">
        <v>386</v>
      </c>
      <c r="R10732" s="14" t="str">
        <f>HYPERLINK("https://my.pitchbook.com?c=33956-83T","View Company Online")</f>
        <v>View Company Online</v>
      </c>
    </row>
    <row r="10733" spans="1:18" hidden="1" x14ac:dyDescent="0.3">
      <c r="A10733" s="15" t="s">
        <v>30315</v>
      </c>
      <c r="B10733" s="15" t="s">
        <v>30316</v>
      </c>
      <c r="C10733" s="18" t="s">
        <v>28</v>
      </c>
      <c r="D10733" s="15" t="s">
        <v>30317</v>
      </c>
      <c r="E10733" s="18" t="s">
        <v>28</v>
      </c>
      <c r="F10733" s="19" t="s">
        <v>28</v>
      </c>
      <c r="G10733" s="19">
        <v>0.02</v>
      </c>
      <c r="H10733" s="19" t="s">
        <v>28</v>
      </c>
      <c r="I10733" s="18" t="s">
        <v>28</v>
      </c>
      <c r="J10733" s="18" t="s">
        <v>28</v>
      </c>
      <c r="K10733" s="18" t="s">
        <v>28</v>
      </c>
      <c r="L10733" s="18" t="s">
        <v>28</v>
      </c>
      <c r="M10733" s="18" t="s">
        <v>28</v>
      </c>
      <c r="N10733" s="17">
        <v>41561</v>
      </c>
      <c r="O10733" s="15" t="s">
        <v>52</v>
      </c>
      <c r="P10733" s="16" t="s">
        <v>53</v>
      </c>
      <c r="Q10733" s="15" t="s">
        <v>386</v>
      </c>
      <c r="R10733" s="13" t="str">
        <f>HYPERLINK("https://my.pitchbook.com?c=57780-55T","View Company Online")</f>
        <v>View Company Online</v>
      </c>
    </row>
    <row r="10734" spans="1:18" x14ac:dyDescent="0.3">
      <c r="A10734" s="9" t="s">
        <v>30318</v>
      </c>
      <c r="B10734" s="9" t="s">
        <v>28404</v>
      </c>
      <c r="C10734" s="11" t="s">
        <v>28</v>
      </c>
      <c r="D10734" s="9" t="s">
        <v>28405</v>
      </c>
      <c r="E10734" s="11">
        <v>-72.27</v>
      </c>
      <c r="F10734" s="10">
        <v>1061.79</v>
      </c>
      <c r="G10734" s="10">
        <v>584.41</v>
      </c>
      <c r="H10734" s="10">
        <v>1106.42</v>
      </c>
      <c r="I10734" s="11">
        <v>-71.66</v>
      </c>
      <c r="J10734" s="11">
        <v>-15.44</v>
      </c>
      <c r="K10734" s="11">
        <v>28.2</v>
      </c>
      <c r="L10734" s="11">
        <v>39.229999999999997</v>
      </c>
      <c r="M10734" s="11">
        <v>-54.93</v>
      </c>
      <c r="N10734" s="8">
        <v>41561</v>
      </c>
      <c r="O10734" s="9" t="s">
        <v>41</v>
      </c>
      <c r="P10734" s="12" t="s">
        <v>30319</v>
      </c>
      <c r="Q10734" s="9" t="s">
        <v>5347</v>
      </c>
      <c r="R10734" s="14" t="str">
        <f>HYPERLINK("https://my.pitchbook.com?c=27923-95T","View Company Online")</f>
        <v>View Company Online</v>
      </c>
    </row>
    <row r="10735" spans="1:18" hidden="1" x14ac:dyDescent="0.3">
      <c r="A10735" s="15" t="s">
        <v>30320</v>
      </c>
      <c r="B10735" s="15" t="s">
        <v>30321</v>
      </c>
      <c r="C10735" s="18" t="s">
        <v>28</v>
      </c>
      <c r="D10735" s="15" t="s">
        <v>30322</v>
      </c>
      <c r="E10735" s="18" t="s">
        <v>28</v>
      </c>
      <c r="F10735" s="19">
        <v>46.17</v>
      </c>
      <c r="G10735" s="19">
        <v>46.17</v>
      </c>
      <c r="H10735" s="19">
        <v>46.17</v>
      </c>
      <c r="I10735" s="18" t="s">
        <v>28</v>
      </c>
      <c r="J10735" s="18" t="s">
        <v>28</v>
      </c>
      <c r="K10735" s="18" t="s">
        <v>28</v>
      </c>
      <c r="L10735" s="18" t="s">
        <v>28</v>
      </c>
      <c r="M10735" s="18" t="s">
        <v>28</v>
      </c>
      <c r="N10735" s="17">
        <v>41559</v>
      </c>
      <c r="O10735" s="15" t="s">
        <v>30</v>
      </c>
      <c r="P10735" s="16" t="s">
        <v>30323</v>
      </c>
      <c r="Q10735" s="15" t="s">
        <v>245</v>
      </c>
      <c r="R10735" s="13" t="str">
        <f>HYPERLINK("https://my.pitchbook.com?c=216384-13T","View Company Online")</f>
        <v>View Company Online</v>
      </c>
    </row>
    <row r="10736" spans="1:18" hidden="1" x14ac:dyDescent="0.3">
      <c r="A10736" s="9" t="s">
        <v>30324</v>
      </c>
      <c r="B10736" s="9" t="s">
        <v>30325</v>
      </c>
      <c r="C10736" s="11" t="s">
        <v>28</v>
      </c>
      <c r="D10736" s="9" t="s">
        <v>30326</v>
      </c>
      <c r="E10736" s="11" t="s">
        <v>28</v>
      </c>
      <c r="F10736" s="10" t="s">
        <v>28</v>
      </c>
      <c r="G10736" s="10" t="s">
        <v>28</v>
      </c>
      <c r="H10736" s="10" t="s">
        <v>28</v>
      </c>
      <c r="I10736" s="11" t="s">
        <v>28</v>
      </c>
      <c r="J10736" s="11" t="s">
        <v>28</v>
      </c>
      <c r="K10736" s="11" t="s">
        <v>28</v>
      </c>
      <c r="L10736" s="11" t="s">
        <v>28</v>
      </c>
      <c r="M10736" s="11" t="s">
        <v>28</v>
      </c>
      <c r="N10736" s="8">
        <v>41557</v>
      </c>
      <c r="O10736" s="9" t="s">
        <v>173</v>
      </c>
      <c r="P10736" s="12" t="s">
        <v>28</v>
      </c>
      <c r="Q10736" s="9" t="s">
        <v>174</v>
      </c>
      <c r="R10736" s="14" t="str">
        <f>HYPERLINK("https://my.pitchbook.com?c=224055-46T","View Company Online")</f>
        <v>View Company Online</v>
      </c>
    </row>
    <row r="10737" spans="1:18" hidden="1" x14ac:dyDescent="0.3">
      <c r="A10737" s="15" t="s">
        <v>30327</v>
      </c>
      <c r="B10737" s="15" t="s">
        <v>27286</v>
      </c>
      <c r="C10737" s="18" t="s">
        <v>28</v>
      </c>
      <c r="D10737" s="15" t="s">
        <v>27287</v>
      </c>
      <c r="E10737" s="18" t="s">
        <v>28</v>
      </c>
      <c r="F10737" s="19">
        <v>8.9499999999999993</v>
      </c>
      <c r="G10737" s="19">
        <v>4.4800000000000004</v>
      </c>
      <c r="H10737" s="19">
        <v>8.9499999999999993</v>
      </c>
      <c r="I10737" s="18" t="s">
        <v>28</v>
      </c>
      <c r="J10737" s="18" t="s">
        <v>28</v>
      </c>
      <c r="K10737" s="18" t="s">
        <v>28</v>
      </c>
      <c r="L10737" s="18" t="s">
        <v>28</v>
      </c>
      <c r="M10737" s="18" t="s">
        <v>28</v>
      </c>
      <c r="N10737" s="17">
        <v>41557</v>
      </c>
      <c r="O10737" s="15" t="s">
        <v>30</v>
      </c>
      <c r="P10737" s="16" t="s">
        <v>27288</v>
      </c>
      <c r="Q10737" s="15" t="s">
        <v>1336</v>
      </c>
      <c r="R10737" s="13" t="str">
        <f>HYPERLINK("https://my.pitchbook.com?c=33181-75T","View Company Online")</f>
        <v>View Company Online</v>
      </c>
    </row>
    <row r="10738" spans="1:18" hidden="1" x14ac:dyDescent="0.3">
      <c r="A10738" s="9" t="s">
        <v>30328</v>
      </c>
      <c r="B10738" s="9" t="s">
        <v>13744</v>
      </c>
      <c r="C10738" s="11" t="s">
        <v>28</v>
      </c>
      <c r="D10738" s="9" t="s">
        <v>13745</v>
      </c>
      <c r="E10738" s="11" t="s">
        <v>28</v>
      </c>
      <c r="F10738" s="10" t="s">
        <v>28</v>
      </c>
      <c r="G10738" s="10">
        <v>2.37</v>
      </c>
      <c r="H10738" s="10">
        <v>5.36</v>
      </c>
      <c r="I10738" s="11" t="s">
        <v>28</v>
      </c>
      <c r="J10738" s="11" t="s">
        <v>28</v>
      </c>
      <c r="K10738" s="11" t="s">
        <v>28</v>
      </c>
      <c r="L10738" s="11" t="s">
        <v>28</v>
      </c>
      <c r="M10738" s="11" t="s">
        <v>28</v>
      </c>
      <c r="N10738" s="8">
        <v>41556</v>
      </c>
      <c r="O10738" s="9" t="s">
        <v>73</v>
      </c>
      <c r="P10738" s="12" t="s">
        <v>30329</v>
      </c>
      <c r="Q10738" s="9" t="s">
        <v>607</v>
      </c>
      <c r="R10738" s="14" t="str">
        <f>HYPERLINK("https://my.pitchbook.com?c=34876-09T","View Company Online")</f>
        <v>View Company Online</v>
      </c>
    </row>
    <row r="10739" spans="1:18" hidden="1" x14ac:dyDescent="0.3">
      <c r="A10739" s="15" t="s">
        <v>30330</v>
      </c>
      <c r="B10739" s="15" t="s">
        <v>22143</v>
      </c>
      <c r="C10739" s="18" t="s">
        <v>28</v>
      </c>
      <c r="D10739" s="15" t="s">
        <v>22144</v>
      </c>
      <c r="E10739" s="18" t="s">
        <v>28</v>
      </c>
      <c r="F10739" s="19" t="s">
        <v>28</v>
      </c>
      <c r="G10739" s="19">
        <v>25</v>
      </c>
      <c r="H10739" s="19">
        <v>100</v>
      </c>
      <c r="I10739" s="18" t="s">
        <v>28</v>
      </c>
      <c r="J10739" s="18" t="s">
        <v>28</v>
      </c>
      <c r="K10739" s="18" t="s">
        <v>28</v>
      </c>
      <c r="L10739" s="18" t="s">
        <v>28</v>
      </c>
      <c r="M10739" s="18" t="s">
        <v>28</v>
      </c>
      <c r="N10739" s="17">
        <v>41556</v>
      </c>
      <c r="O10739" s="15" t="s">
        <v>58</v>
      </c>
      <c r="P10739" s="16" t="s">
        <v>25909</v>
      </c>
      <c r="Q10739" s="15" t="s">
        <v>114</v>
      </c>
      <c r="R10739" s="13" t="str">
        <f>HYPERLINK("https://my.pitchbook.com?c=92049-13T","View Company Online")</f>
        <v>View Company Online</v>
      </c>
    </row>
    <row r="10740" spans="1:18" hidden="1" x14ac:dyDescent="0.3">
      <c r="A10740" s="9" t="s">
        <v>30331</v>
      </c>
      <c r="B10740" s="9" t="s">
        <v>7282</v>
      </c>
      <c r="C10740" s="11" t="s">
        <v>28</v>
      </c>
      <c r="D10740" s="9" t="s">
        <v>7283</v>
      </c>
      <c r="E10740" s="11" t="s">
        <v>28</v>
      </c>
      <c r="F10740" s="10" t="s">
        <v>28</v>
      </c>
      <c r="G10740" s="10">
        <v>30</v>
      </c>
      <c r="H10740" s="10" t="s">
        <v>28</v>
      </c>
      <c r="I10740" s="11" t="s">
        <v>28</v>
      </c>
      <c r="J10740" s="11" t="s">
        <v>28</v>
      </c>
      <c r="K10740" s="11" t="s">
        <v>28</v>
      </c>
      <c r="L10740" s="11" t="s">
        <v>28</v>
      </c>
      <c r="M10740" s="11" t="s">
        <v>28</v>
      </c>
      <c r="N10740" s="8">
        <v>41555</v>
      </c>
      <c r="O10740" s="9" t="s">
        <v>93</v>
      </c>
      <c r="P10740" s="12" t="s">
        <v>30332</v>
      </c>
      <c r="Q10740" s="9" t="s">
        <v>1144</v>
      </c>
      <c r="R10740" s="14" t="str">
        <f>HYPERLINK("https://my.pitchbook.com?c=29056-78T","View Company Online")</f>
        <v>View Company Online</v>
      </c>
    </row>
    <row r="10741" spans="1:18" hidden="1" x14ac:dyDescent="0.3">
      <c r="A10741" s="15" t="s">
        <v>30333</v>
      </c>
      <c r="B10741" s="15" t="s">
        <v>30334</v>
      </c>
      <c r="C10741" s="18" t="s">
        <v>28</v>
      </c>
      <c r="D10741" s="15" t="s">
        <v>30335</v>
      </c>
      <c r="E10741" s="18" t="s">
        <v>28</v>
      </c>
      <c r="F10741" s="19">
        <v>54.36</v>
      </c>
      <c r="G10741" s="19">
        <v>54.36</v>
      </c>
      <c r="H10741" s="19">
        <v>54.36</v>
      </c>
      <c r="I10741" s="18" t="s">
        <v>28</v>
      </c>
      <c r="J10741" s="18" t="s">
        <v>28</v>
      </c>
      <c r="K10741" s="18" t="s">
        <v>28</v>
      </c>
      <c r="L10741" s="18" t="s">
        <v>28</v>
      </c>
      <c r="M10741" s="18" t="s">
        <v>28</v>
      </c>
      <c r="N10741" s="17">
        <v>41554</v>
      </c>
      <c r="O10741" s="15" t="s">
        <v>30</v>
      </c>
      <c r="P10741" s="16" t="s">
        <v>30336</v>
      </c>
      <c r="Q10741" s="15" t="s">
        <v>22187</v>
      </c>
      <c r="R10741" s="13" t="str">
        <f>HYPERLINK("https://my.pitchbook.com?c=33918-40T","View Company Online")</f>
        <v>View Company Online</v>
      </c>
    </row>
    <row r="10742" spans="1:18" hidden="1" x14ac:dyDescent="0.3">
      <c r="A10742" s="9" t="s">
        <v>30337</v>
      </c>
      <c r="B10742" s="9" t="s">
        <v>16661</v>
      </c>
      <c r="C10742" s="11" t="s">
        <v>28</v>
      </c>
      <c r="D10742" s="9" t="s">
        <v>16662</v>
      </c>
      <c r="E10742" s="11" t="s">
        <v>28</v>
      </c>
      <c r="F10742" s="10">
        <v>39.44</v>
      </c>
      <c r="G10742" s="10">
        <v>33.92</v>
      </c>
      <c r="H10742" s="10">
        <v>39.44</v>
      </c>
      <c r="I10742" s="11" t="s">
        <v>28</v>
      </c>
      <c r="J10742" s="11" t="s">
        <v>28</v>
      </c>
      <c r="K10742" s="11" t="s">
        <v>28</v>
      </c>
      <c r="L10742" s="11" t="s">
        <v>28</v>
      </c>
      <c r="M10742" s="11" t="s">
        <v>28</v>
      </c>
      <c r="N10742" s="8">
        <v>41549</v>
      </c>
      <c r="O10742" s="9" t="s">
        <v>41</v>
      </c>
      <c r="P10742" s="12" t="s">
        <v>30338</v>
      </c>
      <c r="Q10742" s="9" t="s">
        <v>1007</v>
      </c>
      <c r="R10742" s="14" t="str">
        <f>HYPERLINK("https://my.pitchbook.com?c=29789-47T","View Company Online")</f>
        <v>View Company Online</v>
      </c>
    </row>
    <row r="10743" spans="1:18" hidden="1" x14ac:dyDescent="0.3">
      <c r="A10743" s="15" t="s">
        <v>30339</v>
      </c>
      <c r="B10743" s="15" t="s">
        <v>30340</v>
      </c>
      <c r="C10743" s="18" t="s">
        <v>28</v>
      </c>
      <c r="D10743" s="15" t="s">
        <v>30341</v>
      </c>
      <c r="E10743" s="18" t="s">
        <v>28</v>
      </c>
      <c r="F10743" s="19">
        <v>0.01</v>
      </c>
      <c r="G10743" s="19">
        <v>0.01</v>
      </c>
      <c r="H10743" s="19">
        <v>0.01</v>
      </c>
      <c r="I10743" s="18" t="s">
        <v>28</v>
      </c>
      <c r="J10743" s="18" t="s">
        <v>28</v>
      </c>
      <c r="K10743" s="18" t="s">
        <v>28</v>
      </c>
      <c r="L10743" s="18" t="s">
        <v>28</v>
      </c>
      <c r="M10743" s="18" t="s">
        <v>28</v>
      </c>
      <c r="N10743" s="17">
        <v>41549</v>
      </c>
      <c r="O10743" s="15" t="s">
        <v>30</v>
      </c>
      <c r="P10743" s="16" t="s">
        <v>3609</v>
      </c>
      <c r="Q10743" s="15" t="s">
        <v>362</v>
      </c>
      <c r="R10743" s="13" t="str">
        <f>HYPERLINK("https://my.pitchbook.com?c=89598-70T","View Company Online")</f>
        <v>View Company Online</v>
      </c>
    </row>
    <row r="10744" spans="1:18" hidden="1" x14ac:dyDescent="0.3">
      <c r="A10744" s="9" t="s">
        <v>30342</v>
      </c>
      <c r="B10744" s="9" t="s">
        <v>30343</v>
      </c>
      <c r="C10744" s="11" t="s">
        <v>28</v>
      </c>
      <c r="D10744" s="9" t="s">
        <v>30344</v>
      </c>
      <c r="E10744" s="11" t="s">
        <v>28</v>
      </c>
      <c r="F10744" s="10" t="s">
        <v>28</v>
      </c>
      <c r="G10744" s="10" t="s">
        <v>28</v>
      </c>
      <c r="H10744" s="10" t="s">
        <v>28</v>
      </c>
      <c r="I10744" s="11" t="s">
        <v>28</v>
      </c>
      <c r="J10744" s="11" t="s">
        <v>28</v>
      </c>
      <c r="K10744" s="11" t="s">
        <v>28</v>
      </c>
      <c r="L10744" s="11" t="s">
        <v>28</v>
      </c>
      <c r="M10744" s="11" t="s">
        <v>28</v>
      </c>
      <c r="N10744" s="8">
        <v>41548</v>
      </c>
      <c r="O10744" s="9" t="s">
        <v>30</v>
      </c>
      <c r="P10744" s="12" t="s">
        <v>30345</v>
      </c>
      <c r="Q10744" s="9" t="s">
        <v>43</v>
      </c>
      <c r="R10744" s="14" t="str">
        <f>HYPERLINK("https://my.pitchbook.com?c=32028-31T","View Company Online")</f>
        <v>View Company Online</v>
      </c>
    </row>
    <row r="10745" spans="1:18" hidden="1" x14ac:dyDescent="0.3">
      <c r="A10745" s="15" t="s">
        <v>30346</v>
      </c>
      <c r="B10745" s="15" t="s">
        <v>30347</v>
      </c>
      <c r="C10745" s="18" t="s">
        <v>28</v>
      </c>
      <c r="D10745" s="15" t="s">
        <v>30348</v>
      </c>
      <c r="E10745" s="18" t="s">
        <v>28</v>
      </c>
      <c r="F10745" s="19">
        <v>611</v>
      </c>
      <c r="G10745" s="19">
        <v>611</v>
      </c>
      <c r="H10745" s="19">
        <v>611</v>
      </c>
      <c r="I10745" s="18" t="s">
        <v>28</v>
      </c>
      <c r="J10745" s="18" t="s">
        <v>28</v>
      </c>
      <c r="K10745" s="18" t="s">
        <v>28</v>
      </c>
      <c r="L10745" s="18" t="s">
        <v>28</v>
      </c>
      <c r="M10745" s="18" t="s">
        <v>28</v>
      </c>
      <c r="N10745" s="17">
        <v>41548</v>
      </c>
      <c r="O10745" s="15" t="s">
        <v>30</v>
      </c>
      <c r="P10745" s="16" t="s">
        <v>30349</v>
      </c>
      <c r="Q10745" s="15" t="s">
        <v>696</v>
      </c>
      <c r="R10745" s="13" t="str">
        <f>HYPERLINK("https://my.pitchbook.com?c=29068-57T","View Company Online")</f>
        <v>View Company Online</v>
      </c>
    </row>
    <row r="10746" spans="1:18" hidden="1" x14ac:dyDescent="0.3">
      <c r="A10746" s="9" t="s">
        <v>30350</v>
      </c>
      <c r="B10746" s="9" t="s">
        <v>30351</v>
      </c>
      <c r="C10746" s="11" t="s">
        <v>28</v>
      </c>
      <c r="D10746" s="9" t="s">
        <v>30352</v>
      </c>
      <c r="E10746" s="11" t="s">
        <v>28</v>
      </c>
      <c r="F10746" s="10">
        <v>3300</v>
      </c>
      <c r="G10746" s="10">
        <v>3300</v>
      </c>
      <c r="H10746" s="10">
        <v>3300</v>
      </c>
      <c r="I10746" s="11" t="s">
        <v>28</v>
      </c>
      <c r="J10746" s="11" t="s">
        <v>28</v>
      </c>
      <c r="K10746" s="11" t="s">
        <v>28</v>
      </c>
      <c r="L10746" s="11" t="s">
        <v>28</v>
      </c>
      <c r="M10746" s="11" t="s">
        <v>28</v>
      </c>
      <c r="N10746" s="8">
        <v>41548</v>
      </c>
      <c r="O10746" s="9" t="s">
        <v>30</v>
      </c>
      <c r="P10746" s="12" t="s">
        <v>30349</v>
      </c>
      <c r="Q10746" s="9" t="s">
        <v>1336</v>
      </c>
      <c r="R10746" s="14" t="str">
        <f>HYPERLINK("https://my.pitchbook.com?c=44256-97T","View Company Online")</f>
        <v>View Company Online</v>
      </c>
    </row>
    <row r="10747" spans="1:18" hidden="1" x14ac:dyDescent="0.3">
      <c r="A10747" s="15" t="s">
        <v>30353</v>
      </c>
      <c r="B10747" s="15" t="s">
        <v>30354</v>
      </c>
      <c r="C10747" s="18" t="s">
        <v>28</v>
      </c>
      <c r="D10747" s="15" t="s">
        <v>30355</v>
      </c>
      <c r="E10747" s="18" t="s">
        <v>28</v>
      </c>
      <c r="F10747" s="19" t="s">
        <v>28</v>
      </c>
      <c r="G10747" s="19" t="s">
        <v>28</v>
      </c>
      <c r="H10747" s="19" t="s">
        <v>28</v>
      </c>
      <c r="I10747" s="18" t="s">
        <v>28</v>
      </c>
      <c r="J10747" s="18" t="s">
        <v>28</v>
      </c>
      <c r="K10747" s="18" t="s">
        <v>28</v>
      </c>
      <c r="L10747" s="18" t="s">
        <v>28</v>
      </c>
      <c r="M10747" s="18" t="s">
        <v>28</v>
      </c>
      <c r="N10747" s="17">
        <v>41548</v>
      </c>
      <c r="O10747" s="15" t="s">
        <v>30</v>
      </c>
      <c r="P10747" s="16" t="s">
        <v>26700</v>
      </c>
      <c r="Q10747" s="15" t="s">
        <v>1853</v>
      </c>
      <c r="R10747" s="13" t="str">
        <f>HYPERLINK("https://my.pitchbook.com?c=29355-94T","View Company Online")</f>
        <v>View Company Online</v>
      </c>
    </row>
    <row r="10748" spans="1:18" hidden="1" x14ac:dyDescent="0.3">
      <c r="A10748" s="9" t="s">
        <v>30356</v>
      </c>
      <c r="B10748" s="9" t="s">
        <v>223</v>
      </c>
      <c r="C10748" s="11" t="s">
        <v>28</v>
      </c>
      <c r="D10748" s="9" t="s">
        <v>224</v>
      </c>
      <c r="E10748" s="11" t="s">
        <v>28</v>
      </c>
      <c r="F10748" s="10" t="s">
        <v>28</v>
      </c>
      <c r="G10748" s="10" t="s">
        <v>28</v>
      </c>
      <c r="H10748" s="10" t="s">
        <v>28</v>
      </c>
      <c r="I10748" s="11" t="s">
        <v>28</v>
      </c>
      <c r="J10748" s="11" t="s">
        <v>28</v>
      </c>
      <c r="K10748" s="11" t="s">
        <v>28</v>
      </c>
      <c r="L10748" s="11" t="s">
        <v>28</v>
      </c>
      <c r="M10748" s="11" t="s">
        <v>28</v>
      </c>
      <c r="N10748" s="8">
        <v>41548</v>
      </c>
      <c r="O10748" s="9" t="s">
        <v>93</v>
      </c>
      <c r="P10748" s="12" t="s">
        <v>30357</v>
      </c>
      <c r="Q10748" s="9" t="s">
        <v>226</v>
      </c>
      <c r="R10748" s="14" t="str">
        <f>HYPERLINK("https://my.pitchbook.com?c=196091-65T","View Company Online")</f>
        <v>View Company Online</v>
      </c>
    </row>
    <row r="10749" spans="1:18" hidden="1" x14ac:dyDescent="0.3">
      <c r="A10749" s="15" t="s">
        <v>30358</v>
      </c>
      <c r="B10749" s="15" t="s">
        <v>30359</v>
      </c>
      <c r="C10749" s="18" t="s">
        <v>28</v>
      </c>
      <c r="D10749" s="15" t="s">
        <v>30360</v>
      </c>
      <c r="E10749" s="18" t="s">
        <v>28</v>
      </c>
      <c r="F10749" s="19" t="s">
        <v>28</v>
      </c>
      <c r="G10749" s="19">
        <v>0.22</v>
      </c>
      <c r="H10749" s="19" t="s">
        <v>28</v>
      </c>
      <c r="I10749" s="18" t="s">
        <v>28</v>
      </c>
      <c r="J10749" s="18" t="s">
        <v>28</v>
      </c>
      <c r="K10749" s="18" t="s">
        <v>28</v>
      </c>
      <c r="L10749" s="18" t="s">
        <v>28</v>
      </c>
      <c r="M10749" s="18" t="s">
        <v>28</v>
      </c>
      <c r="N10749" s="17">
        <v>41548</v>
      </c>
      <c r="O10749" s="15" t="s">
        <v>52</v>
      </c>
      <c r="P10749" s="16" t="s">
        <v>30361</v>
      </c>
      <c r="Q10749" s="15" t="s">
        <v>5347</v>
      </c>
      <c r="R10749" s="13" t="str">
        <f>HYPERLINK("https://my.pitchbook.com?c=50664-43T","View Company Online")</f>
        <v>View Company Online</v>
      </c>
    </row>
    <row r="10750" spans="1:18" hidden="1" x14ac:dyDescent="0.3">
      <c r="A10750" s="9" t="s">
        <v>30362</v>
      </c>
      <c r="B10750" s="9" t="s">
        <v>30363</v>
      </c>
      <c r="C10750" s="11" t="s">
        <v>28</v>
      </c>
      <c r="D10750" s="9" t="s">
        <v>30364</v>
      </c>
      <c r="E10750" s="11" t="s">
        <v>28</v>
      </c>
      <c r="F10750" s="10" t="s">
        <v>28</v>
      </c>
      <c r="G10750" s="10" t="s">
        <v>28</v>
      </c>
      <c r="H10750" s="10" t="s">
        <v>28</v>
      </c>
      <c r="I10750" s="11" t="s">
        <v>28</v>
      </c>
      <c r="J10750" s="11" t="s">
        <v>28</v>
      </c>
      <c r="K10750" s="11" t="s">
        <v>28</v>
      </c>
      <c r="L10750" s="11" t="s">
        <v>28</v>
      </c>
      <c r="M10750" s="11" t="s">
        <v>28</v>
      </c>
      <c r="N10750" s="8">
        <v>41548</v>
      </c>
      <c r="O10750" s="9" t="s">
        <v>93</v>
      </c>
      <c r="P10750" s="12" t="s">
        <v>30365</v>
      </c>
      <c r="Q10750" s="9" t="s">
        <v>959</v>
      </c>
      <c r="R10750" s="14" t="str">
        <f>HYPERLINK("https://my.pitchbook.com?c=106633-72T","View Company Online")</f>
        <v>View Company Online</v>
      </c>
    </row>
    <row r="10751" spans="1:18" hidden="1" x14ac:dyDescent="0.3">
      <c r="A10751" s="15" t="s">
        <v>30366</v>
      </c>
      <c r="B10751" s="15" t="s">
        <v>30367</v>
      </c>
      <c r="C10751" s="18" t="s">
        <v>28</v>
      </c>
      <c r="D10751" s="15" t="s">
        <v>30368</v>
      </c>
      <c r="E10751" s="18" t="s">
        <v>28</v>
      </c>
      <c r="F10751" s="19">
        <v>38.270000000000003</v>
      </c>
      <c r="G10751" s="19">
        <v>38.270000000000003</v>
      </c>
      <c r="H10751" s="19">
        <v>38.270000000000003</v>
      </c>
      <c r="I10751" s="18" t="s">
        <v>28</v>
      </c>
      <c r="J10751" s="18" t="s">
        <v>28</v>
      </c>
      <c r="K10751" s="18" t="s">
        <v>28</v>
      </c>
      <c r="L10751" s="18" t="s">
        <v>28</v>
      </c>
      <c r="M10751" s="18" t="s">
        <v>28</v>
      </c>
      <c r="N10751" s="17">
        <v>41548</v>
      </c>
      <c r="O10751" s="15" t="s">
        <v>30</v>
      </c>
      <c r="P10751" s="16" t="s">
        <v>29396</v>
      </c>
      <c r="Q10751" s="15" t="s">
        <v>409</v>
      </c>
      <c r="R10751" s="13" t="str">
        <f>HYPERLINK("https://my.pitchbook.com?c=44555-50T","View Company Online")</f>
        <v>View Company Online</v>
      </c>
    </row>
    <row r="10752" spans="1:18" hidden="1" x14ac:dyDescent="0.3">
      <c r="A10752" s="9" t="s">
        <v>30369</v>
      </c>
      <c r="B10752" s="9" t="s">
        <v>30370</v>
      </c>
      <c r="C10752" s="11" t="s">
        <v>28</v>
      </c>
      <c r="D10752" s="9" t="s">
        <v>30371</v>
      </c>
      <c r="E10752" s="11" t="s">
        <v>28</v>
      </c>
      <c r="F10752" s="10" t="s">
        <v>28</v>
      </c>
      <c r="G10752" s="10" t="s">
        <v>28</v>
      </c>
      <c r="H10752" s="10" t="s">
        <v>28</v>
      </c>
      <c r="I10752" s="11" t="s">
        <v>28</v>
      </c>
      <c r="J10752" s="11" t="s">
        <v>28</v>
      </c>
      <c r="K10752" s="11" t="s">
        <v>28</v>
      </c>
      <c r="L10752" s="11" t="s">
        <v>28</v>
      </c>
      <c r="M10752" s="11" t="s">
        <v>28</v>
      </c>
      <c r="N10752" s="8">
        <v>41548</v>
      </c>
      <c r="O10752" s="9" t="s">
        <v>30</v>
      </c>
      <c r="P10752" s="12" t="s">
        <v>30372</v>
      </c>
      <c r="Q10752" s="9" t="s">
        <v>1336</v>
      </c>
      <c r="R10752" s="14" t="str">
        <f>HYPERLINK("https://my.pitchbook.com?c=216391-33T","View Company Online")</f>
        <v>View Company Online</v>
      </c>
    </row>
    <row r="10753" spans="1:18" hidden="1" x14ac:dyDescent="0.3">
      <c r="A10753" s="15" t="s">
        <v>30373</v>
      </c>
      <c r="B10753" s="15" t="s">
        <v>30374</v>
      </c>
      <c r="C10753" s="18" t="s">
        <v>28</v>
      </c>
      <c r="D10753" s="15" t="s">
        <v>30375</v>
      </c>
      <c r="E10753" s="18" t="s">
        <v>28</v>
      </c>
      <c r="F10753" s="19" t="s">
        <v>28</v>
      </c>
      <c r="G10753" s="19" t="s">
        <v>28</v>
      </c>
      <c r="H10753" s="19" t="s">
        <v>28</v>
      </c>
      <c r="I10753" s="18" t="s">
        <v>28</v>
      </c>
      <c r="J10753" s="18" t="s">
        <v>28</v>
      </c>
      <c r="K10753" s="18" t="s">
        <v>28</v>
      </c>
      <c r="L10753" s="18" t="s">
        <v>28</v>
      </c>
      <c r="M10753" s="18" t="s">
        <v>28</v>
      </c>
      <c r="N10753" s="17">
        <v>41548</v>
      </c>
      <c r="O10753" s="15" t="s">
        <v>30</v>
      </c>
      <c r="P10753" s="16" t="s">
        <v>1950</v>
      </c>
      <c r="Q10753" s="15" t="s">
        <v>880</v>
      </c>
      <c r="R10753" s="13" t="str">
        <f>HYPERLINK("https://my.pitchbook.com?c=213970-60T","View Company Online")</f>
        <v>View Company Online</v>
      </c>
    </row>
    <row r="10754" spans="1:18" hidden="1" x14ac:dyDescent="0.3">
      <c r="A10754" s="9" t="s">
        <v>30376</v>
      </c>
      <c r="B10754" s="9" t="s">
        <v>23492</v>
      </c>
      <c r="C10754" s="11" t="s">
        <v>28</v>
      </c>
      <c r="D10754" s="9" t="s">
        <v>23493</v>
      </c>
      <c r="E10754" s="11" t="s">
        <v>28</v>
      </c>
      <c r="F10754" s="10" t="s">
        <v>28</v>
      </c>
      <c r="G10754" s="10">
        <v>0.04</v>
      </c>
      <c r="H10754" s="10" t="s">
        <v>28</v>
      </c>
      <c r="I10754" s="11" t="s">
        <v>28</v>
      </c>
      <c r="J10754" s="11" t="s">
        <v>28</v>
      </c>
      <c r="K10754" s="11" t="s">
        <v>28</v>
      </c>
      <c r="L10754" s="11" t="s">
        <v>28</v>
      </c>
      <c r="M10754" s="11" t="s">
        <v>28</v>
      </c>
      <c r="N10754" s="8">
        <v>41548</v>
      </c>
      <c r="O10754" s="9" t="s">
        <v>52</v>
      </c>
      <c r="P10754" s="12" t="s">
        <v>28992</v>
      </c>
      <c r="Q10754" s="9" t="s">
        <v>95</v>
      </c>
      <c r="R10754" s="14" t="str">
        <f>HYPERLINK("https://my.pitchbook.com?c=50699-62T","View Company Online")</f>
        <v>View Company Online</v>
      </c>
    </row>
    <row r="10755" spans="1:18" hidden="1" x14ac:dyDescent="0.3">
      <c r="A10755" s="15" t="s">
        <v>30377</v>
      </c>
      <c r="B10755" s="15" t="s">
        <v>30378</v>
      </c>
      <c r="C10755" s="18" t="s">
        <v>28</v>
      </c>
      <c r="D10755" s="15" t="s">
        <v>30379</v>
      </c>
      <c r="E10755" s="18" t="s">
        <v>28</v>
      </c>
      <c r="F10755" s="19" t="s">
        <v>28</v>
      </c>
      <c r="G10755" s="19">
        <v>1.76</v>
      </c>
      <c r="H10755" s="19" t="s">
        <v>28</v>
      </c>
      <c r="I10755" s="18" t="s">
        <v>28</v>
      </c>
      <c r="J10755" s="18" t="s">
        <v>28</v>
      </c>
      <c r="K10755" s="18" t="s">
        <v>28</v>
      </c>
      <c r="L10755" s="18" t="s">
        <v>28</v>
      </c>
      <c r="M10755" s="18" t="s">
        <v>28</v>
      </c>
      <c r="N10755" s="17">
        <v>41548</v>
      </c>
      <c r="O10755" s="15" t="s">
        <v>79</v>
      </c>
      <c r="P10755" s="16" t="s">
        <v>29147</v>
      </c>
      <c r="Q10755" s="15" t="s">
        <v>583</v>
      </c>
      <c r="R10755" s="13" t="str">
        <f>HYPERLINK("https://my.pitchbook.com?c=69405-40T","View Company Online")</f>
        <v>View Company Online</v>
      </c>
    </row>
    <row r="10756" spans="1:18" hidden="1" x14ac:dyDescent="0.3">
      <c r="A10756" s="9" t="s">
        <v>30380</v>
      </c>
      <c r="B10756" s="9" t="s">
        <v>2275</v>
      </c>
      <c r="C10756" s="11" t="s">
        <v>28</v>
      </c>
      <c r="D10756" s="9" t="s">
        <v>30381</v>
      </c>
      <c r="E10756" s="11" t="s">
        <v>28</v>
      </c>
      <c r="F10756" s="10">
        <v>2500</v>
      </c>
      <c r="G10756" s="10">
        <v>2500</v>
      </c>
      <c r="H10756" s="10">
        <v>2500</v>
      </c>
      <c r="I10756" s="11" t="s">
        <v>28</v>
      </c>
      <c r="J10756" s="11" t="s">
        <v>28</v>
      </c>
      <c r="K10756" s="11">
        <v>2775.29</v>
      </c>
      <c r="L10756" s="11">
        <v>0.9</v>
      </c>
      <c r="M10756" s="11" t="s">
        <v>28</v>
      </c>
      <c r="N10756" s="8">
        <v>41548</v>
      </c>
      <c r="O10756" s="9" t="s">
        <v>30</v>
      </c>
      <c r="P10756" s="12" t="s">
        <v>3647</v>
      </c>
      <c r="Q10756" s="9" t="s">
        <v>136</v>
      </c>
      <c r="R10756" s="14" t="str">
        <f>HYPERLINK("https://my.pitchbook.com?c=34533-10T","View Company Online")</f>
        <v>View Company Online</v>
      </c>
    </row>
    <row r="10757" spans="1:18" hidden="1" x14ac:dyDescent="0.3">
      <c r="A10757" s="15" t="s">
        <v>30382</v>
      </c>
      <c r="B10757" s="15" t="s">
        <v>6292</v>
      </c>
      <c r="C10757" s="18" t="s">
        <v>28</v>
      </c>
      <c r="D10757" s="15" t="s">
        <v>6293</v>
      </c>
      <c r="E10757" s="18" t="s">
        <v>28</v>
      </c>
      <c r="F10757" s="19" t="s">
        <v>28</v>
      </c>
      <c r="G10757" s="19" t="s">
        <v>28</v>
      </c>
      <c r="H10757" s="19" t="s">
        <v>28</v>
      </c>
      <c r="I10757" s="18" t="s">
        <v>28</v>
      </c>
      <c r="J10757" s="18" t="s">
        <v>28</v>
      </c>
      <c r="K10757" s="18" t="s">
        <v>28</v>
      </c>
      <c r="L10757" s="18" t="s">
        <v>28</v>
      </c>
      <c r="M10757" s="18" t="s">
        <v>28</v>
      </c>
      <c r="N10757" s="17">
        <v>41548</v>
      </c>
      <c r="O10757" s="15" t="s">
        <v>73</v>
      </c>
      <c r="P10757" s="16" t="s">
        <v>30383</v>
      </c>
      <c r="Q10757" s="15" t="s">
        <v>1088</v>
      </c>
      <c r="R10757" s="13" t="str">
        <f>HYPERLINK("https://my.pitchbook.com?c=24353-02T","View Company Online")</f>
        <v>View Company Online</v>
      </c>
    </row>
    <row r="10758" spans="1:18" hidden="1" x14ac:dyDescent="0.3">
      <c r="A10758" s="9" t="s">
        <v>30384</v>
      </c>
      <c r="B10758" s="9" t="s">
        <v>30385</v>
      </c>
      <c r="C10758" s="11" t="s">
        <v>28</v>
      </c>
      <c r="D10758" s="9" t="s">
        <v>30386</v>
      </c>
      <c r="E10758" s="11">
        <v>6.97</v>
      </c>
      <c r="F10758" s="10" t="s">
        <v>28</v>
      </c>
      <c r="G10758" s="10" t="s">
        <v>28</v>
      </c>
      <c r="H10758" s="10" t="s">
        <v>28</v>
      </c>
      <c r="I10758" s="11">
        <v>7.3</v>
      </c>
      <c r="J10758" s="11" t="s">
        <v>28</v>
      </c>
      <c r="K10758" s="11">
        <v>54.28</v>
      </c>
      <c r="L10758" s="11" t="s">
        <v>28</v>
      </c>
      <c r="M10758" s="11">
        <v>4.04</v>
      </c>
      <c r="N10758" s="8">
        <v>41547</v>
      </c>
      <c r="O10758" s="9" t="s">
        <v>30</v>
      </c>
      <c r="P10758" s="12" t="s">
        <v>3647</v>
      </c>
      <c r="Q10758" s="9" t="s">
        <v>136</v>
      </c>
      <c r="R10758" s="14" t="str">
        <f>HYPERLINK("https://my.pitchbook.com?c=90445-42T","View Company Online")</f>
        <v>View Company Online</v>
      </c>
    </row>
    <row r="10759" spans="1:18" hidden="1" x14ac:dyDescent="0.3">
      <c r="A10759" s="15" t="s">
        <v>30387</v>
      </c>
      <c r="B10759" s="15" t="s">
        <v>13779</v>
      </c>
      <c r="C10759" s="18" t="s">
        <v>28</v>
      </c>
      <c r="D10759" s="15" t="s">
        <v>13780</v>
      </c>
      <c r="E10759" s="18" t="s">
        <v>28</v>
      </c>
      <c r="F10759" s="19" t="s">
        <v>28</v>
      </c>
      <c r="G10759" s="19">
        <v>2.71</v>
      </c>
      <c r="H10759" s="19" t="s">
        <v>28</v>
      </c>
      <c r="I10759" s="18" t="s">
        <v>28</v>
      </c>
      <c r="J10759" s="18" t="s">
        <v>28</v>
      </c>
      <c r="K10759" s="18" t="s">
        <v>28</v>
      </c>
      <c r="L10759" s="18" t="s">
        <v>28</v>
      </c>
      <c r="M10759" s="18" t="s">
        <v>28</v>
      </c>
      <c r="N10759" s="17">
        <v>41547</v>
      </c>
      <c r="O10759" s="15" t="s">
        <v>73</v>
      </c>
      <c r="P10759" s="16" t="s">
        <v>30388</v>
      </c>
      <c r="Q10759" s="15" t="s">
        <v>1341</v>
      </c>
      <c r="R10759" s="13" t="str">
        <f>HYPERLINK("https://my.pitchbook.com?c=29968-21T","View Company Online")</f>
        <v>View Company Online</v>
      </c>
    </row>
    <row r="10760" spans="1:18" hidden="1" x14ac:dyDescent="0.3">
      <c r="A10760" s="9" t="s">
        <v>30389</v>
      </c>
      <c r="B10760" s="9" t="s">
        <v>30390</v>
      </c>
      <c r="C10760" s="11" t="s">
        <v>28</v>
      </c>
      <c r="D10760" s="9" t="s">
        <v>30391</v>
      </c>
      <c r="E10760" s="11" t="s">
        <v>28</v>
      </c>
      <c r="F10760" s="10">
        <v>6.58</v>
      </c>
      <c r="G10760" s="10">
        <v>6.58</v>
      </c>
      <c r="H10760" s="10">
        <v>6.58</v>
      </c>
      <c r="I10760" s="11" t="s">
        <v>28</v>
      </c>
      <c r="J10760" s="11" t="s">
        <v>28</v>
      </c>
      <c r="K10760" s="11" t="s">
        <v>28</v>
      </c>
      <c r="L10760" s="11" t="s">
        <v>28</v>
      </c>
      <c r="M10760" s="11" t="s">
        <v>28</v>
      </c>
      <c r="N10760" s="8">
        <v>41547</v>
      </c>
      <c r="O10760" s="9" t="s">
        <v>30</v>
      </c>
      <c r="P10760" s="12" t="s">
        <v>30392</v>
      </c>
      <c r="Q10760" s="9" t="s">
        <v>348</v>
      </c>
      <c r="R10760" s="14" t="str">
        <f>HYPERLINK("https://my.pitchbook.com?c=68815-54T","View Company Online")</f>
        <v>View Company Online</v>
      </c>
    </row>
    <row r="10761" spans="1:18" hidden="1" x14ac:dyDescent="0.3">
      <c r="A10761" s="15" t="s">
        <v>30393</v>
      </c>
      <c r="B10761" s="15" t="s">
        <v>30394</v>
      </c>
      <c r="C10761" s="18" t="s">
        <v>28</v>
      </c>
      <c r="D10761" s="15" t="s">
        <v>30395</v>
      </c>
      <c r="E10761" s="18" t="s">
        <v>28</v>
      </c>
      <c r="F10761" s="19" t="s">
        <v>28</v>
      </c>
      <c r="G10761" s="19" t="s">
        <v>28</v>
      </c>
      <c r="H10761" s="19" t="s">
        <v>28</v>
      </c>
      <c r="I10761" s="18" t="s">
        <v>28</v>
      </c>
      <c r="J10761" s="18" t="s">
        <v>28</v>
      </c>
      <c r="K10761" s="18" t="s">
        <v>28</v>
      </c>
      <c r="L10761" s="18" t="s">
        <v>28</v>
      </c>
      <c r="M10761" s="18" t="s">
        <v>28</v>
      </c>
      <c r="N10761" s="17">
        <v>41544</v>
      </c>
      <c r="O10761" s="15" t="s">
        <v>58</v>
      </c>
      <c r="P10761" s="16" t="s">
        <v>29396</v>
      </c>
      <c r="Q10761" s="15" t="s">
        <v>900</v>
      </c>
      <c r="R10761" s="13" t="str">
        <f>HYPERLINK("https://my.pitchbook.com?c=44555-77T","View Company Online")</f>
        <v>View Company Online</v>
      </c>
    </row>
    <row r="10762" spans="1:18" hidden="1" x14ac:dyDescent="0.3">
      <c r="A10762" s="9" t="s">
        <v>30396</v>
      </c>
      <c r="B10762" s="9" t="s">
        <v>28521</v>
      </c>
      <c r="C10762" s="11" t="s">
        <v>28</v>
      </c>
      <c r="D10762" s="9" t="s">
        <v>28522</v>
      </c>
      <c r="E10762" s="11" t="s">
        <v>28</v>
      </c>
      <c r="F10762" s="10" t="s">
        <v>28</v>
      </c>
      <c r="G10762" s="10" t="s">
        <v>28</v>
      </c>
      <c r="H10762" s="10" t="s">
        <v>28</v>
      </c>
      <c r="I10762" s="11" t="s">
        <v>28</v>
      </c>
      <c r="J10762" s="11" t="s">
        <v>28</v>
      </c>
      <c r="K10762" s="11" t="s">
        <v>28</v>
      </c>
      <c r="L10762" s="11" t="s">
        <v>28</v>
      </c>
      <c r="M10762" s="11" t="s">
        <v>28</v>
      </c>
      <c r="N10762" s="8">
        <v>41541</v>
      </c>
      <c r="O10762" s="9" t="s">
        <v>52</v>
      </c>
      <c r="P10762" s="12" t="s">
        <v>7022</v>
      </c>
      <c r="Q10762" s="9" t="s">
        <v>37</v>
      </c>
      <c r="R10762" s="14" t="str">
        <f>HYPERLINK("https://my.pitchbook.com?c=73385-11T","View Company Online")</f>
        <v>View Company Online</v>
      </c>
    </row>
    <row r="10763" spans="1:18" hidden="1" x14ac:dyDescent="0.3">
      <c r="A10763" s="15" t="s">
        <v>30397</v>
      </c>
      <c r="B10763" s="15" t="s">
        <v>30207</v>
      </c>
      <c r="C10763" s="18" t="s">
        <v>28</v>
      </c>
      <c r="D10763" s="15" t="s">
        <v>30208</v>
      </c>
      <c r="E10763" s="18" t="s">
        <v>28</v>
      </c>
      <c r="F10763" s="19" t="s">
        <v>28</v>
      </c>
      <c r="G10763" s="19" t="s">
        <v>28</v>
      </c>
      <c r="H10763" s="19" t="s">
        <v>28</v>
      </c>
      <c r="I10763" s="18" t="s">
        <v>28</v>
      </c>
      <c r="J10763" s="18" t="s">
        <v>28</v>
      </c>
      <c r="K10763" s="18" t="s">
        <v>28</v>
      </c>
      <c r="L10763" s="18" t="s">
        <v>28</v>
      </c>
      <c r="M10763" s="18" t="s">
        <v>28</v>
      </c>
      <c r="N10763" s="17">
        <v>41541</v>
      </c>
      <c r="O10763" s="15" t="s">
        <v>52</v>
      </c>
      <c r="P10763" s="16" t="s">
        <v>30398</v>
      </c>
      <c r="Q10763" s="15" t="s">
        <v>583</v>
      </c>
      <c r="R10763" s="13" t="str">
        <f>HYPERLINK("https://my.pitchbook.com?c=149063-23T","View Company Online")</f>
        <v>View Company Online</v>
      </c>
    </row>
    <row r="10764" spans="1:18" hidden="1" x14ac:dyDescent="0.3">
      <c r="A10764" s="9" t="s">
        <v>30399</v>
      </c>
      <c r="B10764" s="9" t="s">
        <v>26886</v>
      </c>
      <c r="C10764" s="11" t="s">
        <v>28</v>
      </c>
      <c r="D10764" s="9" t="s">
        <v>26887</v>
      </c>
      <c r="E10764" s="11" t="s">
        <v>28</v>
      </c>
      <c r="F10764" s="10" t="s">
        <v>28</v>
      </c>
      <c r="G10764" s="10">
        <v>1.4</v>
      </c>
      <c r="H10764" s="10" t="s">
        <v>28</v>
      </c>
      <c r="I10764" s="11" t="s">
        <v>28</v>
      </c>
      <c r="J10764" s="11" t="s">
        <v>28</v>
      </c>
      <c r="K10764" s="11" t="s">
        <v>28</v>
      </c>
      <c r="L10764" s="11" t="s">
        <v>28</v>
      </c>
      <c r="M10764" s="11" t="s">
        <v>28</v>
      </c>
      <c r="N10764" s="8">
        <v>41540</v>
      </c>
      <c r="O10764" s="9" t="s">
        <v>99</v>
      </c>
      <c r="P10764" s="12" t="s">
        <v>30400</v>
      </c>
      <c r="Q10764" s="9" t="s">
        <v>740</v>
      </c>
      <c r="R10764" s="14" t="str">
        <f>HYPERLINK("https://my.pitchbook.com?c=28782-73T","View Company Online")</f>
        <v>View Company Online</v>
      </c>
    </row>
    <row r="10765" spans="1:18" hidden="1" x14ac:dyDescent="0.3">
      <c r="A10765" s="15" t="s">
        <v>30401</v>
      </c>
      <c r="B10765" s="15" t="s">
        <v>29149</v>
      </c>
      <c r="C10765" s="18" t="s">
        <v>28</v>
      </c>
      <c r="D10765" s="15" t="s">
        <v>29150</v>
      </c>
      <c r="E10765" s="18" t="s">
        <v>28</v>
      </c>
      <c r="F10765" s="19" t="s">
        <v>28</v>
      </c>
      <c r="G10765" s="19">
        <v>0.09</v>
      </c>
      <c r="H10765" s="19" t="s">
        <v>28</v>
      </c>
      <c r="I10765" s="18" t="s">
        <v>28</v>
      </c>
      <c r="J10765" s="18" t="s">
        <v>28</v>
      </c>
      <c r="K10765" s="18" t="s">
        <v>28</v>
      </c>
      <c r="L10765" s="18" t="s">
        <v>28</v>
      </c>
      <c r="M10765" s="18" t="s">
        <v>28</v>
      </c>
      <c r="N10765" s="17">
        <v>41537</v>
      </c>
      <c r="O10765" s="15" t="s">
        <v>52</v>
      </c>
      <c r="P10765" s="16" t="s">
        <v>7022</v>
      </c>
      <c r="Q10765" s="15" t="s">
        <v>43</v>
      </c>
      <c r="R10765" s="13" t="str">
        <f>HYPERLINK("https://my.pitchbook.com?c=59364-64T","View Company Online")</f>
        <v>View Company Online</v>
      </c>
    </row>
    <row r="10766" spans="1:18" hidden="1" x14ac:dyDescent="0.3">
      <c r="A10766" s="9" t="s">
        <v>30402</v>
      </c>
      <c r="B10766" s="9" t="s">
        <v>30403</v>
      </c>
      <c r="C10766" s="11" t="s">
        <v>28</v>
      </c>
      <c r="D10766" s="9" t="s">
        <v>30404</v>
      </c>
      <c r="E10766" s="11" t="s">
        <v>28</v>
      </c>
      <c r="F10766" s="10" t="s">
        <v>28</v>
      </c>
      <c r="G10766" s="10">
        <v>1.28</v>
      </c>
      <c r="H10766" s="10" t="s">
        <v>28</v>
      </c>
      <c r="I10766" s="11" t="s">
        <v>28</v>
      </c>
      <c r="J10766" s="11" t="s">
        <v>28</v>
      </c>
      <c r="K10766" s="11" t="s">
        <v>28</v>
      </c>
      <c r="L10766" s="11" t="s">
        <v>28</v>
      </c>
      <c r="M10766" s="11" t="s">
        <v>28</v>
      </c>
      <c r="N10766" s="8">
        <v>41535</v>
      </c>
      <c r="O10766" s="9" t="s">
        <v>73</v>
      </c>
      <c r="P10766" s="12" t="s">
        <v>11495</v>
      </c>
      <c r="Q10766" s="9" t="s">
        <v>1374</v>
      </c>
      <c r="R10766" s="14" t="str">
        <f>HYPERLINK("https://my.pitchbook.com?c=53748-46T","View Company Online")</f>
        <v>View Company Online</v>
      </c>
    </row>
    <row r="10767" spans="1:18" hidden="1" x14ac:dyDescent="0.3">
      <c r="A10767" s="15" t="s">
        <v>30405</v>
      </c>
      <c r="B10767" s="15" t="s">
        <v>22005</v>
      </c>
      <c r="C10767" s="18" t="s">
        <v>28</v>
      </c>
      <c r="D10767" s="15" t="s">
        <v>22006</v>
      </c>
      <c r="E10767" s="18" t="s">
        <v>28</v>
      </c>
      <c r="F10767" s="19" t="s">
        <v>28</v>
      </c>
      <c r="G10767" s="19" t="s">
        <v>28</v>
      </c>
      <c r="H10767" s="19" t="s">
        <v>28</v>
      </c>
      <c r="I10767" s="18" t="s">
        <v>28</v>
      </c>
      <c r="J10767" s="18" t="s">
        <v>28</v>
      </c>
      <c r="K10767" s="18" t="s">
        <v>28</v>
      </c>
      <c r="L10767" s="18" t="s">
        <v>28</v>
      </c>
      <c r="M10767" s="18" t="s">
        <v>28</v>
      </c>
      <c r="N10767" s="17">
        <v>41535</v>
      </c>
      <c r="O10767" s="15" t="s">
        <v>58</v>
      </c>
      <c r="P10767" s="16" t="s">
        <v>30406</v>
      </c>
      <c r="Q10767" s="15" t="s">
        <v>64</v>
      </c>
      <c r="R10767" s="13" t="str">
        <f>HYPERLINK("https://my.pitchbook.com?c=28675-36T","View Company Online")</f>
        <v>View Company Online</v>
      </c>
    </row>
    <row r="10768" spans="1:18" hidden="1" x14ac:dyDescent="0.3">
      <c r="A10768" s="9" t="s">
        <v>30407</v>
      </c>
      <c r="B10768" s="9" t="s">
        <v>30408</v>
      </c>
      <c r="C10768" s="11" t="s">
        <v>28</v>
      </c>
      <c r="D10768" s="9" t="s">
        <v>30409</v>
      </c>
      <c r="E10768" s="11">
        <v>-67.44</v>
      </c>
      <c r="F10768" s="10" t="s">
        <v>28</v>
      </c>
      <c r="G10768" s="10" t="s">
        <v>28</v>
      </c>
      <c r="H10768" s="10" t="s">
        <v>28</v>
      </c>
      <c r="I10768" s="11">
        <v>-39.590000000000003</v>
      </c>
      <c r="J10768" s="11" t="s">
        <v>28</v>
      </c>
      <c r="K10768" s="11">
        <v>254.05</v>
      </c>
      <c r="L10768" s="11" t="s">
        <v>28</v>
      </c>
      <c r="M10768" s="11">
        <v>-97.31</v>
      </c>
      <c r="N10768" s="8">
        <v>41535</v>
      </c>
      <c r="O10768" s="9" t="s">
        <v>159</v>
      </c>
      <c r="P10768" s="12" t="s">
        <v>13094</v>
      </c>
      <c r="Q10768" s="9" t="s">
        <v>54</v>
      </c>
      <c r="R10768" s="14" t="str">
        <f>HYPERLINK("https://my.pitchbook.com?c=179327-26T","View Company Online")</f>
        <v>View Company Online</v>
      </c>
    </row>
    <row r="10769" spans="1:18" hidden="1" x14ac:dyDescent="0.3">
      <c r="A10769" s="15" t="s">
        <v>30410</v>
      </c>
      <c r="B10769" s="15" t="s">
        <v>10389</v>
      </c>
      <c r="C10769" s="18" t="s">
        <v>28</v>
      </c>
      <c r="D10769" s="15" t="s">
        <v>10390</v>
      </c>
      <c r="E10769" s="18" t="s">
        <v>28</v>
      </c>
      <c r="F10769" s="19" t="s">
        <v>28</v>
      </c>
      <c r="G10769" s="19">
        <v>70</v>
      </c>
      <c r="H10769" s="19" t="s">
        <v>28</v>
      </c>
      <c r="I10769" s="18" t="s">
        <v>28</v>
      </c>
      <c r="J10769" s="18" t="s">
        <v>28</v>
      </c>
      <c r="K10769" s="18">
        <v>200</v>
      </c>
      <c r="L10769" s="18" t="s">
        <v>28</v>
      </c>
      <c r="M10769" s="18" t="s">
        <v>28</v>
      </c>
      <c r="N10769" s="17">
        <v>41534</v>
      </c>
      <c r="O10769" s="15" t="s">
        <v>73</v>
      </c>
      <c r="P10769" s="16" t="s">
        <v>30411</v>
      </c>
      <c r="Q10769" s="15" t="s">
        <v>740</v>
      </c>
      <c r="R10769" s="13" t="str">
        <f>HYPERLINK("https://my.pitchbook.com?c=28603-63T","View Company Online")</f>
        <v>View Company Online</v>
      </c>
    </row>
    <row r="10770" spans="1:18" hidden="1" x14ac:dyDescent="0.3">
      <c r="A10770" s="9" t="s">
        <v>30412</v>
      </c>
      <c r="B10770" s="9" t="s">
        <v>30413</v>
      </c>
      <c r="C10770" s="11" t="s">
        <v>28</v>
      </c>
      <c r="D10770" s="9" t="s">
        <v>30414</v>
      </c>
      <c r="E10770" s="11" t="s">
        <v>28</v>
      </c>
      <c r="F10770" s="10" t="s">
        <v>28</v>
      </c>
      <c r="G10770" s="10" t="s">
        <v>28</v>
      </c>
      <c r="H10770" s="10" t="s">
        <v>28</v>
      </c>
      <c r="I10770" s="11" t="s">
        <v>28</v>
      </c>
      <c r="J10770" s="11" t="s">
        <v>28</v>
      </c>
      <c r="K10770" s="11" t="s">
        <v>28</v>
      </c>
      <c r="L10770" s="11" t="s">
        <v>28</v>
      </c>
      <c r="M10770" s="11" t="s">
        <v>28</v>
      </c>
      <c r="N10770" s="8">
        <v>41534</v>
      </c>
      <c r="O10770" s="9" t="s">
        <v>30</v>
      </c>
      <c r="P10770" s="12" t="s">
        <v>30415</v>
      </c>
      <c r="Q10770" s="9" t="s">
        <v>136</v>
      </c>
      <c r="R10770" s="14" t="str">
        <f>HYPERLINK("https://my.pitchbook.com?c=89682-58T","View Company Online")</f>
        <v>View Company Online</v>
      </c>
    </row>
    <row r="10771" spans="1:18" hidden="1" x14ac:dyDescent="0.3">
      <c r="A10771" s="15" t="s">
        <v>30416</v>
      </c>
      <c r="B10771" s="15" t="s">
        <v>18971</v>
      </c>
      <c r="C10771" s="18" t="s">
        <v>28</v>
      </c>
      <c r="D10771" s="15" t="s">
        <v>23891</v>
      </c>
      <c r="E10771" s="18" t="s">
        <v>28</v>
      </c>
      <c r="F10771" s="19" t="s">
        <v>28</v>
      </c>
      <c r="G10771" s="19" t="s">
        <v>28</v>
      </c>
      <c r="H10771" s="19" t="s">
        <v>28</v>
      </c>
      <c r="I10771" s="18" t="s">
        <v>28</v>
      </c>
      <c r="J10771" s="18" t="s">
        <v>28</v>
      </c>
      <c r="K10771" s="18" t="s">
        <v>28</v>
      </c>
      <c r="L10771" s="18" t="s">
        <v>28</v>
      </c>
      <c r="M10771" s="18" t="s">
        <v>28</v>
      </c>
      <c r="N10771" s="17">
        <v>41534</v>
      </c>
      <c r="O10771" s="15" t="s">
        <v>30</v>
      </c>
      <c r="P10771" s="16" t="s">
        <v>30417</v>
      </c>
      <c r="Q10771" s="15" t="s">
        <v>386</v>
      </c>
      <c r="R10771" s="13" t="str">
        <f>HYPERLINK("https://my.pitchbook.com?c=34695-37T","View Company Online")</f>
        <v>View Company Online</v>
      </c>
    </row>
    <row r="10772" spans="1:18" hidden="1" x14ac:dyDescent="0.3">
      <c r="A10772" s="9" t="s">
        <v>30418</v>
      </c>
      <c r="B10772" s="9" t="s">
        <v>30419</v>
      </c>
      <c r="C10772" s="11" t="s">
        <v>28</v>
      </c>
      <c r="D10772" s="9" t="s">
        <v>30420</v>
      </c>
      <c r="E10772" s="11" t="s">
        <v>28</v>
      </c>
      <c r="F10772" s="10" t="s">
        <v>28</v>
      </c>
      <c r="G10772" s="10" t="s">
        <v>28</v>
      </c>
      <c r="H10772" s="10" t="s">
        <v>28</v>
      </c>
      <c r="I10772" s="11" t="s">
        <v>28</v>
      </c>
      <c r="J10772" s="11" t="s">
        <v>28</v>
      </c>
      <c r="K10772" s="11" t="s">
        <v>28</v>
      </c>
      <c r="L10772" s="11" t="s">
        <v>28</v>
      </c>
      <c r="M10772" s="11" t="s">
        <v>28</v>
      </c>
      <c r="N10772" s="8">
        <v>41530</v>
      </c>
      <c r="O10772" s="9" t="s">
        <v>30</v>
      </c>
      <c r="P10772" s="12" t="s">
        <v>30421</v>
      </c>
      <c r="Q10772" s="9" t="s">
        <v>64</v>
      </c>
      <c r="R10772" s="14" t="str">
        <f>HYPERLINK("https://my.pitchbook.com?c=89687-71T","View Company Online")</f>
        <v>View Company Online</v>
      </c>
    </row>
    <row r="10773" spans="1:18" hidden="1" x14ac:dyDescent="0.3">
      <c r="A10773" s="15" t="s">
        <v>30422</v>
      </c>
      <c r="B10773" s="15" t="s">
        <v>9036</v>
      </c>
      <c r="C10773" s="18" t="s">
        <v>28</v>
      </c>
      <c r="D10773" s="15" t="s">
        <v>9037</v>
      </c>
      <c r="E10773" s="18" t="s">
        <v>28</v>
      </c>
      <c r="F10773" s="19" t="s">
        <v>28</v>
      </c>
      <c r="G10773" s="19">
        <v>0.08</v>
      </c>
      <c r="H10773" s="19" t="s">
        <v>28</v>
      </c>
      <c r="I10773" s="18" t="s">
        <v>28</v>
      </c>
      <c r="J10773" s="18" t="s">
        <v>28</v>
      </c>
      <c r="K10773" s="18" t="s">
        <v>28</v>
      </c>
      <c r="L10773" s="18" t="s">
        <v>28</v>
      </c>
      <c r="M10773" s="18" t="s">
        <v>28</v>
      </c>
      <c r="N10773" s="17">
        <v>41529</v>
      </c>
      <c r="O10773" s="15" t="s">
        <v>52</v>
      </c>
      <c r="P10773" s="16" t="s">
        <v>850</v>
      </c>
      <c r="Q10773" s="15" t="s">
        <v>75</v>
      </c>
      <c r="R10773" s="13" t="str">
        <f>HYPERLINK("https://my.pitchbook.com?c=92688-40T","View Company Online")</f>
        <v>View Company Online</v>
      </c>
    </row>
    <row r="10774" spans="1:18" hidden="1" x14ac:dyDescent="0.3">
      <c r="A10774" s="9" t="s">
        <v>30423</v>
      </c>
      <c r="B10774" s="9" t="s">
        <v>30424</v>
      </c>
      <c r="C10774" s="11" t="s">
        <v>28</v>
      </c>
      <c r="D10774" s="9" t="s">
        <v>30425</v>
      </c>
      <c r="E10774" s="11" t="s">
        <v>28</v>
      </c>
      <c r="F10774" s="10" t="s">
        <v>28</v>
      </c>
      <c r="G10774" s="10" t="s">
        <v>28</v>
      </c>
      <c r="H10774" s="10" t="s">
        <v>28</v>
      </c>
      <c r="I10774" s="11" t="s">
        <v>28</v>
      </c>
      <c r="J10774" s="11" t="s">
        <v>28</v>
      </c>
      <c r="K10774" s="11" t="s">
        <v>28</v>
      </c>
      <c r="L10774" s="11" t="s">
        <v>28</v>
      </c>
      <c r="M10774" s="11" t="s">
        <v>28</v>
      </c>
      <c r="N10774" s="8">
        <v>41527</v>
      </c>
      <c r="O10774" s="9" t="s">
        <v>173</v>
      </c>
      <c r="P10774" s="12" t="s">
        <v>28</v>
      </c>
      <c r="Q10774" s="9" t="s">
        <v>174</v>
      </c>
      <c r="R10774" s="14" t="str">
        <f>HYPERLINK("https://my.pitchbook.com?c=224074-90T","View Company Online")</f>
        <v>View Company Online</v>
      </c>
    </row>
    <row r="10775" spans="1:18" hidden="1" x14ac:dyDescent="0.3">
      <c r="A10775" s="15" t="s">
        <v>30426</v>
      </c>
      <c r="B10775" s="15" t="s">
        <v>30427</v>
      </c>
      <c r="C10775" s="18" t="s">
        <v>28</v>
      </c>
      <c r="D10775" s="15" t="s">
        <v>30428</v>
      </c>
      <c r="E10775" s="18" t="s">
        <v>28</v>
      </c>
      <c r="F10775" s="19" t="s">
        <v>28</v>
      </c>
      <c r="G10775" s="19" t="s">
        <v>28</v>
      </c>
      <c r="H10775" s="19" t="s">
        <v>28</v>
      </c>
      <c r="I10775" s="18" t="s">
        <v>28</v>
      </c>
      <c r="J10775" s="18" t="s">
        <v>28</v>
      </c>
      <c r="K10775" s="18" t="s">
        <v>28</v>
      </c>
      <c r="L10775" s="18" t="s">
        <v>28</v>
      </c>
      <c r="M10775" s="18" t="s">
        <v>28</v>
      </c>
      <c r="N10775" s="17">
        <v>41526</v>
      </c>
      <c r="O10775" s="15" t="s">
        <v>30</v>
      </c>
      <c r="P10775" s="16" t="s">
        <v>30429</v>
      </c>
      <c r="Q10775" s="15" t="s">
        <v>299</v>
      </c>
      <c r="R10775" s="13" t="str">
        <f>HYPERLINK("https://my.pitchbook.com?c=28573-93T","View Company Online")</f>
        <v>View Company Online</v>
      </c>
    </row>
    <row r="10776" spans="1:18" hidden="1" x14ac:dyDescent="0.3">
      <c r="A10776" s="9" t="s">
        <v>30430</v>
      </c>
      <c r="B10776" s="9" t="s">
        <v>876</v>
      </c>
      <c r="C10776" s="11" t="s">
        <v>28</v>
      </c>
      <c r="D10776" s="9" t="s">
        <v>1829</v>
      </c>
      <c r="E10776" s="11">
        <v>-352.93</v>
      </c>
      <c r="F10776" s="10" t="s">
        <v>28</v>
      </c>
      <c r="G10776" s="10">
        <v>76.959999999999994</v>
      </c>
      <c r="H10776" s="10" t="s">
        <v>28</v>
      </c>
      <c r="I10776" s="11">
        <v>-329.11</v>
      </c>
      <c r="J10776" s="11" t="s">
        <v>28</v>
      </c>
      <c r="K10776" s="11">
        <v>304.25</v>
      </c>
      <c r="L10776" s="11" t="s">
        <v>28</v>
      </c>
      <c r="M10776" s="11">
        <v>-346.11</v>
      </c>
      <c r="N10776" s="8">
        <v>41526</v>
      </c>
      <c r="O10776" s="9" t="s">
        <v>159</v>
      </c>
      <c r="P10776" s="12" t="s">
        <v>343</v>
      </c>
      <c r="Q10776" s="9" t="s">
        <v>226</v>
      </c>
      <c r="R10776" s="14" t="str">
        <f>HYPERLINK("https://my.pitchbook.com?c=28425-16T","View Company Online")</f>
        <v>View Company Online</v>
      </c>
    </row>
    <row r="10777" spans="1:18" hidden="1" x14ac:dyDescent="0.3">
      <c r="A10777" s="15" t="s">
        <v>30431</v>
      </c>
      <c r="B10777" s="15" t="s">
        <v>30432</v>
      </c>
      <c r="C10777" s="18" t="s">
        <v>28</v>
      </c>
      <c r="D10777" s="15" t="s">
        <v>30433</v>
      </c>
      <c r="E10777" s="18" t="s">
        <v>28</v>
      </c>
      <c r="F10777" s="19" t="s">
        <v>28</v>
      </c>
      <c r="G10777" s="19" t="s">
        <v>28</v>
      </c>
      <c r="H10777" s="19" t="s">
        <v>28</v>
      </c>
      <c r="I10777" s="18" t="s">
        <v>28</v>
      </c>
      <c r="J10777" s="18" t="s">
        <v>28</v>
      </c>
      <c r="K10777" s="18" t="s">
        <v>28</v>
      </c>
      <c r="L10777" s="18" t="s">
        <v>28</v>
      </c>
      <c r="M10777" s="18" t="s">
        <v>28</v>
      </c>
      <c r="N10777" s="17">
        <v>41526</v>
      </c>
      <c r="O10777" s="15" t="s">
        <v>30</v>
      </c>
      <c r="P10777" s="16" t="s">
        <v>30434</v>
      </c>
      <c r="Q10777" s="15" t="s">
        <v>855</v>
      </c>
      <c r="R10777" s="13" t="str">
        <f>HYPERLINK("https://my.pitchbook.com?c=88156-90T","View Company Online")</f>
        <v>View Company Online</v>
      </c>
    </row>
    <row r="10778" spans="1:18" hidden="1" x14ac:dyDescent="0.3">
      <c r="A10778" s="9" t="s">
        <v>30435</v>
      </c>
      <c r="B10778" s="9" t="s">
        <v>30436</v>
      </c>
      <c r="C10778" s="11" t="s">
        <v>28</v>
      </c>
      <c r="D10778" s="9" t="s">
        <v>30437</v>
      </c>
      <c r="E10778" s="11" t="s">
        <v>28</v>
      </c>
      <c r="F10778" s="10" t="s">
        <v>28</v>
      </c>
      <c r="G10778" s="10" t="s">
        <v>28</v>
      </c>
      <c r="H10778" s="10" t="s">
        <v>28</v>
      </c>
      <c r="I10778" s="11" t="s">
        <v>28</v>
      </c>
      <c r="J10778" s="11" t="s">
        <v>28</v>
      </c>
      <c r="K10778" s="11" t="s">
        <v>28</v>
      </c>
      <c r="L10778" s="11" t="s">
        <v>28</v>
      </c>
      <c r="M10778" s="11" t="s">
        <v>28</v>
      </c>
      <c r="N10778" s="8">
        <v>41526</v>
      </c>
      <c r="O10778" s="9" t="s">
        <v>30</v>
      </c>
      <c r="P10778" s="12" t="s">
        <v>25594</v>
      </c>
      <c r="Q10778" s="9" t="s">
        <v>692</v>
      </c>
      <c r="R10778" s="14" t="str">
        <f>HYPERLINK("https://my.pitchbook.com?c=67550-86T","View Company Online")</f>
        <v>View Company Online</v>
      </c>
    </row>
    <row r="10779" spans="1:18" hidden="1" x14ac:dyDescent="0.3">
      <c r="A10779" s="15" t="s">
        <v>30438</v>
      </c>
      <c r="B10779" s="15" t="s">
        <v>26282</v>
      </c>
      <c r="C10779" s="18" t="s">
        <v>28</v>
      </c>
      <c r="D10779" s="15" t="s">
        <v>26283</v>
      </c>
      <c r="E10779" s="18">
        <v>300.35000000000002</v>
      </c>
      <c r="F10779" s="19" t="s">
        <v>28</v>
      </c>
      <c r="G10779" s="19">
        <v>490</v>
      </c>
      <c r="H10779" s="19">
        <v>5444.44</v>
      </c>
      <c r="I10779" s="18">
        <v>428.39</v>
      </c>
      <c r="J10779" s="18">
        <v>12.71</v>
      </c>
      <c r="K10779" s="18">
        <v>1555.3</v>
      </c>
      <c r="L10779" s="18">
        <v>3.5</v>
      </c>
      <c r="M10779" s="18">
        <v>200.55</v>
      </c>
      <c r="N10779" s="17">
        <v>41523</v>
      </c>
      <c r="O10779" s="15" t="s">
        <v>58</v>
      </c>
      <c r="P10779" s="16" t="s">
        <v>24868</v>
      </c>
      <c r="Q10779" s="15" t="s">
        <v>24243</v>
      </c>
      <c r="R10779" s="13" t="str">
        <f>HYPERLINK("https://my.pitchbook.com?c=29832-31T","View Company Online")</f>
        <v>View Company Online</v>
      </c>
    </row>
    <row r="10780" spans="1:18" hidden="1" x14ac:dyDescent="0.3">
      <c r="A10780" s="9" t="s">
        <v>30439</v>
      </c>
      <c r="B10780" s="9" t="s">
        <v>21392</v>
      </c>
      <c r="C10780" s="11" t="s">
        <v>28</v>
      </c>
      <c r="D10780" s="9" t="s">
        <v>21393</v>
      </c>
      <c r="E10780" s="11" t="s">
        <v>28</v>
      </c>
      <c r="F10780" s="10">
        <v>281.7</v>
      </c>
      <c r="G10780" s="10">
        <v>169</v>
      </c>
      <c r="H10780" s="10">
        <v>281.7</v>
      </c>
      <c r="I10780" s="11" t="s">
        <v>28</v>
      </c>
      <c r="J10780" s="11" t="s">
        <v>28</v>
      </c>
      <c r="K10780" s="11" t="s">
        <v>28</v>
      </c>
      <c r="L10780" s="11" t="s">
        <v>28</v>
      </c>
      <c r="M10780" s="11" t="s">
        <v>28</v>
      </c>
      <c r="N10780" s="8">
        <v>41522</v>
      </c>
      <c r="O10780" s="9" t="s">
        <v>41</v>
      </c>
      <c r="P10780" s="12" t="s">
        <v>30440</v>
      </c>
      <c r="Q10780" s="9" t="s">
        <v>226</v>
      </c>
      <c r="R10780" s="14" t="str">
        <f>HYPERLINK("https://my.pitchbook.com?c=28357-12T","View Company Online")</f>
        <v>View Company Online</v>
      </c>
    </row>
    <row r="10781" spans="1:18" hidden="1" x14ac:dyDescent="0.3">
      <c r="A10781" s="15" t="s">
        <v>30441</v>
      </c>
      <c r="B10781" s="15" t="s">
        <v>30442</v>
      </c>
      <c r="C10781" s="18" t="s">
        <v>28</v>
      </c>
      <c r="D10781" s="15" t="s">
        <v>30443</v>
      </c>
      <c r="E10781" s="18" t="s">
        <v>28</v>
      </c>
      <c r="F10781" s="19" t="s">
        <v>28</v>
      </c>
      <c r="G10781" s="19" t="s">
        <v>28</v>
      </c>
      <c r="H10781" s="19" t="s">
        <v>28</v>
      </c>
      <c r="I10781" s="18" t="s">
        <v>28</v>
      </c>
      <c r="J10781" s="18" t="s">
        <v>28</v>
      </c>
      <c r="K10781" s="18">
        <v>92.51</v>
      </c>
      <c r="L10781" s="18" t="s">
        <v>28</v>
      </c>
      <c r="M10781" s="18" t="s">
        <v>28</v>
      </c>
      <c r="N10781" s="17">
        <v>41522</v>
      </c>
      <c r="O10781" s="15" t="s">
        <v>30</v>
      </c>
      <c r="P10781" s="16" t="s">
        <v>30444</v>
      </c>
      <c r="Q10781" s="15" t="s">
        <v>900</v>
      </c>
      <c r="R10781" s="13" t="str">
        <f>HYPERLINK("https://my.pitchbook.com?c=89763-40T","View Company Online")</f>
        <v>View Company Online</v>
      </c>
    </row>
    <row r="10782" spans="1:18" hidden="1" x14ac:dyDescent="0.3">
      <c r="A10782" s="9" t="s">
        <v>30445</v>
      </c>
      <c r="B10782" s="9" t="s">
        <v>30262</v>
      </c>
      <c r="C10782" s="11" t="s">
        <v>28</v>
      </c>
      <c r="D10782" s="9" t="s">
        <v>30263</v>
      </c>
      <c r="E10782" s="11">
        <v>-3031.81</v>
      </c>
      <c r="F10782" s="10" t="s">
        <v>28</v>
      </c>
      <c r="G10782" s="10">
        <v>16.8</v>
      </c>
      <c r="H10782" s="10" t="s">
        <v>28</v>
      </c>
      <c r="I10782" s="11">
        <v>-2974.75</v>
      </c>
      <c r="J10782" s="11" t="s">
        <v>28</v>
      </c>
      <c r="K10782" s="11">
        <v>357.98</v>
      </c>
      <c r="L10782" s="11" t="s">
        <v>28</v>
      </c>
      <c r="M10782" s="11">
        <v>-3008.7</v>
      </c>
      <c r="N10782" s="8">
        <v>41522</v>
      </c>
      <c r="O10782" s="9" t="s">
        <v>159</v>
      </c>
      <c r="P10782" s="12" t="s">
        <v>30446</v>
      </c>
      <c r="Q10782" s="9" t="s">
        <v>268</v>
      </c>
      <c r="R10782" s="14" t="str">
        <f>HYPERLINK("https://my.pitchbook.com?c=28674-73T","View Company Online")</f>
        <v>View Company Online</v>
      </c>
    </row>
    <row r="10783" spans="1:18" hidden="1" x14ac:dyDescent="0.3">
      <c r="A10783" s="15" t="s">
        <v>30447</v>
      </c>
      <c r="B10783" s="15" t="s">
        <v>30448</v>
      </c>
      <c r="C10783" s="18" t="s">
        <v>28</v>
      </c>
      <c r="D10783" s="15" t="s">
        <v>30449</v>
      </c>
      <c r="E10783" s="18" t="s">
        <v>28</v>
      </c>
      <c r="F10783" s="19">
        <v>23</v>
      </c>
      <c r="G10783" s="19">
        <v>23</v>
      </c>
      <c r="H10783" s="19">
        <v>23</v>
      </c>
      <c r="I10783" s="18" t="s">
        <v>28</v>
      </c>
      <c r="J10783" s="18" t="s">
        <v>28</v>
      </c>
      <c r="K10783" s="18" t="s">
        <v>28</v>
      </c>
      <c r="L10783" s="18" t="s">
        <v>28</v>
      </c>
      <c r="M10783" s="18" t="s">
        <v>28</v>
      </c>
      <c r="N10783" s="17">
        <v>41521</v>
      </c>
      <c r="O10783" s="15" t="s">
        <v>30</v>
      </c>
      <c r="P10783" s="16" t="s">
        <v>30450</v>
      </c>
      <c r="Q10783" s="15" t="s">
        <v>959</v>
      </c>
      <c r="R10783" s="13" t="str">
        <f>HYPERLINK("https://my.pitchbook.com?c=28811-80T","View Company Online")</f>
        <v>View Company Online</v>
      </c>
    </row>
    <row r="10784" spans="1:18" hidden="1" x14ac:dyDescent="0.3">
      <c r="A10784" s="9" t="s">
        <v>30451</v>
      </c>
      <c r="B10784" s="9" t="s">
        <v>13747</v>
      </c>
      <c r="C10784" s="11" t="s">
        <v>28</v>
      </c>
      <c r="D10784" s="9" t="s">
        <v>13748</v>
      </c>
      <c r="E10784" s="11" t="s">
        <v>28</v>
      </c>
      <c r="F10784" s="10" t="s">
        <v>28</v>
      </c>
      <c r="G10784" s="10">
        <v>2.97</v>
      </c>
      <c r="H10784" s="10" t="s">
        <v>28</v>
      </c>
      <c r="I10784" s="11" t="s">
        <v>28</v>
      </c>
      <c r="J10784" s="11" t="s">
        <v>28</v>
      </c>
      <c r="K10784" s="11" t="s">
        <v>28</v>
      </c>
      <c r="L10784" s="11" t="s">
        <v>28</v>
      </c>
      <c r="M10784" s="11" t="s">
        <v>28</v>
      </c>
      <c r="N10784" s="8">
        <v>41521</v>
      </c>
      <c r="O10784" s="9" t="s">
        <v>73</v>
      </c>
      <c r="P10784" s="12" t="s">
        <v>30452</v>
      </c>
      <c r="Q10784" s="9" t="s">
        <v>740</v>
      </c>
      <c r="R10784" s="14" t="str">
        <f>HYPERLINK("https://my.pitchbook.com?c=34532-47T","View Company Online")</f>
        <v>View Company Online</v>
      </c>
    </row>
    <row r="10785" spans="1:18" hidden="1" x14ac:dyDescent="0.3">
      <c r="A10785" s="15" t="s">
        <v>30453</v>
      </c>
      <c r="B10785" s="15" t="s">
        <v>30454</v>
      </c>
      <c r="C10785" s="18" t="s">
        <v>28</v>
      </c>
      <c r="D10785" s="15" t="s">
        <v>30455</v>
      </c>
      <c r="E10785" s="18" t="s">
        <v>28</v>
      </c>
      <c r="F10785" s="19" t="s">
        <v>28</v>
      </c>
      <c r="G10785" s="19" t="s">
        <v>28</v>
      </c>
      <c r="H10785" s="19" t="s">
        <v>28</v>
      </c>
      <c r="I10785" s="18" t="s">
        <v>28</v>
      </c>
      <c r="J10785" s="18" t="s">
        <v>28</v>
      </c>
      <c r="K10785" s="18" t="s">
        <v>28</v>
      </c>
      <c r="L10785" s="18" t="s">
        <v>28</v>
      </c>
      <c r="M10785" s="18" t="s">
        <v>28</v>
      </c>
      <c r="N10785" s="17">
        <v>41521</v>
      </c>
      <c r="O10785" s="15" t="s">
        <v>30</v>
      </c>
      <c r="P10785" s="16" t="s">
        <v>30456</v>
      </c>
      <c r="Q10785" s="15" t="s">
        <v>5347</v>
      </c>
      <c r="R10785" s="13" t="str">
        <f>HYPERLINK("https://my.pitchbook.com?c=75009-07T","View Company Online")</f>
        <v>View Company Online</v>
      </c>
    </row>
    <row r="10786" spans="1:18" hidden="1" x14ac:dyDescent="0.3">
      <c r="A10786" s="9" t="s">
        <v>30457</v>
      </c>
      <c r="B10786" s="9" t="s">
        <v>30458</v>
      </c>
      <c r="C10786" s="11" t="s">
        <v>28</v>
      </c>
      <c r="D10786" s="9" t="s">
        <v>30459</v>
      </c>
      <c r="E10786" s="11" t="s">
        <v>28</v>
      </c>
      <c r="F10786" s="10" t="s">
        <v>28</v>
      </c>
      <c r="G10786" s="10">
        <v>0.01</v>
      </c>
      <c r="H10786" s="10" t="s">
        <v>28</v>
      </c>
      <c r="I10786" s="11" t="s">
        <v>28</v>
      </c>
      <c r="J10786" s="11" t="s">
        <v>28</v>
      </c>
      <c r="K10786" s="11" t="s">
        <v>28</v>
      </c>
      <c r="L10786" s="11" t="s">
        <v>28</v>
      </c>
      <c r="M10786" s="11" t="s">
        <v>28</v>
      </c>
      <c r="N10786" s="8">
        <v>41519</v>
      </c>
      <c r="O10786" s="9" t="s">
        <v>379</v>
      </c>
      <c r="P10786" s="12" t="s">
        <v>30460</v>
      </c>
      <c r="Q10786" s="9" t="s">
        <v>566</v>
      </c>
      <c r="R10786" s="14" t="str">
        <f>HYPERLINK("https://my.pitchbook.com?c=52122-52T","View Company Online")</f>
        <v>View Company Online</v>
      </c>
    </row>
    <row r="10787" spans="1:18" hidden="1" x14ac:dyDescent="0.3">
      <c r="A10787" s="15" t="s">
        <v>30461</v>
      </c>
      <c r="B10787" s="15" t="s">
        <v>30462</v>
      </c>
      <c r="C10787" s="18" t="s">
        <v>28</v>
      </c>
      <c r="D10787" s="15" t="s">
        <v>30463</v>
      </c>
      <c r="E10787" s="18" t="s">
        <v>28</v>
      </c>
      <c r="F10787" s="19">
        <v>1.4</v>
      </c>
      <c r="G10787" s="19">
        <v>1.4</v>
      </c>
      <c r="H10787" s="19">
        <v>1.4</v>
      </c>
      <c r="I10787" s="18" t="s">
        <v>28</v>
      </c>
      <c r="J10787" s="18" t="s">
        <v>28</v>
      </c>
      <c r="K10787" s="18" t="s">
        <v>28</v>
      </c>
      <c r="L10787" s="18" t="s">
        <v>28</v>
      </c>
      <c r="M10787" s="18" t="s">
        <v>28</v>
      </c>
      <c r="N10787" s="17">
        <v>41519</v>
      </c>
      <c r="O10787" s="15" t="s">
        <v>30</v>
      </c>
      <c r="P10787" s="16" t="s">
        <v>30464</v>
      </c>
      <c r="Q10787" s="15" t="s">
        <v>353</v>
      </c>
      <c r="R10787" s="13" t="str">
        <f>HYPERLINK("https://my.pitchbook.com?c=95118-85T","View Company Online")</f>
        <v>View Company Online</v>
      </c>
    </row>
    <row r="10788" spans="1:18" hidden="1" x14ac:dyDescent="0.3">
      <c r="A10788" s="9" t="s">
        <v>30465</v>
      </c>
      <c r="B10788" s="9" t="s">
        <v>30466</v>
      </c>
      <c r="C10788" s="11" t="s">
        <v>28</v>
      </c>
      <c r="D10788" s="9" t="s">
        <v>30467</v>
      </c>
      <c r="E10788" s="11" t="s">
        <v>28</v>
      </c>
      <c r="F10788" s="10" t="s">
        <v>28</v>
      </c>
      <c r="G10788" s="10" t="s">
        <v>28</v>
      </c>
      <c r="H10788" s="10" t="s">
        <v>28</v>
      </c>
      <c r="I10788" s="11" t="s">
        <v>28</v>
      </c>
      <c r="J10788" s="11" t="s">
        <v>28</v>
      </c>
      <c r="K10788" s="11" t="s">
        <v>28</v>
      </c>
      <c r="L10788" s="11" t="s">
        <v>28</v>
      </c>
      <c r="M10788" s="11" t="s">
        <v>28</v>
      </c>
      <c r="N10788" s="8">
        <v>41519</v>
      </c>
      <c r="O10788" s="9" t="s">
        <v>30</v>
      </c>
      <c r="P10788" s="12" t="s">
        <v>30468</v>
      </c>
      <c r="Q10788" s="9" t="s">
        <v>5628</v>
      </c>
      <c r="R10788" s="14" t="str">
        <f>HYPERLINK("https://my.pitchbook.com?c=95628-97T","View Company Online")</f>
        <v>View Company Online</v>
      </c>
    </row>
    <row r="10789" spans="1:18" hidden="1" x14ac:dyDescent="0.3">
      <c r="A10789" s="15" t="s">
        <v>30469</v>
      </c>
      <c r="B10789" s="15" t="s">
        <v>30470</v>
      </c>
      <c r="C10789" s="18" t="s">
        <v>28</v>
      </c>
      <c r="D10789" s="15" t="s">
        <v>30471</v>
      </c>
      <c r="E10789" s="18" t="s">
        <v>28</v>
      </c>
      <c r="F10789" s="19" t="s">
        <v>28</v>
      </c>
      <c r="G10789" s="19" t="s">
        <v>28</v>
      </c>
      <c r="H10789" s="19" t="s">
        <v>28</v>
      </c>
      <c r="I10789" s="18" t="s">
        <v>28</v>
      </c>
      <c r="J10789" s="18" t="s">
        <v>28</v>
      </c>
      <c r="K10789" s="18" t="s">
        <v>28</v>
      </c>
      <c r="L10789" s="18" t="s">
        <v>28</v>
      </c>
      <c r="M10789" s="18" t="s">
        <v>28</v>
      </c>
      <c r="N10789" s="17">
        <v>41518</v>
      </c>
      <c r="O10789" s="15" t="s">
        <v>30</v>
      </c>
      <c r="P10789" s="16" t="s">
        <v>30472</v>
      </c>
      <c r="Q10789" s="15" t="s">
        <v>188</v>
      </c>
      <c r="R10789" s="13" t="str">
        <f>HYPERLINK("https://my.pitchbook.com?c=58966-66T","View Company Online")</f>
        <v>View Company Online</v>
      </c>
    </row>
    <row r="10790" spans="1:18" hidden="1" x14ac:dyDescent="0.3">
      <c r="A10790" s="9" t="s">
        <v>30473</v>
      </c>
      <c r="B10790" s="9" t="s">
        <v>30474</v>
      </c>
      <c r="C10790" s="11" t="s">
        <v>28</v>
      </c>
      <c r="D10790" s="9" t="s">
        <v>30475</v>
      </c>
      <c r="E10790" s="11" t="s">
        <v>28</v>
      </c>
      <c r="F10790" s="10" t="s">
        <v>28</v>
      </c>
      <c r="G10790" s="10" t="s">
        <v>28</v>
      </c>
      <c r="H10790" s="10" t="s">
        <v>28</v>
      </c>
      <c r="I10790" s="11" t="s">
        <v>28</v>
      </c>
      <c r="J10790" s="11" t="s">
        <v>28</v>
      </c>
      <c r="K10790" s="11" t="s">
        <v>28</v>
      </c>
      <c r="L10790" s="11" t="s">
        <v>28</v>
      </c>
      <c r="M10790" s="11" t="s">
        <v>28</v>
      </c>
      <c r="N10790" s="8">
        <v>41518</v>
      </c>
      <c r="O10790" s="9" t="s">
        <v>52</v>
      </c>
      <c r="P10790" s="12" t="s">
        <v>27943</v>
      </c>
      <c r="Q10790" s="9" t="s">
        <v>3912</v>
      </c>
      <c r="R10790" s="14" t="str">
        <f>HYPERLINK("https://my.pitchbook.com?c=39783-07T","View Company Online")</f>
        <v>View Company Online</v>
      </c>
    </row>
    <row r="10791" spans="1:18" hidden="1" x14ac:dyDescent="0.3">
      <c r="A10791" s="15" t="s">
        <v>30476</v>
      </c>
      <c r="B10791" s="15" t="s">
        <v>30477</v>
      </c>
      <c r="C10791" s="18" t="s">
        <v>28</v>
      </c>
      <c r="D10791" s="15" t="s">
        <v>30478</v>
      </c>
      <c r="E10791" s="18" t="s">
        <v>28</v>
      </c>
      <c r="F10791" s="19" t="s">
        <v>28</v>
      </c>
      <c r="G10791" s="19" t="s">
        <v>28</v>
      </c>
      <c r="H10791" s="19" t="s">
        <v>28</v>
      </c>
      <c r="I10791" s="18" t="s">
        <v>28</v>
      </c>
      <c r="J10791" s="18" t="s">
        <v>28</v>
      </c>
      <c r="K10791" s="18" t="s">
        <v>28</v>
      </c>
      <c r="L10791" s="18" t="s">
        <v>28</v>
      </c>
      <c r="M10791" s="18" t="s">
        <v>28</v>
      </c>
      <c r="N10791" s="17">
        <v>41518</v>
      </c>
      <c r="O10791" s="15" t="s">
        <v>30</v>
      </c>
      <c r="P10791" s="16" t="s">
        <v>30479</v>
      </c>
      <c r="Q10791" s="15" t="s">
        <v>386</v>
      </c>
      <c r="R10791" s="13" t="str">
        <f>HYPERLINK("https://my.pitchbook.com?c=84589-12T","View Company Online")</f>
        <v>View Company Online</v>
      </c>
    </row>
    <row r="10792" spans="1:18" hidden="1" x14ac:dyDescent="0.3">
      <c r="A10792" s="9" t="s">
        <v>30480</v>
      </c>
      <c r="B10792" s="9" t="s">
        <v>30481</v>
      </c>
      <c r="C10792" s="11" t="s">
        <v>28</v>
      </c>
      <c r="D10792" s="9" t="s">
        <v>30482</v>
      </c>
      <c r="E10792" s="11" t="s">
        <v>28</v>
      </c>
      <c r="F10792" s="10" t="s">
        <v>28</v>
      </c>
      <c r="G10792" s="10">
        <v>0.05</v>
      </c>
      <c r="H10792" s="10" t="s">
        <v>28</v>
      </c>
      <c r="I10792" s="11" t="s">
        <v>28</v>
      </c>
      <c r="J10792" s="11" t="s">
        <v>28</v>
      </c>
      <c r="K10792" s="11" t="s">
        <v>28</v>
      </c>
      <c r="L10792" s="11" t="s">
        <v>28</v>
      </c>
      <c r="M10792" s="11" t="s">
        <v>28</v>
      </c>
      <c r="N10792" s="8">
        <v>41518</v>
      </c>
      <c r="O10792" s="9" t="s">
        <v>52</v>
      </c>
      <c r="P10792" s="12" t="s">
        <v>17245</v>
      </c>
      <c r="Q10792" s="9" t="s">
        <v>75</v>
      </c>
      <c r="R10792" s="14" t="str">
        <f>HYPERLINK("https://my.pitchbook.com?c=58100-59T","View Company Online")</f>
        <v>View Company Online</v>
      </c>
    </row>
    <row r="10793" spans="1:18" hidden="1" x14ac:dyDescent="0.3">
      <c r="A10793" s="15" t="s">
        <v>30483</v>
      </c>
      <c r="B10793" s="15" t="s">
        <v>30484</v>
      </c>
      <c r="C10793" s="18" t="s">
        <v>28</v>
      </c>
      <c r="D10793" s="15" t="s">
        <v>30485</v>
      </c>
      <c r="E10793" s="18" t="s">
        <v>28</v>
      </c>
      <c r="F10793" s="19" t="s">
        <v>28</v>
      </c>
      <c r="G10793" s="19" t="s">
        <v>28</v>
      </c>
      <c r="H10793" s="19" t="s">
        <v>28</v>
      </c>
      <c r="I10793" s="18" t="s">
        <v>28</v>
      </c>
      <c r="J10793" s="18" t="s">
        <v>28</v>
      </c>
      <c r="K10793" s="18" t="s">
        <v>28</v>
      </c>
      <c r="L10793" s="18" t="s">
        <v>28</v>
      </c>
      <c r="M10793" s="18" t="s">
        <v>28</v>
      </c>
      <c r="N10793" s="17">
        <v>41518</v>
      </c>
      <c r="O10793" s="15" t="s">
        <v>30</v>
      </c>
      <c r="P10793" s="16" t="s">
        <v>28</v>
      </c>
      <c r="Q10793" s="15" t="s">
        <v>85</v>
      </c>
      <c r="R10793" s="13" t="str">
        <f>HYPERLINK("https://my.pitchbook.com?c=111103-39T","View Company Online")</f>
        <v>View Company Online</v>
      </c>
    </row>
    <row r="10794" spans="1:18" hidden="1" x14ac:dyDescent="0.3">
      <c r="A10794" s="9" t="s">
        <v>30486</v>
      </c>
      <c r="B10794" s="9" t="s">
        <v>28092</v>
      </c>
      <c r="C10794" s="11" t="s">
        <v>28</v>
      </c>
      <c r="D10794" s="9" t="s">
        <v>28093</v>
      </c>
      <c r="E10794" s="11" t="s">
        <v>28</v>
      </c>
      <c r="F10794" s="10" t="s">
        <v>28</v>
      </c>
      <c r="G10794" s="10">
        <v>0.11</v>
      </c>
      <c r="H10794" s="10" t="s">
        <v>28</v>
      </c>
      <c r="I10794" s="11" t="s">
        <v>28</v>
      </c>
      <c r="J10794" s="11" t="s">
        <v>28</v>
      </c>
      <c r="K10794" s="11" t="s">
        <v>28</v>
      </c>
      <c r="L10794" s="11" t="s">
        <v>28</v>
      </c>
      <c r="M10794" s="11" t="s">
        <v>28</v>
      </c>
      <c r="N10794" s="8">
        <v>41518</v>
      </c>
      <c r="O10794" s="9" t="s">
        <v>99</v>
      </c>
      <c r="P10794" s="12" t="s">
        <v>24901</v>
      </c>
      <c r="Q10794" s="9" t="s">
        <v>114</v>
      </c>
      <c r="R10794" s="14" t="str">
        <f>HYPERLINK("https://my.pitchbook.com?c=52107-04T","View Company Online")</f>
        <v>View Company Online</v>
      </c>
    </row>
    <row r="10795" spans="1:18" hidden="1" x14ac:dyDescent="0.3">
      <c r="A10795" s="15" t="s">
        <v>30487</v>
      </c>
      <c r="B10795" s="15" t="s">
        <v>30488</v>
      </c>
      <c r="C10795" s="18" t="s">
        <v>28</v>
      </c>
      <c r="D10795" s="15" t="s">
        <v>30489</v>
      </c>
      <c r="E10795" s="18" t="s">
        <v>28</v>
      </c>
      <c r="F10795" s="19" t="s">
        <v>28</v>
      </c>
      <c r="G10795" s="19" t="s">
        <v>28</v>
      </c>
      <c r="H10795" s="19" t="s">
        <v>28</v>
      </c>
      <c r="I10795" s="18" t="s">
        <v>28</v>
      </c>
      <c r="J10795" s="18" t="s">
        <v>28</v>
      </c>
      <c r="K10795" s="18" t="s">
        <v>28</v>
      </c>
      <c r="L10795" s="18" t="s">
        <v>28</v>
      </c>
      <c r="M10795" s="18" t="s">
        <v>28</v>
      </c>
      <c r="N10795" s="17">
        <v>41518</v>
      </c>
      <c r="O10795" s="15" t="s">
        <v>30</v>
      </c>
      <c r="P10795" s="16" t="s">
        <v>30490</v>
      </c>
      <c r="Q10795" s="15" t="s">
        <v>696</v>
      </c>
      <c r="R10795" s="13" t="str">
        <f>HYPERLINK("https://my.pitchbook.com?c=58962-70T","View Company Online")</f>
        <v>View Company Online</v>
      </c>
    </row>
    <row r="10796" spans="1:18" hidden="1" x14ac:dyDescent="0.3">
      <c r="A10796" s="9" t="s">
        <v>30491</v>
      </c>
      <c r="B10796" s="9" t="s">
        <v>17627</v>
      </c>
      <c r="C10796" s="11" t="s">
        <v>28</v>
      </c>
      <c r="D10796" s="9" t="s">
        <v>17628</v>
      </c>
      <c r="E10796" s="11" t="s">
        <v>28</v>
      </c>
      <c r="F10796" s="10" t="s">
        <v>28</v>
      </c>
      <c r="G10796" s="10">
        <v>0.03</v>
      </c>
      <c r="H10796" s="10" t="s">
        <v>28</v>
      </c>
      <c r="I10796" s="11" t="s">
        <v>28</v>
      </c>
      <c r="J10796" s="11" t="s">
        <v>28</v>
      </c>
      <c r="K10796" s="11" t="s">
        <v>28</v>
      </c>
      <c r="L10796" s="11" t="s">
        <v>28</v>
      </c>
      <c r="M10796" s="11" t="s">
        <v>28</v>
      </c>
      <c r="N10796" s="8">
        <v>41518</v>
      </c>
      <c r="O10796" s="9" t="s">
        <v>99</v>
      </c>
      <c r="P10796" s="12" t="s">
        <v>611</v>
      </c>
      <c r="Q10796" s="9" t="s">
        <v>1793</v>
      </c>
      <c r="R10796" s="14" t="str">
        <f>HYPERLINK("https://my.pitchbook.com?c=217206-46T","View Company Online")</f>
        <v>View Company Online</v>
      </c>
    </row>
    <row r="10797" spans="1:18" hidden="1" x14ac:dyDescent="0.3">
      <c r="A10797" s="15" t="s">
        <v>30492</v>
      </c>
      <c r="B10797" s="15" t="s">
        <v>30164</v>
      </c>
      <c r="C10797" s="18" t="s">
        <v>28</v>
      </c>
      <c r="D10797" s="15" t="s">
        <v>30165</v>
      </c>
      <c r="E10797" s="18" t="s">
        <v>28</v>
      </c>
      <c r="F10797" s="19" t="s">
        <v>28</v>
      </c>
      <c r="G10797" s="19">
        <v>0.25</v>
      </c>
      <c r="H10797" s="19" t="s">
        <v>28</v>
      </c>
      <c r="I10797" s="18" t="s">
        <v>28</v>
      </c>
      <c r="J10797" s="18" t="s">
        <v>28</v>
      </c>
      <c r="K10797" s="18" t="s">
        <v>28</v>
      </c>
      <c r="L10797" s="18" t="s">
        <v>28</v>
      </c>
      <c r="M10797" s="18" t="s">
        <v>28</v>
      </c>
      <c r="N10797" s="17">
        <v>41518</v>
      </c>
      <c r="O10797" s="15" t="s">
        <v>52</v>
      </c>
      <c r="P10797" s="16" t="s">
        <v>26581</v>
      </c>
      <c r="Q10797" s="15" t="s">
        <v>95</v>
      </c>
      <c r="R10797" s="13" t="str">
        <f>HYPERLINK("https://my.pitchbook.com?c=55708-84T","View Company Online")</f>
        <v>View Company Online</v>
      </c>
    </row>
    <row r="10798" spans="1:18" hidden="1" x14ac:dyDescent="0.3">
      <c r="A10798" s="9" t="s">
        <v>30493</v>
      </c>
      <c r="B10798" s="9" t="s">
        <v>24939</v>
      </c>
      <c r="C10798" s="11" t="s">
        <v>28</v>
      </c>
      <c r="D10798" s="9" t="s">
        <v>24940</v>
      </c>
      <c r="E10798" s="11" t="s">
        <v>28</v>
      </c>
      <c r="F10798" s="10" t="s">
        <v>28</v>
      </c>
      <c r="G10798" s="10">
        <v>0.64</v>
      </c>
      <c r="H10798" s="10" t="s">
        <v>28</v>
      </c>
      <c r="I10798" s="11" t="s">
        <v>28</v>
      </c>
      <c r="J10798" s="11" t="s">
        <v>28</v>
      </c>
      <c r="K10798" s="11" t="s">
        <v>28</v>
      </c>
      <c r="L10798" s="11" t="s">
        <v>28</v>
      </c>
      <c r="M10798" s="11" t="s">
        <v>28</v>
      </c>
      <c r="N10798" s="8">
        <v>41518</v>
      </c>
      <c r="O10798" s="9" t="s">
        <v>73</v>
      </c>
      <c r="P10798" s="12" t="s">
        <v>30494</v>
      </c>
      <c r="Q10798" s="9" t="s">
        <v>386</v>
      </c>
      <c r="R10798" s="14" t="str">
        <f>HYPERLINK("https://my.pitchbook.com?c=34159-33T","View Company Online")</f>
        <v>View Company Online</v>
      </c>
    </row>
    <row r="10799" spans="1:18" hidden="1" x14ac:dyDescent="0.3">
      <c r="A10799" s="15" t="s">
        <v>30495</v>
      </c>
      <c r="B10799" s="15" t="s">
        <v>30496</v>
      </c>
      <c r="C10799" s="18" t="s">
        <v>28</v>
      </c>
      <c r="D10799" s="15" t="s">
        <v>30497</v>
      </c>
      <c r="E10799" s="18" t="s">
        <v>28</v>
      </c>
      <c r="F10799" s="19" t="s">
        <v>28</v>
      </c>
      <c r="G10799" s="19" t="s">
        <v>28</v>
      </c>
      <c r="H10799" s="19" t="s">
        <v>28</v>
      </c>
      <c r="I10799" s="18" t="s">
        <v>28</v>
      </c>
      <c r="J10799" s="18" t="s">
        <v>28</v>
      </c>
      <c r="K10799" s="18" t="s">
        <v>28</v>
      </c>
      <c r="L10799" s="18" t="s">
        <v>28</v>
      </c>
      <c r="M10799" s="18" t="s">
        <v>28</v>
      </c>
      <c r="N10799" s="17">
        <v>41517</v>
      </c>
      <c r="O10799" s="15" t="s">
        <v>30</v>
      </c>
      <c r="P10799" s="16" t="s">
        <v>30498</v>
      </c>
      <c r="Q10799" s="15" t="s">
        <v>5347</v>
      </c>
      <c r="R10799" s="13" t="str">
        <f>HYPERLINK("https://my.pitchbook.com?c=70868-08T","View Company Online")</f>
        <v>View Company Online</v>
      </c>
    </row>
    <row r="10800" spans="1:18" hidden="1" x14ac:dyDescent="0.3">
      <c r="A10800" s="9" t="s">
        <v>30499</v>
      </c>
      <c r="B10800" s="9" t="s">
        <v>23737</v>
      </c>
      <c r="C10800" s="11" t="s">
        <v>28</v>
      </c>
      <c r="D10800" s="9" t="s">
        <v>23738</v>
      </c>
      <c r="E10800" s="11" t="s">
        <v>28</v>
      </c>
      <c r="F10800" s="10" t="s">
        <v>28</v>
      </c>
      <c r="G10800" s="10" t="s">
        <v>28</v>
      </c>
      <c r="H10800" s="10" t="s">
        <v>28</v>
      </c>
      <c r="I10800" s="11" t="s">
        <v>28</v>
      </c>
      <c r="J10800" s="11" t="s">
        <v>28</v>
      </c>
      <c r="K10800" s="11" t="s">
        <v>28</v>
      </c>
      <c r="L10800" s="11" t="s">
        <v>28</v>
      </c>
      <c r="M10800" s="11" t="s">
        <v>28</v>
      </c>
      <c r="N10800" s="8">
        <v>41514</v>
      </c>
      <c r="O10800" s="9" t="s">
        <v>52</v>
      </c>
      <c r="P10800" s="12" t="s">
        <v>27961</v>
      </c>
      <c r="Q10800" s="9" t="s">
        <v>75</v>
      </c>
      <c r="R10800" s="14" t="str">
        <f>HYPERLINK("https://my.pitchbook.com?c=254513-26T","View Company Online")</f>
        <v>View Company Online</v>
      </c>
    </row>
    <row r="10801" spans="1:18" hidden="1" x14ac:dyDescent="0.3">
      <c r="A10801" s="15" t="s">
        <v>30500</v>
      </c>
      <c r="B10801" s="15" t="s">
        <v>28609</v>
      </c>
      <c r="C10801" s="18" t="s">
        <v>28</v>
      </c>
      <c r="D10801" s="15" t="s">
        <v>28610</v>
      </c>
      <c r="E10801" s="18" t="s">
        <v>28</v>
      </c>
      <c r="F10801" s="19" t="s">
        <v>28</v>
      </c>
      <c r="G10801" s="19">
        <v>0.01</v>
      </c>
      <c r="H10801" s="19" t="s">
        <v>28</v>
      </c>
      <c r="I10801" s="18" t="s">
        <v>28</v>
      </c>
      <c r="J10801" s="18" t="s">
        <v>28</v>
      </c>
      <c r="K10801" s="18" t="s">
        <v>28</v>
      </c>
      <c r="L10801" s="18" t="s">
        <v>28</v>
      </c>
      <c r="M10801" s="18" t="s">
        <v>28</v>
      </c>
      <c r="N10801" s="17">
        <v>41513</v>
      </c>
      <c r="O10801" s="15" t="s">
        <v>52</v>
      </c>
      <c r="P10801" s="16" t="s">
        <v>30501</v>
      </c>
      <c r="Q10801" s="15" t="s">
        <v>37</v>
      </c>
      <c r="R10801" s="13" t="str">
        <f>HYPERLINK("https://my.pitchbook.com?c=160872-58T","View Company Online")</f>
        <v>View Company Online</v>
      </c>
    </row>
    <row r="10802" spans="1:18" hidden="1" x14ac:dyDescent="0.3">
      <c r="A10802" s="9" t="s">
        <v>30502</v>
      </c>
      <c r="B10802" s="9" t="s">
        <v>28964</v>
      </c>
      <c r="C10802" s="11" t="s">
        <v>28</v>
      </c>
      <c r="D10802" s="9" t="s">
        <v>28965</v>
      </c>
      <c r="E10802" s="11" t="s">
        <v>28</v>
      </c>
      <c r="F10802" s="10" t="s">
        <v>28</v>
      </c>
      <c r="G10802" s="10" t="s">
        <v>28</v>
      </c>
      <c r="H10802" s="10" t="s">
        <v>28</v>
      </c>
      <c r="I10802" s="11" t="s">
        <v>28</v>
      </c>
      <c r="J10802" s="11" t="s">
        <v>28</v>
      </c>
      <c r="K10802" s="11" t="s">
        <v>28</v>
      </c>
      <c r="L10802" s="11" t="s">
        <v>28</v>
      </c>
      <c r="M10802" s="11" t="s">
        <v>28</v>
      </c>
      <c r="N10802" s="8">
        <v>41513</v>
      </c>
      <c r="O10802" s="9" t="s">
        <v>52</v>
      </c>
      <c r="P10802" s="12" t="s">
        <v>1792</v>
      </c>
      <c r="Q10802" s="9" t="s">
        <v>245</v>
      </c>
      <c r="R10802" s="14" t="str">
        <f>HYPERLINK("https://my.pitchbook.com?c=66658-60T","View Company Online")</f>
        <v>View Company Online</v>
      </c>
    </row>
    <row r="10803" spans="1:18" hidden="1" x14ac:dyDescent="0.3">
      <c r="A10803" s="15" t="s">
        <v>30503</v>
      </c>
      <c r="B10803" s="15" t="s">
        <v>30504</v>
      </c>
      <c r="C10803" s="18" t="s">
        <v>28</v>
      </c>
      <c r="D10803" s="15" t="s">
        <v>30505</v>
      </c>
      <c r="E10803" s="18" t="s">
        <v>28</v>
      </c>
      <c r="F10803" s="19" t="s">
        <v>28</v>
      </c>
      <c r="G10803" s="19" t="s">
        <v>28</v>
      </c>
      <c r="H10803" s="19" t="s">
        <v>28</v>
      </c>
      <c r="I10803" s="18" t="s">
        <v>28</v>
      </c>
      <c r="J10803" s="18" t="s">
        <v>28</v>
      </c>
      <c r="K10803" s="18" t="s">
        <v>28</v>
      </c>
      <c r="L10803" s="18" t="s">
        <v>28</v>
      </c>
      <c r="M10803" s="18" t="s">
        <v>28</v>
      </c>
      <c r="N10803" s="17">
        <v>41512</v>
      </c>
      <c r="O10803" s="15" t="s">
        <v>41</v>
      </c>
      <c r="P10803" s="16" t="s">
        <v>30506</v>
      </c>
      <c r="Q10803" s="15" t="s">
        <v>43</v>
      </c>
      <c r="R10803" s="13" t="str">
        <f>HYPERLINK("https://my.pitchbook.com?c=71833-06T","View Company Online")</f>
        <v>View Company Online</v>
      </c>
    </row>
    <row r="10804" spans="1:18" hidden="1" x14ac:dyDescent="0.3">
      <c r="A10804" s="9" t="s">
        <v>30507</v>
      </c>
      <c r="B10804" s="9" t="s">
        <v>27032</v>
      </c>
      <c r="C10804" s="11" t="s">
        <v>28</v>
      </c>
      <c r="D10804" s="9" t="s">
        <v>27033</v>
      </c>
      <c r="E10804" s="11" t="s">
        <v>28</v>
      </c>
      <c r="F10804" s="10" t="s">
        <v>28</v>
      </c>
      <c r="G10804" s="10" t="s">
        <v>28</v>
      </c>
      <c r="H10804" s="10" t="s">
        <v>28</v>
      </c>
      <c r="I10804" s="11" t="s">
        <v>28</v>
      </c>
      <c r="J10804" s="11" t="s">
        <v>28</v>
      </c>
      <c r="K10804" s="11" t="s">
        <v>28</v>
      </c>
      <c r="L10804" s="11" t="s">
        <v>28</v>
      </c>
      <c r="M10804" s="11" t="s">
        <v>28</v>
      </c>
      <c r="N10804" s="8">
        <v>41512</v>
      </c>
      <c r="O10804" s="9" t="s">
        <v>52</v>
      </c>
      <c r="P10804" s="12" t="s">
        <v>1792</v>
      </c>
      <c r="Q10804" s="9" t="s">
        <v>880</v>
      </c>
      <c r="R10804" s="14" t="str">
        <f>HYPERLINK("https://my.pitchbook.com?c=149065-12T","View Company Online")</f>
        <v>View Company Online</v>
      </c>
    </row>
    <row r="10805" spans="1:18" x14ac:dyDescent="0.3">
      <c r="A10805" s="15" t="s">
        <v>30508</v>
      </c>
      <c r="B10805" s="15" t="s">
        <v>30509</v>
      </c>
      <c r="C10805" s="18">
        <v>9.74</v>
      </c>
      <c r="D10805" s="15" t="s">
        <v>30510</v>
      </c>
      <c r="E10805" s="18">
        <v>43.44</v>
      </c>
      <c r="F10805" s="19">
        <v>423.25</v>
      </c>
      <c r="G10805" s="19">
        <v>423.25</v>
      </c>
      <c r="H10805" s="19">
        <v>423.25</v>
      </c>
      <c r="I10805" s="18">
        <v>43.44</v>
      </c>
      <c r="J10805" s="18">
        <v>9.74</v>
      </c>
      <c r="K10805" s="18">
        <v>251.78</v>
      </c>
      <c r="L10805" s="18">
        <v>1.68</v>
      </c>
      <c r="M10805" s="18" t="s">
        <v>28</v>
      </c>
      <c r="N10805" s="17">
        <v>41508</v>
      </c>
      <c r="O10805" s="15" t="s">
        <v>30</v>
      </c>
      <c r="P10805" s="16" t="s">
        <v>30511</v>
      </c>
      <c r="Q10805" s="15" t="s">
        <v>105</v>
      </c>
      <c r="R10805" s="13" t="str">
        <f>HYPERLINK("https://my.pitchbook.com?c=39270-07T","View Company Online")</f>
        <v>View Company Online</v>
      </c>
    </row>
    <row r="10806" spans="1:18" hidden="1" x14ac:dyDescent="0.3">
      <c r="A10806" s="9" t="s">
        <v>30512</v>
      </c>
      <c r="B10806" s="9" t="s">
        <v>30513</v>
      </c>
      <c r="C10806" s="11" t="s">
        <v>28</v>
      </c>
      <c r="D10806" s="9" t="s">
        <v>30514</v>
      </c>
      <c r="E10806" s="11" t="s">
        <v>28</v>
      </c>
      <c r="F10806" s="10" t="s">
        <v>28</v>
      </c>
      <c r="G10806" s="10" t="s">
        <v>28</v>
      </c>
      <c r="H10806" s="10" t="s">
        <v>28</v>
      </c>
      <c r="I10806" s="11" t="s">
        <v>28</v>
      </c>
      <c r="J10806" s="11" t="s">
        <v>28</v>
      </c>
      <c r="K10806" s="11" t="s">
        <v>28</v>
      </c>
      <c r="L10806" s="11" t="s">
        <v>28</v>
      </c>
      <c r="M10806" s="11" t="s">
        <v>28</v>
      </c>
      <c r="N10806" s="8">
        <v>41508</v>
      </c>
      <c r="O10806" s="9" t="s">
        <v>30</v>
      </c>
      <c r="P10806" s="12" t="s">
        <v>30515</v>
      </c>
      <c r="Q10806" s="9" t="s">
        <v>105</v>
      </c>
      <c r="R10806" s="14" t="str">
        <f>HYPERLINK("https://my.pitchbook.com?c=28101-88T","View Company Online")</f>
        <v>View Company Online</v>
      </c>
    </row>
    <row r="10807" spans="1:18" hidden="1" x14ac:dyDescent="0.3">
      <c r="A10807" s="15" t="s">
        <v>30516</v>
      </c>
      <c r="B10807" s="15" t="s">
        <v>30517</v>
      </c>
      <c r="C10807" s="18" t="s">
        <v>28</v>
      </c>
      <c r="D10807" s="15" t="s">
        <v>30518</v>
      </c>
      <c r="E10807" s="18">
        <v>-5.5</v>
      </c>
      <c r="F10807" s="19" t="s">
        <v>28</v>
      </c>
      <c r="G10807" s="19" t="s">
        <v>28</v>
      </c>
      <c r="H10807" s="19" t="s">
        <v>28</v>
      </c>
      <c r="I10807" s="18">
        <v>-5.44</v>
      </c>
      <c r="J10807" s="18" t="s">
        <v>28</v>
      </c>
      <c r="K10807" s="18">
        <v>4.82</v>
      </c>
      <c r="L10807" s="18" t="s">
        <v>28</v>
      </c>
      <c r="M10807" s="18">
        <v>-5.52</v>
      </c>
      <c r="N10807" s="17">
        <v>41508</v>
      </c>
      <c r="O10807" s="15" t="s">
        <v>30</v>
      </c>
      <c r="P10807" s="16" t="s">
        <v>30519</v>
      </c>
      <c r="Q10807" s="15" t="s">
        <v>6392</v>
      </c>
      <c r="R10807" s="13" t="str">
        <f>HYPERLINK("https://my.pitchbook.com?c=39328-21T","View Company Online")</f>
        <v>View Company Online</v>
      </c>
    </row>
    <row r="10808" spans="1:18" hidden="1" x14ac:dyDescent="0.3">
      <c r="A10808" s="9" t="s">
        <v>30520</v>
      </c>
      <c r="B10808" s="9" t="s">
        <v>8418</v>
      </c>
      <c r="C10808" s="11" t="s">
        <v>28</v>
      </c>
      <c r="D10808" s="9" t="s">
        <v>8419</v>
      </c>
      <c r="E10808" s="11" t="s">
        <v>28</v>
      </c>
      <c r="F10808" s="10" t="s">
        <v>28</v>
      </c>
      <c r="G10808" s="10">
        <v>0.1</v>
      </c>
      <c r="H10808" s="10" t="s">
        <v>28</v>
      </c>
      <c r="I10808" s="11" t="s">
        <v>28</v>
      </c>
      <c r="J10808" s="11" t="s">
        <v>28</v>
      </c>
      <c r="K10808" s="11" t="s">
        <v>28</v>
      </c>
      <c r="L10808" s="11" t="s">
        <v>28</v>
      </c>
      <c r="M10808" s="11" t="s">
        <v>28</v>
      </c>
      <c r="N10808" s="8">
        <v>41507</v>
      </c>
      <c r="O10808" s="9" t="s">
        <v>8420</v>
      </c>
      <c r="P10808" s="12" t="s">
        <v>28</v>
      </c>
      <c r="Q10808" s="9" t="s">
        <v>419</v>
      </c>
      <c r="R10808" s="14" t="str">
        <f>HYPERLINK("https://my.pitchbook.com?c=45780-31T","View Company Online")</f>
        <v>View Company Online</v>
      </c>
    </row>
    <row r="10809" spans="1:18" hidden="1" x14ac:dyDescent="0.3">
      <c r="A10809" s="15" t="s">
        <v>30521</v>
      </c>
      <c r="B10809" s="15" t="s">
        <v>30522</v>
      </c>
      <c r="C10809" s="18" t="s">
        <v>28</v>
      </c>
      <c r="D10809" s="15" t="s">
        <v>30523</v>
      </c>
      <c r="E10809" s="18" t="s">
        <v>28</v>
      </c>
      <c r="F10809" s="19" t="s">
        <v>28</v>
      </c>
      <c r="G10809" s="19" t="s">
        <v>28</v>
      </c>
      <c r="H10809" s="19" t="s">
        <v>28</v>
      </c>
      <c r="I10809" s="18" t="s">
        <v>28</v>
      </c>
      <c r="J10809" s="18" t="s">
        <v>28</v>
      </c>
      <c r="K10809" s="18" t="s">
        <v>28</v>
      </c>
      <c r="L10809" s="18" t="s">
        <v>28</v>
      </c>
      <c r="M10809" s="18" t="s">
        <v>28</v>
      </c>
      <c r="N10809" s="17">
        <v>41506</v>
      </c>
      <c r="O10809" s="15" t="s">
        <v>30</v>
      </c>
      <c r="P10809" s="16" t="s">
        <v>30524</v>
      </c>
      <c r="Q10809" s="15" t="s">
        <v>470</v>
      </c>
      <c r="R10809" s="13" t="str">
        <f>HYPERLINK("https://my.pitchbook.com?c=89599-60T","View Company Online")</f>
        <v>View Company Online</v>
      </c>
    </row>
    <row r="10810" spans="1:18" hidden="1" x14ac:dyDescent="0.3">
      <c r="A10810" s="9" t="s">
        <v>30525</v>
      </c>
      <c r="B10810" s="9" t="s">
        <v>30526</v>
      </c>
      <c r="C10810" s="11" t="s">
        <v>28</v>
      </c>
      <c r="D10810" s="9" t="s">
        <v>30527</v>
      </c>
      <c r="E10810" s="11" t="s">
        <v>28</v>
      </c>
      <c r="F10810" s="10" t="s">
        <v>28</v>
      </c>
      <c r="G10810" s="10" t="s">
        <v>28</v>
      </c>
      <c r="H10810" s="10" t="s">
        <v>28</v>
      </c>
      <c r="I10810" s="11" t="s">
        <v>28</v>
      </c>
      <c r="J10810" s="11" t="s">
        <v>28</v>
      </c>
      <c r="K10810" s="11" t="s">
        <v>28</v>
      </c>
      <c r="L10810" s="11" t="s">
        <v>28</v>
      </c>
      <c r="M10810" s="11" t="s">
        <v>28</v>
      </c>
      <c r="N10810" s="8">
        <v>41505</v>
      </c>
      <c r="O10810" s="9" t="s">
        <v>30</v>
      </c>
      <c r="P10810" s="12" t="s">
        <v>29064</v>
      </c>
      <c r="Q10810" s="9" t="s">
        <v>75</v>
      </c>
      <c r="R10810" s="14" t="str">
        <f>HYPERLINK("https://my.pitchbook.com?c=36924-49T","View Company Online")</f>
        <v>View Company Online</v>
      </c>
    </row>
    <row r="10811" spans="1:18" hidden="1" x14ac:dyDescent="0.3">
      <c r="A10811" s="15" t="s">
        <v>30528</v>
      </c>
      <c r="B10811" s="15" t="s">
        <v>15244</v>
      </c>
      <c r="C10811" s="18" t="s">
        <v>28</v>
      </c>
      <c r="D10811" s="15" t="s">
        <v>15245</v>
      </c>
      <c r="E10811" s="18" t="s">
        <v>28</v>
      </c>
      <c r="F10811" s="19" t="s">
        <v>28</v>
      </c>
      <c r="G10811" s="19" t="s">
        <v>28</v>
      </c>
      <c r="H10811" s="19" t="s">
        <v>28</v>
      </c>
      <c r="I10811" s="18" t="s">
        <v>28</v>
      </c>
      <c r="J10811" s="18" t="s">
        <v>28</v>
      </c>
      <c r="K10811" s="18" t="s">
        <v>28</v>
      </c>
      <c r="L10811" s="18" t="s">
        <v>28</v>
      </c>
      <c r="M10811" s="18" t="s">
        <v>28</v>
      </c>
      <c r="N10811" s="17">
        <v>41502</v>
      </c>
      <c r="O10811" s="15" t="s">
        <v>73</v>
      </c>
      <c r="P10811" s="16" t="s">
        <v>30529</v>
      </c>
      <c r="Q10811" s="15" t="s">
        <v>583</v>
      </c>
      <c r="R10811" s="13" t="str">
        <f>HYPERLINK("https://my.pitchbook.com?c=30803-86T","View Company Online")</f>
        <v>View Company Online</v>
      </c>
    </row>
    <row r="10812" spans="1:18" hidden="1" x14ac:dyDescent="0.3">
      <c r="A10812" s="9" t="s">
        <v>30530</v>
      </c>
      <c r="B10812" s="9" t="s">
        <v>30531</v>
      </c>
      <c r="C10812" s="11" t="s">
        <v>28</v>
      </c>
      <c r="D10812" s="9" t="s">
        <v>30532</v>
      </c>
      <c r="E10812" s="11" t="s">
        <v>28</v>
      </c>
      <c r="F10812" s="10">
        <v>381.87</v>
      </c>
      <c r="G10812" s="10">
        <v>381.87</v>
      </c>
      <c r="H10812" s="10">
        <v>381.87</v>
      </c>
      <c r="I10812" s="11" t="s">
        <v>28</v>
      </c>
      <c r="J10812" s="11" t="s">
        <v>28</v>
      </c>
      <c r="K10812" s="11" t="s">
        <v>28</v>
      </c>
      <c r="L10812" s="11" t="s">
        <v>28</v>
      </c>
      <c r="M10812" s="11" t="s">
        <v>28</v>
      </c>
      <c r="N10812" s="8">
        <v>41502</v>
      </c>
      <c r="O10812" s="9" t="s">
        <v>30</v>
      </c>
      <c r="P10812" s="12" t="s">
        <v>1050</v>
      </c>
      <c r="Q10812" s="9" t="s">
        <v>213</v>
      </c>
      <c r="R10812" s="14" t="str">
        <f>HYPERLINK("https://my.pitchbook.com?c=133110-28T","View Company Online")</f>
        <v>View Company Online</v>
      </c>
    </row>
    <row r="10813" spans="1:18" hidden="1" x14ac:dyDescent="0.3">
      <c r="A10813" s="15" t="s">
        <v>30533</v>
      </c>
      <c r="B10813" s="15" t="s">
        <v>30534</v>
      </c>
      <c r="C10813" s="18" t="s">
        <v>28</v>
      </c>
      <c r="D10813" s="15" t="s">
        <v>30535</v>
      </c>
      <c r="E10813" s="18" t="s">
        <v>28</v>
      </c>
      <c r="F10813" s="19" t="s">
        <v>28</v>
      </c>
      <c r="G10813" s="19" t="s">
        <v>28</v>
      </c>
      <c r="H10813" s="19" t="s">
        <v>28</v>
      </c>
      <c r="I10813" s="18" t="s">
        <v>28</v>
      </c>
      <c r="J10813" s="18" t="s">
        <v>28</v>
      </c>
      <c r="K10813" s="18" t="s">
        <v>28</v>
      </c>
      <c r="L10813" s="18" t="s">
        <v>28</v>
      </c>
      <c r="M10813" s="18" t="s">
        <v>28</v>
      </c>
      <c r="N10813" s="17">
        <v>41502</v>
      </c>
      <c r="O10813" s="15" t="s">
        <v>30</v>
      </c>
      <c r="P10813" s="16" t="s">
        <v>28</v>
      </c>
      <c r="Q10813" s="15" t="s">
        <v>54</v>
      </c>
      <c r="R10813" s="13" t="str">
        <f>HYPERLINK("https://my.pitchbook.com?c=94439-98T","View Company Online")</f>
        <v>View Company Online</v>
      </c>
    </row>
    <row r="10814" spans="1:18" hidden="1" x14ac:dyDescent="0.3">
      <c r="A10814" s="9" t="s">
        <v>30536</v>
      </c>
      <c r="B10814" s="9" t="s">
        <v>30537</v>
      </c>
      <c r="C10814" s="11" t="s">
        <v>28</v>
      </c>
      <c r="D10814" s="9" t="s">
        <v>30538</v>
      </c>
      <c r="E10814" s="11" t="s">
        <v>28</v>
      </c>
      <c r="F10814" s="10" t="s">
        <v>28</v>
      </c>
      <c r="G10814" s="10" t="s">
        <v>28</v>
      </c>
      <c r="H10814" s="10" t="s">
        <v>28</v>
      </c>
      <c r="I10814" s="11" t="s">
        <v>28</v>
      </c>
      <c r="J10814" s="11" t="s">
        <v>28</v>
      </c>
      <c r="K10814" s="11" t="s">
        <v>28</v>
      </c>
      <c r="L10814" s="11" t="s">
        <v>28</v>
      </c>
      <c r="M10814" s="11" t="s">
        <v>28</v>
      </c>
      <c r="N10814" s="8">
        <v>41499</v>
      </c>
      <c r="O10814" s="9" t="s">
        <v>30</v>
      </c>
      <c r="P10814" s="12" t="s">
        <v>30539</v>
      </c>
      <c r="Q10814" s="9" t="s">
        <v>566</v>
      </c>
      <c r="R10814" s="14" t="str">
        <f>HYPERLINK("https://my.pitchbook.com?c=33063-76T","View Company Online")</f>
        <v>View Company Online</v>
      </c>
    </row>
    <row r="10815" spans="1:18" hidden="1" x14ac:dyDescent="0.3">
      <c r="A10815" s="15" t="s">
        <v>30540</v>
      </c>
      <c r="B10815" s="15" t="s">
        <v>30541</v>
      </c>
      <c r="C10815" s="18" t="s">
        <v>28</v>
      </c>
      <c r="D10815" s="15" t="s">
        <v>30542</v>
      </c>
      <c r="E10815" s="18" t="s">
        <v>28</v>
      </c>
      <c r="F10815" s="19" t="s">
        <v>28</v>
      </c>
      <c r="G10815" s="19">
        <v>0.5</v>
      </c>
      <c r="H10815" s="19" t="s">
        <v>28</v>
      </c>
      <c r="I10815" s="18" t="s">
        <v>28</v>
      </c>
      <c r="J10815" s="18" t="s">
        <v>28</v>
      </c>
      <c r="K10815" s="18" t="s">
        <v>28</v>
      </c>
      <c r="L10815" s="18" t="s">
        <v>28</v>
      </c>
      <c r="M10815" s="18" t="s">
        <v>28</v>
      </c>
      <c r="N10815" s="17">
        <v>41496</v>
      </c>
      <c r="O10815" s="15" t="s">
        <v>379</v>
      </c>
      <c r="P10815" s="16" t="s">
        <v>30543</v>
      </c>
      <c r="Q10815" s="15" t="s">
        <v>3912</v>
      </c>
      <c r="R10815" s="13" t="str">
        <f>HYPERLINK("https://my.pitchbook.com?c=56570-77T","View Company Online")</f>
        <v>View Company Online</v>
      </c>
    </row>
    <row r="10816" spans="1:18" hidden="1" x14ac:dyDescent="0.3">
      <c r="A10816" s="9" t="s">
        <v>30544</v>
      </c>
      <c r="B10816" s="9" t="s">
        <v>30545</v>
      </c>
      <c r="C10816" s="11" t="s">
        <v>28</v>
      </c>
      <c r="D10816" s="9" t="s">
        <v>30546</v>
      </c>
      <c r="E10816" s="11" t="s">
        <v>28</v>
      </c>
      <c r="F10816" s="10">
        <v>750</v>
      </c>
      <c r="G10816" s="10">
        <v>750</v>
      </c>
      <c r="H10816" s="10">
        <v>750</v>
      </c>
      <c r="I10816" s="11" t="s">
        <v>28</v>
      </c>
      <c r="J10816" s="11" t="s">
        <v>28</v>
      </c>
      <c r="K10816" s="11" t="s">
        <v>28</v>
      </c>
      <c r="L10816" s="11" t="s">
        <v>28</v>
      </c>
      <c r="M10816" s="11" t="s">
        <v>28</v>
      </c>
      <c r="N10816" s="8">
        <v>41495</v>
      </c>
      <c r="O10816" s="9" t="s">
        <v>30</v>
      </c>
      <c r="P10816" s="12" t="s">
        <v>30547</v>
      </c>
      <c r="Q10816" s="9" t="s">
        <v>1007</v>
      </c>
      <c r="R10816" s="14" t="str">
        <f>HYPERLINK("https://my.pitchbook.com?c=263796-22T","View Company Online")</f>
        <v>View Company Online</v>
      </c>
    </row>
    <row r="10817" spans="1:18" hidden="1" x14ac:dyDescent="0.3">
      <c r="A10817" s="15" t="s">
        <v>30548</v>
      </c>
      <c r="B10817" s="15" t="s">
        <v>30549</v>
      </c>
      <c r="C10817" s="18" t="s">
        <v>28</v>
      </c>
      <c r="D10817" s="15" t="s">
        <v>30550</v>
      </c>
      <c r="E10817" s="18" t="s">
        <v>28</v>
      </c>
      <c r="F10817" s="19" t="s">
        <v>28</v>
      </c>
      <c r="G10817" s="19" t="s">
        <v>28</v>
      </c>
      <c r="H10817" s="19" t="s">
        <v>28</v>
      </c>
      <c r="I10817" s="18" t="s">
        <v>28</v>
      </c>
      <c r="J10817" s="18" t="s">
        <v>28</v>
      </c>
      <c r="K10817" s="18" t="s">
        <v>28</v>
      </c>
      <c r="L10817" s="18" t="s">
        <v>28</v>
      </c>
      <c r="M10817" s="18" t="s">
        <v>28</v>
      </c>
      <c r="N10817" s="17">
        <v>41495</v>
      </c>
      <c r="O10817" s="15" t="s">
        <v>30</v>
      </c>
      <c r="P10817" s="16" t="s">
        <v>84</v>
      </c>
      <c r="Q10817" s="15" t="s">
        <v>5347</v>
      </c>
      <c r="R10817" s="13" t="str">
        <f>HYPERLINK("https://my.pitchbook.com?c=28511-65T","View Company Online")</f>
        <v>View Company Online</v>
      </c>
    </row>
    <row r="10818" spans="1:18" hidden="1" x14ac:dyDescent="0.3">
      <c r="A10818" s="9" t="s">
        <v>30551</v>
      </c>
      <c r="B10818" s="9" t="s">
        <v>30552</v>
      </c>
      <c r="C10818" s="11" t="s">
        <v>28</v>
      </c>
      <c r="D10818" s="9" t="s">
        <v>30553</v>
      </c>
      <c r="E10818" s="11" t="s">
        <v>28</v>
      </c>
      <c r="F10818" s="10">
        <v>739.51</v>
      </c>
      <c r="G10818" s="10">
        <v>739.51</v>
      </c>
      <c r="H10818" s="10">
        <v>739.51</v>
      </c>
      <c r="I10818" s="11" t="s">
        <v>28</v>
      </c>
      <c r="J10818" s="11" t="s">
        <v>28</v>
      </c>
      <c r="K10818" s="11" t="s">
        <v>28</v>
      </c>
      <c r="L10818" s="11" t="s">
        <v>28</v>
      </c>
      <c r="M10818" s="11" t="s">
        <v>28</v>
      </c>
      <c r="N10818" s="8">
        <v>41494</v>
      </c>
      <c r="O10818" s="9" t="s">
        <v>30</v>
      </c>
      <c r="P10818" s="12" t="s">
        <v>30554</v>
      </c>
      <c r="Q10818" s="9" t="s">
        <v>1007</v>
      </c>
      <c r="R10818" s="14" t="str">
        <f>HYPERLINK("https://my.pitchbook.com?c=70256-53T","View Company Online")</f>
        <v>View Company Online</v>
      </c>
    </row>
    <row r="10819" spans="1:18" hidden="1" x14ac:dyDescent="0.3">
      <c r="A10819" s="15" t="s">
        <v>30555</v>
      </c>
      <c r="B10819" s="15" t="s">
        <v>30556</v>
      </c>
      <c r="C10819" s="18" t="s">
        <v>28</v>
      </c>
      <c r="D10819" s="15" t="s">
        <v>30557</v>
      </c>
      <c r="E10819" s="18" t="s">
        <v>28</v>
      </c>
      <c r="F10819" s="19">
        <v>5.53</v>
      </c>
      <c r="G10819" s="19">
        <v>5.53</v>
      </c>
      <c r="H10819" s="19">
        <v>5.53</v>
      </c>
      <c r="I10819" s="18" t="s">
        <v>28</v>
      </c>
      <c r="J10819" s="18" t="s">
        <v>28</v>
      </c>
      <c r="K10819" s="18" t="s">
        <v>28</v>
      </c>
      <c r="L10819" s="18" t="s">
        <v>28</v>
      </c>
      <c r="M10819" s="18" t="s">
        <v>28</v>
      </c>
      <c r="N10819" s="17">
        <v>41492</v>
      </c>
      <c r="O10819" s="15" t="s">
        <v>30</v>
      </c>
      <c r="P10819" s="16" t="s">
        <v>27757</v>
      </c>
      <c r="Q10819" s="15" t="s">
        <v>2043</v>
      </c>
      <c r="R10819" s="13" t="str">
        <f>HYPERLINK("https://my.pitchbook.com?c=76103-11T","View Company Online")</f>
        <v>View Company Online</v>
      </c>
    </row>
    <row r="10820" spans="1:18" hidden="1" x14ac:dyDescent="0.3">
      <c r="A10820" s="9" t="s">
        <v>30558</v>
      </c>
      <c r="B10820" s="9" t="s">
        <v>4089</v>
      </c>
      <c r="C10820" s="11" t="s">
        <v>28</v>
      </c>
      <c r="D10820" s="9" t="s">
        <v>4090</v>
      </c>
      <c r="E10820" s="11" t="s">
        <v>28</v>
      </c>
      <c r="F10820" s="10" t="s">
        <v>28</v>
      </c>
      <c r="G10820" s="10">
        <v>2.2000000000000002</v>
      </c>
      <c r="H10820" s="10" t="s">
        <v>28</v>
      </c>
      <c r="I10820" s="11" t="s">
        <v>28</v>
      </c>
      <c r="J10820" s="11" t="s">
        <v>28</v>
      </c>
      <c r="K10820" s="11" t="s">
        <v>28</v>
      </c>
      <c r="L10820" s="11" t="s">
        <v>28</v>
      </c>
      <c r="M10820" s="11" t="s">
        <v>28</v>
      </c>
      <c r="N10820" s="8">
        <v>41491</v>
      </c>
      <c r="O10820" s="9" t="s">
        <v>73</v>
      </c>
      <c r="P10820" s="12" t="s">
        <v>30559</v>
      </c>
      <c r="Q10820" s="9" t="s">
        <v>75</v>
      </c>
      <c r="R10820" s="14" t="str">
        <f>HYPERLINK("https://my.pitchbook.com?c=29968-39T","View Company Online")</f>
        <v>View Company Online</v>
      </c>
    </row>
    <row r="10821" spans="1:18" hidden="1" x14ac:dyDescent="0.3">
      <c r="A10821" s="15" t="s">
        <v>30560</v>
      </c>
      <c r="B10821" s="15" t="s">
        <v>25692</v>
      </c>
      <c r="C10821" s="18" t="s">
        <v>28</v>
      </c>
      <c r="D10821" s="15" t="s">
        <v>25693</v>
      </c>
      <c r="E10821" s="18" t="s">
        <v>28</v>
      </c>
      <c r="F10821" s="19" t="s">
        <v>28</v>
      </c>
      <c r="G10821" s="19">
        <v>0.09</v>
      </c>
      <c r="H10821" s="19" t="s">
        <v>28</v>
      </c>
      <c r="I10821" s="18" t="s">
        <v>28</v>
      </c>
      <c r="J10821" s="18" t="s">
        <v>28</v>
      </c>
      <c r="K10821" s="18" t="s">
        <v>28</v>
      </c>
      <c r="L10821" s="18" t="s">
        <v>28</v>
      </c>
      <c r="M10821" s="18" t="s">
        <v>28</v>
      </c>
      <c r="N10821" s="17">
        <v>41491</v>
      </c>
      <c r="O10821" s="15" t="s">
        <v>52</v>
      </c>
      <c r="P10821" s="16" t="s">
        <v>30561</v>
      </c>
      <c r="Q10821" s="15" t="s">
        <v>583</v>
      </c>
      <c r="R10821" s="13" t="str">
        <f>HYPERLINK("https://my.pitchbook.com?c=95616-28T","View Company Online")</f>
        <v>View Company Online</v>
      </c>
    </row>
    <row r="10822" spans="1:18" hidden="1" x14ac:dyDescent="0.3">
      <c r="A10822" s="9" t="s">
        <v>30562</v>
      </c>
      <c r="B10822" s="9" t="s">
        <v>26768</v>
      </c>
      <c r="C10822" s="11" t="s">
        <v>28</v>
      </c>
      <c r="D10822" s="9" t="s">
        <v>26769</v>
      </c>
      <c r="E10822" s="11" t="s">
        <v>28</v>
      </c>
      <c r="F10822" s="10" t="s">
        <v>28</v>
      </c>
      <c r="G10822" s="10" t="s">
        <v>28</v>
      </c>
      <c r="H10822" s="10" t="s">
        <v>28</v>
      </c>
      <c r="I10822" s="11" t="s">
        <v>28</v>
      </c>
      <c r="J10822" s="11" t="s">
        <v>28</v>
      </c>
      <c r="K10822" s="11" t="s">
        <v>28</v>
      </c>
      <c r="L10822" s="11" t="s">
        <v>28</v>
      </c>
      <c r="M10822" s="11" t="s">
        <v>28</v>
      </c>
      <c r="N10822" s="8">
        <v>41488</v>
      </c>
      <c r="O10822" s="9" t="s">
        <v>73</v>
      </c>
      <c r="P10822" s="12" t="s">
        <v>30563</v>
      </c>
      <c r="Q10822" s="9" t="s">
        <v>409</v>
      </c>
      <c r="R10822" s="14" t="str">
        <f>HYPERLINK("https://my.pitchbook.com?c=64792-36T","View Company Online")</f>
        <v>View Company Online</v>
      </c>
    </row>
    <row r="10823" spans="1:18" hidden="1" x14ac:dyDescent="0.3">
      <c r="A10823" s="15" t="s">
        <v>30564</v>
      </c>
      <c r="B10823" s="15" t="s">
        <v>30565</v>
      </c>
      <c r="C10823" s="18" t="s">
        <v>28</v>
      </c>
      <c r="D10823" s="15" t="s">
        <v>30566</v>
      </c>
      <c r="E10823" s="18" t="s">
        <v>28</v>
      </c>
      <c r="F10823" s="19" t="s">
        <v>28</v>
      </c>
      <c r="G10823" s="19">
        <v>0.02</v>
      </c>
      <c r="H10823" s="19">
        <v>0.98</v>
      </c>
      <c r="I10823" s="18" t="s">
        <v>28</v>
      </c>
      <c r="J10823" s="18" t="s">
        <v>28</v>
      </c>
      <c r="K10823" s="18" t="s">
        <v>28</v>
      </c>
      <c r="L10823" s="18" t="s">
        <v>28</v>
      </c>
      <c r="M10823" s="18" t="s">
        <v>28</v>
      </c>
      <c r="N10823" s="17">
        <v>41487</v>
      </c>
      <c r="O10823" s="15" t="s">
        <v>52</v>
      </c>
      <c r="P10823" s="16" t="s">
        <v>27943</v>
      </c>
      <c r="Q10823" s="15" t="s">
        <v>404</v>
      </c>
      <c r="R10823" s="13" t="str">
        <f>HYPERLINK("https://my.pitchbook.com?c=132283-09T","View Company Online")</f>
        <v>View Company Online</v>
      </c>
    </row>
    <row r="10824" spans="1:18" hidden="1" x14ac:dyDescent="0.3">
      <c r="A10824" s="9" t="s">
        <v>30567</v>
      </c>
      <c r="B10824" s="9" t="s">
        <v>30568</v>
      </c>
      <c r="C10824" s="11" t="s">
        <v>28</v>
      </c>
      <c r="D10824" s="9" t="s">
        <v>30569</v>
      </c>
      <c r="E10824" s="11" t="s">
        <v>28</v>
      </c>
      <c r="F10824" s="10" t="s">
        <v>28</v>
      </c>
      <c r="G10824" s="10" t="s">
        <v>28</v>
      </c>
      <c r="H10824" s="10" t="s">
        <v>28</v>
      </c>
      <c r="I10824" s="11" t="s">
        <v>28</v>
      </c>
      <c r="J10824" s="11" t="s">
        <v>28</v>
      </c>
      <c r="K10824" s="11" t="s">
        <v>28</v>
      </c>
      <c r="L10824" s="11" t="s">
        <v>28</v>
      </c>
      <c r="M10824" s="11" t="s">
        <v>28</v>
      </c>
      <c r="N10824" s="8">
        <v>41487</v>
      </c>
      <c r="O10824" s="9" t="s">
        <v>30</v>
      </c>
      <c r="P10824" s="12" t="s">
        <v>30570</v>
      </c>
      <c r="Q10824" s="9" t="s">
        <v>280</v>
      </c>
      <c r="R10824" s="14" t="str">
        <f>HYPERLINK("https://my.pitchbook.com?c=89653-15T","View Company Online")</f>
        <v>View Company Online</v>
      </c>
    </row>
    <row r="10825" spans="1:18" hidden="1" x14ac:dyDescent="0.3">
      <c r="A10825" s="15" t="s">
        <v>30571</v>
      </c>
      <c r="B10825" s="15" t="s">
        <v>30572</v>
      </c>
      <c r="C10825" s="18" t="s">
        <v>28</v>
      </c>
      <c r="D10825" s="15" t="s">
        <v>30573</v>
      </c>
      <c r="E10825" s="18" t="s">
        <v>28</v>
      </c>
      <c r="F10825" s="19" t="s">
        <v>28</v>
      </c>
      <c r="G10825" s="19">
        <v>0.18</v>
      </c>
      <c r="H10825" s="19" t="s">
        <v>28</v>
      </c>
      <c r="I10825" s="18" t="s">
        <v>28</v>
      </c>
      <c r="J10825" s="18" t="s">
        <v>28</v>
      </c>
      <c r="K10825" s="18" t="s">
        <v>28</v>
      </c>
      <c r="L10825" s="18" t="s">
        <v>28</v>
      </c>
      <c r="M10825" s="18" t="s">
        <v>28</v>
      </c>
      <c r="N10825" s="17">
        <v>41487</v>
      </c>
      <c r="O10825" s="15" t="s">
        <v>99</v>
      </c>
      <c r="P10825" s="16" t="s">
        <v>28</v>
      </c>
      <c r="Q10825" s="15" t="s">
        <v>855</v>
      </c>
      <c r="R10825" s="13" t="str">
        <f>HYPERLINK("https://my.pitchbook.com?c=36927-01T","View Company Online")</f>
        <v>View Company Online</v>
      </c>
    </row>
    <row r="10826" spans="1:18" hidden="1" x14ac:dyDescent="0.3">
      <c r="A10826" s="9" t="s">
        <v>30574</v>
      </c>
      <c r="B10826" s="9" t="s">
        <v>1032</v>
      </c>
      <c r="C10826" s="11" t="s">
        <v>28</v>
      </c>
      <c r="D10826" s="9" t="s">
        <v>1033</v>
      </c>
      <c r="E10826" s="11" t="s">
        <v>28</v>
      </c>
      <c r="F10826" s="10" t="s">
        <v>28</v>
      </c>
      <c r="G10826" s="10">
        <v>65</v>
      </c>
      <c r="H10826" s="10" t="s">
        <v>28</v>
      </c>
      <c r="I10826" s="11" t="s">
        <v>28</v>
      </c>
      <c r="J10826" s="11" t="s">
        <v>28</v>
      </c>
      <c r="K10826" s="11" t="s">
        <v>28</v>
      </c>
      <c r="L10826" s="11" t="s">
        <v>28</v>
      </c>
      <c r="M10826" s="11" t="s">
        <v>28</v>
      </c>
      <c r="N10826" s="8">
        <v>41487</v>
      </c>
      <c r="O10826" s="9" t="s">
        <v>79</v>
      </c>
      <c r="P10826" s="12" t="s">
        <v>30575</v>
      </c>
      <c r="Q10826" s="9" t="s">
        <v>1035</v>
      </c>
      <c r="R10826" s="14" t="str">
        <f>HYPERLINK("https://my.pitchbook.com?c=28295-74T","View Company Online")</f>
        <v>View Company Online</v>
      </c>
    </row>
    <row r="10827" spans="1:18" hidden="1" x14ac:dyDescent="0.3">
      <c r="A10827" s="15" t="s">
        <v>30576</v>
      </c>
      <c r="B10827" s="15" t="s">
        <v>30577</v>
      </c>
      <c r="C10827" s="18" t="s">
        <v>28</v>
      </c>
      <c r="D10827" s="15" t="s">
        <v>30578</v>
      </c>
      <c r="E10827" s="18" t="s">
        <v>28</v>
      </c>
      <c r="F10827" s="19" t="s">
        <v>28</v>
      </c>
      <c r="G10827" s="19" t="s">
        <v>28</v>
      </c>
      <c r="H10827" s="19" t="s">
        <v>28</v>
      </c>
      <c r="I10827" s="18" t="s">
        <v>28</v>
      </c>
      <c r="J10827" s="18" t="s">
        <v>28</v>
      </c>
      <c r="K10827" s="18" t="s">
        <v>28</v>
      </c>
      <c r="L10827" s="18" t="s">
        <v>28</v>
      </c>
      <c r="M10827" s="18" t="s">
        <v>28</v>
      </c>
      <c r="N10827" s="17">
        <v>41487</v>
      </c>
      <c r="O10827" s="15" t="s">
        <v>93</v>
      </c>
      <c r="P10827" s="16" t="s">
        <v>20359</v>
      </c>
      <c r="Q10827" s="15" t="s">
        <v>75</v>
      </c>
      <c r="R10827" s="13" t="str">
        <f>HYPERLINK("https://my.pitchbook.com?c=27676-90T","View Company Online")</f>
        <v>View Company Online</v>
      </c>
    </row>
    <row r="10828" spans="1:18" hidden="1" x14ac:dyDescent="0.3">
      <c r="A10828" s="9" t="s">
        <v>30579</v>
      </c>
      <c r="B10828" s="9" t="s">
        <v>30580</v>
      </c>
      <c r="C10828" s="11" t="s">
        <v>28</v>
      </c>
      <c r="D10828" s="9" t="s">
        <v>30581</v>
      </c>
      <c r="E10828" s="11" t="s">
        <v>28</v>
      </c>
      <c r="F10828" s="10" t="s">
        <v>28</v>
      </c>
      <c r="G10828" s="10" t="s">
        <v>28</v>
      </c>
      <c r="H10828" s="10" t="s">
        <v>28</v>
      </c>
      <c r="I10828" s="11" t="s">
        <v>28</v>
      </c>
      <c r="J10828" s="11" t="s">
        <v>28</v>
      </c>
      <c r="K10828" s="11" t="s">
        <v>28</v>
      </c>
      <c r="L10828" s="11" t="s">
        <v>28</v>
      </c>
      <c r="M10828" s="11" t="s">
        <v>28</v>
      </c>
      <c r="N10828" s="8">
        <v>41487</v>
      </c>
      <c r="O10828" s="9" t="s">
        <v>93</v>
      </c>
      <c r="P10828" s="12" t="s">
        <v>5882</v>
      </c>
      <c r="Q10828" s="9" t="s">
        <v>169</v>
      </c>
      <c r="R10828" s="14" t="str">
        <f>HYPERLINK("https://my.pitchbook.com?c=174409-03T","View Company Online")</f>
        <v>View Company Online</v>
      </c>
    </row>
    <row r="10829" spans="1:18" hidden="1" x14ac:dyDescent="0.3">
      <c r="A10829" s="15" t="s">
        <v>30582</v>
      </c>
      <c r="B10829" s="15" t="s">
        <v>30583</v>
      </c>
      <c r="C10829" s="18" t="s">
        <v>28</v>
      </c>
      <c r="D10829" s="15" t="s">
        <v>30584</v>
      </c>
      <c r="E10829" s="18" t="s">
        <v>28</v>
      </c>
      <c r="F10829" s="19" t="s">
        <v>28</v>
      </c>
      <c r="G10829" s="19">
        <v>0.02</v>
      </c>
      <c r="H10829" s="19">
        <v>0.98</v>
      </c>
      <c r="I10829" s="18" t="s">
        <v>28</v>
      </c>
      <c r="J10829" s="18" t="s">
        <v>28</v>
      </c>
      <c r="K10829" s="18" t="s">
        <v>28</v>
      </c>
      <c r="L10829" s="18" t="s">
        <v>28</v>
      </c>
      <c r="M10829" s="18" t="s">
        <v>28</v>
      </c>
      <c r="N10829" s="17">
        <v>41487</v>
      </c>
      <c r="O10829" s="15" t="s">
        <v>52</v>
      </c>
      <c r="P10829" s="16" t="s">
        <v>27943</v>
      </c>
      <c r="Q10829" s="15" t="s">
        <v>75</v>
      </c>
      <c r="R10829" s="13" t="str">
        <f>HYPERLINK("https://my.pitchbook.com?c=132283-45T","View Company Online")</f>
        <v>View Company Online</v>
      </c>
    </row>
    <row r="10830" spans="1:18" hidden="1" x14ac:dyDescent="0.3">
      <c r="A10830" s="9" t="s">
        <v>30585</v>
      </c>
      <c r="B10830" s="9" t="s">
        <v>30210</v>
      </c>
      <c r="C10830" s="11" t="s">
        <v>28</v>
      </c>
      <c r="D10830" s="9" t="s">
        <v>30211</v>
      </c>
      <c r="E10830" s="11" t="s">
        <v>28</v>
      </c>
      <c r="F10830" s="10" t="s">
        <v>28</v>
      </c>
      <c r="G10830" s="10" t="s">
        <v>28</v>
      </c>
      <c r="H10830" s="10" t="s">
        <v>28</v>
      </c>
      <c r="I10830" s="11" t="s">
        <v>28</v>
      </c>
      <c r="J10830" s="11" t="s">
        <v>28</v>
      </c>
      <c r="K10830" s="11" t="s">
        <v>28</v>
      </c>
      <c r="L10830" s="11" t="s">
        <v>28</v>
      </c>
      <c r="M10830" s="11" t="s">
        <v>28</v>
      </c>
      <c r="N10830" s="8">
        <v>41487</v>
      </c>
      <c r="O10830" s="9" t="s">
        <v>52</v>
      </c>
      <c r="P10830" s="12" t="s">
        <v>27943</v>
      </c>
      <c r="Q10830" s="9" t="s">
        <v>386</v>
      </c>
      <c r="R10830" s="14" t="str">
        <f>HYPERLINK("https://my.pitchbook.com?c=132281-92T","View Company Online")</f>
        <v>View Company Online</v>
      </c>
    </row>
    <row r="10831" spans="1:18" hidden="1" x14ac:dyDescent="0.3">
      <c r="A10831" s="15" t="s">
        <v>30586</v>
      </c>
      <c r="B10831" s="15" t="s">
        <v>23492</v>
      </c>
      <c r="C10831" s="18" t="s">
        <v>28</v>
      </c>
      <c r="D10831" s="15" t="s">
        <v>23493</v>
      </c>
      <c r="E10831" s="18" t="s">
        <v>28</v>
      </c>
      <c r="F10831" s="19" t="s">
        <v>28</v>
      </c>
      <c r="G10831" s="19">
        <v>0.08</v>
      </c>
      <c r="H10831" s="19" t="s">
        <v>28</v>
      </c>
      <c r="I10831" s="18" t="s">
        <v>28</v>
      </c>
      <c r="J10831" s="18" t="s">
        <v>28</v>
      </c>
      <c r="K10831" s="18" t="s">
        <v>28</v>
      </c>
      <c r="L10831" s="18" t="s">
        <v>28</v>
      </c>
      <c r="M10831" s="18" t="s">
        <v>28</v>
      </c>
      <c r="N10831" s="17">
        <v>41487</v>
      </c>
      <c r="O10831" s="15" t="s">
        <v>47</v>
      </c>
      <c r="P10831" s="16" t="s">
        <v>24901</v>
      </c>
      <c r="Q10831" s="15" t="s">
        <v>95</v>
      </c>
      <c r="R10831" s="13" t="str">
        <f>HYPERLINK("https://my.pitchbook.com?c=50700-25T","View Company Online")</f>
        <v>View Company Online</v>
      </c>
    </row>
    <row r="10832" spans="1:18" hidden="1" x14ac:dyDescent="0.3">
      <c r="A10832" s="9" t="s">
        <v>30587</v>
      </c>
      <c r="B10832" s="9" t="s">
        <v>30588</v>
      </c>
      <c r="C10832" s="11" t="s">
        <v>28</v>
      </c>
      <c r="D10832" s="9" t="s">
        <v>30589</v>
      </c>
      <c r="E10832" s="11" t="s">
        <v>28</v>
      </c>
      <c r="F10832" s="10" t="s">
        <v>28</v>
      </c>
      <c r="G10832" s="10" t="s">
        <v>28</v>
      </c>
      <c r="H10832" s="10" t="s">
        <v>28</v>
      </c>
      <c r="I10832" s="11" t="s">
        <v>28</v>
      </c>
      <c r="J10832" s="11" t="s">
        <v>28</v>
      </c>
      <c r="K10832" s="11" t="s">
        <v>28</v>
      </c>
      <c r="L10832" s="11" t="s">
        <v>28</v>
      </c>
      <c r="M10832" s="11" t="s">
        <v>28</v>
      </c>
      <c r="N10832" s="8">
        <v>41487</v>
      </c>
      <c r="O10832" s="9" t="s">
        <v>30</v>
      </c>
      <c r="P10832" s="12" t="s">
        <v>30590</v>
      </c>
      <c r="Q10832" s="9" t="s">
        <v>299</v>
      </c>
      <c r="R10832" s="14" t="str">
        <f>HYPERLINK("https://my.pitchbook.com?c=102684-97T","View Company Online")</f>
        <v>View Company Online</v>
      </c>
    </row>
    <row r="10833" spans="1:18" hidden="1" x14ac:dyDescent="0.3">
      <c r="A10833" s="15" t="s">
        <v>30591</v>
      </c>
      <c r="B10833" s="15" t="s">
        <v>30592</v>
      </c>
      <c r="C10833" s="18" t="s">
        <v>28</v>
      </c>
      <c r="D10833" s="15" t="s">
        <v>30593</v>
      </c>
      <c r="E10833" s="18" t="s">
        <v>28</v>
      </c>
      <c r="F10833" s="19" t="s">
        <v>28</v>
      </c>
      <c r="G10833" s="19" t="s">
        <v>28</v>
      </c>
      <c r="H10833" s="19" t="s">
        <v>28</v>
      </c>
      <c r="I10833" s="18" t="s">
        <v>28</v>
      </c>
      <c r="J10833" s="18" t="s">
        <v>28</v>
      </c>
      <c r="K10833" s="18" t="s">
        <v>28</v>
      </c>
      <c r="L10833" s="18" t="s">
        <v>28</v>
      </c>
      <c r="M10833" s="18" t="s">
        <v>28</v>
      </c>
      <c r="N10833" s="17">
        <v>41487</v>
      </c>
      <c r="O10833" s="15" t="s">
        <v>52</v>
      </c>
      <c r="P10833" s="16" t="s">
        <v>27943</v>
      </c>
      <c r="Q10833" s="15" t="s">
        <v>419</v>
      </c>
      <c r="R10833" s="13" t="str">
        <f>HYPERLINK("https://my.pitchbook.com?c=132281-65T","View Company Online")</f>
        <v>View Company Online</v>
      </c>
    </row>
    <row r="10834" spans="1:18" hidden="1" x14ac:dyDescent="0.3">
      <c r="A10834" s="9" t="s">
        <v>30594</v>
      </c>
      <c r="B10834" s="9" t="s">
        <v>30595</v>
      </c>
      <c r="C10834" s="11" t="s">
        <v>28</v>
      </c>
      <c r="D10834" s="9" t="s">
        <v>30596</v>
      </c>
      <c r="E10834" s="11" t="s">
        <v>28</v>
      </c>
      <c r="F10834" s="10">
        <v>31.04</v>
      </c>
      <c r="G10834" s="10">
        <v>31.04</v>
      </c>
      <c r="H10834" s="10">
        <v>31.04</v>
      </c>
      <c r="I10834" s="11" t="s">
        <v>28</v>
      </c>
      <c r="J10834" s="11" t="s">
        <v>28</v>
      </c>
      <c r="K10834" s="11" t="s">
        <v>28</v>
      </c>
      <c r="L10834" s="11" t="s">
        <v>28</v>
      </c>
      <c r="M10834" s="11" t="s">
        <v>28</v>
      </c>
      <c r="N10834" s="8">
        <v>41486</v>
      </c>
      <c r="O10834" s="9" t="s">
        <v>30</v>
      </c>
      <c r="P10834" s="12" t="s">
        <v>15076</v>
      </c>
      <c r="Q10834" s="9" t="s">
        <v>136</v>
      </c>
      <c r="R10834" s="14" t="str">
        <f>HYPERLINK("https://my.pitchbook.com?c=71125-75T","View Company Online")</f>
        <v>View Company Online</v>
      </c>
    </row>
    <row r="10835" spans="1:18" hidden="1" x14ac:dyDescent="0.3">
      <c r="A10835" s="15" t="s">
        <v>30597</v>
      </c>
      <c r="B10835" s="15" t="s">
        <v>30598</v>
      </c>
      <c r="C10835" s="18" t="s">
        <v>28</v>
      </c>
      <c r="D10835" s="15" t="s">
        <v>30599</v>
      </c>
      <c r="E10835" s="18" t="s">
        <v>28</v>
      </c>
      <c r="F10835" s="19" t="s">
        <v>28</v>
      </c>
      <c r="G10835" s="19" t="s">
        <v>28</v>
      </c>
      <c r="H10835" s="19" t="s">
        <v>28</v>
      </c>
      <c r="I10835" s="18" t="s">
        <v>28</v>
      </c>
      <c r="J10835" s="18" t="s">
        <v>28</v>
      </c>
      <c r="K10835" s="18" t="s">
        <v>28</v>
      </c>
      <c r="L10835" s="18" t="s">
        <v>28</v>
      </c>
      <c r="M10835" s="18" t="s">
        <v>28</v>
      </c>
      <c r="N10835" s="17">
        <v>41486</v>
      </c>
      <c r="O10835" s="15" t="s">
        <v>30</v>
      </c>
      <c r="P10835" s="16" t="s">
        <v>30600</v>
      </c>
      <c r="Q10835" s="15" t="s">
        <v>18014</v>
      </c>
      <c r="R10835" s="13" t="str">
        <f>HYPERLINK("https://my.pitchbook.com?c=69013-54T","View Company Online")</f>
        <v>View Company Online</v>
      </c>
    </row>
    <row r="10836" spans="1:18" hidden="1" x14ac:dyDescent="0.3">
      <c r="A10836" s="9" t="s">
        <v>30601</v>
      </c>
      <c r="B10836" s="9" t="s">
        <v>1315</v>
      </c>
      <c r="C10836" s="11" t="s">
        <v>28</v>
      </c>
      <c r="D10836" s="9" t="s">
        <v>1316</v>
      </c>
      <c r="E10836" s="11">
        <v>8.77</v>
      </c>
      <c r="F10836" s="10" t="s">
        <v>28</v>
      </c>
      <c r="G10836" s="10" t="s">
        <v>28</v>
      </c>
      <c r="H10836" s="10" t="s">
        <v>28</v>
      </c>
      <c r="I10836" s="11">
        <v>16.54</v>
      </c>
      <c r="J10836" s="11" t="s">
        <v>28</v>
      </c>
      <c r="K10836" s="11">
        <v>209.1</v>
      </c>
      <c r="L10836" s="11" t="s">
        <v>28</v>
      </c>
      <c r="M10836" s="11">
        <v>-4.97</v>
      </c>
      <c r="N10836" s="8">
        <v>41485</v>
      </c>
      <c r="O10836" s="9" t="s">
        <v>173</v>
      </c>
      <c r="P10836" s="12" t="s">
        <v>28</v>
      </c>
      <c r="Q10836" s="9" t="s">
        <v>1088</v>
      </c>
      <c r="R10836" s="14" t="str">
        <f>HYPERLINK("https://my.pitchbook.com?c=110095-48T","View Company Online")</f>
        <v>View Company Online</v>
      </c>
    </row>
    <row r="10837" spans="1:18" hidden="1" x14ac:dyDescent="0.3">
      <c r="A10837" s="15" t="s">
        <v>30602</v>
      </c>
      <c r="B10837" s="15" t="s">
        <v>30603</v>
      </c>
      <c r="C10837" s="18" t="s">
        <v>28</v>
      </c>
      <c r="D10837" s="15" t="s">
        <v>30604</v>
      </c>
      <c r="E10837" s="18" t="s">
        <v>28</v>
      </c>
      <c r="F10837" s="19" t="s">
        <v>28</v>
      </c>
      <c r="G10837" s="19" t="s">
        <v>28</v>
      </c>
      <c r="H10837" s="19" t="s">
        <v>28</v>
      </c>
      <c r="I10837" s="18" t="s">
        <v>28</v>
      </c>
      <c r="J10837" s="18" t="s">
        <v>28</v>
      </c>
      <c r="K10837" s="18" t="s">
        <v>28</v>
      </c>
      <c r="L10837" s="18" t="s">
        <v>28</v>
      </c>
      <c r="M10837" s="18" t="s">
        <v>28</v>
      </c>
      <c r="N10837" s="17">
        <v>41484</v>
      </c>
      <c r="O10837" s="15" t="s">
        <v>52</v>
      </c>
      <c r="P10837" s="16" t="s">
        <v>11539</v>
      </c>
      <c r="Q10837" s="15" t="s">
        <v>75</v>
      </c>
      <c r="R10837" s="13" t="str">
        <f>HYPERLINK("https://my.pitchbook.com?c=134087-95T","View Company Online")</f>
        <v>View Company Online</v>
      </c>
    </row>
    <row r="10838" spans="1:18" hidden="1" x14ac:dyDescent="0.3">
      <c r="A10838" s="9" t="s">
        <v>30605</v>
      </c>
      <c r="B10838" s="9" t="s">
        <v>30606</v>
      </c>
      <c r="C10838" s="11" t="s">
        <v>28</v>
      </c>
      <c r="D10838" s="9" t="s">
        <v>30607</v>
      </c>
      <c r="E10838" s="11" t="s">
        <v>28</v>
      </c>
      <c r="F10838" s="10" t="s">
        <v>28</v>
      </c>
      <c r="G10838" s="10" t="s">
        <v>28</v>
      </c>
      <c r="H10838" s="10" t="s">
        <v>28</v>
      </c>
      <c r="I10838" s="11" t="s">
        <v>28</v>
      </c>
      <c r="J10838" s="11" t="s">
        <v>28</v>
      </c>
      <c r="K10838" s="11" t="s">
        <v>28</v>
      </c>
      <c r="L10838" s="11" t="s">
        <v>28</v>
      </c>
      <c r="M10838" s="11" t="s">
        <v>28</v>
      </c>
      <c r="N10838" s="8">
        <v>41484</v>
      </c>
      <c r="O10838" s="9" t="s">
        <v>52</v>
      </c>
      <c r="P10838" s="12" t="s">
        <v>29994</v>
      </c>
      <c r="Q10838" s="9" t="s">
        <v>583</v>
      </c>
      <c r="R10838" s="14" t="str">
        <f>HYPERLINK("https://my.pitchbook.com?c=62810-20T","View Company Online")</f>
        <v>View Company Online</v>
      </c>
    </row>
    <row r="10839" spans="1:18" hidden="1" x14ac:dyDescent="0.3">
      <c r="A10839" s="15" t="s">
        <v>30608</v>
      </c>
      <c r="B10839" s="15" t="s">
        <v>30609</v>
      </c>
      <c r="C10839" s="18" t="s">
        <v>28</v>
      </c>
      <c r="D10839" s="15" t="s">
        <v>30610</v>
      </c>
      <c r="E10839" s="18" t="s">
        <v>28</v>
      </c>
      <c r="F10839" s="19" t="s">
        <v>28</v>
      </c>
      <c r="G10839" s="19" t="s">
        <v>28</v>
      </c>
      <c r="H10839" s="19" t="s">
        <v>28</v>
      </c>
      <c r="I10839" s="18" t="s">
        <v>28</v>
      </c>
      <c r="J10839" s="18" t="s">
        <v>28</v>
      </c>
      <c r="K10839" s="18" t="s">
        <v>28</v>
      </c>
      <c r="L10839" s="18" t="s">
        <v>28</v>
      </c>
      <c r="M10839" s="18" t="s">
        <v>28</v>
      </c>
      <c r="N10839" s="17">
        <v>41481</v>
      </c>
      <c r="O10839" s="15" t="s">
        <v>30</v>
      </c>
      <c r="P10839" s="16" t="s">
        <v>30611</v>
      </c>
      <c r="Q10839" s="15" t="s">
        <v>105</v>
      </c>
      <c r="R10839" s="13" t="str">
        <f>HYPERLINK("https://my.pitchbook.com?c=89689-33T","View Company Online")</f>
        <v>View Company Online</v>
      </c>
    </row>
    <row r="10840" spans="1:18" hidden="1" x14ac:dyDescent="0.3">
      <c r="A10840" s="9" t="s">
        <v>30612</v>
      </c>
      <c r="B10840" s="9" t="s">
        <v>30359</v>
      </c>
      <c r="C10840" s="11" t="s">
        <v>28</v>
      </c>
      <c r="D10840" s="9" t="s">
        <v>30360</v>
      </c>
      <c r="E10840" s="11" t="s">
        <v>28</v>
      </c>
      <c r="F10840" s="10" t="s">
        <v>28</v>
      </c>
      <c r="G10840" s="10">
        <v>0.04</v>
      </c>
      <c r="H10840" s="10" t="s">
        <v>28</v>
      </c>
      <c r="I10840" s="11" t="s">
        <v>28</v>
      </c>
      <c r="J10840" s="11" t="s">
        <v>28</v>
      </c>
      <c r="K10840" s="11" t="s">
        <v>28</v>
      </c>
      <c r="L10840" s="11" t="s">
        <v>28</v>
      </c>
      <c r="M10840" s="11" t="s">
        <v>28</v>
      </c>
      <c r="N10840" s="8">
        <v>41480</v>
      </c>
      <c r="O10840" s="9" t="s">
        <v>52</v>
      </c>
      <c r="P10840" s="12" t="s">
        <v>1792</v>
      </c>
      <c r="Q10840" s="9" t="s">
        <v>5347</v>
      </c>
      <c r="R10840" s="14" t="str">
        <f>HYPERLINK("https://my.pitchbook.com?c=50664-07T","View Company Online")</f>
        <v>View Company Online</v>
      </c>
    </row>
    <row r="10841" spans="1:18" hidden="1" x14ac:dyDescent="0.3">
      <c r="A10841" s="15" t="s">
        <v>30613</v>
      </c>
      <c r="B10841" s="15" t="s">
        <v>1164</v>
      </c>
      <c r="C10841" s="18" t="s">
        <v>28</v>
      </c>
      <c r="D10841" s="15" t="s">
        <v>16348</v>
      </c>
      <c r="E10841" s="18" t="s">
        <v>28</v>
      </c>
      <c r="F10841" s="19" t="s">
        <v>28</v>
      </c>
      <c r="G10841" s="19" t="s">
        <v>28</v>
      </c>
      <c r="H10841" s="19" t="s">
        <v>28</v>
      </c>
      <c r="I10841" s="18" t="s">
        <v>28</v>
      </c>
      <c r="J10841" s="18" t="s">
        <v>28</v>
      </c>
      <c r="K10841" s="18" t="s">
        <v>28</v>
      </c>
      <c r="L10841" s="18" t="s">
        <v>28</v>
      </c>
      <c r="M10841" s="18" t="s">
        <v>28</v>
      </c>
      <c r="N10841" s="17">
        <v>41479</v>
      </c>
      <c r="O10841" s="15" t="s">
        <v>30</v>
      </c>
      <c r="P10841" s="16" t="s">
        <v>30614</v>
      </c>
      <c r="Q10841" s="15" t="s">
        <v>1088</v>
      </c>
      <c r="R10841" s="13" t="str">
        <f>HYPERLINK("https://my.pitchbook.com?c=34588-00T","View Company Online")</f>
        <v>View Company Online</v>
      </c>
    </row>
    <row r="10842" spans="1:18" hidden="1" x14ac:dyDescent="0.3">
      <c r="A10842" s="9" t="s">
        <v>30615</v>
      </c>
      <c r="B10842" s="9" t="s">
        <v>30616</v>
      </c>
      <c r="C10842" s="11" t="s">
        <v>28</v>
      </c>
      <c r="D10842" s="9" t="s">
        <v>30617</v>
      </c>
      <c r="E10842" s="11" t="s">
        <v>28</v>
      </c>
      <c r="F10842" s="10">
        <v>34.28</v>
      </c>
      <c r="G10842" s="10">
        <v>34.28</v>
      </c>
      <c r="H10842" s="10">
        <v>34.28</v>
      </c>
      <c r="I10842" s="11" t="s">
        <v>28</v>
      </c>
      <c r="J10842" s="11" t="s">
        <v>28</v>
      </c>
      <c r="K10842" s="11" t="s">
        <v>28</v>
      </c>
      <c r="L10842" s="11" t="s">
        <v>28</v>
      </c>
      <c r="M10842" s="11" t="s">
        <v>28</v>
      </c>
      <c r="N10842" s="8">
        <v>41478</v>
      </c>
      <c r="O10842" s="9" t="s">
        <v>30</v>
      </c>
      <c r="P10842" s="12" t="s">
        <v>30618</v>
      </c>
      <c r="Q10842" s="9" t="s">
        <v>299</v>
      </c>
      <c r="R10842" s="14" t="str">
        <f>HYPERLINK("https://my.pitchbook.com?c=89607-07T","View Company Online")</f>
        <v>View Company Online</v>
      </c>
    </row>
    <row r="10843" spans="1:18" hidden="1" x14ac:dyDescent="0.3">
      <c r="A10843" s="15" t="s">
        <v>30619</v>
      </c>
      <c r="B10843" s="15" t="s">
        <v>30620</v>
      </c>
      <c r="C10843" s="18" t="s">
        <v>28</v>
      </c>
      <c r="D10843" s="15" t="s">
        <v>30621</v>
      </c>
      <c r="E10843" s="18" t="s">
        <v>28</v>
      </c>
      <c r="F10843" s="19" t="s">
        <v>28</v>
      </c>
      <c r="G10843" s="19" t="s">
        <v>28</v>
      </c>
      <c r="H10843" s="19" t="s">
        <v>28</v>
      </c>
      <c r="I10843" s="18" t="s">
        <v>28</v>
      </c>
      <c r="J10843" s="18" t="s">
        <v>28</v>
      </c>
      <c r="K10843" s="18" t="s">
        <v>28</v>
      </c>
      <c r="L10843" s="18" t="s">
        <v>28</v>
      </c>
      <c r="M10843" s="18" t="s">
        <v>28</v>
      </c>
      <c r="N10843" s="17">
        <v>41477</v>
      </c>
      <c r="O10843" s="15" t="s">
        <v>173</v>
      </c>
      <c r="P10843" s="16" t="s">
        <v>28</v>
      </c>
      <c r="Q10843" s="15" t="s">
        <v>174</v>
      </c>
      <c r="R10843" s="13" t="str">
        <f>HYPERLINK("https://my.pitchbook.com?c=224684-83T","View Company Online")</f>
        <v>View Company Online</v>
      </c>
    </row>
    <row r="10844" spans="1:18" hidden="1" x14ac:dyDescent="0.3">
      <c r="A10844" s="9" t="s">
        <v>30622</v>
      </c>
      <c r="B10844" s="9" t="s">
        <v>24491</v>
      </c>
      <c r="C10844" s="11" t="s">
        <v>28</v>
      </c>
      <c r="D10844" s="9" t="s">
        <v>24492</v>
      </c>
      <c r="E10844" s="11" t="s">
        <v>28</v>
      </c>
      <c r="F10844" s="10">
        <v>0.51</v>
      </c>
      <c r="G10844" s="10">
        <v>0.46</v>
      </c>
      <c r="H10844" s="10">
        <v>0.51</v>
      </c>
      <c r="I10844" s="11" t="s">
        <v>28</v>
      </c>
      <c r="J10844" s="11" t="s">
        <v>28</v>
      </c>
      <c r="K10844" s="11" t="s">
        <v>28</v>
      </c>
      <c r="L10844" s="11" t="s">
        <v>28</v>
      </c>
      <c r="M10844" s="11" t="s">
        <v>28</v>
      </c>
      <c r="N10844" s="8">
        <v>41477</v>
      </c>
      <c r="O10844" s="9" t="s">
        <v>30</v>
      </c>
      <c r="P10844" s="12" t="s">
        <v>24493</v>
      </c>
      <c r="Q10844" s="9" t="s">
        <v>85</v>
      </c>
      <c r="R10844" s="14" t="str">
        <f>HYPERLINK("https://my.pitchbook.com?c=89737-75T","View Company Online")</f>
        <v>View Company Online</v>
      </c>
    </row>
    <row r="10845" spans="1:18" hidden="1" x14ac:dyDescent="0.3">
      <c r="A10845" s="15" t="s">
        <v>30623</v>
      </c>
      <c r="B10845" s="15" t="s">
        <v>30624</v>
      </c>
      <c r="C10845" s="18" t="s">
        <v>28</v>
      </c>
      <c r="D10845" s="15" t="s">
        <v>30625</v>
      </c>
      <c r="E10845" s="18" t="s">
        <v>28</v>
      </c>
      <c r="F10845" s="19" t="s">
        <v>28</v>
      </c>
      <c r="G10845" s="19" t="s">
        <v>28</v>
      </c>
      <c r="H10845" s="19" t="s">
        <v>28</v>
      </c>
      <c r="I10845" s="18" t="s">
        <v>28</v>
      </c>
      <c r="J10845" s="18" t="s">
        <v>28</v>
      </c>
      <c r="K10845" s="18" t="s">
        <v>28</v>
      </c>
      <c r="L10845" s="18" t="s">
        <v>28</v>
      </c>
      <c r="M10845" s="18" t="s">
        <v>28</v>
      </c>
      <c r="N10845" s="17">
        <v>41473</v>
      </c>
      <c r="O10845" s="15" t="s">
        <v>41</v>
      </c>
      <c r="P10845" s="16" t="s">
        <v>30626</v>
      </c>
      <c r="Q10845" s="15" t="s">
        <v>37</v>
      </c>
      <c r="R10845" s="13" t="str">
        <f>HYPERLINK("https://my.pitchbook.com?c=71837-38T","View Company Online")</f>
        <v>View Company Online</v>
      </c>
    </row>
    <row r="10846" spans="1:18" hidden="1" x14ac:dyDescent="0.3">
      <c r="A10846" s="9" t="s">
        <v>30627</v>
      </c>
      <c r="B10846" s="9" t="s">
        <v>29710</v>
      </c>
      <c r="C10846" s="11" t="s">
        <v>28</v>
      </c>
      <c r="D10846" s="9" t="s">
        <v>30628</v>
      </c>
      <c r="E10846" s="11">
        <v>115.36</v>
      </c>
      <c r="F10846" s="10" t="s">
        <v>28</v>
      </c>
      <c r="G10846" s="10">
        <v>460.96</v>
      </c>
      <c r="H10846" s="10" t="s">
        <v>28</v>
      </c>
      <c r="I10846" s="11">
        <v>288.81</v>
      </c>
      <c r="J10846" s="11" t="s">
        <v>28</v>
      </c>
      <c r="K10846" s="11">
        <v>458.13</v>
      </c>
      <c r="L10846" s="11" t="s">
        <v>28</v>
      </c>
      <c r="M10846" s="11">
        <v>-31.32</v>
      </c>
      <c r="N10846" s="8">
        <v>41473</v>
      </c>
      <c r="O10846" s="9" t="s">
        <v>173</v>
      </c>
      <c r="P10846" s="12" t="s">
        <v>28</v>
      </c>
      <c r="Q10846" s="9" t="s">
        <v>226</v>
      </c>
      <c r="R10846" s="14" t="str">
        <f>HYPERLINK("https://my.pitchbook.com?c=181954-45T","View Company Online")</f>
        <v>View Company Online</v>
      </c>
    </row>
    <row r="10847" spans="1:18" hidden="1" x14ac:dyDescent="0.3">
      <c r="A10847" s="15" t="s">
        <v>30629</v>
      </c>
      <c r="B10847" s="15" t="s">
        <v>30630</v>
      </c>
      <c r="C10847" s="18" t="s">
        <v>28</v>
      </c>
      <c r="D10847" s="15" t="s">
        <v>30631</v>
      </c>
      <c r="E10847" s="18" t="s">
        <v>28</v>
      </c>
      <c r="F10847" s="19" t="s">
        <v>28</v>
      </c>
      <c r="G10847" s="19" t="s">
        <v>28</v>
      </c>
      <c r="H10847" s="19" t="s">
        <v>28</v>
      </c>
      <c r="I10847" s="18" t="s">
        <v>28</v>
      </c>
      <c r="J10847" s="18" t="s">
        <v>28</v>
      </c>
      <c r="K10847" s="18" t="s">
        <v>28</v>
      </c>
      <c r="L10847" s="18" t="s">
        <v>28</v>
      </c>
      <c r="M10847" s="18" t="s">
        <v>28</v>
      </c>
      <c r="N10847" s="17">
        <v>41473</v>
      </c>
      <c r="O10847" s="15" t="s">
        <v>52</v>
      </c>
      <c r="P10847" s="16" t="s">
        <v>18449</v>
      </c>
      <c r="Q10847" s="15" t="s">
        <v>353</v>
      </c>
      <c r="R10847" s="13" t="str">
        <f>HYPERLINK("https://my.pitchbook.com?c=55493-74T","View Company Online")</f>
        <v>View Company Online</v>
      </c>
    </row>
    <row r="10848" spans="1:18" hidden="1" x14ac:dyDescent="0.3">
      <c r="A10848" s="9" t="s">
        <v>30632</v>
      </c>
      <c r="B10848" s="9" t="s">
        <v>30633</v>
      </c>
      <c r="C10848" s="11" t="s">
        <v>28</v>
      </c>
      <c r="D10848" s="9" t="s">
        <v>30634</v>
      </c>
      <c r="E10848" s="11" t="s">
        <v>28</v>
      </c>
      <c r="F10848" s="10" t="s">
        <v>28</v>
      </c>
      <c r="G10848" s="10" t="s">
        <v>28</v>
      </c>
      <c r="H10848" s="10" t="s">
        <v>28</v>
      </c>
      <c r="I10848" s="11" t="s">
        <v>28</v>
      </c>
      <c r="J10848" s="11" t="s">
        <v>28</v>
      </c>
      <c r="K10848" s="11" t="s">
        <v>28</v>
      </c>
      <c r="L10848" s="11" t="s">
        <v>28</v>
      </c>
      <c r="M10848" s="11" t="s">
        <v>28</v>
      </c>
      <c r="N10848" s="8">
        <v>41472</v>
      </c>
      <c r="O10848" s="9" t="s">
        <v>93</v>
      </c>
      <c r="P10848" s="12" t="s">
        <v>20359</v>
      </c>
      <c r="Q10848" s="9" t="s">
        <v>136</v>
      </c>
      <c r="R10848" s="14" t="str">
        <f>HYPERLINK("https://my.pitchbook.com?c=27298-99T","View Company Online")</f>
        <v>View Company Online</v>
      </c>
    </row>
    <row r="10849" spans="1:18" hidden="1" x14ac:dyDescent="0.3">
      <c r="A10849" s="15" t="s">
        <v>30635</v>
      </c>
      <c r="B10849" s="15" t="s">
        <v>20772</v>
      </c>
      <c r="C10849" s="18" t="s">
        <v>28</v>
      </c>
      <c r="D10849" s="15" t="s">
        <v>20773</v>
      </c>
      <c r="E10849" s="18" t="s">
        <v>28</v>
      </c>
      <c r="F10849" s="19" t="s">
        <v>28</v>
      </c>
      <c r="G10849" s="19">
        <v>4.46</v>
      </c>
      <c r="H10849" s="19" t="s">
        <v>28</v>
      </c>
      <c r="I10849" s="18" t="s">
        <v>28</v>
      </c>
      <c r="J10849" s="18" t="s">
        <v>28</v>
      </c>
      <c r="K10849" s="18" t="s">
        <v>28</v>
      </c>
      <c r="L10849" s="18" t="s">
        <v>28</v>
      </c>
      <c r="M10849" s="18" t="s">
        <v>28</v>
      </c>
      <c r="N10849" s="17">
        <v>41471</v>
      </c>
      <c r="O10849" s="15" t="s">
        <v>99</v>
      </c>
      <c r="P10849" s="16" t="s">
        <v>30636</v>
      </c>
      <c r="Q10849" s="15" t="s">
        <v>188</v>
      </c>
      <c r="R10849" s="13" t="str">
        <f>HYPERLINK("https://my.pitchbook.com?c=36894-16T","View Company Online")</f>
        <v>View Company Online</v>
      </c>
    </row>
    <row r="10850" spans="1:18" hidden="1" x14ac:dyDescent="0.3">
      <c r="A10850" s="9" t="s">
        <v>30637</v>
      </c>
      <c r="B10850" s="9" t="s">
        <v>25948</v>
      </c>
      <c r="C10850" s="11" t="s">
        <v>28</v>
      </c>
      <c r="D10850" s="9" t="s">
        <v>25949</v>
      </c>
      <c r="E10850" s="11" t="s">
        <v>28</v>
      </c>
      <c r="F10850" s="10" t="s">
        <v>28</v>
      </c>
      <c r="G10850" s="10" t="s">
        <v>28</v>
      </c>
      <c r="H10850" s="10" t="s">
        <v>28</v>
      </c>
      <c r="I10850" s="11" t="s">
        <v>28</v>
      </c>
      <c r="J10850" s="11" t="s">
        <v>28</v>
      </c>
      <c r="K10850" s="11" t="s">
        <v>28</v>
      </c>
      <c r="L10850" s="11" t="s">
        <v>28</v>
      </c>
      <c r="M10850" s="11" t="s">
        <v>28</v>
      </c>
      <c r="N10850" s="8">
        <v>41470</v>
      </c>
      <c r="O10850" s="9" t="s">
        <v>99</v>
      </c>
      <c r="P10850" s="12" t="s">
        <v>30638</v>
      </c>
      <c r="Q10850" s="9" t="s">
        <v>37</v>
      </c>
      <c r="R10850" s="14" t="str">
        <f>HYPERLINK("https://my.pitchbook.com?c=52734-97T","View Company Online")</f>
        <v>View Company Online</v>
      </c>
    </row>
    <row r="10851" spans="1:18" hidden="1" x14ac:dyDescent="0.3">
      <c r="A10851" s="15" t="s">
        <v>30639</v>
      </c>
      <c r="B10851" s="15" t="s">
        <v>30640</v>
      </c>
      <c r="C10851" s="18" t="s">
        <v>28</v>
      </c>
      <c r="D10851" s="15" t="s">
        <v>30641</v>
      </c>
      <c r="E10851" s="18" t="s">
        <v>28</v>
      </c>
      <c r="F10851" s="19">
        <v>16.71</v>
      </c>
      <c r="G10851" s="19">
        <v>16.71</v>
      </c>
      <c r="H10851" s="19">
        <v>16.71</v>
      </c>
      <c r="I10851" s="18" t="s">
        <v>28</v>
      </c>
      <c r="J10851" s="18" t="s">
        <v>28</v>
      </c>
      <c r="K10851" s="18" t="s">
        <v>28</v>
      </c>
      <c r="L10851" s="18" t="s">
        <v>28</v>
      </c>
      <c r="M10851" s="18" t="s">
        <v>28</v>
      </c>
      <c r="N10851" s="17">
        <v>41470</v>
      </c>
      <c r="O10851" s="15" t="s">
        <v>30</v>
      </c>
      <c r="P10851" s="16" t="s">
        <v>4262</v>
      </c>
      <c r="Q10851" s="15" t="s">
        <v>75</v>
      </c>
      <c r="R10851" s="13" t="str">
        <f>HYPERLINK("https://my.pitchbook.com?c=89721-64T","View Company Online")</f>
        <v>View Company Online</v>
      </c>
    </row>
    <row r="10852" spans="1:18" hidden="1" x14ac:dyDescent="0.3">
      <c r="A10852" s="9" t="s">
        <v>30642</v>
      </c>
      <c r="B10852" s="9" t="s">
        <v>30643</v>
      </c>
      <c r="C10852" s="11" t="s">
        <v>28</v>
      </c>
      <c r="D10852" s="9" t="s">
        <v>30644</v>
      </c>
      <c r="E10852" s="11" t="s">
        <v>28</v>
      </c>
      <c r="F10852" s="10" t="s">
        <v>28</v>
      </c>
      <c r="G10852" s="10" t="s">
        <v>28</v>
      </c>
      <c r="H10852" s="10" t="s">
        <v>28</v>
      </c>
      <c r="I10852" s="11" t="s">
        <v>28</v>
      </c>
      <c r="J10852" s="11" t="s">
        <v>28</v>
      </c>
      <c r="K10852" s="11" t="s">
        <v>28</v>
      </c>
      <c r="L10852" s="11" t="s">
        <v>28</v>
      </c>
      <c r="M10852" s="11" t="s">
        <v>28</v>
      </c>
      <c r="N10852" s="8">
        <v>41470</v>
      </c>
      <c r="O10852" s="9" t="s">
        <v>30</v>
      </c>
      <c r="P10852" s="12" t="s">
        <v>30645</v>
      </c>
      <c r="Q10852" s="9" t="s">
        <v>900</v>
      </c>
      <c r="R10852" s="14" t="str">
        <f>HYPERLINK("https://my.pitchbook.com?c=70742-17T","View Company Online")</f>
        <v>View Company Online</v>
      </c>
    </row>
    <row r="10853" spans="1:18" hidden="1" x14ac:dyDescent="0.3">
      <c r="A10853" s="15" t="s">
        <v>30646</v>
      </c>
      <c r="B10853" s="15" t="s">
        <v>30647</v>
      </c>
      <c r="C10853" s="18" t="s">
        <v>28</v>
      </c>
      <c r="D10853" s="15" t="s">
        <v>30648</v>
      </c>
      <c r="E10853" s="18" t="s">
        <v>28</v>
      </c>
      <c r="F10853" s="19">
        <v>549.19000000000005</v>
      </c>
      <c r="G10853" s="19">
        <v>549.19000000000005</v>
      </c>
      <c r="H10853" s="19">
        <v>549.19000000000005</v>
      </c>
      <c r="I10853" s="18" t="s">
        <v>28</v>
      </c>
      <c r="J10853" s="18" t="s">
        <v>28</v>
      </c>
      <c r="K10853" s="18" t="s">
        <v>28</v>
      </c>
      <c r="L10853" s="18" t="s">
        <v>28</v>
      </c>
      <c r="M10853" s="18" t="s">
        <v>28</v>
      </c>
      <c r="N10853" s="17">
        <v>41465</v>
      </c>
      <c r="O10853" s="15" t="s">
        <v>30</v>
      </c>
      <c r="P10853" s="16" t="s">
        <v>30649</v>
      </c>
      <c r="Q10853" s="15" t="s">
        <v>105</v>
      </c>
      <c r="R10853" s="13" t="str">
        <f>HYPERLINK("https://my.pitchbook.com?c=89604-19T","View Company Online")</f>
        <v>View Company Online</v>
      </c>
    </row>
    <row r="10854" spans="1:18" hidden="1" x14ac:dyDescent="0.3">
      <c r="A10854" s="9" t="s">
        <v>30650</v>
      </c>
      <c r="B10854" s="9" t="s">
        <v>30651</v>
      </c>
      <c r="C10854" s="11" t="s">
        <v>28</v>
      </c>
      <c r="D10854" s="9" t="s">
        <v>30652</v>
      </c>
      <c r="E10854" s="11" t="s">
        <v>28</v>
      </c>
      <c r="F10854" s="10" t="s">
        <v>28</v>
      </c>
      <c r="G10854" s="10" t="s">
        <v>28</v>
      </c>
      <c r="H10854" s="10" t="s">
        <v>28</v>
      </c>
      <c r="I10854" s="11" t="s">
        <v>28</v>
      </c>
      <c r="J10854" s="11" t="s">
        <v>28</v>
      </c>
      <c r="K10854" s="11" t="s">
        <v>28</v>
      </c>
      <c r="L10854" s="11" t="s">
        <v>28</v>
      </c>
      <c r="M10854" s="11" t="s">
        <v>28</v>
      </c>
      <c r="N10854" s="8">
        <v>41465</v>
      </c>
      <c r="O10854" s="9" t="s">
        <v>30</v>
      </c>
      <c r="P10854" s="12" t="s">
        <v>30653</v>
      </c>
      <c r="Q10854" s="9" t="s">
        <v>114</v>
      </c>
      <c r="R10854" s="14" t="str">
        <f>HYPERLINK("https://my.pitchbook.com?c=27289-18T","View Company Online")</f>
        <v>View Company Online</v>
      </c>
    </row>
    <row r="10855" spans="1:18" hidden="1" x14ac:dyDescent="0.3">
      <c r="A10855" s="15" t="s">
        <v>30654</v>
      </c>
      <c r="B10855" s="15" t="s">
        <v>8277</v>
      </c>
      <c r="C10855" s="18" t="s">
        <v>28</v>
      </c>
      <c r="D10855" s="15" t="s">
        <v>8278</v>
      </c>
      <c r="E10855" s="18" t="s">
        <v>28</v>
      </c>
      <c r="F10855" s="19" t="s">
        <v>28</v>
      </c>
      <c r="G10855" s="19">
        <v>2.92</v>
      </c>
      <c r="H10855" s="19">
        <v>14.6</v>
      </c>
      <c r="I10855" s="18" t="s">
        <v>28</v>
      </c>
      <c r="J10855" s="18" t="s">
        <v>28</v>
      </c>
      <c r="K10855" s="18" t="s">
        <v>28</v>
      </c>
      <c r="L10855" s="18" t="s">
        <v>28</v>
      </c>
      <c r="M10855" s="18" t="s">
        <v>28</v>
      </c>
      <c r="N10855" s="17">
        <v>41463</v>
      </c>
      <c r="O10855" s="15" t="s">
        <v>58</v>
      </c>
      <c r="P10855" s="16" t="s">
        <v>30655</v>
      </c>
      <c r="Q10855" s="15" t="s">
        <v>299</v>
      </c>
      <c r="R10855" s="13" t="str">
        <f>HYPERLINK("https://my.pitchbook.com?c=51498-19T","View Company Online")</f>
        <v>View Company Online</v>
      </c>
    </row>
    <row r="10856" spans="1:18" hidden="1" x14ac:dyDescent="0.3">
      <c r="A10856" s="9" t="s">
        <v>30656</v>
      </c>
      <c r="B10856" s="9" t="s">
        <v>30657</v>
      </c>
      <c r="C10856" s="11" t="s">
        <v>28</v>
      </c>
      <c r="D10856" s="9" t="s">
        <v>30658</v>
      </c>
      <c r="E10856" s="11" t="s">
        <v>28</v>
      </c>
      <c r="F10856" s="10" t="s">
        <v>28</v>
      </c>
      <c r="G10856" s="10" t="s">
        <v>28</v>
      </c>
      <c r="H10856" s="10" t="s">
        <v>28</v>
      </c>
      <c r="I10856" s="11" t="s">
        <v>28</v>
      </c>
      <c r="J10856" s="11" t="s">
        <v>28</v>
      </c>
      <c r="K10856" s="11" t="s">
        <v>28</v>
      </c>
      <c r="L10856" s="11" t="s">
        <v>28</v>
      </c>
      <c r="M10856" s="11" t="s">
        <v>28</v>
      </c>
      <c r="N10856" s="8">
        <v>41463</v>
      </c>
      <c r="O10856" s="9" t="s">
        <v>52</v>
      </c>
      <c r="P10856" s="12" t="s">
        <v>30659</v>
      </c>
      <c r="Q10856" s="9" t="s">
        <v>95</v>
      </c>
      <c r="R10856" s="14" t="str">
        <f>HYPERLINK("https://my.pitchbook.com?c=70954-39T","View Company Online")</f>
        <v>View Company Online</v>
      </c>
    </row>
    <row r="10857" spans="1:18" hidden="1" x14ac:dyDescent="0.3">
      <c r="A10857" s="15" t="s">
        <v>30660</v>
      </c>
      <c r="B10857" s="15" t="s">
        <v>30661</v>
      </c>
      <c r="C10857" s="18" t="s">
        <v>28</v>
      </c>
      <c r="D10857" s="15" t="s">
        <v>30662</v>
      </c>
      <c r="E10857" s="18" t="s">
        <v>28</v>
      </c>
      <c r="F10857" s="19" t="s">
        <v>28</v>
      </c>
      <c r="G10857" s="19" t="s">
        <v>28</v>
      </c>
      <c r="H10857" s="19" t="s">
        <v>28</v>
      </c>
      <c r="I10857" s="18" t="s">
        <v>28</v>
      </c>
      <c r="J10857" s="18" t="s">
        <v>28</v>
      </c>
      <c r="K10857" s="18" t="s">
        <v>28</v>
      </c>
      <c r="L10857" s="18" t="s">
        <v>28</v>
      </c>
      <c r="M10857" s="18" t="s">
        <v>28</v>
      </c>
      <c r="N10857" s="17">
        <v>41462</v>
      </c>
      <c r="O10857" s="15" t="s">
        <v>173</v>
      </c>
      <c r="P10857" s="16" t="s">
        <v>28</v>
      </c>
      <c r="Q10857" s="15" t="s">
        <v>174</v>
      </c>
      <c r="R10857" s="13" t="str">
        <f>HYPERLINK("https://my.pitchbook.com?c=224028-46T","View Company Online")</f>
        <v>View Company Online</v>
      </c>
    </row>
    <row r="10858" spans="1:18" hidden="1" x14ac:dyDescent="0.3">
      <c r="A10858" s="9" t="s">
        <v>30663</v>
      </c>
      <c r="B10858" s="9" t="s">
        <v>29084</v>
      </c>
      <c r="C10858" s="11" t="s">
        <v>28</v>
      </c>
      <c r="D10858" s="9" t="s">
        <v>29085</v>
      </c>
      <c r="E10858" s="11" t="s">
        <v>28</v>
      </c>
      <c r="F10858" s="10" t="s">
        <v>28</v>
      </c>
      <c r="G10858" s="10">
        <v>68.16</v>
      </c>
      <c r="H10858" s="10" t="s">
        <v>28</v>
      </c>
      <c r="I10858" s="11" t="s">
        <v>28</v>
      </c>
      <c r="J10858" s="11" t="s">
        <v>28</v>
      </c>
      <c r="K10858" s="11" t="s">
        <v>28</v>
      </c>
      <c r="L10858" s="11" t="s">
        <v>28</v>
      </c>
      <c r="M10858" s="11" t="s">
        <v>28</v>
      </c>
      <c r="N10858" s="8">
        <v>41461</v>
      </c>
      <c r="O10858" s="9" t="s">
        <v>93</v>
      </c>
      <c r="P10858" s="12" t="s">
        <v>30664</v>
      </c>
      <c r="Q10858" s="9" t="s">
        <v>692</v>
      </c>
      <c r="R10858" s="14" t="str">
        <f>HYPERLINK("https://my.pitchbook.com?c=29354-59T","View Company Online")</f>
        <v>View Company Online</v>
      </c>
    </row>
    <row r="10859" spans="1:18" hidden="1" x14ac:dyDescent="0.3">
      <c r="A10859" s="15" t="s">
        <v>30665</v>
      </c>
      <c r="B10859" s="15" t="s">
        <v>5785</v>
      </c>
      <c r="C10859" s="18" t="s">
        <v>28</v>
      </c>
      <c r="D10859" s="15" t="s">
        <v>12775</v>
      </c>
      <c r="E10859" s="18" t="s">
        <v>28</v>
      </c>
      <c r="F10859" s="19" t="s">
        <v>28</v>
      </c>
      <c r="G10859" s="19">
        <v>2</v>
      </c>
      <c r="H10859" s="19" t="s">
        <v>28</v>
      </c>
      <c r="I10859" s="18" t="s">
        <v>28</v>
      </c>
      <c r="J10859" s="18" t="s">
        <v>28</v>
      </c>
      <c r="K10859" s="18" t="s">
        <v>28</v>
      </c>
      <c r="L10859" s="18" t="s">
        <v>28</v>
      </c>
      <c r="M10859" s="18" t="s">
        <v>28</v>
      </c>
      <c r="N10859" s="17">
        <v>41460</v>
      </c>
      <c r="O10859" s="15" t="s">
        <v>99</v>
      </c>
      <c r="P10859" s="16" t="s">
        <v>30666</v>
      </c>
      <c r="Q10859" s="15" t="s">
        <v>1213</v>
      </c>
      <c r="R10859" s="13" t="str">
        <f>HYPERLINK("https://my.pitchbook.com?c=79591-69T","View Company Online")</f>
        <v>View Company Online</v>
      </c>
    </row>
    <row r="10860" spans="1:18" hidden="1" x14ac:dyDescent="0.3">
      <c r="A10860" s="9" t="s">
        <v>30667</v>
      </c>
      <c r="B10860" s="9" t="s">
        <v>30668</v>
      </c>
      <c r="C10860" s="11" t="s">
        <v>28</v>
      </c>
      <c r="D10860" s="9" t="s">
        <v>30669</v>
      </c>
      <c r="E10860" s="11" t="s">
        <v>28</v>
      </c>
      <c r="F10860" s="10" t="s">
        <v>28</v>
      </c>
      <c r="G10860" s="10" t="s">
        <v>28</v>
      </c>
      <c r="H10860" s="10" t="s">
        <v>28</v>
      </c>
      <c r="I10860" s="11" t="s">
        <v>28</v>
      </c>
      <c r="J10860" s="11" t="s">
        <v>28</v>
      </c>
      <c r="K10860" s="11" t="s">
        <v>28</v>
      </c>
      <c r="L10860" s="11" t="s">
        <v>28</v>
      </c>
      <c r="M10860" s="11" t="s">
        <v>28</v>
      </c>
      <c r="N10860" s="8">
        <v>41460</v>
      </c>
      <c r="O10860" s="9" t="s">
        <v>30</v>
      </c>
      <c r="P10860" s="12" t="s">
        <v>12054</v>
      </c>
      <c r="Q10860" s="9" t="s">
        <v>900</v>
      </c>
      <c r="R10860" s="14" t="str">
        <f>HYPERLINK("https://my.pitchbook.com?c=89706-07T","View Company Online")</f>
        <v>View Company Online</v>
      </c>
    </row>
    <row r="10861" spans="1:18" hidden="1" x14ac:dyDescent="0.3">
      <c r="A10861" s="15" t="s">
        <v>30670</v>
      </c>
      <c r="B10861" s="15" t="s">
        <v>30671</v>
      </c>
      <c r="C10861" s="18" t="s">
        <v>28</v>
      </c>
      <c r="D10861" s="15" t="s">
        <v>30672</v>
      </c>
      <c r="E10861" s="18" t="s">
        <v>28</v>
      </c>
      <c r="F10861" s="19" t="s">
        <v>28</v>
      </c>
      <c r="G10861" s="19" t="s">
        <v>28</v>
      </c>
      <c r="H10861" s="19" t="s">
        <v>28</v>
      </c>
      <c r="I10861" s="18" t="s">
        <v>28</v>
      </c>
      <c r="J10861" s="18" t="s">
        <v>28</v>
      </c>
      <c r="K10861" s="18" t="s">
        <v>28</v>
      </c>
      <c r="L10861" s="18" t="s">
        <v>28</v>
      </c>
      <c r="M10861" s="18" t="s">
        <v>28</v>
      </c>
      <c r="N10861" s="17">
        <v>41459</v>
      </c>
      <c r="O10861" s="15" t="s">
        <v>30</v>
      </c>
      <c r="P10861" s="16" t="s">
        <v>12054</v>
      </c>
      <c r="Q10861" s="15" t="s">
        <v>43</v>
      </c>
      <c r="R10861" s="13" t="str">
        <f>HYPERLINK("https://my.pitchbook.com?c=89601-31T","View Company Online")</f>
        <v>View Company Online</v>
      </c>
    </row>
    <row r="10862" spans="1:18" hidden="1" x14ac:dyDescent="0.3">
      <c r="A10862" s="9" t="s">
        <v>30673</v>
      </c>
      <c r="B10862" s="9" t="s">
        <v>29345</v>
      </c>
      <c r="C10862" s="11" t="s">
        <v>28</v>
      </c>
      <c r="D10862" s="9" t="s">
        <v>29346</v>
      </c>
      <c r="E10862" s="11" t="s">
        <v>28</v>
      </c>
      <c r="F10862" s="10" t="s">
        <v>28</v>
      </c>
      <c r="G10862" s="10">
        <v>0.1</v>
      </c>
      <c r="H10862" s="10" t="s">
        <v>28</v>
      </c>
      <c r="I10862" s="11" t="s">
        <v>28</v>
      </c>
      <c r="J10862" s="11" t="s">
        <v>28</v>
      </c>
      <c r="K10862" s="11" t="s">
        <v>28</v>
      </c>
      <c r="L10862" s="11" t="s">
        <v>28</v>
      </c>
      <c r="M10862" s="11" t="s">
        <v>28</v>
      </c>
      <c r="N10862" s="8">
        <v>41459</v>
      </c>
      <c r="O10862" s="9" t="s">
        <v>99</v>
      </c>
      <c r="P10862" s="12" t="s">
        <v>28</v>
      </c>
      <c r="Q10862" s="9" t="s">
        <v>855</v>
      </c>
      <c r="R10862" s="14" t="str">
        <f>HYPERLINK("https://my.pitchbook.com?c=49519-00T","View Company Online")</f>
        <v>View Company Online</v>
      </c>
    </row>
    <row r="10863" spans="1:18" hidden="1" x14ac:dyDescent="0.3">
      <c r="A10863" s="15" t="s">
        <v>30674</v>
      </c>
      <c r="B10863" s="15" t="s">
        <v>30675</v>
      </c>
      <c r="C10863" s="18" t="s">
        <v>28</v>
      </c>
      <c r="D10863" s="15" t="s">
        <v>30676</v>
      </c>
      <c r="E10863" s="18" t="s">
        <v>28</v>
      </c>
      <c r="F10863" s="19" t="s">
        <v>28</v>
      </c>
      <c r="G10863" s="19" t="s">
        <v>28</v>
      </c>
      <c r="H10863" s="19" t="s">
        <v>28</v>
      </c>
      <c r="I10863" s="18" t="s">
        <v>28</v>
      </c>
      <c r="J10863" s="18" t="s">
        <v>28</v>
      </c>
      <c r="K10863" s="18" t="s">
        <v>28</v>
      </c>
      <c r="L10863" s="18" t="s">
        <v>28</v>
      </c>
      <c r="M10863" s="18" t="s">
        <v>28</v>
      </c>
      <c r="N10863" s="17">
        <v>41458</v>
      </c>
      <c r="O10863" s="15" t="s">
        <v>52</v>
      </c>
      <c r="P10863" s="16" t="s">
        <v>4500</v>
      </c>
      <c r="Q10863" s="15" t="s">
        <v>583</v>
      </c>
      <c r="R10863" s="13" t="str">
        <f>HYPERLINK("https://my.pitchbook.com?c=276076-54T","View Company Online")</f>
        <v>View Company Online</v>
      </c>
    </row>
    <row r="10864" spans="1:18" hidden="1" x14ac:dyDescent="0.3">
      <c r="A10864" s="9" t="s">
        <v>30677</v>
      </c>
      <c r="B10864" s="9" t="s">
        <v>28371</v>
      </c>
      <c r="C10864" s="11" t="s">
        <v>28</v>
      </c>
      <c r="D10864" s="9" t="s">
        <v>28372</v>
      </c>
      <c r="E10864" s="11" t="s">
        <v>28</v>
      </c>
      <c r="F10864" s="10" t="s">
        <v>28</v>
      </c>
      <c r="G10864" s="10" t="s">
        <v>28</v>
      </c>
      <c r="H10864" s="10" t="s">
        <v>28</v>
      </c>
      <c r="I10864" s="11" t="s">
        <v>28</v>
      </c>
      <c r="J10864" s="11" t="s">
        <v>28</v>
      </c>
      <c r="K10864" s="11" t="s">
        <v>28</v>
      </c>
      <c r="L10864" s="11" t="s">
        <v>28</v>
      </c>
      <c r="M10864" s="11" t="s">
        <v>28</v>
      </c>
      <c r="N10864" s="8">
        <v>41458</v>
      </c>
      <c r="O10864" s="9" t="s">
        <v>99</v>
      </c>
      <c r="P10864" s="12" t="s">
        <v>30678</v>
      </c>
      <c r="Q10864" s="9" t="s">
        <v>37</v>
      </c>
      <c r="R10864" s="14" t="str">
        <f>HYPERLINK("https://my.pitchbook.com?c=36930-07T","View Company Online")</f>
        <v>View Company Online</v>
      </c>
    </row>
    <row r="10865" spans="1:18" hidden="1" x14ac:dyDescent="0.3">
      <c r="A10865" s="15" t="s">
        <v>30679</v>
      </c>
      <c r="B10865" s="15" t="s">
        <v>11471</v>
      </c>
      <c r="C10865" s="18" t="s">
        <v>28</v>
      </c>
      <c r="D10865" s="15" t="s">
        <v>14134</v>
      </c>
      <c r="E10865" s="18">
        <v>205.95</v>
      </c>
      <c r="F10865" s="19" t="s">
        <v>28</v>
      </c>
      <c r="G10865" s="19">
        <v>194.81</v>
      </c>
      <c r="H10865" s="19" t="s">
        <v>28</v>
      </c>
      <c r="I10865" s="18">
        <v>225.73</v>
      </c>
      <c r="J10865" s="18" t="s">
        <v>28</v>
      </c>
      <c r="K10865" s="18">
        <v>259.10000000000002</v>
      </c>
      <c r="L10865" s="18" t="s">
        <v>28</v>
      </c>
      <c r="M10865" s="18">
        <v>129.81</v>
      </c>
      <c r="N10865" s="17">
        <v>41457</v>
      </c>
      <c r="O10865" s="15" t="s">
        <v>159</v>
      </c>
      <c r="P10865" s="16" t="s">
        <v>28</v>
      </c>
      <c r="Q10865" s="15" t="s">
        <v>299</v>
      </c>
      <c r="R10865" s="13" t="str">
        <f>HYPERLINK("https://my.pitchbook.com?c=166519-54T","View Company Online")</f>
        <v>View Company Online</v>
      </c>
    </row>
    <row r="10866" spans="1:18" hidden="1" x14ac:dyDescent="0.3">
      <c r="A10866" s="9" t="s">
        <v>30680</v>
      </c>
      <c r="B10866" s="9" t="s">
        <v>27576</v>
      </c>
      <c r="C10866" s="11" t="s">
        <v>28</v>
      </c>
      <c r="D10866" s="9" t="s">
        <v>27577</v>
      </c>
      <c r="E10866" s="11" t="s">
        <v>28</v>
      </c>
      <c r="F10866" s="10" t="s">
        <v>28</v>
      </c>
      <c r="G10866" s="10" t="s">
        <v>28</v>
      </c>
      <c r="H10866" s="10" t="s">
        <v>28</v>
      </c>
      <c r="I10866" s="11" t="s">
        <v>28</v>
      </c>
      <c r="J10866" s="11" t="s">
        <v>28</v>
      </c>
      <c r="K10866" s="11" t="s">
        <v>28</v>
      </c>
      <c r="L10866" s="11" t="s">
        <v>28</v>
      </c>
      <c r="M10866" s="11" t="s">
        <v>28</v>
      </c>
      <c r="N10866" s="8">
        <v>41456</v>
      </c>
      <c r="O10866" s="9" t="s">
        <v>99</v>
      </c>
      <c r="P10866" s="12" t="s">
        <v>28051</v>
      </c>
      <c r="Q10866" s="9" t="s">
        <v>75</v>
      </c>
      <c r="R10866" s="14" t="str">
        <f>HYPERLINK("https://my.pitchbook.com?c=50719-15T","View Company Online")</f>
        <v>View Company Online</v>
      </c>
    </row>
    <row r="10867" spans="1:18" hidden="1" x14ac:dyDescent="0.3">
      <c r="A10867" s="15" t="s">
        <v>30681</v>
      </c>
      <c r="B10867" s="15" t="s">
        <v>30682</v>
      </c>
      <c r="C10867" s="18" t="s">
        <v>28</v>
      </c>
      <c r="D10867" s="15" t="s">
        <v>30683</v>
      </c>
      <c r="E10867" s="18" t="s">
        <v>28</v>
      </c>
      <c r="F10867" s="19" t="s">
        <v>28</v>
      </c>
      <c r="G10867" s="19">
        <v>32</v>
      </c>
      <c r="H10867" s="19">
        <v>96.97</v>
      </c>
      <c r="I10867" s="18" t="s">
        <v>28</v>
      </c>
      <c r="J10867" s="18" t="s">
        <v>28</v>
      </c>
      <c r="K10867" s="18">
        <v>71.430000000000007</v>
      </c>
      <c r="L10867" s="18">
        <v>1.36</v>
      </c>
      <c r="M10867" s="18" t="s">
        <v>28</v>
      </c>
      <c r="N10867" s="17">
        <v>41456</v>
      </c>
      <c r="O10867" s="15" t="s">
        <v>93</v>
      </c>
      <c r="P10867" s="16" t="s">
        <v>30684</v>
      </c>
      <c r="Q10867" s="15" t="s">
        <v>362</v>
      </c>
      <c r="R10867" s="13" t="str">
        <f>HYPERLINK("https://my.pitchbook.com?c=40267-36T","View Company Online")</f>
        <v>View Company Online</v>
      </c>
    </row>
    <row r="10868" spans="1:18" hidden="1" x14ac:dyDescent="0.3">
      <c r="A10868" s="9" t="s">
        <v>30685</v>
      </c>
      <c r="B10868" s="9" t="s">
        <v>30686</v>
      </c>
      <c r="C10868" s="11" t="s">
        <v>28</v>
      </c>
      <c r="D10868" s="9" t="s">
        <v>30687</v>
      </c>
      <c r="E10868" s="11" t="s">
        <v>28</v>
      </c>
      <c r="F10868" s="10" t="s">
        <v>28</v>
      </c>
      <c r="G10868" s="10" t="s">
        <v>28</v>
      </c>
      <c r="H10868" s="10" t="s">
        <v>28</v>
      </c>
      <c r="I10868" s="11" t="s">
        <v>28</v>
      </c>
      <c r="J10868" s="11" t="s">
        <v>28</v>
      </c>
      <c r="K10868" s="11" t="s">
        <v>28</v>
      </c>
      <c r="L10868" s="11" t="s">
        <v>28</v>
      </c>
      <c r="M10868" s="11" t="s">
        <v>28</v>
      </c>
      <c r="N10868" s="8">
        <v>41456</v>
      </c>
      <c r="O10868" s="9" t="s">
        <v>30</v>
      </c>
      <c r="P10868" s="12" t="s">
        <v>12054</v>
      </c>
      <c r="Q10868" s="9" t="s">
        <v>43</v>
      </c>
      <c r="R10868" s="14" t="str">
        <f>HYPERLINK("https://my.pitchbook.com?c=89602-93T","View Company Online")</f>
        <v>View Company Online</v>
      </c>
    </row>
    <row r="10869" spans="1:18" hidden="1" x14ac:dyDescent="0.3">
      <c r="A10869" s="15" t="s">
        <v>30688</v>
      </c>
      <c r="B10869" s="15" t="s">
        <v>23068</v>
      </c>
      <c r="C10869" s="18" t="s">
        <v>28</v>
      </c>
      <c r="D10869" s="15" t="s">
        <v>23069</v>
      </c>
      <c r="E10869" s="18">
        <v>-21.07</v>
      </c>
      <c r="F10869" s="19" t="s">
        <v>28</v>
      </c>
      <c r="G10869" s="19" t="s">
        <v>28</v>
      </c>
      <c r="H10869" s="19" t="s">
        <v>28</v>
      </c>
      <c r="I10869" s="18">
        <v>-8.5399999999999991</v>
      </c>
      <c r="J10869" s="18" t="s">
        <v>28</v>
      </c>
      <c r="K10869" s="18">
        <v>271.10000000000002</v>
      </c>
      <c r="L10869" s="18" t="s">
        <v>28</v>
      </c>
      <c r="M10869" s="18">
        <v>1.33</v>
      </c>
      <c r="N10869" s="17">
        <v>41456</v>
      </c>
      <c r="O10869" s="15" t="s">
        <v>159</v>
      </c>
      <c r="P10869" s="16" t="s">
        <v>30689</v>
      </c>
      <c r="Q10869" s="15" t="s">
        <v>15070</v>
      </c>
      <c r="R10869" s="13" t="str">
        <f>HYPERLINK("https://my.pitchbook.com?c=81998-02T","View Company Online")</f>
        <v>View Company Online</v>
      </c>
    </row>
    <row r="10870" spans="1:18" hidden="1" x14ac:dyDescent="0.3">
      <c r="A10870" s="9" t="s">
        <v>30690</v>
      </c>
      <c r="B10870" s="9" t="s">
        <v>30481</v>
      </c>
      <c r="C10870" s="11" t="s">
        <v>28</v>
      </c>
      <c r="D10870" s="9" t="s">
        <v>30482</v>
      </c>
      <c r="E10870" s="11" t="s">
        <v>28</v>
      </c>
      <c r="F10870" s="10" t="s">
        <v>28</v>
      </c>
      <c r="G10870" s="10" t="s">
        <v>28</v>
      </c>
      <c r="H10870" s="10" t="s">
        <v>28</v>
      </c>
      <c r="I10870" s="11" t="s">
        <v>28</v>
      </c>
      <c r="J10870" s="11" t="s">
        <v>28</v>
      </c>
      <c r="K10870" s="11" t="s">
        <v>28</v>
      </c>
      <c r="L10870" s="11" t="s">
        <v>28</v>
      </c>
      <c r="M10870" s="11" t="s">
        <v>28</v>
      </c>
      <c r="N10870" s="8">
        <v>41456</v>
      </c>
      <c r="O10870" s="9" t="s">
        <v>52</v>
      </c>
      <c r="P10870" s="12" t="s">
        <v>11539</v>
      </c>
      <c r="Q10870" s="9" t="s">
        <v>75</v>
      </c>
      <c r="R10870" s="14" t="str">
        <f>HYPERLINK("https://my.pitchbook.com?c=58100-68T","View Company Online")</f>
        <v>View Company Online</v>
      </c>
    </row>
    <row r="10871" spans="1:18" hidden="1" x14ac:dyDescent="0.3">
      <c r="A10871" s="15" t="s">
        <v>30691</v>
      </c>
      <c r="B10871" s="15" t="s">
        <v>30692</v>
      </c>
      <c r="C10871" s="18" t="s">
        <v>28</v>
      </c>
      <c r="D10871" s="15" t="s">
        <v>30693</v>
      </c>
      <c r="E10871" s="18" t="s">
        <v>28</v>
      </c>
      <c r="F10871" s="19" t="s">
        <v>28</v>
      </c>
      <c r="G10871" s="19" t="s">
        <v>28</v>
      </c>
      <c r="H10871" s="19" t="s">
        <v>28</v>
      </c>
      <c r="I10871" s="18" t="s">
        <v>28</v>
      </c>
      <c r="J10871" s="18" t="s">
        <v>28</v>
      </c>
      <c r="K10871" s="18" t="s">
        <v>28</v>
      </c>
      <c r="L10871" s="18" t="s">
        <v>28</v>
      </c>
      <c r="M10871" s="18" t="s">
        <v>28</v>
      </c>
      <c r="N10871" s="17">
        <v>41456</v>
      </c>
      <c r="O10871" s="15" t="s">
        <v>93</v>
      </c>
      <c r="P10871" s="16" t="s">
        <v>30694</v>
      </c>
      <c r="Q10871" s="15" t="s">
        <v>353</v>
      </c>
      <c r="R10871" s="13" t="str">
        <f>HYPERLINK("https://my.pitchbook.com?c=34033-15T","View Company Online")</f>
        <v>View Company Online</v>
      </c>
    </row>
    <row r="10872" spans="1:18" hidden="1" x14ac:dyDescent="0.3">
      <c r="A10872" s="9" t="s">
        <v>30695</v>
      </c>
      <c r="B10872" s="9" t="s">
        <v>28870</v>
      </c>
      <c r="C10872" s="11" t="s">
        <v>28</v>
      </c>
      <c r="D10872" s="9" t="s">
        <v>28871</v>
      </c>
      <c r="E10872" s="11" t="s">
        <v>28</v>
      </c>
      <c r="F10872" s="10" t="s">
        <v>28</v>
      </c>
      <c r="G10872" s="10">
        <v>4</v>
      </c>
      <c r="H10872" s="10" t="s">
        <v>28</v>
      </c>
      <c r="I10872" s="11" t="s">
        <v>28</v>
      </c>
      <c r="J10872" s="11" t="s">
        <v>28</v>
      </c>
      <c r="K10872" s="11" t="s">
        <v>28</v>
      </c>
      <c r="L10872" s="11" t="s">
        <v>28</v>
      </c>
      <c r="M10872" s="11" t="s">
        <v>28</v>
      </c>
      <c r="N10872" s="8">
        <v>41456</v>
      </c>
      <c r="O10872" s="9" t="s">
        <v>99</v>
      </c>
      <c r="P10872" s="12" t="s">
        <v>30696</v>
      </c>
      <c r="Q10872" s="9" t="s">
        <v>740</v>
      </c>
      <c r="R10872" s="14" t="str">
        <f>HYPERLINK("https://my.pitchbook.com?c=50694-67T","View Company Online")</f>
        <v>View Company Online</v>
      </c>
    </row>
    <row r="10873" spans="1:18" hidden="1" x14ac:dyDescent="0.3">
      <c r="A10873" s="15" t="s">
        <v>30697</v>
      </c>
      <c r="B10873" s="15" t="s">
        <v>30698</v>
      </c>
      <c r="C10873" s="18" t="s">
        <v>28</v>
      </c>
      <c r="D10873" s="15" t="s">
        <v>30699</v>
      </c>
      <c r="E10873" s="18" t="s">
        <v>28</v>
      </c>
      <c r="F10873" s="19" t="s">
        <v>28</v>
      </c>
      <c r="G10873" s="19" t="s">
        <v>28</v>
      </c>
      <c r="H10873" s="19" t="s">
        <v>28</v>
      </c>
      <c r="I10873" s="18" t="s">
        <v>28</v>
      </c>
      <c r="J10873" s="18" t="s">
        <v>28</v>
      </c>
      <c r="K10873" s="18" t="s">
        <v>28</v>
      </c>
      <c r="L10873" s="18" t="s">
        <v>28</v>
      </c>
      <c r="M10873" s="18" t="s">
        <v>28</v>
      </c>
      <c r="N10873" s="17">
        <v>41456</v>
      </c>
      <c r="O10873" s="15" t="s">
        <v>79</v>
      </c>
      <c r="P10873" s="16" t="s">
        <v>21070</v>
      </c>
      <c r="Q10873" s="15" t="s">
        <v>75</v>
      </c>
      <c r="R10873" s="13" t="str">
        <f>HYPERLINK("https://my.pitchbook.com?c=50198-23T","View Company Online")</f>
        <v>View Company Online</v>
      </c>
    </row>
    <row r="10874" spans="1:18" hidden="1" x14ac:dyDescent="0.3">
      <c r="A10874" s="9" t="s">
        <v>30700</v>
      </c>
      <c r="B10874" s="9" t="s">
        <v>30701</v>
      </c>
      <c r="C10874" s="11" t="s">
        <v>28</v>
      </c>
      <c r="D10874" s="9" t="s">
        <v>30702</v>
      </c>
      <c r="E10874" s="11" t="s">
        <v>28</v>
      </c>
      <c r="F10874" s="10" t="s">
        <v>28</v>
      </c>
      <c r="G10874" s="10">
        <v>7.0000000000000007E-2</v>
      </c>
      <c r="H10874" s="10" t="s">
        <v>28</v>
      </c>
      <c r="I10874" s="11" t="s">
        <v>28</v>
      </c>
      <c r="J10874" s="11" t="s">
        <v>28</v>
      </c>
      <c r="K10874" s="11" t="s">
        <v>28</v>
      </c>
      <c r="L10874" s="11" t="s">
        <v>28</v>
      </c>
      <c r="M10874" s="11" t="s">
        <v>28</v>
      </c>
      <c r="N10874" s="8">
        <v>41456</v>
      </c>
      <c r="O10874" s="9" t="s">
        <v>99</v>
      </c>
      <c r="P10874" s="12" t="s">
        <v>28</v>
      </c>
      <c r="Q10874" s="9" t="s">
        <v>386</v>
      </c>
      <c r="R10874" s="14" t="str">
        <f>HYPERLINK("https://my.pitchbook.com?c=57763-45T","View Company Online")</f>
        <v>View Company Online</v>
      </c>
    </row>
    <row r="10875" spans="1:18" hidden="1" x14ac:dyDescent="0.3">
      <c r="A10875" s="15" t="s">
        <v>30703</v>
      </c>
      <c r="B10875" s="15" t="s">
        <v>30704</v>
      </c>
      <c r="C10875" s="18" t="s">
        <v>28</v>
      </c>
      <c r="D10875" s="15" t="s">
        <v>30705</v>
      </c>
      <c r="E10875" s="18" t="s">
        <v>28</v>
      </c>
      <c r="F10875" s="19" t="s">
        <v>28</v>
      </c>
      <c r="G10875" s="19" t="s">
        <v>28</v>
      </c>
      <c r="H10875" s="19" t="s">
        <v>28</v>
      </c>
      <c r="I10875" s="18" t="s">
        <v>28</v>
      </c>
      <c r="J10875" s="18" t="s">
        <v>28</v>
      </c>
      <c r="K10875" s="18" t="s">
        <v>28</v>
      </c>
      <c r="L10875" s="18" t="s">
        <v>28</v>
      </c>
      <c r="M10875" s="18" t="s">
        <v>28</v>
      </c>
      <c r="N10875" s="17">
        <v>41456</v>
      </c>
      <c r="O10875" s="15" t="s">
        <v>30</v>
      </c>
      <c r="P10875" s="16" t="s">
        <v>30706</v>
      </c>
      <c r="Q10875" s="15" t="s">
        <v>5347</v>
      </c>
      <c r="R10875" s="13" t="str">
        <f>HYPERLINK("https://my.pitchbook.com?c=96104-71T","View Company Online")</f>
        <v>View Company Online</v>
      </c>
    </row>
    <row r="10876" spans="1:18" hidden="1" x14ac:dyDescent="0.3">
      <c r="A10876" s="9" t="s">
        <v>30707</v>
      </c>
      <c r="B10876" s="9" t="s">
        <v>30708</v>
      </c>
      <c r="C10876" s="11" t="s">
        <v>28</v>
      </c>
      <c r="D10876" s="9" t="s">
        <v>30709</v>
      </c>
      <c r="E10876" s="11" t="s">
        <v>28</v>
      </c>
      <c r="F10876" s="10" t="s">
        <v>28</v>
      </c>
      <c r="G10876" s="10" t="s">
        <v>28</v>
      </c>
      <c r="H10876" s="10" t="s">
        <v>28</v>
      </c>
      <c r="I10876" s="11" t="s">
        <v>28</v>
      </c>
      <c r="J10876" s="11" t="s">
        <v>28</v>
      </c>
      <c r="K10876" s="11" t="s">
        <v>28</v>
      </c>
      <c r="L10876" s="11" t="s">
        <v>28</v>
      </c>
      <c r="M10876" s="11" t="s">
        <v>28</v>
      </c>
      <c r="N10876" s="8">
        <v>41456</v>
      </c>
      <c r="O10876" s="9" t="s">
        <v>30</v>
      </c>
      <c r="P10876" s="12" t="s">
        <v>28</v>
      </c>
      <c r="Q10876" s="9" t="s">
        <v>1051</v>
      </c>
      <c r="R10876" s="14" t="str">
        <f>HYPERLINK("https://my.pitchbook.com?c=111096-82T","View Company Online")</f>
        <v>View Company Online</v>
      </c>
    </row>
    <row r="10877" spans="1:18" hidden="1" x14ac:dyDescent="0.3">
      <c r="A10877" s="15" t="s">
        <v>30710</v>
      </c>
      <c r="B10877" s="15" t="s">
        <v>18449</v>
      </c>
      <c r="C10877" s="18" t="s">
        <v>28</v>
      </c>
      <c r="D10877" s="15" t="s">
        <v>30711</v>
      </c>
      <c r="E10877" s="18" t="s">
        <v>28</v>
      </c>
      <c r="F10877" s="19" t="s">
        <v>28</v>
      </c>
      <c r="G10877" s="19">
        <v>21.24</v>
      </c>
      <c r="H10877" s="19">
        <v>280.52</v>
      </c>
      <c r="I10877" s="18" t="s">
        <v>28</v>
      </c>
      <c r="J10877" s="18" t="s">
        <v>28</v>
      </c>
      <c r="K10877" s="18" t="s">
        <v>28</v>
      </c>
      <c r="L10877" s="18" t="s">
        <v>28</v>
      </c>
      <c r="M10877" s="18" t="s">
        <v>28</v>
      </c>
      <c r="N10877" s="17">
        <v>41455</v>
      </c>
      <c r="O10877" s="15" t="s">
        <v>93</v>
      </c>
      <c r="P10877" s="16" t="s">
        <v>30712</v>
      </c>
      <c r="Q10877" s="15" t="s">
        <v>832</v>
      </c>
      <c r="R10877" s="13" t="str">
        <f>HYPERLINK("https://my.pitchbook.com?c=111717-01T","View Company Online")</f>
        <v>View Company Online</v>
      </c>
    </row>
    <row r="10878" spans="1:18" hidden="1" x14ac:dyDescent="0.3">
      <c r="A10878" s="9" t="s">
        <v>30713</v>
      </c>
      <c r="B10878" s="9" t="s">
        <v>30714</v>
      </c>
      <c r="C10878" s="11" t="s">
        <v>28</v>
      </c>
      <c r="D10878" s="9" t="s">
        <v>30715</v>
      </c>
      <c r="E10878" s="11" t="s">
        <v>28</v>
      </c>
      <c r="F10878" s="10">
        <v>355.7</v>
      </c>
      <c r="G10878" s="10">
        <v>178.21</v>
      </c>
      <c r="H10878" s="10">
        <v>355.7</v>
      </c>
      <c r="I10878" s="11" t="s">
        <v>28</v>
      </c>
      <c r="J10878" s="11" t="s">
        <v>28</v>
      </c>
      <c r="K10878" s="11">
        <v>402.56</v>
      </c>
      <c r="L10878" s="11">
        <v>0.88</v>
      </c>
      <c r="M10878" s="11" t="s">
        <v>28</v>
      </c>
      <c r="N10878" s="8">
        <v>41455</v>
      </c>
      <c r="O10878" s="9" t="s">
        <v>30</v>
      </c>
      <c r="P10878" s="12" t="s">
        <v>30716</v>
      </c>
      <c r="Q10878" s="9" t="s">
        <v>409</v>
      </c>
      <c r="R10878" s="14" t="str">
        <f>HYPERLINK("https://my.pitchbook.com?c=34677-10T","View Company Online")</f>
        <v>View Company Online</v>
      </c>
    </row>
    <row r="10879" spans="1:18" hidden="1" x14ac:dyDescent="0.3">
      <c r="A10879" s="15" t="s">
        <v>30717</v>
      </c>
      <c r="B10879" s="15" t="s">
        <v>29902</v>
      </c>
      <c r="C10879" s="18" t="s">
        <v>28</v>
      </c>
      <c r="D10879" s="15" t="s">
        <v>29903</v>
      </c>
      <c r="E10879" s="18" t="s">
        <v>28</v>
      </c>
      <c r="F10879" s="19" t="s">
        <v>28</v>
      </c>
      <c r="G10879" s="19" t="s">
        <v>28</v>
      </c>
      <c r="H10879" s="19" t="s">
        <v>28</v>
      </c>
      <c r="I10879" s="18" t="s">
        <v>28</v>
      </c>
      <c r="J10879" s="18" t="s">
        <v>28</v>
      </c>
      <c r="K10879" s="18" t="s">
        <v>28</v>
      </c>
      <c r="L10879" s="18" t="s">
        <v>28</v>
      </c>
      <c r="M10879" s="18" t="s">
        <v>28</v>
      </c>
      <c r="N10879" s="17">
        <v>41452</v>
      </c>
      <c r="O10879" s="15" t="s">
        <v>52</v>
      </c>
      <c r="P10879" s="16" t="s">
        <v>24901</v>
      </c>
      <c r="Q10879" s="15" t="s">
        <v>95</v>
      </c>
      <c r="R10879" s="13" t="str">
        <f>HYPERLINK("https://my.pitchbook.com?c=83036-44T","View Company Online")</f>
        <v>View Company Online</v>
      </c>
    </row>
    <row r="10880" spans="1:18" hidden="1" x14ac:dyDescent="0.3">
      <c r="A10880" s="9" t="s">
        <v>30718</v>
      </c>
      <c r="B10880" s="9" t="s">
        <v>30719</v>
      </c>
      <c r="C10880" s="11" t="s">
        <v>28</v>
      </c>
      <c r="D10880" s="9" t="s">
        <v>30720</v>
      </c>
      <c r="E10880" s="11" t="s">
        <v>28</v>
      </c>
      <c r="F10880" s="10" t="s">
        <v>28</v>
      </c>
      <c r="G10880" s="10" t="s">
        <v>28</v>
      </c>
      <c r="H10880" s="10" t="s">
        <v>28</v>
      </c>
      <c r="I10880" s="11" t="s">
        <v>28</v>
      </c>
      <c r="J10880" s="11" t="s">
        <v>28</v>
      </c>
      <c r="K10880" s="11" t="s">
        <v>28</v>
      </c>
      <c r="L10880" s="11" t="s">
        <v>28</v>
      </c>
      <c r="M10880" s="11" t="s">
        <v>28</v>
      </c>
      <c r="N10880" s="8">
        <v>41451</v>
      </c>
      <c r="O10880" s="9" t="s">
        <v>173</v>
      </c>
      <c r="P10880" s="12" t="s">
        <v>28</v>
      </c>
      <c r="Q10880" s="9" t="s">
        <v>174</v>
      </c>
      <c r="R10880" s="14" t="str">
        <f>HYPERLINK("https://my.pitchbook.com?c=224071-48T","View Company Online")</f>
        <v>View Company Online</v>
      </c>
    </row>
    <row r="10881" spans="1:18" hidden="1" x14ac:dyDescent="0.3">
      <c r="A10881" s="15" t="s">
        <v>30721</v>
      </c>
      <c r="B10881" s="15" t="s">
        <v>30214</v>
      </c>
      <c r="C10881" s="18" t="s">
        <v>28</v>
      </c>
      <c r="D10881" s="15" t="s">
        <v>30215</v>
      </c>
      <c r="E10881" s="18" t="s">
        <v>28</v>
      </c>
      <c r="F10881" s="19" t="s">
        <v>28</v>
      </c>
      <c r="G10881" s="19">
        <v>0.65</v>
      </c>
      <c r="H10881" s="19">
        <v>4.3499999999999996</v>
      </c>
      <c r="I10881" s="18" t="s">
        <v>28</v>
      </c>
      <c r="J10881" s="18" t="s">
        <v>28</v>
      </c>
      <c r="K10881" s="18" t="s">
        <v>28</v>
      </c>
      <c r="L10881" s="18" t="s">
        <v>28</v>
      </c>
      <c r="M10881" s="18" t="s">
        <v>28</v>
      </c>
      <c r="N10881" s="17">
        <v>41451</v>
      </c>
      <c r="O10881" s="15" t="s">
        <v>99</v>
      </c>
      <c r="P10881" s="16" t="s">
        <v>28</v>
      </c>
      <c r="Q10881" s="15" t="s">
        <v>583</v>
      </c>
      <c r="R10881" s="13" t="str">
        <f>HYPERLINK("https://my.pitchbook.com?c=168003-91T","View Company Online")</f>
        <v>View Company Online</v>
      </c>
    </row>
    <row r="10882" spans="1:18" hidden="1" x14ac:dyDescent="0.3">
      <c r="A10882" s="9" t="s">
        <v>30722</v>
      </c>
      <c r="B10882" s="9" t="s">
        <v>30723</v>
      </c>
      <c r="C10882" s="11" t="s">
        <v>28</v>
      </c>
      <c r="D10882" s="9" t="s">
        <v>30724</v>
      </c>
      <c r="E10882" s="11" t="s">
        <v>28</v>
      </c>
      <c r="F10882" s="10" t="s">
        <v>28</v>
      </c>
      <c r="G10882" s="10" t="s">
        <v>28</v>
      </c>
      <c r="H10882" s="10" t="s">
        <v>28</v>
      </c>
      <c r="I10882" s="11" t="s">
        <v>28</v>
      </c>
      <c r="J10882" s="11" t="s">
        <v>28</v>
      </c>
      <c r="K10882" s="11" t="s">
        <v>28</v>
      </c>
      <c r="L10882" s="11" t="s">
        <v>28</v>
      </c>
      <c r="M10882" s="11" t="s">
        <v>28</v>
      </c>
      <c r="N10882" s="8">
        <v>41450</v>
      </c>
      <c r="O10882" s="9" t="s">
        <v>30</v>
      </c>
      <c r="P10882" s="12" t="s">
        <v>30725</v>
      </c>
      <c r="Q10882" s="9" t="s">
        <v>331</v>
      </c>
      <c r="R10882" s="14" t="str">
        <f>HYPERLINK("https://my.pitchbook.com?c=89583-67T","View Company Online")</f>
        <v>View Company Online</v>
      </c>
    </row>
    <row r="10883" spans="1:18" hidden="1" x14ac:dyDescent="0.3">
      <c r="A10883" s="15" t="s">
        <v>30726</v>
      </c>
      <c r="B10883" s="15" t="s">
        <v>30727</v>
      </c>
      <c r="C10883" s="18" t="s">
        <v>28</v>
      </c>
      <c r="D10883" s="15" t="s">
        <v>30728</v>
      </c>
      <c r="E10883" s="18" t="s">
        <v>28</v>
      </c>
      <c r="F10883" s="19" t="s">
        <v>28</v>
      </c>
      <c r="G10883" s="19" t="s">
        <v>28</v>
      </c>
      <c r="H10883" s="19" t="s">
        <v>28</v>
      </c>
      <c r="I10883" s="18" t="s">
        <v>28</v>
      </c>
      <c r="J10883" s="18" t="s">
        <v>28</v>
      </c>
      <c r="K10883" s="18" t="s">
        <v>28</v>
      </c>
      <c r="L10883" s="18" t="s">
        <v>28</v>
      </c>
      <c r="M10883" s="18" t="s">
        <v>28</v>
      </c>
      <c r="N10883" s="17">
        <v>41450</v>
      </c>
      <c r="O10883" s="15" t="s">
        <v>30</v>
      </c>
      <c r="P10883" s="16" t="s">
        <v>27858</v>
      </c>
      <c r="Q10883" s="15" t="s">
        <v>299</v>
      </c>
      <c r="R10883" s="13" t="str">
        <f>HYPERLINK("https://my.pitchbook.com?c=89626-87T","View Company Online")</f>
        <v>View Company Online</v>
      </c>
    </row>
    <row r="10884" spans="1:18" hidden="1" x14ac:dyDescent="0.3">
      <c r="A10884" s="9" t="s">
        <v>30729</v>
      </c>
      <c r="B10884" s="9" t="s">
        <v>30730</v>
      </c>
      <c r="C10884" s="11" t="s">
        <v>28</v>
      </c>
      <c r="D10884" s="9" t="s">
        <v>30731</v>
      </c>
      <c r="E10884" s="11">
        <v>-424.77</v>
      </c>
      <c r="F10884" s="10" t="s">
        <v>28</v>
      </c>
      <c r="G10884" s="10" t="s">
        <v>28</v>
      </c>
      <c r="H10884" s="10" t="s">
        <v>28</v>
      </c>
      <c r="I10884" s="11">
        <v>-409.22</v>
      </c>
      <c r="J10884" s="11" t="s">
        <v>28</v>
      </c>
      <c r="K10884" s="11">
        <v>438.73</v>
      </c>
      <c r="L10884" s="11" t="s">
        <v>28</v>
      </c>
      <c r="M10884" s="11">
        <v>-445.19</v>
      </c>
      <c r="N10884" s="8">
        <v>41450</v>
      </c>
      <c r="O10884" s="9" t="s">
        <v>41</v>
      </c>
      <c r="P10884" s="12" t="s">
        <v>28</v>
      </c>
      <c r="Q10884" s="9" t="s">
        <v>64</v>
      </c>
      <c r="R10884" s="14" t="str">
        <f>HYPERLINK("https://my.pitchbook.com?c=33817-78T","View Company Online")</f>
        <v>View Company Online</v>
      </c>
    </row>
    <row r="10885" spans="1:18" hidden="1" x14ac:dyDescent="0.3">
      <c r="A10885" s="15" t="s">
        <v>30732</v>
      </c>
      <c r="B10885" s="15" t="s">
        <v>30733</v>
      </c>
      <c r="C10885" s="18" t="s">
        <v>28</v>
      </c>
      <c r="D10885" s="15" t="s">
        <v>30734</v>
      </c>
      <c r="E10885" s="18" t="s">
        <v>28</v>
      </c>
      <c r="F10885" s="19" t="s">
        <v>28</v>
      </c>
      <c r="G10885" s="19" t="s">
        <v>28</v>
      </c>
      <c r="H10885" s="19" t="s">
        <v>28</v>
      </c>
      <c r="I10885" s="18" t="s">
        <v>28</v>
      </c>
      <c r="J10885" s="18" t="s">
        <v>28</v>
      </c>
      <c r="K10885" s="18">
        <v>510.21</v>
      </c>
      <c r="L10885" s="18" t="s">
        <v>28</v>
      </c>
      <c r="M10885" s="18" t="s">
        <v>28</v>
      </c>
      <c r="N10885" s="17">
        <v>41444</v>
      </c>
      <c r="O10885" s="15" t="s">
        <v>30</v>
      </c>
      <c r="P10885" s="16" t="s">
        <v>28</v>
      </c>
      <c r="Q10885" s="15" t="s">
        <v>64</v>
      </c>
      <c r="R10885" s="13" t="str">
        <f>HYPERLINK("https://my.pitchbook.com?c=66326-05T","View Company Online")</f>
        <v>View Company Online</v>
      </c>
    </row>
    <row r="10886" spans="1:18" hidden="1" x14ac:dyDescent="0.3">
      <c r="A10886" s="9" t="s">
        <v>30735</v>
      </c>
      <c r="B10886" s="9" t="s">
        <v>2239</v>
      </c>
      <c r="C10886" s="11" t="s">
        <v>28</v>
      </c>
      <c r="D10886" s="9" t="s">
        <v>30736</v>
      </c>
      <c r="E10886" s="11" t="s">
        <v>28</v>
      </c>
      <c r="F10886" s="10">
        <v>700</v>
      </c>
      <c r="G10886" s="10">
        <v>700</v>
      </c>
      <c r="H10886" s="10">
        <v>700</v>
      </c>
      <c r="I10886" s="11" t="s">
        <v>28</v>
      </c>
      <c r="J10886" s="11" t="s">
        <v>28</v>
      </c>
      <c r="K10886" s="11" t="s">
        <v>28</v>
      </c>
      <c r="L10886" s="11" t="s">
        <v>28</v>
      </c>
      <c r="M10886" s="11" t="s">
        <v>28</v>
      </c>
      <c r="N10886" s="8">
        <v>41443</v>
      </c>
      <c r="O10886" s="9" t="s">
        <v>41</v>
      </c>
      <c r="P10886" s="12" t="s">
        <v>28</v>
      </c>
      <c r="Q10886" s="9" t="s">
        <v>43</v>
      </c>
      <c r="R10886" s="14" t="str">
        <f>HYPERLINK("https://my.pitchbook.com?c=26659-63T","View Company Online")</f>
        <v>View Company Online</v>
      </c>
    </row>
    <row r="10887" spans="1:18" hidden="1" x14ac:dyDescent="0.3">
      <c r="A10887" s="15" t="s">
        <v>30737</v>
      </c>
      <c r="B10887" s="15" t="s">
        <v>30738</v>
      </c>
      <c r="C10887" s="18" t="s">
        <v>28</v>
      </c>
      <c r="D10887" s="15" t="s">
        <v>30739</v>
      </c>
      <c r="E10887" s="18" t="s">
        <v>28</v>
      </c>
      <c r="F10887" s="19">
        <v>2.77</v>
      </c>
      <c r="G10887" s="19">
        <v>2.77</v>
      </c>
      <c r="H10887" s="19">
        <v>2.77</v>
      </c>
      <c r="I10887" s="18" t="s">
        <v>28</v>
      </c>
      <c r="J10887" s="18" t="s">
        <v>28</v>
      </c>
      <c r="K10887" s="18" t="s">
        <v>28</v>
      </c>
      <c r="L10887" s="18" t="s">
        <v>28</v>
      </c>
      <c r="M10887" s="18" t="s">
        <v>28</v>
      </c>
      <c r="N10887" s="17">
        <v>41442</v>
      </c>
      <c r="O10887" s="15" t="s">
        <v>30</v>
      </c>
      <c r="P10887" s="16" t="s">
        <v>2330</v>
      </c>
      <c r="Q10887" s="15" t="s">
        <v>43</v>
      </c>
      <c r="R10887" s="13" t="str">
        <f>HYPERLINK("https://my.pitchbook.com?c=89583-85T","View Company Online")</f>
        <v>View Company Online</v>
      </c>
    </row>
    <row r="10888" spans="1:18" hidden="1" x14ac:dyDescent="0.3">
      <c r="A10888" s="9" t="s">
        <v>30740</v>
      </c>
      <c r="B10888" s="9" t="s">
        <v>21365</v>
      </c>
      <c r="C10888" s="11" t="s">
        <v>28</v>
      </c>
      <c r="D10888" s="9" t="s">
        <v>21366</v>
      </c>
      <c r="E10888" s="11" t="s">
        <v>28</v>
      </c>
      <c r="F10888" s="10" t="s">
        <v>28</v>
      </c>
      <c r="G10888" s="10" t="s">
        <v>28</v>
      </c>
      <c r="H10888" s="10" t="s">
        <v>28</v>
      </c>
      <c r="I10888" s="11" t="s">
        <v>28</v>
      </c>
      <c r="J10888" s="11" t="s">
        <v>28</v>
      </c>
      <c r="K10888" s="11" t="s">
        <v>28</v>
      </c>
      <c r="L10888" s="11" t="s">
        <v>28</v>
      </c>
      <c r="M10888" s="11" t="s">
        <v>28</v>
      </c>
      <c r="N10888" s="8">
        <v>41442</v>
      </c>
      <c r="O10888" s="9" t="s">
        <v>73</v>
      </c>
      <c r="P10888" s="12" t="s">
        <v>30741</v>
      </c>
      <c r="Q10888" s="9" t="s">
        <v>1191</v>
      </c>
      <c r="R10888" s="14" t="str">
        <f>HYPERLINK("https://my.pitchbook.com?c=53712-91T","View Company Online")</f>
        <v>View Company Online</v>
      </c>
    </row>
    <row r="10889" spans="1:18" hidden="1" x14ac:dyDescent="0.3">
      <c r="A10889" s="15" t="s">
        <v>30742</v>
      </c>
      <c r="B10889" s="15" t="s">
        <v>30743</v>
      </c>
      <c r="C10889" s="18" t="s">
        <v>28</v>
      </c>
      <c r="D10889" s="15" t="s">
        <v>30744</v>
      </c>
      <c r="E10889" s="18" t="s">
        <v>28</v>
      </c>
      <c r="F10889" s="19">
        <v>2000</v>
      </c>
      <c r="G10889" s="19">
        <v>2000</v>
      </c>
      <c r="H10889" s="19">
        <v>2000</v>
      </c>
      <c r="I10889" s="18" t="s">
        <v>28</v>
      </c>
      <c r="J10889" s="18" t="s">
        <v>28</v>
      </c>
      <c r="K10889" s="18" t="s">
        <v>28</v>
      </c>
      <c r="L10889" s="18" t="s">
        <v>28</v>
      </c>
      <c r="M10889" s="18" t="s">
        <v>28</v>
      </c>
      <c r="N10889" s="17">
        <v>41439</v>
      </c>
      <c r="O10889" s="15" t="s">
        <v>30</v>
      </c>
      <c r="P10889" s="16" t="s">
        <v>28</v>
      </c>
      <c r="Q10889" s="15" t="s">
        <v>268</v>
      </c>
      <c r="R10889" s="13" t="str">
        <f>HYPERLINK("https://my.pitchbook.com?c=25864-66T","View Company Online")</f>
        <v>View Company Online</v>
      </c>
    </row>
    <row r="10890" spans="1:18" hidden="1" x14ac:dyDescent="0.3">
      <c r="A10890" s="9" t="s">
        <v>30745</v>
      </c>
      <c r="B10890" s="9" t="s">
        <v>30534</v>
      </c>
      <c r="C10890" s="11" t="s">
        <v>28</v>
      </c>
      <c r="D10890" s="9" t="s">
        <v>30535</v>
      </c>
      <c r="E10890" s="11" t="s">
        <v>28</v>
      </c>
      <c r="F10890" s="10" t="s">
        <v>28</v>
      </c>
      <c r="G10890" s="10">
        <v>0.38</v>
      </c>
      <c r="H10890" s="10" t="s">
        <v>28</v>
      </c>
      <c r="I10890" s="11" t="s">
        <v>28</v>
      </c>
      <c r="J10890" s="11" t="s">
        <v>28</v>
      </c>
      <c r="K10890" s="11" t="s">
        <v>28</v>
      </c>
      <c r="L10890" s="11" t="s">
        <v>28</v>
      </c>
      <c r="M10890" s="11" t="s">
        <v>28</v>
      </c>
      <c r="N10890" s="8">
        <v>41438</v>
      </c>
      <c r="O10890" s="9" t="s">
        <v>73</v>
      </c>
      <c r="P10890" s="12" t="s">
        <v>11495</v>
      </c>
      <c r="Q10890" s="9" t="s">
        <v>54</v>
      </c>
      <c r="R10890" s="14" t="str">
        <f>HYPERLINK("https://my.pitchbook.com?c=94439-26T","View Company Online")</f>
        <v>View Company Online</v>
      </c>
    </row>
    <row r="10891" spans="1:18" hidden="1" x14ac:dyDescent="0.3">
      <c r="A10891" s="15" t="s">
        <v>30746</v>
      </c>
      <c r="B10891" s="15" t="s">
        <v>4211</v>
      </c>
      <c r="C10891" s="18" t="s">
        <v>28</v>
      </c>
      <c r="D10891" s="15" t="s">
        <v>4212</v>
      </c>
      <c r="E10891" s="18" t="s">
        <v>28</v>
      </c>
      <c r="F10891" s="19" t="s">
        <v>28</v>
      </c>
      <c r="G10891" s="19">
        <v>0.01</v>
      </c>
      <c r="H10891" s="19" t="s">
        <v>28</v>
      </c>
      <c r="I10891" s="18" t="s">
        <v>28</v>
      </c>
      <c r="J10891" s="18" t="s">
        <v>28</v>
      </c>
      <c r="K10891" s="18" t="s">
        <v>28</v>
      </c>
      <c r="L10891" s="18" t="s">
        <v>28</v>
      </c>
      <c r="M10891" s="18" t="s">
        <v>28</v>
      </c>
      <c r="N10891" s="17">
        <v>41437</v>
      </c>
      <c r="O10891" s="15" t="s">
        <v>47</v>
      </c>
      <c r="P10891" s="16" t="s">
        <v>28</v>
      </c>
      <c r="Q10891" s="15" t="s">
        <v>386</v>
      </c>
      <c r="R10891" s="13" t="str">
        <f>HYPERLINK("https://my.pitchbook.com?c=136467-01T","View Company Online")</f>
        <v>View Company Online</v>
      </c>
    </row>
    <row r="10892" spans="1:18" hidden="1" x14ac:dyDescent="0.3">
      <c r="A10892" s="9" t="s">
        <v>30747</v>
      </c>
      <c r="B10892" s="9" t="s">
        <v>30748</v>
      </c>
      <c r="C10892" s="11" t="s">
        <v>28</v>
      </c>
      <c r="D10892" s="9" t="s">
        <v>30749</v>
      </c>
      <c r="E10892" s="11" t="s">
        <v>28</v>
      </c>
      <c r="F10892" s="10" t="s">
        <v>28</v>
      </c>
      <c r="G10892" s="10" t="s">
        <v>28</v>
      </c>
      <c r="H10892" s="10" t="s">
        <v>28</v>
      </c>
      <c r="I10892" s="11" t="s">
        <v>28</v>
      </c>
      <c r="J10892" s="11" t="s">
        <v>28</v>
      </c>
      <c r="K10892" s="11" t="s">
        <v>28</v>
      </c>
      <c r="L10892" s="11" t="s">
        <v>28</v>
      </c>
      <c r="M10892" s="11" t="s">
        <v>28</v>
      </c>
      <c r="N10892" s="8">
        <v>41437</v>
      </c>
      <c r="O10892" s="9" t="s">
        <v>93</v>
      </c>
      <c r="P10892" s="12" t="s">
        <v>30750</v>
      </c>
      <c r="Q10892" s="9" t="s">
        <v>54</v>
      </c>
      <c r="R10892" s="14" t="str">
        <f>HYPERLINK("https://my.pitchbook.com?c=26471-35T","View Company Online")</f>
        <v>View Company Online</v>
      </c>
    </row>
    <row r="10893" spans="1:18" hidden="1" x14ac:dyDescent="0.3">
      <c r="A10893" s="15" t="s">
        <v>30751</v>
      </c>
      <c r="B10893" s="15" t="s">
        <v>23211</v>
      </c>
      <c r="C10893" s="18" t="s">
        <v>28</v>
      </c>
      <c r="D10893" s="15" t="s">
        <v>23212</v>
      </c>
      <c r="E10893" s="18" t="s">
        <v>28</v>
      </c>
      <c r="F10893" s="19" t="s">
        <v>28</v>
      </c>
      <c r="G10893" s="19" t="s">
        <v>28</v>
      </c>
      <c r="H10893" s="19" t="s">
        <v>28</v>
      </c>
      <c r="I10893" s="18" t="s">
        <v>28</v>
      </c>
      <c r="J10893" s="18" t="s">
        <v>28</v>
      </c>
      <c r="K10893" s="18">
        <v>342.35</v>
      </c>
      <c r="L10893" s="18" t="s">
        <v>28</v>
      </c>
      <c r="M10893" s="18" t="s">
        <v>28</v>
      </c>
      <c r="N10893" s="17">
        <v>41436</v>
      </c>
      <c r="O10893" s="15" t="s">
        <v>41</v>
      </c>
      <c r="P10893" s="16" t="s">
        <v>30752</v>
      </c>
      <c r="Q10893" s="15" t="s">
        <v>959</v>
      </c>
      <c r="R10893" s="13" t="str">
        <f>HYPERLINK("https://my.pitchbook.com?c=77830-12T","View Company Online")</f>
        <v>View Company Online</v>
      </c>
    </row>
    <row r="10894" spans="1:18" hidden="1" x14ac:dyDescent="0.3">
      <c r="A10894" s="9" t="s">
        <v>30753</v>
      </c>
      <c r="B10894" s="9" t="s">
        <v>30754</v>
      </c>
      <c r="C10894" s="11" t="s">
        <v>28</v>
      </c>
      <c r="D10894" s="9" t="s">
        <v>30755</v>
      </c>
      <c r="E10894" s="11" t="s">
        <v>28</v>
      </c>
      <c r="F10894" s="10" t="s">
        <v>28</v>
      </c>
      <c r="G10894" s="10" t="s">
        <v>28</v>
      </c>
      <c r="H10894" s="10" t="s">
        <v>28</v>
      </c>
      <c r="I10894" s="11" t="s">
        <v>28</v>
      </c>
      <c r="J10894" s="11" t="s">
        <v>28</v>
      </c>
      <c r="K10894" s="11" t="s">
        <v>28</v>
      </c>
      <c r="L10894" s="11" t="s">
        <v>28</v>
      </c>
      <c r="M10894" s="11" t="s">
        <v>28</v>
      </c>
      <c r="N10894" s="8">
        <v>41435</v>
      </c>
      <c r="O10894" s="9" t="s">
        <v>41</v>
      </c>
      <c r="P10894" s="12" t="s">
        <v>30756</v>
      </c>
      <c r="Q10894" s="9" t="s">
        <v>4773</v>
      </c>
      <c r="R10894" s="14" t="str">
        <f>HYPERLINK("https://my.pitchbook.com?c=66707-92T","View Company Online")</f>
        <v>View Company Online</v>
      </c>
    </row>
    <row r="10895" spans="1:18" hidden="1" x14ac:dyDescent="0.3">
      <c r="A10895" s="15" t="s">
        <v>30757</v>
      </c>
      <c r="B10895" s="15" t="s">
        <v>17645</v>
      </c>
      <c r="C10895" s="18" t="s">
        <v>28</v>
      </c>
      <c r="D10895" s="15" t="s">
        <v>17646</v>
      </c>
      <c r="E10895" s="18" t="s">
        <v>28</v>
      </c>
      <c r="F10895" s="19" t="s">
        <v>28</v>
      </c>
      <c r="G10895" s="19">
        <v>177.67</v>
      </c>
      <c r="H10895" s="19">
        <v>888.35</v>
      </c>
      <c r="I10895" s="18" t="s">
        <v>28</v>
      </c>
      <c r="J10895" s="18" t="s">
        <v>28</v>
      </c>
      <c r="K10895" s="18">
        <v>6632.72</v>
      </c>
      <c r="L10895" s="18">
        <v>0.13</v>
      </c>
      <c r="M10895" s="18" t="s">
        <v>28</v>
      </c>
      <c r="N10895" s="17">
        <v>41432</v>
      </c>
      <c r="O10895" s="15" t="s">
        <v>58</v>
      </c>
      <c r="P10895" s="16" t="s">
        <v>30758</v>
      </c>
      <c r="Q10895" s="15" t="s">
        <v>119</v>
      </c>
      <c r="R10895" s="13" t="str">
        <f>HYPERLINK("https://my.pitchbook.com?c=26462-08T","View Company Online")</f>
        <v>View Company Online</v>
      </c>
    </row>
    <row r="10896" spans="1:18" hidden="1" x14ac:dyDescent="0.3">
      <c r="A10896" s="9" t="s">
        <v>30759</v>
      </c>
      <c r="B10896" s="9" t="s">
        <v>30760</v>
      </c>
      <c r="C10896" s="11" t="s">
        <v>28</v>
      </c>
      <c r="D10896" s="9" t="s">
        <v>30761</v>
      </c>
      <c r="E10896" s="11" t="s">
        <v>28</v>
      </c>
      <c r="F10896" s="10" t="s">
        <v>28</v>
      </c>
      <c r="G10896" s="10" t="s">
        <v>28</v>
      </c>
      <c r="H10896" s="10" t="s">
        <v>28</v>
      </c>
      <c r="I10896" s="11" t="s">
        <v>28</v>
      </c>
      <c r="J10896" s="11" t="s">
        <v>28</v>
      </c>
      <c r="K10896" s="11" t="s">
        <v>28</v>
      </c>
      <c r="L10896" s="11" t="s">
        <v>28</v>
      </c>
      <c r="M10896" s="11" t="s">
        <v>28</v>
      </c>
      <c r="N10896" s="8">
        <v>41432</v>
      </c>
      <c r="O10896" s="9" t="s">
        <v>173</v>
      </c>
      <c r="P10896" s="12" t="s">
        <v>28</v>
      </c>
      <c r="Q10896" s="9" t="s">
        <v>174</v>
      </c>
      <c r="R10896" s="14" t="str">
        <f>HYPERLINK("https://my.pitchbook.com?c=224086-06T","View Company Online")</f>
        <v>View Company Online</v>
      </c>
    </row>
    <row r="10897" spans="1:18" hidden="1" x14ac:dyDescent="0.3">
      <c r="A10897" s="15" t="s">
        <v>30762</v>
      </c>
      <c r="B10897" s="15" t="s">
        <v>4581</v>
      </c>
      <c r="C10897" s="18" t="s">
        <v>28</v>
      </c>
      <c r="D10897" s="15" t="s">
        <v>4582</v>
      </c>
      <c r="E10897" s="18" t="s">
        <v>28</v>
      </c>
      <c r="F10897" s="19" t="s">
        <v>28</v>
      </c>
      <c r="G10897" s="19">
        <v>125</v>
      </c>
      <c r="H10897" s="19" t="s">
        <v>28</v>
      </c>
      <c r="I10897" s="18" t="s">
        <v>28</v>
      </c>
      <c r="J10897" s="18" t="s">
        <v>28</v>
      </c>
      <c r="K10897" s="18" t="s">
        <v>28</v>
      </c>
      <c r="L10897" s="18" t="s">
        <v>28</v>
      </c>
      <c r="M10897" s="18" t="s">
        <v>28</v>
      </c>
      <c r="N10897" s="17">
        <v>41432</v>
      </c>
      <c r="O10897" s="15" t="s">
        <v>93</v>
      </c>
      <c r="P10897" s="16" t="s">
        <v>30763</v>
      </c>
      <c r="Q10897" s="15" t="s">
        <v>2043</v>
      </c>
      <c r="R10897" s="13" t="str">
        <f>HYPERLINK("https://my.pitchbook.com?c=29342-71T","View Company Online")</f>
        <v>View Company Online</v>
      </c>
    </row>
    <row r="10898" spans="1:18" hidden="1" x14ac:dyDescent="0.3">
      <c r="A10898" s="9" t="s">
        <v>30764</v>
      </c>
      <c r="B10898" s="9" t="s">
        <v>30765</v>
      </c>
      <c r="C10898" s="11" t="s">
        <v>28</v>
      </c>
      <c r="D10898" s="9" t="s">
        <v>30766</v>
      </c>
      <c r="E10898" s="11" t="s">
        <v>28</v>
      </c>
      <c r="F10898" s="10">
        <v>7.28</v>
      </c>
      <c r="G10898" s="10">
        <v>7.28</v>
      </c>
      <c r="H10898" s="10">
        <v>7.28</v>
      </c>
      <c r="I10898" s="11" t="s">
        <v>28</v>
      </c>
      <c r="J10898" s="11" t="s">
        <v>28</v>
      </c>
      <c r="K10898" s="11" t="s">
        <v>28</v>
      </c>
      <c r="L10898" s="11" t="s">
        <v>28</v>
      </c>
      <c r="M10898" s="11" t="s">
        <v>28</v>
      </c>
      <c r="N10898" s="8">
        <v>41431</v>
      </c>
      <c r="O10898" s="9" t="s">
        <v>30</v>
      </c>
      <c r="P10898" s="12" t="s">
        <v>4616</v>
      </c>
      <c r="Q10898" s="9" t="s">
        <v>75</v>
      </c>
      <c r="R10898" s="14" t="str">
        <f>HYPERLINK("https://my.pitchbook.com?c=93770-20T","View Company Online")</f>
        <v>View Company Online</v>
      </c>
    </row>
    <row r="10899" spans="1:18" hidden="1" x14ac:dyDescent="0.3">
      <c r="A10899" s="15" t="s">
        <v>30767</v>
      </c>
      <c r="B10899" s="15" t="s">
        <v>30768</v>
      </c>
      <c r="C10899" s="18" t="s">
        <v>28</v>
      </c>
      <c r="D10899" s="15" t="s">
        <v>30769</v>
      </c>
      <c r="E10899" s="18" t="s">
        <v>28</v>
      </c>
      <c r="F10899" s="19" t="s">
        <v>28</v>
      </c>
      <c r="G10899" s="19" t="s">
        <v>28</v>
      </c>
      <c r="H10899" s="19" t="s">
        <v>28</v>
      </c>
      <c r="I10899" s="18" t="s">
        <v>28</v>
      </c>
      <c r="J10899" s="18" t="s">
        <v>28</v>
      </c>
      <c r="K10899" s="18" t="s">
        <v>28</v>
      </c>
      <c r="L10899" s="18" t="s">
        <v>28</v>
      </c>
      <c r="M10899" s="18" t="s">
        <v>28</v>
      </c>
      <c r="N10899" s="17">
        <v>41431</v>
      </c>
      <c r="O10899" s="15" t="s">
        <v>30</v>
      </c>
      <c r="P10899" s="16" t="s">
        <v>30770</v>
      </c>
      <c r="Q10899" s="15" t="s">
        <v>249</v>
      </c>
      <c r="R10899" s="13" t="str">
        <f>HYPERLINK("https://my.pitchbook.com?c=89684-65T","View Company Online")</f>
        <v>View Company Online</v>
      </c>
    </row>
    <row r="10900" spans="1:18" hidden="1" x14ac:dyDescent="0.3">
      <c r="A10900" s="9" t="s">
        <v>30771</v>
      </c>
      <c r="B10900" s="9" t="s">
        <v>30772</v>
      </c>
      <c r="C10900" s="11" t="s">
        <v>28</v>
      </c>
      <c r="D10900" s="9" t="s">
        <v>30773</v>
      </c>
      <c r="E10900" s="11" t="s">
        <v>28</v>
      </c>
      <c r="F10900" s="10">
        <v>10.39</v>
      </c>
      <c r="G10900" s="10">
        <v>10.39</v>
      </c>
      <c r="H10900" s="10">
        <v>10.39</v>
      </c>
      <c r="I10900" s="11" t="s">
        <v>28</v>
      </c>
      <c r="J10900" s="11" t="s">
        <v>28</v>
      </c>
      <c r="K10900" s="11" t="s">
        <v>28</v>
      </c>
      <c r="L10900" s="11" t="s">
        <v>28</v>
      </c>
      <c r="M10900" s="11" t="s">
        <v>28</v>
      </c>
      <c r="N10900" s="8">
        <v>41431</v>
      </c>
      <c r="O10900" s="9" t="s">
        <v>30</v>
      </c>
      <c r="P10900" s="12" t="s">
        <v>30774</v>
      </c>
      <c r="Q10900" s="9" t="s">
        <v>280</v>
      </c>
      <c r="R10900" s="14" t="str">
        <f>HYPERLINK("https://my.pitchbook.com?c=35763-94T","View Company Online")</f>
        <v>View Company Online</v>
      </c>
    </row>
    <row r="10901" spans="1:18" hidden="1" x14ac:dyDescent="0.3">
      <c r="A10901" s="15" t="s">
        <v>30775</v>
      </c>
      <c r="B10901" s="15" t="s">
        <v>30776</v>
      </c>
      <c r="C10901" s="18" t="s">
        <v>28</v>
      </c>
      <c r="D10901" s="15" t="s">
        <v>30777</v>
      </c>
      <c r="E10901" s="18" t="s">
        <v>28</v>
      </c>
      <c r="F10901" s="19" t="s">
        <v>28</v>
      </c>
      <c r="G10901" s="19" t="s">
        <v>28</v>
      </c>
      <c r="H10901" s="19" t="s">
        <v>28</v>
      </c>
      <c r="I10901" s="18" t="s">
        <v>28</v>
      </c>
      <c r="J10901" s="18" t="s">
        <v>28</v>
      </c>
      <c r="K10901" s="18">
        <v>10.28</v>
      </c>
      <c r="L10901" s="18" t="s">
        <v>28</v>
      </c>
      <c r="M10901" s="18" t="s">
        <v>28</v>
      </c>
      <c r="N10901" s="17">
        <v>41430</v>
      </c>
      <c r="O10901" s="15" t="s">
        <v>41</v>
      </c>
      <c r="P10901" s="16" t="s">
        <v>30778</v>
      </c>
      <c r="Q10901" s="15" t="s">
        <v>1051</v>
      </c>
      <c r="R10901" s="13" t="str">
        <f>HYPERLINK("https://my.pitchbook.com?c=110803-96T","View Company Online")</f>
        <v>View Company Online</v>
      </c>
    </row>
    <row r="10902" spans="1:18" hidden="1" x14ac:dyDescent="0.3">
      <c r="A10902" s="9" t="s">
        <v>30779</v>
      </c>
      <c r="B10902" s="9" t="s">
        <v>28319</v>
      </c>
      <c r="C10902" s="11" t="s">
        <v>28</v>
      </c>
      <c r="D10902" s="9" t="s">
        <v>28320</v>
      </c>
      <c r="E10902" s="11" t="s">
        <v>28</v>
      </c>
      <c r="F10902" s="10" t="s">
        <v>28</v>
      </c>
      <c r="G10902" s="10">
        <v>3.91</v>
      </c>
      <c r="H10902" s="10" t="s">
        <v>28</v>
      </c>
      <c r="I10902" s="11" t="s">
        <v>28</v>
      </c>
      <c r="J10902" s="11" t="s">
        <v>28</v>
      </c>
      <c r="K10902" s="11" t="s">
        <v>28</v>
      </c>
      <c r="L10902" s="11" t="s">
        <v>28</v>
      </c>
      <c r="M10902" s="11" t="s">
        <v>28</v>
      </c>
      <c r="N10902" s="8">
        <v>41430</v>
      </c>
      <c r="O10902" s="9" t="s">
        <v>73</v>
      </c>
      <c r="P10902" s="12" t="s">
        <v>28</v>
      </c>
      <c r="Q10902" s="9" t="s">
        <v>386</v>
      </c>
      <c r="R10902" s="14" t="str">
        <f>HYPERLINK("https://my.pitchbook.com?c=26792-02T","View Company Online")</f>
        <v>View Company Online</v>
      </c>
    </row>
    <row r="10903" spans="1:18" hidden="1" x14ac:dyDescent="0.3">
      <c r="A10903" s="15" t="s">
        <v>30780</v>
      </c>
      <c r="B10903" s="15" t="s">
        <v>30781</v>
      </c>
      <c r="C10903" s="18" t="s">
        <v>28</v>
      </c>
      <c r="D10903" s="15" t="s">
        <v>30782</v>
      </c>
      <c r="E10903" s="18" t="s">
        <v>28</v>
      </c>
      <c r="F10903" s="19" t="s">
        <v>28</v>
      </c>
      <c r="G10903" s="19" t="s">
        <v>28</v>
      </c>
      <c r="H10903" s="19" t="s">
        <v>28</v>
      </c>
      <c r="I10903" s="18" t="s">
        <v>28</v>
      </c>
      <c r="J10903" s="18" t="s">
        <v>28</v>
      </c>
      <c r="K10903" s="18" t="s">
        <v>28</v>
      </c>
      <c r="L10903" s="18" t="s">
        <v>28</v>
      </c>
      <c r="M10903" s="18" t="s">
        <v>28</v>
      </c>
      <c r="N10903" s="17">
        <v>41430</v>
      </c>
      <c r="O10903" s="15" t="s">
        <v>30</v>
      </c>
      <c r="P10903" s="16" t="s">
        <v>30783</v>
      </c>
      <c r="Q10903" s="15" t="s">
        <v>409</v>
      </c>
      <c r="R10903" s="13" t="str">
        <f>HYPERLINK("https://my.pitchbook.com?c=26593-30T","View Company Online")</f>
        <v>View Company Online</v>
      </c>
    </row>
    <row r="10904" spans="1:18" hidden="1" x14ac:dyDescent="0.3">
      <c r="A10904" s="9" t="s">
        <v>30784</v>
      </c>
      <c r="B10904" s="9" t="s">
        <v>30785</v>
      </c>
      <c r="C10904" s="11" t="s">
        <v>28</v>
      </c>
      <c r="D10904" s="9" t="s">
        <v>30786</v>
      </c>
      <c r="E10904" s="11" t="s">
        <v>28</v>
      </c>
      <c r="F10904" s="10" t="s">
        <v>28</v>
      </c>
      <c r="G10904" s="10" t="s">
        <v>28</v>
      </c>
      <c r="H10904" s="10" t="s">
        <v>28</v>
      </c>
      <c r="I10904" s="11" t="s">
        <v>28</v>
      </c>
      <c r="J10904" s="11" t="s">
        <v>28</v>
      </c>
      <c r="K10904" s="11" t="s">
        <v>28</v>
      </c>
      <c r="L10904" s="11" t="s">
        <v>28</v>
      </c>
      <c r="M10904" s="11" t="s">
        <v>28</v>
      </c>
      <c r="N10904" s="8">
        <v>41426</v>
      </c>
      <c r="O10904" s="9" t="s">
        <v>379</v>
      </c>
      <c r="P10904" s="12" t="s">
        <v>30787</v>
      </c>
      <c r="Q10904" s="9" t="s">
        <v>2097</v>
      </c>
      <c r="R10904" s="14" t="str">
        <f>HYPERLINK("https://my.pitchbook.com?c=61817-77T","View Company Online")</f>
        <v>View Company Online</v>
      </c>
    </row>
    <row r="10905" spans="1:18" hidden="1" x14ac:dyDescent="0.3">
      <c r="A10905" s="15" t="s">
        <v>30788</v>
      </c>
      <c r="B10905" s="15" t="s">
        <v>13383</v>
      </c>
      <c r="C10905" s="18" t="s">
        <v>28</v>
      </c>
      <c r="D10905" s="15" t="s">
        <v>13384</v>
      </c>
      <c r="E10905" s="18" t="s">
        <v>28</v>
      </c>
      <c r="F10905" s="19">
        <v>86.73</v>
      </c>
      <c r="G10905" s="19">
        <v>19.600000000000001</v>
      </c>
      <c r="H10905" s="19">
        <v>86.73</v>
      </c>
      <c r="I10905" s="18" t="s">
        <v>28</v>
      </c>
      <c r="J10905" s="18" t="s">
        <v>28</v>
      </c>
      <c r="K10905" s="18" t="s">
        <v>28</v>
      </c>
      <c r="L10905" s="18" t="s">
        <v>28</v>
      </c>
      <c r="M10905" s="18" t="s">
        <v>28</v>
      </c>
      <c r="N10905" s="17">
        <v>41426</v>
      </c>
      <c r="O10905" s="15" t="s">
        <v>41</v>
      </c>
      <c r="P10905" s="16" t="s">
        <v>30789</v>
      </c>
      <c r="Q10905" s="15" t="s">
        <v>1361</v>
      </c>
      <c r="R10905" s="13" t="str">
        <f>HYPERLINK("https://my.pitchbook.com?c=107945-92T","View Company Online")</f>
        <v>View Company Online</v>
      </c>
    </row>
    <row r="10906" spans="1:18" hidden="1" x14ac:dyDescent="0.3">
      <c r="A10906" s="9" t="s">
        <v>30790</v>
      </c>
      <c r="B10906" s="9" t="s">
        <v>17494</v>
      </c>
      <c r="C10906" s="11" t="s">
        <v>28</v>
      </c>
      <c r="D10906" s="9" t="s">
        <v>17495</v>
      </c>
      <c r="E10906" s="11" t="s">
        <v>28</v>
      </c>
      <c r="F10906" s="10">
        <v>234</v>
      </c>
      <c r="G10906" s="10">
        <v>234</v>
      </c>
      <c r="H10906" s="10">
        <v>234</v>
      </c>
      <c r="I10906" s="11" t="s">
        <v>28</v>
      </c>
      <c r="J10906" s="11" t="s">
        <v>28</v>
      </c>
      <c r="K10906" s="11" t="s">
        <v>28</v>
      </c>
      <c r="L10906" s="11" t="s">
        <v>28</v>
      </c>
      <c r="M10906" s="11" t="s">
        <v>28</v>
      </c>
      <c r="N10906" s="8">
        <v>41426</v>
      </c>
      <c r="O10906" s="9" t="s">
        <v>30</v>
      </c>
      <c r="P10906" s="12" t="s">
        <v>30791</v>
      </c>
      <c r="Q10906" s="9" t="s">
        <v>331</v>
      </c>
      <c r="R10906" s="14" t="str">
        <f>HYPERLINK("https://my.pitchbook.com?c=89796-70T","View Company Online")</f>
        <v>View Company Online</v>
      </c>
    </row>
    <row r="10907" spans="1:18" hidden="1" x14ac:dyDescent="0.3">
      <c r="A10907" s="15" t="s">
        <v>30792</v>
      </c>
      <c r="B10907" s="15" t="s">
        <v>30793</v>
      </c>
      <c r="C10907" s="18" t="s">
        <v>28</v>
      </c>
      <c r="D10907" s="15" t="s">
        <v>30794</v>
      </c>
      <c r="E10907" s="18" t="s">
        <v>28</v>
      </c>
      <c r="F10907" s="19">
        <v>825</v>
      </c>
      <c r="G10907" s="19">
        <v>495</v>
      </c>
      <c r="H10907" s="19">
        <v>825</v>
      </c>
      <c r="I10907" s="18" t="s">
        <v>28</v>
      </c>
      <c r="J10907" s="18" t="s">
        <v>28</v>
      </c>
      <c r="K10907" s="18" t="s">
        <v>28</v>
      </c>
      <c r="L10907" s="18" t="s">
        <v>28</v>
      </c>
      <c r="M10907" s="18" t="s">
        <v>28</v>
      </c>
      <c r="N10907" s="17">
        <v>41426</v>
      </c>
      <c r="O10907" s="15" t="s">
        <v>30</v>
      </c>
      <c r="P10907" s="16" t="s">
        <v>30795</v>
      </c>
      <c r="Q10907" s="15" t="s">
        <v>69</v>
      </c>
      <c r="R10907" s="13" t="str">
        <f>HYPERLINK("https://my.pitchbook.com?c=203073-49T","View Company Online")</f>
        <v>View Company Online</v>
      </c>
    </row>
    <row r="10908" spans="1:18" hidden="1" x14ac:dyDescent="0.3">
      <c r="A10908" s="9" t="s">
        <v>30796</v>
      </c>
      <c r="B10908" s="9" t="s">
        <v>9223</v>
      </c>
      <c r="C10908" s="11" t="s">
        <v>28</v>
      </c>
      <c r="D10908" s="9" t="s">
        <v>11450</v>
      </c>
      <c r="E10908" s="11" t="s">
        <v>28</v>
      </c>
      <c r="F10908" s="10" t="s">
        <v>28</v>
      </c>
      <c r="G10908" s="10">
        <v>2.59</v>
      </c>
      <c r="H10908" s="10" t="s">
        <v>28</v>
      </c>
      <c r="I10908" s="11" t="s">
        <v>28</v>
      </c>
      <c r="J10908" s="11" t="s">
        <v>28</v>
      </c>
      <c r="K10908" s="11" t="s">
        <v>28</v>
      </c>
      <c r="L10908" s="11" t="s">
        <v>28</v>
      </c>
      <c r="M10908" s="11" t="s">
        <v>28</v>
      </c>
      <c r="N10908" s="8">
        <v>41426</v>
      </c>
      <c r="O10908" s="9" t="s">
        <v>99</v>
      </c>
      <c r="P10908" s="12" t="s">
        <v>30797</v>
      </c>
      <c r="Q10908" s="9" t="s">
        <v>409</v>
      </c>
      <c r="R10908" s="14" t="str">
        <f>HYPERLINK("https://my.pitchbook.com?c=50079-79T","View Company Online")</f>
        <v>View Company Online</v>
      </c>
    </row>
    <row r="10909" spans="1:18" hidden="1" x14ac:dyDescent="0.3">
      <c r="A10909" s="15" t="s">
        <v>30798</v>
      </c>
      <c r="B10909" s="15" t="s">
        <v>23205</v>
      </c>
      <c r="C10909" s="18" t="s">
        <v>28</v>
      </c>
      <c r="D10909" s="15" t="s">
        <v>23206</v>
      </c>
      <c r="E10909" s="18" t="s">
        <v>28</v>
      </c>
      <c r="F10909" s="19" t="s">
        <v>28</v>
      </c>
      <c r="G10909" s="19">
        <v>0.09</v>
      </c>
      <c r="H10909" s="19" t="s">
        <v>28</v>
      </c>
      <c r="I10909" s="18" t="s">
        <v>28</v>
      </c>
      <c r="J10909" s="18" t="s">
        <v>28</v>
      </c>
      <c r="K10909" s="18" t="s">
        <v>28</v>
      </c>
      <c r="L10909" s="18" t="s">
        <v>28</v>
      </c>
      <c r="M10909" s="18" t="s">
        <v>28</v>
      </c>
      <c r="N10909" s="17">
        <v>41426</v>
      </c>
      <c r="O10909" s="15" t="s">
        <v>99</v>
      </c>
      <c r="P10909" s="16" t="s">
        <v>28</v>
      </c>
      <c r="Q10909" s="15" t="s">
        <v>75</v>
      </c>
      <c r="R10909" s="13" t="str">
        <f>HYPERLINK("https://my.pitchbook.com?c=58344-94T","View Company Online")</f>
        <v>View Company Online</v>
      </c>
    </row>
    <row r="10910" spans="1:18" hidden="1" x14ac:dyDescent="0.3">
      <c r="A10910" s="9" t="s">
        <v>30799</v>
      </c>
      <c r="B10910" s="9" t="s">
        <v>30800</v>
      </c>
      <c r="C10910" s="11" t="s">
        <v>28</v>
      </c>
      <c r="D10910" s="9" t="s">
        <v>30801</v>
      </c>
      <c r="E10910" s="11" t="s">
        <v>28</v>
      </c>
      <c r="F10910" s="10" t="s">
        <v>28</v>
      </c>
      <c r="G10910" s="10">
        <v>0.6</v>
      </c>
      <c r="H10910" s="10" t="s">
        <v>28</v>
      </c>
      <c r="I10910" s="11" t="s">
        <v>28</v>
      </c>
      <c r="J10910" s="11" t="s">
        <v>28</v>
      </c>
      <c r="K10910" s="11" t="s">
        <v>28</v>
      </c>
      <c r="L10910" s="11" t="s">
        <v>28</v>
      </c>
      <c r="M10910" s="11" t="s">
        <v>28</v>
      </c>
      <c r="N10910" s="8">
        <v>41426</v>
      </c>
      <c r="O10910" s="9" t="s">
        <v>99</v>
      </c>
      <c r="P10910" s="12" t="s">
        <v>30802</v>
      </c>
      <c r="Q10910" s="9" t="s">
        <v>43</v>
      </c>
      <c r="R10910" s="14" t="str">
        <f>HYPERLINK("https://my.pitchbook.com?c=50685-40T","View Company Online")</f>
        <v>View Company Online</v>
      </c>
    </row>
    <row r="10911" spans="1:18" x14ac:dyDescent="0.3">
      <c r="A10911" s="15" t="s">
        <v>30803</v>
      </c>
      <c r="B10911" s="15" t="s">
        <v>21908</v>
      </c>
      <c r="C10911" s="18">
        <v>15.16</v>
      </c>
      <c r="D10911" s="15" t="s">
        <v>21909</v>
      </c>
      <c r="E10911" s="18">
        <v>4.82</v>
      </c>
      <c r="F10911" s="19">
        <v>124.42</v>
      </c>
      <c r="G10911" s="19">
        <v>136.22</v>
      </c>
      <c r="H10911" s="19">
        <v>136.22</v>
      </c>
      <c r="I10911" s="18">
        <v>8.2100000000000009</v>
      </c>
      <c r="J10911" s="18">
        <v>16.59</v>
      </c>
      <c r="K10911" s="18">
        <v>14.11</v>
      </c>
      <c r="L10911" s="18">
        <v>9.65</v>
      </c>
      <c r="M10911" s="18">
        <v>4.38</v>
      </c>
      <c r="N10911" s="17">
        <v>41426</v>
      </c>
      <c r="O10911" s="15" t="s">
        <v>41</v>
      </c>
      <c r="P10911" s="16" t="s">
        <v>6286</v>
      </c>
      <c r="Q10911" s="15" t="s">
        <v>1361</v>
      </c>
      <c r="R10911" s="13" t="str">
        <f>HYPERLINK("https://my.pitchbook.com?c=34157-53T","View Company Online")</f>
        <v>View Company Online</v>
      </c>
    </row>
    <row r="10912" spans="1:18" hidden="1" x14ac:dyDescent="0.3">
      <c r="A10912" s="9" t="s">
        <v>30804</v>
      </c>
      <c r="B10912" s="9" t="s">
        <v>10355</v>
      </c>
      <c r="C10912" s="11" t="s">
        <v>28</v>
      </c>
      <c r="D10912" s="9" t="s">
        <v>10356</v>
      </c>
      <c r="E10912" s="11" t="s">
        <v>28</v>
      </c>
      <c r="F10912" s="10" t="s">
        <v>28</v>
      </c>
      <c r="G10912" s="10" t="s">
        <v>28</v>
      </c>
      <c r="H10912" s="10" t="s">
        <v>28</v>
      </c>
      <c r="I10912" s="11" t="s">
        <v>28</v>
      </c>
      <c r="J10912" s="11" t="s">
        <v>28</v>
      </c>
      <c r="K10912" s="11">
        <v>204.08</v>
      </c>
      <c r="L10912" s="11" t="s">
        <v>28</v>
      </c>
      <c r="M10912" s="11" t="s">
        <v>28</v>
      </c>
      <c r="N10912" s="8">
        <v>41426</v>
      </c>
      <c r="O10912" s="9" t="s">
        <v>73</v>
      </c>
      <c r="P10912" s="12" t="s">
        <v>30805</v>
      </c>
      <c r="Q10912" s="9" t="s">
        <v>566</v>
      </c>
      <c r="R10912" s="14" t="str">
        <f>HYPERLINK("https://my.pitchbook.com?c=27812-17T","View Company Online")</f>
        <v>View Company Online</v>
      </c>
    </row>
    <row r="10913" spans="1:18" hidden="1" x14ac:dyDescent="0.3">
      <c r="A10913" s="15" t="s">
        <v>30806</v>
      </c>
      <c r="B10913" s="15" t="s">
        <v>4664</v>
      </c>
      <c r="C10913" s="18" t="s">
        <v>28</v>
      </c>
      <c r="D10913" s="15" t="s">
        <v>4665</v>
      </c>
      <c r="E10913" s="18" t="s">
        <v>28</v>
      </c>
      <c r="F10913" s="19" t="s">
        <v>28</v>
      </c>
      <c r="G10913" s="19">
        <v>0.01</v>
      </c>
      <c r="H10913" s="19" t="s">
        <v>28</v>
      </c>
      <c r="I10913" s="18" t="s">
        <v>28</v>
      </c>
      <c r="J10913" s="18" t="s">
        <v>28</v>
      </c>
      <c r="K10913" s="18" t="s">
        <v>28</v>
      </c>
      <c r="L10913" s="18" t="s">
        <v>28</v>
      </c>
      <c r="M10913" s="18" t="s">
        <v>28</v>
      </c>
      <c r="N10913" s="17">
        <v>41425</v>
      </c>
      <c r="O10913" s="15" t="s">
        <v>52</v>
      </c>
      <c r="P10913" s="16" t="s">
        <v>30807</v>
      </c>
      <c r="Q10913" s="15" t="s">
        <v>37</v>
      </c>
      <c r="R10913" s="13" t="str">
        <f>HYPERLINK("https://my.pitchbook.com?c=125267-95T","View Company Online")</f>
        <v>View Company Online</v>
      </c>
    </row>
    <row r="10914" spans="1:18" hidden="1" x14ac:dyDescent="0.3">
      <c r="A10914" s="9" t="s">
        <v>30808</v>
      </c>
      <c r="B10914" s="9" t="s">
        <v>30809</v>
      </c>
      <c r="C10914" s="11" t="s">
        <v>28</v>
      </c>
      <c r="D10914" s="9" t="s">
        <v>30810</v>
      </c>
      <c r="E10914" s="11" t="s">
        <v>28</v>
      </c>
      <c r="F10914" s="10" t="s">
        <v>28</v>
      </c>
      <c r="G10914" s="10" t="s">
        <v>28</v>
      </c>
      <c r="H10914" s="10" t="s">
        <v>28</v>
      </c>
      <c r="I10914" s="11" t="s">
        <v>28</v>
      </c>
      <c r="J10914" s="11" t="s">
        <v>28</v>
      </c>
      <c r="K10914" s="11" t="s">
        <v>28</v>
      </c>
      <c r="L10914" s="11" t="s">
        <v>28</v>
      </c>
      <c r="M10914" s="11" t="s">
        <v>28</v>
      </c>
      <c r="N10914" s="8">
        <v>41425</v>
      </c>
      <c r="O10914" s="9" t="s">
        <v>173</v>
      </c>
      <c r="P10914" s="12" t="s">
        <v>28</v>
      </c>
      <c r="Q10914" s="9" t="s">
        <v>174</v>
      </c>
      <c r="R10914" s="14" t="str">
        <f>HYPERLINK("https://my.pitchbook.com?c=226470-61T","View Company Online")</f>
        <v>View Company Online</v>
      </c>
    </row>
    <row r="10915" spans="1:18" hidden="1" x14ac:dyDescent="0.3">
      <c r="A10915" s="15" t="s">
        <v>30811</v>
      </c>
      <c r="B10915" s="15" t="s">
        <v>30812</v>
      </c>
      <c r="C10915" s="18" t="s">
        <v>28</v>
      </c>
      <c r="D10915" s="15" t="s">
        <v>30813</v>
      </c>
      <c r="E10915" s="18" t="s">
        <v>28</v>
      </c>
      <c r="F10915" s="19" t="s">
        <v>28</v>
      </c>
      <c r="G10915" s="19">
        <v>0.89</v>
      </c>
      <c r="H10915" s="19" t="s">
        <v>28</v>
      </c>
      <c r="I10915" s="18" t="s">
        <v>28</v>
      </c>
      <c r="J10915" s="18" t="s">
        <v>28</v>
      </c>
      <c r="K10915" s="18" t="s">
        <v>28</v>
      </c>
      <c r="L10915" s="18" t="s">
        <v>28</v>
      </c>
      <c r="M10915" s="18" t="s">
        <v>28</v>
      </c>
      <c r="N10915" s="17">
        <v>41423</v>
      </c>
      <c r="O10915" s="15" t="s">
        <v>79</v>
      </c>
      <c r="P10915" s="16" t="s">
        <v>1755</v>
      </c>
      <c r="Q10915" s="15" t="s">
        <v>419</v>
      </c>
      <c r="R10915" s="13" t="str">
        <f>HYPERLINK("https://my.pitchbook.com?c=53876-44T","View Company Online")</f>
        <v>View Company Online</v>
      </c>
    </row>
    <row r="10916" spans="1:18" hidden="1" x14ac:dyDescent="0.3">
      <c r="A10916" s="9" t="s">
        <v>30814</v>
      </c>
      <c r="B10916" s="9" t="s">
        <v>30815</v>
      </c>
      <c r="C10916" s="11" t="s">
        <v>28</v>
      </c>
      <c r="D10916" s="9" t="s">
        <v>30816</v>
      </c>
      <c r="E10916" s="11" t="s">
        <v>28</v>
      </c>
      <c r="F10916" s="10">
        <v>47.32</v>
      </c>
      <c r="G10916" s="10">
        <v>47.32</v>
      </c>
      <c r="H10916" s="10">
        <v>47.32</v>
      </c>
      <c r="I10916" s="11" t="s">
        <v>28</v>
      </c>
      <c r="J10916" s="11" t="s">
        <v>28</v>
      </c>
      <c r="K10916" s="11" t="s">
        <v>28</v>
      </c>
      <c r="L10916" s="11" t="s">
        <v>28</v>
      </c>
      <c r="M10916" s="11" t="s">
        <v>28</v>
      </c>
      <c r="N10916" s="8">
        <v>41422</v>
      </c>
      <c r="O10916" s="9" t="s">
        <v>30</v>
      </c>
      <c r="P10916" s="12" t="s">
        <v>28</v>
      </c>
      <c r="Q10916" s="9" t="s">
        <v>226</v>
      </c>
      <c r="R10916" s="14" t="str">
        <f>HYPERLINK("https://my.pitchbook.com?c=89578-99T","View Company Online")</f>
        <v>View Company Online</v>
      </c>
    </row>
    <row r="10917" spans="1:18" hidden="1" x14ac:dyDescent="0.3">
      <c r="A10917" s="15" t="s">
        <v>30817</v>
      </c>
      <c r="B10917" s="15" t="s">
        <v>30818</v>
      </c>
      <c r="C10917" s="18" t="s">
        <v>28</v>
      </c>
      <c r="D10917" s="15" t="s">
        <v>30819</v>
      </c>
      <c r="E10917" s="18" t="s">
        <v>28</v>
      </c>
      <c r="F10917" s="19" t="s">
        <v>28</v>
      </c>
      <c r="G10917" s="19" t="s">
        <v>28</v>
      </c>
      <c r="H10917" s="19" t="s">
        <v>28</v>
      </c>
      <c r="I10917" s="18" t="s">
        <v>28</v>
      </c>
      <c r="J10917" s="18" t="s">
        <v>28</v>
      </c>
      <c r="K10917" s="18" t="s">
        <v>28</v>
      </c>
      <c r="L10917" s="18" t="s">
        <v>28</v>
      </c>
      <c r="M10917" s="18" t="s">
        <v>28</v>
      </c>
      <c r="N10917" s="17">
        <v>41422</v>
      </c>
      <c r="O10917" s="15" t="s">
        <v>30</v>
      </c>
      <c r="P10917" s="16" t="s">
        <v>30820</v>
      </c>
      <c r="Q10917" s="15" t="s">
        <v>105</v>
      </c>
      <c r="R10917" s="13" t="str">
        <f>HYPERLINK("https://my.pitchbook.com?c=33958-99T","View Company Online")</f>
        <v>View Company Online</v>
      </c>
    </row>
    <row r="10918" spans="1:18" hidden="1" x14ac:dyDescent="0.3">
      <c r="A10918" s="9" t="s">
        <v>30821</v>
      </c>
      <c r="B10918" s="9" t="s">
        <v>19420</v>
      </c>
      <c r="C10918" s="11" t="s">
        <v>28</v>
      </c>
      <c r="D10918" s="9" t="s">
        <v>19421</v>
      </c>
      <c r="E10918" s="11" t="s">
        <v>28</v>
      </c>
      <c r="F10918" s="10" t="s">
        <v>28</v>
      </c>
      <c r="G10918" s="10" t="s">
        <v>28</v>
      </c>
      <c r="H10918" s="10" t="s">
        <v>28</v>
      </c>
      <c r="I10918" s="11" t="s">
        <v>28</v>
      </c>
      <c r="J10918" s="11" t="s">
        <v>28</v>
      </c>
      <c r="K10918" s="11" t="s">
        <v>28</v>
      </c>
      <c r="L10918" s="11" t="s">
        <v>28</v>
      </c>
      <c r="M10918" s="11" t="s">
        <v>28</v>
      </c>
      <c r="N10918" s="8">
        <v>41421</v>
      </c>
      <c r="O10918" s="9" t="s">
        <v>93</v>
      </c>
      <c r="P10918" s="12" t="s">
        <v>343</v>
      </c>
      <c r="Q10918" s="9" t="s">
        <v>2939</v>
      </c>
      <c r="R10918" s="14" t="str">
        <f>HYPERLINK("https://my.pitchbook.com?c=92255-32T","View Company Online")</f>
        <v>View Company Online</v>
      </c>
    </row>
    <row r="10919" spans="1:18" hidden="1" x14ac:dyDescent="0.3">
      <c r="A10919" s="15" t="s">
        <v>30822</v>
      </c>
      <c r="B10919" s="15" t="s">
        <v>30823</v>
      </c>
      <c r="C10919" s="18" t="s">
        <v>28</v>
      </c>
      <c r="D10919" s="15" t="s">
        <v>30824</v>
      </c>
      <c r="E10919" s="18" t="s">
        <v>28</v>
      </c>
      <c r="F10919" s="19" t="s">
        <v>28</v>
      </c>
      <c r="G10919" s="19" t="s">
        <v>28</v>
      </c>
      <c r="H10919" s="19" t="s">
        <v>28</v>
      </c>
      <c r="I10919" s="18" t="s">
        <v>28</v>
      </c>
      <c r="J10919" s="18" t="s">
        <v>28</v>
      </c>
      <c r="K10919" s="18" t="s">
        <v>28</v>
      </c>
      <c r="L10919" s="18" t="s">
        <v>28</v>
      </c>
      <c r="M10919" s="18" t="s">
        <v>28</v>
      </c>
      <c r="N10919" s="17">
        <v>41421</v>
      </c>
      <c r="O10919" s="15" t="s">
        <v>52</v>
      </c>
      <c r="P10919" s="16" t="s">
        <v>1792</v>
      </c>
      <c r="Q10919" s="15" t="s">
        <v>3912</v>
      </c>
      <c r="R10919" s="13" t="str">
        <f>HYPERLINK("https://my.pitchbook.com?c=156961-36T","View Company Online")</f>
        <v>View Company Online</v>
      </c>
    </row>
    <row r="10920" spans="1:18" hidden="1" x14ac:dyDescent="0.3">
      <c r="A10920" s="9" t="s">
        <v>30825</v>
      </c>
      <c r="B10920" s="9" t="s">
        <v>20236</v>
      </c>
      <c r="C10920" s="11" t="s">
        <v>28</v>
      </c>
      <c r="D10920" s="9" t="s">
        <v>20237</v>
      </c>
      <c r="E10920" s="11" t="s">
        <v>28</v>
      </c>
      <c r="F10920" s="10" t="s">
        <v>28</v>
      </c>
      <c r="G10920" s="10">
        <v>15</v>
      </c>
      <c r="H10920" s="10" t="s">
        <v>28</v>
      </c>
      <c r="I10920" s="11" t="s">
        <v>28</v>
      </c>
      <c r="J10920" s="11" t="s">
        <v>28</v>
      </c>
      <c r="K10920" s="11" t="s">
        <v>28</v>
      </c>
      <c r="L10920" s="11" t="s">
        <v>28</v>
      </c>
      <c r="M10920" s="11" t="s">
        <v>28</v>
      </c>
      <c r="N10920" s="8">
        <v>41420</v>
      </c>
      <c r="O10920" s="9" t="s">
        <v>79</v>
      </c>
      <c r="P10920" s="12" t="s">
        <v>30826</v>
      </c>
      <c r="Q10920" s="9" t="s">
        <v>362</v>
      </c>
      <c r="R10920" s="14" t="str">
        <f>HYPERLINK("https://my.pitchbook.com?c=31511-89T","View Company Online")</f>
        <v>View Company Online</v>
      </c>
    </row>
    <row r="10921" spans="1:18" hidden="1" x14ac:dyDescent="0.3">
      <c r="A10921" s="15" t="s">
        <v>30827</v>
      </c>
      <c r="B10921" s="15" t="s">
        <v>30828</v>
      </c>
      <c r="C10921" s="18" t="s">
        <v>28</v>
      </c>
      <c r="D10921" s="15" t="s">
        <v>30829</v>
      </c>
      <c r="E10921" s="18" t="s">
        <v>28</v>
      </c>
      <c r="F10921" s="19" t="s">
        <v>28</v>
      </c>
      <c r="G10921" s="19" t="s">
        <v>28</v>
      </c>
      <c r="H10921" s="19" t="s">
        <v>28</v>
      </c>
      <c r="I10921" s="18" t="s">
        <v>28</v>
      </c>
      <c r="J10921" s="18" t="s">
        <v>28</v>
      </c>
      <c r="K10921" s="18" t="s">
        <v>28</v>
      </c>
      <c r="L10921" s="18" t="s">
        <v>28</v>
      </c>
      <c r="M10921" s="18" t="s">
        <v>28</v>
      </c>
      <c r="N10921" s="17">
        <v>41418</v>
      </c>
      <c r="O10921" s="15" t="s">
        <v>30</v>
      </c>
      <c r="P10921" s="16" t="s">
        <v>25594</v>
      </c>
      <c r="Q10921" s="15" t="s">
        <v>290</v>
      </c>
      <c r="R10921" s="13" t="str">
        <f>HYPERLINK("https://my.pitchbook.com?c=96093-01T","View Company Online")</f>
        <v>View Company Online</v>
      </c>
    </row>
    <row r="10922" spans="1:18" hidden="1" x14ac:dyDescent="0.3">
      <c r="A10922" s="9" t="s">
        <v>30830</v>
      </c>
      <c r="B10922" s="9" t="s">
        <v>30831</v>
      </c>
      <c r="C10922" s="11" t="s">
        <v>28</v>
      </c>
      <c r="D10922" s="9" t="s">
        <v>30832</v>
      </c>
      <c r="E10922" s="11" t="s">
        <v>28</v>
      </c>
      <c r="F10922" s="10" t="s">
        <v>28</v>
      </c>
      <c r="G10922" s="10">
        <v>2.5</v>
      </c>
      <c r="H10922" s="10" t="s">
        <v>28</v>
      </c>
      <c r="I10922" s="11" t="s">
        <v>28</v>
      </c>
      <c r="J10922" s="11" t="s">
        <v>28</v>
      </c>
      <c r="K10922" s="11" t="s">
        <v>28</v>
      </c>
      <c r="L10922" s="11" t="s">
        <v>28</v>
      </c>
      <c r="M10922" s="11" t="s">
        <v>28</v>
      </c>
      <c r="N10922" s="8">
        <v>41416</v>
      </c>
      <c r="O10922" s="9" t="s">
        <v>99</v>
      </c>
      <c r="P10922" s="12" t="s">
        <v>30833</v>
      </c>
      <c r="Q10922" s="9" t="s">
        <v>740</v>
      </c>
      <c r="R10922" s="14" t="str">
        <f>HYPERLINK("https://my.pitchbook.com?c=50609-44T","View Company Online")</f>
        <v>View Company Online</v>
      </c>
    </row>
    <row r="10923" spans="1:18" hidden="1" x14ac:dyDescent="0.3">
      <c r="A10923" s="15" t="s">
        <v>30834</v>
      </c>
      <c r="B10923" s="15" t="s">
        <v>11255</v>
      </c>
      <c r="C10923" s="18" t="s">
        <v>28</v>
      </c>
      <c r="D10923" s="15" t="s">
        <v>11256</v>
      </c>
      <c r="E10923" s="18" t="s">
        <v>28</v>
      </c>
      <c r="F10923" s="19" t="s">
        <v>28</v>
      </c>
      <c r="G10923" s="19" t="s">
        <v>28</v>
      </c>
      <c r="H10923" s="19" t="s">
        <v>28</v>
      </c>
      <c r="I10923" s="18" t="s">
        <v>28</v>
      </c>
      <c r="J10923" s="18" t="s">
        <v>28</v>
      </c>
      <c r="K10923" s="18" t="s">
        <v>28</v>
      </c>
      <c r="L10923" s="18" t="s">
        <v>28</v>
      </c>
      <c r="M10923" s="18" t="s">
        <v>28</v>
      </c>
      <c r="N10923" s="17">
        <v>41416</v>
      </c>
      <c r="O10923" s="15" t="s">
        <v>73</v>
      </c>
      <c r="P10923" s="16" t="s">
        <v>30835</v>
      </c>
      <c r="Q10923" s="15" t="s">
        <v>583</v>
      </c>
      <c r="R10923" s="13" t="str">
        <f>HYPERLINK("https://my.pitchbook.com?c=28579-69T","View Company Online")</f>
        <v>View Company Online</v>
      </c>
    </row>
    <row r="10924" spans="1:18" hidden="1" x14ac:dyDescent="0.3">
      <c r="A10924" s="9" t="s">
        <v>30836</v>
      </c>
      <c r="B10924" s="9" t="s">
        <v>30837</v>
      </c>
      <c r="C10924" s="11" t="s">
        <v>28</v>
      </c>
      <c r="D10924" s="9" t="s">
        <v>30838</v>
      </c>
      <c r="E10924" s="11" t="s">
        <v>28</v>
      </c>
      <c r="F10924" s="10">
        <v>29.7</v>
      </c>
      <c r="G10924" s="10">
        <v>29.7</v>
      </c>
      <c r="H10924" s="10">
        <v>29.7</v>
      </c>
      <c r="I10924" s="11" t="s">
        <v>28</v>
      </c>
      <c r="J10924" s="11" t="s">
        <v>28</v>
      </c>
      <c r="K10924" s="11" t="s">
        <v>28</v>
      </c>
      <c r="L10924" s="11" t="s">
        <v>28</v>
      </c>
      <c r="M10924" s="11" t="s">
        <v>28</v>
      </c>
      <c r="N10924" s="8">
        <v>41415</v>
      </c>
      <c r="O10924" s="9" t="s">
        <v>41</v>
      </c>
      <c r="P10924" s="12" t="s">
        <v>30839</v>
      </c>
      <c r="Q10924" s="9" t="s">
        <v>1088</v>
      </c>
      <c r="R10924" s="14" t="str">
        <f>HYPERLINK("https://my.pitchbook.com?c=45569-26T","View Company Online")</f>
        <v>View Company Online</v>
      </c>
    </row>
    <row r="10925" spans="1:18" hidden="1" x14ac:dyDescent="0.3">
      <c r="A10925" s="15" t="s">
        <v>30840</v>
      </c>
      <c r="B10925" s="15" t="s">
        <v>15284</v>
      </c>
      <c r="C10925" s="18" t="s">
        <v>28</v>
      </c>
      <c r="D10925" s="15" t="s">
        <v>15285</v>
      </c>
      <c r="E10925" s="18" t="s">
        <v>28</v>
      </c>
      <c r="F10925" s="19">
        <v>42.1</v>
      </c>
      <c r="G10925" s="19">
        <v>42.1</v>
      </c>
      <c r="H10925" s="19">
        <v>42.1</v>
      </c>
      <c r="I10925" s="18" t="s">
        <v>28</v>
      </c>
      <c r="J10925" s="18" t="s">
        <v>28</v>
      </c>
      <c r="K10925" s="18" t="s">
        <v>28</v>
      </c>
      <c r="L10925" s="18" t="s">
        <v>28</v>
      </c>
      <c r="M10925" s="18" t="s">
        <v>28</v>
      </c>
      <c r="N10925" s="17">
        <v>41414</v>
      </c>
      <c r="O10925" s="15" t="s">
        <v>30</v>
      </c>
      <c r="P10925" s="16" t="s">
        <v>30841</v>
      </c>
      <c r="Q10925" s="15" t="s">
        <v>37</v>
      </c>
      <c r="R10925" s="13" t="str">
        <f>HYPERLINK("https://my.pitchbook.com?c=35756-56T","View Company Online")</f>
        <v>View Company Online</v>
      </c>
    </row>
    <row r="10926" spans="1:18" hidden="1" x14ac:dyDescent="0.3">
      <c r="A10926" s="9" t="s">
        <v>30842</v>
      </c>
      <c r="B10926" s="9" t="s">
        <v>30843</v>
      </c>
      <c r="C10926" s="11" t="s">
        <v>28</v>
      </c>
      <c r="D10926" s="9" t="s">
        <v>30844</v>
      </c>
      <c r="E10926" s="11" t="s">
        <v>28</v>
      </c>
      <c r="F10926" s="10" t="s">
        <v>28</v>
      </c>
      <c r="G10926" s="10">
        <v>0.5</v>
      </c>
      <c r="H10926" s="10" t="s">
        <v>28</v>
      </c>
      <c r="I10926" s="11" t="s">
        <v>28</v>
      </c>
      <c r="J10926" s="11" t="s">
        <v>28</v>
      </c>
      <c r="K10926" s="11" t="s">
        <v>28</v>
      </c>
      <c r="L10926" s="11" t="s">
        <v>28</v>
      </c>
      <c r="M10926" s="11" t="s">
        <v>28</v>
      </c>
      <c r="N10926" s="8">
        <v>41410</v>
      </c>
      <c r="O10926" s="9" t="s">
        <v>73</v>
      </c>
      <c r="P10926" s="12" t="s">
        <v>30845</v>
      </c>
      <c r="Q10926" s="9" t="s">
        <v>607</v>
      </c>
      <c r="R10926" s="14" t="str">
        <f>HYPERLINK("https://my.pitchbook.com?c=36928-63T","View Company Online")</f>
        <v>View Company Online</v>
      </c>
    </row>
    <row r="10927" spans="1:18" hidden="1" x14ac:dyDescent="0.3">
      <c r="A10927" s="15" t="s">
        <v>30846</v>
      </c>
      <c r="B10927" s="15" t="s">
        <v>8234</v>
      </c>
      <c r="C10927" s="18" t="s">
        <v>28</v>
      </c>
      <c r="D10927" s="15" t="s">
        <v>8235</v>
      </c>
      <c r="E10927" s="18" t="s">
        <v>28</v>
      </c>
      <c r="F10927" s="19" t="s">
        <v>28</v>
      </c>
      <c r="G10927" s="19" t="s">
        <v>28</v>
      </c>
      <c r="H10927" s="19" t="s">
        <v>28</v>
      </c>
      <c r="I10927" s="18" t="s">
        <v>28</v>
      </c>
      <c r="J10927" s="18" t="s">
        <v>28</v>
      </c>
      <c r="K10927" s="18" t="s">
        <v>28</v>
      </c>
      <c r="L10927" s="18" t="s">
        <v>28</v>
      </c>
      <c r="M10927" s="18" t="s">
        <v>28</v>
      </c>
      <c r="N10927" s="17">
        <v>41409</v>
      </c>
      <c r="O10927" s="15" t="s">
        <v>52</v>
      </c>
      <c r="P10927" s="16" t="s">
        <v>850</v>
      </c>
      <c r="Q10927" s="15" t="s">
        <v>75</v>
      </c>
      <c r="R10927" s="13" t="str">
        <f>HYPERLINK("https://my.pitchbook.com?c=38829-61T","View Company Online")</f>
        <v>View Company Online</v>
      </c>
    </row>
    <row r="10928" spans="1:18" hidden="1" x14ac:dyDescent="0.3">
      <c r="A10928" s="9" t="s">
        <v>30847</v>
      </c>
      <c r="B10928" s="9" t="s">
        <v>30848</v>
      </c>
      <c r="C10928" s="11" t="s">
        <v>28</v>
      </c>
      <c r="D10928" s="9" t="s">
        <v>30849</v>
      </c>
      <c r="E10928" s="11" t="s">
        <v>28</v>
      </c>
      <c r="F10928" s="10" t="s">
        <v>28</v>
      </c>
      <c r="G10928" s="10">
        <v>0.03</v>
      </c>
      <c r="H10928" s="10">
        <v>6.3</v>
      </c>
      <c r="I10928" s="11" t="s">
        <v>28</v>
      </c>
      <c r="J10928" s="11" t="s">
        <v>28</v>
      </c>
      <c r="K10928" s="11" t="s">
        <v>28</v>
      </c>
      <c r="L10928" s="11" t="s">
        <v>28</v>
      </c>
      <c r="M10928" s="11" t="s">
        <v>28</v>
      </c>
      <c r="N10928" s="8">
        <v>41409</v>
      </c>
      <c r="O10928" s="9" t="s">
        <v>52</v>
      </c>
      <c r="P10928" s="12" t="s">
        <v>24901</v>
      </c>
      <c r="Q10928" s="9" t="s">
        <v>235</v>
      </c>
      <c r="R10928" s="14" t="str">
        <f>HYPERLINK("https://my.pitchbook.com?c=65823-40T","View Company Online")</f>
        <v>View Company Online</v>
      </c>
    </row>
    <row r="10929" spans="1:18" hidden="1" x14ac:dyDescent="0.3">
      <c r="A10929" s="15" t="s">
        <v>30850</v>
      </c>
      <c r="B10929" s="15" t="s">
        <v>30851</v>
      </c>
      <c r="C10929" s="18" t="s">
        <v>28</v>
      </c>
      <c r="D10929" s="15" t="s">
        <v>30852</v>
      </c>
      <c r="E10929" s="18" t="s">
        <v>28</v>
      </c>
      <c r="F10929" s="19" t="s">
        <v>28</v>
      </c>
      <c r="G10929" s="19" t="s">
        <v>28</v>
      </c>
      <c r="H10929" s="19" t="s">
        <v>28</v>
      </c>
      <c r="I10929" s="18" t="s">
        <v>28</v>
      </c>
      <c r="J10929" s="18" t="s">
        <v>28</v>
      </c>
      <c r="K10929" s="18" t="s">
        <v>28</v>
      </c>
      <c r="L10929" s="18" t="s">
        <v>28</v>
      </c>
      <c r="M10929" s="18" t="s">
        <v>28</v>
      </c>
      <c r="N10929" s="17">
        <v>41408</v>
      </c>
      <c r="O10929" s="15" t="s">
        <v>173</v>
      </c>
      <c r="P10929" s="16" t="s">
        <v>28</v>
      </c>
      <c r="Q10929" s="15" t="s">
        <v>114</v>
      </c>
      <c r="R10929" s="13" t="str">
        <f>HYPERLINK("https://my.pitchbook.com?c=224137-27T","View Company Online")</f>
        <v>View Company Online</v>
      </c>
    </row>
    <row r="10930" spans="1:18" hidden="1" x14ac:dyDescent="0.3">
      <c r="A10930" s="9" t="s">
        <v>30853</v>
      </c>
      <c r="B10930" s="9" t="s">
        <v>27173</v>
      </c>
      <c r="C10930" s="11" t="s">
        <v>28</v>
      </c>
      <c r="D10930" s="9" t="s">
        <v>27174</v>
      </c>
      <c r="E10930" s="11" t="s">
        <v>28</v>
      </c>
      <c r="F10930" s="10" t="s">
        <v>28</v>
      </c>
      <c r="G10930" s="10" t="s">
        <v>28</v>
      </c>
      <c r="H10930" s="10" t="s">
        <v>28</v>
      </c>
      <c r="I10930" s="11" t="s">
        <v>28</v>
      </c>
      <c r="J10930" s="11" t="s">
        <v>28</v>
      </c>
      <c r="K10930" s="11" t="s">
        <v>28</v>
      </c>
      <c r="L10930" s="11" t="s">
        <v>28</v>
      </c>
      <c r="M10930" s="11" t="s">
        <v>28</v>
      </c>
      <c r="N10930" s="8">
        <v>41408</v>
      </c>
      <c r="O10930" s="9" t="s">
        <v>99</v>
      </c>
      <c r="P10930" s="12" t="s">
        <v>30854</v>
      </c>
      <c r="Q10930" s="9" t="s">
        <v>1191</v>
      </c>
      <c r="R10930" s="14" t="str">
        <f>HYPERLINK("https://my.pitchbook.com?c=25992-46T","View Company Online")</f>
        <v>View Company Online</v>
      </c>
    </row>
    <row r="10931" spans="1:18" hidden="1" x14ac:dyDescent="0.3">
      <c r="A10931" s="15" t="s">
        <v>30855</v>
      </c>
      <c r="B10931" s="15" t="s">
        <v>30856</v>
      </c>
      <c r="C10931" s="18" t="s">
        <v>28</v>
      </c>
      <c r="D10931" s="15" t="s">
        <v>30857</v>
      </c>
      <c r="E10931" s="18" t="s">
        <v>28</v>
      </c>
      <c r="F10931" s="19" t="s">
        <v>28</v>
      </c>
      <c r="G10931" s="19" t="s">
        <v>28</v>
      </c>
      <c r="H10931" s="19" t="s">
        <v>28</v>
      </c>
      <c r="I10931" s="18" t="s">
        <v>28</v>
      </c>
      <c r="J10931" s="18" t="s">
        <v>28</v>
      </c>
      <c r="K10931" s="18" t="s">
        <v>28</v>
      </c>
      <c r="L10931" s="18" t="s">
        <v>28</v>
      </c>
      <c r="M10931" s="18" t="s">
        <v>28</v>
      </c>
      <c r="N10931" s="17">
        <v>41408</v>
      </c>
      <c r="O10931" s="15" t="s">
        <v>173</v>
      </c>
      <c r="P10931" s="16" t="s">
        <v>28</v>
      </c>
      <c r="Q10931" s="15" t="s">
        <v>174</v>
      </c>
      <c r="R10931" s="13" t="str">
        <f>HYPERLINK("https://my.pitchbook.com?c=227537-47T","View Company Online")</f>
        <v>View Company Online</v>
      </c>
    </row>
    <row r="10932" spans="1:18" hidden="1" x14ac:dyDescent="0.3">
      <c r="A10932" s="9" t="s">
        <v>30858</v>
      </c>
      <c r="B10932" s="9" t="s">
        <v>5865</v>
      </c>
      <c r="C10932" s="11" t="s">
        <v>28</v>
      </c>
      <c r="D10932" s="9" t="s">
        <v>5866</v>
      </c>
      <c r="E10932" s="11">
        <v>-402.17</v>
      </c>
      <c r="F10932" s="10" t="s">
        <v>28</v>
      </c>
      <c r="G10932" s="10" t="s">
        <v>28</v>
      </c>
      <c r="H10932" s="10" t="s">
        <v>28</v>
      </c>
      <c r="I10932" s="11">
        <v>-402.17</v>
      </c>
      <c r="J10932" s="11" t="s">
        <v>28</v>
      </c>
      <c r="K10932" s="11">
        <v>260.72000000000003</v>
      </c>
      <c r="L10932" s="11" t="s">
        <v>28</v>
      </c>
      <c r="M10932" s="11">
        <v>-436.74</v>
      </c>
      <c r="N10932" s="8">
        <v>41407</v>
      </c>
      <c r="O10932" s="9" t="s">
        <v>159</v>
      </c>
      <c r="P10932" s="12" t="s">
        <v>30859</v>
      </c>
      <c r="Q10932" s="9" t="s">
        <v>470</v>
      </c>
      <c r="R10932" s="14" t="str">
        <f>HYPERLINK("https://my.pitchbook.com?c=29661-13T","View Company Online")</f>
        <v>View Company Online</v>
      </c>
    </row>
    <row r="10933" spans="1:18" hidden="1" x14ac:dyDescent="0.3">
      <c r="A10933" s="15" t="s">
        <v>30860</v>
      </c>
      <c r="B10933" s="15" t="s">
        <v>30861</v>
      </c>
      <c r="C10933" s="18" t="s">
        <v>28</v>
      </c>
      <c r="D10933" s="15" t="s">
        <v>30862</v>
      </c>
      <c r="E10933" s="18" t="s">
        <v>28</v>
      </c>
      <c r="F10933" s="19" t="s">
        <v>28</v>
      </c>
      <c r="G10933" s="19">
        <v>6.47</v>
      </c>
      <c r="H10933" s="19">
        <v>6.48</v>
      </c>
      <c r="I10933" s="18" t="s">
        <v>28</v>
      </c>
      <c r="J10933" s="18" t="s">
        <v>28</v>
      </c>
      <c r="K10933" s="18" t="s">
        <v>28</v>
      </c>
      <c r="L10933" s="18" t="s">
        <v>28</v>
      </c>
      <c r="M10933" s="18" t="s">
        <v>28</v>
      </c>
      <c r="N10933" s="17">
        <v>41407</v>
      </c>
      <c r="O10933" s="15" t="s">
        <v>30</v>
      </c>
      <c r="P10933" s="16" t="s">
        <v>30863</v>
      </c>
      <c r="Q10933" s="15" t="s">
        <v>188</v>
      </c>
      <c r="R10933" s="13" t="str">
        <f>HYPERLINK("https://my.pitchbook.com?c=95683-69T","View Company Online")</f>
        <v>View Company Online</v>
      </c>
    </row>
    <row r="10934" spans="1:18" hidden="1" x14ac:dyDescent="0.3">
      <c r="A10934" s="9" t="s">
        <v>30864</v>
      </c>
      <c r="B10934" s="9" t="s">
        <v>30865</v>
      </c>
      <c r="C10934" s="11" t="s">
        <v>28</v>
      </c>
      <c r="D10934" s="9" t="s">
        <v>30866</v>
      </c>
      <c r="E10934" s="11" t="s">
        <v>28</v>
      </c>
      <c r="F10934" s="10" t="s">
        <v>28</v>
      </c>
      <c r="G10934" s="10" t="s">
        <v>28</v>
      </c>
      <c r="H10934" s="10" t="s">
        <v>28</v>
      </c>
      <c r="I10934" s="11" t="s">
        <v>28</v>
      </c>
      <c r="J10934" s="11" t="s">
        <v>28</v>
      </c>
      <c r="K10934" s="11" t="s">
        <v>28</v>
      </c>
      <c r="L10934" s="11" t="s">
        <v>28</v>
      </c>
      <c r="M10934" s="11" t="s">
        <v>28</v>
      </c>
      <c r="N10934" s="8">
        <v>41407</v>
      </c>
      <c r="O10934" s="9" t="s">
        <v>73</v>
      </c>
      <c r="P10934" s="12" t="s">
        <v>30867</v>
      </c>
      <c r="Q10934" s="9" t="s">
        <v>1536</v>
      </c>
      <c r="R10934" s="14" t="str">
        <f>HYPERLINK("https://my.pitchbook.com?c=123564-97T","View Company Online")</f>
        <v>View Company Online</v>
      </c>
    </row>
    <row r="10935" spans="1:18" hidden="1" x14ac:dyDescent="0.3">
      <c r="A10935" s="15" t="s">
        <v>30868</v>
      </c>
      <c r="B10935" s="15" t="s">
        <v>17843</v>
      </c>
      <c r="C10935" s="18" t="s">
        <v>28</v>
      </c>
      <c r="D10935" s="15" t="s">
        <v>17844</v>
      </c>
      <c r="E10935" s="18" t="s">
        <v>28</v>
      </c>
      <c r="F10935" s="19" t="s">
        <v>28</v>
      </c>
      <c r="G10935" s="19" t="s">
        <v>28</v>
      </c>
      <c r="H10935" s="19" t="s">
        <v>28</v>
      </c>
      <c r="I10935" s="18" t="s">
        <v>28</v>
      </c>
      <c r="J10935" s="18" t="s">
        <v>28</v>
      </c>
      <c r="K10935" s="18" t="s">
        <v>28</v>
      </c>
      <c r="L10935" s="18" t="s">
        <v>28</v>
      </c>
      <c r="M10935" s="18" t="s">
        <v>28</v>
      </c>
      <c r="N10935" s="17">
        <v>41404</v>
      </c>
      <c r="O10935" s="15" t="s">
        <v>73</v>
      </c>
      <c r="P10935" s="16" t="s">
        <v>16566</v>
      </c>
      <c r="Q10935" s="15" t="s">
        <v>75</v>
      </c>
      <c r="R10935" s="13" t="str">
        <f>HYPERLINK("https://my.pitchbook.com?c=140437-36T","View Company Online")</f>
        <v>View Company Online</v>
      </c>
    </row>
    <row r="10936" spans="1:18" hidden="1" x14ac:dyDescent="0.3">
      <c r="A10936" s="9" t="s">
        <v>30869</v>
      </c>
      <c r="B10936" s="9" t="s">
        <v>30870</v>
      </c>
      <c r="C10936" s="11" t="s">
        <v>28</v>
      </c>
      <c r="D10936" s="9" t="s">
        <v>30871</v>
      </c>
      <c r="E10936" s="11" t="s">
        <v>28</v>
      </c>
      <c r="F10936" s="10">
        <v>99.7</v>
      </c>
      <c r="G10936" s="10">
        <v>99.7</v>
      </c>
      <c r="H10936" s="10">
        <v>99.7</v>
      </c>
      <c r="I10936" s="11" t="s">
        <v>28</v>
      </c>
      <c r="J10936" s="11" t="s">
        <v>28</v>
      </c>
      <c r="K10936" s="11" t="s">
        <v>28</v>
      </c>
      <c r="L10936" s="11" t="s">
        <v>28</v>
      </c>
      <c r="M10936" s="11" t="s">
        <v>28</v>
      </c>
      <c r="N10936" s="8">
        <v>41403</v>
      </c>
      <c r="O10936" s="9" t="s">
        <v>30</v>
      </c>
      <c r="P10936" s="12" t="s">
        <v>3647</v>
      </c>
      <c r="Q10936" s="9" t="s">
        <v>753</v>
      </c>
      <c r="R10936" s="14" t="str">
        <f>HYPERLINK("https://my.pitchbook.com?c=70877-26T","View Company Online")</f>
        <v>View Company Online</v>
      </c>
    </row>
    <row r="10937" spans="1:18" hidden="1" x14ac:dyDescent="0.3">
      <c r="A10937" s="15" t="s">
        <v>30872</v>
      </c>
      <c r="B10937" s="15" t="s">
        <v>30359</v>
      </c>
      <c r="C10937" s="18" t="s">
        <v>28</v>
      </c>
      <c r="D10937" s="15" t="s">
        <v>30360</v>
      </c>
      <c r="E10937" s="18" t="s">
        <v>28</v>
      </c>
      <c r="F10937" s="19" t="s">
        <v>28</v>
      </c>
      <c r="G10937" s="19" t="s">
        <v>28</v>
      </c>
      <c r="H10937" s="19" t="s">
        <v>28</v>
      </c>
      <c r="I10937" s="18" t="s">
        <v>28</v>
      </c>
      <c r="J10937" s="18" t="s">
        <v>28</v>
      </c>
      <c r="K10937" s="18" t="s">
        <v>28</v>
      </c>
      <c r="L10937" s="18" t="s">
        <v>28</v>
      </c>
      <c r="M10937" s="18" t="s">
        <v>28</v>
      </c>
      <c r="N10937" s="17">
        <v>41403</v>
      </c>
      <c r="O10937" s="15" t="s">
        <v>52</v>
      </c>
      <c r="P10937" s="16" t="s">
        <v>7022</v>
      </c>
      <c r="Q10937" s="15" t="s">
        <v>5347</v>
      </c>
      <c r="R10937" s="13" t="str">
        <f>HYPERLINK("https://my.pitchbook.com?c=50665-24T","View Company Online")</f>
        <v>View Company Online</v>
      </c>
    </row>
    <row r="10938" spans="1:18" hidden="1" x14ac:dyDescent="0.3">
      <c r="A10938" s="9" t="s">
        <v>30873</v>
      </c>
      <c r="B10938" s="9" t="s">
        <v>30874</v>
      </c>
      <c r="C10938" s="11" t="s">
        <v>28</v>
      </c>
      <c r="D10938" s="9" t="s">
        <v>30875</v>
      </c>
      <c r="E10938" s="11" t="s">
        <v>28</v>
      </c>
      <c r="F10938" s="10" t="s">
        <v>28</v>
      </c>
      <c r="G10938" s="10">
        <v>15</v>
      </c>
      <c r="H10938" s="10" t="s">
        <v>28</v>
      </c>
      <c r="I10938" s="11" t="s">
        <v>28</v>
      </c>
      <c r="J10938" s="11" t="s">
        <v>28</v>
      </c>
      <c r="K10938" s="11" t="s">
        <v>28</v>
      </c>
      <c r="L10938" s="11" t="s">
        <v>28</v>
      </c>
      <c r="M10938" s="11" t="s">
        <v>28</v>
      </c>
      <c r="N10938" s="8">
        <v>41402</v>
      </c>
      <c r="O10938" s="9" t="s">
        <v>93</v>
      </c>
      <c r="P10938" s="12" t="s">
        <v>30280</v>
      </c>
      <c r="Q10938" s="9" t="s">
        <v>6878</v>
      </c>
      <c r="R10938" s="14" t="str">
        <f>HYPERLINK("https://my.pitchbook.com?c=25864-84T","View Company Online")</f>
        <v>View Company Online</v>
      </c>
    </row>
    <row r="10939" spans="1:18" hidden="1" x14ac:dyDescent="0.3">
      <c r="A10939" s="15" t="s">
        <v>30876</v>
      </c>
      <c r="B10939" s="15" t="s">
        <v>30877</v>
      </c>
      <c r="C10939" s="18" t="s">
        <v>28</v>
      </c>
      <c r="D10939" s="15" t="s">
        <v>30878</v>
      </c>
      <c r="E10939" s="18" t="s">
        <v>28</v>
      </c>
      <c r="F10939" s="19" t="s">
        <v>28</v>
      </c>
      <c r="G10939" s="19" t="s">
        <v>28</v>
      </c>
      <c r="H10939" s="19" t="s">
        <v>28</v>
      </c>
      <c r="I10939" s="18" t="s">
        <v>28</v>
      </c>
      <c r="J10939" s="18" t="s">
        <v>28</v>
      </c>
      <c r="K10939" s="18" t="s">
        <v>28</v>
      </c>
      <c r="L10939" s="18" t="s">
        <v>28</v>
      </c>
      <c r="M10939" s="18" t="s">
        <v>28</v>
      </c>
      <c r="N10939" s="17">
        <v>41402</v>
      </c>
      <c r="O10939" s="15" t="s">
        <v>30</v>
      </c>
      <c r="P10939" s="16" t="s">
        <v>30879</v>
      </c>
      <c r="Q10939" s="15" t="s">
        <v>1643</v>
      </c>
      <c r="R10939" s="13" t="str">
        <f>HYPERLINK("https://my.pitchbook.com?c=89590-33T","View Company Online")</f>
        <v>View Company Online</v>
      </c>
    </row>
    <row r="10940" spans="1:18" hidden="1" x14ac:dyDescent="0.3">
      <c r="A10940" s="9" t="s">
        <v>30880</v>
      </c>
      <c r="B10940" s="9" t="s">
        <v>30881</v>
      </c>
      <c r="C10940" s="11" t="s">
        <v>28</v>
      </c>
      <c r="D10940" s="9" t="s">
        <v>30882</v>
      </c>
      <c r="E10940" s="11" t="s">
        <v>28</v>
      </c>
      <c r="F10940" s="10" t="s">
        <v>28</v>
      </c>
      <c r="G10940" s="10" t="s">
        <v>28</v>
      </c>
      <c r="H10940" s="10" t="s">
        <v>28</v>
      </c>
      <c r="I10940" s="11" t="s">
        <v>28</v>
      </c>
      <c r="J10940" s="11" t="s">
        <v>28</v>
      </c>
      <c r="K10940" s="11" t="s">
        <v>28</v>
      </c>
      <c r="L10940" s="11" t="s">
        <v>28</v>
      </c>
      <c r="M10940" s="11" t="s">
        <v>28</v>
      </c>
      <c r="N10940" s="8">
        <v>41402</v>
      </c>
      <c r="O10940" s="9" t="s">
        <v>173</v>
      </c>
      <c r="P10940" s="12" t="s">
        <v>28</v>
      </c>
      <c r="Q10940" s="9" t="s">
        <v>174</v>
      </c>
      <c r="R10940" s="14" t="str">
        <f>HYPERLINK("https://my.pitchbook.com?c=223863-04T","View Company Online")</f>
        <v>View Company Online</v>
      </c>
    </row>
    <row r="10941" spans="1:18" hidden="1" x14ac:dyDescent="0.3">
      <c r="A10941" s="15" t="s">
        <v>30883</v>
      </c>
      <c r="B10941" s="15" t="s">
        <v>30884</v>
      </c>
      <c r="C10941" s="18" t="s">
        <v>28</v>
      </c>
      <c r="D10941" s="15" t="s">
        <v>30885</v>
      </c>
      <c r="E10941" s="18" t="s">
        <v>28</v>
      </c>
      <c r="F10941" s="19">
        <v>850</v>
      </c>
      <c r="G10941" s="19">
        <v>850</v>
      </c>
      <c r="H10941" s="19">
        <v>850</v>
      </c>
      <c r="I10941" s="18" t="s">
        <v>28</v>
      </c>
      <c r="J10941" s="18" t="s">
        <v>28</v>
      </c>
      <c r="K10941" s="18" t="s">
        <v>28</v>
      </c>
      <c r="L10941" s="18" t="s">
        <v>28</v>
      </c>
      <c r="M10941" s="18" t="s">
        <v>28</v>
      </c>
      <c r="N10941" s="17">
        <v>41402</v>
      </c>
      <c r="O10941" s="15" t="s">
        <v>30</v>
      </c>
      <c r="P10941" s="16" t="s">
        <v>30886</v>
      </c>
      <c r="Q10941" s="15" t="s">
        <v>183</v>
      </c>
      <c r="R10941" s="13" t="str">
        <f>HYPERLINK("https://my.pitchbook.com?c=34678-00T","View Company Online")</f>
        <v>View Company Online</v>
      </c>
    </row>
    <row r="10942" spans="1:18" hidden="1" x14ac:dyDescent="0.3">
      <c r="A10942" s="9" t="s">
        <v>30887</v>
      </c>
      <c r="B10942" s="9" t="s">
        <v>20992</v>
      </c>
      <c r="C10942" s="11" t="s">
        <v>28</v>
      </c>
      <c r="D10942" s="9" t="s">
        <v>20993</v>
      </c>
      <c r="E10942" s="11" t="s">
        <v>28</v>
      </c>
      <c r="F10942" s="10" t="s">
        <v>28</v>
      </c>
      <c r="G10942" s="10" t="s">
        <v>28</v>
      </c>
      <c r="H10942" s="10" t="s">
        <v>28</v>
      </c>
      <c r="I10942" s="11" t="s">
        <v>28</v>
      </c>
      <c r="J10942" s="11" t="s">
        <v>28</v>
      </c>
      <c r="K10942" s="11" t="s">
        <v>28</v>
      </c>
      <c r="L10942" s="11" t="s">
        <v>28</v>
      </c>
      <c r="M10942" s="11" t="s">
        <v>28</v>
      </c>
      <c r="N10942" s="8">
        <v>41401</v>
      </c>
      <c r="O10942" s="9" t="s">
        <v>52</v>
      </c>
      <c r="P10942" s="12" t="s">
        <v>9723</v>
      </c>
      <c r="Q10942" s="9" t="s">
        <v>583</v>
      </c>
      <c r="R10942" s="14" t="str">
        <f>HYPERLINK("https://my.pitchbook.com?c=99355-15T","View Company Online")</f>
        <v>View Company Online</v>
      </c>
    </row>
    <row r="10943" spans="1:18" hidden="1" x14ac:dyDescent="0.3">
      <c r="A10943" s="15" t="s">
        <v>30888</v>
      </c>
      <c r="B10943" s="15" t="s">
        <v>27901</v>
      </c>
      <c r="C10943" s="18" t="s">
        <v>28</v>
      </c>
      <c r="D10943" s="15" t="s">
        <v>27902</v>
      </c>
      <c r="E10943" s="18">
        <v>1.1200000000000001</v>
      </c>
      <c r="F10943" s="19" t="s">
        <v>28</v>
      </c>
      <c r="G10943" s="19">
        <v>25</v>
      </c>
      <c r="H10943" s="19" t="s">
        <v>28</v>
      </c>
      <c r="I10943" s="18">
        <v>17.41</v>
      </c>
      <c r="J10943" s="18" t="s">
        <v>28</v>
      </c>
      <c r="K10943" s="18">
        <v>121.01</v>
      </c>
      <c r="L10943" s="18" t="s">
        <v>28</v>
      </c>
      <c r="M10943" s="18">
        <v>-3.82</v>
      </c>
      <c r="N10943" s="17">
        <v>41400</v>
      </c>
      <c r="O10943" s="15" t="s">
        <v>159</v>
      </c>
      <c r="P10943" s="16" t="s">
        <v>30889</v>
      </c>
      <c r="Q10943" s="15" t="s">
        <v>32</v>
      </c>
      <c r="R10943" s="13" t="str">
        <f>HYPERLINK("https://my.pitchbook.com?c=177829-57T","View Company Online")</f>
        <v>View Company Online</v>
      </c>
    </row>
    <row r="10944" spans="1:18" hidden="1" x14ac:dyDescent="0.3">
      <c r="A10944" s="9" t="s">
        <v>30890</v>
      </c>
      <c r="B10944" s="9" t="s">
        <v>30891</v>
      </c>
      <c r="C10944" s="11" t="s">
        <v>28</v>
      </c>
      <c r="D10944" s="9" t="s">
        <v>30892</v>
      </c>
      <c r="E10944" s="11" t="s">
        <v>28</v>
      </c>
      <c r="F10944" s="10">
        <v>1497.15</v>
      </c>
      <c r="G10944" s="10">
        <v>1497.15</v>
      </c>
      <c r="H10944" s="10">
        <v>1497.15</v>
      </c>
      <c r="I10944" s="11" t="s">
        <v>28</v>
      </c>
      <c r="J10944" s="11" t="s">
        <v>28</v>
      </c>
      <c r="K10944" s="11" t="s">
        <v>28</v>
      </c>
      <c r="L10944" s="11" t="s">
        <v>28</v>
      </c>
      <c r="M10944" s="11" t="s">
        <v>28</v>
      </c>
      <c r="N10944" s="8">
        <v>41400</v>
      </c>
      <c r="O10944" s="9" t="s">
        <v>30</v>
      </c>
      <c r="P10944" s="12" t="s">
        <v>2372</v>
      </c>
      <c r="Q10944" s="9" t="s">
        <v>114</v>
      </c>
      <c r="R10944" s="14" t="str">
        <f>HYPERLINK("https://my.pitchbook.com?c=88906-42T","View Company Online")</f>
        <v>View Company Online</v>
      </c>
    </row>
    <row r="10945" spans="1:18" hidden="1" x14ac:dyDescent="0.3">
      <c r="A10945" s="15" t="s">
        <v>30893</v>
      </c>
      <c r="B10945" s="15" t="s">
        <v>14974</v>
      </c>
      <c r="C10945" s="18" t="s">
        <v>28</v>
      </c>
      <c r="D10945" s="15" t="s">
        <v>14975</v>
      </c>
      <c r="E10945" s="18" t="s">
        <v>28</v>
      </c>
      <c r="F10945" s="19" t="s">
        <v>28</v>
      </c>
      <c r="G10945" s="19" t="s">
        <v>28</v>
      </c>
      <c r="H10945" s="19" t="s">
        <v>28</v>
      </c>
      <c r="I10945" s="18" t="s">
        <v>28</v>
      </c>
      <c r="J10945" s="18" t="s">
        <v>28</v>
      </c>
      <c r="K10945" s="18" t="s">
        <v>28</v>
      </c>
      <c r="L10945" s="18" t="s">
        <v>28</v>
      </c>
      <c r="M10945" s="18" t="s">
        <v>28</v>
      </c>
      <c r="N10945" s="17">
        <v>41400</v>
      </c>
      <c r="O10945" s="15" t="s">
        <v>30</v>
      </c>
      <c r="P10945" s="16" t="s">
        <v>30894</v>
      </c>
      <c r="Q10945" s="15" t="s">
        <v>136</v>
      </c>
      <c r="R10945" s="13" t="str">
        <f>HYPERLINK("https://my.pitchbook.com?c=89687-98T","View Company Online")</f>
        <v>View Company Online</v>
      </c>
    </row>
    <row r="10946" spans="1:18" hidden="1" x14ac:dyDescent="0.3">
      <c r="A10946" s="9" t="s">
        <v>30895</v>
      </c>
      <c r="B10946" s="9" t="s">
        <v>30896</v>
      </c>
      <c r="C10946" s="11" t="s">
        <v>28</v>
      </c>
      <c r="D10946" s="9" t="s">
        <v>30897</v>
      </c>
      <c r="E10946" s="11" t="s">
        <v>28</v>
      </c>
      <c r="F10946" s="10" t="s">
        <v>28</v>
      </c>
      <c r="G10946" s="10" t="s">
        <v>28</v>
      </c>
      <c r="H10946" s="10" t="s">
        <v>28</v>
      </c>
      <c r="I10946" s="11" t="s">
        <v>28</v>
      </c>
      <c r="J10946" s="11" t="s">
        <v>28</v>
      </c>
      <c r="K10946" s="11" t="s">
        <v>28</v>
      </c>
      <c r="L10946" s="11" t="s">
        <v>28</v>
      </c>
      <c r="M10946" s="11" t="s">
        <v>28</v>
      </c>
      <c r="N10946" s="8">
        <v>41397</v>
      </c>
      <c r="O10946" s="9" t="s">
        <v>30</v>
      </c>
      <c r="P10946" s="12" t="s">
        <v>27160</v>
      </c>
      <c r="Q10946" s="9" t="s">
        <v>331</v>
      </c>
      <c r="R10946" s="14" t="str">
        <f>HYPERLINK("https://my.pitchbook.com?c=93628-00T","View Company Online")</f>
        <v>View Company Online</v>
      </c>
    </row>
    <row r="10947" spans="1:18" hidden="1" x14ac:dyDescent="0.3">
      <c r="A10947" s="15" t="s">
        <v>30898</v>
      </c>
      <c r="B10947" s="15" t="s">
        <v>30899</v>
      </c>
      <c r="C10947" s="18" t="s">
        <v>28</v>
      </c>
      <c r="D10947" s="15" t="s">
        <v>30900</v>
      </c>
      <c r="E10947" s="18" t="s">
        <v>28</v>
      </c>
      <c r="F10947" s="19" t="s">
        <v>28</v>
      </c>
      <c r="G10947" s="19" t="s">
        <v>28</v>
      </c>
      <c r="H10947" s="19" t="s">
        <v>28</v>
      </c>
      <c r="I10947" s="18" t="s">
        <v>28</v>
      </c>
      <c r="J10947" s="18" t="s">
        <v>28</v>
      </c>
      <c r="K10947" s="18" t="s">
        <v>28</v>
      </c>
      <c r="L10947" s="18" t="s">
        <v>28</v>
      </c>
      <c r="M10947" s="18" t="s">
        <v>28</v>
      </c>
      <c r="N10947" s="17">
        <v>41397</v>
      </c>
      <c r="O10947" s="15" t="s">
        <v>173</v>
      </c>
      <c r="P10947" s="16" t="s">
        <v>28</v>
      </c>
      <c r="Q10947" s="15" t="s">
        <v>174</v>
      </c>
      <c r="R10947" s="13" t="str">
        <f>HYPERLINK("https://my.pitchbook.com?c=224696-53T","View Company Online")</f>
        <v>View Company Online</v>
      </c>
    </row>
    <row r="10948" spans="1:18" hidden="1" x14ac:dyDescent="0.3">
      <c r="A10948" s="9" t="s">
        <v>30901</v>
      </c>
      <c r="B10948" s="9" t="s">
        <v>30902</v>
      </c>
      <c r="C10948" s="11" t="s">
        <v>28</v>
      </c>
      <c r="D10948" s="9" t="s">
        <v>30903</v>
      </c>
      <c r="E10948" s="11" t="s">
        <v>28</v>
      </c>
      <c r="F10948" s="10">
        <v>80</v>
      </c>
      <c r="G10948" s="10">
        <v>80</v>
      </c>
      <c r="H10948" s="10">
        <v>80</v>
      </c>
      <c r="I10948" s="11" t="s">
        <v>28</v>
      </c>
      <c r="J10948" s="11" t="s">
        <v>28</v>
      </c>
      <c r="K10948" s="11" t="s">
        <v>28</v>
      </c>
      <c r="L10948" s="11" t="s">
        <v>28</v>
      </c>
      <c r="M10948" s="11" t="s">
        <v>28</v>
      </c>
      <c r="N10948" s="8">
        <v>41396</v>
      </c>
      <c r="O10948" s="9" t="s">
        <v>30</v>
      </c>
      <c r="P10948" s="12" t="s">
        <v>30904</v>
      </c>
      <c r="Q10948" s="9" t="s">
        <v>10313</v>
      </c>
      <c r="R10948" s="14" t="str">
        <f>HYPERLINK("https://my.pitchbook.com?c=98442-91T","View Company Online")</f>
        <v>View Company Online</v>
      </c>
    </row>
    <row r="10949" spans="1:18" x14ac:dyDescent="0.3">
      <c r="A10949" s="15" t="s">
        <v>30905</v>
      </c>
      <c r="B10949" s="15" t="s">
        <v>30906</v>
      </c>
      <c r="C10949" s="18">
        <v>11.18</v>
      </c>
      <c r="D10949" s="15" t="s">
        <v>30907</v>
      </c>
      <c r="E10949" s="18" t="s">
        <v>28</v>
      </c>
      <c r="F10949" s="19">
        <v>390</v>
      </c>
      <c r="G10949" s="19">
        <v>195</v>
      </c>
      <c r="H10949" s="19">
        <v>390</v>
      </c>
      <c r="I10949" s="18">
        <v>34.9</v>
      </c>
      <c r="J10949" s="18">
        <v>11.18</v>
      </c>
      <c r="K10949" s="18">
        <v>372.91</v>
      </c>
      <c r="L10949" s="18">
        <v>1.05</v>
      </c>
      <c r="M10949" s="18" t="s">
        <v>28</v>
      </c>
      <c r="N10949" s="17">
        <v>41396</v>
      </c>
      <c r="O10949" s="15" t="s">
        <v>30</v>
      </c>
      <c r="P10949" s="16" t="s">
        <v>16542</v>
      </c>
      <c r="Q10949" s="15" t="s">
        <v>5110</v>
      </c>
      <c r="R10949" s="13" t="str">
        <f>HYPERLINK("https://my.pitchbook.com?c=95920-30T","View Company Online")</f>
        <v>View Company Online</v>
      </c>
    </row>
    <row r="10950" spans="1:18" hidden="1" x14ac:dyDescent="0.3">
      <c r="A10950" s="9" t="s">
        <v>30908</v>
      </c>
      <c r="B10950" s="9" t="s">
        <v>15558</v>
      </c>
      <c r="C10950" s="11" t="s">
        <v>28</v>
      </c>
      <c r="D10950" s="9" t="s">
        <v>15559</v>
      </c>
      <c r="E10950" s="11" t="s">
        <v>28</v>
      </c>
      <c r="F10950" s="10" t="s">
        <v>28</v>
      </c>
      <c r="G10950" s="10" t="s">
        <v>28</v>
      </c>
      <c r="H10950" s="10" t="s">
        <v>28</v>
      </c>
      <c r="I10950" s="11" t="s">
        <v>28</v>
      </c>
      <c r="J10950" s="11" t="s">
        <v>28</v>
      </c>
      <c r="K10950" s="11" t="s">
        <v>28</v>
      </c>
      <c r="L10950" s="11" t="s">
        <v>28</v>
      </c>
      <c r="M10950" s="11" t="s">
        <v>28</v>
      </c>
      <c r="N10950" s="8">
        <v>41395</v>
      </c>
      <c r="O10950" s="9" t="s">
        <v>73</v>
      </c>
      <c r="P10950" s="12" t="s">
        <v>8780</v>
      </c>
      <c r="Q10950" s="9" t="s">
        <v>114</v>
      </c>
      <c r="R10950" s="14" t="str">
        <f>HYPERLINK("https://my.pitchbook.com?c=210884-23T","View Company Online")</f>
        <v>View Company Online</v>
      </c>
    </row>
    <row r="10951" spans="1:18" hidden="1" x14ac:dyDescent="0.3">
      <c r="A10951" s="15" t="s">
        <v>30909</v>
      </c>
      <c r="B10951" s="15" t="s">
        <v>16661</v>
      </c>
      <c r="C10951" s="18" t="s">
        <v>28</v>
      </c>
      <c r="D10951" s="15" t="s">
        <v>16662</v>
      </c>
      <c r="E10951" s="18" t="s">
        <v>28</v>
      </c>
      <c r="F10951" s="19" t="s">
        <v>28</v>
      </c>
      <c r="G10951" s="19" t="s">
        <v>28</v>
      </c>
      <c r="H10951" s="19" t="s">
        <v>28</v>
      </c>
      <c r="I10951" s="18" t="s">
        <v>28</v>
      </c>
      <c r="J10951" s="18" t="s">
        <v>28</v>
      </c>
      <c r="K10951" s="18" t="s">
        <v>28</v>
      </c>
      <c r="L10951" s="18" t="s">
        <v>28</v>
      </c>
      <c r="M10951" s="18" t="s">
        <v>28</v>
      </c>
      <c r="N10951" s="17">
        <v>41395</v>
      </c>
      <c r="O10951" s="15" t="s">
        <v>93</v>
      </c>
      <c r="P10951" s="16" t="s">
        <v>30910</v>
      </c>
      <c r="Q10951" s="15" t="s">
        <v>1007</v>
      </c>
      <c r="R10951" s="13" t="str">
        <f>HYPERLINK("https://my.pitchbook.com?c=29746-81T","View Company Online")</f>
        <v>View Company Online</v>
      </c>
    </row>
    <row r="10952" spans="1:18" hidden="1" x14ac:dyDescent="0.3">
      <c r="A10952" s="9" t="s">
        <v>30911</v>
      </c>
      <c r="B10952" s="9" t="s">
        <v>30848</v>
      </c>
      <c r="C10952" s="11" t="s">
        <v>28</v>
      </c>
      <c r="D10952" s="9" t="s">
        <v>30849</v>
      </c>
      <c r="E10952" s="11" t="s">
        <v>28</v>
      </c>
      <c r="F10952" s="10" t="s">
        <v>28</v>
      </c>
      <c r="G10952" s="10" t="s">
        <v>28</v>
      </c>
      <c r="H10952" s="10" t="s">
        <v>28</v>
      </c>
      <c r="I10952" s="11" t="s">
        <v>28</v>
      </c>
      <c r="J10952" s="11" t="s">
        <v>28</v>
      </c>
      <c r="K10952" s="11" t="s">
        <v>28</v>
      </c>
      <c r="L10952" s="11" t="s">
        <v>28</v>
      </c>
      <c r="M10952" s="11" t="s">
        <v>28</v>
      </c>
      <c r="N10952" s="8">
        <v>41395</v>
      </c>
      <c r="O10952" s="9" t="s">
        <v>52</v>
      </c>
      <c r="P10952" s="12" t="s">
        <v>11539</v>
      </c>
      <c r="Q10952" s="9" t="s">
        <v>235</v>
      </c>
      <c r="R10952" s="14" t="str">
        <f>HYPERLINK("https://my.pitchbook.com?c=65823-31T","View Company Online")</f>
        <v>View Company Online</v>
      </c>
    </row>
    <row r="10953" spans="1:18" hidden="1" x14ac:dyDescent="0.3">
      <c r="A10953" s="15" t="s">
        <v>30912</v>
      </c>
      <c r="B10953" s="15" t="s">
        <v>30913</v>
      </c>
      <c r="C10953" s="18" t="s">
        <v>28</v>
      </c>
      <c r="D10953" s="15" t="s">
        <v>30914</v>
      </c>
      <c r="E10953" s="18" t="s">
        <v>28</v>
      </c>
      <c r="F10953" s="19" t="s">
        <v>28</v>
      </c>
      <c r="G10953" s="19" t="s">
        <v>28</v>
      </c>
      <c r="H10953" s="19" t="s">
        <v>28</v>
      </c>
      <c r="I10953" s="18" t="s">
        <v>28</v>
      </c>
      <c r="J10953" s="18" t="s">
        <v>28</v>
      </c>
      <c r="K10953" s="18" t="s">
        <v>28</v>
      </c>
      <c r="L10953" s="18" t="s">
        <v>28</v>
      </c>
      <c r="M10953" s="18" t="s">
        <v>28</v>
      </c>
      <c r="N10953" s="17">
        <v>41395</v>
      </c>
      <c r="O10953" s="15" t="s">
        <v>30</v>
      </c>
      <c r="P10953" s="16" t="s">
        <v>30915</v>
      </c>
      <c r="Q10953" s="15" t="s">
        <v>607</v>
      </c>
      <c r="R10953" s="13" t="str">
        <f>HYPERLINK("https://my.pitchbook.com?c=33648-94T","View Company Online")</f>
        <v>View Company Online</v>
      </c>
    </row>
    <row r="10954" spans="1:18" hidden="1" x14ac:dyDescent="0.3">
      <c r="A10954" s="9" t="s">
        <v>30916</v>
      </c>
      <c r="B10954" s="9" t="s">
        <v>27046</v>
      </c>
      <c r="C10954" s="11" t="s">
        <v>28</v>
      </c>
      <c r="D10954" s="9" t="s">
        <v>27047</v>
      </c>
      <c r="E10954" s="11" t="s">
        <v>28</v>
      </c>
      <c r="F10954" s="10">
        <v>105.17</v>
      </c>
      <c r="G10954" s="10">
        <v>52.59</v>
      </c>
      <c r="H10954" s="10">
        <v>105.17</v>
      </c>
      <c r="I10954" s="11" t="s">
        <v>28</v>
      </c>
      <c r="J10954" s="11" t="s">
        <v>28</v>
      </c>
      <c r="K10954" s="11">
        <v>312.3</v>
      </c>
      <c r="L10954" s="11">
        <v>0.34</v>
      </c>
      <c r="M10954" s="11" t="s">
        <v>28</v>
      </c>
      <c r="N10954" s="8">
        <v>41395</v>
      </c>
      <c r="O10954" s="9" t="s">
        <v>30</v>
      </c>
      <c r="P10954" s="12" t="s">
        <v>27048</v>
      </c>
      <c r="Q10954" s="9" t="s">
        <v>409</v>
      </c>
      <c r="R10954" s="14" t="str">
        <f>HYPERLINK("https://my.pitchbook.com?c=44555-86T","View Company Online")</f>
        <v>View Company Online</v>
      </c>
    </row>
    <row r="10955" spans="1:18" hidden="1" x14ac:dyDescent="0.3">
      <c r="A10955" s="15" t="s">
        <v>30917</v>
      </c>
      <c r="B10955" s="15" t="s">
        <v>29160</v>
      </c>
      <c r="C10955" s="18" t="s">
        <v>28</v>
      </c>
      <c r="D10955" s="15" t="s">
        <v>29161</v>
      </c>
      <c r="E10955" s="18" t="s">
        <v>28</v>
      </c>
      <c r="F10955" s="19">
        <v>6.57</v>
      </c>
      <c r="G10955" s="19">
        <v>6.57</v>
      </c>
      <c r="H10955" s="19">
        <v>6.57</v>
      </c>
      <c r="I10955" s="18" t="s">
        <v>28</v>
      </c>
      <c r="J10955" s="18" t="s">
        <v>28</v>
      </c>
      <c r="K10955" s="18" t="s">
        <v>28</v>
      </c>
      <c r="L10955" s="18" t="s">
        <v>28</v>
      </c>
      <c r="M10955" s="18" t="s">
        <v>28</v>
      </c>
      <c r="N10955" s="17">
        <v>41395</v>
      </c>
      <c r="O10955" s="15" t="s">
        <v>30</v>
      </c>
      <c r="P10955" s="16" t="s">
        <v>28</v>
      </c>
      <c r="Q10955" s="15" t="s">
        <v>268</v>
      </c>
      <c r="R10955" s="13" t="str">
        <f>HYPERLINK("https://my.pitchbook.com?c=40121-11T","View Company Online")</f>
        <v>View Company Online</v>
      </c>
    </row>
    <row r="10956" spans="1:18" hidden="1" x14ac:dyDescent="0.3">
      <c r="A10956" s="9" t="s">
        <v>30918</v>
      </c>
      <c r="B10956" s="9" t="s">
        <v>30919</v>
      </c>
      <c r="C10956" s="11" t="s">
        <v>28</v>
      </c>
      <c r="D10956" s="9" t="s">
        <v>30920</v>
      </c>
      <c r="E10956" s="11" t="s">
        <v>28</v>
      </c>
      <c r="F10956" s="10">
        <v>34.200000000000003</v>
      </c>
      <c r="G10956" s="10">
        <v>34.200000000000003</v>
      </c>
      <c r="H10956" s="10">
        <v>34.200000000000003</v>
      </c>
      <c r="I10956" s="11" t="s">
        <v>28</v>
      </c>
      <c r="J10956" s="11" t="s">
        <v>28</v>
      </c>
      <c r="K10956" s="11">
        <v>38.270000000000003</v>
      </c>
      <c r="L10956" s="11">
        <v>0.89</v>
      </c>
      <c r="M10956" s="11" t="s">
        <v>28</v>
      </c>
      <c r="N10956" s="8">
        <v>41395</v>
      </c>
      <c r="O10956" s="9" t="s">
        <v>30</v>
      </c>
      <c r="P10956" s="12" t="s">
        <v>30921</v>
      </c>
      <c r="Q10956" s="9" t="s">
        <v>299</v>
      </c>
      <c r="R10956" s="14" t="str">
        <f>HYPERLINK("https://my.pitchbook.com?c=73808-65T","View Company Online")</f>
        <v>View Company Online</v>
      </c>
    </row>
    <row r="10957" spans="1:18" hidden="1" x14ac:dyDescent="0.3">
      <c r="A10957" s="15" t="s">
        <v>30922</v>
      </c>
      <c r="B10957" s="15" t="s">
        <v>30923</v>
      </c>
      <c r="C10957" s="18" t="s">
        <v>28</v>
      </c>
      <c r="D10957" s="15" t="s">
        <v>30924</v>
      </c>
      <c r="E10957" s="18" t="s">
        <v>28</v>
      </c>
      <c r="F10957" s="19" t="s">
        <v>28</v>
      </c>
      <c r="G10957" s="19" t="s">
        <v>28</v>
      </c>
      <c r="H10957" s="19" t="s">
        <v>28</v>
      </c>
      <c r="I10957" s="18" t="s">
        <v>28</v>
      </c>
      <c r="J10957" s="18" t="s">
        <v>28</v>
      </c>
      <c r="K10957" s="18" t="s">
        <v>28</v>
      </c>
      <c r="L10957" s="18" t="s">
        <v>28</v>
      </c>
      <c r="M10957" s="18" t="s">
        <v>28</v>
      </c>
      <c r="N10957" s="17">
        <v>41395</v>
      </c>
      <c r="O10957" s="15" t="s">
        <v>52</v>
      </c>
      <c r="P10957" s="16" t="s">
        <v>30925</v>
      </c>
      <c r="Q10957" s="15" t="s">
        <v>285</v>
      </c>
      <c r="R10957" s="13" t="str">
        <f>HYPERLINK("https://my.pitchbook.com?c=126553-15T","View Company Online")</f>
        <v>View Company Online</v>
      </c>
    </row>
    <row r="10958" spans="1:18" hidden="1" x14ac:dyDescent="0.3">
      <c r="A10958" s="9" t="s">
        <v>30926</v>
      </c>
      <c r="B10958" s="9" t="s">
        <v>30927</v>
      </c>
      <c r="C10958" s="11" t="s">
        <v>28</v>
      </c>
      <c r="D10958" s="9" t="s">
        <v>30928</v>
      </c>
      <c r="E10958" s="11" t="s">
        <v>28</v>
      </c>
      <c r="F10958" s="10" t="s">
        <v>28</v>
      </c>
      <c r="G10958" s="10" t="s">
        <v>28</v>
      </c>
      <c r="H10958" s="10" t="s">
        <v>28</v>
      </c>
      <c r="I10958" s="11" t="s">
        <v>28</v>
      </c>
      <c r="J10958" s="11" t="s">
        <v>28</v>
      </c>
      <c r="K10958" s="11" t="s">
        <v>28</v>
      </c>
      <c r="L10958" s="11" t="s">
        <v>28</v>
      </c>
      <c r="M10958" s="11" t="s">
        <v>28</v>
      </c>
      <c r="N10958" s="8">
        <v>41395</v>
      </c>
      <c r="O10958" s="9" t="s">
        <v>41</v>
      </c>
      <c r="P10958" s="12" t="s">
        <v>30929</v>
      </c>
      <c r="Q10958" s="9" t="s">
        <v>109</v>
      </c>
      <c r="R10958" s="14" t="str">
        <f>HYPERLINK("https://my.pitchbook.com?c=157443-49T","View Company Online")</f>
        <v>View Company Online</v>
      </c>
    </row>
    <row r="10959" spans="1:18" hidden="1" x14ac:dyDescent="0.3">
      <c r="A10959" s="15" t="s">
        <v>30930</v>
      </c>
      <c r="B10959" s="15" t="s">
        <v>27133</v>
      </c>
      <c r="C10959" s="18" t="s">
        <v>28</v>
      </c>
      <c r="D10959" s="15" t="s">
        <v>27134</v>
      </c>
      <c r="E10959" s="18" t="s">
        <v>28</v>
      </c>
      <c r="F10959" s="19">
        <v>433.73</v>
      </c>
      <c r="G10959" s="19">
        <v>433.73</v>
      </c>
      <c r="H10959" s="19">
        <v>433.73</v>
      </c>
      <c r="I10959" s="18" t="s">
        <v>28</v>
      </c>
      <c r="J10959" s="18" t="s">
        <v>28</v>
      </c>
      <c r="K10959" s="18" t="s">
        <v>28</v>
      </c>
      <c r="L10959" s="18" t="s">
        <v>28</v>
      </c>
      <c r="M10959" s="18" t="s">
        <v>28</v>
      </c>
      <c r="N10959" s="17">
        <v>41394</v>
      </c>
      <c r="O10959" s="15" t="s">
        <v>30</v>
      </c>
      <c r="P10959" s="16" t="s">
        <v>12054</v>
      </c>
      <c r="Q10959" s="15" t="s">
        <v>43</v>
      </c>
      <c r="R10959" s="13" t="str">
        <f>HYPERLINK("https://my.pitchbook.com?c=63538-21T","View Company Online")</f>
        <v>View Company Online</v>
      </c>
    </row>
    <row r="10960" spans="1:18" hidden="1" x14ac:dyDescent="0.3">
      <c r="A10960" s="9" t="s">
        <v>30931</v>
      </c>
      <c r="B10960" s="9" t="s">
        <v>687</v>
      </c>
      <c r="C10960" s="11" t="s">
        <v>28</v>
      </c>
      <c r="D10960" s="9" t="s">
        <v>16429</v>
      </c>
      <c r="E10960" s="11" t="s">
        <v>28</v>
      </c>
      <c r="F10960" s="10" t="s">
        <v>28</v>
      </c>
      <c r="G10960" s="10">
        <v>10</v>
      </c>
      <c r="H10960" s="10">
        <v>118</v>
      </c>
      <c r="I10960" s="11" t="s">
        <v>28</v>
      </c>
      <c r="J10960" s="11" t="s">
        <v>28</v>
      </c>
      <c r="K10960" s="11">
        <v>0.09</v>
      </c>
      <c r="L10960" s="11">
        <v>1318.44</v>
      </c>
      <c r="M10960" s="11" t="s">
        <v>28</v>
      </c>
      <c r="N10960" s="8">
        <v>41394</v>
      </c>
      <c r="O10960" s="9" t="s">
        <v>58</v>
      </c>
      <c r="P10960" s="12" t="s">
        <v>30932</v>
      </c>
      <c r="Q10960" s="9" t="s">
        <v>1179</v>
      </c>
      <c r="R10960" s="14" t="str">
        <f>HYPERLINK("https://my.pitchbook.com?c=25700-32T","View Company Online")</f>
        <v>View Company Online</v>
      </c>
    </row>
    <row r="10961" spans="1:18" hidden="1" x14ac:dyDescent="0.3">
      <c r="A10961" s="15" t="s">
        <v>30933</v>
      </c>
      <c r="B10961" s="15" t="s">
        <v>27724</v>
      </c>
      <c r="C10961" s="18" t="s">
        <v>28</v>
      </c>
      <c r="D10961" s="15" t="s">
        <v>27725</v>
      </c>
      <c r="E10961" s="18" t="s">
        <v>28</v>
      </c>
      <c r="F10961" s="19" t="s">
        <v>28</v>
      </c>
      <c r="G10961" s="19" t="s">
        <v>28</v>
      </c>
      <c r="H10961" s="19" t="s">
        <v>28</v>
      </c>
      <c r="I10961" s="18" t="s">
        <v>28</v>
      </c>
      <c r="J10961" s="18" t="s">
        <v>28</v>
      </c>
      <c r="K10961" s="18" t="s">
        <v>28</v>
      </c>
      <c r="L10961" s="18" t="s">
        <v>28</v>
      </c>
      <c r="M10961" s="18" t="s">
        <v>28</v>
      </c>
      <c r="N10961" s="17">
        <v>41394</v>
      </c>
      <c r="O10961" s="15" t="s">
        <v>52</v>
      </c>
      <c r="P10961" s="16" t="s">
        <v>30833</v>
      </c>
      <c r="Q10961" s="15" t="s">
        <v>3912</v>
      </c>
      <c r="R10961" s="13" t="str">
        <f>HYPERLINK("https://my.pitchbook.com?c=52808-14T","View Company Online")</f>
        <v>View Company Online</v>
      </c>
    </row>
    <row r="10962" spans="1:18" hidden="1" x14ac:dyDescent="0.3">
      <c r="A10962" s="9" t="s">
        <v>30934</v>
      </c>
      <c r="B10962" s="9" t="s">
        <v>28971</v>
      </c>
      <c r="C10962" s="11" t="s">
        <v>28</v>
      </c>
      <c r="D10962" s="9" t="s">
        <v>28972</v>
      </c>
      <c r="E10962" s="11" t="s">
        <v>28</v>
      </c>
      <c r="F10962" s="10" t="s">
        <v>28</v>
      </c>
      <c r="G10962" s="10" t="s">
        <v>28</v>
      </c>
      <c r="H10962" s="10" t="s">
        <v>28</v>
      </c>
      <c r="I10962" s="11" t="s">
        <v>28</v>
      </c>
      <c r="J10962" s="11" t="s">
        <v>28</v>
      </c>
      <c r="K10962" s="11" t="s">
        <v>28</v>
      </c>
      <c r="L10962" s="11" t="s">
        <v>28</v>
      </c>
      <c r="M10962" s="11" t="s">
        <v>28</v>
      </c>
      <c r="N10962" s="8">
        <v>41394</v>
      </c>
      <c r="O10962" s="9" t="s">
        <v>30</v>
      </c>
      <c r="P10962" s="12" t="s">
        <v>28973</v>
      </c>
      <c r="Q10962" s="9" t="s">
        <v>975</v>
      </c>
      <c r="R10962" s="14" t="str">
        <f>HYPERLINK("https://my.pitchbook.com?c=89685-55T","View Company Online")</f>
        <v>View Company Online</v>
      </c>
    </row>
    <row r="10963" spans="1:18" hidden="1" x14ac:dyDescent="0.3">
      <c r="A10963" s="15" t="s">
        <v>30935</v>
      </c>
      <c r="B10963" s="15" t="s">
        <v>30936</v>
      </c>
      <c r="C10963" s="18" t="s">
        <v>28</v>
      </c>
      <c r="D10963" s="15" t="s">
        <v>30937</v>
      </c>
      <c r="E10963" s="18">
        <v>280.19</v>
      </c>
      <c r="F10963" s="19" t="s">
        <v>28</v>
      </c>
      <c r="G10963" s="19" t="s">
        <v>28</v>
      </c>
      <c r="H10963" s="19" t="s">
        <v>28</v>
      </c>
      <c r="I10963" s="18">
        <v>280.19</v>
      </c>
      <c r="J10963" s="18" t="s">
        <v>28</v>
      </c>
      <c r="K10963" s="18">
        <v>190.34</v>
      </c>
      <c r="L10963" s="18" t="s">
        <v>28</v>
      </c>
      <c r="M10963" s="18">
        <v>234.29</v>
      </c>
      <c r="N10963" s="17">
        <v>41393</v>
      </c>
      <c r="O10963" s="15" t="s">
        <v>173</v>
      </c>
      <c r="P10963" s="16" t="s">
        <v>28</v>
      </c>
      <c r="Q10963" s="15" t="s">
        <v>424</v>
      </c>
      <c r="R10963" s="13" t="str">
        <f>HYPERLINK("https://my.pitchbook.com?c=221310-19T","View Company Online")</f>
        <v>View Company Online</v>
      </c>
    </row>
    <row r="10964" spans="1:18" hidden="1" x14ac:dyDescent="0.3">
      <c r="A10964" s="9" t="s">
        <v>30938</v>
      </c>
      <c r="B10964" s="9" t="s">
        <v>30939</v>
      </c>
      <c r="C10964" s="11" t="s">
        <v>28</v>
      </c>
      <c r="D10964" s="9" t="s">
        <v>30940</v>
      </c>
      <c r="E10964" s="11" t="s">
        <v>28</v>
      </c>
      <c r="F10964" s="10" t="s">
        <v>28</v>
      </c>
      <c r="G10964" s="10" t="s">
        <v>28</v>
      </c>
      <c r="H10964" s="10" t="s">
        <v>28</v>
      </c>
      <c r="I10964" s="11" t="s">
        <v>28</v>
      </c>
      <c r="J10964" s="11" t="s">
        <v>28</v>
      </c>
      <c r="K10964" s="11" t="s">
        <v>28</v>
      </c>
      <c r="L10964" s="11" t="s">
        <v>28</v>
      </c>
      <c r="M10964" s="11" t="s">
        <v>28</v>
      </c>
      <c r="N10964" s="8">
        <v>41390</v>
      </c>
      <c r="O10964" s="9" t="s">
        <v>30</v>
      </c>
      <c r="P10964" s="12" t="s">
        <v>30941</v>
      </c>
      <c r="Q10964" s="9" t="s">
        <v>470</v>
      </c>
      <c r="R10964" s="14" t="str">
        <f>HYPERLINK("https://my.pitchbook.com?c=89712-82T","View Company Online")</f>
        <v>View Company Online</v>
      </c>
    </row>
    <row r="10965" spans="1:18" hidden="1" x14ac:dyDescent="0.3">
      <c r="A10965" s="15" t="s">
        <v>30942</v>
      </c>
      <c r="B10965" s="15" t="s">
        <v>30943</v>
      </c>
      <c r="C10965" s="18" t="s">
        <v>28</v>
      </c>
      <c r="D10965" s="15" t="s">
        <v>30944</v>
      </c>
      <c r="E10965" s="18" t="s">
        <v>28</v>
      </c>
      <c r="F10965" s="19">
        <v>11</v>
      </c>
      <c r="G10965" s="19">
        <v>11</v>
      </c>
      <c r="H10965" s="19">
        <v>11</v>
      </c>
      <c r="I10965" s="18" t="s">
        <v>28</v>
      </c>
      <c r="J10965" s="18" t="s">
        <v>28</v>
      </c>
      <c r="K10965" s="18" t="s">
        <v>28</v>
      </c>
      <c r="L10965" s="18" t="s">
        <v>28</v>
      </c>
      <c r="M10965" s="18" t="s">
        <v>28</v>
      </c>
      <c r="N10965" s="17">
        <v>41388</v>
      </c>
      <c r="O10965" s="15" t="s">
        <v>30</v>
      </c>
      <c r="P10965" s="16" t="s">
        <v>30945</v>
      </c>
      <c r="Q10965" s="15" t="s">
        <v>1035</v>
      </c>
      <c r="R10965" s="13" t="str">
        <f>HYPERLINK("https://my.pitchbook.com?c=86619-61T","View Company Online")</f>
        <v>View Company Online</v>
      </c>
    </row>
    <row r="10966" spans="1:18" hidden="1" x14ac:dyDescent="0.3">
      <c r="A10966" s="9" t="s">
        <v>30946</v>
      </c>
      <c r="B10966" s="9" t="s">
        <v>27203</v>
      </c>
      <c r="C10966" s="11" t="s">
        <v>28</v>
      </c>
      <c r="D10966" s="9" t="s">
        <v>27204</v>
      </c>
      <c r="E10966" s="11" t="s">
        <v>28</v>
      </c>
      <c r="F10966" s="10" t="s">
        <v>28</v>
      </c>
      <c r="G10966" s="10">
        <v>0.02</v>
      </c>
      <c r="H10966" s="10" t="s">
        <v>28</v>
      </c>
      <c r="I10966" s="11" t="s">
        <v>28</v>
      </c>
      <c r="J10966" s="11" t="s">
        <v>28</v>
      </c>
      <c r="K10966" s="11" t="s">
        <v>28</v>
      </c>
      <c r="L10966" s="11" t="s">
        <v>28</v>
      </c>
      <c r="M10966" s="11" t="s">
        <v>28</v>
      </c>
      <c r="N10966" s="8">
        <v>41388</v>
      </c>
      <c r="O10966" s="9" t="s">
        <v>52</v>
      </c>
      <c r="P10966" s="12" t="s">
        <v>7022</v>
      </c>
      <c r="Q10966" s="9" t="s">
        <v>75</v>
      </c>
      <c r="R10966" s="14" t="str">
        <f>HYPERLINK("https://my.pitchbook.com?c=73399-78T","View Company Online")</f>
        <v>View Company Online</v>
      </c>
    </row>
    <row r="10967" spans="1:18" hidden="1" x14ac:dyDescent="0.3">
      <c r="A10967" s="15" t="s">
        <v>30947</v>
      </c>
      <c r="B10967" s="15" t="s">
        <v>28360</v>
      </c>
      <c r="C10967" s="18" t="s">
        <v>28</v>
      </c>
      <c r="D10967" s="15" t="s">
        <v>30948</v>
      </c>
      <c r="E10967" s="18">
        <v>435.31</v>
      </c>
      <c r="F10967" s="19" t="s">
        <v>28</v>
      </c>
      <c r="G10967" s="19">
        <v>419.5</v>
      </c>
      <c r="H10967" s="19" t="s">
        <v>28</v>
      </c>
      <c r="I10967" s="18">
        <v>452.72</v>
      </c>
      <c r="J10967" s="18" t="s">
        <v>28</v>
      </c>
      <c r="K10967" s="18">
        <v>596.99</v>
      </c>
      <c r="L10967" s="18" t="s">
        <v>28</v>
      </c>
      <c r="M10967" s="18">
        <v>109.66</v>
      </c>
      <c r="N10967" s="17">
        <v>41387</v>
      </c>
      <c r="O10967" s="15" t="s">
        <v>173</v>
      </c>
      <c r="P10967" s="16" t="s">
        <v>28</v>
      </c>
      <c r="Q10967" s="15" t="s">
        <v>348</v>
      </c>
      <c r="R10967" s="13" t="str">
        <f>HYPERLINK("https://my.pitchbook.com?c=221142-88T","View Company Online")</f>
        <v>View Company Online</v>
      </c>
    </row>
    <row r="10968" spans="1:18" hidden="1" x14ac:dyDescent="0.3">
      <c r="A10968" s="9" t="s">
        <v>30949</v>
      </c>
      <c r="B10968" s="9" t="s">
        <v>14330</v>
      </c>
      <c r="C10968" s="11" t="s">
        <v>28</v>
      </c>
      <c r="D10968" s="9" t="s">
        <v>14331</v>
      </c>
      <c r="E10968" s="11">
        <v>-464.46</v>
      </c>
      <c r="F10968" s="10" t="s">
        <v>28</v>
      </c>
      <c r="G10968" s="10">
        <v>401.61</v>
      </c>
      <c r="H10968" s="10" t="s">
        <v>28</v>
      </c>
      <c r="I10968" s="11">
        <v>18.13</v>
      </c>
      <c r="J10968" s="11" t="s">
        <v>28</v>
      </c>
      <c r="K10968" s="11">
        <v>2061.1999999999998</v>
      </c>
      <c r="L10968" s="11" t="s">
        <v>28</v>
      </c>
      <c r="M10968" s="11">
        <v>-307.79000000000002</v>
      </c>
      <c r="N10968" s="8">
        <v>41383</v>
      </c>
      <c r="O10968" s="9" t="s">
        <v>173</v>
      </c>
      <c r="P10968" s="12" t="s">
        <v>28</v>
      </c>
      <c r="Q10968" s="9" t="s">
        <v>69</v>
      </c>
      <c r="R10968" s="14" t="str">
        <f>HYPERLINK("https://my.pitchbook.com?c=112168-09T","View Company Online")</f>
        <v>View Company Online</v>
      </c>
    </row>
    <row r="10969" spans="1:18" hidden="1" x14ac:dyDescent="0.3">
      <c r="A10969" s="15" t="s">
        <v>30950</v>
      </c>
      <c r="B10969" s="15" t="s">
        <v>30951</v>
      </c>
      <c r="C10969" s="18" t="s">
        <v>28</v>
      </c>
      <c r="D10969" s="15" t="s">
        <v>30952</v>
      </c>
      <c r="E10969" s="18" t="s">
        <v>28</v>
      </c>
      <c r="F10969" s="19" t="s">
        <v>28</v>
      </c>
      <c r="G10969" s="19" t="s">
        <v>28</v>
      </c>
      <c r="H10969" s="19" t="s">
        <v>28</v>
      </c>
      <c r="I10969" s="18" t="s">
        <v>28</v>
      </c>
      <c r="J10969" s="18" t="s">
        <v>28</v>
      </c>
      <c r="K10969" s="18" t="s">
        <v>28</v>
      </c>
      <c r="L10969" s="18" t="s">
        <v>28</v>
      </c>
      <c r="M10969" s="18" t="s">
        <v>28</v>
      </c>
      <c r="N10969" s="17">
        <v>41382</v>
      </c>
      <c r="O10969" s="15" t="s">
        <v>30</v>
      </c>
      <c r="P10969" s="16" t="s">
        <v>4262</v>
      </c>
      <c r="Q10969" s="15" t="s">
        <v>75</v>
      </c>
      <c r="R10969" s="13" t="str">
        <f>HYPERLINK("https://my.pitchbook.com?c=89718-85T","View Company Online")</f>
        <v>View Company Online</v>
      </c>
    </row>
    <row r="10970" spans="1:18" hidden="1" x14ac:dyDescent="0.3">
      <c r="A10970" s="9" t="s">
        <v>30953</v>
      </c>
      <c r="B10970" s="9" t="s">
        <v>30954</v>
      </c>
      <c r="C10970" s="11" t="s">
        <v>28</v>
      </c>
      <c r="D10970" s="9" t="s">
        <v>30955</v>
      </c>
      <c r="E10970" s="11" t="s">
        <v>28</v>
      </c>
      <c r="F10970" s="10" t="s">
        <v>28</v>
      </c>
      <c r="G10970" s="10" t="s">
        <v>28</v>
      </c>
      <c r="H10970" s="10" t="s">
        <v>28</v>
      </c>
      <c r="I10970" s="11" t="s">
        <v>28</v>
      </c>
      <c r="J10970" s="11" t="s">
        <v>28</v>
      </c>
      <c r="K10970" s="11" t="s">
        <v>28</v>
      </c>
      <c r="L10970" s="11" t="s">
        <v>28</v>
      </c>
      <c r="M10970" s="11" t="s">
        <v>28</v>
      </c>
      <c r="N10970" s="8">
        <v>41382</v>
      </c>
      <c r="O10970" s="9" t="s">
        <v>173</v>
      </c>
      <c r="P10970" s="12" t="s">
        <v>28</v>
      </c>
      <c r="Q10970" s="9" t="s">
        <v>174</v>
      </c>
      <c r="R10970" s="14" t="str">
        <f>HYPERLINK("https://my.pitchbook.com?c=227020-06T","View Company Online")</f>
        <v>View Company Online</v>
      </c>
    </row>
    <row r="10971" spans="1:18" hidden="1" x14ac:dyDescent="0.3">
      <c r="A10971" s="15" t="s">
        <v>30956</v>
      </c>
      <c r="B10971" s="15" t="s">
        <v>29807</v>
      </c>
      <c r="C10971" s="18" t="s">
        <v>28</v>
      </c>
      <c r="D10971" s="15" t="s">
        <v>29808</v>
      </c>
      <c r="E10971" s="18" t="s">
        <v>28</v>
      </c>
      <c r="F10971" s="19">
        <v>39.92</v>
      </c>
      <c r="G10971" s="19">
        <v>39.92</v>
      </c>
      <c r="H10971" s="19">
        <v>39.92</v>
      </c>
      <c r="I10971" s="18" t="s">
        <v>28</v>
      </c>
      <c r="J10971" s="18" t="s">
        <v>28</v>
      </c>
      <c r="K10971" s="18">
        <v>70.41</v>
      </c>
      <c r="L10971" s="18">
        <v>0.56999999999999995</v>
      </c>
      <c r="M10971" s="18" t="s">
        <v>28</v>
      </c>
      <c r="N10971" s="17">
        <v>41381</v>
      </c>
      <c r="O10971" s="15" t="s">
        <v>30</v>
      </c>
      <c r="P10971" s="16" t="s">
        <v>28</v>
      </c>
      <c r="Q10971" s="15" t="s">
        <v>136</v>
      </c>
      <c r="R10971" s="13" t="str">
        <f>HYPERLINK("https://my.pitchbook.com?c=92934-37T","View Company Online")</f>
        <v>View Company Online</v>
      </c>
    </row>
    <row r="10972" spans="1:18" hidden="1" x14ac:dyDescent="0.3">
      <c r="A10972" s="9" t="s">
        <v>30957</v>
      </c>
      <c r="B10972" s="9" t="s">
        <v>30958</v>
      </c>
      <c r="C10972" s="11" t="s">
        <v>28</v>
      </c>
      <c r="D10972" s="9" t="s">
        <v>30959</v>
      </c>
      <c r="E10972" s="11" t="s">
        <v>28</v>
      </c>
      <c r="F10972" s="10" t="s">
        <v>28</v>
      </c>
      <c r="G10972" s="10" t="s">
        <v>28</v>
      </c>
      <c r="H10972" s="10" t="s">
        <v>28</v>
      </c>
      <c r="I10972" s="11" t="s">
        <v>28</v>
      </c>
      <c r="J10972" s="11" t="s">
        <v>28</v>
      </c>
      <c r="K10972" s="11" t="s">
        <v>28</v>
      </c>
      <c r="L10972" s="11" t="s">
        <v>28</v>
      </c>
      <c r="M10972" s="11" t="s">
        <v>28</v>
      </c>
      <c r="N10972" s="8">
        <v>41381</v>
      </c>
      <c r="O10972" s="9" t="s">
        <v>30</v>
      </c>
      <c r="P10972" s="12" t="s">
        <v>30960</v>
      </c>
      <c r="Q10972" s="9" t="s">
        <v>1088</v>
      </c>
      <c r="R10972" s="14" t="str">
        <f>HYPERLINK("https://my.pitchbook.com?c=89647-75T","View Company Online")</f>
        <v>View Company Online</v>
      </c>
    </row>
    <row r="10973" spans="1:18" hidden="1" x14ac:dyDescent="0.3">
      <c r="A10973" s="15" t="s">
        <v>30961</v>
      </c>
      <c r="B10973" s="15" t="s">
        <v>30962</v>
      </c>
      <c r="C10973" s="18" t="s">
        <v>28</v>
      </c>
      <c r="D10973" s="15" t="s">
        <v>30963</v>
      </c>
      <c r="E10973" s="18" t="s">
        <v>28</v>
      </c>
      <c r="F10973" s="19">
        <v>28.86</v>
      </c>
      <c r="G10973" s="19">
        <v>28.86</v>
      </c>
      <c r="H10973" s="19">
        <v>28.86</v>
      </c>
      <c r="I10973" s="18" t="s">
        <v>28</v>
      </c>
      <c r="J10973" s="18" t="s">
        <v>28</v>
      </c>
      <c r="K10973" s="18" t="s">
        <v>28</v>
      </c>
      <c r="L10973" s="18" t="s">
        <v>28</v>
      </c>
      <c r="M10973" s="18" t="s">
        <v>28</v>
      </c>
      <c r="N10973" s="17">
        <v>41380</v>
      </c>
      <c r="O10973" s="15" t="s">
        <v>30</v>
      </c>
      <c r="P10973" s="16" t="s">
        <v>30964</v>
      </c>
      <c r="Q10973" s="15" t="s">
        <v>404</v>
      </c>
      <c r="R10973" s="13" t="str">
        <f>HYPERLINK("https://my.pitchbook.com?c=70990-39T","View Company Online")</f>
        <v>View Company Online</v>
      </c>
    </row>
    <row r="10974" spans="1:18" hidden="1" x14ac:dyDescent="0.3">
      <c r="A10974" s="9" t="s">
        <v>30965</v>
      </c>
      <c r="B10974" s="9" t="s">
        <v>30966</v>
      </c>
      <c r="C10974" s="11" t="s">
        <v>28</v>
      </c>
      <c r="D10974" s="9" t="s">
        <v>30967</v>
      </c>
      <c r="E10974" s="11" t="s">
        <v>28</v>
      </c>
      <c r="F10974" s="10" t="s">
        <v>28</v>
      </c>
      <c r="G10974" s="10" t="s">
        <v>28</v>
      </c>
      <c r="H10974" s="10" t="s">
        <v>28</v>
      </c>
      <c r="I10974" s="11" t="s">
        <v>28</v>
      </c>
      <c r="J10974" s="11" t="s">
        <v>28</v>
      </c>
      <c r="K10974" s="11" t="s">
        <v>28</v>
      </c>
      <c r="L10974" s="11" t="s">
        <v>28</v>
      </c>
      <c r="M10974" s="11" t="s">
        <v>28</v>
      </c>
      <c r="N10974" s="8">
        <v>41379</v>
      </c>
      <c r="O10974" s="9" t="s">
        <v>173</v>
      </c>
      <c r="P10974" s="12" t="s">
        <v>28</v>
      </c>
      <c r="Q10974" s="9" t="s">
        <v>174</v>
      </c>
      <c r="R10974" s="14" t="str">
        <f>HYPERLINK("https://my.pitchbook.com?c=224054-38T","View Company Online")</f>
        <v>View Company Online</v>
      </c>
    </row>
    <row r="10975" spans="1:18" hidden="1" x14ac:dyDescent="0.3">
      <c r="A10975" s="15" t="s">
        <v>30968</v>
      </c>
      <c r="B10975" s="15" t="s">
        <v>30969</v>
      </c>
      <c r="C10975" s="18" t="s">
        <v>28</v>
      </c>
      <c r="D10975" s="15" t="s">
        <v>30970</v>
      </c>
      <c r="E10975" s="18" t="s">
        <v>28</v>
      </c>
      <c r="F10975" s="19" t="s">
        <v>28</v>
      </c>
      <c r="G10975" s="19" t="s">
        <v>28</v>
      </c>
      <c r="H10975" s="19" t="s">
        <v>28</v>
      </c>
      <c r="I10975" s="18" t="s">
        <v>28</v>
      </c>
      <c r="J10975" s="18" t="s">
        <v>28</v>
      </c>
      <c r="K10975" s="18">
        <v>9.23</v>
      </c>
      <c r="L10975" s="18" t="s">
        <v>28</v>
      </c>
      <c r="M10975" s="18" t="s">
        <v>28</v>
      </c>
      <c r="N10975" s="17">
        <v>41379</v>
      </c>
      <c r="O10975" s="15" t="s">
        <v>30</v>
      </c>
      <c r="P10975" s="16" t="s">
        <v>29357</v>
      </c>
      <c r="Q10975" s="15" t="s">
        <v>1793</v>
      </c>
      <c r="R10975" s="13" t="str">
        <f>HYPERLINK("https://my.pitchbook.com?c=70992-46T","View Company Online")</f>
        <v>View Company Online</v>
      </c>
    </row>
    <row r="10976" spans="1:18" hidden="1" x14ac:dyDescent="0.3">
      <c r="A10976" s="9" t="s">
        <v>30971</v>
      </c>
      <c r="B10976" s="9" t="s">
        <v>21331</v>
      </c>
      <c r="C10976" s="11" t="s">
        <v>28</v>
      </c>
      <c r="D10976" s="9" t="s">
        <v>21332</v>
      </c>
      <c r="E10976" s="11" t="s">
        <v>28</v>
      </c>
      <c r="F10976" s="10" t="s">
        <v>28</v>
      </c>
      <c r="G10976" s="10" t="s">
        <v>28</v>
      </c>
      <c r="H10976" s="10" t="s">
        <v>28</v>
      </c>
      <c r="I10976" s="11" t="s">
        <v>28</v>
      </c>
      <c r="J10976" s="11" t="s">
        <v>28</v>
      </c>
      <c r="K10976" s="11">
        <v>10.7</v>
      </c>
      <c r="L10976" s="11" t="s">
        <v>28</v>
      </c>
      <c r="M10976" s="11" t="s">
        <v>28</v>
      </c>
      <c r="N10976" s="8">
        <v>41379</v>
      </c>
      <c r="O10976" s="9" t="s">
        <v>41</v>
      </c>
      <c r="P10976" s="12" t="s">
        <v>30972</v>
      </c>
      <c r="Q10976" s="9" t="s">
        <v>136</v>
      </c>
      <c r="R10976" s="14" t="str">
        <f>HYPERLINK("https://my.pitchbook.com?c=32386-87T","View Company Online")</f>
        <v>View Company Online</v>
      </c>
    </row>
    <row r="10977" spans="1:18" hidden="1" x14ac:dyDescent="0.3">
      <c r="A10977" s="15" t="s">
        <v>30973</v>
      </c>
      <c r="B10977" s="15" t="s">
        <v>24222</v>
      </c>
      <c r="C10977" s="18" t="s">
        <v>28</v>
      </c>
      <c r="D10977" s="15" t="s">
        <v>24223</v>
      </c>
      <c r="E10977" s="18" t="s">
        <v>28</v>
      </c>
      <c r="F10977" s="19" t="s">
        <v>28</v>
      </c>
      <c r="G10977" s="19">
        <v>2</v>
      </c>
      <c r="H10977" s="19" t="s">
        <v>28</v>
      </c>
      <c r="I10977" s="18" t="s">
        <v>28</v>
      </c>
      <c r="J10977" s="18" t="s">
        <v>28</v>
      </c>
      <c r="K10977" s="18" t="s">
        <v>28</v>
      </c>
      <c r="L10977" s="18" t="s">
        <v>28</v>
      </c>
      <c r="M10977" s="18" t="s">
        <v>28</v>
      </c>
      <c r="N10977" s="17">
        <v>41375</v>
      </c>
      <c r="O10977" s="15" t="s">
        <v>99</v>
      </c>
      <c r="P10977" s="16" t="s">
        <v>30974</v>
      </c>
      <c r="Q10977" s="15" t="s">
        <v>75</v>
      </c>
      <c r="R10977" s="13" t="str">
        <f>HYPERLINK("https://my.pitchbook.com?c=52353-91T","View Company Online")</f>
        <v>View Company Online</v>
      </c>
    </row>
    <row r="10978" spans="1:18" hidden="1" x14ac:dyDescent="0.3">
      <c r="A10978" s="9" t="s">
        <v>30975</v>
      </c>
      <c r="B10978" s="9" t="s">
        <v>24616</v>
      </c>
      <c r="C10978" s="11" t="s">
        <v>28</v>
      </c>
      <c r="D10978" s="9" t="s">
        <v>24617</v>
      </c>
      <c r="E10978" s="11">
        <v>91.23</v>
      </c>
      <c r="F10978" s="10" t="s">
        <v>28</v>
      </c>
      <c r="G10978" s="10">
        <v>502.63</v>
      </c>
      <c r="H10978" s="10">
        <v>1261.29</v>
      </c>
      <c r="I10978" s="11">
        <v>91.23</v>
      </c>
      <c r="J10978" s="11">
        <v>13.82</v>
      </c>
      <c r="K10978" s="11">
        <v>384.96</v>
      </c>
      <c r="L10978" s="11">
        <v>3.28</v>
      </c>
      <c r="M10978" s="11">
        <v>60.05</v>
      </c>
      <c r="N10978" s="8">
        <v>41374</v>
      </c>
      <c r="O10978" s="9" t="s">
        <v>173</v>
      </c>
      <c r="P10978" s="12" t="s">
        <v>27092</v>
      </c>
      <c r="Q10978" s="9" t="s">
        <v>566</v>
      </c>
      <c r="R10978" s="14" t="str">
        <f>HYPERLINK("https://my.pitchbook.com?c=25358-68T","View Company Online")</f>
        <v>View Company Online</v>
      </c>
    </row>
    <row r="10979" spans="1:18" hidden="1" x14ac:dyDescent="0.3">
      <c r="A10979" s="15" t="s">
        <v>30976</v>
      </c>
      <c r="B10979" s="15" t="s">
        <v>30977</v>
      </c>
      <c r="C10979" s="18" t="s">
        <v>28</v>
      </c>
      <c r="D10979" s="15" t="s">
        <v>30978</v>
      </c>
      <c r="E10979" s="18" t="s">
        <v>28</v>
      </c>
      <c r="F10979" s="19" t="s">
        <v>28</v>
      </c>
      <c r="G10979" s="19" t="s">
        <v>28</v>
      </c>
      <c r="H10979" s="19" t="s">
        <v>28</v>
      </c>
      <c r="I10979" s="18" t="s">
        <v>28</v>
      </c>
      <c r="J10979" s="18" t="s">
        <v>28</v>
      </c>
      <c r="K10979" s="18" t="s">
        <v>28</v>
      </c>
      <c r="L10979" s="18" t="s">
        <v>28</v>
      </c>
      <c r="M10979" s="18" t="s">
        <v>28</v>
      </c>
      <c r="N10979" s="17">
        <v>41374</v>
      </c>
      <c r="O10979" s="15" t="s">
        <v>30</v>
      </c>
      <c r="P10979" s="16" t="s">
        <v>30979</v>
      </c>
      <c r="Q10979" s="15" t="s">
        <v>75</v>
      </c>
      <c r="R10979" s="13" t="str">
        <f>HYPERLINK("https://my.pitchbook.com?c=40078-72T","View Company Online")</f>
        <v>View Company Online</v>
      </c>
    </row>
    <row r="10980" spans="1:18" hidden="1" x14ac:dyDescent="0.3">
      <c r="A10980" s="9" t="s">
        <v>30980</v>
      </c>
      <c r="B10980" s="9" t="s">
        <v>30981</v>
      </c>
      <c r="C10980" s="11" t="s">
        <v>28</v>
      </c>
      <c r="D10980" s="9" t="s">
        <v>30982</v>
      </c>
      <c r="E10980" s="11">
        <v>20.350000000000001</v>
      </c>
      <c r="F10980" s="10" t="s">
        <v>28</v>
      </c>
      <c r="G10980" s="10">
        <v>164.9</v>
      </c>
      <c r="H10980" s="10" t="s">
        <v>28</v>
      </c>
      <c r="I10980" s="11">
        <v>111.4</v>
      </c>
      <c r="J10980" s="11" t="s">
        <v>28</v>
      </c>
      <c r="K10980" s="11">
        <v>536.6</v>
      </c>
      <c r="L10980" s="11" t="s">
        <v>28</v>
      </c>
      <c r="M10980" s="11">
        <v>6.18</v>
      </c>
      <c r="N10980" s="8">
        <v>41373</v>
      </c>
      <c r="O10980" s="9" t="s">
        <v>159</v>
      </c>
      <c r="P10980" s="12" t="s">
        <v>24775</v>
      </c>
      <c r="Q10980" s="9" t="s">
        <v>299</v>
      </c>
      <c r="R10980" s="14" t="str">
        <f>HYPERLINK("https://my.pitchbook.com?c=213094-63T","View Company Online")</f>
        <v>View Company Online</v>
      </c>
    </row>
    <row r="10981" spans="1:18" hidden="1" x14ac:dyDescent="0.3">
      <c r="A10981" s="15" t="s">
        <v>30983</v>
      </c>
      <c r="B10981" s="15" t="s">
        <v>30984</v>
      </c>
      <c r="C10981" s="18" t="s">
        <v>28</v>
      </c>
      <c r="D10981" s="15" t="s">
        <v>30985</v>
      </c>
      <c r="E10981" s="18" t="s">
        <v>28</v>
      </c>
      <c r="F10981" s="19">
        <v>452.28</v>
      </c>
      <c r="G10981" s="19">
        <v>452.28</v>
      </c>
      <c r="H10981" s="19">
        <v>452.28</v>
      </c>
      <c r="I10981" s="18" t="s">
        <v>28</v>
      </c>
      <c r="J10981" s="18" t="s">
        <v>28</v>
      </c>
      <c r="K10981" s="18" t="s">
        <v>28</v>
      </c>
      <c r="L10981" s="18" t="s">
        <v>28</v>
      </c>
      <c r="M10981" s="18" t="s">
        <v>28</v>
      </c>
      <c r="N10981" s="17">
        <v>41372</v>
      </c>
      <c r="O10981" s="15" t="s">
        <v>30</v>
      </c>
      <c r="P10981" s="16" t="s">
        <v>30986</v>
      </c>
      <c r="Q10981" s="15" t="s">
        <v>136</v>
      </c>
      <c r="R10981" s="13" t="str">
        <f>HYPERLINK("https://my.pitchbook.com?c=59792-23T","View Company Online")</f>
        <v>View Company Online</v>
      </c>
    </row>
    <row r="10982" spans="1:18" hidden="1" x14ac:dyDescent="0.3">
      <c r="A10982" s="9" t="s">
        <v>30987</v>
      </c>
      <c r="B10982" s="9" t="s">
        <v>30988</v>
      </c>
      <c r="C10982" s="11" t="s">
        <v>28</v>
      </c>
      <c r="D10982" s="9" t="s">
        <v>30989</v>
      </c>
      <c r="E10982" s="11" t="s">
        <v>28</v>
      </c>
      <c r="F10982" s="10" t="s">
        <v>28</v>
      </c>
      <c r="G10982" s="10">
        <v>7.51</v>
      </c>
      <c r="H10982" s="10">
        <v>20.65</v>
      </c>
      <c r="I10982" s="11" t="s">
        <v>28</v>
      </c>
      <c r="J10982" s="11" t="s">
        <v>28</v>
      </c>
      <c r="K10982" s="11" t="s">
        <v>28</v>
      </c>
      <c r="L10982" s="11" t="s">
        <v>28</v>
      </c>
      <c r="M10982" s="11" t="s">
        <v>28</v>
      </c>
      <c r="N10982" s="8">
        <v>41370</v>
      </c>
      <c r="O10982" s="9" t="s">
        <v>93</v>
      </c>
      <c r="P10982" s="12" t="s">
        <v>28484</v>
      </c>
      <c r="Q10982" s="9" t="s">
        <v>8669</v>
      </c>
      <c r="R10982" s="14" t="str">
        <f>HYPERLINK("https://my.pitchbook.com?c=124417-36T","View Company Online")</f>
        <v>View Company Online</v>
      </c>
    </row>
    <row r="10983" spans="1:18" hidden="1" x14ac:dyDescent="0.3">
      <c r="A10983" s="15" t="s">
        <v>30990</v>
      </c>
      <c r="B10983" s="15" t="s">
        <v>239</v>
      </c>
      <c r="C10983" s="18" t="s">
        <v>28</v>
      </c>
      <c r="D10983" s="15" t="s">
        <v>4519</v>
      </c>
      <c r="E10983" s="18" t="s">
        <v>28</v>
      </c>
      <c r="F10983" s="19" t="s">
        <v>28</v>
      </c>
      <c r="G10983" s="19">
        <v>3</v>
      </c>
      <c r="H10983" s="19" t="s">
        <v>28</v>
      </c>
      <c r="I10983" s="18" t="s">
        <v>28</v>
      </c>
      <c r="J10983" s="18" t="s">
        <v>28</v>
      </c>
      <c r="K10983" s="18" t="s">
        <v>28</v>
      </c>
      <c r="L10983" s="18" t="s">
        <v>28</v>
      </c>
      <c r="M10983" s="18" t="s">
        <v>28</v>
      </c>
      <c r="N10983" s="17">
        <v>41370</v>
      </c>
      <c r="O10983" s="15" t="s">
        <v>73</v>
      </c>
      <c r="P10983" s="16" t="s">
        <v>30991</v>
      </c>
      <c r="Q10983" s="15" t="s">
        <v>95</v>
      </c>
      <c r="R10983" s="13" t="str">
        <f>HYPERLINK("https://my.pitchbook.com?c=36920-80T","View Company Online")</f>
        <v>View Company Online</v>
      </c>
    </row>
    <row r="10984" spans="1:18" hidden="1" x14ac:dyDescent="0.3">
      <c r="A10984" s="9" t="s">
        <v>30992</v>
      </c>
      <c r="B10984" s="9" t="s">
        <v>22597</v>
      </c>
      <c r="C10984" s="11" t="s">
        <v>28</v>
      </c>
      <c r="D10984" s="9" t="s">
        <v>22598</v>
      </c>
      <c r="E10984" s="11" t="s">
        <v>28</v>
      </c>
      <c r="F10984" s="10" t="s">
        <v>28</v>
      </c>
      <c r="G10984" s="10" t="s">
        <v>28</v>
      </c>
      <c r="H10984" s="10" t="s">
        <v>28</v>
      </c>
      <c r="I10984" s="11" t="s">
        <v>28</v>
      </c>
      <c r="J10984" s="11" t="s">
        <v>28</v>
      </c>
      <c r="K10984" s="11" t="s">
        <v>28</v>
      </c>
      <c r="L10984" s="11" t="s">
        <v>28</v>
      </c>
      <c r="M10984" s="11" t="s">
        <v>28</v>
      </c>
      <c r="N10984" s="8">
        <v>41368</v>
      </c>
      <c r="O10984" s="9" t="s">
        <v>73</v>
      </c>
      <c r="P10984" s="12" t="s">
        <v>30993</v>
      </c>
      <c r="Q10984" s="9" t="s">
        <v>188</v>
      </c>
      <c r="R10984" s="14" t="str">
        <f>HYPERLINK("https://my.pitchbook.com?c=33443-92T","View Company Online")</f>
        <v>View Company Online</v>
      </c>
    </row>
    <row r="10985" spans="1:18" hidden="1" x14ac:dyDescent="0.3">
      <c r="A10985" s="15" t="s">
        <v>30994</v>
      </c>
      <c r="B10985" s="15" t="s">
        <v>30995</v>
      </c>
      <c r="C10985" s="18" t="s">
        <v>28</v>
      </c>
      <c r="D10985" s="15" t="s">
        <v>30996</v>
      </c>
      <c r="E10985" s="18" t="s">
        <v>28</v>
      </c>
      <c r="F10985" s="19" t="s">
        <v>28</v>
      </c>
      <c r="G10985" s="19" t="s">
        <v>28</v>
      </c>
      <c r="H10985" s="19" t="s">
        <v>28</v>
      </c>
      <c r="I10985" s="18" t="s">
        <v>28</v>
      </c>
      <c r="J10985" s="18" t="s">
        <v>28</v>
      </c>
      <c r="K10985" s="18" t="s">
        <v>28</v>
      </c>
      <c r="L10985" s="18" t="s">
        <v>28</v>
      </c>
      <c r="M10985" s="18" t="s">
        <v>28</v>
      </c>
      <c r="N10985" s="17">
        <v>41367</v>
      </c>
      <c r="O10985" s="15" t="s">
        <v>30</v>
      </c>
      <c r="P10985" s="16" t="s">
        <v>30997</v>
      </c>
      <c r="Q10985" s="15" t="s">
        <v>136</v>
      </c>
      <c r="R10985" s="13" t="str">
        <f>HYPERLINK("https://my.pitchbook.com?c=89687-62T","View Company Online")</f>
        <v>View Company Online</v>
      </c>
    </row>
    <row r="10986" spans="1:18" hidden="1" x14ac:dyDescent="0.3">
      <c r="A10986" s="9" t="s">
        <v>30998</v>
      </c>
      <c r="B10986" s="9" t="s">
        <v>30999</v>
      </c>
      <c r="C10986" s="11" t="s">
        <v>28</v>
      </c>
      <c r="D10986" s="9" t="s">
        <v>31000</v>
      </c>
      <c r="E10986" s="11" t="s">
        <v>28</v>
      </c>
      <c r="F10986" s="10" t="s">
        <v>28</v>
      </c>
      <c r="G10986" s="10" t="s">
        <v>28</v>
      </c>
      <c r="H10986" s="10" t="s">
        <v>28</v>
      </c>
      <c r="I10986" s="11" t="s">
        <v>28</v>
      </c>
      <c r="J10986" s="11" t="s">
        <v>28</v>
      </c>
      <c r="K10986" s="11" t="s">
        <v>28</v>
      </c>
      <c r="L10986" s="11" t="s">
        <v>28</v>
      </c>
      <c r="M10986" s="11" t="s">
        <v>28</v>
      </c>
      <c r="N10986" s="8">
        <v>41366</v>
      </c>
      <c r="O10986" s="9" t="s">
        <v>30</v>
      </c>
      <c r="P10986" s="12" t="s">
        <v>31001</v>
      </c>
      <c r="Q10986" s="9" t="s">
        <v>6142</v>
      </c>
      <c r="R10986" s="14" t="str">
        <f>HYPERLINK("https://my.pitchbook.com?c=96010-57T","View Company Online")</f>
        <v>View Company Online</v>
      </c>
    </row>
    <row r="10987" spans="1:18" hidden="1" x14ac:dyDescent="0.3">
      <c r="A10987" s="15" t="s">
        <v>31002</v>
      </c>
      <c r="B10987" s="15" t="s">
        <v>31003</v>
      </c>
      <c r="C10987" s="18" t="s">
        <v>28</v>
      </c>
      <c r="D10987" s="15" t="s">
        <v>31004</v>
      </c>
      <c r="E10987" s="18" t="s">
        <v>28</v>
      </c>
      <c r="F10987" s="19" t="s">
        <v>28</v>
      </c>
      <c r="G10987" s="19" t="s">
        <v>28</v>
      </c>
      <c r="H10987" s="19" t="s">
        <v>28</v>
      </c>
      <c r="I10987" s="18" t="s">
        <v>28</v>
      </c>
      <c r="J10987" s="18" t="s">
        <v>28</v>
      </c>
      <c r="K10987" s="18" t="s">
        <v>28</v>
      </c>
      <c r="L10987" s="18" t="s">
        <v>28</v>
      </c>
      <c r="M10987" s="18" t="s">
        <v>28</v>
      </c>
      <c r="N10987" s="17">
        <v>41366</v>
      </c>
      <c r="O10987" s="15" t="s">
        <v>30</v>
      </c>
      <c r="P10987" s="16" t="s">
        <v>31005</v>
      </c>
      <c r="Q10987" s="15" t="s">
        <v>15521</v>
      </c>
      <c r="R10987" s="13" t="str">
        <f>HYPERLINK("https://my.pitchbook.com?c=49394-71T","View Company Online")</f>
        <v>View Company Online</v>
      </c>
    </row>
    <row r="10988" spans="1:18" hidden="1" x14ac:dyDescent="0.3">
      <c r="A10988" s="9" t="s">
        <v>31006</v>
      </c>
      <c r="B10988" s="9" t="s">
        <v>31007</v>
      </c>
      <c r="C10988" s="11" t="s">
        <v>28</v>
      </c>
      <c r="D10988" s="9" t="s">
        <v>31008</v>
      </c>
      <c r="E10988" s="11" t="s">
        <v>28</v>
      </c>
      <c r="F10988" s="10" t="s">
        <v>28</v>
      </c>
      <c r="G10988" s="10">
        <v>1.4</v>
      </c>
      <c r="H10988" s="10" t="s">
        <v>28</v>
      </c>
      <c r="I10988" s="11" t="s">
        <v>28</v>
      </c>
      <c r="J10988" s="11" t="s">
        <v>28</v>
      </c>
      <c r="K10988" s="11" t="s">
        <v>28</v>
      </c>
      <c r="L10988" s="11" t="s">
        <v>28</v>
      </c>
      <c r="M10988" s="11" t="s">
        <v>28</v>
      </c>
      <c r="N10988" s="8">
        <v>41365</v>
      </c>
      <c r="O10988" s="9" t="s">
        <v>93</v>
      </c>
      <c r="P10988" s="12" t="s">
        <v>31009</v>
      </c>
      <c r="Q10988" s="9" t="s">
        <v>880</v>
      </c>
      <c r="R10988" s="14" t="str">
        <f>HYPERLINK("https://my.pitchbook.com?c=54596-71T","View Company Online")</f>
        <v>View Company Online</v>
      </c>
    </row>
    <row r="10989" spans="1:18" hidden="1" x14ac:dyDescent="0.3">
      <c r="A10989" s="15" t="s">
        <v>31010</v>
      </c>
      <c r="B10989" s="15" t="s">
        <v>31011</v>
      </c>
      <c r="C10989" s="18" t="s">
        <v>28</v>
      </c>
      <c r="D10989" s="15" t="s">
        <v>31012</v>
      </c>
      <c r="E10989" s="18" t="s">
        <v>28</v>
      </c>
      <c r="F10989" s="19" t="s">
        <v>28</v>
      </c>
      <c r="G10989" s="19" t="s">
        <v>28</v>
      </c>
      <c r="H10989" s="19" t="s">
        <v>28</v>
      </c>
      <c r="I10989" s="18" t="s">
        <v>28</v>
      </c>
      <c r="J10989" s="18" t="s">
        <v>28</v>
      </c>
      <c r="K10989" s="18" t="s">
        <v>28</v>
      </c>
      <c r="L10989" s="18" t="s">
        <v>28</v>
      </c>
      <c r="M10989" s="18" t="s">
        <v>28</v>
      </c>
      <c r="N10989" s="17">
        <v>41365</v>
      </c>
      <c r="O10989" s="15" t="s">
        <v>73</v>
      </c>
      <c r="P10989" s="16" t="s">
        <v>611</v>
      </c>
      <c r="Q10989" s="15" t="s">
        <v>386</v>
      </c>
      <c r="R10989" s="13" t="str">
        <f>HYPERLINK("https://my.pitchbook.com?c=138527-20T","View Company Online")</f>
        <v>View Company Online</v>
      </c>
    </row>
    <row r="10990" spans="1:18" hidden="1" x14ac:dyDescent="0.3">
      <c r="A10990" s="9" t="s">
        <v>31013</v>
      </c>
      <c r="B10990" s="9" t="s">
        <v>31014</v>
      </c>
      <c r="C10990" s="11" t="s">
        <v>28</v>
      </c>
      <c r="D10990" s="9" t="s">
        <v>31015</v>
      </c>
      <c r="E10990" s="11" t="s">
        <v>28</v>
      </c>
      <c r="F10990" s="10" t="s">
        <v>28</v>
      </c>
      <c r="G10990" s="10" t="s">
        <v>28</v>
      </c>
      <c r="H10990" s="10" t="s">
        <v>28</v>
      </c>
      <c r="I10990" s="11" t="s">
        <v>28</v>
      </c>
      <c r="J10990" s="11" t="s">
        <v>28</v>
      </c>
      <c r="K10990" s="11" t="s">
        <v>28</v>
      </c>
      <c r="L10990" s="11" t="s">
        <v>28</v>
      </c>
      <c r="M10990" s="11" t="s">
        <v>28</v>
      </c>
      <c r="N10990" s="8">
        <v>41365</v>
      </c>
      <c r="O10990" s="9" t="s">
        <v>30</v>
      </c>
      <c r="P10990" s="12" t="s">
        <v>31016</v>
      </c>
      <c r="Q10990" s="9" t="s">
        <v>774</v>
      </c>
      <c r="R10990" s="14" t="str">
        <f>HYPERLINK("https://my.pitchbook.com?c=89590-42T","View Company Online")</f>
        <v>View Company Online</v>
      </c>
    </row>
    <row r="10991" spans="1:18" hidden="1" x14ac:dyDescent="0.3">
      <c r="A10991" s="15" t="s">
        <v>31017</v>
      </c>
      <c r="B10991" s="15" t="s">
        <v>8778</v>
      </c>
      <c r="C10991" s="18" t="s">
        <v>28</v>
      </c>
      <c r="D10991" s="15" t="s">
        <v>8779</v>
      </c>
      <c r="E10991" s="18" t="s">
        <v>28</v>
      </c>
      <c r="F10991" s="19" t="s">
        <v>28</v>
      </c>
      <c r="G10991" s="19" t="s">
        <v>28</v>
      </c>
      <c r="H10991" s="19" t="s">
        <v>28</v>
      </c>
      <c r="I10991" s="18" t="s">
        <v>28</v>
      </c>
      <c r="J10991" s="18" t="s">
        <v>28</v>
      </c>
      <c r="K10991" s="18" t="s">
        <v>28</v>
      </c>
      <c r="L10991" s="18" t="s">
        <v>28</v>
      </c>
      <c r="M10991" s="18" t="s">
        <v>28</v>
      </c>
      <c r="N10991" s="17">
        <v>41365</v>
      </c>
      <c r="O10991" s="15" t="s">
        <v>99</v>
      </c>
      <c r="P10991" s="16" t="s">
        <v>31018</v>
      </c>
      <c r="Q10991" s="15" t="s">
        <v>75</v>
      </c>
      <c r="R10991" s="13" t="str">
        <f>HYPERLINK("https://my.pitchbook.com?c=27576-73T","View Company Online")</f>
        <v>View Company Online</v>
      </c>
    </row>
    <row r="10992" spans="1:18" hidden="1" x14ac:dyDescent="0.3">
      <c r="A10992" s="9" t="s">
        <v>31019</v>
      </c>
      <c r="B10992" s="9" t="s">
        <v>31020</v>
      </c>
      <c r="C10992" s="11" t="s">
        <v>28</v>
      </c>
      <c r="D10992" s="9" t="s">
        <v>31021</v>
      </c>
      <c r="E10992" s="11" t="s">
        <v>28</v>
      </c>
      <c r="F10992" s="10" t="s">
        <v>28</v>
      </c>
      <c r="G10992" s="10" t="s">
        <v>28</v>
      </c>
      <c r="H10992" s="10" t="s">
        <v>28</v>
      </c>
      <c r="I10992" s="11" t="s">
        <v>28</v>
      </c>
      <c r="J10992" s="11" t="s">
        <v>28</v>
      </c>
      <c r="K10992" s="11">
        <v>50</v>
      </c>
      <c r="L10992" s="11" t="s">
        <v>28</v>
      </c>
      <c r="M10992" s="11" t="s">
        <v>28</v>
      </c>
      <c r="N10992" s="8">
        <v>41365</v>
      </c>
      <c r="O10992" s="9" t="s">
        <v>93</v>
      </c>
      <c r="P10992" s="12" t="s">
        <v>9964</v>
      </c>
      <c r="Q10992" s="9" t="s">
        <v>95</v>
      </c>
      <c r="R10992" s="14" t="str">
        <f>HYPERLINK("https://my.pitchbook.com?c=124147-63T","View Company Online")</f>
        <v>View Company Online</v>
      </c>
    </row>
    <row r="10993" spans="1:18" hidden="1" x14ac:dyDescent="0.3">
      <c r="A10993" s="15" t="s">
        <v>31022</v>
      </c>
      <c r="B10993" s="15" t="s">
        <v>27173</v>
      </c>
      <c r="C10993" s="18" t="s">
        <v>28</v>
      </c>
      <c r="D10993" s="15" t="s">
        <v>27174</v>
      </c>
      <c r="E10993" s="18" t="s">
        <v>28</v>
      </c>
      <c r="F10993" s="19" t="s">
        <v>28</v>
      </c>
      <c r="G10993" s="19">
        <v>0.05</v>
      </c>
      <c r="H10993" s="19" t="s">
        <v>28</v>
      </c>
      <c r="I10993" s="18" t="s">
        <v>28</v>
      </c>
      <c r="J10993" s="18" t="s">
        <v>28</v>
      </c>
      <c r="K10993" s="18" t="s">
        <v>28</v>
      </c>
      <c r="L10993" s="18" t="s">
        <v>28</v>
      </c>
      <c r="M10993" s="18" t="s">
        <v>28</v>
      </c>
      <c r="N10993" s="17">
        <v>41365</v>
      </c>
      <c r="O10993" s="15" t="s">
        <v>99</v>
      </c>
      <c r="P10993" s="16" t="s">
        <v>23782</v>
      </c>
      <c r="Q10993" s="15" t="s">
        <v>1191</v>
      </c>
      <c r="R10993" s="13" t="str">
        <f>HYPERLINK("https://my.pitchbook.com?c=25992-37T","View Company Online")</f>
        <v>View Company Online</v>
      </c>
    </row>
    <row r="10994" spans="1:18" hidden="1" x14ac:dyDescent="0.3">
      <c r="A10994" s="9" t="s">
        <v>31023</v>
      </c>
      <c r="B10994" s="9" t="s">
        <v>31024</v>
      </c>
      <c r="C10994" s="11" t="s">
        <v>28</v>
      </c>
      <c r="D10994" s="9" t="s">
        <v>31025</v>
      </c>
      <c r="E10994" s="11" t="s">
        <v>28</v>
      </c>
      <c r="F10994" s="10" t="s">
        <v>28</v>
      </c>
      <c r="G10994" s="10">
        <v>0.05</v>
      </c>
      <c r="H10994" s="10" t="s">
        <v>28</v>
      </c>
      <c r="I10994" s="11" t="s">
        <v>28</v>
      </c>
      <c r="J10994" s="11" t="s">
        <v>28</v>
      </c>
      <c r="K10994" s="11" t="s">
        <v>28</v>
      </c>
      <c r="L10994" s="11" t="s">
        <v>28</v>
      </c>
      <c r="M10994" s="11" t="s">
        <v>28</v>
      </c>
      <c r="N10994" s="8">
        <v>41365</v>
      </c>
      <c r="O10994" s="9" t="s">
        <v>52</v>
      </c>
      <c r="P10994" s="12" t="s">
        <v>24901</v>
      </c>
      <c r="Q10994" s="9" t="s">
        <v>3912</v>
      </c>
      <c r="R10994" s="14" t="str">
        <f>HYPERLINK("https://my.pitchbook.com?c=61560-91T","View Company Online")</f>
        <v>View Company Online</v>
      </c>
    </row>
    <row r="10995" spans="1:18" hidden="1" x14ac:dyDescent="0.3">
      <c r="A10995" s="15" t="s">
        <v>31026</v>
      </c>
      <c r="B10995" s="15" t="s">
        <v>4785</v>
      </c>
      <c r="C10995" s="18" t="s">
        <v>28</v>
      </c>
      <c r="D10995" s="15" t="s">
        <v>4786</v>
      </c>
      <c r="E10995" s="18" t="s">
        <v>28</v>
      </c>
      <c r="F10995" s="19">
        <v>103.12</v>
      </c>
      <c r="G10995" s="19">
        <v>61.87</v>
      </c>
      <c r="H10995" s="19">
        <v>103.12</v>
      </c>
      <c r="I10995" s="18" t="s">
        <v>28</v>
      </c>
      <c r="J10995" s="18" t="s">
        <v>28</v>
      </c>
      <c r="K10995" s="18" t="s">
        <v>28</v>
      </c>
      <c r="L10995" s="18" t="s">
        <v>28</v>
      </c>
      <c r="M10995" s="18" t="s">
        <v>28</v>
      </c>
      <c r="N10995" s="17">
        <v>41360</v>
      </c>
      <c r="O10995" s="15" t="s">
        <v>30</v>
      </c>
      <c r="P10995" s="16" t="s">
        <v>31027</v>
      </c>
      <c r="Q10995" s="15" t="s">
        <v>136</v>
      </c>
      <c r="R10995" s="13" t="str">
        <f>HYPERLINK("https://my.pitchbook.com?c=75015-19T","View Company Online")</f>
        <v>View Company Online</v>
      </c>
    </row>
    <row r="10996" spans="1:18" hidden="1" x14ac:dyDescent="0.3">
      <c r="A10996" s="9" t="s">
        <v>31028</v>
      </c>
      <c r="B10996" s="9" t="s">
        <v>31029</v>
      </c>
      <c r="C10996" s="11" t="s">
        <v>28</v>
      </c>
      <c r="D10996" s="9" t="s">
        <v>31030</v>
      </c>
      <c r="E10996" s="11" t="s">
        <v>28</v>
      </c>
      <c r="F10996" s="10" t="s">
        <v>28</v>
      </c>
      <c r="G10996" s="10" t="s">
        <v>28</v>
      </c>
      <c r="H10996" s="10" t="s">
        <v>28</v>
      </c>
      <c r="I10996" s="11" t="s">
        <v>28</v>
      </c>
      <c r="J10996" s="11" t="s">
        <v>28</v>
      </c>
      <c r="K10996" s="11" t="s">
        <v>28</v>
      </c>
      <c r="L10996" s="11" t="s">
        <v>28</v>
      </c>
      <c r="M10996" s="11" t="s">
        <v>28</v>
      </c>
      <c r="N10996" s="8">
        <v>41360</v>
      </c>
      <c r="O10996" s="9" t="s">
        <v>73</v>
      </c>
      <c r="P10996" s="12" t="s">
        <v>31031</v>
      </c>
      <c r="Q10996" s="9" t="s">
        <v>285</v>
      </c>
      <c r="R10996" s="14" t="str">
        <f>HYPERLINK("https://my.pitchbook.com?c=36915-40T","View Company Online")</f>
        <v>View Company Online</v>
      </c>
    </row>
    <row r="10997" spans="1:18" hidden="1" x14ac:dyDescent="0.3">
      <c r="A10997" s="15" t="s">
        <v>31032</v>
      </c>
      <c r="B10997" s="15" t="s">
        <v>17131</v>
      </c>
      <c r="C10997" s="18" t="s">
        <v>28</v>
      </c>
      <c r="D10997" s="15" t="s">
        <v>17132</v>
      </c>
      <c r="E10997" s="18" t="s">
        <v>28</v>
      </c>
      <c r="F10997" s="19" t="s">
        <v>28</v>
      </c>
      <c r="G10997" s="19">
        <v>5.04</v>
      </c>
      <c r="H10997" s="19">
        <v>20.14</v>
      </c>
      <c r="I10997" s="18" t="s">
        <v>28</v>
      </c>
      <c r="J10997" s="18" t="s">
        <v>28</v>
      </c>
      <c r="K10997" s="18" t="s">
        <v>28</v>
      </c>
      <c r="L10997" s="18" t="s">
        <v>28</v>
      </c>
      <c r="M10997" s="18" t="s">
        <v>28</v>
      </c>
      <c r="N10997" s="17">
        <v>41360</v>
      </c>
      <c r="O10997" s="15" t="s">
        <v>93</v>
      </c>
      <c r="P10997" s="16" t="s">
        <v>31033</v>
      </c>
      <c r="Q10997" s="15" t="s">
        <v>75</v>
      </c>
      <c r="R10997" s="13" t="str">
        <f>HYPERLINK("https://my.pitchbook.com?c=61323-40T","View Company Online")</f>
        <v>View Company Online</v>
      </c>
    </row>
    <row r="10998" spans="1:18" hidden="1" x14ac:dyDescent="0.3">
      <c r="A10998" s="9" t="s">
        <v>31034</v>
      </c>
      <c r="B10998" s="9" t="s">
        <v>30312</v>
      </c>
      <c r="C10998" s="11" t="s">
        <v>28</v>
      </c>
      <c r="D10998" s="9" t="s">
        <v>30313</v>
      </c>
      <c r="E10998" s="11" t="s">
        <v>28</v>
      </c>
      <c r="F10998" s="10" t="s">
        <v>28</v>
      </c>
      <c r="G10998" s="10">
        <v>1</v>
      </c>
      <c r="H10998" s="10" t="s">
        <v>28</v>
      </c>
      <c r="I10998" s="11" t="s">
        <v>28</v>
      </c>
      <c r="J10998" s="11" t="s">
        <v>28</v>
      </c>
      <c r="K10998" s="11" t="s">
        <v>28</v>
      </c>
      <c r="L10998" s="11" t="s">
        <v>28</v>
      </c>
      <c r="M10998" s="11" t="s">
        <v>28</v>
      </c>
      <c r="N10998" s="8">
        <v>41360</v>
      </c>
      <c r="O10998" s="9" t="s">
        <v>99</v>
      </c>
      <c r="P10998" s="12" t="s">
        <v>31035</v>
      </c>
      <c r="Q10998" s="9" t="s">
        <v>386</v>
      </c>
      <c r="R10998" s="14" t="str">
        <f>HYPERLINK("https://my.pitchbook.com?c=33957-19T","View Company Online")</f>
        <v>View Company Online</v>
      </c>
    </row>
    <row r="10999" spans="1:18" hidden="1" x14ac:dyDescent="0.3">
      <c r="A10999" s="15" t="s">
        <v>31036</v>
      </c>
      <c r="B10999" s="15" t="s">
        <v>29302</v>
      </c>
      <c r="C10999" s="18" t="s">
        <v>28</v>
      </c>
      <c r="D10999" s="15" t="s">
        <v>29325</v>
      </c>
      <c r="E10999" s="18" t="s">
        <v>28</v>
      </c>
      <c r="F10999" s="19" t="s">
        <v>28</v>
      </c>
      <c r="G10999" s="19">
        <v>10.199999999999999</v>
      </c>
      <c r="H10999" s="19" t="s">
        <v>28</v>
      </c>
      <c r="I10999" s="18" t="s">
        <v>28</v>
      </c>
      <c r="J10999" s="18" t="s">
        <v>28</v>
      </c>
      <c r="K10999" s="18" t="s">
        <v>28</v>
      </c>
      <c r="L10999" s="18" t="s">
        <v>28</v>
      </c>
      <c r="M10999" s="18" t="s">
        <v>28</v>
      </c>
      <c r="N10999" s="17">
        <v>41359</v>
      </c>
      <c r="O10999" s="15" t="s">
        <v>73</v>
      </c>
      <c r="P10999" s="16" t="s">
        <v>31037</v>
      </c>
      <c r="Q10999" s="15" t="s">
        <v>740</v>
      </c>
      <c r="R10999" s="13" t="str">
        <f>HYPERLINK("https://my.pitchbook.com?c=25473-79T","View Company Online")</f>
        <v>View Company Online</v>
      </c>
    </row>
    <row r="11000" spans="1:18" x14ac:dyDescent="0.3">
      <c r="A11000" s="9" t="s">
        <v>31038</v>
      </c>
      <c r="B11000" s="9" t="s">
        <v>31039</v>
      </c>
      <c r="C11000" s="11">
        <v>12.76</v>
      </c>
      <c r="D11000" s="9" t="s">
        <v>31040</v>
      </c>
      <c r="E11000" s="11" t="s">
        <v>28</v>
      </c>
      <c r="F11000" s="10">
        <v>91.83</v>
      </c>
      <c r="G11000" s="10">
        <v>91.83</v>
      </c>
      <c r="H11000" s="10">
        <v>91.83</v>
      </c>
      <c r="I11000" s="11">
        <v>7.19</v>
      </c>
      <c r="J11000" s="11">
        <v>12.76</v>
      </c>
      <c r="K11000" s="11">
        <v>56.69</v>
      </c>
      <c r="L11000" s="11">
        <v>1.62</v>
      </c>
      <c r="M11000" s="11">
        <v>6.07</v>
      </c>
      <c r="N11000" s="8">
        <v>41358</v>
      </c>
      <c r="O11000" s="9" t="s">
        <v>30</v>
      </c>
      <c r="P11000" s="12" t="s">
        <v>31041</v>
      </c>
      <c r="Q11000" s="9" t="s">
        <v>1643</v>
      </c>
      <c r="R11000" s="14" t="str">
        <f>HYPERLINK("https://my.pitchbook.com?c=293968-36T","View Company Online")</f>
        <v>View Company Online</v>
      </c>
    </row>
    <row r="11001" spans="1:18" hidden="1" x14ac:dyDescent="0.3">
      <c r="A11001" s="15" t="s">
        <v>31042</v>
      </c>
      <c r="B11001" s="15" t="s">
        <v>31043</v>
      </c>
      <c r="C11001" s="18" t="s">
        <v>28</v>
      </c>
      <c r="D11001" s="15" t="s">
        <v>31044</v>
      </c>
      <c r="E11001" s="18" t="s">
        <v>28</v>
      </c>
      <c r="F11001" s="19" t="s">
        <v>28</v>
      </c>
      <c r="G11001" s="19" t="s">
        <v>28</v>
      </c>
      <c r="H11001" s="19" t="s">
        <v>28</v>
      </c>
      <c r="I11001" s="18" t="s">
        <v>28</v>
      </c>
      <c r="J11001" s="18" t="s">
        <v>28</v>
      </c>
      <c r="K11001" s="18" t="s">
        <v>28</v>
      </c>
      <c r="L11001" s="18" t="s">
        <v>28</v>
      </c>
      <c r="M11001" s="18" t="s">
        <v>28</v>
      </c>
      <c r="N11001" s="17">
        <v>41358</v>
      </c>
      <c r="O11001" s="15" t="s">
        <v>30</v>
      </c>
      <c r="P11001" s="16" t="s">
        <v>28</v>
      </c>
      <c r="Q11001" s="15" t="s">
        <v>900</v>
      </c>
      <c r="R11001" s="13" t="str">
        <f>HYPERLINK("https://my.pitchbook.com?c=79367-41T","View Company Online")</f>
        <v>View Company Online</v>
      </c>
    </row>
    <row r="11002" spans="1:18" hidden="1" x14ac:dyDescent="0.3">
      <c r="A11002" s="9" t="s">
        <v>31045</v>
      </c>
      <c r="B11002" s="9" t="s">
        <v>8234</v>
      </c>
      <c r="C11002" s="11" t="s">
        <v>28</v>
      </c>
      <c r="D11002" s="9" t="s">
        <v>8235</v>
      </c>
      <c r="E11002" s="11" t="s">
        <v>28</v>
      </c>
      <c r="F11002" s="10" t="s">
        <v>28</v>
      </c>
      <c r="G11002" s="10">
        <v>0.69</v>
      </c>
      <c r="H11002" s="10" t="s">
        <v>28</v>
      </c>
      <c r="I11002" s="11" t="s">
        <v>28</v>
      </c>
      <c r="J11002" s="11" t="s">
        <v>28</v>
      </c>
      <c r="K11002" s="11" t="s">
        <v>28</v>
      </c>
      <c r="L11002" s="11" t="s">
        <v>28</v>
      </c>
      <c r="M11002" s="11" t="s">
        <v>28</v>
      </c>
      <c r="N11002" s="8">
        <v>41357</v>
      </c>
      <c r="O11002" s="9" t="s">
        <v>99</v>
      </c>
      <c r="P11002" s="12" t="s">
        <v>31046</v>
      </c>
      <c r="Q11002" s="9" t="s">
        <v>75</v>
      </c>
      <c r="R11002" s="14" t="str">
        <f>HYPERLINK("https://my.pitchbook.com?c=60860-53T","View Company Online")</f>
        <v>View Company Online</v>
      </c>
    </row>
    <row r="11003" spans="1:18" hidden="1" x14ac:dyDescent="0.3">
      <c r="A11003" s="15" t="s">
        <v>31047</v>
      </c>
      <c r="B11003" s="15" t="s">
        <v>10515</v>
      </c>
      <c r="C11003" s="18" t="s">
        <v>28</v>
      </c>
      <c r="D11003" s="15" t="s">
        <v>10516</v>
      </c>
      <c r="E11003" s="18" t="s">
        <v>28</v>
      </c>
      <c r="F11003" s="19" t="s">
        <v>28</v>
      </c>
      <c r="G11003" s="19">
        <v>0.03</v>
      </c>
      <c r="H11003" s="19">
        <v>1.5</v>
      </c>
      <c r="I11003" s="18" t="s">
        <v>28</v>
      </c>
      <c r="J11003" s="18" t="s">
        <v>28</v>
      </c>
      <c r="K11003" s="18" t="s">
        <v>28</v>
      </c>
      <c r="L11003" s="18" t="s">
        <v>28</v>
      </c>
      <c r="M11003" s="18" t="s">
        <v>28</v>
      </c>
      <c r="N11003" s="17">
        <v>41357</v>
      </c>
      <c r="O11003" s="15" t="s">
        <v>99</v>
      </c>
      <c r="P11003" s="16" t="s">
        <v>28</v>
      </c>
      <c r="Q11003" s="15" t="s">
        <v>832</v>
      </c>
      <c r="R11003" s="13" t="str">
        <f>HYPERLINK("https://my.pitchbook.com?c=49684-96T","View Company Online")</f>
        <v>View Company Online</v>
      </c>
    </row>
    <row r="11004" spans="1:18" hidden="1" x14ac:dyDescent="0.3">
      <c r="A11004" s="9" t="s">
        <v>31048</v>
      </c>
      <c r="B11004" s="9" t="s">
        <v>31049</v>
      </c>
      <c r="C11004" s="11" t="s">
        <v>28</v>
      </c>
      <c r="D11004" s="9" t="s">
        <v>31050</v>
      </c>
      <c r="E11004" s="11" t="s">
        <v>28</v>
      </c>
      <c r="F11004" s="10" t="s">
        <v>28</v>
      </c>
      <c r="G11004" s="10">
        <v>35.43</v>
      </c>
      <c r="H11004" s="10">
        <v>50.61</v>
      </c>
      <c r="I11004" s="11" t="s">
        <v>28</v>
      </c>
      <c r="J11004" s="11" t="s">
        <v>28</v>
      </c>
      <c r="K11004" s="11">
        <v>74.75</v>
      </c>
      <c r="L11004" s="11">
        <v>0.68</v>
      </c>
      <c r="M11004" s="11">
        <v>3.01</v>
      </c>
      <c r="N11004" s="8">
        <v>41353</v>
      </c>
      <c r="O11004" s="9" t="s">
        <v>41</v>
      </c>
      <c r="P11004" s="12" t="s">
        <v>31051</v>
      </c>
      <c r="Q11004" s="9" t="s">
        <v>9051</v>
      </c>
      <c r="R11004" s="14" t="str">
        <f>HYPERLINK("https://my.pitchbook.com?c=71014-87T","View Company Online")</f>
        <v>View Company Online</v>
      </c>
    </row>
    <row r="11005" spans="1:18" hidden="1" x14ac:dyDescent="0.3">
      <c r="A11005" s="15" t="s">
        <v>31052</v>
      </c>
      <c r="B11005" s="15" t="s">
        <v>27713</v>
      </c>
      <c r="C11005" s="18" t="s">
        <v>28</v>
      </c>
      <c r="D11005" s="15" t="s">
        <v>27714</v>
      </c>
      <c r="E11005" s="18" t="s">
        <v>28</v>
      </c>
      <c r="F11005" s="19" t="s">
        <v>28</v>
      </c>
      <c r="G11005" s="19">
        <v>0.09</v>
      </c>
      <c r="H11005" s="19" t="s">
        <v>28</v>
      </c>
      <c r="I11005" s="18" t="s">
        <v>28</v>
      </c>
      <c r="J11005" s="18" t="s">
        <v>28</v>
      </c>
      <c r="K11005" s="18" t="s">
        <v>28</v>
      </c>
      <c r="L11005" s="18" t="s">
        <v>28</v>
      </c>
      <c r="M11005" s="18" t="s">
        <v>28</v>
      </c>
      <c r="N11005" s="17">
        <v>41348</v>
      </c>
      <c r="O11005" s="15" t="s">
        <v>47</v>
      </c>
      <c r="P11005" s="16" t="s">
        <v>13703</v>
      </c>
      <c r="Q11005" s="15" t="s">
        <v>19855</v>
      </c>
      <c r="R11005" s="13" t="str">
        <f>HYPERLINK("https://my.pitchbook.com?c=86440-42T","View Company Online")</f>
        <v>View Company Online</v>
      </c>
    </row>
    <row r="11006" spans="1:18" hidden="1" x14ac:dyDescent="0.3">
      <c r="A11006" s="9" t="s">
        <v>31053</v>
      </c>
      <c r="B11006" s="9" t="s">
        <v>27883</v>
      </c>
      <c r="C11006" s="11" t="s">
        <v>28</v>
      </c>
      <c r="D11006" s="9" t="s">
        <v>27884</v>
      </c>
      <c r="E11006" s="11" t="s">
        <v>28</v>
      </c>
      <c r="F11006" s="10">
        <v>5000</v>
      </c>
      <c r="G11006" s="10">
        <v>5000</v>
      </c>
      <c r="H11006" s="10">
        <v>5000</v>
      </c>
      <c r="I11006" s="11" t="s">
        <v>28</v>
      </c>
      <c r="J11006" s="11" t="s">
        <v>28</v>
      </c>
      <c r="K11006" s="11" t="s">
        <v>28</v>
      </c>
      <c r="L11006" s="11" t="s">
        <v>28</v>
      </c>
      <c r="M11006" s="11" t="s">
        <v>28</v>
      </c>
      <c r="N11006" s="8">
        <v>41348</v>
      </c>
      <c r="O11006" s="9" t="s">
        <v>41</v>
      </c>
      <c r="P11006" s="12" t="s">
        <v>28</v>
      </c>
      <c r="Q11006" s="9" t="s">
        <v>692</v>
      </c>
      <c r="R11006" s="14" t="str">
        <f>HYPERLINK("https://my.pitchbook.com?c=24159-25T","View Company Online")</f>
        <v>View Company Online</v>
      </c>
    </row>
    <row r="11007" spans="1:18" hidden="1" x14ac:dyDescent="0.3">
      <c r="A11007" s="15" t="s">
        <v>31054</v>
      </c>
      <c r="B11007" s="15" t="s">
        <v>31055</v>
      </c>
      <c r="C11007" s="18" t="s">
        <v>28</v>
      </c>
      <c r="D11007" s="15" t="s">
        <v>31056</v>
      </c>
      <c r="E11007" s="18" t="s">
        <v>28</v>
      </c>
      <c r="F11007" s="19" t="s">
        <v>28</v>
      </c>
      <c r="G11007" s="19" t="s">
        <v>28</v>
      </c>
      <c r="H11007" s="19" t="s">
        <v>28</v>
      </c>
      <c r="I11007" s="18" t="s">
        <v>28</v>
      </c>
      <c r="J11007" s="18" t="s">
        <v>28</v>
      </c>
      <c r="K11007" s="18" t="s">
        <v>28</v>
      </c>
      <c r="L11007" s="18" t="s">
        <v>28</v>
      </c>
      <c r="M11007" s="18" t="s">
        <v>28</v>
      </c>
      <c r="N11007" s="17">
        <v>41348</v>
      </c>
      <c r="O11007" s="15" t="s">
        <v>30</v>
      </c>
      <c r="P11007" s="16" t="s">
        <v>31057</v>
      </c>
      <c r="Q11007" s="15" t="s">
        <v>69</v>
      </c>
      <c r="R11007" s="13" t="str">
        <f>HYPERLINK("https://my.pitchbook.com?c=71013-34T","View Company Online")</f>
        <v>View Company Online</v>
      </c>
    </row>
    <row r="11008" spans="1:18" hidden="1" x14ac:dyDescent="0.3">
      <c r="A11008" s="9" t="s">
        <v>31058</v>
      </c>
      <c r="B11008" s="9" t="s">
        <v>31059</v>
      </c>
      <c r="C11008" s="11" t="s">
        <v>28</v>
      </c>
      <c r="D11008" s="9" t="s">
        <v>31060</v>
      </c>
      <c r="E11008" s="11" t="s">
        <v>28</v>
      </c>
      <c r="F11008" s="10" t="s">
        <v>28</v>
      </c>
      <c r="G11008" s="10" t="s">
        <v>28</v>
      </c>
      <c r="H11008" s="10" t="s">
        <v>28</v>
      </c>
      <c r="I11008" s="11" t="s">
        <v>28</v>
      </c>
      <c r="J11008" s="11" t="s">
        <v>28</v>
      </c>
      <c r="K11008" s="11" t="s">
        <v>28</v>
      </c>
      <c r="L11008" s="11" t="s">
        <v>28</v>
      </c>
      <c r="M11008" s="11" t="s">
        <v>28</v>
      </c>
      <c r="N11008" s="8">
        <v>41347</v>
      </c>
      <c r="O11008" s="9" t="s">
        <v>30</v>
      </c>
      <c r="P11008" s="12" t="s">
        <v>31061</v>
      </c>
      <c r="Q11008" s="9" t="s">
        <v>404</v>
      </c>
      <c r="R11008" s="14" t="str">
        <f>HYPERLINK("https://my.pitchbook.com?c=71016-04T","View Company Online")</f>
        <v>View Company Online</v>
      </c>
    </row>
    <row r="11009" spans="1:18" hidden="1" x14ac:dyDescent="0.3">
      <c r="A11009" s="15" t="s">
        <v>31062</v>
      </c>
      <c r="B11009" s="15" t="s">
        <v>5384</v>
      </c>
      <c r="C11009" s="18" t="s">
        <v>28</v>
      </c>
      <c r="D11009" s="15" t="s">
        <v>5385</v>
      </c>
      <c r="E11009" s="18" t="s">
        <v>28</v>
      </c>
      <c r="F11009" s="19" t="s">
        <v>28</v>
      </c>
      <c r="G11009" s="19">
        <v>0.5</v>
      </c>
      <c r="H11009" s="19" t="s">
        <v>28</v>
      </c>
      <c r="I11009" s="18" t="s">
        <v>28</v>
      </c>
      <c r="J11009" s="18" t="s">
        <v>28</v>
      </c>
      <c r="K11009" s="18" t="s">
        <v>28</v>
      </c>
      <c r="L11009" s="18" t="s">
        <v>28</v>
      </c>
      <c r="M11009" s="18" t="s">
        <v>28</v>
      </c>
      <c r="N11009" s="17">
        <v>41346</v>
      </c>
      <c r="O11009" s="15" t="s">
        <v>99</v>
      </c>
      <c r="P11009" s="16" t="s">
        <v>28</v>
      </c>
      <c r="Q11009" s="15" t="s">
        <v>37</v>
      </c>
      <c r="R11009" s="13" t="str">
        <f>HYPERLINK("https://my.pitchbook.com?c=55077-13T","View Company Online")</f>
        <v>View Company Online</v>
      </c>
    </row>
    <row r="11010" spans="1:18" hidden="1" x14ac:dyDescent="0.3">
      <c r="A11010" s="9" t="s">
        <v>31063</v>
      </c>
      <c r="B11010" s="9" t="s">
        <v>8877</v>
      </c>
      <c r="C11010" s="11" t="s">
        <v>28</v>
      </c>
      <c r="D11010" s="9" t="s">
        <v>8878</v>
      </c>
      <c r="E11010" s="11" t="s">
        <v>28</v>
      </c>
      <c r="F11010" s="10" t="s">
        <v>28</v>
      </c>
      <c r="G11010" s="10">
        <v>10</v>
      </c>
      <c r="H11010" s="10" t="s">
        <v>28</v>
      </c>
      <c r="I11010" s="11" t="s">
        <v>28</v>
      </c>
      <c r="J11010" s="11" t="s">
        <v>28</v>
      </c>
      <c r="K11010" s="11" t="s">
        <v>28</v>
      </c>
      <c r="L11010" s="11" t="s">
        <v>28</v>
      </c>
      <c r="M11010" s="11" t="s">
        <v>28</v>
      </c>
      <c r="N11010" s="8">
        <v>41344</v>
      </c>
      <c r="O11010" s="9" t="s">
        <v>79</v>
      </c>
      <c r="P11010" s="12" t="s">
        <v>31064</v>
      </c>
      <c r="Q11010" s="9" t="s">
        <v>75</v>
      </c>
      <c r="R11010" s="14" t="str">
        <f>HYPERLINK("https://my.pitchbook.com?c=24927-40T","View Company Online")</f>
        <v>View Company Online</v>
      </c>
    </row>
    <row r="11011" spans="1:18" hidden="1" x14ac:dyDescent="0.3">
      <c r="A11011" s="15" t="s">
        <v>31065</v>
      </c>
      <c r="B11011" s="15" t="s">
        <v>31066</v>
      </c>
      <c r="C11011" s="18" t="s">
        <v>28</v>
      </c>
      <c r="D11011" s="15" t="s">
        <v>31067</v>
      </c>
      <c r="E11011" s="18" t="s">
        <v>28</v>
      </c>
      <c r="F11011" s="19" t="s">
        <v>28</v>
      </c>
      <c r="G11011" s="19" t="s">
        <v>28</v>
      </c>
      <c r="H11011" s="19" t="s">
        <v>28</v>
      </c>
      <c r="I11011" s="18" t="s">
        <v>28</v>
      </c>
      <c r="J11011" s="18" t="s">
        <v>28</v>
      </c>
      <c r="K11011" s="18" t="s">
        <v>28</v>
      </c>
      <c r="L11011" s="18" t="s">
        <v>28</v>
      </c>
      <c r="M11011" s="18" t="s">
        <v>28</v>
      </c>
      <c r="N11011" s="17">
        <v>41344</v>
      </c>
      <c r="O11011" s="15" t="s">
        <v>9098</v>
      </c>
      <c r="P11011" s="16" t="s">
        <v>28</v>
      </c>
      <c r="Q11011" s="15" t="s">
        <v>37</v>
      </c>
      <c r="R11011" s="13" t="str">
        <f>HYPERLINK("https://my.pitchbook.com?c=65640-61T","View Company Online")</f>
        <v>View Company Online</v>
      </c>
    </row>
    <row r="11012" spans="1:18" hidden="1" x14ac:dyDescent="0.3">
      <c r="A11012" s="9" t="s">
        <v>31068</v>
      </c>
      <c r="B11012" s="9" t="s">
        <v>11015</v>
      </c>
      <c r="C11012" s="11" t="s">
        <v>28</v>
      </c>
      <c r="D11012" s="9" t="s">
        <v>11016</v>
      </c>
      <c r="E11012" s="11" t="s">
        <v>28</v>
      </c>
      <c r="F11012" s="10" t="s">
        <v>28</v>
      </c>
      <c r="G11012" s="10">
        <v>0.3</v>
      </c>
      <c r="H11012" s="10" t="s">
        <v>28</v>
      </c>
      <c r="I11012" s="11" t="s">
        <v>28</v>
      </c>
      <c r="J11012" s="11" t="s">
        <v>28</v>
      </c>
      <c r="K11012" s="11" t="s">
        <v>28</v>
      </c>
      <c r="L11012" s="11" t="s">
        <v>28</v>
      </c>
      <c r="M11012" s="11" t="s">
        <v>28</v>
      </c>
      <c r="N11012" s="8">
        <v>41344</v>
      </c>
      <c r="O11012" s="9" t="s">
        <v>99</v>
      </c>
      <c r="P11012" s="12" t="s">
        <v>31069</v>
      </c>
      <c r="Q11012" s="9" t="s">
        <v>386</v>
      </c>
      <c r="R11012" s="14" t="str">
        <f>HYPERLINK("https://my.pitchbook.com?c=29933-92T","View Company Online")</f>
        <v>View Company Online</v>
      </c>
    </row>
    <row r="11013" spans="1:18" hidden="1" x14ac:dyDescent="0.3">
      <c r="A11013" s="15" t="s">
        <v>31070</v>
      </c>
      <c r="B11013" s="15" t="s">
        <v>24497</v>
      </c>
      <c r="C11013" s="18" t="s">
        <v>28</v>
      </c>
      <c r="D11013" s="15" t="s">
        <v>24498</v>
      </c>
      <c r="E11013" s="18" t="s">
        <v>28</v>
      </c>
      <c r="F11013" s="19">
        <v>54.7</v>
      </c>
      <c r="G11013" s="19">
        <v>54.7</v>
      </c>
      <c r="H11013" s="19">
        <v>54.7</v>
      </c>
      <c r="I11013" s="18" t="s">
        <v>28</v>
      </c>
      <c r="J11013" s="18" t="s">
        <v>28</v>
      </c>
      <c r="K11013" s="18" t="s">
        <v>28</v>
      </c>
      <c r="L11013" s="18" t="s">
        <v>28</v>
      </c>
      <c r="M11013" s="18" t="s">
        <v>28</v>
      </c>
      <c r="N11013" s="17">
        <v>41341</v>
      </c>
      <c r="O11013" s="15" t="s">
        <v>41</v>
      </c>
      <c r="P11013" s="16" t="s">
        <v>31071</v>
      </c>
      <c r="Q11013" s="15" t="s">
        <v>409</v>
      </c>
      <c r="R11013" s="13" t="str">
        <f>HYPERLINK("https://my.pitchbook.com?c=24879-07T","View Company Online")</f>
        <v>View Company Online</v>
      </c>
    </row>
    <row r="11014" spans="1:18" hidden="1" x14ac:dyDescent="0.3">
      <c r="A11014" s="9" t="s">
        <v>31072</v>
      </c>
      <c r="B11014" s="9" t="s">
        <v>31073</v>
      </c>
      <c r="C11014" s="11" t="s">
        <v>28</v>
      </c>
      <c r="D11014" s="9" t="s">
        <v>31074</v>
      </c>
      <c r="E11014" s="11" t="s">
        <v>28</v>
      </c>
      <c r="F11014" s="10" t="s">
        <v>28</v>
      </c>
      <c r="G11014" s="10" t="s">
        <v>28</v>
      </c>
      <c r="H11014" s="10" t="s">
        <v>28</v>
      </c>
      <c r="I11014" s="11" t="s">
        <v>28</v>
      </c>
      <c r="J11014" s="11" t="s">
        <v>28</v>
      </c>
      <c r="K11014" s="11" t="s">
        <v>28</v>
      </c>
      <c r="L11014" s="11" t="s">
        <v>28</v>
      </c>
      <c r="M11014" s="11" t="s">
        <v>28</v>
      </c>
      <c r="N11014" s="8">
        <v>41339</v>
      </c>
      <c r="O11014" s="9" t="s">
        <v>173</v>
      </c>
      <c r="P11014" s="12" t="s">
        <v>28</v>
      </c>
      <c r="Q11014" s="9" t="s">
        <v>174</v>
      </c>
      <c r="R11014" s="14" t="str">
        <f>HYPERLINK("https://my.pitchbook.com?c=225228-79T","View Company Online")</f>
        <v>View Company Online</v>
      </c>
    </row>
    <row r="11015" spans="1:18" hidden="1" x14ac:dyDescent="0.3">
      <c r="A11015" s="15" t="s">
        <v>31075</v>
      </c>
      <c r="B11015" s="15" t="s">
        <v>31076</v>
      </c>
      <c r="C11015" s="18" t="s">
        <v>28</v>
      </c>
      <c r="D11015" s="15" t="s">
        <v>31077</v>
      </c>
      <c r="E11015" s="18" t="s">
        <v>28</v>
      </c>
      <c r="F11015" s="19" t="s">
        <v>28</v>
      </c>
      <c r="G11015" s="19" t="s">
        <v>28</v>
      </c>
      <c r="H11015" s="19" t="s">
        <v>28</v>
      </c>
      <c r="I11015" s="18" t="s">
        <v>28</v>
      </c>
      <c r="J11015" s="18" t="s">
        <v>28</v>
      </c>
      <c r="K11015" s="18" t="s">
        <v>28</v>
      </c>
      <c r="L11015" s="18" t="s">
        <v>28</v>
      </c>
      <c r="M11015" s="18" t="s">
        <v>28</v>
      </c>
      <c r="N11015" s="17">
        <v>41339</v>
      </c>
      <c r="O11015" s="15" t="s">
        <v>30</v>
      </c>
      <c r="P11015" s="16" t="s">
        <v>31078</v>
      </c>
      <c r="Q11015" s="15" t="s">
        <v>959</v>
      </c>
      <c r="R11015" s="13" t="str">
        <f>HYPERLINK("https://my.pitchbook.com?c=89738-38T","View Company Online")</f>
        <v>View Company Online</v>
      </c>
    </row>
    <row r="11016" spans="1:18" hidden="1" x14ac:dyDescent="0.3">
      <c r="A11016" s="9" t="s">
        <v>31079</v>
      </c>
      <c r="B11016" s="9" t="s">
        <v>31080</v>
      </c>
      <c r="C11016" s="11" t="s">
        <v>28</v>
      </c>
      <c r="D11016" s="9" t="s">
        <v>31081</v>
      </c>
      <c r="E11016" s="11" t="s">
        <v>28</v>
      </c>
      <c r="F11016" s="10" t="s">
        <v>28</v>
      </c>
      <c r="G11016" s="10" t="s">
        <v>28</v>
      </c>
      <c r="H11016" s="10" t="s">
        <v>28</v>
      </c>
      <c r="I11016" s="11" t="s">
        <v>28</v>
      </c>
      <c r="J11016" s="11" t="s">
        <v>28</v>
      </c>
      <c r="K11016" s="11" t="s">
        <v>28</v>
      </c>
      <c r="L11016" s="11" t="s">
        <v>28</v>
      </c>
      <c r="M11016" s="11" t="s">
        <v>28</v>
      </c>
      <c r="N11016" s="8">
        <v>41339</v>
      </c>
      <c r="O11016" s="9" t="s">
        <v>173</v>
      </c>
      <c r="P11016" s="12" t="s">
        <v>28</v>
      </c>
      <c r="Q11016" s="9" t="s">
        <v>240</v>
      </c>
      <c r="R11016" s="14" t="str">
        <f>HYPERLINK("https://my.pitchbook.com?c=227750-41T","View Company Online")</f>
        <v>View Company Online</v>
      </c>
    </row>
    <row r="11017" spans="1:18" hidden="1" x14ac:dyDescent="0.3">
      <c r="A11017" s="15" t="s">
        <v>31082</v>
      </c>
      <c r="B11017" s="15" t="s">
        <v>31083</v>
      </c>
      <c r="C11017" s="18" t="s">
        <v>28</v>
      </c>
      <c r="D11017" s="15" t="s">
        <v>31084</v>
      </c>
      <c r="E11017" s="18" t="s">
        <v>28</v>
      </c>
      <c r="F11017" s="19" t="s">
        <v>28</v>
      </c>
      <c r="G11017" s="19" t="s">
        <v>28</v>
      </c>
      <c r="H11017" s="19" t="s">
        <v>28</v>
      </c>
      <c r="I11017" s="18" t="s">
        <v>28</v>
      </c>
      <c r="J11017" s="18" t="s">
        <v>28</v>
      </c>
      <c r="K11017" s="18">
        <v>28.57</v>
      </c>
      <c r="L11017" s="18" t="s">
        <v>28</v>
      </c>
      <c r="M11017" s="18" t="s">
        <v>28</v>
      </c>
      <c r="N11017" s="17">
        <v>41338</v>
      </c>
      <c r="O11017" s="15" t="s">
        <v>93</v>
      </c>
      <c r="P11017" s="16" t="s">
        <v>30972</v>
      </c>
      <c r="Q11017" s="15" t="s">
        <v>136</v>
      </c>
      <c r="R11017" s="13" t="str">
        <f>HYPERLINK("https://my.pitchbook.com?c=32386-60T","View Company Online")</f>
        <v>View Company Online</v>
      </c>
    </row>
    <row r="11018" spans="1:18" hidden="1" x14ac:dyDescent="0.3">
      <c r="A11018" s="9" t="s">
        <v>31085</v>
      </c>
      <c r="B11018" s="9" t="s">
        <v>31086</v>
      </c>
      <c r="C11018" s="11" t="s">
        <v>28</v>
      </c>
      <c r="D11018" s="9" t="s">
        <v>31087</v>
      </c>
      <c r="E11018" s="11" t="s">
        <v>28</v>
      </c>
      <c r="F11018" s="10" t="s">
        <v>28</v>
      </c>
      <c r="G11018" s="10" t="s">
        <v>28</v>
      </c>
      <c r="H11018" s="10" t="s">
        <v>28</v>
      </c>
      <c r="I11018" s="11" t="s">
        <v>28</v>
      </c>
      <c r="J11018" s="11" t="s">
        <v>28</v>
      </c>
      <c r="K11018" s="11" t="s">
        <v>28</v>
      </c>
      <c r="L11018" s="11" t="s">
        <v>28</v>
      </c>
      <c r="M11018" s="11" t="s">
        <v>28</v>
      </c>
      <c r="N11018" s="8">
        <v>41338</v>
      </c>
      <c r="O11018" s="9" t="s">
        <v>52</v>
      </c>
      <c r="P11018" s="12" t="s">
        <v>30501</v>
      </c>
      <c r="Q11018" s="9" t="s">
        <v>75</v>
      </c>
      <c r="R11018" s="14" t="str">
        <f>HYPERLINK("https://my.pitchbook.com?c=57929-68T","View Company Online")</f>
        <v>View Company Online</v>
      </c>
    </row>
    <row r="11019" spans="1:18" hidden="1" x14ac:dyDescent="0.3">
      <c r="A11019" s="15" t="s">
        <v>31088</v>
      </c>
      <c r="B11019" s="15" t="s">
        <v>10917</v>
      </c>
      <c r="C11019" s="18" t="s">
        <v>28</v>
      </c>
      <c r="D11019" s="15" t="s">
        <v>10918</v>
      </c>
      <c r="E11019" s="18" t="s">
        <v>28</v>
      </c>
      <c r="F11019" s="19" t="s">
        <v>28</v>
      </c>
      <c r="G11019" s="19">
        <v>34.130000000000003</v>
      </c>
      <c r="H11019" s="19">
        <v>113.75</v>
      </c>
      <c r="I11019" s="18" t="s">
        <v>28</v>
      </c>
      <c r="J11019" s="18" t="s">
        <v>28</v>
      </c>
      <c r="K11019" s="18" t="s">
        <v>28</v>
      </c>
      <c r="L11019" s="18" t="s">
        <v>28</v>
      </c>
      <c r="M11019" s="18" t="s">
        <v>28</v>
      </c>
      <c r="N11019" s="17">
        <v>41337</v>
      </c>
      <c r="O11019" s="15" t="s">
        <v>58</v>
      </c>
      <c r="P11019" s="16" t="s">
        <v>29714</v>
      </c>
      <c r="Q11019" s="15" t="s">
        <v>607</v>
      </c>
      <c r="R11019" s="13" t="str">
        <f>HYPERLINK("https://my.pitchbook.com?c=90133-48T","View Company Online")</f>
        <v>View Company Online</v>
      </c>
    </row>
    <row r="11020" spans="1:18" hidden="1" x14ac:dyDescent="0.3">
      <c r="A11020" s="9" t="s">
        <v>31089</v>
      </c>
      <c r="B11020" s="9" t="s">
        <v>25065</v>
      </c>
      <c r="C11020" s="11" t="s">
        <v>28</v>
      </c>
      <c r="D11020" s="9" t="s">
        <v>25066</v>
      </c>
      <c r="E11020" s="11" t="s">
        <v>28</v>
      </c>
      <c r="F11020" s="10" t="s">
        <v>28</v>
      </c>
      <c r="G11020" s="10" t="s">
        <v>28</v>
      </c>
      <c r="H11020" s="10" t="s">
        <v>28</v>
      </c>
      <c r="I11020" s="11" t="s">
        <v>28</v>
      </c>
      <c r="J11020" s="11" t="s">
        <v>28</v>
      </c>
      <c r="K11020" s="11" t="s">
        <v>28</v>
      </c>
      <c r="L11020" s="11" t="s">
        <v>28</v>
      </c>
      <c r="M11020" s="11" t="s">
        <v>28</v>
      </c>
      <c r="N11020" s="8">
        <v>41336</v>
      </c>
      <c r="O11020" s="9" t="s">
        <v>93</v>
      </c>
      <c r="P11020" s="12" t="s">
        <v>25067</v>
      </c>
      <c r="Q11020" s="9" t="s">
        <v>316</v>
      </c>
      <c r="R11020" s="14" t="str">
        <f>HYPERLINK("https://my.pitchbook.com?c=33868-90T","View Company Online")</f>
        <v>View Company Online</v>
      </c>
    </row>
    <row r="11021" spans="1:18" hidden="1" x14ac:dyDescent="0.3">
      <c r="A11021" s="15" t="s">
        <v>31090</v>
      </c>
      <c r="B11021" s="15" t="s">
        <v>31091</v>
      </c>
      <c r="C11021" s="18" t="s">
        <v>28</v>
      </c>
      <c r="D11021" s="15" t="s">
        <v>31092</v>
      </c>
      <c r="E11021" s="18" t="s">
        <v>28</v>
      </c>
      <c r="F11021" s="19">
        <v>64.67</v>
      </c>
      <c r="G11021" s="19">
        <v>64.67</v>
      </c>
      <c r="H11021" s="19">
        <v>64.67</v>
      </c>
      <c r="I11021" s="18" t="s">
        <v>28</v>
      </c>
      <c r="J11021" s="18" t="s">
        <v>28</v>
      </c>
      <c r="K11021" s="18" t="s">
        <v>28</v>
      </c>
      <c r="L11021" s="18" t="s">
        <v>28</v>
      </c>
      <c r="M11021" s="18" t="s">
        <v>28</v>
      </c>
      <c r="N11021" s="17">
        <v>41334</v>
      </c>
      <c r="O11021" s="15" t="s">
        <v>30</v>
      </c>
      <c r="P11021" s="16" t="s">
        <v>3647</v>
      </c>
      <c r="Q11021" s="15" t="s">
        <v>753</v>
      </c>
      <c r="R11021" s="13" t="str">
        <f>HYPERLINK("https://my.pitchbook.com?c=71396-74T","View Company Online")</f>
        <v>View Company Online</v>
      </c>
    </row>
    <row r="11022" spans="1:18" hidden="1" x14ac:dyDescent="0.3">
      <c r="A11022" s="9" t="s">
        <v>31093</v>
      </c>
      <c r="B11022" s="9" t="s">
        <v>14560</v>
      </c>
      <c r="C11022" s="11" t="s">
        <v>28</v>
      </c>
      <c r="D11022" s="9" t="s">
        <v>14561</v>
      </c>
      <c r="E11022" s="11" t="s">
        <v>28</v>
      </c>
      <c r="F11022" s="10" t="s">
        <v>28</v>
      </c>
      <c r="G11022" s="10">
        <v>1</v>
      </c>
      <c r="H11022" s="10" t="s">
        <v>28</v>
      </c>
      <c r="I11022" s="11" t="s">
        <v>28</v>
      </c>
      <c r="J11022" s="11" t="s">
        <v>28</v>
      </c>
      <c r="K11022" s="11" t="s">
        <v>28</v>
      </c>
      <c r="L11022" s="11" t="s">
        <v>28</v>
      </c>
      <c r="M11022" s="11" t="s">
        <v>28</v>
      </c>
      <c r="N11022" s="8">
        <v>41334</v>
      </c>
      <c r="O11022" s="9" t="s">
        <v>99</v>
      </c>
      <c r="P11022" s="12" t="s">
        <v>31094</v>
      </c>
      <c r="Q11022" s="9" t="s">
        <v>37</v>
      </c>
      <c r="R11022" s="14" t="str">
        <f>HYPERLINK("https://my.pitchbook.com?c=33182-47T","View Company Online")</f>
        <v>View Company Online</v>
      </c>
    </row>
    <row r="11023" spans="1:18" hidden="1" x14ac:dyDescent="0.3">
      <c r="A11023" s="15" t="s">
        <v>31095</v>
      </c>
      <c r="B11023" s="15" t="s">
        <v>10980</v>
      </c>
      <c r="C11023" s="18" t="s">
        <v>28</v>
      </c>
      <c r="D11023" s="15" t="s">
        <v>10981</v>
      </c>
      <c r="E11023" s="18" t="s">
        <v>28</v>
      </c>
      <c r="F11023" s="19" t="s">
        <v>28</v>
      </c>
      <c r="G11023" s="19">
        <v>0.03</v>
      </c>
      <c r="H11023" s="19" t="s">
        <v>28</v>
      </c>
      <c r="I11023" s="18" t="s">
        <v>28</v>
      </c>
      <c r="J11023" s="18" t="s">
        <v>28</v>
      </c>
      <c r="K11023" s="18" t="s">
        <v>28</v>
      </c>
      <c r="L11023" s="18" t="s">
        <v>28</v>
      </c>
      <c r="M11023" s="18" t="s">
        <v>28</v>
      </c>
      <c r="N11023" s="17">
        <v>41334</v>
      </c>
      <c r="O11023" s="15" t="s">
        <v>379</v>
      </c>
      <c r="P11023" s="16" t="s">
        <v>28</v>
      </c>
      <c r="Q11023" s="15" t="s">
        <v>959</v>
      </c>
      <c r="R11023" s="13" t="str">
        <f>HYPERLINK("https://my.pitchbook.com?c=122381-38T","View Company Online")</f>
        <v>View Company Online</v>
      </c>
    </row>
    <row r="11024" spans="1:18" hidden="1" x14ac:dyDescent="0.3">
      <c r="A11024" s="9" t="s">
        <v>31096</v>
      </c>
      <c r="B11024" s="9" t="s">
        <v>31097</v>
      </c>
      <c r="C11024" s="11" t="s">
        <v>28</v>
      </c>
      <c r="D11024" s="9" t="s">
        <v>31098</v>
      </c>
      <c r="E11024" s="11" t="s">
        <v>28</v>
      </c>
      <c r="F11024" s="10" t="s">
        <v>28</v>
      </c>
      <c r="G11024" s="10" t="s">
        <v>28</v>
      </c>
      <c r="H11024" s="10" t="s">
        <v>28</v>
      </c>
      <c r="I11024" s="11" t="s">
        <v>28</v>
      </c>
      <c r="J11024" s="11" t="s">
        <v>28</v>
      </c>
      <c r="K11024" s="11" t="s">
        <v>28</v>
      </c>
      <c r="L11024" s="11" t="s">
        <v>28</v>
      </c>
      <c r="M11024" s="11" t="s">
        <v>28</v>
      </c>
      <c r="N11024" s="8">
        <v>41334</v>
      </c>
      <c r="O11024" s="9" t="s">
        <v>99</v>
      </c>
      <c r="P11024" s="12" t="s">
        <v>31099</v>
      </c>
      <c r="Q11024" s="9" t="s">
        <v>740</v>
      </c>
      <c r="R11024" s="14" t="str">
        <f>HYPERLINK("https://my.pitchbook.com?c=33185-62T","View Company Online")</f>
        <v>View Company Online</v>
      </c>
    </row>
    <row r="11025" spans="1:18" hidden="1" x14ac:dyDescent="0.3">
      <c r="A11025" s="15" t="s">
        <v>31100</v>
      </c>
      <c r="B11025" s="15" t="s">
        <v>16016</v>
      </c>
      <c r="C11025" s="18" t="s">
        <v>28</v>
      </c>
      <c r="D11025" s="15" t="s">
        <v>16017</v>
      </c>
      <c r="E11025" s="18" t="s">
        <v>28</v>
      </c>
      <c r="F11025" s="19" t="s">
        <v>28</v>
      </c>
      <c r="G11025" s="19">
        <v>2.12</v>
      </c>
      <c r="H11025" s="19" t="s">
        <v>28</v>
      </c>
      <c r="I11025" s="18" t="s">
        <v>28</v>
      </c>
      <c r="J11025" s="18" t="s">
        <v>28</v>
      </c>
      <c r="K11025" s="18" t="s">
        <v>28</v>
      </c>
      <c r="L11025" s="18" t="s">
        <v>28</v>
      </c>
      <c r="M11025" s="18" t="s">
        <v>28</v>
      </c>
      <c r="N11025" s="17">
        <v>41334</v>
      </c>
      <c r="O11025" s="15" t="s">
        <v>73</v>
      </c>
      <c r="P11025" s="16" t="s">
        <v>31101</v>
      </c>
      <c r="Q11025" s="15" t="s">
        <v>583</v>
      </c>
      <c r="R11025" s="13" t="str">
        <f>HYPERLINK("https://my.pitchbook.com?c=29933-74T","View Company Online")</f>
        <v>View Company Online</v>
      </c>
    </row>
    <row r="11026" spans="1:18" hidden="1" x14ac:dyDescent="0.3">
      <c r="A11026" s="9" t="s">
        <v>31102</v>
      </c>
      <c r="B11026" s="9" t="s">
        <v>31103</v>
      </c>
      <c r="C11026" s="11" t="s">
        <v>28</v>
      </c>
      <c r="D11026" s="9" t="s">
        <v>31104</v>
      </c>
      <c r="E11026" s="11" t="s">
        <v>28</v>
      </c>
      <c r="F11026" s="10" t="s">
        <v>28</v>
      </c>
      <c r="G11026" s="10" t="s">
        <v>28</v>
      </c>
      <c r="H11026" s="10" t="s">
        <v>28</v>
      </c>
      <c r="I11026" s="11" t="s">
        <v>28</v>
      </c>
      <c r="J11026" s="11" t="s">
        <v>28</v>
      </c>
      <c r="K11026" s="11" t="s">
        <v>28</v>
      </c>
      <c r="L11026" s="11" t="s">
        <v>28</v>
      </c>
      <c r="M11026" s="11" t="s">
        <v>28</v>
      </c>
      <c r="N11026" s="8">
        <v>41334</v>
      </c>
      <c r="O11026" s="9" t="s">
        <v>73</v>
      </c>
      <c r="P11026" s="12" t="s">
        <v>26978</v>
      </c>
      <c r="Q11026" s="9" t="s">
        <v>855</v>
      </c>
      <c r="R11026" s="14" t="str">
        <f>HYPERLINK("https://my.pitchbook.com?c=69414-58T","View Company Online")</f>
        <v>View Company Online</v>
      </c>
    </row>
    <row r="11027" spans="1:18" hidden="1" x14ac:dyDescent="0.3">
      <c r="A11027" s="15" t="s">
        <v>31105</v>
      </c>
      <c r="B11027" s="15" t="s">
        <v>31106</v>
      </c>
      <c r="C11027" s="18" t="s">
        <v>28</v>
      </c>
      <c r="D11027" s="15" t="s">
        <v>31107</v>
      </c>
      <c r="E11027" s="18" t="s">
        <v>28</v>
      </c>
      <c r="F11027" s="19" t="s">
        <v>28</v>
      </c>
      <c r="G11027" s="19">
        <v>0.1</v>
      </c>
      <c r="H11027" s="19" t="s">
        <v>28</v>
      </c>
      <c r="I11027" s="18" t="s">
        <v>28</v>
      </c>
      <c r="J11027" s="18" t="s">
        <v>28</v>
      </c>
      <c r="K11027" s="18" t="s">
        <v>28</v>
      </c>
      <c r="L11027" s="18" t="s">
        <v>28</v>
      </c>
      <c r="M11027" s="18" t="s">
        <v>28</v>
      </c>
      <c r="N11027" s="17">
        <v>41334</v>
      </c>
      <c r="O11027" s="15" t="s">
        <v>379</v>
      </c>
      <c r="P11027" s="16" t="s">
        <v>31108</v>
      </c>
      <c r="Q11027" s="15" t="s">
        <v>362</v>
      </c>
      <c r="R11027" s="13" t="str">
        <f>HYPERLINK("https://my.pitchbook.com?c=50795-92T","View Company Online")</f>
        <v>View Company Online</v>
      </c>
    </row>
    <row r="11028" spans="1:18" hidden="1" x14ac:dyDescent="0.3">
      <c r="A11028" s="9" t="s">
        <v>31109</v>
      </c>
      <c r="B11028" s="9" t="s">
        <v>17627</v>
      </c>
      <c r="C11028" s="11" t="s">
        <v>28</v>
      </c>
      <c r="D11028" s="9" t="s">
        <v>17628</v>
      </c>
      <c r="E11028" s="11" t="s">
        <v>28</v>
      </c>
      <c r="F11028" s="10" t="s">
        <v>28</v>
      </c>
      <c r="G11028" s="10">
        <v>0.02</v>
      </c>
      <c r="H11028" s="10" t="s">
        <v>28</v>
      </c>
      <c r="I11028" s="11" t="s">
        <v>28</v>
      </c>
      <c r="J11028" s="11" t="s">
        <v>28</v>
      </c>
      <c r="K11028" s="11" t="s">
        <v>28</v>
      </c>
      <c r="L11028" s="11" t="s">
        <v>28</v>
      </c>
      <c r="M11028" s="11" t="s">
        <v>28</v>
      </c>
      <c r="N11028" s="8">
        <v>41334</v>
      </c>
      <c r="O11028" s="9" t="s">
        <v>99</v>
      </c>
      <c r="P11028" s="12" t="s">
        <v>28</v>
      </c>
      <c r="Q11028" s="9" t="s">
        <v>1793</v>
      </c>
      <c r="R11028" s="14" t="str">
        <f>HYPERLINK("https://my.pitchbook.com?c=217206-28T","View Company Online")</f>
        <v>View Company Online</v>
      </c>
    </row>
    <row r="11029" spans="1:18" hidden="1" x14ac:dyDescent="0.3">
      <c r="A11029" s="15" t="s">
        <v>31110</v>
      </c>
      <c r="B11029" s="15" t="s">
        <v>31111</v>
      </c>
      <c r="C11029" s="18" t="s">
        <v>28</v>
      </c>
      <c r="D11029" s="15" t="s">
        <v>31112</v>
      </c>
      <c r="E11029" s="18" t="s">
        <v>28</v>
      </c>
      <c r="F11029" s="19" t="s">
        <v>28</v>
      </c>
      <c r="G11029" s="19" t="s">
        <v>28</v>
      </c>
      <c r="H11029" s="19" t="s">
        <v>28</v>
      </c>
      <c r="I11029" s="18" t="s">
        <v>28</v>
      </c>
      <c r="J11029" s="18" t="s">
        <v>28</v>
      </c>
      <c r="K11029" s="18" t="s">
        <v>28</v>
      </c>
      <c r="L11029" s="18" t="s">
        <v>28</v>
      </c>
      <c r="M11029" s="18" t="s">
        <v>28</v>
      </c>
      <c r="N11029" s="17">
        <v>41334</v>
      </c>
      <c r="O11029" s="15" t="s">
        <v>30</v>
      </c>
      <c r="P11029" s="16" t="s">
        <v>31113</v>
      </c>
      <c r="Q11029" s="15" t="s">
        <v>470</v>
      </c>
      <c r="R11029" s="13" t="str">
        <f>HYPERLINK("https://my.pitchbook.com?c=256806-28T","View Company Online")</f>
        <v>View Company Online</v>
      </c>
    </row>
    <row r="11030" spans="1:18" hidden="1" x14ac:dyDescent="0.3">
      <c r="A11030" s="9" t="s">
        <v>31114</v>
      </c>
      <c r="B11030" s="9" t="s">
        <v>28329</v>
      </c>
      <c r="C11030" s="11" t="s">
        <v>28</v>
      </c>
      <c r="D11030" s="9" t="s">
        <v>28330</v>
      </c>
      <c r="E11030" s="11" t="s">
        <v>28</v>
      </c>
      <c r="F11030" s="10">
        <v>37.5</v>
      </c>
      <c r="G11030" s="10">
        <v>30</v>
      </c>
      <c r="H11030" s="10">
        <v>37.5</v>
      </c>
      <c r="I11030" s="11" t="s">
        <v>28</v>
      </c>
      <c r="J11030" s="11" t="s">
        <v>28</v>
      </c>
      <c r="K11030" s="11" t="s">
        <v>28</v>
      </c>
      <c r="L11030" s="11" t="s">
        <v>28</v>
      </c>
      <c r="M11030" s="11" t="s">
        <v>28</v>
      </c>
      <c r="N11030" s="8">
        <v>41334</v>
      </c>
      <c r="O11030" s="9" t="s">
        <v>41</v>
      </c>
      <c r="P11030" s="12" t="s">
        <v>31115</v>
      </c>
      <c r="Q11030" s="9" t="s">
        <v>5628</v>
      </c>
      <c r="R11030" s="14" t="str">
        <f>HYPERLINK("https://my.pitchbook.com?c=60226-21T","View Company Online")</f>
        <v>View Company Online</v>
      </c>
    </row>
    <row r="11031" spans="1:18" hidden="1" x14ac:dyDescent="0.3">
      <c r="A11031" s="15" t="s">
        <v>31116</v>
      </c>
      <c r="B11031" s="15" t="s">
        <v>2949</v>
      </c>
      <c r="C11031" s="18" t="s">
        <v>28</v>
      </c>
      <c r="D11031" s="15" t="s">
        <v>2950</v>
      </c>
      <c r="E11031" s="18" t="s">
        <v>28</v>
      </c>
      <c r="F11031" s="19" t="s">
        <v>28</v>
      </c>
      <c r="G11031" s="19" t="s">
        <v>28</v>
      </c>
      <c r="H11031" s="19" t="s">
        <v>28</v>
      </c>
      <c r="I11031" s="18" t="s">
        <v>28</v>
      </c>
      <c r="J11031" s="18" t="s">
        <v>28</v>
      </c>
      <c r="K11031" s="18" t="s">
        <v>28</v>
      </c>
      <c r="L11031" s="18" t="s">
        <v>28</v>
      </c>
      <c r="M11031" s="18" t="s">
        <v>28</v>
      </c>
      <c r="N11031" s="17">
        <v>41333</v>
      </c>
      <c r="O11031" s="15" t="s">
        <v>173</v>
      </c>
      <c r="P11031" s="16" t="s">
        <v>28</v>
      </c>
      <c r="Q11031" s="15" t="s">
        <v>2620</v>
      </c>
      <c r="R11031" s="13" t="str">
        <f>HYPERLINK("https://my.pitchbook.com?c=202939-93T","View Company Online")</f>
        <v>View Company Online</v>
      </c>
    </row>
    <row r="11032" spans="1:18" hidden="1" x14ac:dyDescent="0.3">
      <c r="A11032" s="9" t="s">
        <v>31117</v>
      </c>
      <c r="B11032" s="9" t="s">
        <v>31118</v>
      </c>
      <c r="C11032" s="11" t="s">
        <v>28</v>
      </c>
      <c r="D11032" s="9" t="s">
        <v>31119</v>
      </c>
      <c r="E11032" s="11" t="s">
        <v>28</v>
      </c>
      <c r="F11032" s="10">
        <v>114.25</v>
      </c>
      <c r="G11032" s="10">
        <v>70.84</v>
      </c>
      <c r="H11032" s="10">
        <v>114.26</v>
      </c>
      <c r="I11032" s="11" t="s">
        <v>28</v>
      </c>
      <c r="J11032" s="11" t="s">
        <v>28</v>
      </c>
      <c r="K11032" s="11" t="s">
        <v>28</v>
      </c>
      <c r="L11032" s="11" t="s">
        <v>28</v>
      </c>
      <c r="M11032" s="11" t="s">
        <v>28</v>
      </c>
      <c r="N11032" s="8">
        <v>41333</v>
      </c>
      <c r="O11032" s="9" t="s">
        <v>30</v>
      </c>
      <c r="P11032" s="12" t="s">
        <v>31120</v>
      </c>
      <c r="Q11032" s="9" t="s">
        <v>75</v>
      </c>
      <c r="R11032" s="14" t="str">
        <f>HYPERLINK("https://my.pitchbook.com?c=70925-05T","View Company Online")</f>
        <v>View Company Online</v>
      </c>
    </row>
    <row r="11033" spans="1:18" hidden="1" x14ac:dyDescent="0.3">
      <c r="A11033" s="15" t="s">
        <v>31121</v>
      </c>
      <c r="B11033" s="15" t="s">
        <v>10062</v>
      </c>
      <c r="C11033" s="18" t="s">
        <v>28</v>
      </c>
      <c r="D11033" s="15" t="s">
        <v>10063</v>
      </c>
      <c r="E11033" s="18" t="s">
        <v>28</v>
      </c>
      <c r="F11033" s="19">
        <v>112.7</v>
      </c>
      <c r="G11033" s="19">
        <v>112.7</v>
      </c>
      <c r="H11033" s="19">
        <v>112.7</v>
      </c>
      <c r="I11033" s="18" t="s">
        <v>28</v>
      </c>
      <c r="J11033" s="18" t="s">
        <v>28</v>
      </c>
      <c r="K11033" s="18" t="s">
        <v>28</v>
      </c>
      <c r="L11033" s="18" t="s">
        <v>28</v>
      </c>
      <c r="M11033" s="18" t="s">
        <v>28</v>
      </c>
      <c r="N11033" s="17">
        <v>41333</v>
      </c>
      <c r="O11033" s="15" t="s">
        <v>30</v>
      </c>
      <c r="P11033" s="16" t="s">
        <v>23022</v>
      </c>
      <c r="Q11033" s="15" t="s">
        <v>409</v>
      </c>
      <c r="R11033" s="13" t="str">
        <f>HYPERLINK("https://my.pitchbook.com?c=60164-38T","View Company Online")</f>
        <v>View Company Online</v>
      </c>
    </row>
    <row r="11034" spans="1:18" hidden="1" x14ac:dyDescent="0.3">
      <c r="A11034" s="9" t="s">
        <v>31122</v>
      </c>
      <c r="B11034" s="9" t="s">
        <v>2574</v>
      </c>
      <c r="C11034" s="11" t="s">
        <v>28</v>
      </c>
      <c r="D11034" s="9" t="s">
        <v>2575</v>
      </c>
      <c r="E11034" s="11" t="s">
        <v>28</v>
      </c>
      <c r="F11034" s="10" t="s">
        <v>28</v>
      </c>
      <c r="G11034" s="10">
        <v>50.5</v>
      </c>
      <c r="H11034" s="10">
        <v>275.97000000000003</v>
      </c>
      <c r="I11034" s="11" t="s">
        <v>28</v>
      </c>
      <c r="J11034" s="11" t="s">
        <v>28</v>
      </c>
      <c r="K11034" s="11" t="s">
        <v>28</v>
      </c>
      <c r="L11034" s="11" t="s">
        <v>28</v>
      </c>
      <c r="M11034" s="11" t="s">
        <v>28</v>
      </c>
      <c r="N11034" s="8">
        <v>41332</v>
      </c>
      <c r="O11034" s="9" t="s">
        <v>93</v>
      </c>
      <c r="P11034" s="12" t="s">
        <v>30684</v>
      </c>
      <c r="Q11034" s="9" t="s">
        <v>470</v>
      </c>
      <c r="R11034" s="14" t="str">
        <f>HYPERLINK("https://my.pitchbook.com?c=40275-01T","View Company Online")</f>
        <v>View Company Online</v>
      </c>
    </row>
    <row r="11035" spans="1:18" hidden="1" x14ac:dyDescent="0.3">
      <c r="A11035" s="15" t="s">
        <v>31123</v>
      </c>
      <c r="B11035" s="15" t="s">
        <v>22005</v>
      </c>
      <c r="C11035" s="18" t="s">
        <v>28</v>
      </c>
      <c r="D11035" s="15" t="s">
        <v>22006</v>
      </c>
      <c r="E11035" s="18">
        <v>-39.950000000000003</v>
      </c>
      <c r="F11035" s="19" t="s">
        <v>28</v>
      </c>
      <c r="G11035" s="19" t="s">
        <v>28</v>
      </c>
      <c r="H11035" s="19" t="s">
        <v>28</v>
      </c>
      <c r="I11035" s="18" t="s">
        <v>28</v>
      </c>
      <c r="J11035" s="18" t="s">
        <v>28</v>
      </c>
      <c r="K11035" s="18">
        <v>144.19</v>
      </c>
      <c r="L11035" s="18" t="s">
        <v>28</v>
      </c>
      <c r="M11035" s="18">
        <v>-45.51</v>
      </c>
      <c r="N11035" s="17">
        <v>41332</v>
      </c>
      <c r="O11035" s="15" t="s">
        <v>58</v>
      </c>
      <c r="P11035" s="16" t="s">
        <v>24447</v>
      </c>
      <c r="Q11035" s="15" t="s">
        <v>64</v>
      </c>
      <c r="R11035" s="13" t="str">
        <f>HYPERLINK("https://my.pitchbook.com?c=24719-86T","View Company Online")</f>
        <v>View Company Online</v>
      </c>
    </row>
    <row r="11036" spans="1:18" hidden="1" x14ac:dyDescent="0.3">
      <c r="A11036" s="9" t="s">
        <v>31124</v>
      </c>
      <c r="B11036" s="9" t="s">
        <v>30748</v>
      </c>
      <c r="C11036" s="11" t="s">
        <v>28</v>
      </c>
      <c r="D11036" s="9" t="s">
        <v>30749</v>
      </c>
      <c r="E11036" s="11" t="s">
        <v>28</v>
      </c>
      <c r="F11036" s="10" t="s">
        <v>28</v>
      </c>
      <c r="G11036" s="10">
        <v>1200</v>
      </c>
      <c r="H11036" s="10" t="s">
        <v>28</v>
      </c>
      <c r="I11036" s="11" t="s">
        <v>28</v>
      </c>
      <c r="J11036" s="11" t="s">
        <v>28</v>
      </c>
      <c r="K11036" s="11" t="s">
        <v>28</v>
      </c>
      <c r="L11036" s="11" t="s">
        <v>28</v>
      </c>
      <c r="M11036" s="11" t="s">
        <v>28</v>
      </c>
      <c r="N11036" s="8">
        <v>41331</v>
      </c>
      <c r="O11036" s="9" t="s">
        <v>93</v>
      </c>
      <c r="P11036" s="12" t="s">
        <v>28</v>
      </c>
      <c r="Q11036" s="9" t="s">
        <v>54</v>
      </c>
      <c r="R11036" s="14" t="str">
        <f>HYPERLINK("https://my.pitchbook.com?c=127722-97T","View Company Online")</f>
        <v>View Company Online</v>
      </c>
    </row>
    <row r="11037" spans="1:18" hidden="1" x14ac:dyDescent="0.3">
      <c r="A11037" s="15" t="s">
        <v>31125</v>
      </c>
      <c r="B11037" s="15" t="s">
        <v>31126</v>
      </c>
      <c r="C11037" s="18" t="s">
        <v>28</v>
      </c>
      <c r="D11037" s="15" t="s">
        <v>31127</v>
      </c>
      <c r="E11037" s="18" t="s">
        <v>28</v>
      </c>
      <c r="F11037" s="19">
        <v>98.33</v>
      </c>
      <c r="G11037" s="19">
        <v>98.33</v>
      </c>
      <c r="H11037" s="19">
        <v>98.33</v>
      </c>
      <c r="I11037" s="18" t="s">
        <v>28</v>
      </c>
      <c r="J11037" s="18" t="s">
        <v>28</v>
      </c>
      <c r="K11037" s="18" t="s">
        <v>28</v>
      </c>
      <c r="L11037" s="18" t="s">
        <v>28</v>
      </c>
      <c r="M11037" s="18" t="s">
        <v>28</v>
      </c>
      <c r="N11037" s="17">
        <v>41330</v>
      </c>
      <c r="O11037" s="15" t="s">
        <v>30</v>
      </c>
      <c r="P11037" s="16" t="s">
        <v>31128</v>
      </c>
      <c r="Q11037" s="15" t="s">
        <v>424</v>
      </c>
      <c r="R11037" s="13" t="str">
        <f>HYPERLINK("https://my.pitchbook.com?c=91604-71T","View Company Online")</f>
        <v>View Company Online</v>
      </c>
    </row>
    <row r="11038" spans="1:18" hidden="1" x14ac:dyDescent="0.3">
      <c r="A11038" s="9" t="s">
        <v>31129</v>
      </c>
      <c r="B11038" s="9" t="s">
        <v>31130</v>
      </c>
      <c r="C11038" s="11" t="s">
        <v>28</v>
      </c>
      <c r="D11038" s="9" t="s">
        <v>31131</v>
      </c>
      <c r="E11038" s="11" t="s">
        <v>28</v>
      </c>
      <c r="F11038" s="10" t="s">
        <v>28</v>
      </c>
      <c r="G11038" s="10" t="s">
        <v>28</v>
      </c>
      <c r="H11038" s="10" t="s">
        <v>28</v>
      </c>
      <c r="I11038" s="11" t="s">
        <v>28</v>
      </c>
      <c r="J11038" s="11" t="s">
        <v>28</v>
      </c>
      <c r="K11038" s="11" t="s">
        <v>28</v>
      </c>
      <c r="L11038" s="11" t="s">
        <v>28</v>
      </c>
      <c r="M11038" s="11" t="s">
        <v>28</v>
      </c>
      <c r="N11038" s="8">
        <v>41330</v>
      </c>
      <c r="O11038" s="9" t="s">
        <v>30</v>
      </c>
      <c r="P11038" s="12" t="s">
        <v>31132</v>
      </c>
      <c r="Q11038" s="9" t="s">
        <v>85</v>
      </c>
      <c r="R11038" s="14" t="str">
        <f>HYPERLINK("https://my.pitchbook.com?c=89695-54T","View Company Online")</f>
        <v>View Company Online</v>
      </c>
    </row>
    <row r="11039" spans="1:18" hidden="1" x14ac:dyDescent="0.3">
      <c r="A11039" s="15" t="s">
        <v>31133</v>
      </c>
      <c r="B11039" s="15" t="s">
        <v>29293</v>
      </c>
      <c r="C11039" s="18" t="s">
        <v>28</v>
      </c>
      <c r="D11039" s="15" t="s">
        <v>29294</v>
      </c>
      <c r="E11039" s="18" t="s">
        <v>28</v>
      </c>
      <c r="F11039" s="19" t="s">
        <v>28</v>
      </c>
      <c r="G11039" s="19" t="s">
        <v>28</v>
      </c>
      <c r="H11039" s="19" t="s">
        <v>28</v>
      </c>
      <c r="I11039" s="18" t="s">
        <v>28</v>
      </c>
      <c r="J11039" s="18" t="s">
        <v>28</v>
      </c>
      <c r="K11039" s="18" t="s">
        <v>28</v>
      </c>
      <c r="L11039" s="18" t="s">
        <v>28</v>
      </c>
      <c r="M11039" s="18" t="s">
        <v>28</v>
      </c>
      <c r="N11039" s="17">
        <v>41330</v>
      </c>
      <c r="O11039" s="15" t="s">
        <v>73</v>
      </c>
      <c r="P11039" s="16" t="s">
        <v>31134</v>
      </c>
      <c r="Q11039" s="15" t="s">
        <v>740</v>
      </c>
      <c r="R11039" s="13" t="str">
        <f>HYPERLINK("https://my.pitchbook.com?c=33967-45T","View Company Online")</f>
        <v>View Company Online</v>
      </c>
    </row>
    <row r="11040" spans="1:18" hidden="1" x14ac:dyDescent="0.3">
      <c r="A11040" s="9" t="s">
        <v>31135</v>
      </c>
      <c r="B11040" s="9" t="s">
        <v>21150</v>
      </c>
      <c r="C11040" s="11" t="s">
        <v>28</v>
      </c>
      <c r="D11040" s="9" t="s">
        <v>21151</v>
      </c>
      <c r="E11040" s="11" t="s">
        <v>28</v>
      </c>
      <c r="F11040" s="10">
        <v>441.45</v>
      </c>
      <c r="G11040" s="10">
        <v>441.45</v>
      </c>
      <c r="H11040" s="10">
        <v>441.45</v>
      </c>
      <c r="I11040" s="11" t="s">
        <v>28</v>
      </c>
      <c r="J11040" s="11" t="s">
        <v>28</v>
      </c>
      <c r="K11040" s="11" t="s">
        <v>28</v>
      </c>
      <c r="L11040" s="11" t="s">
        <v>28</v>
      </c>
      <c r="M11040" s="11" t="s">
        <v>28</v>
      </c>
      <c r="N11040" s="8">
        <v>41328</v>
      </c>
      <c r="O11040" s="9" t="s">
        <v>30</v>
      </c>
      <c r="P11040" s="12" t="s">
        <v>12054</v>
      </c>
      <c r="Q11040" s="9" t="s">
        <v>43</v>
      </c>
      <c r="R11040" s="14" t="str">
        <f>HYPERLINK("https://my.pitchbook.com?c=110267-83T","View Company Online")</f>
        <v>View Company Online</v>
      </c>
    </row>
    <row r="11041" spans="1:18" hidden="1" x14ac:dyDescent="0.3">
      <c r="A11041" s="15" t="s">
        <v>31136</v>
      </c>
      <c r="B11041" s="15" t="s">
        <v>26700</v>
      </c>
      <c r="C11041" s="18" t="s">
        <v>28</v>
      </c>
      <c r="D11041" s="15" t="s">
        <v>26701</v>
      </c>
      <c r="E11041" s="18" t="s">
        <v>28</v>
      </c>
      <c r="F11041" s="19" t="s">
        <v>28</v>
      </c>
      <c r="G11041" s="19" t="s">
        <v>28</v>
      </c>
      <c r="H11041" s="19" t="s">
        <v>28</v>
      </c>
      <c r="I11041" s="18" t="s">
        <v>28</v>
      </c>
      <c r="J11041" s="18" t="s">
        <v>28</v>
      </c>
      <c r="K11041" s="18" t="s">
        <v>28</v>
      </c>
      <c r="L11041" s="18" t="s">
        <v>28</v>
      </c>
      <c r="M11041" s="18" t="s">
        <v>28</v>
      </c>
      <c r="N11041" s="17">
        <v>41327</v>
      </c>
      <c r="O11041" s="15" t="s">
        <v>73</v>
      </c>
      <c r="P11041" s="16" t="s">
        <v>31137</v>
      </c>
      <c r="Q11041" s="15" t="s">
        <v>75</v>
      </c>
      <c r="R11041" s="13" t="str">
        <f>HYPERLINK("https://my.pitchbook.com?c=25009-21T","View Company Online")</f>
        <v>View Company Online</v>
      </c>
    </row>
    <row r="11042" spans="1:18" hidden="1" x14ac:dyDescent="0.3">
      <c r="A11042" s="9" t="s">
        <v>31138</v>
      </c>
      <c r="B11042" s="9" t="s">
        <v>24931</v>
      </c>
      <c r="C11042" s="11" t="s">
        <v>28</v>
      </c>
      <c r="D11042" s="9" t="s">
        <v>24932</v>
      </c>
      <c r="E11042" s="11" t="s">
        <v>28</v>
      </c>
      <c r="F11042" s="10" t="s">
        <v>28</v>
      </c>
      <c r="G11042" s="10">
        <v>0.5</v>
      </c>
      <c r="H11042" s="10" t="s">
        <v>28</v>
      </c>
      <c r="I11042" s="11" t="s">
        <v>28</v>
      </c>
      <c r="J11042" s="11" t="s">
        <v>28</v>
      </c>
      <c r="K11042" s="11" t="s">
        <v>28</v>
      </c>
      <c r="L11042" s="11" t="s">
        <v>28</v>
      </c>
      <c r="M11042" s="11" t="s">
        <v>28</v>
      </c>
      <c r="N11042" s="8">
        <v>41326</v>
      </c>
      <c r="O11042" s="9" t="s">
        <v>99</v>
      </c>
      <c r="P11042" s="12" t="s">
        <v>31139</v>
      </c>
      <c r="Q11042" s="9" t="s">
        <v>419</v>
      </c>
      <c r="R11042" s="14" t="str">
        <f>HYPERLINK("https://my.pitchbook.com?c=24588-73T","View Company Online")</f>
        <v>View Company Online</v>
      </c>
    </row>
    <row r="11043" spans="1:18" hidden="1" x14ac:dyDescent="0.3">
      <c r="A11043" s="15" t="s">
        <v>31140</v>
      </c>
      <c r="B11043" s="15" t="s">
        <v>31141</v>
      </c>
      <c r="C11043" s="18" t="s">
        <v>28</v>
      </c>
      <c r="D11043" s="15" t="s">
        <v>31142</v>
      </c>
      <c r="E11043" s="18">
        <v>-59.4</v>
      </c>
      <c r="F11043" s="19" t="s">
        <v>28</v>
      </c>
      <c r="G11043" s="19" t="s">
        <v>28</v>
      </c>
      <c r="H11043" s="19" t="s">
        <v>28</v>
      </c>
      <c r="I11043" s="18">
        <v>-44.31</v>
      </c>
      <c r="J11043" s="18" t="s">
        <v>28</v>
      </c>
      <c r="K11043" s="18">
        <v>59.4</v>
      </c>
      <c r="L11043" s="18" t="s">
        <v>28</v>
      </c>
      <c r="M11043" s="18">
        <v>-54.96</v>
      </c>
      <c r="N11043" s="17">
        <v>41325</v>
      </c>
      <c r="O11043" s="15" t="s">
        <v>173</v>
      </c>
      <c r="P11043" s="16" t="s">
        <v>28</v>
      </c>
      <c r="Q11043" s="15" t="s">
        <v>114</v>
      </c>
      <c r="R11043" s="13" t="str">
        <f>HYPERLINK("https://my.pitchbook.com?c=202694-41T","View Company Online")</f>
        <v>View Company Online</v>
      </c>
    </row>
    <row r="11044" spans="1:18" hidden="1" x14ac:dyDescent="0.3">
      <c r="A11044" s="9" t="s">
        <v>31143</v>
      </c>
      <c r="B11044" s="9" t="s">
        <v>31144</v>
      </c>
      <c r="C11044" s="11" t="s">
        <v>28</v>
      </c>
      <c r="D11044" s="9" t="s">
        <v>31145</v>
      </c>
      <c r="E11044" s="11" t="s">
        <v>28</v>
      </c>
      <c r="F11044" s="10" t="s">
        <v>28</v>
      </c>
      <c r="G11044" s="10" t="s">
        <v>28</v>
      </c>
      <c r="H11044" s="10" t="s">
        <v>28</v>
      </c>
      <c r="I11044" s="11" t="s">
        <v>28</v>
      </c>
      <c r="J11044" s="11" t="s">
        <v>28</v>
      </c>
      <c r="K11044" s="11">
        <v>50</v>
      </c>
      <c r="L11044" s="11" t="s">
        <v>28</v>
      </c>
      <c r="M11044" s="11" t="s">
        <v>28</v>
      </c>
      <c r="N11044" s="8">
        <v>41325</v>
      </c>
      <c r="O11044" s="9" t="s">
        <v>30</v>
      </c>
      <c r="P11044" s="12" t="s">
        <v>25788</v>
      </c>
      <c r="Q11044" s="9" t="s">
        <v>7913</v>
      </c>
      <c r="R11044" s="14" t="str">
        <f>HYPERLINK("https://my.pitchbook.com?c=75016-90T","View Company Online")</f>
        <v>View Company Online</v>
      </c>
    </row>
    <row r="11045" spans="1:18" hidden="1" x14ac:dyDescent="0.3">
      <c r="A11045" s="15" t="s">
        <v>31146</v>
      </c>
      <c r="B11045" s="15" t="s">
        <v>4655</v>
      </c>
      <c r="C11045" s="18" t="s">
        <v>28</v>
      </c>
      <c r="D11045" s="15" t="s">
        <v>4656</v>
      </c>
      <c r="E11045" s="18" t="s">
        <v>28</v>
      </c>
      <c r="F11045" s="19" t="s">
        <v>28</v>
      </c>
      <c r="G11045" s="19">
        <v>2.04</v>
      </c>
      <c r="H11045" s="19" t="s">
        <v>28</v>
      </c>
      <c r="I11045" s="18" t="s">
        <v>28</v>
      </c>
      <c r="J11045" s="18" t="s">
        <v>28</v>
      </c>
      <c r="K11045" s="18" t="s">
        <v>28</v>
      </c>
      <c r="L11045" s="18" t="s">
        <v>28</v>
      </c>
      <c r="M11045" s="18" t="s">
        <v>28</v>
      </c>
      <c r="N11045" s="17">
        <v>41325</v>
      </c>
      <c r="O11045" s="15" t="s">
        <v>79</v>
      </c>
      <c r="P11045" s="16" t="s">
        <v>31147</v>
      </c>
      <c r="Q11045" s="15" t="s">
        <v>386</v>
      </c>
      <c r="R11045" s="13" t="str">
        <f>HYPERLINK("https://my.pitchbook.com?c=27872-65T","View Company Online")</f>
        <v>View Company Online</v>
      </c>
    </row>
    <row r="11046" spans="1:18" hidden="1" x14ac:dyDescent="0.3">
      <c r="A11046" s="9" t="s">
        <v>31148</v>
      </c>
      <c r="B11046" s="9" t="s">
        <v>29300</v>
      </c>
      <c r="C11046" s="11" t="s">
        <v>28</v>
      </c>
      <c r="D11046" s="9" t="s">
        <v>29301</v>
      </c>
      <c r="E11046" s="11" t="s">
        <v>28</v>
      </c>
      <c r="F11046" s="10" t="s">
        <v>28</v>
      </c>
      <c r="G11046" s="10" t="s">
        <v>28</v>
      </c>
      <c r="H11046" s="10" t="s">
        <v>28</v>
      </c>
      <c r="I11046" s="11" t="s">
        <v>28</v>
      </c>
      <c r="J11046" s="11" t="s">
        <v>28</v>
      </c>
      <c r="K11046" s="11" t="s">
        <v>28</v>
      </c>
      <c r="L11046" s="11" t="s">
        <v>28</v>
      </c>
      <c r="M11046" s="11" t="s">
        <v>28</v>
      </c>
      <c r="N11046" s="8">
        <v>41324</v>
      </c>
      <c r="O11046" s="9" t="s">
        <v>79</v>
      </c>
      <c r="P11046" s="12" t="s">
        <v>31149</v>
      </c>
      <c r="Q11046" s="9" t="s">
        <v>740</v>
      </c>
      <c r="R11046" s="14" t="str">
        <f>HYPERLINK("https://my.pitchbook.com?c=30992-32T","View Company Online")</f>
        <v>View Company Online</v>
      </c>
    </row>
    <row r="11047" spans="1:18" hidden="1" x14ac:dyDescent="0.3">
      <c r="A11047" s="15" t="s">
        <v>31150</v>
      </c>
      <c r="B11047" s="15" t="s">
        <v>26205</v>
      </c>
      <c r="C11047" s="18" t="s">
        <v>28</v>
      </c>
      <c r="D11047" s="15" t="s">
        <v>26206</v>
      </c>
      <c r="E11047" s="18" t="s">
        <v>28</v>
      </c>
      <c r="F11047" s="19" t="s">
        <v>28</v>
      </c>
      <c r="G11047" s="19">
        <v>4.2</v>
      </c>
      <c r="H11047" s="19" t="s">
        <v>28</v>
      </c>
      <c r="I11047" s="18" t="s">
        <v>28</v>
      </c>
      <c r="J11047" s="18" t="s">
        <v>28</v>
      </c>
      <c r="K11047" s="18" t="s">
        <v>28</v>
      </c>
      <c r="L11047" s="18" t="s">
        <v>28</v>
      </c>
      <c r="M11047" s="18" t="s">
        <v>28</v>
      </c>
      <c r="N11047" s="17">
        <v>41324</v>
      </c>
      <c r="O11047" s="15" t="s">
        <v>73</v>
      </c>
      <c r="P11047" s="16" t="s">
        <v>31151</v>
      </c>
      <c r="Q11047" s="15" t="s">
        <v>85</v>
      </c>
      <c r="R11047" s="13" t="str">
        <f>HYPERLINK("https://my.pitchbook.com?c=24921-46T","View Company Online")</f>
        <v>View Company Online</v>
      </c>
    </row>
    <row r="11048" spans="1:18" hidden="1" x14ac:dyDescent="0.3">
      <c r="A11048" s="9" t="s">
        <v>31152</v>
      </c>
      <c r="B11048" s="9" t="s">
        <v>31153</v>
      </c>
      <c r="C11048" s="11" t="s">
        <v>28</v>
      </c>
      <c r="D11048" s="9" t="s">
        <v>31154</v>
      </c>
      <c r="E11048" s="11" t="s">
        <v>28</v>
      </c>
      <c r="F11048" s="10" t="s">
        <v>28</v>
      </c>
      <c r="G11048" s="10" t="s">
        <v>28</v>
      </c>
      <c r="H11048" s="10" t="s">
        <v>28</v>
      </c>
      <c r="I11048" s="11" t="s">
        <v>28</v>
      </c>
      <c r="J11048" s="11" t="s">
        <v>28</v>
      </c>
      <c r="K11048" s="11" t="s">
        <v>28</v>
      </c>
      <c r="L11048" s="11" t="s">
        <v>28</v>
      </c>
      <c r="M11048" s="11" t="s">
        <v>28</v>
      </c>
      <c r="N11048" s="8">
        <v>41323</v>
      </c>
      <c r="O11048" s="9" t="s">
        <v>30</v>
      </c>
      <c r="P11048" s="12" t="s">
        <v>30116</v>
      </c>
      <c r="Q11048" s="9" t="s">
        <v>245</v>
      </c>
      <c r="R11048" s="14" t="str">
        <f>HYPERLINK("https://my.pitchbook.com?c=89614-81T","View Company Online")</f>
        <v>View Company Online</v>
      </c>
    </row>
    <row r="11049" spans="1:18" hidden="1" x14ac:dyDescent="0.3">
      <c r="A11049" s="15" t="s">
        <v>31155</v>
      </c>
      <c r="B11049" s="15" t="s">
        <v>31156</v>
      </c>
      <c r="C11049" s="18" t="s">
        <v>28</v>
      </c>
      <c r="D11049" s="15" t="s">
        <v>31157</v>
      </c>
      <c r="E11049" s="18" t="s">
        <v>28</v>
      </c>
      <c r="F11049" s="19" t="s">
        <v>28</v>
      </c>
      <c r="G11049" s="19" t="s">
        <v>28</v>
      </c>
      <c r="H11049" s="19" t="s">
        <v>28</v>
      </c>
      <c r="I11049" s="18" t="s">
        <v>28</v>
      </c>
      <c r="J11049" s="18" t="s">
        <v>28</v>
      </c>
      <c r="K11049" s="18" t="s">
        <v>28</v>
      </c>
      <c r="L11049" s="18" t="s">
        <v>28</v>
      </c>
      <c r="M11049" s="18" t="s">
        <v>28</v>
      </c>
      <c r="N11049" s="17">
        <v>41323</v>
      </c>
      <c r="O11049" s="15" t="s">
        <v>30</v>
      </c>
      <c r="P11049" s="16" t="s">
        <v>31158</v>
      </c>
      <c r="Q11049" s="15" t="s">
        <v>353</v>
      </c>
      <c r="R11049" s="13" t="str">
        <f>HYPERLINK("https://my.pitchbook.com?c=89662-78T","View Company Online")</f>
        <v>View Company Online</v>
      </c>
    </row>
    <row r="11050" spans="1:18" hidden="1" x14ac:dyDescent="0.3">
      <c r="A11050" s="9" t="s">
        <v>31159</v>
      </c>
      <c r="B11050" s="9" t="s">
        <v>31160</v>
      </c>
      <c r="C11050" s="11" t="s">
        <v>28</v>
      </c>
      <c r="D11050" s="9" t="s">
        <v>31161</v>
      </c>
      <c r="E11050" s="11" t="s">
        <v>28</v>
      </c>
      <c r="F11050" s="10">
        <v>22.83</v>
      </c>
      <c r="G11050" s="10">
        <v>22.83</v>
      </c>
      <c r="H11050" s="10">
        <v>22.83</v>
      </c>
      <c r="I11050" s="11" t="s">
        <v>28</v>
      </c>
      <c r="J11050" s="11" t="s">
        <v>28</v>
      </c>
      <c r="K11050" s="11" t="s">
        <v>28</v>
      </c>
      <c r="L11050" s="11" t="s">
        <v>28</v>
      </c>
      <c r="M11050" s="11" t="s">
        <v>28</v>
      </c>
      <c r="N11050" s="8">
        <v>41319</v>
      </c>
      <c r="O11050" s="9" t="s">
        <v>30</v>
      </c>
      <c r="P11050" s="12" t="s">
        <v>31162</v>
      </c>
      <c r="Q11050" s="9" t="s">
        <v>3912</v>
      </c>
      <c r="R11050" s="14" t="str">
        <f>HYPERLINK("https://my.pitchbook.com?c=24467-59T","View Company Online")</f>
        <v>View Company Online</v>
      </c>
    </row>
    <row r="11051" spans="1:18" hidden="1" x14ac:dyDescent="0.3">
      <c r="A11051" s="15" t="s">
        <v>31163</v>
      </c>
      <c r="B11051" s="15" t="s">
        <v>28395</v>
      </c>
      <c r="C11051" s="18" t="s">
        <v>28</v>
      </c>
      <c r="D11051" s="15" t="s">
        <v>28396</v>
      </c>
      <c r="E11051" s="18" t="s">
        <v>28</v>
      </c>
      <c r="F11051" s="19" t="s">
        <v>28</v>
      </c>
      <c r="G11051" s="19" t="s">
        <v>28</v>
      </c>
      <c r="H11051" s="19" t="s">
        <v>28</v>
      </c>
      <c r="I11051" s="18" t="s">
        <v>28</v>
      </c>
      <c r="J11051" s="18" t="s">
        <v>28</v>
      </c>
      <c r="K11051" s="18" t="s">
        <v>28</v>
      </c>
      <c r="L11051" s="18" t="s">
        <v>28</v>
      </c>
      <c r="M11051" s="18" t="s">
        <v>28</v>
      </c>
      <c r="N11051" s="17">
        <v>41318</v>
      </c>
      <c r="O11051" s="15" t="s">
        <v>52</v>
      </c>
      <c r="P11051" s="16" t="s">
        <v>31164</v>
      </c>
      <c r="Q11051" s="15" t="s">
        <v>386</v>
      </c>
      <c r="R11051" s="13" t="str">
        <f>HYPERLINK("https://my.pitchbook.com?c=62785-63T","View Company Online")</f>
        <v>View Company Online</v>
      </c>
    </row>
    <row r="11052" spans="1:18" hidden="1" x14ac:dyDescent="0.3">
      <c r="A11052" s="9" t="s">
        <v>31165</v>
      </c>
      <c r="B11052" s="9" t="s">
        <v>31166</v>
      </c>
      <c r="C11052" s="11" t="s">
        <v>28</v>
      </c>
      <c r="D11052" s="9" t="s">
        <v>31167</v>
      </c>
      <c r="E11052" s="11" t="s">
        <v>28</v>
      </c>
      <c r="F11052" s="10" t="s">
        <v>28</v>
      </c>
      <c r="G11052" s="10">
        <v>0.04</v>
      </c>
      <c r="H11052" s="10" t="s">
        <v>28</v>
      </c>
      <c r="I11052" s="11" t="s">
        <v>28</v>
      </c>
      <c r="J11052" s="11" t="s">
        <v>28</v>
      </c>
      <c r="K11052" s="11" t="s">
        <v>28</v>
      </c>
      <c r="L11052" s="11" t="s">
        <v>28</v>
      </c>
      <c r="M11052" s="11" t="s">
        <v>28</v>
      </c>
      <c r="N11052" s="8">
        <v>41318</v>
      </c>
      <c r="O11052" s="9" t="s">
        <v>52</v>
      </c>
      <c r="P11052" s="12" t="s">
        <v>1792</v>
      </c>
      <c r="Q11052" s="9" t="s">
        <v>409</v>
      </c>
      <c r="R11052" s="14" t="str">
        <f>HYPERLINK("https://my.pitchbook.com?c=50774-68T","View Company Online")</f>
        <v>View Company Online</v>
      </c>
    </row>
    <row r="11053" spans="1:18" hidden="1" x14ac:dyDescent="0.3">
      <c r="A11053" s="15" t="s">
        <v>31168</v>
      </c>
      <c r="B11053" s="15" t="s">
        <v>10279</v>
      </c>
      <c r="C11053" s="18" t="s">
        <v>28</v>
      </c>
      <c r="D11053" s="15" t="s">
        <v>18134</v>
      </c>
      <c r="E11053" s="18">
        <v>17.14</v>
      </c>
      <c r="F11053" s="19" t="s">
        <v>28</v>
      </c>
      <c r="G11053" s="19">
        <v>261.04000000000002</v>
      </c>
      <c r="H11053" s="19" t="s">
        <v>28</v>
      </c>
      <c r="I11053" s="18">
        <v>30.14</v>
      </c>
      <c r="J11053" s="18" t="s">
        <v>28</v>
      </c>
      <c r="K11053" s="18">
        <v>117.85</v>
      </c>
      <c r="L11053" s="18" t="s">
        <v>28</v>
      </c>
      <c r="M11053" s="18">
        <v>8.83</v>
      </c>
      <c r="N11053" s="17">
        <v>41313</v>
      </c>
      <c r="O11053" s="15" t="s">
        <v>173</v>
      </c>
      <c r="P11053" s="16" t="s">
        <v>28</v>
      </c>
      <c r="Q11053" s="15" t="s">
        <v>75</v>
      </c>
      <c r="R11053" s="13" t="str">
        <f>HYPERLINK("https://my.pitchbook.com?c=24006-07T","View Company Online")</f>
        <v>View Company Online</v>
      </c>
    </row>
    <row r="11054" spans="1:18" hidden="1" x14ac:dyDescent="0.3">
      <c r="A11054" s="9" t="s">
        <v>31169</v>
      </c>
      <c r="B11054" s="9" t="s">
        <v>4616</v>
      </c>
      <c r="C11054" s="11" t="s">
        <v>28</v>
      </c>
      <c r="D11054" s="9" t="s">
        <v>4617</v>
      </c>
      <c r="E11054" s="11">
        <v>4.29</v>
      </c>
      <c r="F11054" s="10" t="s">
        <v>28</v>
      </c>
      <c r="G11054" s="10">
        <v>30.76</v>
      </c>
      <c r="H11054" s="10" t="s">
        <v>28</v>
      </c>
      <c r="I11054" s="11">
        <v>4.6900000000000004</v>
      </c>
      <c r="J11054" s="11" t="s">
        <v>28</v>
      </c>
      <c r="K11054" s="11">
        <v>23.59</v>
      </c>
      <c r="L11054" s="11" t="s">
        <v>28</v>
      </c>
      <c r="M11054" s="11">
        <v>3.07</v>
      </c>
      <c r="N11054" s="8">
        <v>41313</v>
      </c>
      <c r="O11054" s="9" t="s">
        <v>173</v>
      </c>
      <c r="P11054" s="12" t="s">
        <v>28</v>
      </c>
      <c r="Q11054" s="9" t="s">
        <v>37</v>
      </c>
      <c r="R11054" s="14" t="str">
        <f>HYPERLINK("https://my.pitchbook.com?c=58868-56T","View Company Online")</f>
        <v>View Company Online</v>
      </c>
    </row>
    <row r="11055" spans="1:18" hidden="1" x14ac:dyDescent="0.3">
      <c r="A11055" s="15" t="s">
        <v>31170</v>
      </c>
      <c r="B11055" s="15" t="s">
        <v>31171</v>
      </c>
      <c r="C11055" s="18" t="s">
        <v>28</v>
      </c>
      <c r="D11055" s="15" t="s">
        <v>31172</v>
      </c>
      <c r="E11055" s="18" t="s">
        <v>28</v>
      </c>
      <c r="F11055" s="19" t="s">
        <v>28</v>
      </c>
      <c r="G11055" s="19" t="s">
        <v>28</v>
      </c>
      <c r="H11055" s="19" t="s">
        <v>28</v>
      </c>
      <c r="I11055" s="18" t="s">
        <v>28</v>
      </c>
      <c r="J11055" s="18" t="s">
        <v>28</v>
      </c>
      <c r="K11055" s="18" t="s">
        <v>28</v>
      </c>
      <c r="L11055" s="18" t="s">
        <v>28</v>
      </c>
      <c r="M11055" s="18" t="s">
        <v>28</v>
      </c>
      <c r="N11055" s="17">
        <v>41312</v>
      </c>
      <c r="O11055" s="15" t="s">
        <v>73</v>
      </c>
      <c r="P11055" s="16" t="s">
        <v>31173</v>
      </c>
      <c r="Q11055" s="15" t="s">
        <v>3912</v>
      </c>
      <c r="R11055" s="13" t="str">
        <f>HYPERLINK("https://my.pitchbook.com?c=36938-80T","View Company Online")</f>
        <v>View Company Online</v>
      </c>
    </row>
    <row r="11056" spans="1:18" hidden="1" x14ac:dyDescent="0.3">
      <c r="A11056" s="9" t="s">
        <v>31174</v>
      </c>
      <c r="B11056" s="9" t="s">
        <v>22084</v>
      </c>
      <c r="C11056" s="11" t="s">
        <v>28</v>
      </c>
      <c r="D11056" s="9" t="s">
        <v>22085</v>
      </c>
      <c r="E11056" s="11" t="s">
        <v>28</v>
      </c>
      <c r="F11056" s="10">
        <v>2.6</v>
      </c>
      <c r="G11056" s="10">
        <v>2.6</v>
      </c>
      <c r="H11056" s="10">
        <v>2.6</v>
      </c>
      <c r="I11056" s="11" t="s">
        <v>28</v>
      </c>
      <c r="J11056" s="11" t="s">
        <v>28</v>
      </c>
      <c r="K11056" s="11">
        <v>12</v>
      </c>
      <c r="L11056" s="11">
        <v>0.22</v>
      </c>
      <c r="M11056" s="11" t="s">
        <v>28</v>
      </c>
      <c r="N11056" s="8">
        <v>41312</v>
      </c>
      <c r="O11056" s="9" t="s">
        <v>30</v>
      </c>
      <c r="P11056" s="12" t="s">
        <v>28814</v>
      </c>
      <c r="Q11056" s="9" t="s">
        <v>566</v>
      </c>
      <c r="R11056" s="14" t="str">
        <f>HYPERLINK("https://my.pitchbook.com?c=36903-07T","View Company Online")</f>
        <v>View Company Online</v>
      </c>
    </row>
    <row r="11057" spans="1:18" hidden="1" x14ac:dyDescent="0.3">
      <c r="A11057" s="15" t="s">
        <v>31175</v>
      </c>
      <c r="B11057" s="15" t="s">
        <v>13303</v>
      </c>
      <c r="C11057" s="18" t="s">
        <v>28</v>
      </c>
      <c r="D11057" s="15" t="s">
        <v>13304</v>
      </c>
      <c r="E11057" s="18" t="s">
        <v>28</v>
      </c>
      <c r="F11057" s="19">
        <v>93.88</v>
      </c>
      <c r="G11057" s="19">
        <v>93.88</v>
      </c>
      <c r="H11057" s="19">
        <v>93.88</v>
      </c>
      <c r="I11057" s="18" t="s">
        <v>28</v>
      </c>
      <c r="J11057" s="18" t="s">
        <v>28</v>
      </c>
      <c r="K11057" s="18" t="s">
        <v>28</v>
      </c>
      <c r="L11057" s="18" t="s">
        <v>28</v>
      </c>
      <c r="M11057" s="18" t="s">
        <v>28</v>
      </c>
      <c r="N11057" s="17">
        <v>41312</v>
      </c>
      <c r="O11057" s="15" t="s">
        <v>30</v>
      </c>
      <c r="P11057" s="16" t="s">
        <v>31176</v>
      </c>
      <c r="Q11057" s="15" t="s">
        <v>136</v>
      </c>
      <c r="R11057" s="13" t="str">
        <f>HYPERLINK("https://my.pitchbook.com?c=89706-70T","View Company Online")</f>
        <v>View Company Online</v>
      </c>
    </row>
    <row r="11058" spans="1:18" hidden="1" x14ac:dyDescent="0.3">
      <c r="A11058" s="9" t="s">
        <v>31177</v>
      </c>
      <c r="B11058" s="9" t="s">
        <v>31178</v>
      </c>
      <c r="C11058" s="11" t="s">
        <v>28</v>
      </c>
      <c r="D11058" s="9" t="s">
        <v>31179</v>
      </c>
      <c r="E11058" s="11" t="s">
        <v>28</v>
      </c>
      <c r="F11058" s="10" t="s">
        <v>28</v>
      </c>
      <c r="G11058" s="10">
        <v>0.5</v>
      </c>
      <c r="H11058" s="10" t="s">
        <v>28</v>
      </c>
      <c r="I11058" s="11" t="s">
        <v>28</v>
      </c>
      <c r="J11058" s="11" t="s">
        <v>28</v>
      </c>
      <c r="K11058" s="11" t="s">
        <v>28</v>
      </c>
      <c r="L11058" s="11" t="s">
        <v>28</v>
      </c>
      <c r="M11058" s="11" t="s">
        <v>28</v>
      </c>
      <c r="N11058" s="8">
        <v>41312</v>
      </c>
      <c r="O11058" s="9" t="s">
        <v>73</v>
      </c>
      <c r="P11058" s="12" t="s">
        <v>31180</v>
      </c>
      <c r="Q11058" s="9" t="s">
        <v>583</v>
      </c>
      <c r="R11058" s="14" t="str">
        <f>HYPERLINK("https://my.pitchbook.com?c=25087-06T","View Company Online")</f>
        <v>View Company Online</v>
      </c>
    </row>
    <row r="11059" spans="1:18" hidden="1" x14ac:dyDescent="0.3">
      <c r="A11059" s="15" t="s">
        <v>31181</v>
      </c>
      <c r="B11059" s="15" t="s">
        <v>31182</v>
      </c>
      <c r="C11059" s="18" t="s">
        <v>28</v>
      </c>
      <c r="D11059" s="15" t="s">
        <v>31183</v>
      </c>
      <c r="E11059" s="18" t="s">
        <v>28</v>
      </c>
      <c r="F11059" s="19" t="s">
        <v>28</v>
      </c>
      <c r="G11059" s="19">
        <v>0.2</v>
      </c>
      <c r="H11059" s="19">
        <v>0.28000000000000003</v>
      </c>
      <c r="I11059" s="18" t="s">
        <v>28</v>
      </c>
      <c r="J11059" s="18" t="s">
        <v>28</v>
      </c>
      <c r="K11059" s="18" t="s">
        <v>28</v>
      </c>
      <c r="L11059" s="18" t="s">
        <v>28</v>
      </c>
      <c r="M11059" s="18" t="s">
        <v>28</v>
      </c>
      <c r="N11059" s="17">
        <v>41311</v>
      </c>
      <c r="O11059" s="15" t="s">
        <v>173</v>
      </c>
      <c r="P11059" s="16" t="s">
        <v>28</v>
      </c>
      <c r="Q11059" s="15" t="s">
        <v>119</v>
      </c>
      <c r="R11059" s="13" t="str">
        <f>HYPERLINK("https://my.pitchbook.com?c=102656-08T","View Company Online")</f>
        <v>View Company Online</v>
      </c>
    </row>
    <row r="11060" spans="1:18" hidden="1" x14ac:dyDescent="0.3">
      <c r="A11060" s="9" t="s">
        <v>31184</v>
      </c>
      <c r="B11060" s="9" t="s">
        <v>31185</v>
      </c>
      <c r="C11060" s="11" t="s">
        <v>28</v>
      </c>
      <c r="D11060" s="9" t="s">
        <v>31186</v>
      </c>
      <c r="E11060" s="11" t="s">
        <v>28</v>
      </c>
      <c r="F11060" s="10" t="s">
        <v>28</v>
      </c>
      <c r="G11060" s="10" t="s">
        <v>28</v>
      </c>
      <c r="H11060" s="10" t="s">
        <v>28</v>
      </c>
      <c r="I11060" s="11" t="s">
        <v>28</v>
      </c>
      <c r="J11060" s="11" t="s">
        <v>28</v>
      </c>
      <c r="K11060" s="11" t="s">
        <v>28</v>
      </c>
      <c r="L11060" s="11" t="s">
        <v>28</v>
      </c>
      <c r="M11060" s="11" t="s">
        <v>28</v>
      </c>
      <c r="N11060" s="8">
        <v>41310</v>
      </c>
      <c r="O11060" s="9" t="s">
        <v>173</v>
      </c>
      <c r="P11060" s="12" t="s">
        <v>28</v>
      </c>
      <c r="Q11060" s="9" t="s">
        <v>174</v>
      </c>
      <c r="R11060" s="14" t="str">
        <f>HYPERLINK("https://my.pitchbook.com?c=224898-76T","View Company Online")</f>
        <v>View Company Online</v>
      </c>
    </row>
    <row r="11061" spans="1:18" hidden="1" x14ac:dyDescent="0.3">
      <c r="A11061" s="15" t="s">
        <v>31187</v>
      </c>
      <c r="B11061" s="15" t="s">
        <v>31188</v>
      </c>
      <c r="C11061" s="18" t="s">
        <v>28</v>
      </c>
      <c r="D11061" s="15" t="s">
        <v>31189</v>
      </c>
      <c r="E11061" s="18" t="s">
        <v>28</v>
      </c>
      <c r="F11061" s="19" t="s">
        <v>28</v>
      </c>
      <c r="G11061" s="19" t="s">
        <v>28</v>
      </c>
      <c r="H11061" s="19" t="s">
        <v>28</v>
      </c>
      <c r="I11061" s="18" t="s">
        <v>28</v>
      </c>
      <c r="J11061" s="18" t="s">
        <v>28</v>
      </c>
      <c r="K11061" s="18" t="s">
        <v>28</v>
      </c>
      <c r="L11061" s="18" t="s">
        <v>28</v>
      </c>
      <c r="M11061" s="18" t="s">
        <v>28</v>
      </c>
      <c r="N11061" s="17">
        <v>41310</v>
      </c>
      <c r="O11061" s="15" t="s">
        <v>73</v>
      </c>
      <c r="P11061" s="16" t="s">
        <v>31190</v>
      </c>
      <c r="Q11061" s="15" t="s">
        <v>3912</v>
      </c>
      <c r="R11061" s="13" t="str">
        <f>HYPERLINK("https://my.pitchbook.com?c=53819-02T","View Company Online")</f>
        <v>View Company Online</v>
      </c>
    </row>
    <row r="11062" spans="1:18" hidden="1" x14ac:dyDescent="0.3">
      <c r="A11062" s="9" t="s">
        <v>31191</v>
      </c>
      <c r="B11062" s="9" t="s">
        <v>16132</v>
      </c>
      <c r="C11062" s="11" t="s">
        <v>28</v>
      </c>
      <c r="D11062" s="9" t="s">
        <v>16133</v>
      </c>
      <c r="E11062" s="11" t="s">
        <v>28</v>
      </c>
      <c r="F11062" s="10" t="s">
        <v>28</v>
      </c>
      <c r="G11062" s="10" t="s">
        <v>28</v>
      </c>
      <c r="H11062" s="10" t="s">
        <v>28</v>
      </c>
      <c r="I11062" s="11" t="s">
        <v>28</v>
      </c>
      <c r="J11062" s="11" t="s">
        <v>28</v>
      </c>
      <c r="K11062" s="11" t="s">
        <v>28</v>
      </c>
      <c r="L11062" s="11" t="s">
        <v>28</v>
      </c>
      <c r="M11062" s="11" t="s">
        <v>28</v>
      </c>
      <c r="N11062" s="8">
        <v>41310</v>
      </c>
      <c r="O11062" s="9" t="s">
        <v>30</v>
      </c>
      <c r="P11062" s="12" t="s">
        <v>3341</v>
      </c>
      <c r="Q11062" s="9" t="s">
        <v>470</v>
      </c>
      <c r="R11062" s="14" t="str">
        <f>HYPERLINK("https://my.pitchbook.com?c=117473-86T","View Company Online")</f>
        <v>View Company Online</v>
      </c>
    </row>
    <row r="11063" spans="1:18" hidden="1" x14ac:dyDescent="0.3">
      <c r="A11063" s="15" t="s">
        <v>31192</v>
      </c>
      <c r="B11063" s="15" t="s">
        <v>8699</v>
      </c>
      <c r="C11063" s="18" t="s">
        <v>28</v>
      </c>
      <c r="D11063" s="15" t="s">
        <v>8700</v>
      </c>
      <c r="E11063" s="18" t="s">
        <v>28</v>
      </c>
      <c r="F11063" s="19">
        <v>10.7</v>
      </c>
      <c r="G11063" s="19">
        <v>10.7</v>
      </c>
      <c r="H11063" s="19">
        <v>10.7</v>
      </c>
      <c r="I11063" s="18" t="s">
        <v>28</v>
      </c>
      <c r="J11063" s="18" t="s">
        <v>28</v>
      </c>
      <c r="K11063" s="18" t="s">
        <v>28</v>
      </c>
      <c r="L11063" s="18" t="s">
        <v>28</v>
      </c>
      <c r="M11063" s="18" t="s">
        <v>28</v>
      </c>
      <c r="N11063" s="17">
        <v>41310</v>
      </c>
      <c r="O11063" s="15" t="s">
        <v>41</v>
      </c>
      <c r="P11063" s="16" t="s">
        <v>31193</v>
      </c>
      <c r="Q11063" s="15" t="s">
        <v>75</v>
      </c>
      <c r="R11063" s="13" t="str">
        <f>HYPERLINK("https://my.pitchbook.com?c=187401-88T","View Company Online")</f>
        <v>View Company Online</v>
      </c>
    </row>
    <row r="11064" spans="1:18" hidden="1" x14ac:dyDescent="0.3">
      <c r="A11064" s="9" t="s">
        <v>31194</v>
      </c>
      <c r="B11064" s="9" t="s">
        <v>31195</v>
      </c>
      <c r="C11064" s="11" t="s">
        <v>28</v>
      </c>
      <c r="D11064" s="9" t="s">
        <v>31196</v>
      </c>
      <c r="E11064" s="11" t="s">
        <v>28</v>
      </c>
      <c r="F11064" s="10" t="s">
        <v>28</v>
      </c>
      <c r="G11064" s="10" t="s">
        <v>28</v>
      </c>
      <c r="H11064" s="10" t="s">
        <v>28</v>
      </c>
      <c r="I11064" s="11" t="s">
        <v>28</v>
      </c>
      <c r="J11064" s="11" t="s">
        <v>28</v>
      </c>
      <c r="K11064" s="11" t="s">
        <v>28</v>
      </c>
      <c r="L11064" s="11" t="s">
        <v>28</v>
      </c>
      <c r="M11064" s="11" t="s">
        <v>28</v>
      </c>
      <c r="N11064" s="8">
        <v>41310</v>
      </c>
      <c r="O11064" s="9" t="s">
        <v>30</v>
      </c>
      <c r="P11064" s="12" t="s">
        <v>31197</v>
      </c>
      <c r="Q11064" s="9" t="s">
        <v>245</v>
      </c>
      <c r="R11064" s="14" t="str">
        <f>HYPERLINK("https://my.pitchbook.com?c=89716-96T","View Company Online")</f>
        <v>View Company Online</v>
      </c>
    </row>
    <row r="11065" spans="1:18" hidden="1" x14ac:dyDescent="0.3">
      <c r="A11065" s="15" t="s">
        <v>31198</v>
      </c>
      <c r="B11065" s="15" t="s">
        <v>31199</v>
      </c>
      <c r="C11065" s="18" t="s">
        <v>28</v>
      </c>
      <c r="D11065" s="15" t="s">
        <v>31200</v>
      </c>
      <c r="E11065" s="18" t="s">
        <v>28</v>
      </c>
      <c r="F11065" s="19">
        <v>132.09</v>
      </c>
      <c r="G11065" s="19">
        <v>132.09</v>
      </c>
      <c r="H11065" s="19">
        <v>132.09</v>
      </c>
      <c r="I11065" s="18" t="s">
        <v>28</v>
      </c>
      <c r="J11065" s="18" t="s">
        <v>28</v>
      </c>
      <c r="K11065" s="18" t="s">
        <v>28</v>
      </c>
      <c r="L11065" s="18" t="s">
        <v>28</v>
      </c>
      <c r="M11065" s="18" t="s">
        <v>28</v>
      </c>
      <c r="N11065" s="17">
        <v>41309</v>
      </c>
      <c r="O11065" s="15" t="s">
        <v>30</v>
      </c>
      <c r="P11065" s="16" t="s">
        <v>3647</v>
      </c>
      <c r="Q11065" s="15" t="s">
        <v>2916</v>
      </c>
      <c r="R11065" s="13" t="str">
        <f>HYPERLINK("https://my.pitchbook.com?c=110984-95T","View Company Online")</f>
        <v>View Company Online</v>
      </c>
    </row>
    <row r="11066" spans="1:18" hidden="1" x14ac:dyDescent="0.3">
      <c r="A11066" s="9" t="s">
        <v>31201</v>
      </c>
      <c r="B11066" s="9" t="s">
        <v>26093</v>
      </c>
      <c r="C11066" s="11" t="s">
        <v>28</v>
      </c>
      <c r="D11066" s="9" t="s">
        <v>26094</v>
      </c>
      <c r="E11066" s="11" t="s">
        <v>28</v>
      </c>
      <c r="F11066" s="10" t="s">
        <v>28</v>
      </c>
      <c r="G11066" s="10">
        <v>1.6</v>
      </c>
      <c r="H11066" s="10" t="s">
        <v>28</v>
      </c>
      <c r="I11066" s="11" t="s">
        <v>28</v>
      </c>
      <c r="J11066" s="11" t="s">
        <v>28</v>
      </c>
      <c r="K11066" s="11" t="s">
        <v>28</v>
      </c>
      <c r="L11066" s="11" t="s">
        <v>28</v>
      </c>
      <c r="M11066" s="11" t="s">
        <v>28</v>
      </c>
      <c r="N11066" s="8">
        <v>41309</v>
      </c>
      <c r="O11066" s="9" t="s">
        <v>79</v>
      </c>
      <c r="P11066" s="12" t="s">
        <v>31202</v>
      </c>
      <c r="Q11066" s="9" t="s">
        <v>235</v>
      </c>
      <c r="R11066" s="14" t="str">
        <f>HYPERLINK("https://my.pitchbook.com?c=73718-47T","View Company Online")</f>
        <v>View Company Online</v>
      </c>
    </row>
    <row r="11067" spans="1:18" hidden="1" x14ac:dyDescent="0.3">
      <c r="A11067" s="15" t="s">
        <v>31203</v>
      </c>
      <c r="B11067" s="15" t="s">
        <v>20819</v>
      </c>
      <c r="C11067" s="18" t="s">
        <v>28</v>
      </c>
      <c r="D11067" s="15" t="s">
        <v>20820</v>
      </c>
      <c r="E11067" s="18" t="s">
        <v>28</v>
      </c>
      <c r="F11067" s="19" t="s">
        <v>28</v>
      </c>
      <c r="G11067" s="19">
        <v>0.15</v>
      </c>
      <c r="H11067" s="19" t="s">
        <v>28</v>
      </c>
      <c r="I11067" s="18" t="s">
        <v>28</v>
      </c>
      <c r="J11067" s="18" t="s">
        <v>28</v>
      </c>
      <c r="K11067" s="18" t="s">
        <v>28</v>
      </c>
      <c r="L11067" s="18" t="s">
        <v>28</v>
      </c>
      <c r="M11067" s="18" t="s">
        <v>28</v>
      </c>
      <c r="N11067" s="17">
        <v>41306</v>
      </c>
      <c r="O11067" s="15" t="s">
        <v>52</v>
      </c>
      <c r="P11067" s="16" t="s">
        <v>28</v>
      </c>
      <c r="Q11067" s="15" t="s">
        <v>583</v>
      </c>
      <c r="R11067" s="13" t="str">
        <f>HYPERLINK("https://my.pitchbook.com?c=49775-86T","View Company Online")</f>
        <v>View Company Online</v>
      </c>
    </row>
    <row r="11068" spans="1:18" hidden="1" x14ac:dyDescent="0.3">
      <c r="A11068" s="9" t="s">
        <v>31204</v>
      </c>
      <c r="B11068" s="9" t="s">
        <v>25162</v>
      </c>
      <c r="C11068" s="11" t="s">
        <v>28</v>
      </c>
      <c r="D11068" s="9" t="s">
        <v>25163</v>
      </c>
      <c r="E11068" s="11" t="s">
        <v>28</v>
      </c>
      <c r="F11068" s="10" t="s">
        <v>28</v>
      </c>
      <c r="G11068" s="10">
        <v>0.5</v>
      </c>
      <c r="H11068" s="10" t="s">
        <v>28</v>
      </c>
      <c r="I11068" s="11" t="s">
        <v>28</v>
      </c>
      <c r="J11068" s="11" t="s">
        <v>28</v>
      </c>
      <c r="K11068" s="11" t="s">
        <v>28</v>
      </c>
      <c r="L11068" s="11" t="s">
        <v>28</v>
      </c>
      <c r="M11068" s="11" t="s">
        <v>28</v>
      </c>
      <c r="N11068" s="8">
        <v>41306</v>
      </c>
      <c r="O11068" s="9" t="s">
        <v>99</v>
      </c>
      <c r="P11068" s="12" t="s">
        <v>28</v>
      </c>
      <c r="Q11068" s="9" t="s">
        <v>583</v>
      </c>
      <c r="R11068" s="14" t="str">
        <f>HYPERLINK("https://my.pitchbook.com?c=53847-91T","View Company Online")</f>
        <v>View Company Online</v>
      </c>
    </row>
    <row r="11069" spans="1:18" hidden="1" x14ac:dyDescent="0.3">
      <c r="A11069" s="15" t="s">
        <v>31205</v>
      </c>
      <c r="B11069" s="15" t="s">
        <v>31206</v>
      </c>
      <c r="C11069" s="18" t="s">
        <v>28</v>
      </c>
      <c r="D11069" s="15" t="s">
        <v>31207</v>
      </c>
      <c r="E11069" s="18" t="s">
        <v>28</v>
      </c>
      <c r="F11069" s="19" t="s">
        <v>28</v>
      </c>
      <c r="G11069" s="19" t="s">
        <v>28</v>
      </c>
      <c r="H11069" s="19" t="s">
        <v>28</v>
      </c>
      <c r="I11069" s="18" t="s">
        <v>28</v>
      </c>
      <c r="J11069" s="18" t="s">
        <v>28</v>
      </c>
      <c r="K11069" s="18" t="s">
        <v>28</v>
      </c>
      <c r="L11069" s="18" t="s">
        <v>28</v>
      </c>
      <c r="M11069" s="18" t="s">
        <v>28</v>
      </c>
      <c r="N11069" s="17">
        <v>41306</v>
      </c>
      <c r="O11069" s="15" t="s">
        <v>30</v>
      </c>
      <c r="P11069" s="16" t="s">
        <v>31208</v>
      </c>
      <c r="Q11069" s="15" t="s">
        <v>517</v>
      </c>
      <c r="R11069" s="13" t="str">
        <f>HYPERLINK("https://my.pitchbook.com?c=89720-74T","View Company Online")</f>
        <v>View Company Online</v>
      </c>
    </row>
    <row r="11070" spans="1:18" hidden="1" x14ac:dyDescent="0.3">
      <c r="A11070" s="9" t="s">
        <v>31209</v>
      </c>
      <c r="B11070" s="9" t="s">
        <v>31210</v>
      </c>
      <c r="C11070" s="11" t="s">
        <v>28</v>
      </c>
      <c r="D11070" s="9" t="s">
        <v>31211</v>
      </c>
      <c r="E11070" s="11" t="s">
        <v>28</v>
      </c>
      <c r="F11070" s="10">
        <v>27.7</v>
      </c>
      <c r="G11070" s="10">
        <v>27.7</v>
      </c>
      <c r="H11070" s="10">
        <v>27.7</v>
      </c>
      <c r="I11070" s="11" t="s">
        <v>28</v>
      </c>
      <c r="J11070" s="11" t="s">
        <v>28</v>
      </c>
      <c r="K11070" s="11" t="s">
        <v>28</v>
      </c>
      <c r="L11070" s="11" t="s">
        <v>28</v>
      </c>
      <c r="M11070" s="11" t="s">
        <v>28</v>
      </c>
      <c r="N11070" s="8">
        <v>41305</v>
      </c>
      <c r="O11070" s="9" t="s">
        <v>30</v>
      </c>
      <c r="P11070" s="12" t="s">
        <v>25341</v>
      </c>
      <c r="Q11070" s="9" t="s">
        <v>409</v>
      </c>
      <c r="R11070" s="14" t="str">
        <f>HYPERLINK("https://my.pitchbook.com?c=71055-01T","View Company Online")</f>
        <v>View Company Online</v>
      </c>
    </row>
    <row r="11071" spans="1:18" hidden="1" x14ac:dyDescent="0.3">
      <c r="A11071" s="15" t="s">
        <v>31212</v>
      </c>
      <c r="B11071" s="15" t="s">
        <v>28948</v>
      </c>
      <c r="C11071" s="18" t="s">
        <v>28</v>
      </c>
      <c r="D11071" s="15" t="s">
        <v>28949</v>
      </c>
      <c r="E11071" s="18" t="s">
        <v>28</v>
      </c>
      <c r="F11071" s="19" t="s">
        <v>28</v>
      </c>
      <c r="G11071" s="19" t="s">
        <v>28</v>
      </c>
      <c r="H11071" s="19" t="s">
        <v>28</v>
      </c>
      <c r="I11071" s="18" t="s">
        <v>28</v>
      </c>
      <c r="J11071" s="18" t="s">
        <v>28</v>
      </c>
      <c r="K11071" s="18" t="s">
        <v>28</v>
      </c>
      <c r="L11071" s="18" t="s">
        <v>28</v>
      </c>
      <c r="M11071" s="18" t="s">
        <v>28</v>
      </c>
      <c r="N11071" s="17">
        <v>41305</v>
      </c>
      <c r="O11071" s="15" t="s">
        <v>52</v>
      </c>
      <c r="P11071" s="16" t="s">
        <v>7022</v>
      </c>
      <c r="Q11071" s="15" t="s">
        <v>3912</v>
      </c>
      <c r="R11071" s="13" t="str">
        <f>HYPERLINK("https://my.pitchbook.com?c=39229-21T","View Company Online")</f>
        <v>View Company Online</v>
      </c>
    </row>
    <row r="11072" spans="1:18" hidden="1" x14ac:dyDescent="0.3">
      <c r="A11072" s="9" t="s">
        <v>31213</v>
      </c>
      <c r="B11072" s="9" t="s">
        <v>18828</v>
      </c>
      <c r="C11072" s="11" t="s">
        <v>28</v>
      </c>
      <c r="D11072" s="9" t="s">
        <v>18829</v>
      </c>
      <c r="E11072" s="11" t="s">
        <v>28</v>
      </c>
      <c r="F11072" s="10" t="s">
        <v>28</v>
      </c>
      <c r="G11072" s="10">
        <v>81.849999999999994</v>
      </c>
      <c r="H11072" s="10" t="s">
        <v>28</v>
      </c>
      <c r="I11072" s="11" t="s">
        <v>28</v>
      </c>
      <c r="J11072" s="11" t="s">
        <v>28</v>
      </c>
      <c r="K11072" s="11" t="s">
        <v>28</v>
      </c>
      <c r="L11072" s="11" t="s">
        <v>28</v>
      </c>
      <c r="M11072" s="11" t="s">
        <v>28</v>
      </c>
      <c r="N11072" s="8">
        <v>41302</v>
      </c>
      <c r="O11072" s="9" t="s">
        <v>79</v>
      </c>
      <c r="P11072" s="12" t="s">
        <v>31214</v>
      </c>
      <c r="Q11072" s="9" t="s">
        <v>692</v>
      </c>
      <c r="R11072" s="14" t="str">
        <f>HYPERLINK("https://my.pitchbook.com?c=79759-63T","View Company Online")</f>
        <v>View Company Online</v>
      </c>
    </row>
    <row r="11073" spans="1:18" hidden="1" x14ac:dyDescent="0.3">
      <c r="A11073" s="15" t="s">
        <v>31215</v>
      </c>
      <c r="B11073" s="15" t="s">
        <v>31216</v>
      </c>
      <c r="C11073" s="18" t="s">
        <v>28</v>
      </c>
      <c r="D11073" s="15" t="s">
        <v>31217</v>
      </c>
      <c r="E11073" s="18" t="s">
        <v>28</v>
      </c>
      <c r="F11073" s="19">
        <v>39.119999999999997</v>
      </c>
      <c r="G11073" s="19">
        <v>39.119999999999997</v>
      </c>
      <c r="H11073" s="19">
        <v>39.119999999999997</v>
      </c>
      <c r="I11073" s="18" t="s">
        <v>28</v>
      </c>
      <c r="J11073" s="18" t="s">
        <v>28</v>
      </c>
      <c r="K11073" s="18">
        <v>26</v>
      </c>
      <c r="L11073" s="18">
        <v>1.5</v>
      </c>
      <c r="M11073" s="18" t="s">
        <v>28</v>
      </c>
      <c r="N11073" s="17">
        <v>41298</v>
      </c>
      <c r="O11073" s="15" t="s">
        <v>30</v>
      </c>
      <c r="P11073" s="16" t="s">
        <v>29791</v>
      </c>
      <c r="Q11073" s="15" t="s">
        <v>75</v>
      </c>
      <c r="R11073" s="13" t="str">
        <f>HYPERLINK("https://my.pitchbook.com?c=169893-46T","View Company Online")</f>
        <v>View Company Online</v>
      </c>
    </row>
    <row r="11074" spans="1:18" hidden="1" x14ac:dyDescent="0.3">
      <c r="A11074" s="9" t="s">
        <v>31218</v>
      </c>
      <c r="B11074" s="9" t="s">
        <v>31219</v>
      </c>
      <c r="C11074" s="11" t="s">
        <v>28</v>
      </c>
      <c r="D11074" s="9" t="s">
        <v>31220</v>
      </c>
      <c r="E11074" s="11" t="s">
        <v>28</v>
      </c>
      <c r="F11074" s="10">
        <v>23.95</v>
      </c>
      <c r="G11074" s="10">
        <v>12.22</v>
      </c>
      <c r="H11074" s="10">
        <v>23.95</v>
      </c>
      <c r="I11074" s="11" t="s">
        <v>28</v>
      </c>
      <c r="J11074" s="11" t="s">
        <v>28</v>
      </c>
      <c r="K11074" s="11">
        <v>12.76</v>
      </c>
      <c r="L11074" s="11">
        <v>1.88</v>
      </c>
      <c r="M11074" s="11" t="s">
        <v>28</v>
      </c>
      <c r="N11074" s="8">
        <v>41297</v>
      </c>
      <c r="O11074" s="9" t="s">
        <v>30</v>
      </c>
      <c r="P11074" s="12" t="s">
        <v>31221</v>
      </c>
      <c r="Q11074" s="9" t="s">
        <v>136</v>
      </c>
      <c r="R11074" s="14" t="str">
        <f>HYPERLINK("https://my.pitchbook.com?c=83713-60T","View Company Online")</f>
        <v>View Company Online</v>
      </c>
    </row>
    <row r="11075" spans="1:18" hidden="1" x14ac:dyDescent="0.3">
      <c r="A11075" s="15" t="s">
        <v>31222</v>
      </c>
      <c r="B11075" s="15" t="s">
        <v>2330</v>
      </c>
      <c r="C11075" s="18" t="s">
        <v>28</v>
      </c>
      <c r="D11075" s="15" t="s">
        <v>24423</v>
      </c>
      <c r="E11075" s="18">
        <v>70.69</v>
      </c>
      <c r="F11075" s="19" t="s">
        <v>28</v>
      </c>
      <c r="G11075" s="19">
        <v>326.58999999999997</v>
      </c>
      <c r="H11075" s="19" t="s">
        <v>28</v>
      </c>
      <c r="I11075" s="18">
        <v>101.57</v>
      </c>
      <c r="J11075" s="18" t="s">
        <v>28</v>
      </c>
      <c r="K11075" s="18">
        <v>705.77</v>
      </c>
      <c r="L11075" s="18" t="s">
        <v>28</v>
      </c>
      <c r="M11075" s="18">
        <v>55.96</v>
      </c>
      <c r="N11075" s="17">
        <v>41297</v>
      </c>
      <c r="O11075" s="15" t="s">
        <v>423</v>
      </c>
      <c r="P11075" s="16" t="s">
        <v>28</v>
      </c>
      <c r="Q11075" s="15" t="s">
        <v>43</v>
      </c>
      <c r="R11075" s="13" t="str">
        <f>HYPERLINK("https://my.pitchbook.com?c=74581-57T","View Company Online")</f>
        <v>View Company Online</v>
      </c>
    </row>
    <row r="11076" spans="1:18" hidden="1" x14ac:dyDescent="0.3">
      <c r="A11076" s="9" t="s">
        <v>31223</v>
      </c>
      <c r="B11076" s="9" t="s">
        <v>31224</v>
      </c>
      <c r="C11076" s="11" t="s">
        <v>28</v>
      </c>
      <c r="D11076" s="9" t="s">
        <v>31225</v>
      </c>
      <c r="E11076" s="11" t="s">
        <v>28</v>
      </c>
      <c r="F11076" s="10" t="s">
        <v>28</v>
      </c>
      <c r="G11076" s="10" t="s">
        <v>28</v>
      </c>
      <c r="H11076" s="10" t="s">
        <v>28</v>
      </c>
      <c r="I11076" s="11" t="s">
        <v>28</v>
      </c>
      <c r="J11076" s="11" t="s">
        <v>28</v>
      </c>
      <c r="K11076" s="11" t="s">
        <v>28</v>
      </c>
      <c r="L11076" s="11" t="s">
        <v>28</v>
      </c>
      <c r="M11076" s="11" t="s">
        <v>28</v>
      </c>
      <c r="N11076" s="8">
        <v>41296</v>
      </c>
      <c r="O11076" s="9" t="s">
        <v>173</v>
      </c>
      <c r="P11076" s="12" t="s">
        <v>28</v>
      </c>
      <c r="Q11076" s="9" t="s">
        <v>174</v>
      </c>
      <c r="R11076" s="14" t="str">
        <f>HYPERLINK("https://my.pitchbook.com?c=223303-69T","View Company Online")</f>
        <v>View Company Online</v>
      </c>
    </row>
    <row r="11077" spans="1:18" hidden="1" x14ac:dyDescent="0.3">
      <c r="A11077" s="15" t="s">
        <v>31226</v>
      </c>
      <c r="B11077" s="15" t="s">
        <v>31227</v>
      </c>
      <c r="C11077" s="18" t="s">
        <v>28</v>
      </c>
      <c r="D11077" s="15" t="s">
        <v>31228</v>
      </c>
      <c r="E11077" s="18" t="s">
        <v>28</v>
      </c>
      <c r="F11077" s="19" t="s">
        <v>28</v>
      </c>
      <c r="G11077" s="19">
        <v>292.83</v>
      </c>
      <c r="H11077" s="19">
        <v>1952.18</v>
      </c>
      <c r="I11077" s="18" t="s">
        <v>28</v>
      </c>
      <c r="J11077" s="18" t="s">
        <v>28</v>
      </c>
      <c r="K11077" s="18" t="s">
        <v>28</v>
      </c>
      <c r="L11077" s="18" t="s">
        <v>28</v>
      </c>
      <c r="M11077" s="18" t="s">
        <v>28</v>
      </c>
      <c r="N11077" s="17">
        <v>41295</v>
      </c>
      <c r="O11077" s="15" t="s">
        <v>93</v>
      </c>
      <c r="P11077" s="16" t="s">
        <v>24775</v>
      </c>
      <c r="Q11077" s="15" t="s">
        <v>54</v>
      </c>
      <c r="R11077" s="13" t="str">
        <f>HYPERLINK("https://my.pitchbook.com?c=179215-75T","View Company Online")</f>
        <v>View Company Online</v>
      </c>
    </row>
    <row r="11078" spans="1:18" hidden="1" x14ac:dyDescent="0.3">
      <c r="A11078" s="9" t="s">
        <v>31229</v>
      </c>
      <c r="B11078" s="9" t="s">
        <v>31230</v>
      </c>
      <c r="C11078" s="11" t="s">
        <v>28</v>
      </c>
      <c r="D11078" s="9" t="s">
        <v>31231</v>
      </c>
      <c r="E11078" s="11" t="s">
        <v>28</v>
      </c>
      <c r="F11078" s="10" t="s">
        <v>28</v>
      </c>
      <c r="G11078" s="10" t="s">
        <v>28</v>
      </c>
      <c r="H11078" s="10" t="s">
        <v>28</v>
      </c>
      <c r="I11078" s="11" t="s">
        <v>28</v>
      </c>
      <c r="J11078" s="11" t="s">
        <v>28</v>
      </c>
      <c r="K11078" s="11" t="s">
        <v>28</v>
      </c>
      <c r="L11078" s="11" t="s">
        <v>28</v>
      </c>
      <c r="M11078" s="11" t="s">
        <v>28</v>
      </c>
      <c r="N11078" s="8">
        <v>41295</v>
      </c>
      <c r="O11078" s="9" t="s">
        <v>30</v>
      </c>
      <c r="P11078" s="12" t="s">
        <v>12473</v>
      </c>
      <c r="Q11078" s="9" t="s">
        <v>5760</v>
      </c>
      <c r="R11078" s="14" t="str">
        <f>HYPERLINK("https://my.pitchbook.com?c=89652-25T","View Company Online")</f>
        <v>View Company Online</v>
      </c>
    </row>
    <row r="11079" spans="1:18" hidden="1" x14ac:dyDescent="0.3">
      <c r="A11079" s="15" t="s">
        <v>31232</v>
      </c>
      <c r="B11079" s="15" t="s">
        <v>31233</v>
      </c>
      <c r="C11079" s="18" t="s">
        <v>28</v>
      </c>
      <c r="D11079" s="15" t="s">
        <v>31234</v>
      </c>
      <c r="E11079" s="18" t="s">
        <v>28</v>
      </c>
      <c r="F11079" s="19" t="s">
        <v>28</v>
      </c>
      <c r="G11079" s="19">
        <v>0.78</v>
      </c>
      <c r="H11079" s="19" t="s">
        <v>28</v>
      </c>
      <c r="I11079" s="18" t="s">
        <v>28</v>
      </c>
      <c r="J11079" s="18" t="s">
        <v>28</v>
      </c>
      <c r="K11079" s="18" t="s">
        <v>28</v>
      </c>
      <c r="L11079" s="18" t="s">
        <v>28</v>
      </c>
      <c r="M11079" s="18" t="s">
        <v>28</v>
      </c>
      <c r="N11079" s="17">
        <v>41292</v>
      </c>
      <c r="O11079" s="15" t="s">
        <v>173</v>
      </c>
      <c r="P11079" s="16" t="s">
        <v>28</v>
      </c>
      <c r="Q11079" s="15" t="s">
        <v>1374</v>
      </c>
      <c r="R11079" s="13" t="str">
        <f>HYPERLINK("https://my.pitchbook.com?c=110267-65T","View Company Online")</f>
        <v>View Company Online</v>
      </c>
    </row>
    <row r="11080" spans="1:18" x14ac:dyDescent="0.3">
      <c r="A11080" s="9" t="s">
        <v>31235</v>
      </c>
      <c r="B11080" s="9" t="s">
        <v>31236</v>
      </c>
      <c r="C11080" s="11" t="s">
        <v>28</v>
      </c>
      <c r="D11080" s="9" t="s">
        <v>31237</v>
      </c>
      <c r="E11080" s="11" t="s">
        <v>28</v>
      </c>
      <c r="F11080" s="10">
        <v>3.7</v>
      </c>
      <c r="G11080" s="10">
        <v>3.7</v>
      </c>
      <c r="H11080" s="10">
        <v>3.7</v>
      </c>
      <c r="I11080" s="11">
        <v>-119.5</v>
      </c>
      <c r="J11080" s="11">
        <v>-0.03</v>
      </c>
      <c r="K11080" s="11">
        <v>11041.45</v>
      </c>
      <c r="L11080" s="11">
        <v>0.01</v>
      </c>
      <c r="M11080" s="11">
        <v>-1331.45</v>
      </c>
      <c r="N11080" s="8">
        <v>41292</v>
      </c>
      <c r="O11080" s="9" t="s">
        <v>30</v>
      </c>
      <c r="P11080" s="12" t="s">
        <v>31238</v>
      </c>
      <c r="Q11080" s="9" t="s">
        <v>6878</v>
      </c>
      <c r="R11080" s="14" t="str">
        <f>HYPERLINK("https://my.pitchbook.com?c=71058-16T","View Company Online")</f>
        <v>View Company Online</v>
      </c>
    </row>
    <row r="11081" spans="1:18" hidden="1" x14ac:dyDescent="0.3">
      <c r="A11081" s="15" t="s">
        <v>31239</v>
      </c>
      <c r="B11081" s="15" t="s">
        <v>12503</v>
      </c>
      <c r="C11081" s="18" t="s">
        <v>28</v>
      </c>
      <c r="D11081" s="15" t="s">
        <v>12504</v>
      </c>
      <c r="E11081" s="18" t="s">
        <v>28</v>
      </c>
      <c r="F11081" s="19" t="s">
        <v>28</v>
      </c>
      <c r="G11081" s="19">
        <v>0.1</v>
      </c>
      <c r="H11081" s="19" t="s">
        <v>28</v>
      </c>
      <c r="I11081" s="18" t="s">
        <v>28</v>
      </c>
      <c r="J11081" s="18" t="s">
        <v>28</v>
      </c>
      <c r="K11081" s="18" t="s">
        <v>28</v>
      </c>
      <c r="L11081" s="18" t="s">
        <v>28</v>
      </c>
      <c r="M11081" s="18" t="s">
        <v>28</v>
      </c>
      <c r="N11081" s="17">
        <v>41292</v>
      </c>
      <c r="O11081" s="15" t="s">
        <v>73</v>
      </c>
      <c r="P11081" s="16" t="s">
        <v>31240</v>
      </c>
      <c r="Q11081" s="15" t="s">
        <v>114</v>
      </c>
      <c r="R11081" s="13" t="str">
        <f>HYPERLINK("https://my.pitchbook.com?c=31643-65T","View Company Online")</f>
        <v>View Company Online</v>
      </c>
    </row>
    <row r="11082" spans="1:18" hidden="1" x14ac:dyDescent="0.3">
      <c r="A11082" s="9" t="s">
        <v>31241</v>
      </c>
      <c r="B11082" s="9" t="s">
        <v>31242</v>
      </c>
      <c r="C11082" s="11" t="s">
        <v>28</v>
      </c>
      <c r="D11082" s="9" t="s">
        <v>31243</v>
      </c>
      <c r="E11082" s="11" t="s">
        <v>28</v>
      </c>
      <c r="F11082" s="10" t="s">
        <v>28</v>
      </c>
      <c r="G11082" s="10" t="s">
        <v>28</v>
      </c>
      <c r="H11082" s="10" t="s">
        <v>28</v>
      </c>
      <c r="I11082" s="11" t="s">
        <v>28</v>
      </c>
      <c r="J11082" s="11" t="s">
        <v>28</v>
      </c>
      <c r="K11082" s="11" t="s">
        <v>28</v>
      </c>
      <c r="L11082" s="11" t="s">
        <v>28</v>
      </c>
      <c r="M11082" s="11" t="s">
        <v>28</v>
      </c>
      <c r="N11082" s="8">
        <v>41289</v>
      </c>
      <c r="O11082" s="9" t="s">
        <v>30</v>
      </c>
      <c r="P11082" s="12" t="s">
        <v>31244</v>
      </c>
      <c r="Q11082" s="9" t="s">
        <v>268</v>
      </c>
      <c r="R11082" s="14" t="str">
        <f>HYPERLINK("https://my.pitchbook.com?c=255097-09T","View Company Online")</f>
        <v>View Company Online</v>
      </c>
    </row>
    <row r="11083" spans="1:18" hidden="1" x14ac:dyDescent="0.3">
      <c r="A11083" s="15" t="s">
        <v>31245</v>
      </c>
      <c r="B11083" s="15" t="s">
        <v>10515</v>
      </c>
      <c r="C11083" s="18" t="s">
        <v>28</v>
      </c>
      <c r="D11083" s="15" t="s">
        <v>10516</v>
      </c>
      <c r="E11083" s="18" t="s">
        <v>28</v>
      </c>
      <c r="F11083" s="19" t="s">
        <v>28</v>
      </c>
      <c r="G11083" s="19">
        <v>0.12</v>
      </c>
      <c r="H11083" s="19" t="s">
        <v>28</v>
      </c>
      <c r="I11083" s="18" t="s">
        <v>28</v>
      </c>
      <c r="J11083" s="18" t="s">
        <v>28</v>
      </c>
      <c r="K11083" s="18" t="s">
        <v>28</v>
      </c>
      <c r="L11083" s="18" t="s">
        <v>28</v>
      </c>
      <c r="M11083" s="18" t="s">
        <v>28</v>
      </c>
      <c r="N11083" s="17">
        <v>41289</v>
      </c>
      <c r="O11083" s="15" t="s">
        <v>47</v>
      </c>
      <c r="P11083" s="16" t="s">
        <v>28</v>
      </c>
      <c r="Q11083" s="15" t="s">
        <v>832</v>
      </c>
      <c r="R11083" s="13" t="str">
        <f>HYPERLINK("https://my.pitchbook.com?c=49684-60T","View Company Online")</f>
        <v>View Company Online</v>
      </c>
    </row>
    <row r="11084" spans="1:18" hidden="1" x14ac:dyDescent="0.3">
      <c r="A11084" s="9" t="s">
        <v>31246</v>
      </c>
      <c r="B11084" s="9" t="s">
        <v>28924</v>
      </c>
      <c r="C11084" s="11" t="s">
        <v>28</v>
      </c>
      <c r="D11084" s="9" t="s">
        <v>28925</v>
      </c>
      <c r="E11084" s="11" t="s">
        <v>28</v>
      </c>
      <c r="F11084" s="10" t="s">
        <v>28</v>
      </c>
      <c r="G11084" s="10">
        <v>291.5</v>
      </c>
      <c r="H11084" s="10" t="s">
        <v>28</v>
      </c>
      <c r="I11084" s="11" t="s">
        <v>28</v>
      </c>
      <c r="J11084" s="11" t="s">
        <v>28</v>
      </c>
      <c r="K11084" s="11" t="s">
        <v>28</v>
      </c>
      <c r="L11084" s="11" t="s">
        <v>28</v>
      </c>
      <c r="M11084" s="11" t="s">
        <v>28</v>
      </c>
      <c r="N11084" s="8">
        <v>41289</v>
      </c>
      <c r="O11084" s="9" t="s">
        <v>173</v>
      </c>
      <c r="P11084" s="12" t="s">
        <v>28</v>
      </c>
      <c r="Q11084" s="9" t="s">
        <v>5347</v>
      </c>
      <c r="R11084" s="14" t="str">
        <f>HYPERLINK("https://my.pitchbook.com?c=95120-02T","View Company Online")</f>
        <v>View Company Online</v>
      </c>
    </row>
    <row r="11085" spans="1:18" hidden="1" x14ac:dyDescent="0.3">
      <c r="A11085" s="15" t="s">
        <v>31247</v>
      </c>
      <c r="B11085" s="15" t="s">
        <v>31248</v>
      </c>
      <c r="C11085" s="18" t="s">
        <v>28</v>
      </c>
      <c r="D11085" s="15" t="s">
        <v>31249</v>
      </c>
      <c r="E11085" s="18" t="s">
        <v>28</v>
      </c>
      <c r="F11085" s="19" t="s">
        <v>28</v>
      </c>
      <c r="G11085" s="19" t="s">
        <v>28</v>
      </c>
      <c r="H11085" s="19" t="s">
        <v>28</v>
      </c>
      <c r="I11085" s="18" t="s">
        <v>28</v>
      </c>
      <c r="J11085" s="18" t="s">
        <v>28</v>
      </c>
      <c r="K11085" s="18" t="s">
        <v>28</v>
      </c>
      <c r="L11085" s="18" t="s">
        <v>28</v>
      </c>
      <c r="M11085" s="18" t="s">
        <v>28</v>
      </c>
      <c r="N11085" s="17">
        <v>41288</v>
      </c>
      <c r="O11085" s="15" t="s">
        <v>30</v>
      </c>
      <c r="P11085" s="16" t="s">
        <v>31250</v>
      </c>
      <c r="Q11085" s="15" t="s">
        <v>517</v>
      </c>
      <c r="R11085" s="13" t="str">
        <f>HYPERLINK("https://my.pitchbook.com?c=71061-94T","View Company Online")</f>
        <v>View Company Online</v>
      </c>
    </row>
    <row r="11086" spans="1:18" hidden="1" x14ac:dyDescent="0.3">
      <c r="A11086" s="9" t="s">
        <v>31251</v>
      </c>
      <c r="B11086" s="9" t="s">
        <v>31252</v>
      </c>
      <c r="C11086" s="11" t="s">
        <v>28</v>
      </c>
      <c r="D11086" s="9" t="s">
        <v>31253</v>
      </c>
      <c r="E11086" s="11" t="s">
        <v>28</v>
      </c>
      <c r="F11086" s="10">
        <v>8.74</v>
      </c>
      <c r="G11086" s="10">
        <v>8.74</v>
      </c>
      <c r="H11086" s="10">
        <v>8.74</v>
      </c>
      <c r="I11086" s="11" t="s">
        <v>28</v>
      </c>
      <c r="J11086" s="11" t="s">
        <v>28</v>
      </c>
      <c r="K11086" s="11" t="s">
        <v>28</v>
      </c>
      <c r="L11086" s="11" t="s">
        <v>28</v>
      </c>
      <c r="M11086" s="11" t="s">
        <v>28</v>
      </c>
      <c r="N11086" s="8">
        <v>41288</v>
      </c>
      <c r="O11086" s="9" t="s">
        <v>30</v>
      </c>
      <c r="P11086" s="12" t="s">
        <v>28</v>
      </c>
      <c r="Q11086" s="9" t="s">
        <v>43</v>
      </c>
      <c r="R11086" s="14" t="str">
        <f>HYPERLINK("https://my.pitchbook.com?c=89659-27T","View Company Online")</f>
        <v>View Company Online</v>
      </c>
    </row>
    <row r="11087" spans="1:18" hidden="1" x14ac:dyDescent="0.3">
      <c r="A11087" s="15" t="s">
        <v>31254</v>
      </c>
      <c r="B11087" s="15" t="s">
        <v>29149</v>
      </c>
      <c r="C11087" s="18" t="s">
        <v>28</v>
      </c>
      <c r="D11087" s="15" t="s">
        <v>29150</v>
      </c>
      <c r="E11087" s="18" t="s">
        <v>28</v>
      </c>
      <c r="F11087" s="19" t="s">
        <v>28</v>
      </c>
      <c r="G11087" s="19" t="s">
        <v>28</v>
      </c>
      <c r="H11087" s="19" t="s">
        <v>28</v>
      </c>
      <c r="I11087" s="18" t="s">
        <v>28</v>
      </c>
      <c r="J11087" s="18" t="s">
        <v>28</v>
      </c>
      <c r="K11087" s="18" t="s">
        <v>28</v>
      </c>
      <c r="L11087" s="18" t="s">
        <v>28</v>
      </c>
      <c r="M11087" s="18" t="s">
        <v>28</v>
      </c>
      <c r="N11087" s="17">
        <v>41284</v>
      </c>
      <c r="O11087" s="15" t="s">
        <v>99</v>
      </c>
      <c r="P11087" s="16" t="s">
        <v>611</v>
      </c>
      <c r="Q11087" s="15" t="s">
        <v>43</v>
      </c>
      <c r="R11087" s="13" t="str">
        <f>HYPERLINK("https://my.pitchbook.com?c=210869-20T","View Company Online")</f>
        <v>View Company Online</v>
      </c>
    </row>
    <row r="11088" spans="1:18" hidden="1" x14ac:dyDescent="0.3">
      <c r="A11088" s="9" t="s">
        <v>31255</v>
      </c>
      <c r="B11088" s="9" t="s">
        <v>31256</v>
      </c>
      <c r="C11088" s="11" t="s">
        <v>28</v>
      </c>
      <c r="D11088" s="9" t="s">
        <v>31257</v>
      </c>
      <c r="E11088" s="11" t="s">
        <v>28</v>
      </c>
      <c r="F11088" s="10" t="s">
        <v>28</v>
      </c>
      <c r="G11088" s="10" t="s">
        <v>28</v>
      </c>
      <c r="H11088" s="10" t="s">
        <v>28</v>
      </c>
      <c r="I11088" s="11" t="s">
        <v>28</v>
      </c>
      <c r="J11088" s="11" t="s">
        <v>28</v>
      </c>
      <c r="K11088" s="11" t="s">
        <v>28</v>
      </c>
      <c r="L11088" s="11" t="s">
        <v>28</v>
      </c>
      <c r="M11088" s="11" t="s">
        <v>28</v>
      </c>
      <c r="N11088" s="8">
        <v>41283</v>
      </c>
      <c r="O11088" s="9" t="s">
        <v>30</v>
      </c>
      <c r="P11088" s="12" t="s">
        <v>31258</v>
      </c>
      <c r="Q11088" s="9" t="s">
        <v>3048</v>
      </c>
      <c r="R11088" s="14" t="str">
        <f>HYPERLINK("https://my.pitchbook.com?c=39265-12T","View Company Online")</f>
        <v>View Company Online</v>
      </c>
    </row>
    <row r="11089" spans="1:18" hidden="1" x14ac:dyDescent="0.3">
      <c r="A11089" s="15" t="s">
        <v>31259</v>
      </c>
      <c r="B11089" s="15" t="s">
        <v>31260</v>
      </c>
      <c r="C11089" s="18" t="s">
        <v>28</v>
      </c>
      <c r="D11089" s="15" t="s">
        <v>31261</v>
      </c>
      <c r="E11089" s="18" t="s">
        <v>28</v>
      </c>
      <c r="F11089" s="19" t="s">
        <v>28</v>
      </c>
      <c r="G11089" s="19" t="s">
        <v>28</v>
      </c>
      <c r="H11089" s="19" t="s">
        <v>28</v>
      </c>
      <c r="I11089" s="18" t="s">
        <v>28</v>
      </c>
      <c r="J11089" s="18" t="s">
        <v>28</v>
      </c>
      <c r="K11089" s="18" t="s">
        <v>28</v>
      </c>
      <c r="L11089" s="18" t="s">
        <v>28</v>
      </c>
      <c r="M11089" s="18" t="s">
        <v>28</v>
      </c>
      <c r="N11089" s="17">
        <v>41282</v>
      </c>
      <c r="O11089" s="15" t="s">
        <v>30</v>
      </c>
      <c r="P11089" s="16" t="s">
        <v>31262</v>
      </c>
      <c r="Q11089" s="15" t="s">
        <v>299</v>
      </c>
      <c r="R11089" s="13" t="str">
        <f>HYPERLINK("https://my.pitchbook.com?c=89860-33T","View Company Online")</f>
        <v>View Company Online</v>
      </c>
    </row>
    <row r="11090" spans="1:18" hidden="1" x14ac:dyDescent="0.3">
      <c r="A11090" s="9" t="s">
        <v>31263</v>
      </c>
      <c r="B11090" s="9" t="s">
        <v>4089</v>
      </c>
      <c r="C11090" s="11" t="s">
        <v>28</v>
      </c>
      <c r="D11090" s="9" t="s">
        <v>4090</v>
      </c>
      <c r="E11090" s="11" t="s">
        <v>28</v>
      </c>
      <c r="F11090" s="10" t="s">
        <v>28</v>
      </c>
      <c r="G11090" s="10">
        <v>2.06</v>
      </c>
      <c r="H11090" s="10" t="s">
        <v>28</v>
      </c>
      <c r="I11090" s="11" t="s">
        <v>28</v>
      </c>
      <c r="J11090" s="11" t="s">
        <v>28</v>
      </c>
      <c r="K11090" s="11" t="s">
        <v>28</v>
      </c>
      <c r="L11090" s="11" t="s">
        <v>28</v>
      </c>
      <c r="M11090" s="11" t="s">
        <v>28</v>
      </c>
      <c r="N11090" s="8">
        <v>41282</v>
      </c>
      <c r="O11090" s="9" t="s">
        <v>73</v>
      </c>
      <c r="P11090" s="12" t="s">
        <v>31264</v>
      </c>
      <c r="Q11090" s="9" t="s">
        <v>75</v>
      </c>
      <c r="R11090" s="14" t="str">
        <f>HYPERLINK("https://my.pitchbook.com?c=26450-92T","View Company Online")</f>
        <v>View Company Online</v>
      </c>
    </row>
    <row r="11091" spans="1:18" hidden="1" x14ac:dyDescent="0.3">
      <c r="A11091" s="15" t="s">
        <v>31265</v>
      </c>
      <c r="B11091" s="15" t="s">
        <v>22752</v>
      </c>
      <c r="C11091" s="18" t="s">
        <v>28</v>
      </c>
      <c r="D11091" s="15" t="s">
        <v>23133</v>
      </c>
      <c r="E11091" s="18" t="s">
        <v>28</v>
      </c>
      <c r="F11091" s="19" t="s">
        <v>28</v>
      </c>
      <c r="G11091" s="19" t="s">
        <v>28</v>
      </c>
      <c r="H11091" s="19" t="s">
        <v>28</v>
      </c>
      <c r="I11091" s="18" t="s">
        <v>28</v>
      </c>
      <c r="J11091" s="18" t="s">
        <v>28</v>
      </c>
      <c r="K11091" s="18" t="s">
        <v>28</v>
      </c>
      <c r="L11091" s="18" t="s">
        <v>28</v>
      </c>
      <c r="M11091" s="18" t="s">
        <v>28</v>
      </c>
      <c r="N11091" s="17">
        <v>41281</v>
      </c>
      <c r="O11091" s="15" t="s">
        <v>73</v>
      </c>
      <c r="P11091" s="16" t="s">
        <v>31266</v>
      </c>
      <c r="Q11091" s="15" t="s">
        <v>75</v>
      </c>
      <c r="R11091" s="13" t="str">
        <f>HYPERLINK("https://my.pitchbook.com?c=24186-79T","View Company Online")</f>
        <v>View Company Online</v>
      </c>
    </row>
    <row r="11092" spans="1:18" hidden="1" x14ac:dyDescent="0.3">
      <c r="A11092" s="9" t="s">
        <v>31267</v>
      </c>
      <c r="B11092" s="9" t="s">
        <v>31268</v>
      </c>
      <c r="C11092" s="11" t="s">
        <v>28</v>
      </c>
      <c r="D11092" s="9" t="s">
        <v>31269</v>
      </c>
      <c r="E11092" s="11" t="s">
        <v>28</v>
      </c>
      <c r="F11092" s="10" t="s">
        <v>28</v>
      </c>
      <c r="G11092" s="10">
        <v>0.05</v>
      </c>
      <c r="H11092" s="10" t="s">
        <v>28</v>
      </c>
      <c r="I11092" s="11" t="s">
        <v>28</v>
      </c>
      <c r="J11092" s="11" t="s">
        <v>28</v>
      </c>
      <c r="K11092" s="11" t="s">
        <v>28</v>
      </c>
      <c r="L11092" s="11" t="s">
        <v>28</v>
      </c>
      <c r="M11092" s="11" t="s">
        <v>28</v>
      </c>
      <c r="N11092" s="8">
        <v>41281</v>
      </c>
      <c r="O11092" s="9" t="s">
        <v>52</v>
      </c>
      <c r="P11092" s="12" t="s">
        <v>31270</v>
      </c>
      <c r="Q11092" s="9" t="s">
        <v>119</v>
      </c>
      <c r="R11092" s="14" t="str">
        <f>HYPERLINK("https://my.pitchbook.com?c=51565-33T","View Company Online")</f>
        <v>View Company Online</v>
      </c>
    </row>
    <row r="11093" spans="1:18" hidden="1" x14ac:dyDescent="0.3">
      <c r="A11093" s="15" t="s">
        <v>31271</v>
      </c>
      <c r="B11093" s="15" t="s">
        <v>26727</v>
      </c>
      <c r="C11093" s="18" t="s">
        <v>28</v>
      </c>
      <c r="D11093" s="15" t="s">
        <v>26728</v>
      </c>
      <c r="E11093" s="18" t="s">
        <v>28</v>
      </c>
      <c r="F11093" s="19" t="s">
        <v>28</v>
      </c>
      <c r="G11093" s="19">
        <v>0.6</v>
      </c>
      <c r="H11093" s="19" t="s">
        <v>28</v>
      </c>
      <c r="I11093" s="18" t="s">
        <v>28</v>
      </c>
      <c r="J11093" s="18" t="s">
        <v>28</v>
      </c>
      <c r="K11093" s="18" t="s">
        <v>28</v>
      </c>
      <c r="L11093" s="18" t="s">
        <v>28</v>
      </c>
      <c r="M11093" s="18" t="s">
        <v>28</v>
      </c>
      <c r="N11093" s="17">
        <v>41279</v>
      </c>
      <c r="O11093" s="15" t="s">
        <v>52</v>
      </c>
      <c r="P11093" s="16" t="s">
        <v>17245</v>
      </c>
      <c r="Q11093" s="15" t="s">
        <v>419</v>
      </c>
      <c r="R11093" s="13" t="str">
        <f>HYPERLINK("https://my.pitchbook.com?c=51579-37T","View Company Online")</f>
        <v>View Company Online</v>
      </c>
    </row>
    <row r="11094" spans="1:18" hidden="1" x14ac:dyDescent="0.3">
      <c r="A11094" s="9" t="s">
        <v>31272</v>
      </c>
      <c r="B11094" s="9" t="s">
        <v>24811</v>
      </c>
      <c r="C11094" s="11" t="s">
        <v>28</v>
      </c>
      <c r="D11094" s="9" t="s">
        <v>24812</v>
      </c>
      <c r="E11094" s="11" t="s">
        <v>28</v>
      </c>
      <c r="F11094" s="10" t="s">
        <v>28</v>
      </c>
      <c r="G11094" s="10" t="s">
        <v>28</v>
      </c>
      <c r="H11094" s="10" t="s">
        <v>28</v>
      </c>
      <c r="I11094" s="11" t="s">
        <v>28</v>
      </c>
      <c r="J11094" s="11" t="s">
        <v>28</v>
      </c>
      <c r="K11094" s="11" t="s">
        <v>28</v>
      </c>
      <c r="L11094" s="11" t="s">
        <v>28</v>
      </c>
      <c r="M11094" s="11" t="s">
        <v>28</v>
      </c>
      <c r="N11094" s="8">
        <v>41278</v>
      </c>
      <c r="O11094" s="9" t="s">
        <v>99</v>
      </c>
      <c r="P11094" s="12" t="s">
        <v>31273</v>
      </c>
      <c r="Q11094" s="9" t="s">
        <v>740</v>
      </c>
      <c r="R11094" s="14" t="str">
        <f>HYPERLINK("https://my.pitchbook.com?c=34939-63T","View Company Online")</f>
        <v>View Company Online</v>
      </c>
    </row>
    <row r="11095" spans="1:18" hidden="1" x14ac:dyDescent="0.3">
      <c r="A11095" s="15" t="s">
        <v>31274</v>
      </c>
      <c r="B11095" s="15" t="s">
        <v>13132</v>
      </c>
      <c r="C11095" s="18" t="s">
        <v>28</v>
      </c>
      <c r="D11095" s="15" t="s">
        <v>13133</v>
      </c>
      <c r="E11095" s="18" t="s">
        <v>28</v>
      </c>
      <c r="F11095" s="19" t="s">
        <v>28</v>
      </c>
      <c r="G11095" s="19" t="s">
        <v>28</v>
      </c>
      <c r="H11095" s="19" t="s">
        <v>28</v>
      </c>
      <c r="I11095" s="18" t="s">
        <v>28</v>
      </c>
      <c r="J11095" s="18" t="s">
        <v>28</v>
      </c>
      <c r="K11095" s="18" t="s">
        <v>28</v>
      </c>
      <c r="L11095" s="18" t="s">
        <v>28</v>
      </c>
      <c r="M11095" s="18" t="s">
        <v>28</v>
      </c>
      <c r="N11095" s="17">
        <v>41278</v>
      </c>
      <c r="O11095" s="15" t="s">
        <v>93</v>
      </c>
      <c r="P11095" s="16" t="s">
        <v>31275</v>
      </c>
      <c r="Q11095" s="15" t="s">
        <v>75</v>
      </c>
      <c r="R11095" s="13" t="str">
        <f>HYPERLINK("https://my.pitchbook.com?c=61316-83T","View Company Online")</f>
        <v>View Company Online</v>
      </c>
    </row>
    <row r="11096" spans="1:18" hidden="1" x14ac:dyDescent="0.3">
      <c r="A11096" s="9" t="s">
        <v>31276</v>
      </c>
      <c r="B11096" s="9" t="s">
        <v>29182</v>
      </c>
      <c r="C11096" s="11" t="s">
        <v>28</v>
      </c>
      <c r="D11096" s="9" t="s">
        <v>29183</v>
      </c>
      <c r="E11096" s="11" t="s">
        <v>28</v>
      </c>
      <c r="F11096" s="10" t="s">
        <v>28</v>
      </c>
      <c r="G11096" s="10" t="s">
        <v>28</v>
      </c>
      <c r="H11096" s="10" t="s">
        <v>28</v>
      </c>
      <c r="I11096" s="11" t="s">
        <v>28</v>
      </c>
      <c r="J11096" s="11" t="s">
        <v>28</v>
      </c>
      <c r="K11096" s="11" t="s">
        <v>28</v>
      </c>
      <c r="L11096" s="11" t="s">
        <v>28</v>
      </c>
      <c r="M11096" s="11" t="s">
        <v>28</v>
      </c>
      <c r="N11096" s="8">
        <v>41275</v>
      </c>
      <c r="O11096" s="9" t="s">
        <v>379</v>
      </c>
      <c r="P11096" s="12" t="s">
        <v>28</v>
      </c>
      <c r="Q11096" s="9" t="s">
        <v>75</v>
      </c>
      <c r="R11096" s="14" t="str">
        <f>HYPERLINK("https://my.pitchbook.com?c=105406-75T","View Company Online")</f>
        <v>View Company Online</v>
      </c>
    </row>
    <row r="11097" spans="1:18" hidden="1" x14ac:dyDescent="0.3">
      <c r="A11097" s="15" t="s">
        <v>31277</v>
      </c>
      <c r="B11097" s="15" t="s">
        <v>31278</v>
      </c>
      <c r="C11097" s="18" t="s">
        <v>28</v>
      </c>
      <c r="D11097" s="15" t="s">
        <v>31279</v>
      </c>
      <c r="E11097" s="18" t="s">
        <v>28</v>
      </c>
      <c r="F11097" s="19" t="s">
        <v>28</v>
      </c>
      <c r="G11097" s="19" t="s">
        <v>28</v>
      </c>
      <c r="H11097" s="19" t="s">
        <v>28</v>
      </c>
      <c r="I11097" s="18" t="s">
        <v>28</v>
      </c>
      <c r="J11097" s="18" t="s">
        <v>28</v>
      </c>
      <c r="K11097" s="18" t="s">
        <v>28</v>
      </c>
      <c r="L11097" s="18" t="s">
        <v>28</v>
      </c>
      <c r="M11097" s="18" t="s">
        <v>28</v>
      </c>
      <c r="N11097" s="17">
        <v>41275</v>
      </c>
      <c r="O11097" s="15" t="s">
        <v>58</v>
      </c>
      <c r="P11097" s="16" t="s">
        <v>343</v>
      </c>
      <c r="Q11097" s="15" t="s">
        <v>114</v>
      </c>
      <c r="R11097" s="13" t="str">
        <f>HYPERLINK("https://my.pitchbook.com?c=232670-80T","View Company Online")</f>
        <v>View Company Online</v>
      </c>
    </row>
    <row r="11098" spans="1:18" hidden="1" x14ac:dyDescent="0.3">
      <c r="A11098" s="9" t="s">
        <v>31280</v>
      </c>
      <c r="B11098" s="9" t="s">
        <v>7643</v>
      </c>
      <c r="C11098" s="11" t="s">
        <v>28</v>
      </c>
      <c r="D11098" s="9" t="s">
        <v>7644</v>
      </c>
      <c r="E11098" s="11" t="s">
        <v>28</v>
      </c>
      <c r="F11098" s="10" t="s">
        <v>28</v>
      </c>
      <c r="G11098" s="10" t="s">
        <v>28</v>
      </c>
      <c r="H11098" s="10" t="s">
        <v>28</v>
      </c>
      <c r="I11098" s="11" t="s">
        <v>28</v>
      </c>
      <c r="J11098" s="11" t="s">
        <v>28</v>
      </c>
      <c r="K11098" s="11" t="s">
        <v>28</v>
      </c>
      <c r="L11098" s="11" t="s">
        <v>28</v>
      </c>
      <c r="M11098" s="11" t="s">
        <v>28</v>
      </c>
      <c r="N11098" s="8">
        <v>41275</v>
      </c>
      <c r="O11098" s="9" t="s">
        <v>73</v>
      </c>
      <c r="P11098" s="12" t="s">
        <v>31281</v>
      </c>
      <c r="Q11098" s="9" t="s">
        <v>607</v>
      </c>
      <c r="R11098" s="14" t="str">
        <f>HYPERLINK("https://my.pitchbook.com?c=133658-29T","View Company Online")</f>
        <v>View Company Online</v>
      </c>
    </row>
    <row r="11099" spans="1:18" hidden="1" x14ac:dyDescent="0.3">
      <c r="A11099" s="15" t="s">
        <v>31282</v>
      </c>
      <c r="B11099" s="15" t="s">
        <v>31283</v>
      </c>
      <c r="C11099" s="18" t="s">
        <v>28</v>
      </c>
      <c r="D11099" s="15" t="s">
        <v>31284</v>
      </c>
      <c r="E11099" s="18" t="s">
        <v>28</v>
      </c>
      <c r="F11099" s="19" t="s">
        <v>28</v>
      </c>
      <c r="G11099" s="19" t="s">
        <v>28</v>
      </c>
      <c r="H11099" s="19" t="s">
        <v>28</v>
      </c>
      <c r="I11099" s="18" t="s">
        <v>28</v>
      </c>
      <c r="J11099" s="18" t="s">
        <v>28</v>
      </c>
      <c r="K11099" s="18" t="s">
        <v>28</v>
      </c>
      <c r="L11099" s="18" t="s">
        <v>28</v>
      </c>
      <c r="M11099" s="18" t="s">
        <v>28</v>
      </c>
      <c r="N11099" s="17">
        <v>41275</v>
      </c>
      <c r="O11099" s="15" t="s">
        <v>30</v>
      </c>
      <c r="P11099" s="16" t="s">
        <v>28</v>
      </c>
      <c r="Q11099" s="15" t="s">
        <v>136</v>
      </c>
      <c r="R11099" s="13" t="str">
        <f>HYPERLINK("https://my.pitchbook.com?c=266173-03T","View Company Online")</f>
        <v>View Company Online</v>
      </c>
    </row>
    <row r="11100" spans="1:18" hidden="1" x14ac:dyDescent="0.3">
      <c r="A11100" s="9" t="s">
        <v>31285</v>
      </c>
      <c r="B11100" s="9" t="s">
        <v>9740</v>
      </c>
      <c r="C11100" s="11" t="s">
        <v>28</v>
      </c>
      <c r="D11100" s="9" t="s">
        <v>9741</v>
      </c>
      <c r="E11100" s="11" t="s">
        <v>28</v>
      </c>
      <c r="F11100" s="10" t="s">
        <v>28</v>
      </c>
      <c r="G11100" s="10" t="s">
        <v>28</v>
      </c>
      <c r="H11100" s="10" t="s">
        <v>28</v>
      </c>
      <c r="I11100" s="11" t="s">
        <v>28</v>
      </c>
      <c r="J11100" s="11" t="s">
        <v>28</v>
      </c>
      <c r="K11100" s="11" t="s">
        <v>28</v>
      </c>
      <c r="L11100" s="11" t="s">
        <v>28</v>
      </c>
      <c r="M11100" s="11" t="s">
        <v>28</v>
      </c>
      <c r="N11100" s="8">
        <v>41275</v>
      </c>
      <c r="O11100" s="9" t="s">
        <v>52</v>
      </c>
      <c r="P11100" s="12" t="s">
        <v>31286</v>
      </c>
      <c r="Q11100" s="9" t="s">
        <v>75</v>
      </c>
      <c r="R11100" s="14" t="str">
        <f>HYPERLINK("https://my.pitchbook.com?c=94352-05T","View Company Online")</f>
        <v>View Company Online</v>
      </c>
    </row>
    <row r="11101" spans="1:18" hidden="1" x14ac:dyDescent="0.3">
      <c r="A11101" s="15" t="s">
        <v>31287</v>
      </c>
      <c r="B11101" s="15" t="s">
        <v>27624</v>
      </c>
      <c r="C11101" s="18" t="s">
        <v>28</v>
      </c>
      <c r="D11101" s="15" t="s">
        <v>27625</v>
      </c>
      <c r="E11101" s="18" t="s">
        <v>28</v>
      </c>
      <c r="F11101" s="19" t="s">
        <v>28</v>
      </c>
      <c r="G11101" s="19">
        <v>0.1</v>
      </c>
      <c r="H11101" s="19" t="s">
        <v>28</v>
      </c>
      <c r="I11101" s="18" t="s">
        <v>28</v>
      </c>
      <c r="J11101" s="18" t="s">
        <v>28</v>
      </c>
      <c r="K11101" s="18" t="s">
        <v>28</v>
      </c>
      <c r="L11101" s="18" t="s">
        <v>28</v>
      </c>
      <c r="M11101" s="18" t="s">
        <v>28</v>
      </c>
      <c r="N11101" s="17">
        <v>41275</v>
      </c>
      <c r="O11101" s="15" t="s">
        <v>52</v>
      </c>
      <c r="P11101" s="16" t="s">
        <v>11539</v>
      </c>
      <c r="Q11101" s="15" t="s">
        <v>583</v>
      </c>
      <c r="R11101" s="13" t="str">
        <f>HYPERLINK("https://my.pitchbook.com?c=65819-44T","View Company Online")</f>
        <v>View Company Online</v>
      </c>
    </row>
    <row r="11102" spans="1:18" hidden="1" x14ac:dyDescent="0.3">
      <c r="A11102" s="9" t="s">
        <v>31288</v>
      </c>
      <c r="B11102" s="9" t="s">
        <v>21706</v>
      </c>
      <c r="C11102" s="11" t="s">
        <v>28</v>
      </c>
      <c r="D11102" s="9" t="s">
        <v>31289</v>
      </c>
      <c r="E11102" s="11" t="s">
        <v>28</v>
      </c>
      <c r="F11102" s="10" t="s">
        <v>28</v>
      </c>
      <c r="G11102" s="10" t="s">
        <v>28</v>
      </c>
      <c r="H11102" s="10" t="s">
        <v>28</v>
      </c>
      <c r="I11102" s="11" t="s">
        <v>28</v>
      </c>
      <c r="J11102" s="11" t="s">
        <v>28</v>
      </c>
      <c r="K11102" s="11" t="s">
        <v>28</v>
      </c>
      <c r="L11102" s="11" t="s">
        <v>28</v>
      </c>
      <c r="M11102" s="11" t="s">
        <v>28</v>
      </c>
      <c r="N11102" s="8">
        <v>41275</v>
      </c>
      <c r="O11102" s="9" t="s">
        <v>30</v>
      </c>
      <c r="P11102" s="12" t="s">
        <v>3117</v>
      </c>
      <c r="Q11102" s="9" t="s">
        <v>753</v>
      </c>
      <c r="R11102" s="14" t="str">
        <f>HYPERLINK("https://my.pitchbook.com?c=274116-97T","View Company Online")</f>
        <v>View Company Online</v>
      </c>
    </row>
    <row r="11103" spans="1:18" hidden="1" x14ac:dyDescent="0.3">
      <c r="A11103" s="15" t="s">
        <v>31290</v>
      </c>
      <c r="B11103" s="15" t="s">
        <v>21218</v>
      </c>
      <c r="C11103" s="18" t="s">
        <v>28</v>
      </c>
      <c r="D11103" s="15" t="s">
        <v>21219</v>
      </c>
      <c r="E11103" s="18" t="s">
        <v>28</v>
      </c>
      <c r="F11103" s="19" t="s">
        <v>28</v>
      </c>
      <c r="G11103" s="19" t="s">
        <v>28</v>
      </c>
      <c r="H11103" s="19" t="s">
        <v>28</v>
      </c>
      <c r="I11103" s="18" t="s">
        <v>28</v>
      </c>
      <c r="J11103" s="18" t="s">
        <v>28</v>
      </c>
      <c r="K11103" s="18" t="s">
        <v>28</v>
      </c>
      <c r="L11103" s="18" t="s">
        <v>28</v>
      </c>
      <c r="M11103" s="18" t="s">
        <v>28</v>
      </c>
      <c r="N11103" s="17">
        <v>41275</v>
      </c>
      <c r="O11103" s="15" t="s">
        <v>52</v>
      </c>
      <c r="P11103" s="16" t="s">
        <v>30925</v>
      </c>
      <c r="Q11103" s="15" t="s">
        <v>3912</v>
      </c>
      <c r="R11103" s="13" t="str">
        <f>HYPERLINK("https://my.pitchbook.com?c=131769-46T","View Company Online")</f>
        <v>View Company Online</v>
      </c>
    </row>
    <row r="11104" spans="1:18" hidden="1" x14ac:dyDescent="0.3">
      <c r="A11104" s="9" t="s">
        <v>31291</v>
      </c>
      <c r="B11104" s="9" t="s">
        <v>31292</v>
      </c>
      <c r="C11104" s="11" t="s">
        <v>28</v>
      </c>
      <c r="D11104" s="9" t="s">
        <v>31293</v>
      </c>
      <c r="E11104" s="11" t="s">
        <v>28</v>
      </c>
      <c r="F11104" s="10" t="s">
        <v>28</v>
      </c>
      <c r="G11104" s="10" t="s">
        <v>28</v>
      </c>
      <c r="H11104" s="10" t="s">
        <v>28</v>
      </c>
      <c r="I11104" s="11" t="s">
        <v>28</v>
      </c>
      <c r="J11104" s="11" t="s">
        <v>28</v>
      </c>
      <c r="K11104" s="11" t="s">
        <v>28</v>
      </c>
      <c r="L11104" s="11" t="s">
        <v>28</v>
      </c>
      <c r="M11104" s="11" t="s">
        <v>28</v>
      </c>
      <c r="N11104" s="8">
        <v>41275</v>
      </c>
      <c r="O11104" s="9" t="s">
        <v>52</v>
      </c>
      <c r="P11104" s="12" t="s">
        <v>27943</v>
      </c>
      <c r="Q11104" s="9" t="s">
        <v>75</v>
      </c>
      <c r="R11104" s="14" t="str">
        <f>HYPERLINK("https://my.pitchbook.com?c=39780-64T","View Company Online")</f>
        <v>View Company Online</v>
      </c>
    </row>
    <row r="11105" spans="1:18" hidden="1" x14ac:dyDescent="0.3">
      <c r="A11105" s="15" t="s">
        <v>31294</v>
      </c>
      <c r="B11105" s="15" t="s">
        <v>31295</v>
      </c>
      <c r="C11105" s="18" t="s">
        <v>28</v>
      </c>
      <c r="D11105" s="15" t="s">
        <v>31296</v>
      </c>
      <c r="E11105" s="18" t="s">
        <v>28</v>
      </c>
      <c r="F11105" s="19" t="s">
        <v>28</v>
      </c>
      <c r="G11105" s="19">
        <v>0.1</v>
      </c>
      <c r="H11105" s="19" t="s">
        <v>28</v>
      </c>
      <c r="I11105" s="18" t="s">
        <v>28</v>
      </c>
      <c r="J11105" s="18" t="s">
        <v>28</v>
      </c>
      <c r="K11105" s="18" t="s">
        <v>28</v>
      </c>
      <c r="L11105" s="18" t="s">
        <v>28</v>
      </c>
      <c r="M11105" s="18" t="s">
        <v>28</v>
      </c>
      <c r="N11105" s="17">
        <v>41275</v>
      </c>
      <c r="O11105" s="15" t="s">
        <v>52</v>
      </c>
      <c r="P11105" s="16" t="s">
        <v>11539</v>
      </c>
      <c r="Q11105" s="15" t="s">
        <v>855</v>
      </c>
      <c r="R11105" s="13" t="str">
        <f>HYPERLINK("https://my.pitchbook.com?c=52221-25T","View Company Online")</f>
        <v>View Company Online</v>
      </c>
    </row>
    <row r="11106" spans="1:18" hidden="1" x14ac:dyDescent="0.3">
      <c r="A11106" s="9" t="s">
        <v>31297</v>
      </c>
      <c r="B11106" s="9" t="s">
        <v>2545</v>
      </c>
      <c r="C11106" s="11" t="s">
        <v>28</v>
      </c>
      <c r="D11106" s="9" t="s">
        <v>2546</v>
      </c>
      <c r="E11106" s="11" t="s">
        <v>28</v>
      </c>
      <c r="F11106" s="10" t="s">
        <v>28</v>
      </c>
      <c r="G11106" s="10">
        <v>0.1</v>
      </c>
      <c r="H11106" s="10" t="s">
        <v>28</v>
      </c>
      <c r="I11106" s="11" t="s">
        <v>28</v>
      </c>
      <c r="J11106" s="11" t="s">
        <v>28</v>
      </c>
      <c r="K11106" s="11" t="s">
        <v>28</v>
      </c>
      <c r="L11106" s="11" t="s">
        <v>28</v>
      </c>
      <c r="M11106" s="11" t="s">
        <v>28</v>
      </c>
      <c r="N11106" s="8">
        <v>41275</v>
      </c>
      <c r="O11106" s="9" t="s">
        <v>52</v>
      </c>
      <c r="P11106" s="12" t="s">
        <v>11539</v>
      </c>
      <c r="Q11106" s="9" t="s">
        <v>566</v>
      </c>
      <c r="R11106" s="14" t="str">
        <f>HYPERLINK("https://my.pitchbook.com?c=77794-48T","View Company Online")</f>
        <v>View Company Online</v>
      </c>
    </row>
    <row r="11107" spans="1:18" hidden="1" x14ac:dyDescent="0.3">
      <c r="A11107" s="15" t="s">
        <v>31298</v>
      </c>
      <c r="B11107" s="15" t="s">
        <v>8280</v>
      </c>
      <c r="C11107" s="18" t="s">
        <v>28</v>
      </c>
      <c r="D11107" s="15" t="s">
        <v>8281</v>
      </c>
      <c r="E11107" s="18" t="s">
        <v>28</v>
      </c>
      <c r="F11107" s="19" t="s">
        <v>28</v>
      </c>
      <c r="G11107" s="19">
        <v>264.60000000000002</v>
      </c>
      <c r="H11107" s="19">
        <v>1278.26</v>
      </c>
      <c r="I11107" s="18" t="s">
        <v>28</v>
      </c>
      <c r="J11107" s="18" t="s">
        <v>28</v>
      </c>
      <c r="K11107" s="18">
        <v>678.1</v>
      </c>
      <c r="L11107" s="18">
        <v>1.89</v>
      </c>
      <c r="M11107" s="18">
        <v>39.1</v>
      </c>
      <c r="N11107" s="17">
        <v>41275</v>
      </c>
      <c r="O11107" s="15" t="s">
        <v>93</v>
      </c>
      <c r="P11107" s="16" t="s">
        <v>31299</v>
      </c>
      <c r="Q11107" s="15" t="s">
        <v>1088</v>
      </c>
      <c r="R11107" s="13" t="str">
        <f>HYPERLINK("https://my.pitchbook.com?c=116559-01T","View Company Online")</f>
        <v>View Company Online</v>
      </c>
    </row>
    <row r="11108" spans="1:18" hidden="1" x14ac:dyDescent="0.3">
      <c r="A11108" s="9" t="s">
        <v>31300</v>
      </c>
      <c r="B11108" s="9" t="s">
        <v>31301</v>
      </c>
      <c r="C11108" s="11" t="s">
        <v>28</v>
      </c>
      <c r="D11108" s="9" t="s">
        <v>31302</v>
      </c>
      <c r="E11108" s="11" t="s">
        <v>28</v>
      </c>
      <c r="F11108" s="10" t="s">
        <v>28</v>
      </c>
      <c r="G11108" s="10" t="s">
        <v>28</v>
      </c>
      <c r="H11108" s="10" t="s">
        <v>28</v>
      </c>
      <c r="I11108" s="11" t="s">
        <v>28</v>
      </c>
      <c r="J11108" s="11" t="s">
        <v>28</v>
      </c>
      <c r="K11108" s="11" t="s">
        <v>28</v>
      </c>
      <c r="L11108" s="11" t="s">
        <v>28</v>
      </c>
      <c r="M11108" s="11" t="s">
        <v>28</v>
      </c>
      <c r="N11108" s="8">
        <v>41275</v>
      </c>
      <c r="O11108" s="9" t="s">
        <v>52</v>
      </c>
      <c r="P11108" s="12" t="s">
        <v>30925</v>
      </c>
      <c r="Q11108" s="9" t="s">
        <v>119</v>
      </c>
      <c r="R11108" s="14" t="str">
        <f>HYPERLINK("https://my.pitchbook.com?c=126548-83T","View Company Online")</f>
        <v>View Company Online</v>
      </c>
    </row>
    <row r="11109" spans="1:18" hidden="1" x14ac:dyDescent="0.3">
      <c r="A11109" s="15" t="s">
        <v>31303</v>
      </c>
      <c r="B11109" s="15" t="s">
        <v>9314</v>
      </c>
      <c r="C11109" s="18" t="s">
        <v>28</v>
      </c>
      <c r="D11109" s="15" t="s">
        <v>9315</v>
      </c>
      <c r="E11109" s="18" t="s">
        <v>28</v>
      </c>
      <c r="F11109" s="19" t="s">
        <v>28</v>
      </c>
      <c r="G11109" s="19" t="s">
        <v>28</v>
      </c>
      <c r="H11109" s="19" t="s">
        <v>28</v>
      </c>
      <c r="I11109" s="18" t="s">
        <v>28</v>
      </c>
      <c r="J11109" s="18" t="s">
        <v>28</v>
      </c>
      <c r="K11109" s="18" t="s">
        <v>28</v>
      </c>
      <c r="L11109" s="18" t="s">
        <v>28</v>
      </c>
      <c r="M11109" s="18" t="s">
        <v>28</v>
      </c>
      <c r="N11109" s="17">
        <v>41275</v>
      </c>
      <c r="O11109" s="15" t="s">
        <v>30</v>
      </c>
      <c r="P11109" s="16" t="s">
        <v>31304</v>
      </c>
      <c r="Q11109" s="15" t="s">
        <v>75</v>
      </c>
      <c r="R11109" s="13" t="str">
        <f>HYPERLINK("https://my.pitchbook.com?c=207912-52T","View Company Online")</f>
        <v>View Company Online</v>
      </c>
    </row>
    <row r="11110" spans="1:18" hidden="1" x14ac:dyDescent="0.3">
      <c r="A11110" s="9" t="s">
        <v>31305</v>
      </c>
      <c r="B11110" s="9" t="s">
        <v>28242</v>
      </c>
      <c r="C11110" s="11" t="s">
        <v>28</v>
      </c>
      <c r="D11110" s="9" t="s">
        <v>28243</v>
      </c>
      <c r="E11110" s="11" t="s">
        <v>28</v>
      </c>
      <c r="F11110" s="10" t="s">
        <v>28</v>
      </c>
      <c r="G11110" s="10" t="s">
        <v>28</v>
      </c>
      <c r="H11110" s="10" t="s">
        <v>28</v>
      </c>
      <c r="I11110" s="11" t="s">
        <v>28</v>
      </c>
      <c r="J11110" s="11" t="s">
        <v>28</v>
      </c>
      <c r="K11110" s="11" t="s">
        <v>28</v>
      </c>
      <c r="L11110" s="11" t="s">
        <v>28</v>
      </c>
      <c r="M11110" s="11" t="s">
        <v>28</v>
      </c>
      <c r="N11110" s="8">
        <v>41275</v>
      </c>
      <c r="O11110" s="9" t="s">
        <v>99</v>
      </c>
      <c r="P11110" s="12" t="s">
        <v>28992</v>
      </c>
      <c r="Q11110" s="9" t="s">
        <v>855</v>
      </c>
      <c r="R11110" s="14" t="str">
        <f>HYPERLINK("https://my.pitchbook.com?c=26041-51T","View Company Online")</f>
        <v>View Company Online</v>
      </c>
    </row>
    <row r="11111" spans="1:18" hidden="1" x14ac:dyDescent="0.3">
      <c r="A11111" s="15" t="s">
        <v>31306</v>
      </c>
      <c r="B11111" s="15" t="s">
        <v>11502</v>
      </c>
      <c r="C11111" s="18" t="s">
        <v>28</v>
      </c>
      <c r="D11111" s="15" t="s">
        <v>11503</v>
      </c>
      <c r="E11111" s="18" t="s">
        <v>28</v>
      </c>
      <c r="F11111" s="19">
        <v>25.44</v>
      </c>
      <c r="G11111" s="19">
        <v>25.44</v>
      </c>
      <c r="H11111" s="19">
        <v>25.44</v>
      </c>
      <c r="I11111" s="18" t="s">
        <v>28</v>
      </c>
      <c r="J11111" s="18" t="s">
        <v>28</v>
      </c>
      <c r="K11111" s="18" t="s">
        <v>28</v>
      </c>
      <c r="L11111" s="18" t="s">
        <v>28</v>
      </c>
      <c r="M11111" s="18" t="s">
        <v>28</v>
      </c>
      <c r="N11111" s="17">
        <v>41275</v>
      </c>
      <c r="O11111" s="15" t="s">
        <v>41</v>
      </c>
      <c r="P11111" s="16" t="s">
        <v>31307</v>
      </c>
      <c r="Q11111" s="15" t="s">
        <v>43</v>
      </c>
      <c r="R11111" s="13" t="str">
        <f>HYPERLINK("https://my.pitchbook.com?c=98093-98T","View Company Online")</f>
        <v>View Company Online</v>
      </c>
    </row>
    <row r="11112" spans="1:18" hidden="1" x14ac:dyDescent="0.3">
      <c r="A11112" s="9" t="s">
        <v>31308</v>
      </c>
      <c r="B11112" s="9" t="s">
        <v>7135</v>
      </c>
      <c r="C11112" s="11" t="s">
        <v>28</v>
      </c>
      <c r="D11112" s="9" t="s">
        <v>7136</v>
      </c>
      <c r="E11112" s="11" t="s">
        <v>28</v>
      </c>
      <c r="F11112" s="10" t="s">
        <v>28</v>
      </c>
      <c r="G11112" s="10">
        <v>0.02</v>
      </c>
      <c r="H11112" s="10" t="s">
        <v>28</v>
      </c>
      <c r="I11112" s="11" t="s">
        <v>28</v>
      </c>
      <c r="J11112" s="11" t="s">
        <v>28</v>
      </c>
      <c r="K11112" s="11" t="s">
        <v>28</v>
      </c>
      <c r="L11112" s="11" t="s">
        <v>28</v>
      </c>
      <c r="M11112" s="11" t="s">
        <v>28</v>
      </c>
      <c r="N11112" s="8">
        <v>41275</v>
      </c>
      <c r="O11112" s="9" t="s">
        <v>9098</v>
      </c>
      <c r="P11112" s="12" t="s">
        <v>28</v>
      </c>
      <c r="Q11112" s="9" t="s">
        <v>75</v>
      </c>
      <c r="R11112" s="14" t="str">
        <f>HYPERLINK("https://my.pitchbook.com?c=85332-52T","View Company Online")</f>
        <v>View Company Online</v>
      </c>
    </row>
    <row r="11113" spans="1:18" hidden="1" x14ac:dyDescent="0.3">
      <c r="A11113" s="15" t="s">
        <v>31309</v>
      </c>
      <c r="B11113" s="15" t="s">
        <v>18654</v>
      </c>
      <c r="C11113" s="18" t="s">
        <v>28</v>
      </c>
      <c r="D11113" s="15" t="s">
        <v>18655</v>
      </c>
      <c r="E11113" s="18" t="s">
        <v>28</v>
      </c>
      <c r="F11113" s="19" t="s">
        <v>28</v>
      </c>
      <c r="G11113" s="19" t="s">
        <v>28</v>
      </c>
      <c r="H11113" s="19" t="s">
        <v>28</v>
      </c>
      <c r="I11113" s="18" t="s">
        <v>28</v>
      </c>
      <c r="J11113" s="18" t="s">
        <v>28</v>
      </c>
      <c r="K11113" s="18" t="s">
        <v>28</v>
      </c>
      <c r="L11113" s="18" t="s">
        <v>28</v>
      </c>
      <c r="M11113" s="18" t="s">
        <v>28</v>
      </c>
      <c r="N11113" s="17">
        <v>41275</v>
      </c>
      <c r="O11113" s="15" t="s">
        <v>52</v>
      </c>
      <c r="P11113" s="16" t="s">
        <v>11539</v>
      </c>
      <c r="Q11113" s="15" t="s">
        <v>75</v>
      </c>
      <c r="R11113" s="13" t="str">
        <f>HYPERLINK("https://my.pitchbook.com?c=77791-24T","View Company Online")</f>
        <v>View Company Online</v>
      </c>
    </row>
    <row r="11114" spans="1:18" hidden="1" x14ac:dyDescent="0.3">
      <c r="A11114" s="9" t="s">
        <v>31310</v>
      </c>
      <c r="B11114" s="9" t="s">
        <v>10005</v>
      </c>
      <c r="C11114" s="11" t="s">
        <v>28</v>
      </c>
      <c r="D11114" s="9" t="s">
        <v>10006</v>
      </c>
      <c r="E11114" s="11" t="s">
        <v>28</v>
      </c>
      <c r="F11114" s="10" t="s">
        <v>28</v>
      </c>
      <c r="G11114" s="10">
        <v>1.44</v>
      </c>
      <c r="H11114" s="10" t="s">
        <v>28</v>
      </c>
      <c r="I11114" s="11" t="s">
        <v>28</v>
      </c>
      <c r="J11114" s="11" t="s">
        <v>28</v>
      </c>
      <c r="K11114" s="11" t="s">
        <v>28</v>
      </c>
      <c r="L11114" s="11" t="s">
        <v>28</v>
      </c>
      <c r="M11114" s="11" t="s">
        <v>28</v>
      </c>
      <c r="N11114" s="8">
        <v>41275</v>
      </c>
      <c r="O11114" s="9" t="s">
        <v>99</v>
      </c>
      <c r="P11114" s="12" t="s">
        <v>31311</v>
      </c>
      <c r="Q11114" s="9" t="s">
        <v>696</v>
      </c>
      <c r="R11114" s="14" t="str">
        <f>HYPERLINK("https://my.pitchbook.com?c=53311-69T","View Company Online")</f>
        <v>View Company Online</v>
      </c>
    </row>
    <row r="11115" spans="1:18" hidden="1" x14ac:dyDescent="0.3">
      <c r="A11115" s="15" t="s">
        <v>31312</v>
      </c>
      <c r="B11115" s="15" t="s">
        <v>31313</v>
      </c>
      <c r="C11115" s="18" t="s">
        <v>28</v>
      </c>
      <c r="D11115" s="15" t="s">
        <v>31314</v>
      </c>
      <c r="E11115" s="18" t="s">
        <v>28</v>
      </c>
      <c r="F11115" s="19" t="s">
        <v>28</v>
      </c>
      <c r="G11115" s="19" t="s">
        <v>28</v>
      </c>
      <c r="H11115" s="19" t="s">
        <v>28</v>
      </c>
      <c r="I11115" s="18" t="s">
        <v>28</v>
      </c>
      <c r="J11115" s="18" t="s">
        <v>28</v>
      </c>
      <c r="K11115" s="18" t="s">
        <v>28</v>
      </c>
      <c r="L11115" s="18" t="s">
        <v>28</v>
      </c>
      <c r="M11115" s="18" t="s">
        <v>28</v>
      </c>
      <c r="N11115" s="17">
        <v>41275</v>
      </c>
      <c r="O11115" s="15" t="s">
        <v>30</v>
      </c>
      <c r="P11115" s="16" t="s">
        <v>31315</v>
      </c>
      <c r="Q11115" s="15" t="s">
        <v>19855</v>
      </c>
      <c r="R11115" s="13" t="str">
        <f>HYPERLINK("https://my.pitchbook.com?c=72027-37T","View Company Online")</f>
        <v>View Company Online</v>
      </c>
    </row>
    <row r="11116" spans="1:18" hidden="1" x14ac:dyDescent="0.3">
      <c r="A11116" s="9" t="s">
        <v>31316</v>
      </c>
      <c r="B11116" s="9" t="s">
        <v>29440</v>
      </c>
      <c r="C11116" s="11" t="s">
        <v>28</v>
      </c>
      <c r="D11116" s="9" t="s">
        <v>29441</v>
      </c>
      <c r="E11116" s="11" t="s">
        <v>28</v>
      </c>
      <c r="F11116" s="10" t="s">
        <v>28</v>
      </c>
      <c r="G11116" s="10" t="s">
        <v>28</v>
      </c>
      <c r="H11116" s="10" t="s">
        <v>28</v>
      </c>
      <c r="I11116" s="11" t="s">
        <v>28</v>
      </c>
      <c r="J11116" s="11" t="s">
        <v>28</v>
      </c>
      <c r="K11116" s="11" t="s">
        <v>28</v>
      </c>
      <c r="L11116" s="11" t="s">
        <v>28</v>
      </c>
      <c r="M11116" s="11" t="s">
        <v>28</v>
      </c>
      <c r="N11116" s="8">
        <v>41275</v>
      </c>
      <c r="O11116" s="9" t="s">
        <v>52</v>
      </c>
      <c r="P11116" s="12" t="s">
        <v>7022</v>
      </c>
      <c r="Q11116" s="9" t="s">
        <v>75</v>
      </c>
      <c r="R11116" s="14" t="str">
        <f>HYPERLINK("https://my.pitchbook.com?c=234225-73T","View Company Online")</f>
        <v>View Company Online</v>
      </c>
    </row>
    <row r="11117" spans="1:18" hidden="1" x14ac:dyDescent="0.3">
      <c r="A11117" s="15" t="s">
        <v>31317</v>
      </c>
      <c r="B11117" s="15" t="s">
        <v>25042</v>
      </c>
      <c r="C11117" s="18" t="s">
        <v>28</v>
      </c>
      <c r="D11117" s="15" t="s">
        <v>25043</v>
      </c>
      <c r="E11117" s="18" t="s">
        <v>28</v>
      </c>
      <c r="F11117" s="19" t="s">
        <v>28</v>
      </c>
      <c r="G11117" s="19" t="s">
        <v>28</v>
      </c>
      <c r="H11117" s="19" t="s">
        <v>28</v>
      </c>
      <c r="I11117" s="18" t="s">
        <v>28</v>
      </c>
      <c r="J11117" s="18" t="s">
        <v>28</v>
      </c>
      <c r="K11117" s="18" t="s">
        <v>28</v>
      </c>
      <c r="L11117" s="18" t="s">
        <v>28</v>
      </c>
      <c r="M11117" s="18" t="s">
        <v>28</v>
      </c>
      <c r="N11117" s="17">
        <v>41275</v>
      </c>
      <c r="O11117" s="15" t="s">
        <v>52</v>
      </c>
      <c r="P11117" s="16" t="s">
        <v>11539</v>
      </c>
      <c r="Q11117" s="15" t="s">
        <v>75</v>
      </c>
      <c r="R11117" s="13" t="str">
        <f>HYPERLINK("https://my.pitchbook.com?c=279945-91T","View Company Online")</f>
        <v>View Company Online</v>
      </c>
    </row>
    <row r="11118" spans="1:18" hidden="1" x14ac:dyDescent="0.3">
      <c r="A11118" s="9" t="s">
        <v>31318</v>
      </c>
      <c r="B11118" s="9" t="s">
        <v>31319</v>
      </c>
      <c r="C11118" s="11" t="s">
        <v>28</v>
      </c>
      <c r="D11118" s="9" t="s">
        <v>31320</v>
      </c>
      <c r="E11118" s="11" t="s">
        <v>28</v>
      </c>
      <c r="F11118" s="10" t="s">
        <v>28</v>
      </c>
      <c r="G11118" s="10" t="s">
        <v>28</v>
      </c>
      <c r="H11118" s="10" t="s">
        <v>28</v>
      </c>
      <c r="I11118" s="11" t="s">
        <v>28</v>
      </c>
      <c r="J11118" s="11" t="s">
        <v>28</v>
      </c>
      <c r="K11118" s="11" t="s">
        <v>28</v>
      </c>
      <c r="L11118" s="11" t="s">
        <v>28</v>
      </c>
      <c r="M11118" s="11" t="s">
        <v>28</v>
      </c>
      <c r="N11118" s="8">
        <v>41275</v>
      </c>
      <c r="O11118" s="9" t="s">
        <v>93</v>
      </c>
      <c r="P11118" s="12" t="s">
        <v>13100</v>
      </c>
      <c r="Q11118" s="9" t="s">
        <v>169</v>
      </c>
      <c r="R11118" s="14" t="str">
        <f>HYPERLINK("https://my.pitchbook.com?c=108347-32T","View Company Online")</f>
        <v>View Company Online</v>
      </c>
    </row>
    <row r="11119" spans="1:18" hidden="1" x14ac:dyDescent="0.3">
      <c r="A11119" s="15" t="s">
        <v>31321</v>
      </c>
      <c r="B11119" s="15" t="s">
        <v>22322</v>
      </c>
      <c r="C11119" s="18" t="s">
        <v>28</v>
      </c>
      <c r="D11119" s="15" t="s">
        <v>22323</v>
      </c>
      <c r="E11119" s="18" t="s">
        <v>28</v>
      </c>
      <c r="F11119" s="19" t="s">
        <v>28</v>
      </c>
      <c r="G11119" s="19" t="s">
        <v>28</v>
      </c>
      <c r="H11119" s="19" t="s">
        <v>28</v>
      </c>
      <c r="I11119" s="18" t="s">
        <v>28</v>
      </c>
      <c r="J11119" s="18" t="s">
        <v>28</v>
      </c>
      <c r="K11119" s="18" t="s">
        <v>28</v>
      </c>
      <c r="L11119" s="18" t="s">
        <v>28</v>
      </c>
      <c r="M11119" s="18" t="s">
        <v>28</v>
      </c>
      <c r="N11119" s="17">
        <v>41275</v>
      </c>
      <c r="O11119" s="15" t="s">
        <v>52</v>
      </c>
      <c r="P11119" s="16" t="s">
        <v>11539</v>
      </c>
      <c r="Q11119" s="15" t="s">
        <v>404</v>
      </c>
      <c r="R11119" s="13" t="str">
        <f>HYPERLINK("https://my.pitchbook.com?c=279949-06T","View Company Online")</f>
        <v>View Company Online</v>
      </c>
    </row>
    <row r="11120" spans="1:18" hidden="1" x14ac:dyDescent="0.3">
      <c r="A11120" s="9" t="s">
        <v>31322</v>
      </c>
      <c r="B11120" s="9" t="s">
        <v>31323</v>
      </c>
      <c r="C11120" s="11" t="s">
        <v>28</v>
      </c>
      <c r="D11120" s="9" t="s">
        <v>31324</v>
      </c>
      <c r="E11120" s="11" t="s">
        <v>28</v>
      </c>
      <c r="F11120" s="10" t="s">
        <v>28</v>
      </c>
      <c r="G11120" s="10" t="s">
        <v>28</v>
      </c>
      <c r="H11120" s="10" t="s">
        <v>28</v>
      </c>
      <c r="I11120" s="11" t="s">
        <v>28</v>
      </c>
      <c r="J11120" s="11" t="s">
        <v>28</v>
      </c>
      <c r="K11120" s="11" t="s">
        <v>28</v>
      </c>
      <c r="L11120" s="11" t="s">
        <v>28</v>
      </c>
      <c r="M11120" s="11" t="s">
        <v>28</v>
      </c>
      <c r="N11120" s="8">
        <v>41275</v>
      </c>
      <c r="O11120" s="9" t="s">
        <v>30</v>
      </c>
      <c r="P11120" s="12" t="s">
        <v>31325</v>
      </c>
      <c r="Q11120" s="9" t="s">
        <v>7261</v>
      </c>
      <c r="R11120" s="14" t="str">
        <f>HYPERLINK("https://my.pitchbook.com?c=80388-19T","View Company Online")</f>
        <v>View Company Online</v>
      </c>
    </row>
    <row r="11121" spans="1:18" hidden="1" x14ac:dyDescent="0.3">
      <c r="A11121" s="15" t="s">
        <v>31326</v>
      </c>
      <c r="B11121" s="15" t="s">
        <v>31327</v>
      </c>
      <c r="C11121" s="18" t="s">
        <v>28</v>
      </c>
      <c r="D11121" s="15" t="s">
        <v>31328</v>
      </c>
      <c r="E11121" s="18" t="s">
        <v>28</v>
      </c>
      <c r="F11121" s="19" t="s">
        <v>28</v>
      </c>
      <c r="G11121" s="19" t="s">
        <v>28</v>
      </c>
      <c r="H11121" s="19" t="s">
        <v>28</v>
      </c>
      <c r="I11121" s="18" t="s">
        <v>28</v>
      </c>
      <c r="J11121" s="18" t="s">
        <v>28</v>
      </c>
      <c r="K11121" s="18" t="s">
        <v>28</v>
      </c>
      <c r="L11121" s="18" t="s">
        <v>28</v>
      </c>
      <c r="M11121" s="18" t="s">
        <v>28</v>
      </c>
      <c r="N11121" s="17">
        <v>41275</v>
      </c>
      <c r="O11121" s="15" t="s">
        <v>52</v>
      </c>
      <c r="P11121" s="16" t="s">
        <v>9723</v>
      </c>
      <c r="Q11121" s="15" t="s">
        <v>235</v>
      </c>
      <c r="R11121" s="13" t="str">
        <f>HYPERLINK("https://my.pitchbook.com?c=99342-01T","View Company Online")</f>
        <v>View Company Online</v>
      </c>
    </row>
    <row r="11122" spans="1:18" hidden="1" x14ac:dyDescent="0.3">
      <c r="A11122" s="9" t="s">
        <v>31329</v>
      </c>
      <c r="B11122" s="9" t="s">
        <v>31330</v>
      </c>
      <c r="C11122" s="11" t="s">
        <v>28</v>
      </c>
      <c r="D11122" s="9" t="s">
        <v>31331</v>
      </c>
      <c r="E11122" s="11" t="s">
        <v>28</v>
      </c>
      <c r="F11122" s="10" t="s">
        <v>28</v>
      </c>
      <c r="G11122" s="10">
        <v>0.7</v>
      </c>
      <c r="H11122" s="10">
        <v>2</v>
      </c>
      <c r="I11122" s="11" t="s">
        <v>28</v>
      </c>
      <c r="J11122" s="11" t="s">
        <v>28</v>
      </c>
      <c r="K11122" s="11" t="s">
        <v>28</v>
      </c>
      <c r="L11122" s="11" t="s">
        <v>28</v>
      </c>
      <c r="M11122" s="11" t="s">
        <v>28</v>
      </c>
      <c r="N11122" s="8">
        <v>41275</v>
      </c>
      <c r="O11122" s="9" t="s">
        <v>379</v>
      </c>
      <c r="P11122" s="12" t="s">
        <v>31332</v>
      </c>
      <c r="Q11122" s="9" t="s">
        <v>37</v>
      </c>
      <c r="R11122" s="14" t="str">
        <f>HYPERLINK("https://my.pitchbook.com?c=208462-24T","View Company Online")</f>
        <v>View Company Online</v>
      </c>
    </row>
    <row r="11123" spans="1:18" hidden="1" x14ac:dyDescent="0.3">
      <c r="A11123" s="15" t="s">
        <v>31333</v>
      </c>
      <c r="B11123" s="15" t="s">
        <v>24235</v>
      </c>
      <c r="C11123" s="18" t="s">
        <v>28</v>
      </c>
      <c r="D11123" s="15" t="s">
        <v>24236</v>
      </c>
      <c r="E11123" s="18" t="s">
        <v>28</v>
      </c>
      <c r="F11123" s="19" t="s">
        <v>28</v>
      </c>
      <c r="G11123" s="19" t="s">
        <v>28</v>
      </c>
      <c r="H11123" s="19" t="s">
        <v>28</v>
      </c>
      <c r="I11123" s="18" t="s">
        <v>28</v>
      </c>
      <c r="J11123" s="18" t="s">
        <v>28</v>
      </c>
      <c r="K11123" s="18" t="s">
        <v>28</v>
      </c>
      <c r="L11123" s="18" t="s">
        <v>28</v>
      </c>
      <c r="M11123" s="18" t="s">
        <v>28</v>
      </c>
      <c r="N11123" s="17">
        <v>41275</v>
      </c>
      <c r="O11123" s="15" t="s">
        <v>30</v>
      </c>
      <c r="P11123" s="16" t="s">
        <v>28</v>
      </c>
      <c r="Q11123" s="15" t="s">
        <v>69</v>
      </c>
      <c r="R11123" s="13" t="str">
        <f>HYPERLINK("https://my.pitchbook.com?c=94163-50T","View Company Online")</f>
        <v>View Company Online</v>
      </c>
    </row>
    <row r="11124" spans="1:18" hidden="1" x14ac:dyDescent="0.3">
      <c r="A11124" s="9" t="s">
        <v>31334</v>
      </c>
      <c r="B11124" s="9" t="s">
        <v>20542</v>
      </c>
      <c r="C11124" s="11" t="s">
        <v>28</v>
      </c>
      <c r="D11124" s="9" t="s">
        <v>20543</v>
      </c>
      <c r="E11124" s="11" t="s">
        <v>28</v>
      </c>
      <c r="F11124" s="10" t="s">
        <v>28</v>
      </c>
      <c r="G11124" s="10" t="s">
        <v>28</v>
      </c>
      <c r="H11124" s="10" t="s">
        <v>28</v>
      </c>
      <c r="I11124" s="11" t="s">
        <v>28</v>
      </c>
      <c r="J11124" s="11" t="s">
        <v>28</v>
      </c>
      <c r="K11124" s="11" t="s">
        <v>28</v>
      </c>
      <c r="L11124" s="11" t="s">
        <v>28</v>
      </c>
      <c r="M11124" s="11" t="s">
        <v>28</v>
      </c>
      <c r="N11124" s="8">
        <v>41275</v>
      </c>
      <c r="O11124" s="9" t="s">
        <v>73</v>
      </c>
      <c r="P11124" s="12" t="s">
        <v>11495</v>
      </c>
      <c r="Q11124" s="9" t="s">
        <v>696</v>
      </c>
      <c r="R11124" s="14" t="str">
        <f>HYPERLINK("https://my.pitchbook.com?c=276359-77T","View Company Online")</f>
        <v>View Company Online</v>
      </c>
    </row>
    <row r="11125" spans="1:18" hidden="1" x14ac:dyDescent="0.3">
      <c r="A11125" s="15" t="s">
        <v>31335</v>
      </c>
      <c r="B11125" s="15" t="s">
        <v>12845</v>
      </c>
      <c r="C11125" s="18" t="s">
        <v>28</v>
      </c>
      <c r="D11125" s="15" t="s">
        <v>12846</v>
      </c>
      <c r="E11125" s="18" t="s">
        <v>28</v>
      </c>
      <c r="F11125" s="19" t="s">
        <v>28</v>
      </c>
      <c r="G11125" s="19">
        <v>0.01</v>
      </c>
      <c r="H11125" s="19">
        <v>0.05</v>
      </c>
      <c r="I11125" s="18" t="s">
        <v>28</v>
      </c>
      <c r="J11125" s="18" t="s">
        <v>28</v>
      </c>
      <c r="K11125" s="18" t="s">
        <v>28</v>
      </c>
      <c r="L11125" s="18" t="s">
        <v>28</v>
      </c>
      <c r="M11125" s="18" t="s">
        <v>28</v>
      </c>
      <c r="N11125" s="17">
        <v>41275</v>
      </c>
      <c r="O11125" s="15" t="s">
        <v>73</v>
      </c>
      <c r="P11125" s="16" t="s">
        <v>28</v>
      </c>
      <c r="Q11125" s="15" t="s">
        <v>6392</v>
      </c>
      <c r="R11125" s="13" t="str">
        <f>HYPERLINK("https://my.pitchbook.com?c=211098-52T","View Company Online")</f>
        <v>View Company Online</v>
      </c>
    </row>
    <row r="11126" spans="1:18" hidden="1" x14ac:dyDescent="0.3">
      <c r="A11126" s="9" t="s">
        <v>31336</v>
      </c>
      <c r="B11126" s="9" t="s">
        <v>31337</v>
      </c>
      <c r="C11126" s="11" t="s">
        <v>28</v>
      </c>
      <c r="D11126" s="9" t="s">
        <v>31338</v>
      </c>
      <c r="E11126" s="11" t="s">
        <v>28</v>
      </c>
      <c r="F11126" s="10">
        <v>88.71</v>
      </c>
      <c r="G11126" s="10">
        <v>88.71</v>
      </c>
      <c r="H11126" s="10">
        <v>88.71</v>
      </c>
      <c r="I11126" s="11" t="s">
        <v>28</v>
      </c>
      <c r="J11126" s="11" t="s">
        <v>28</v>
      </c>
      <c r="K11126" s="11" t="s">
        <v>28</v>
      </c>
      <c r="L11126" s="11" t="s">
        <v>28</v>
      </c>
      <c r="M11126" s="11" t="s">
        <v>28</v>
      </c>
      <c r="N11126" s="8">
        <v>41275</v>
      </c>
      <c r="O11126" s="9" t="s">
        <v>30</v>
      </c>
      <c r="P11126" s="12" t="s">
        <v>31339</v>
      </c>
      <c r="Q11126" s="9" t="s">
        <v>22648</v>
      </c>
      <c r="R11126" s="14" t="str">
        <f>HYPERLINK("https://my.pitchbook.com?c=84769-48T","View Company Online")</f>
        <v>View Company Online</v>
      </c>
    </row>
    <row r="11127" spans="1:18" hidden="1" x14ac:dyDescent="0.3">
      <c r="A11127" s="15" t="s">
        <v>31340</v>
      </c>
      <c r="B11127" s="15" t="s">
        <v>26122</v>
      </c>
      <c r="C11127" s="18" t="s">
        <v>28</v>
      </c>
      <c r="D11127" s="15" t="s">
        <v>26479</v>
      </c>
      <c r="E11127" s="18" t="s">
        <v>28</v>
      </c>
      <c r="F11127" s="19" t="s">
        <v>28</v>
      </c>
      <c r="G11127" s="19" t="s">
        <v>28</v>
      </c>
      <c r="H11127" s="19" t="s">
        <v>28</v>
      </c>
      <c r="I11127" s="18" t="s">
        <v>28</v>
      </c>
      <c r="J11127" s="18" t="s">
        <v>28</v>
      </c>
      <c r="K11127" s="18" t="s">
        <v>28</v>
      </c>
      <c r="L11127" s="18" t="s">
        <v>28</v>
      </c>
      <c r="M11127" s="18" t="s">
        <v>28</v>
      </c>
      <c r="N11127" s="17">
        <v>41275</v>
      </c>
      <c r="O11127" s="15" t="s">
        <v>58</v>
      </c>
      <c r="P11127" s="16" t="s">
        <v>31341</v>
      </c>
      <c r="Q11127" s="15" t="s">
        <v>240</v>
      </c>
      <c r="R11127" s="13" t="str">
        <f>HYPERLINK("https://my.pitchbook.com?c=66692-44T","View Company Online")</f>
        <v>View Company Online</v>
      </c>
    </row>
    <row r="11128" spans="1:18" hidden="1" x14ac:dyDescent="0.3">
      <c r="A11128" s="9" t="s">
        <v>31342</v>
      </c>
      <c r="B11128" s="9" t="s">
        <v>30800</v>
      </c>
      <c r="C11128" s="11" t="s">
        <v>28</v>
      </c>
      <c r="D11128" s="9" t="s">
        <v>30801</v>
      </c>
      <c r="E11128" s="11" t="s">
        <v>28</v>
      </c>
      <c r="F11128" s="10" t="s">
        <v>28</v>
      </c>
      <c r="G11128" s="10">
        <v>0.05</v>
      </c>
      <c r="H11128" s="10" t="s">
        <v>28</v>
      </c>
      <c r="I11128" s="11" t="s">
        <v>28</v>
      </c>
      <c r="J11128" s="11" t="s">
        <v>28</v>
      </c>
      <c r="K11128" s="11" t="s">
        <v>28</v>
      </c>
      <c r="L11128" s="11" t="s">
        <v>28</v>
      </c>
      <c r="M11128" s="11" t="s">
        <v>28</v>
      </c>
      <c r="N11128" s="8">
        <v>41275</v>
      </c>
      <c r="O11128" s="9" t="s">
        <v>52</v>
      </c>
      <c r="P11128" s="12" t="s">
        <v>31343</v>
      </c>
      <c r="Q11128" s="9" t="s">
        <v>43</v>
      </c>
      <c r="R11128" s="14" t="str">
        <f>HYPERLINK("https://my.pitchbook.com?c=50685-04T","View Company Online")</f>
        <v>View Company Online</v>
      </c>
    </row>
    <row r="11129" spans="1:18" hidden="1" x14ac:dyDescent="0.3">
      <c r="A11129" s="15" t="s">
        <v>31344</v>
      </c>
      <c r="B11129" s="15" t="s">
        <v>23255</v>
      </c>
      <c r="C11129" s="18" t="s">
        <v>28</v>
      </c>
      <c r="D11129" s="15" t="s">
        <v>23256</v>
      </c>
      <c r="E11129" s="18" t="s">
        <v>28</v>
      </c>
      <c r="F11129" s="19" t="s">
        <v>28</v>
      </c>
      <c r="G11129" s="19" t="s">
        <v>28</v>
      </c>
      <c r="H11129" s="19" t="s">
        <v>28</v>
      </c>
      <c r="I11129" s="18" t="s">
        <v>28</v>
      </c>
      <c r="J11129" s="18" t="s">
        <v>28</v>
      </c>
      <c r="K11129" s="18" t="s">
        <v>28</v>
      </c>
      <c r="L11129" s="18" t="s">
        <v>28</v>
      </c>
      <c r="M11129" s="18" t="s">
        <v>28</v>
      </c>
      <c r="N11129" s="17">
        <v>41275</v>
      </c>
      <c r="O11129" s="15" t="s">
        <v>52</v>
      </c>
      <c r="P11129" s="16" t="s">
        <v>11539</v>
      </c>
      <c r="Q11129" s="15" t="s">
        <v>3912</v>
      </c>
      <c r="R11129" s="13" t="str">
        <f>HYPERLINK("https://my.pitchbook.com?c=279917-74T","View Company Online")</f>
        <v>View Company Online</v>
      </c>
    </row>
    <row r="11130" spans="1:18" hidden="1" x14ac:dyDescent="0.3">
      <c r="A11130" s="9" t="s">
        <v>31345</v>
      </c>
      <c r="B11130" s="9" t="s">
        <v>20992</v>
      </c>
      <c r="C11130" s="11" t="s">
        <v>28</v>
      </c>
      <c r="D11130" s="9" t="s">
        <v>20993</v>
      </c>
      <c r="E11130" s="11" t="s">
        <v>28</v>
      </c>
      <c r="F11130" s="10" t="s">
        <v>28</v>
      </c>
      <c r="G11130" s="10" t="s">
        <v>28</v>
      </c>
      <c r="H11130" s="10" t="s">
        <v>28</v>
      </c>
      <c r="I11130" s="11" t="s">
        <v>28</v>
      </c>
      <c r="J11130" s="11" t="s">
        <v>28</v>
      </c>
      <c r="K11130" s="11" t="s">
        <v>28</v>
      </c>
      <c r="L11130" s="11" t="s">
        <v>28</v>
      </c>
      <c r="M11130" s="11" t="s">
        <v>28</v>
      </c>
      <c r="N11130" s="8">
        <v>41275</v>
      </c>
      <c r="O11130" s="9" t="s">
        <v>52</v>
      </c>
      <c r="P11130" s="12" t="s">
        <v>4500</v>
      </c>
      <c r="Q11130" s="9" t="s">
        <v>583</v>
      </c>
      <c r="R11130" s="14" t="str">
        <f>HYPERLINK("https://my.pitchbook.com?c=250259-68T","View Company Online")</f>
        <v>View Company Online</v>
      </c>
    </row>
    <row r="11131" spans="1:18" hidden="1" x14ac:dyDescent="0.3">
      <c r="A11131" s="15" t="s">
        <v>31346</v>
      </c>
      <c r="B11131" s="15" t="s">
        <v>31347</v>
      </c>
      <c r="C11131" s="18" t="s">
        <v>28</v>
      </c>
      <c r="D11131" s="15" t="s">
        <v>31348</v>
      </c>
      <c r="E11131" s="18" t="s">
        <v>28</v>
      </c>
      <c r="F11131" s="19" t="s">
        <v>28</v>
      </c>
      <c r="G11131" s="19" t="s">
        <v>28</v>
      </c>
      <c r="H11131" s="19" t="s">
        <v>28</v>
      </c>
      <c r="I11131" s="18" t="s">
        <v>28</v>
      </c>
      <c r="J11131" s="18" t="s">
        <v>28</v>
      </c>
      <c r="K11131" s="18" t="s">
        <v>28</v>
      </c>
      <c r="L11131" s="18" t="s">
        <v>28</v>
      </c>
      <c r="M11131" s="18" t="s">
        <v>28</v>
      </c>
      <c r="N11131" s="17">
        <v>41275</v>
      </c>
      <c r="O11131" s="15" t="s">
        <v>30</v>
      </c>
      <c r="P11131" s="16" t="s">
        <v>31349</v>
      </c>
      <c r="Q11131" s="15" t="s">
        <v>1007</v>
      </c>
      <c r="R11131" s="13" t="str">
        <f>HYPERLINK("https://my.pitchbook.com?c=233093-71T","View Company Online")</f>
        <v>View Company Online</v>
      </c>
    </row>
    <row r="11132" spans="1:18" hidden="1" x14ac:dyDescent="0.3">
      <c r="A11132" s="9" t="s">
        <v>31350</v>
      </c>
      <c r="B11132" s="9" t="s">
        <v>30565</v>
      </c>
      <c r="C11132" s="11" t="s">
        <v>28</v>
      </c>
      <c r="D11132" s="9" t="s">
        <v>30566</v>
      </c>
      <c r="E11132" s="11" t="s">
        <v>28</v>
      </c>
      <c r="F11132" s="10" t="s">
        <v>28</v>
      </c>
      <c r="G11132" s="10" t="s">
        <v>28</v>
      </c>
      <c r="H11132" s="10" t="s">
        <v>28</v>
      </c>
      <c r="I11132" s="11" t="s">
        <v>28</v>
      </c>
      <c r="J11132" s="11" t="s">
        <v>28</v>
      </c>
      <c r="K11132" s="11" t="s">
        <v>28</v>
      </c>
      <c r="L11132" s="11" t="s">
        <v>28</v>
      </c>
      <c r="M11132" s="11" t="s">
        <v>28</v>
      </c>
      <c r="N11132" s="8">
        <v>41275</v>
      </c>
      <c r="O11132" s="9" t="s">
        <v>52</v>
      </c>
      <c r="P11132" s="12" t="s">
        <v>3521</v>
      </c>
      <c r="Q11132" s="9" t="s">
        <v>404</v>
      </c>
      <c r="R11132" s="14" t="str">
        <f>HYPERLINK("https://my.pitchbook.com?c=132283-63T","View Company Online")</f>
        <v>View Company Online</v>
      </c>
    </row>
    <row r="11133" spans="1:18" hidden="1" x14ac:dyDescent="0.3">
      <c r="A11133" s="15" t="s">
        <v>31351</v>
      </c>
      <c r="B11133" s="15" t="s">
        <v>31352</v>
      </c>
      <c r="C11133" s="18" t="s">
        <v>28</v>
      </c>
      <c r="D11133" s="15" t="s">
        <v>31353</v>
      </c>
      <c r="E11133" s="18" t="s">
        <v>28</v>
      </c>
      <c r="F11133" s="19" t="s">
        <v>28</v>
      </c>
      <c r="G11133" s="19" t="s">
        <v>28</v>
      </c>
      <c r="H11133" s="19" t="s">
        <v>28</v>
      </c>
      <c r="I11133" s="18" t="s">
        <v>28</v>
      </c>
      <c r="J11133" s="18" t="s">
        <v>28</v>
      </c>
      <c r="K11133" s="18">
        <v>10</v>
      </c>
      <c r="L11133" s="18" t="s">
        <v>28</v>
      </c>
      <c r="M11133" s="18" t="s">
        <v>28</v>
      </c>
      <c r="N11133" s="17">
        <v>41275</v>
      </c>
      <c r="O11133" s="15" t="s">
        <v>30</v>
      </c>
      <c r="P11133" s="16" t="s">
        <v>31354</v>
      </c>
      <c r="Q11133" s="15" t="s">
        <v>235</v>
      </c>
      <c r="R11133" s="13" t="str">
        <f>HYPERLINK("https://my.pitchbook.com?c=173970-37T","View Company Online")</f>
        <v>View Company Online</v>
      </c>
    </row>
    <row r="11134" spans="1:18" hidden="1" x14ac:dyDescent="0.3">
      <c r="A11134" s="9" t="s">
        <v>31355</v>
      </c>
      <c r="B11134" s="9" t="s">
        <v>27773</v>
      </c>
      <c r="C11134" s="11" t="s">
        <v>28</v>
      </c>
      <c r="D11134" s="9" t="s">
        <v>27774</v>
      </c>
      <c r="E11134" s="11" t="s">
        <v>28</v>
      </c>
      <c r="F11134" s="10" t="s">
        <v>28</v>
      </c>
      <c r="G11134" s="10" t="s">
        <v>28</v>
      </c>
      <c r="H11134" s="10" t="s">
        <v>28</v>
      </c>
      <c r="I11134" s="11" t="s">
        <v>28</v>
      </c>
      <c r="J11134" s="11" t="s">
        <v>28</v>
      </c>
      <c r="K11134" s="11" t="s">
        <v>28</v>
      </c>
      <c r="L11134" s="11" t="s">
        <v>28</v>
      </c>
      <c r="M11134" s="11" t="s">
        <v>28</v>
      </c>
      <c r="N11134" s="8">
        <v>41275</v>
      </c>
      <c r="O11134" s="9" t="s">
        <v>58</v>
      </c>
      <c r="P11134" s="12" t="s">
        <v>27775</v>
      </c>
      <c r="Q11134" s="9" t="s">
        <v>109</v>
      </c>
      <c r="R11134" s="14" t="str">
        <f>HYPERLINK("https://my.pitchbook.com?c=114192-01T","View Company Online")</f>
        <v>View Company Online</v>
      </c>
    </row>
    <row r="11135" spans="1:18" hidden="1" x14ac:dyDescent="0.3">
      <c r="A11135" s="15" t="s">
        <v>31356</v>
      </c>
      <c r="B11135" s="15" t="s">
        <v>15861</v>
      </c>
      <c r="C11135" s="18" t="s">
        <v>28</v>
      </c>
      <c r="D11135" s="15" t="s">
        <v>15862</v>
      </c>
      <c r="E11135" s="18" t="s">
        <v>28</v>
      </c>
      <c r="F11135" s="19" t="s">
        <v>28</v>
      </c>
      <c r="G11135" s="19" t="s">
        <v>28</v>
      </c>
      <c r="H11135" s="19" t="s">
        <v>28</v>
      </c>
      <c r="I11135" s="18" t="s">
        <v>28</v>
      </c>
      <c r="J11135" s="18" t="s">
        <v>28</v>
      </c>
      <c r="K11135" s="18" t="s">
        <v>28</v>
      </c>
      <c r="L11135" s="18" t="s">
        <v>28</v>
      </c>
      <c r="M11135" s="18" t="s">
        <v>28</v>
      </c>
      <c r="N11135" s="17">
        <v>41275</v>
      </c>
      <c r="O11135" s="15" t="s">
        <v>41</v>
      </c>
      <c r="P11135" s="16" t="s">
        <v>13100</v>
      </c>
      <c r="Q11135" s="15" t="s">
        <v>160</v>
      </c>
      <c r="R11135" s="13" t="str">
        <f>HYPERLINK("https://my.pitchbook.com?c=108321-58T","View Company Online")</f>
        <v>View Company Online</v>
      </c>
    </row>
    <row r="11136" spans="1:18" hidden="1" x14ac:dyDescent="0.3">
      <c r="A11136" s="9" t="s">
        <v>31357</v>
      </c>
      <c r="B11136" s="9" t="s">
        <v>31358</v>
      </c>
      <c r="C11136" s="11" t="s">
        <v>28</v>
      </c>
      <c r="D11136" s="9" t="s">
        <v>31359</v>
      </c>
      <c r="E11136" s="11" t="s">
        <v>28</v>
      </c>
      <c r="F11136" s="10" t="s">
        <v>28</v>
      </c>
      <c r="G11136" s="10">
        <v>0.19</v>
      </c>
      <c r="H11136" s="10" t="s">
        <v>28</v>
      </c>
      <c r="I11136" s="11" t="s">
        <v>28</v>
      </c>
      <c r="J11136" s="11" t="s">
        <v>28</v>
      </c>
      <c r="K11136" s="11" t="s">
        <v>28</v>
      </c>
      <c r="L11136" s="11" t="s">
        <v>28</v>
      </c>
      <c r="M11136" s="11" t="s">
        <v>28</v>
      </c>
      <c r="N11136" s="8">
        <v>41275</v>
      </c>
      <c r="O11136" s="9" t="s">
        <v>52</v>
      </c>
      <c r="P11136" s="12" t="s">
        <v>11539</v>
      </c>
      <c r="Q11136" s="9" t="s">
        <v>583</v>
      </c>
      <c r="R11136" s="14" t="str">
        <f>HYPERLINK("https://my.pitchbook.com?c=65574-55T","View Company Online")</f>
        <v>View Company Online</v>
      </c>
    </row>
    <row r="11137" spans="1:18" hidden="1" x14ac:dyDescent="0.3">
      <c r="A11137" s="15" t="s">
        <v>31360</v>
      </c>
      <c r="B11137" s="15" t="s">
        <v>25437</v>
      </c>
      <c r="C11137" s="18" t="s">
        <v>28</v>
      </c>
      <c r="D11137" s="15" t="s">
        <v>25438</v>
      </c>
      <c r="E11137" s="18" t="s">
        <v>28</v>
      </c>
      <c r="F11137" s="19" t="s">
        <v>28</v>
      </c>
      <c r="G11137" s="19">
        <v>0.05</v>
      </c>
      <c r="H11137" s="19" t="s">
        <v>28</v>
      </c>
      <c r="I11137" s="18" t="s">
        <v>28</v>
      </c>
      <c r="J11137" s="18" t="s">
        <v>28</v>
      </c>
      <c r="K11137" s="18" t="s">
        <v>28</v>
      </c>
      <c r="L11137" s="18" t="s">
        <v>28</v>
      </c>
      <c r="M11137" s="18" t="s">
        <v>28</v>
      </c>
      <c r="N11137" s="17">
        <v>41275</v>
      </c>
      <c r="O11137" s="15" t="s">
        <v>52</v>
      </c>
      <c r="P11137" s="16" t="s">
        <v>11539</v>
      </c>
      <c r="Q11137" s="15" t="s">
        <v>75</v>
      </c>
      <c r="R11137" s="13" t="str">
        <f>HYPERLINK("https://my.pitchbook.com?c=65104-93T","View Company Online")</f>
        <v>View Company Online</v>
      </c>
    </row>
    <row r="11138" spans="1:18" hidden="1" x14ac:dyDescent="0.3">
      <c r="A11138" s="9" t="s">
        <v>31361</v>
      </c>
      <c r="B11138" s="9" t="s">
        <v>25296</v>
      </c>
      <c r="C11138" s="11" t="s">
        <v>28</v>
      </c>
      <c r="D11138" s="9" t="s">
        <v>25297</v>
      </c>
      <c r="E11138" s="11" t="s">
        <v>28</v>
      </c>
      <c r="F11138" s="10" t="s">
        <v>28</v>
      </c>
      <c r="G11138" s="10" t="s">
        <v>28</v>
      </c>
      <c r="H11138" s="10" t="s">
        <v>28</v>
      </c>
      <c r="I11138" s="11" t="s">
        <v>28</v>
      </c>
      <c r="J11138" s="11" t="s">
        <v>28</v>
      </c>
      <c r="K11138" s="11" t="s">
        <v>28</v>
      </c>
      <c r="L11138" s="11" t="s">
        <v>28</v>
      </c>
      <c r="M11138" s="11" t="s">
        <v>28</v>
      </c>
      <c r="N11138" s="8">
        <v>41275</v>
      </c>
      <c r="O11138" s="9" t="s">
        <v>52</v>
      </c>
      <c r="P11138" s="12" t="s">
        <v>1970</v>
      </c>
      <c r="Q11138" s="9" t="s">
        <v>37</v>
      </c>
      <c r="R11138" s="14" t="str">
        <f>HYPERLINK("https://my.pitchbook.com?c=291079-90T","View Company Online")</f>
        <v>View Company Online</v>
      </c>
    </row>
    <row r="11139" spans="1:18" hidden="1" x14ac:dyDescent="0.3">
      <c r="A11139" s="15" t="s">
        <v>31362</v>
      </c>
      <c r="B11139" s="15" t="s">
        <v>17961</v>
      </c>
      <c r="C11139" s="18" t="s">
        <v>28</v>
      </c>
      <c r="D11139" s="15" t="s">
        <v>17962</v>
      </c>
      <c r="E11139" s="18" t="s">
        <v>28</v>
      </c>
      <c r="F11139" s="19" t="s">
        <v>28</v>
      </c>
      <c r="G11139" s="19" t="s">
        <v>28</v>
      </c>
      <c r="H11139" s="19" t="s">
        <v>28</v>
      </c>
      <c r="I11139" s="18" t="s">
        <v>28</v>
      </c>
      <c r="J11139" s="18" t="s">
        <v>28</v>
      </c>
      <c r="K11139" s="18" t="s">
        <v>28</v>
      </c>
      <c r="L11139" s="18" t="s">
        <v>28</v>
      </c>
      <c r="M11139" s="18" t="s">
        <v>28</v>
      </c>
      <c r="N11139" s="17">
        <v>41275</v>
      </c>
      <c r="O11139" s="15" t="s">
        <v>52</v>
      </c>
      <c r="P11139" s="16" t="s">
        <v>9723</v>
      </c>
      <c r="Q11139" s="15" t="s">
        <v>386</v>
      </c>
      <c r="R11139" s="13" t="str">
        <f>HYPERLINK("https://my.pitchbook.com?c=99326-98T","View Company Online")</f>
        <v>View Company Online</v>
      </c>
    </row>
    <row r="11140" spans="1:18" hidden="1" x14ac:dyDescent="0.3">
      <c r="A11140" s="9" t="s">
        <v>31363</v>
      </c>
      <c r="B11140" s="9" t="s">
        <v>13607</v>
      </c>
      <c r="C11140" s="11" t="s">
        <v>28</v>
      </c>
      <c r="D11140" s="9" t="s">
        <v>13608</v>
      </c>
      <c r="E11140" s="11" t="s">
        <v>28</v>
      </c>
      <c r="F11140" s="10" t="s">
        <v>28</v>
      </c>
      <c r="G11140" s="10">
        <v>1.25</v>
      </c>
      <c r="H11140" s="10" t="s">
        <v>28</v>
      </c>
      <c r="I11140" s="11" t="s">
        <v>28</v>
      </c>
      <c r="J11140" s="11" t="s">
        <v>28</v>
      </c>
      <c r="K11140" s="11" t="s">
        <v>28</v>
      </c>
      <c r="L11140" s="11" t="s">
        <v>28</v>
      </c>
      <c r="M11140" s="11" t="s">
        <v>28</v>
      </c>
      <c r="N11140" s="8">
        <v>41275</v>
      </c>
      <c r="O11140" s="9" t="s">
        <v>73</v>
      </c>
      <c r="P11140" s="12" t="s">
        <v>26128</v>
      </c>
      <c r="Q11140" s="9" t="s">
        <v>37</v>
      </c>
      <c r="R11140" s="14" t="str">
        <f>HYPERLINK("https://my.pitchbook.com?c=98099-29T","View Company Online")</f>
        <v>View Company Online</v>
      </c>
    </row>
    <row r="11141" spans="1:18" hidden="1" x14ac:dyDescent="0.3">
      <c r="A11141" s="15" t="s">
        <v>31364</v>
      </c>
      <c r="B11141" s="15" t="s">
        <v>16272</v>
      </c>
      <c r="C11141" s="18" t="s">
        <v>28</v>
      </c>
      <c r="D11141" s="15" t="s">
        <v>16273</v>
      </c>
      <c r="E11141" s="18" t="s">
        <v>28</v>
      </c>
      <c r="F11141" s="19" t="s">
        <v>28</v>
      </c>
      <c r="G11141" s="19">
        <v>1</v>
      </c>
      <c r="H11141" s="19" t="s">
        <v>28</v>
      </c>
      <c r="I11141" s="18" t="s">
        <v>28</v>
      </c>
      <c r="J11141" s="18" t="s">
        <v>28</v>
      </c>
      <c r="K11141" s="18" t="s">
        <v>28</v>
      </c>
      <c r="L11141" s="18" t="s">
        <v>28</v>
      </c>
      <c r="M11141" s="18" t="s">
        <v>28</v>
      </c>
      <c r="N11141" s="17">
        <v>41275</v>
      </c>
      <c r="O11141" s="15" t="s">
        <v>99</v>
      </c>
      <c r="P11141" s="16" t="s">
        <v>31365</v>
      </c>
      <c r="Q11141" s="15" t="s">
        <v>5347</v>
      </c>
      <c r="R11141" s="13" t="str">
        <f>HYPERLINK("https://my.pitchbook.com?c=126648-10T","View Company Online")</f>
        <v>View Company Online</v>
      </c>
    </row>
    <row r="11142" spans="1:18" hidden="1" x14ac:dyDescent="0.3">
      <c r="A11142" s="9" t="s">
        <v>31366</v>
      </c>
      <c r="B11142" s="9" t="s">
        <v>25878</v>
      </c>
      <c r="C11142" s="11" t="s">
        <v>28</v>
      </c>
      <c r="D11142" s="9" t="s">
        <v>25879</v>
      </c>
      <c r="E11142" s="11" t="s">
        <v>28</v>
      </c>
      <c r="F11142" s="10" t="s">
        <v>28</v>
      </c>
      <c r="G11142" s="10" t="s">
        <v>28</v>
      </c>
      <c r="H11142" s="10" t="s">
        <v>28</v>
      </c>
      <c r="I11142" s="11" t="s">
        <v>28</v>
      </c>
      <c r="J11142" s="11" t="s">
        <v>28</v>
      </c>
      <c r="K11142" s="11" t="s">
        <v>28</v>
      </c>
      <c r="L11142" s="11" t="s">
        <v>28</v>
      </c>
      <c r="M11142" s="11" t="s">
        <v>28</v>
      </c>
      <c r="N11142" s="8">
        <v>41275</v>
      </c>
      <c r="O11142" s="9" t="s">
        <v>52</v>
      </c>
      <c r="P11142" s="12" t="s">
        <v>7022</v>
      </c>
      <c r="Q11142" s="9" t="s">
        <v>386</v>
      </c>
      <c r="R11142" s="14" t="str">
        <f>HYPERLINK("https://my.pitchbook.com?c=37302-58T","View Company Online")</f>
        <v>View Company Online</v>
      </c>
    </row>
    <row r="11143" spans="1:18" hidden="1" x14ac:dyDescent="0.3">
      <c r="A11143" s="15" t="s">
        <v>31367</v>
      </c>
      <c r="B11143" s="15" t="s">
        <v>23907</v>
      </c>
      <c r="C11143" s="18" t="s">
        <v>28</v>
      </c>
      <c r="D11143" s="15" t="s">
        <v>23908</v>
      </c>
      <c r="E11143" s="18" t="s">
        <v>28</v>
      </c>
      <c r="F11143" s="19" t="s">
        <v>28</v>
      </c>
      <c r="G11143" s="19" t="s">
        <v>28</v>
      </c>
      <c r="H11143" s="19" t="s">
        <v>28</v>
      </c>
      <c r="I11143" s="18" t="s">
        <v>28</v>
      </c>
      <c r="J11143" s="18" t="s">
        <v>28</v>
      </c>
      <c r="K11143" s="18" t="s">
        <v>28</v>
      </c>
      <c r="L11143" s="18" t="s">
        <v>28</v>
      </c>
      <c r="M11143" s="18" t="s">
        <v>28</v>
      </c>
      <c r="N11143" s="17">
        <v>41275</v>
      </c>
      <c r="O11143" s="15" t="s">
        <v>93</v>
      </c>
      <c r="P11143" s="16" t="s">
        <v>5882</v>
      </c>
      <c r="Q11143" s="15" t="s">
        <v>136</v>
      </c>
      <c r="R11143" s="13" t="str">
        <f>HYPERLINK("https://my.pitchbook.com?c=223858-90T","View Company Online")</f>
        <v>View Company Online</v>
      </c>
    </row>
    <row r="11144" spans="1:18" hidden="1" x14ac:dyDescent="0.3">
      <c r="A11144" s="9" t="s">
        <v>31368</v>
      </c>
      <c r="B11144" s="9" t="s">
        <v>31369</v>
      </c>
      <c r="C11144" s="11" t="s">
        <v>28</v>
      </c>
      <c r="D11144" s="9" t="s">
        <v>31370</v>
      </c>
      <c r="E11144" s="11" t="s">
        <v>28</v>
      </c>
      <c r="F11144" s="10" t="s">
        <v>28</v>
      </c>
      <c r="G11144" s="10" t="s">
        <v>28</v>
      </c>
      <c r="H11144" s="10" t="s">
        <v>28</v>
      </c>
      <c r="I11144" s="11" t="s">
        <v>28</v>
      </c>
      <c r="J11144" s="11" t="s">
        <v>28</v>
      </c>
      <c r="K11144" s="11" t="s">
        <v>28</v>
      </c>
      <c r="L11144" s="11" t="s">
        <v>28</v>
      </c>
      <c r="M11144" s="11" t="s">
        <v>28</v>
      </c>
      <c r="N11144" s="8">
        <v>41275</v>
      </c>
      <c r="O11144" s="9" t="s">
        <v>1285</v>
      </c>
      <c r="P11144" s="12" t="s">
        <v>1533</v>
      </c>
      <c r="Q11144" s="9" t="s">
        <v>5110</v>
      </c>
      <c r="R11144" s="14" t="str">
        <f>HYPERLINK("https://my.pitchbook.com?c=96110-20T","View Company Online")</f>
        <v>View Company Online</v>
      </c>
    </row>
    <row r="11145" spans="1:18" hidden="1" x14ac:dyDescent="0.3">
      <c r="A11145" s="15" t="s">
        <v>31371</v>
      </c>
      <c r="B11145" s="15" t="s">
        <v>12848</v>
      </c>
      <c r="C11145" s="18" t="s">
        <v>28</v>
      </c>
      <c r="D11145" s="15" t="s">
        <v>12849</v>
      </c>
      <c r="E11145" s="18" t="s">
        <v>28</v>
      </c>
      <c r="F11145" s="19" t="s">
        <v>28</v>
      </c>
      <c r="G11145" s="19" t="s">
        <v>28</v>
      </c>
      <c r="H11145" s="19" t="s">
        <v>28</v>
      </c>
      <c r="I11145" s="18" t="s">
        <v>28</v>
      </c>
      <c r="J11145" s="18" t="s">
        <v>28</v>
      </c>
      <c r="K11145" s="18" t="s">
        <v>28</v>
      </c>
      <c r="L11145" s="18" t="s">
        <v>28</v>
      </c>
      <c r="M11145" s="18" t="s">
        <v>28</v>
      </c>
      <c r="N11145" s="17">
        <v>41275</v>
      </c>
      <c r="O11145" s="15" t="s">
        <v>52</v>
      </c>
      <c r="P11145" s="16" t="s">
        <v>11539</v>
      </c>
      <c r="Q11145" s="15" t="s">
        <v>75</v>
      </c>
      <c r="R11145" s="13" t="str">
        <f>HYPERLINK("https://my.pitchbook.com?c=65111-86T","View Company Online")</f>
        <v>View Company Online</v>
      </c>
    </row>
    <row r="11146" spans="1:18" hidden="1" x14ac:dyDescent="0.3">
      <c r="A11146" s="9" t="s">
        <v>31372</v>
      </c>
      <c r="B11146" s="9" t="s">
        <v>12848</v>
      </c>
      <c r="C11146" s="11" t="s">
        <v>28</v>
      </c>
      <c r="D11146" s="9" t="s">
        <v>12849</v>
      </c>
      <c r="E11146" s="11" t="s">
        <v>28</v>
      </c>
      <c r="F11146" s="10" t="s">
        <v>28</v>
      </c>
      <c r="G11146" s="10" t="s">
        <v>28</v>
      </c>
      <c r="H11146" s="10" t="s">
        <v>28</v>
      </c>
      <c r="I11146" s="11" t="s">
        <v>28</v>
      </c>
      <c r="J11146" s="11" t="s">
        <v>28</v>
      </c>
      <c r="K11146" s="11" t="s">
        <v>28</v>
      </c>
      <c r="L11146" s="11" t="s">
        <v>28</v>
      </c>
      <c r="M11146" s="11" t="s">
        <v>28</v>
      </c>
      <c r="N11146" s="8">
        <v>41275</v>
      </c>
      <c r="O11146" s="9" t="s">
        <v>30</v>
      </c>
      <c r="P11146" s="12" t="s">
        <v>31373</v>
      </c>
      <c r="Q11146" s="9" t="s">
        <v>75</v>
      </c>
      <c r="R11146" s="14" t="str">
        <f>HYPERLINK("https://my.pitchbook.com?c=91766-08T","View Company Online")</f>
        <v>View Company Online</v>
      </c>
    </row>
    <row r="11147" spans="1:18" hidden="1" x14ac:dyDescent="0.3">
      <c r="A11147" s="15" t="s">
        <v>31374</v>
      </c>
      <c r="B11147" s="15" t="s">
        <v>17313</v>
      </c>
      <c r="C11147" s="18" t="s">
        <v>28</v>
      </c>
      <c r="D11147" s="15" t="s">
        <v>17314</v>
      </c>
      <c r="E11147" s="18" t="s">
        <v>28</v>
      </c>
      <c r="F11147" s="19" t="s">
        <v>28</v>
      </c>
      <c r="G11147" s="19" t="s">
        <v>28</v>
      </c>
      <c r="H11147" s="19" t="s">
        <v>28</v>
      </c>
      <c r="I11147" s="18" t="s">
        <v>28</v>
      </c>
      <c r="J11147" s="18" t="s">
        <v>28</v>
      </c>
      <c r="K11147" s="18" t="s">
        <v>28</v>
      </c>
      <c r="L11147" s="18" t="s">
        <v>28</v>
      </c>
      <c r="M11147" s="18" t="s">
        <v>28</v>
      </c>
      <c r="N11147" s="17">
        <v>41275</v>
      </c>
      <c r="O11147" s="15" t="s">
        <v>52</v>
      </c>
      <c r="P11147" s="16" t="s">
        <v>9723</v>
      </c>
      <c r="Q11147" s="15" t="s">
        <v>75</v>
      </c>
      <c r="R11147" s="13" t="str">
        <f>HYPERLINK("https://my.pitchbook.com?c=99363-25T","View Company Online")</f>
        <v>View Company Online</v>
      </c>
    </row>
    <row r="11148" spans="1:18" hidden="1" x14ac:dyDescent="0.3">
      <c r="A11148" s="9" t="s">
        <v>31375</v>
      </c>
      <c r="B11148" s="9" t="s">
        <v>31376</v>
      </c>
      <c r="C11148" s="11" t="s">
        <v>28</v>
      </c>
      <c r="D11148" s="9" t="s">
        <v>31377</v>
      </c>
      <c r="E11148" s="11" t="s">
        <v>28</v>
      </c>
      <c r="F11148" s="10" t="s">
        <v>28</v>
      </c>
      <c r="G11148" s="10">
        <v>0.02</v>
      </c>
      <c r="H11148" s="10" t="s">
        <v>28</v>
      </c>
      <c r="I11148" s="11" t="s">
        <v>28</v>
      </c>
      <c r="J11148" s="11" t="s">
        <v>28</v>
      </c>
      <c r="K11148" s="11" t="s">
        <v>28</v>
      </c>
      <c r="L11148" s="11" t="s">
        <v>28</v>
      </c>
      <c r="M11148" s="11" t="s">
        <v>28</v>
      </c>
      <c r="N11148" s="8">
        <v>41275</v>
      </c>
      <c r="O11148" s="9" t="s">
        <v>52</v>
      </c>
      <c r="P11148" s="12" t="s">
        <v>11539</v>
      </c>
      <c r="Q11148" s="9" t="s">
        <v>249</v>
      </c>
      <c r="R11148" s="14" t="str">
        <f>HYPERLINK("https://my.pitchbook.com?c=65187-01T","View Company Online")</f>
        <v>View Company Online</v>
      </c>
    </row>
    <row r="11149" spans="1:18" hidden="1" x14ac:dyDescent="0.3">
      <c r="A11149" s="15" t="s">
        <v>31378</v>
      </c>
      <c r="B11149" s="15" t="s">
        <v>31379</v>
      </c>
      <c r="C11149" s="18" t="s">
        <v>28</v>
      </c>
      <c r="D11149" s="15" t="s">
        <v>31380</v>
      </c>
      <c r="E11149" s="18" t="s">
        <v>28</v>
      </c>
      <c r="F11149" s="19" t="s">
        <v>28</v>
      </c>
      <c r="G11149" s="19" t="s">
        <v>28</v>
      </c>
      <c r="H11149" s="19" t="s">
        <v>28</v>
      </c>
      <c r="I11149" s="18" t="s">
        <v>28</v>
      </c>
      <c r="J11149" s="18" t="s">
        <v>28</v>
      </c>
      <c r="K11149" s="18" t="s">
        <v>28</v>
      </c>
      <c r="L11149" s="18" t="s">
        <v>28</v>
      </c>
      <c r="M11149" s="18" t="s">
        <v>28</v>
      </c>
      <c r="N11149" s="17">
        <v>41275</v>
      </c>
      <c r="O11149" s="15" t="s">
        <v>52</v>
      </c>
      <c r="P11149" s="16" t="s">
        <v>11539</v>
      </c>
      <c r="Q11149" s="15" t="s">
        <v>855</v>
      </c>
      <c r="R11149" s="13" t="str">
        <f>HYPERLINK("https://my.pitchbook.com?c=65183-23T","View Company Online")</f>
        <v>View Company Online</v>
      </c>
    </row>
    <row r="11150" spans="1:18" hidden="1" x14ac:dyDescent="0.3">
      <c r="A11150" s="9" t="s">
        <v>31381</v>
      </c>
      <c r="B11150" s="9" t="s">
        <v>31382</v>
      </c>
      <c r="C11150" s="11" t="s">
        <v>28</v>
      </c>
      <c r="D11150" s="9" t="s">
        <v>31383</v>
      </c>
      <c r="E11150" s="11" t="s">
        <v>28</v>
      </c>
      <c r="F11150" s="10" t="s">
        <v>28</v>
      </c>
      <c r="G11150" s="10">
        <v>0.1</v>
      </c>
      <c r="H11150" s="10">
        <v>0.8</v>
      </c>
      <c r="I11150" s="11" t="s">
        <v>28</v>
      </c>
      <c r="J11150" s="11" t="s">
        <v>28</v>
      </c>
      <c r="K11150" s="11" t="s">
        <v>28</v>
      </c>
      <c r="L11150" s="11" t="s">
        <v>28</v>
      </c>
      <c r="M11150" s="11" t="s">
        <v>28</v>
      </c>
      <c r="N11150" s="8">
        <v>41275</v>
      </c>
      <c r="O11150" s="9" t="s">
        <v>52</v>
      </c>
      <c r="P11150" s="12" t="s">
        <v>11539</v>
      </c>
      <c r="Q11150" s="9" t="s">
        <v>43</v>
      </c>
      <c r="R11150" s="14" t="str">
        <f>HYPERLINK("https://my.pitchbook.com?c=65104-12T","View Company Online")</f>
        <v>View Company Online</v>
      </c>
    </row>
    <row r="11151" spans="1:18" hidden="1" x14ac:dyDescent="0.3">
      <c r="A11151" s="15" t="s">
        <v>31384</v>
      </c>
      <c r="B11151" s="15" t="s">
        <v>31385</v>
      </c>
      <c r="C11151" s="18" t="s">
        <v>28</v>
      </c>
      <c r="D11151" s="15" t="s">
        <v>31386</v>
      </c>
      <c r="E11151" s="18" t="s">
        <v>28</v>
      </c>
      <c r="F11151" s="19" t="s">
        <v>28</v>
      </c>
      <c r="G11151" s="19">
        <v>0.4</v>
      </c>
      <c r="H11151" s="19" t="s">
        <v>28</v>
      </c>
      <c r="I11151" s="18" t="s">
        <v>28</v>
      </c>
      <c r="J11151" s="18" t="s">
        <v>28</v>
      </c>
      <c r="K11151" s="18" t="s">
        <v>28</v>
      </c>
      <c r="L11151" s="18" t="s">
        <v>28</v>
      </c>
      <c r="M11151" s="18" t="s">
        <v>28</v>
      </c>
      <c r="N11151" s="17">
        <v>41275</v>
      </c>
      <c r="O11151" s="15" t="s">
        <v>99</v>
      </c>
      <c r="P11151" s="16" t="s">
        <v>31387</v>
      </c>
      <c r="Q11151" s="15" t="s">
        <v>75</v>
      </c>
      <c r="R11151" s="13" t="str">
        <f>HYPERLINK("https://my.pitchbook.com?c=55993-15T","View Company Online")</f>
        <v>View Company Online</v>
      </c>
    </row>
    <row r="11152" spans="1:18" hidden="1" x14ac:dyDescent="0.3">
      <c r="A11152" s="9" t="s">
        <v>31388</v>
      </c>
      <c r="B11152" s="9" t="s">
        <v>28554</v>
      </c>
      <c r="C11152" s="11" t="s">
        <v>28</v>
      </c>
      <c r="D11152" s="9" t="s">
        <v>28555</v>
      </c>
      <c r="E11152" s="11" t="s">
        <v>28</v>
      </c>
      <c r="F11152" s="10" t="s">
        <v>28</v>
      </c>
      <c r="G11152" s="10">
        <v>0.05</v>
      </c>
      <c r="H11152" s="10">
        <v>0.38</v>
      </c>
      <c r="I11152" s="11" t="s">
        <v>28</v>
      </c>
      <c r="J11152" s="11" t="s">
        <v>28</v>
      </c>
      <c r="K11152" s="11" t="s">
        <v>28</v>
      </c>
      <c r="L11152" s="11" t="s">
        <v>28</v>
      </c>
      <c r="M11152" s="11" t="s">
        <v>28</v>
      </c>
      <c r="N11152" s="8">
        <v>41275</v>
      </c>
      <c r="O11152" s="9" t="s">
        <v>52</v>
      </c>
      <c r="P11152" s="12" t="s">
        <v>11539</v>
      </c>
      <c r="Q11152" s="9" t="s">
        <v>95</v>
      </c>
      <c r="R11152" s="14" t="str">
        <f>HYPERLINK("https://my.pitchbook.com?c=65081-89T","View Company Online")</f>
        <v>View Company Online</v>
      </c>
    </row>
    <row r="11153" spans="1:18" hidden="1" x14ac:dyDescent="0.3">
      <c r="A11153" s="15" t="s">
        <v>31389</v>
      </c>
      <c r="B11153" s="15" t="s">
        <v>28554</v>
      </c>
      <c r="C11153" s="18" t="s">
        <v>28</v>
      </c>
      <c r="D11153" s="15" t="s">
        <v>28555</v>
      </c>
      <c r="E11153" s="18" t="s">
        <v>28</v>
      </c>
      <c r="F11153" s="19" t="s">
        <v>28</v>
      </c>
      <c r="G11153" s="19" t="s">
        <v>28</v>
      </c>
      <c r="H11153" s="19" t="s">
        <v>28</v>
      </c>
      <c r="I11153" s="18" t="s">
        <v>28</v>
      </c>
      <c r="J11153" s="18" t="s">
        <v>28</v>
      </c>
      <c r="K11153" s="18" t="s">
        <v>28</v>
      </c>
      <c r="L11153" s="18" t="s">
        <v>28</v>
      </c>
      <c r="M11153" s="18" t="s">
        <v>28</v>
      </c>
      <c r="N11153" s="17">
        <v>41275</v>
      </c>
      <c r="O11153" s="15" t="s">
        <v>52</v>
      </c>
      <c r="P11153" s="16" t="s">
        <v>7022</v>
      </c>
      <c r="Q11153" s="15" t="s">
        <v>95</v>
      </c>
      <c r="R11153" s="13" t="str">
        <f>HYPERLINK("https://my.pitchbook.com?c=104373-01T","View Company Online")</f>
        <v>View Company Online</v>
      </c>
    </row>
    <row r="11154" spans="1:18" hidden="1" x14ac:dyDescent="0.3">
      <c r="A11154" s="9" t="s">
        <v>31390</v>
      </c>
      <c r="B11154" s="9" t="s">
        <v>10482</v>
      </c>
      <c r="C11154" s="11" t="s">
        <v>28</v>
      </c>
      <c r="D11154" s="9" t="s">
        <v>10483</v>
      </c>
      <c r="E11154" s="11" t="s">
        <v>28</v>
      </c>
      <c r="F11154" s="10" t="s">
        <v>28</v>
      </c>
      <c r="G11154" s="10" t="s">
        <v>28</v>
      </c>
      <c r="H11154" s="10" t="s">
        <v>28</v>
      </c>
      <c r="I11154" s="11" t="s">
        <v>28</v>
      </c>
      <c r="J11154" s="11" t="s">
        <v>28</v>
      </c>
      <c r="K11154" s="11" t="s">
        <v>28</v>
      </c>
      <c r="L11154" s="11" t="s">
        <v>28</v>
      </c>
      <c r="M11154" s="11" t="s">
        <v>28</v>
      </c>
      <c r="N11154" s="8">
        <v>41275</v>
      </c>
      <c r="O11154" s="9" t="s">
        <v>73</v>
      </c>
      <c r="P11154" s="12" t="s">
        <v>31391</v>
      </c>
      <c r="Q11154" s="9" t="s">
        <v>37</v>
      </c>
      <c r="R11154" s="14" t="str">
        <f>HYPERLINK("https://my.pitchbook.com?c=126761-86T","View Company Online")</f>
        <v>View Company Online</v>
      </c>
    </row>
    <row r="11155" spans="1:18" hidden="1" x14ac:dyDescent="0.3">
      <c r="A11155" s="15" t="s">
        <v>31392</v>
      </c>
      <c r="B11155" s="15" t="s">
        <v>25059</v>
      </c>
      <c r="C11155" s="18" t="s">
        <v>28</v>
      </c>
      <c r="D11155" s="15" t="s">
        <v>25060</v>
      </c>
      <c r="E11155" s="18" t="s">
        <v>28</v>
      </c>
      <c r="F11155" s="19" t="s">
        <v>28</v>
      </c>
      <c r="G11155" s="19" t="s">
        <v>28</v>
      </c>
      <c r="H11155" s="19" t="s">
        <v>28</v>
      </c>
      <c r="I11155" s="18" t="s">
        <v>28</v>
      </c>
      <c r="J11155" s="18" t="s">
        <v>28</v>
      </c>
      <c r="K11155" s="18" t="s">
        <v>28</v>
      </c>
      <c r="L11155" s="18" t="s">
        <v>28</v>
      </c>
      <c r="M11155" s="18" t="s">
        <v>28</v>
      </c>
      <c r="N11155" s="17">
        <v>41275</v>
      </c>
      <c r="O11155" s="15" t="s">
        <v>30</v>
      </c>
      <c r="P11155" s="16" t="s">
        <v>31393</v>
      </c>
      <c r="Q11155" s="15" t="s">
        <v>959</v>
      </c>
      <c r="R11155" s="13" t="str">
        <f>HYPERLINK("https://my.pitchbook.com?c=176626-99T","View Company Online")</f>
        <v>View Company Online</v>
      </c>
    </row>
    <row r="11156" spans="1:18" hidden="1" x14ac:dyDescent="0.3">
      <c r="A11156" s="9" t="s">
        <v>31394</v>
      </c>
      <c r="B11156" s="9" t="s">
        <v>31395</v>
      </c>
      <c r="C11156" s="11" t="s">
        <v>28</v>
      </c>
      <c r="D11156" s="9" t="s">
        <v>31396</v>
      </c>
      <c r="E11156" s="11" t="s">
        <v>28</v>
      </c>
      <c r="F11156" s="10" t="s">
        <v>28</v>
      </c>
      <c r="G11156" s="10" t="s">
        <v>28</v>
      </c>
      <c r="H11156" s="10" t="s">
        <v>28</v>
      </c>
      <c r="I11156" s="11" t="s">
        <v>28</v>
      </c>
      <c r="J11156" s="11" t="s">
        <v>28</v>
      </c>
      <c r="K11156" s="11" t="s">
        <v>28</v>
      </c>
      <c r="L11156" s="11" t="s">
        <v>28</v>
      </c>
      <c r="M11156" s="11" t="s">
        <v>28</v>
      </c>
      <c r="N11156" s="8">
        <v>41275</v>
      </c>
      <c r="O11156" s="9" t="s">
        <v>73</v>
      </c>
      <c r="P11156" s="12" t="s">
        <v>31397</v>
      </c>
      <c r="Q11156" s="9" t="s">
        <v>386</v>
      </c>
      <c r="R11156" s="14" t="str">
        <f>HYPERLINK("https://my.pitchbook.com?c=62395-03T","View Company Online")</f>
        <v>View Company Online</v>
      </c>
    </row>
    <row r="11157" spans="1:18" hidden="1" x14ac:dyDescent="0.3">
      <c r="A11157" s="15" t="s">
        <v>31398</v>
      </c>
      <c r="B11157" s="15" t="s">
        <v>26943</v>
      </c>
      <c r="C11157" s="18" t="s">
        <v>28</v>
      </c>
      <c r="D11157" s="15" t="s">
        <v>26944</v>
      </c>
      <c r="E11157" s="18" t="s">
        <v>28</v>
      </c>
      <c r="F11157" s="19" t="s">
        <v>28</v>
      </c>
      <c r="G11157" s="19" t="s">
        <v>28</v>
      </c>
      <c r="H11157" s="19" t="s">
        <v>28</v>
      </c>
      <c r="I11157" s="18" t="s">
        <v>28</v>
      </c>
      <c r="J11157" s="18" t="s">
        <v>28</v>
      </c>
      <c r="K11157" s="18" t="s">
        <v>28</v>
      </c>
      <c r="L11157" s="18" t="s">
        <v>28</v>
      </c>
      <c r="M11157" s="18" t="s">
        <v>28</v>
      </c>
      <c r="N11157" s="17">
        <v>41275</v>
      </c>
      <c r="O11157" s="15" t="s">
        <v>47</v>
      </c>
      <c r="P11157" s="16" t="s">
        <v>29712</v>
      </c>
      <c r="Q11157" s="15" t="s">
        <v>362</v>
      </c>
      <c r="R11157" s="13" t="str">
        <f>HYPERLINK("https://my.pitchbook.com?c=98241-85T","View Company Online")</f>
        <v>View Company Online</v>
      </c>
    </row>
    <row r="11158" spans="1:18" hidden="1" x14ac:dyDescent="0.3">
      <c r="A11158" s="9" t="s">
        <v>31399</v>
      </c>
      <c r="B11158" s="9" t="s">
        <v>31400</v>
      </c>
      <c r="C11158" s="11" t="s">
        <v>28</v>
      </c>
      <c r="D11158" s="9" t="s">
        <v>31401</v>
      </c>
      <c r="E11158" s="11" t="s">
        <v>28</v>
      </c>
      <c r="F11158" s="10" t="s">
        <v>28</v>
      </c>
      <c r="G11158" s="10" t="s">
        <v>28</v>
      </c>
      <c r="H11158" s="10" t="s">
        <v>28</v>
      </c>
      <c r="I11158" s="11" t="s">
        <v>28</v>
      </c>
      <c r="J11158" s="11" t="s">
        <v>28</v>
      </c>
      <c r="K11158" s="11" t="s">
        <v>28</v>
      </c>
      <c r="L11158" s="11" t="s">
        <v>28</v>
      </c>
      <c r="M11158" s="11" t="s">
        <v>28</v>
      </c>
      <c r="N11158" s="8">
        <v>41275</v>
      </c>
      <c r="O11158" s="9" t="s">
        <v>41</v>
      </c>
      <c r="P11158" s="12" t="s">
        <v>31402</v>
      </c>
      <c r="Q11158" s="9" t="s">
        <v>75</v>
      </c>
      <c r="R11158" s="14" t="str">
        <f>HYPERLINK("https://my.pitchbook.com?c=174330-19T","View Company Online")</f>
        <v>View Company Online</v>
      </c>
    </row>
    <row r="11159" spans="1:18" hidden="1" x14ac:dyDescent="0.3">
      <c r="A11159" s="15" t="s">
        <v>31403</v>
      </c>
      <c r="B11159" s="15" t="s">
        <v>26370</v>
      </c>
      <c r="C11159" s="18" t="s">
        <v>28</v>
      </c>
      <c r="D11159" s="15" t="s">
        <v>26371</v>
      </c>
      <c r="E11159" s="18" t="s">
        <v>28</v>
      </c>
      <c r="F11159" s="19" t="s">
        <v>28</v>
      </c>
      <c r="G11159" s="19">
        <v>0.19</v>
      </c>
      <c r="H11159" s="19" t="s">
        <v>28</v>
      </c>
      <c r="I11159" s="18" t="s">
        <v>28</v>
      </c>
      <c r="J11159" s="18" t="s">
        <v>28</v>
      </c>
      <c r="K11159" s="18" t="s">
        <v>28</v>
      </c>
      <c r="L11159" s="18" t="s">
        <v>28</v>
      </c>
      <c r="M11159" s="18" t="s">
        <v>28</v>
      </c>
      <c r="N11159" s="17">
        <v>41275</v>
      </c>
      <c r="O11159" s="15" t="s">
        <v>47</v>
      </c>
      <c r="P11159" s="16" t="s">
        <v>31404</v>
      </c>
      <c r="Q11159" s="15" t="s">
        <v>85</v>
      </c>
      <c r="R11159" s="13" t="str">
        <f>HYPERLINK("https://my.pitchbook.com?c=134904-07T","View Company Online")</f>
        <v>View Company Online</v>
      </c>
    </row>
    <row r="11160" spans="1:18" hidden="1" x14ac:dyDescent="0.3">
      <c r="A11160" s="9" t="s">
        <v>31405</v>
      </c>
      <c r="B11160" s="9" t="s">
        <v>27173</v>
      </c>
      <c r="C11160" s="11" t="s">
        <v>28</v>
      </c>
      <c r="D11160" s="9" t="s">
        <v>27174</v>
      </c>
      <c r="E11160" s="11" t="s">
        <v>28</v>
      </c>
      <c r="F11160" s="10" t="s">
        <v>28</v>
      </c>
      <c r="G11160" s="10">
        <v>0.15</v>
      </c>
      <c r="H11160" s="10" t="s">
        <v>28</v>
      </c>
      <c r="I11160" s="11" t="s">
        <v>28</v>
      </c>
      <c r="J11160" s="11" t="s">
        <v>28</v>
      </c>
      <c r="K11160" s="11" t="s">
        <v>28</v>
      </c>
      <c r="L11160" s="11" t="s">
        <v>28</v>
      </c>
      <c r="M11160" s="11" t="s">
        <v>28</v>
      </c>
      <c r="N11160" s="8">
        <v>41275</v>
      </c>
      <c r="O11160" s="9" t="s">
        <v>99</v>
      </c>
      <c r="P11160" s="12" t="s">
        <v>31406</v>
      </c>
      <c r="Q11160" s="9" t="s">
        <v>1191</v>
      </c>
      <c r="R11160" s="14" t="str">
        <f>HYPERLINK("https://my.pitchbook.com?c=25992-28T","View Company Online")</f>
        <v>View Company Online</v>
      </c>
    </row>
    <row r="11161" spans="1:18" hidden="1" x14ac:dyDescent="0.3">
      <c r="A11161" s="15" t="s">
        <v>31407</v>
      </c>
      <c r="B11161" s="15" t="s">
        <v>31408</v>
      </c>
      <c r="C11161" s="18" t="s">
        <v>28</v>
      </c>
      <c r="D11161" s="15" t="s">
        <v>31409</v>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v>28</v>
      </c>
      <c r="Q11161" s="15" t="s">
        <v>280</v>
      </c>
      <c r="R11161" s="13" t="str">
        <f>HYPERLINK("https://my.pitchbook.com?c=122818-06T","View Company Online")</f>
        <v>View Company Online</v>
      </c>
    </row>
    <row r="11162" spans="1:18" hidden="1" x14ac:dyDescent="0.3">
      <c r="A11162" s="9" t="s">
        <v>31410</v>
      </c>
      <c r="B11162" s="9" t="s">
        <v>24997</v>
      </c>
      <c r="C11162" s="11" t="s">
        <v>28</v>
      </c>
      <c r="D11162" s="9" t="s">
        <v>24998</v>
      </c>
      <c r="E11162" s="11" t="s">
        <v>28</v>
      </c>
      <c r="F11162" s="10" t="s">
        <v>28</v>
      </c>
      <c r="G11162" s="10" t="s">
        <v>28</v>
      </c>
      <c r="H11162" s="10" t="s">
        <v>28</v>
      </c>
      <c r="I11162" s="11" t="s">
        <v>28</v>
      </c>
      <c r="J11162" s="11" t="s">
        <v>28</v>
      </c>
      <c r="K11162" s="11" t="s">
        <v>28</v>
      </c>
      <c r="L11162" s="11" t="s">
        <v>28</v>
      </c>
      <c r="M11162" s="11" t="s">
        <v>28</v>
      </c>
      <c r="N11162" s="8">
        <v>41275</v>
      </c>
      <c r="O11162" s="9" t="s">
        <v>73</v>
      </c>
      <c r="P11162" s="12" t="s">
        <v>11495</v>
      </c>
      <c r="Q11162" s="9" t="s">
        <v>37</v>
      </c>
      <c r="R11162" s="14" t="str">
        <f>HYPERLINK("https://my.pitchbook.com?c=276362-11T","View Company Online")</f>
        <v>View Company Online</v>
      </c>
    </row>
    <row r="11163" spans="1:18" hidden="1" x14ac:dyDescent="0.3">
      <c r="A11163" s="15" t="s">
        <v>31411</v>
      </c>
      <c r="B11163" s="15" t="s">
        <v>4747</v>
      </c>
      <c r="C11163" s="18" t="s">
        <v>28</v>
      </c>
      <c r="D11163" s="15" t="s">
        <v>4748</v>
      </c>
      <c r="E11163" s="18" t="s">
        <v>28</v>
      </c>
      <c r="F11163" s="19" t="s">
        <v>28</v>
      </c>
      <c r="G11163" s="19" t="s">
        <v>28</v>
      </c>
      <c r="H11163" s="19" t="s">
        <v>28</v>
      </c>
      <c r="I11163" s="18">
        <v>18.8</v>
      </c>
      <c r="J11163" s="18" t="s">
        <v>28</v>
      </c>
      <c r="K11163" s="18">
        <v>213.8</v>
      </c>
      <c r="L11163" s="18" t="s">
        <v>28</v>
      </c>
      <c r="M11163" s="18" t="s">
        <v>28</v>
      </c>
      <c r="N11163" s="17">
        <v>41275</v>
      </c>
      <c r="O11163" s="15" t="s">
        <v>41</v>
      </c>
      <c r="P11163" s="16" t="s">
        <v>31412</v>
      </c>
      <c r="Q11163" s="15" t="s">
        <v>959</v>
      </c>
      <c r="R11163" s="13" t="str">
        <f>HYPERLINK("https://my.pitchbook.com?c=76711-87T","View Company Online")</f>
        <v>View Company Online</v>
      </c>
    </row>
    <row r="11164" spans="1:18" hidden="1" x14ac:dyDescent="0.3">
      <c r="A11164" s="9" t="s">
        <v>31413</v>
      </c>
      <c r="B11164" s="9" t="s">
        <v>21445</v>
      </c>
      <c r="C11164" s="11" t="s">
        <v>28</v>
      </c>
      <c r="D11164" s="9" t="s">
        <v>21446</v>
      </c>
      <c r="E11164" s="11" t="s">
        <v>28</v>
      </c>
      <c r="F11164" s="10" t="s">
        <v>28</v>
      </c>
      <c r="G11164" s="10">
        <v>0.11</v>
      </c>
      <c r="H11164" s="10" t="s">
        <v>28</v>
      </c>
      <c r="I11164" s="11" t="s">
        <v>28</v>
      </c>
      <c r="J11164" s="11" t="s">
        <v>28</v>
      </c>
      <c r="K11164" s="11" t="s">
        <v>28</v>
      </c>
      <c r="L11164" s="11" t="s">
        <v>28</v>
      </c>
      <c r="M11164" s="11" t="s">
        <v>28</v>
      </c>
      <c r="N11164" s="8">
        <v>41275</v>
      </c>
      <c r="O11164" s="9" t="s">
        <v>99</v>
      </c>
      <c r="P11164" s="12" t="s">
        <v>28</v>
      </c>
      <c r="Q11164" s="9" t="s">
        <v>386</v>
      </c>
      <c r="R11164" s="14" t="str">
        <f>HYPERLINK("https://my.pitchbook.com?c=63355-78T","View Company Online")</f>
        <v>View Company Online</v>
      </c>
    </row>
    <row r="11165" spans="1:18" hidden="1" x14ac:dyDescent="0.3">
      <c r="A11165" s="15" t="s">
        <v>31414</v>
      </c>
      <c r="B11165" s="15" t="s">
        <v>31415</v>
      </c>
      <c r="C11165" s="18" t="s">
        <v>28</v>
      </c>
      <c r="D11165" s="15" t="s">
        <v>31416</v>
      </c>
      <c r="E11165" s="18" t="s">
        <v>28</v>
      </c>
      <c r="F11165" s="19" t="s">
        <v>28</v>
      </c>
      <c r="G11165" s="19">
        <v>0.1</v>
      </c>
      <c r="H11165" s="19" t="s">
        <v>28</v>
      </c>
      <c r="I11165" s="18" t="s">
        <v>28</v>
      </c>
      <c r="J11165" s="18" t="s">
        <v>28</v>
      </c>
      <c r="K11165" s="18" t="s">
        <v>28</v>
      </c>
      <c r="L11165" s="18" t="s">
        <v>28</v>
      </c>
      <c r="M11165" s="18" t="s">
        <v>28</v>
      </c>
      <c r="N11165" s="17">
        <v>41275</v>
      </c>
      <c r="O11165" s="15" t="s">
        <v>52</v>
      </c>
      <c r="P11165" s="16" t="s">
        <v>31417</v>
      </c>
      <c r="Q11165" s="15" t="s">
        <v>75</v>
      </c>
      <c r="R11165" s="13" t="str">
        <f>HYPERLINK("https://my.pitchbook.com?c=65665-81T","View Company Online")</f>
        <v>View Company Online</v>
      </c>
    </row>
    <row r="11166" spans="1:18" hidden="1" x14ac:dyDescent="0.3">
      <c r="A11166" s="9" t="s">
        <v>31418</v>
      </c>
      <c r="B11166" s="9" t="s">
        <v>23857</v>
      </c>
      <c r="C11166" s="11" t="s">
        <v>28</v>
      </c>
      <c r="D11166" s="9" t="s">
        <v>23858</v>
      </c>
      <c r="E11166" s="11" t="s">
        <v>28</v>
      </c>
      <c r="F11166" s="10" t="s">
        <v>28</v>
      </c>
      <c r="G11166" s="10" t="s">
        <v>28</v>
      </c>
      <c r="H11166" s="10" t="s">
        <v>28</v>
      </c>
      <c r="I11166" s="11" t="s">
        <v>28</v>
      </c>
      <c r="J11166" s="11" t="s">
        <v>28</v>
      </c>
      <c r="K11166" s="11" t="s">
        <v>28</v>
      </c>
      <c r="L11166" s="11" t="s">
        <v>28</v>
      </c>
      <c r="M11166" s="11" t="s">
        <v>28</v>
      </c>
      <c r="N11166" s="8">
        <v>41275</v>
      </c>
      <c r="O11166" s="9" t="s">
        <v>30</v>
      </c>
      <c r="P11166" s="12" t="s">
        <v>29708</v>
      </c>
      <c r="Q11166" s="9" t="s">
        <v>409</v>
      </c>
      <c r="R11166" s="14" t="str">
        <f>HYPERLINK("https://my.pitchbook.com?c=102094-21T","View Company Online")</f>
        <v>View Company Online</v>
      </c>
    </row>
    <row r="11167" spans="1:18" hidden="1" x14ac:dyDescent="0.3">
      <c r="A11167" s="15" t="s">
        <v>31419</v>
      </c>
      <c r="B11167" s="15" t="s">
        <v>31420</v>
      </c>
      <c r="C11167" s="18" t="s">
        <v>28</v>
      </c>
      <c r="D11167" s="15" t="s">
        <v>31421</v>
      </c>
      <c r="E11167" s="18" t="s">
        <v>28</v>
      </c>
      <c r="F11167" s="19" t="s">
        <v>28</v>
      </c>
      <c r="G11167" s="19" t="s">
        <v>28</v>
      </c>
      <c r="H11167" s="19" t="s">
        <v>28</v>
      </c>
      <c r="I11167" s="18" t="s">
        <v>28</v>
      </c>
      <c r="J11167" s="18" t="s">
        <v>28</v>
      </c>
      <c r="K11167" s="18" t="s">
        <v>28</v>
      </c>
      <c r="L11167" s="18" t="s">
        <v>28</v>
      </c>
      <c r="M11167" s="18" t="s">
        <v>28</v>
      </c>
      <c r="N11167" s="17">
        <v>41275</v>
      </c>
      <c r="O11167" s="15" t="s">
        <v>30</v>
      </c>
      <c r="P11167" s="16" t="s">
        <v>12449</v>
      </c>
      <c r="Q11167" s="15" t="s">
        <v>105</v>
      </c>
      <c r="R11167" s="13" t="str">
        <f>HYPERLINK("https://my.pitchbook.com?c=278717-14T","View Company Online")</f>
        <v>View Company Online</v>
      </c>
    </row>
    <row r="11168" spans="1:18" hidden="1" x14ac:dyDescent="0.3">
      <c r="A11168" s="9" t="s">
        <v>31422</v>
      </c>
      <c r="B11168" s="9" t="s">
        <v>455</v>
      </c>
      <c r="C11168" s="11" t="s">
        <v>28</v>
      </c>
      <c r="D11168" s="9" t="s">
        <v>456</v>
      </c>
      <c r="E11168" s="11" t="s">
        <v>28</v>
      </c>
      <c r="F11168" s="10" t="s">
        <v>28</v>
      </c>
      <c r="G11168" s="10">
        <v>1.01</v>
      </c>
      <c r="H11168" s="10" t="s">
        <v>28</v>
      </c>
      <c r="I11168" s="11" t="s">
        <v>28</v>
      </c>
      <c r="J11168" s="11" t="s">
        <v>28</v>
      </c>
      <c r="K11168" s="11" t="s">
        <v>28</v>
      </c>
      <c r="L11168" s="11" t="s">
        <v>28</v>
      </c>
      <c r="M11168" s="11" t="s">
        <v>28</v>
      </c>
      <c r="N11168" s="8">
        <v>41275</v>
      </c>
      <c r="O11168" s="9" t="s">
        <v>99</v>
      </c>
      <c r="P11168" s="12" t="s">
        <v>31423</v>
      </c>
      <c r="Q11168" s="9" t="s">
        <v>75</v>
      </c>
      <c r="R11168" s="14" t="str">
        <f>HYPERLINK("https://my.pitchbook.com?c=28580-95T","View Company Online")</f>
        <v>View Company Online</v>
      </c>
    </row>
    <row r="11169" spans="1:18" hidden="1" x14ac:dyDescent="0.3">
      <c r="A11169" s="15" t="s">
        <v>31424</v>
      </c>
      <c r="B11169" s="15" t="s">
        <v>31425</v>
      </c>
      <c r="C11169" s="18" t="s">
        <v>28</v>
      </c>
      <c r="D11169" s="15" t="s">
        <v>31426</v>
      </c>
      <c r="E11169" s="18" t="s">
        <v>28</v>
      </c>
      <c r="F11169" s="19" t="s">
        <v>28</v>
      </c>
      <c r="G11169" s="19" t="s">
        <v>28</v>
      </c>
      <c r="H11169" s="19" t="s">
        <v>28</v>
      </c>
      <c r="I11169" s="18" t="s">
        <v>28</v>
      </c>
      <c r="J11169" s="18" t="s">
        <v>28</v>
      </c>
      <c r="K11169" s="18" t="s">
        <v>28</v>
      </c>
      <c r="L11169" s="18" t="s">
        <v>28</v>
      </c>
      <c r="M11169" s="18" t="s">
        <v>28</v>
      </c>
      <c r="N11169" s="17">
        <v>41275</v>
      </c>
      <c r="O11169" s="15" t="s">
        <v>52</v>
      </c>
      <c r="P11169" s="16" t="s">
        <v>24901</v>
      </c>
      <c r="Q11169" s="15" t="s">
        <v>75</v>
      </c>
      <c r="R11169" s="13" t="str">
        <f>HYPERLINK("https://my.pitchbook.com?c=59527-54T","View Company Online")</f>
        <v>View Company Online</v>
      </c>
    </row>
    <row r="11170" spans="1:18" hidden="1" x14ac:dyDescent="0.3">
      <c r="A11170" s="9" t="s">
        <v>31427</v>
      </c>
      <c r="B11170" s="9" t="s">
        <v>31428</v>
      </c>
      <c r="C11170" s="11" t="s">
        <v>28</v>
      </c>
      <c r="D11170" s="9" t="s">
        <v>31429</v>
      </c>
      <c r="E11170" s="11" t="s">
        <v>28</v>
      </c>
      <c r="F11170" s="10" t="s">
        <v>28</v>
      </c>
      <c r="G11170" s="10">
        <v>0.1</v>
      </c>
      <c r="H11170" s="10" t="s">
        <v>28</v>
      </c>
      <c r="I11170" s="11" t="s">
        <v>28</v>
      </c>
      <c r="J11170" s="11" t="s">
        <v>28</v>
      </c>
      <c r="K11170" s="11" t="s">
        <v>28</v>
      </c>
      <c r="L11170" s="11" t="s">
        <v>28</v>
      </c>
      <c r="M11170" s="11" t="s">
        <v>28</v>
      </c>
      <c r="N11170" s="8">
        <v>41275</v>
      </c>
      <c r="O11170" s="9" t="s">
        <v>52</v>
      </c>
      <c r="P11170" s="12" t="s">
        <v>31417</v>
      </c>
      <c r="Q11170" s="9" t="s">
        <v>404</v>
      </c>
      <c r="R11170" s="14" t="str">
        <f>HYPERLINK("https://my.pitchbook.com?c=66471-40T","View Company Online")</f>
        <v>View Company Online</v>
      </c>
    </row>
    <row r="11171" spans="1:18" hidden="1" x14ac:dyDescent="0.3">
      <c r="A11171" s="15" t="s">
        <v>31430</v>
      </c>
      <c r="B11171" s="15" t="s">
        <v>27649</v>
      </c>
      <c r="C11171" s="18" t="s">
        <v>28</v>
      </c>
      <c r="D11171" s="15" t="s">
        <v>27650</v>
      </c>
      <c r="E11171" s="18" t="s">
        <v>28</v>
      </c>
      <c r="F11171" s="19" t="s">
        <v>28</v>
      </c>
      <c r="G11171" s="19">
        <v>0.1</v>
      </c>
      <c r="H11171" s="19" t="s">
        <v>28</v>
      </c>
      <c r="I11171" s="18" t="s">
        <v>28</v>
      </c>
      <c r="J11171" s="18" t="s">
        <v>28</v>
      </c>
      <c r="K11171" s="18" t="s">
        <v>28</v>
      </c>
      <c r="L11171" s="18" t="s">
        <v>28</v>
      </c>
      <c r="M11171" s="18" t="s">
        <v>28</v>
      </c>
      <c r="N11171" s="17">
        <v>41275</v>
      </c>
      <c r="O11171" s="15" t="s">
        <v>52</v>
      </c>
      <c r="P11171" s="16" t="s">
        <v>11539</v>
      </c>
      <c r="Q11171" s="15" t="s">
        <v>75</v>
      </c>
      <c r="R11171" s="13" t="str">
        <f>HYPERLINK("https://my.pitchbook.com?c=66095-92T","View Company Online")</f>
        <v>View Company Online</v>
      </c>
    </row>
    <row r="11172" spans="1:18" hidden="1" x14ac:dyDescent="0.3">
      <c r="A11172" s="9" t="s">
        <v>31431</v>
      </c>
      <c r="B11172" s="9" t="s">
        <v>9531</v>
      </c>
      <c r="C11172" s="11" t="s">
        <v>28</v>
      </c>
      <c r="D11172" s="9" t="s">
        <v>9532</v>
      </c>
      <c r="E11172" s="11" t="s">
        <v>28</v>
      </c>
      <c r="F11172" s="10" t="s">
        <v>28</v>
      </c>
      <c r="G11172" s="10">
        <v>0.03</v>
      </c>
      <c r="H11172" s="10" t="s">
        <v>28</v>
      </c>
      <c r="I11172" s="11" t="s">
        <v>28</v>
      </c>
      <c r="J11172" s="11" t="s">
        <v>28</v>
      </c>
      <c r="K11172" s="11" t="s">
        <v>28</v>
      </c>
      <c r="L11172" s="11" t="s">
        <v>28</v>
      </c>
      <c r="M11172" s="11" t="s">
        <v>28</v>
      </c>
      <c r="N11172" s="8">
        <v>41275</v>
      </c>
      <c r="O11172" s="9" t="s">
        <v>99</v>
      </c>
      <c r="P11172" s="12" t="s">
        <v>28</v>
      </c>
      <c r="Q11172" s="9" t="s">
        <v>409</v>
      </c>
      <c r="R11172" s="14" t="str">
        <f>HYPERLINK("https://my.pitchbook.com?c=158356-09T","View Company Online")</f>
        <v>View Company Online</v>
      </c>
    </row>
    <row r="11173" spans="1:18" hidden="1" x14ac:dyDescent="0.3">
      <c r="A11173" s="15" t="s">
        <v>31432</v>
      </c>
      <c r="B11173" s="15" t="s">
        <v>26730</v>
      </c>
      <c r="C11173" s="18" t="s">
        <v>28</v>
      </c>
      <c r="D11173" s="15" t="s">
        <v>26731</v>
      </c>
      <c r="E11173" s="18" t="s">
        <v>28</v>
      </c>
      <c r="F11173" s="19" t="s">
        <v>28</v>
      </c>
      <c r="G11173" s="19">
        <v>0.1</v>
      </c>
      <c r="H11173" s="19" t="s">
        <v>28</v>
      </c>
      <c r="I11173" s="18" t="s">
        <v>28</v>
      </c>
      <c r="J11173" s="18" t="s">
        <v>28</v>
      </c>
      <c r="K11173" s="18" t="s">
        <v>28</v>
      </c>
      <c r="L11173" s="18" t="s">
        <v>28</v>
      </c>
      <c r="M11173" s="18" t="s">
        <v>28</v>
      </c>
      <c r="N11173" s="17">
        <v>41275</v>
      </c>
      <c r="O11173" s="15" t="s">
        <v>52</v>
      </c>
      <c r="P11173" s="16" t="s">
        <v>11539</v>
      </c>
      <c r="Q11173" s="15" t="s">
        <v>419</v>
      </c>
      <c r="R11173" s="13" t="str">
        <f>HYPERLINK("https://my.pitchbook.com?c=65857-42T","View Company Online")</f>
        <v>View Company Online</v>
      </c>
    </row>
    <row r="11174" spans="1:18" hidden="1" x14ac:dyDescent="0.3">
      <c r="A11174" s="9" t="s">
        <v>31433</v>
      </c>
      <c r="B11174" s="9" t="s">
        <v>31434</v>
      </c>
      <c r="C11174" s="11" t="s">
        <v>28</v>
      </c>
      <c r="D11174" s="9" t="s">
        <v>31435</v>
      </c>
      <c r="E11174" s="11" t="s">
        <v>28</v>
      </c>
      <c r="F11174" s="10" t="s">
        <v>28</v>
      </c>
      <c r="G11174" s="10" t="s">
        <v>28</v>
      </c>
      <c r="H11174" s="10" t="s">
        <v>28</v>
      </c>
      <c r="I11174" s="11" t="s">
        <v>28</v>
      </c>
      <c r="J11174" s="11" t="s">
        <v>28</v>
      </c>
      <c r="K11174" s="11" t="s">
        <v>28</v>
      </c>
      <c r="L11174" s="11" t="s">
        <v>28</v>
      </c>
      <c r="M11174" s="11" t="s">
        <v>28</v>
      </c>
      <c r="N11174" s="8">
        <v>41275</v>
      </c>
      <c r="O11174" s="9" t="s">
        <v>52</v>
      </c>
      <c r="P11174" s="12" t="s">
        <v>11539</v>
      </c>
      <c r="Q11174" s="9" t="s">
        <v>419</v>
      </c>
      <c r="R11174" s="14" t="str">
        <f>HYPERLINK("https://my.pitchbook.com?c=133037-38T","View Company Online")</f>
        <v>View Company Online</v>
      </c>
    </row>
    <row r="11175" spans="1:18" hidden="1" x14ac:dyDescent="0.3">
      <c r="A11175" s="15" t="s">
        <v>31436</v>
      </c>
      <c r="B11175" s="15" t="s">
        <v>5142</v>
      </c>
      <c r="C11175" s="18" t="s">
        <v>28</v>
      </c>
      <c r="D11175" s="15" t="s">
        <v>5143</v>
      </c>
      <c r="E11175" s="18" t="s">
        <v>28</v>
      </c>
      <c r="F11175" s="19" t="s">
        <v>28</v>
      </c>
      <c r="G11175" s="19">
        <v>0.19</v>
      </c>
      <c r="H11175" s="19" t="s">
        <v>28</v>
      </c>
      <c r="I11175" s="18" t="s">
        <v>28</v>
      </c>
      <c r="J11175" s="18" t="s">
        <v>28</v>
      </c>
      <c r="K11175" s="18" t="s">
        <v>28</v>
      </c>
      <c r="L11175" s="18" t="s">
        <v>28</v>
      </c>
      <c r="M11175" s="18" t="s">
        <v>28</v>
      </c>
      <c r="N11175" s="17">
        <v>41275</v>
      </c>
      <c r="O11175" s="15" t="s">
        <v>73</v>
      </c>
      <c r="P11175" s="16" t="s">
        <v>31437</v>
      </c>
      <c r="Q11175" s="15" t="s">
        <v>583</v>
      </c>
      <c r="R11175" s="13" t="str">
        <f>HYPERLINK("https://my.pitchbook.com?c=66702-52T","View Company Online")</f>
        <v>View Company Online</v>
      </c>
    </row>
    <row r="11176" spans="1:18" hidden="1" x14ac:dyDescent="0.3">
      <c r="A11176" s="9" t="s">
        <v>31438</v>
      </c>
      <c r="B11176" s="9" t="s">
        <v>5142</v>
      </c>
      <c r="C11176" s="11" t="s">
        <v>28</v>
      </c>
      <c r="D11176" s="9" t="s">
        <v>5143</v>
      </c>
      <c r="E11176" s="11" t="s">
        <v>28</v>
      </c>
      <c r="F11176" s="10" t="s">
        <v>28</v>
      </c>
      <c r="G11176" s="10">
        <v>0.01</v>
      </c>
      <c r="H11176" s="10" t="s">
        <v>28</v>
      </c>
      <c r="I11176" s="11" t="s">
        <v>28</v>
      </c>
      <c r="J11176" s="11" t="s">
        <v>28</v>
      </c>
      <c r="K11176" s="11" t="s">
        <v>28</v>
      </c>
      <c r="L11176" s="11" t="s">
        <v>28</v>
      </c>
      <c r="M11176" s="11" t="s">
        <v>28</v>
      </c>
      <c r="N11176" s="8">
        <v>41275</v>
      </c>
      <c r="O11176" s="9" t="s">
        <v>52</v>
      </c>
      <c r="P11176" s="12" t="s">
        <v>25684</v>
      </c>
      <c r="Q11176" s="9" t="s">
        <v>583</v>
      </c>
      <c r="R11176" s="14" t="str">
        <f>HYPERLINK("https://my.pitchbook.com?c=66702-97T","View Company Online")</f>
        <v>View Company Online</v>
      </c>
    </row>
    <row r="11177" spans="1:18" hidden="1" x14ac:dyDescent="0.3">
      <c r="A11177" s="15" t="s">
        <v>31439</v>
      </c>
      <c r="B11177" s="15" t="s">
        <v>28604</v>
      </c>
      <c r="C11177" s="18" t="s">
        <v>28</v>
      </c>
      <c r="D11177" s="15" t="s">
        <v>28605</v>
      </c>
      <c r="E11177" s="18" t="s">
        <v>28</v>
      </c>
      <c r="F11177" s="19" t="s">
        <v>28</v>
      </c>
      <c r="G11177" s="19" t="s">
        <v>28</v>
      </c>
      <c r="H11177" s="19" t="s">
        <v>28</v>
      </c>
      <c r="I11177" s="18" t="s">
        <v>28</v>
      </c>
      <c r="J11177" s="18" t="s">
        <v>28</v>
      </c>
      <c r="K11177" s="18" t="s">
        <v>28</v>
      </c>
      <c r="L11177" s="18" t="s">
        <v>28</v>
      </c>
      <c r="M11177" s="18" t="s">
        <v>28</v>
      </c>
      <c r="N11177" s="17">
        <v>41275</v>
      </c>
      <c r="O11177" s="15" t="s">
        <v>30</v>
      </c>
      <c r="P11177" s="16" t="s">
        <v>31440</v>
      </c>
      <c r="Q11177" s="15" t="s">
        <v>85</v>
      </c>
      <c r="R11177" s="13" t="str">
        <f>HYPERLINK("https://my.pitchbook.com?c=277213-87T","View Company Online")</f>
        <v>View Company Online</v>
      </c>
    </row>
    <row r="11178" spans="1:18" hidden="1" x14ac:dyDescent="0.3">
      <c r="A11178" s="9" t="s">
        <v>31441</v>
      </c>
      <c r="B11178" s="9" t="s">
        <v>3414</v>
      </c>
      <c r="C11178" s="11" t="s">
        <v>28</v>
      </c>
      <c r="D11178" s="9" t="s">
        <v>3415</v>
      </c>
      <c r="E11178" s="11" t="s">
        <v>28</v>
      </c>
      <c r="F11178" s="10" t="s">
        <v>28</v>
      </c>
      <c r="G11178" s="10" t="s">
        <v>28</v>
      </c>
      <c r="H11178" s="10" t="s">
        <v>28</v>
      </c>
      <c r="I11178" s="11" t="s">
        <v>28</v>
      </c>
      <c r="J11178" s="11" t="s">
        <v>28</v>
      </c>
      <c r="K11178" s="11" t="s">
        <v>28</v>
      </c>
      <c r="L11178" s="11" t="s">
        <v>28</v>
      </c>
      <c r="M11178" s="11" t="s">
        <v>28</v>
      </c>
      <c r="N11178" s="8">
        <v>41275</v>
      </c>
      <c r="O11178" s="9" t="s">
        <v>379</v>
      </c>
      <c r="P11178" s="12" t="s">
        <v>31442</v>
      </c>
      <c r="Q11178" s="9" t="s">
        <v>1051</v>
      </c>
      <c r="R11178" s="14" t="str">
        <f>HYPERLINK("https://my.pitchbook.com?c=276790-06T","View Company Online")</f>
        <v>View Company Online</v>
      </c>
    </row>
    <row r="11179" spans="1:18" hidden="1" x14ac:dyDescent="0.3">
      <c r="A11179" s="15" t="s">
        <v>31443</v>
      </c>
      <c r="B11179" s="15" t="s">
        <v>31444</v>
      </c>
      <c r="C11179" s="18" t="s">
        <v>28</v>
      </c>
      <c r="D11179" s="15" t="s">
        <v>31445</v>
      </c>
      <c r="E11179" s="18" t="s">
        <v>28</v>
      </c>
      <c r="F11179" s="19" t="s">
        <v>28</v>
      </c>
      <c r="G11179" s="19" t="s">
        <v>28</v>
      </c>
      <c r="H11179" s="19" t="s">
        <v>28</v>
      </c>
      <c r="I11179" s="18" t="s">
        <v>28</v>
      </c>
      <c r="J11179" s="18" t="s">
        <v>28</v>
      </c>
      <c r="K11179" s="18" t="s">
        <v>28</v>
      </c>
      <c r="L11179" s="18" t="s">
        <v>28</v>
      </c>
      <c r="M11179" s="18" t="s">
        <v>28</v>
      </c>
      <c r="N11179" s="17">
        <v>41275</v>
      </c>
      <c r="O11179" s="15" t="s">
        <v>52</v>
      </c>
      <c r="P11179" s="16" t="s">
        <v>9723</v>
      </c>
      <c r="Q11179" s="15" t="s">
        <v>583</v>
      </c>
      <c r="R11179" s="13" t="str">
        <f>HYPERLINK("https://my.pitchbook.com?c=99402-13T","View Company Online")</f>
        <v>View Company Online</v>
      </c>
    </row>
    <row r="11180" spans="1:18" hidden="1" x14ac:dyDescent="0.3">
      <c r="A11180" s="9" t="s">
        <v>31446</v>
      </c>
      <c r="B11180" s="9" t="s">
        <v>31447</v>
      </c>
      <c r="C11180" s="11" t="s">
        <v>28</v>
      </c>
      <c r="D11180" s="9" t="s">
        <v>31448</v>
      </c>
      <c r="E11180" s="11" t="s">
        <v>28</v>
      </c>
      <c r="F11180" s="10" t="s">
        <v>28</v>
      </c>
      <c r="G11180" s="10">
        <v>7.0000000000000007E-2</v>
      </c>
      <c r="H11180" s="10" t="s">
        <v>28</v>
      </c>
      <c r="I11180" s="11" t="s">
        <v>28</v>
      </c>
      <c r="J11180" s="11" t="s">
        <v>28</v>
      </c>
      <c r="K11180" s="11" t="s">
        <v>28</v>
      </c>
      <c r="L11180" s="11" t="s">
        <v>28</v>
      </c>
      <c r="M11180" s="11" t="s">
        <v>28</v>
      </c>
      <c r="N11180" s="8">
        <v>41275</v>
      </c>
      <c r="O11180" s="9" t="s">
        <v>52</v>
      </c>
      <c r="P11180" s="12" t="s">
        <v>11539</v>
      </c>
      <c r="Q11180" s="9" t="s">
        <v>75</v>
      </c>
      <c r="R11180" s="14" t="str">
        <f>HYPERLINK("https://my.pitchbook.com?c=66479-68T","View Company Online")</f>
        <v>View Company Online</v>
      </c>
    </row>
    <row r="11181" spans="1:18" hidden="1" x14ac:dyDescent="0.3">
      <c r="A11181" s="15" t="s">
        <v>31449</v>
      </c>
      <c r="B11181" s="15" t="s">
        <v>31450</v>
      </c>
      <c r="C11181" s="18" t="s">
        <v>28</v>
      </c>
      <c r="D11181" s="15" t="s">
        <v>31451</v>
      </c>
      <c r="E11181" s="18" t="s">
        <v>28</v>
      </c>
      <c r="F11181" s="19" t="s">
        <v>28</v>
      </c>
      <c r="G11181" s="19">
        <v>0.1</v>
      </c>
      <c r="H11181" s="19" t="s">
        <v>28</v>
      </c>
      <c r="I11181" s="18" t="s">
        <v>28</v>
      </c>
      <c r="J11181" s="18" t="s">
        <v>28</v>
      </c>
      <c r="K11181" s="18" t="s">
        <v>28</v>
      </c>
      <c r="L11181" s="18" t="s">
        <v>28</v>
      </c>
      <c r="M11181" s="18" t="s">
        <v>28</v>
      </c>
      <c r="N11181" s="17">
        <v>41275</v>
      </c>
      <c r="O11181" s="15" t="s">
        <v>52</v>
      </c>
      <c r="P11181" s="16" t="s">
        <v>11539</v>
      </c>
      <c r="Q11181" s="15" t="s">
        <v>75</v>
      </c>
      <c r="R11181" s="13" t="str">
        <f>HYPERLINK("https://my.pitchbook.com?c=66113-29T","View Company Online")</f>
        <v>View Company Online</v>
      </c>
    </row>
    <row r="11182" spans="1:18" hidden="1" x14ac:dyDescent="0.3">
      <c r="A11182" s="9" t="s">
        <v>31452</v>
      </c>
      <c r="B11182" s="9" t="s">
        <v>31086</v>
      </c>
      <c r="C11182" s="11" t="s">
        <v>28</v>
      </c>
      <c r="D11182" s="9" t="s">
        <v>31087</v>
      </c>
      <c r="E11182" s="11" t="s">
        <v>28</v>
      </c>
      <c r="F11182" s="10" t="s">
        <v>28</v>
      </c>
      <c r="G11182" s="10">
        <v>0.06</v>
      </c>
      <c r="H11182" s="10" t="s">
        <v>28</v>
      </c>
      <c r="I11182" s="11" t="s">
        <v>28</v>
      </c>
      <c r="J11182" s="11" t="s">
        <v>28</v>
      </c>
      <c r="K11182" s="11" t="s">
        <v>28</v>
      </c>
      <c r="L11182" s="11" t="s">
        <v>28</v>
      </c>
      <c r="M11182" s="11" t="s">
        <v>28</v>
      </c>
      <c r="N11182" s="8">
        <v>41275</v>
      </c>
      <c r="O11182" s="9" t="s">
        <v>379</v>
      </c>
      <c r="P11182" s="12" t="s">
        <v>28</v>
      </c>
      <c r="Q11182" s="9" t="s">
        <v>75</v>
      </c>
      <c r="R11182" s="14" t="str">
        <f>HYPERLINK("https://my.pitchbook.com?c=57928-96T","View Company Online")</f>
        <v>View Company Online</v>
      </c>
    </row>
    <row r="11183" spans="1:18" hidden="1" x14ac:dyDescent="0.3">
      <c r="A11183" s="15" t="s">
        <v>31453</v>
      </c>
      <c r="B11183" s="15" t="s">
        <v>27021</v>
      </c>
      <c r="C11183" s="18" t="s">
        <v>28</v>
      </c>
      <c r="D11183" s="15" t="s">
        <v>27022</v>
      </c>
      <c r="E11183" s="18" t="s">
        <v>28</v>
      </c>
      <c r="F11183" s="19">
        <v>6.86</v>
      </c>
      <c r="G11183" s="19">
        <v>4.8</v>
      </c>
      <c r="H11183" s="19">
        <v>6.86</v>
      </c>
      <c r="I11183" s="18" t="s">
        <v>28</v>
      </c>
      <c r="J11183" s="18" t="s">
        <v>28</v>
      </c>
      <c r="K11183" s="18" t="s">
        <v>28</v>
      </c>
      <c r="L11183" s="18" t="s">
        <v>28</v>
      </c>
      <c r="M11183" s="18" t="s">
        <v>28</v>
      </c>
      <c r="N11183" s="17">
        <v>41275</v>
      </c>
      <c r="O11183" s="15" t="s">
        <v>41</v>
      </c>
      <c r="P11183" s="16" t="s">
        <v>13100</v>
      </c>
      <c r="Q11183" s="15" t="s">
        <v>1643</v>
      </c>
      <c r="R11183" s="13" t="str">
        <f>HYPERLINK("https://my.pitchbook.com?c=108415-18T","View Company Online")</f>
        <v>View Company Online</v>
      </c>
    </row>
    <row r="11184" spans="1:18" hidden="1" x14ac:dyDescent="0.3">
      <c r="A11184" s="9" t="s">
        <v>31454</v>
      </c>
      <c r="B11184" s="9" t="s">
        <v>17766</v>
      </c>
      <c r="C11184" s="11" t="s">
        <v>28</v>
      </c>
      <c r="D11184" s="9" t="s">
        <v>17767</v>
      </c>
      <c r="E11184" s="11" t="s">
        <v>28</v>
      </c>
      <c r="F11184" s="10">
        <v>44.7</v>
      </c>
      <c r="G11184" s="10">
        <v>22.8</v>
      </c>
      <c r="H11184" s="10">
        <v>44.7</v>
      </c>
      <c r="I11184" s="11" t="s">
        <v>28</v>
      </c>
      <c r="J11184" s="11" t="s">
        <v>28</v>
      </c>
      <c r="K11184" s="11" t="s">
        <v>28</v>
      </c>
      <c r="L11184" s="11" t="s">
        <v>28</v>
      </c>
      <c r="M11184" s="11" t="s">
        <v>28</v>
      </c>
      <c r="N11184" s="8">
        <v>41275</v>
      </c>
      <c r="O11184" s="9" t="s">
        <v>30</v>
      </c>
      <c r="P11184" s="12" t="s">
        <v>31455</v>
      </c>
      <c r="Q11184" s="9" t="s">
        <v>114</v>
      </c>
      <c r="R11184" s="14" t="str">
        <f>HYPERLINK("https://my.pitchbook.com?c=56873-71T","View Company Online")</f>
        <v>View Company Online</v>
      </c>
    </row>
    <row r="11185" spans="1:18" hidden="1" x14ac:dyDescent="0.3">
      <c r="A11185" s="15" t="s">
        <v>31456</v>
      </c>
      <c r="B11185" s="15" t="s">
        <v>25692</v>
      </c>
      <c r="C11185" s="18" t="s">
        <v>28</v>
      </c>
      <c r="D11185" s="15" t="s">
        <v>25693</v>
      </c>
      <c r="E11185" s="18" t="s">
        <v>28</v>
      </c>
      <c r="F11185" s="19" t="s">
        <v>28</v>
      </c>
      <c r="G11185" s="19">
        <v>2</v>
      </c>
      <c r="H11185" s="19" t="s">
        <v>28</v>
      </c>
      <c r="I11185" s="18" t="s">
        <v>28</v>
      </c>
      <c r="J11185" s="18" t="s">
        <v>28</v>
      </c>
      <c r="K11185" s="18" t="s">
        <v>28</v>
      </c>
      <c r="L11185" s="18" t="s">
        <v>28</v>
      </c>
      <c r="M11185" s="18" t="s">
        <v>28</v>
      </c>
      <c r="N11185" s="17">
        <v>41275</v>
      </c>
      <c r="O11185" s="15" t="s">
        <v>73</v>
      </c>
      <c r="P11185" s="16" t="s">
        <v>27415</v>
      </c>
      <c r="Q11185" s="15" t="s">
        <v>583</v>
      </c>
      <c r="R11185" s="13" t="str">
        <f>HYPERLINK("https://my.pitchbook.com?c=135257-68T","View Company Online")</f>
        <v>View Company Online</v>
      </c>
    </row>
    <row r="11186" spans="1:18" hidden="1" x14ac:dyDescent="0.3">
      <c r="A11186" s="9" t="s">
        <v>31457</v>
      </c>
      <c r="B11186" s="9" t="s">
        <v>31458</v>
      </c>
      <c r="C11186" s="11" t="s">
        <v>28</v>
      </c>
      <c r="D11186" s="9" t="s">
        <v>31459</v>
      </c>
      <c r="E11186" s="11" t="s">
        <v>28</v>
      </c>
      <c r="F11186" s="10">
        <v>202.89</v>
      </c>
      <c r="G11186" s="10">
        <v>202.89</v>
      </c>
      <c r="H11186" s="10">
        <v>202.89</v>
      </c>
      <c r="I11186" s="11" t="s">
        <v>28</v>
      </c>
      <c r="J11186" s="11" t="s">
        <v>28</v>
      </c>
      <c r="K11186" s="11" t="s">
        <v>28</v>
      </c>
      <c r="L11186" s="11" t="s">
        <v>28</v>
      </c>
      <c r="M11186" s="11" t="s">
        <v>28</v>
      </c>
      <c r="N11186" s="8">
        <v>41275</v>
      </c>
      <c r="O11186" s="9" t="s">
        <v>30</v>
      </c>
      <c r="P11186" s="12" t="s">
        <v>31460</v>
      </c>
      <c r="Q11186" s="9" t="s">
        <v>226</v>
      </c>
      <c r="R11186" s="14" t="str">
        <f>HYPERLINK("https://my.pitchbook.com?c=228715-57T","View Company Online")</f>
        <v>View Company Online</v>
      </c>
    </row>
    <row r="11187" spans="1:18" hidden="1" x14ac:dyDescent="0.3">
      <c r="A11187" s="15" t="s">
        <v>31461</v>
      </c>
      <c r="B11187" s="15" t="s">
        <v>23737</v>
      </c>
      <c r="C11187" s="18" t="s">
        <v>28</v>
      </c>
      <c r="D11187" s="15" t="s">
        <v>23738</v>
      </c>
      <c r="E11187" s="18" t="s">
        <v>28</v>
      </c>
      <c r="F11187" s="19" t="s">
        <v>28</v>
      </c>
      <c r="G11187" s="19">
        <v>0.05</v>
      </c>
      <c r="H11187" s="19" t="s">
        <v>28</v>
      </c>
      <c r="I11187" s="18" t="s">
        <v>28</v>
      </c>
      <c r="J11187" s="18" t="s">
        <v>28</v>
      </c>
      <c r="K11187" s="18" t="s">
        <v>28</v>
      </c>
      <c r="L11187" s="18" t="s">
        <v>28</v>
      </c>
      <c r="M11187" s="18" t="s">
        <v>28</v>
      </c>
      <c r="N11187" s="17">
        <v>41275</v>
      </c>
      <c r="O11187" s="15" t="s">
        <v>52</v>
      </c>
      <c r="P11187" s="16" t="s">
        <v>11539</v>
      </c>
      <c r="Q11187" s="15" t="s">
        <v>75</v>
      </c>
      <c r="R11187" s="13" t="str">
        <f>HYPERLINK("https://my.pitchbook.com?c=65591-47T","View Company Online")</f>
        <v>View Company Online</v>
      </c>
    </row>
    <row r="11188" spans="1:18" hidden="1" x14ac:dyDescent="0.3">
      <c r="A11188" s="9" t="s">
        <v>31462</v>
      </c>
      <c r="B11188" s="9" t="s">
        <v>31463</v>
      </c>
      <c r="C11188" s="11" t="s">
        <v>28</v>
      </c>
      <c r="D11188" s="9" t="s">
        <v>31464</v>
      </c>
      <c r="E11188" s="11" t="s">
        <v>28</v>
      </c>
      <c r="F11188" s="10" t="s">
        <v>28</v>
      </c>
      <c r="G11188" s="10" t="s">
        <v>28</v>
      </c>
      <c r="H11188" s="10" t="s">
        <v>28</v>
      </c>
      <c r="I11188" s="11" t="s">
        <v>28</v>
      </c>
      <c r="J11188" s="11" t="s">
        <v>28</v>
      </c>
      <c r="K11188" s="11" t="s">
        <v>28</v>
      </c>
      <c r="L11188" s="11" t="s">
        <v>28</v>
      </c>
      <c r="M11188" s="11" t="s">
        <v>28</v>
      </c>
      <c r="N11188" s="8">
        <v>41275</v>
      </c>
      <c r="O11188" s="9" t="s">
        <v>30</v>
      </c>
      <c r="P11188" s="12" t="s">
        <v>2516</v>
      </c>
      <c r="Q11188" s="9" t="s">
        <v>3912</v>
      </c>
      <c r="R11188" s="14" t="str">
        <f>HYPERLINK("https://my.pitchbook.com?c=53384-05T","View Company Online")</f>
        <v>View Company Online</v>
      </c>
    </row>
    <row r="11189" spans="1:18" hidden="1" x14ac:dyDescent="0.3">
      <c r="A11189" s="15" t="s">
        <v>31465</v>
      </c>
      <c r="B11189" s="15" t="s">
        <v>31466</v>
      </c>
      <c r="C11189" s="18" t="s">
        <v>28</v>
      </c>
      <c r="D11189" s="15" t="s">
        <v>31467</v>
      </c>
      <c r="E11189" s="18" t="s">
        <v>28</v>
      </c>
      <c r="F11189" s="19" t="s">
        <v>28</v>
      </c>
      <c r="G11189" s="19" t="s">
        <v>28</v>
      </c>
      <c r="H11189" s="19" t="s">
        <v>28</v>
      </c>
      <c r="I11189" s="18" t="s">
        <v>28</v>
      </c>
      <c r="J11189" s="18" t="s">
        <v>28</v>
      </c>
      <c r="K11189" s="18" t="s">
        <v>28</v>
      </c>
      <c r="L11189" s="18" t="s">
        <v>28</v>
      </c>
      <c r="M11189" s="18" t="s">
        <v>28</v>
      </c>
      <c r="N11189" s="17">
        <v>41275</v>
      </c>
      <c r="O11189" s="15" t="s">
        <v>52</v>
      </c>
      <c r="P11189" s="16" t="s">
        <v>11539</v>
      </c>
      <c r="Q11189" s="15" t="s">
        <v>3912</v>
      </c>
      <c r="R11189" s="13" t="str">
        <f>HYPERLINK("https://my.pitchbook.com?c=133042-69T","View Company Online")</f>
        <v>View Company Online</v>
      </c>
    </row>
    <row r="11190" spans="1:18" hidden="1" x14ac:dyDescent="0.3">
      <c r="A11190" s="9" t="s">
        <v>31468</v>
      </c>
      <c r="B11190" s="9" t="s">
        <v>31469</v>
      </c>
      <c r="C11190" s="11" t="s">
        <v>28</v>
      </c>
      <c r="D11190" s="9" t="s">
        <v>31470</v>
      </c>
      <c r="E11190" s="11" t="s">
        <v>28</v>
      </c>
      <c r="F11190" s="10" t="s">
        <v>28</v>
      </c>
      <c r="G11190" s="10" t="s">
        <v>28</v>
      </c>
      <c r="H11190" s="10" t="s">
        <v>28</v>
      </c>
      <c r="I11190" s="11" t="s">
        <v>28</v>
      </c>
      <c r="J11190" s="11" t="s">
        <v>28</v>
      </c>
      <c r="K11190" s="11" t="s">
        <v>28</v>
      </c>
      <c r="L11190" s="11" t="s">
        <v>28</v>
      </c>
      <c r="M11190" s="11" t="s">
        <v>28</v>
      </c>
      <c r="N11190" s="8">
        <v>41275</v>
      </c>
      <c r="O11190" s="9" t="s">
        <v>30</v>
      </c>
      <c r="P11190" s="12" t="s">
        <v>31471</v>
      </c>
      <c r="Q11190" s="9" t="s">
        <v>75</v>
      </c>
      <c r="R11190" s="14" t="str">
        <f>HYPERLINK("https://my.pitchbook.com?c=215377-93T","View Company Online")</f>
        <v>View Company Online</v>
      </c>
    </row>
    <row r="11191" spans="1:18" hidden="1" x14ac:dyDescent="0.3">
      <c r="A11191" s="15" t="s">
        <v>31472</v>
      </c>
      <c r="B11191" s="15" t="s">
        <v>31473</v>
      </c>
      <c r="C11191" s="18" t="s">
        <v>28</v>
      </c>
      <c r="D11191" s="15" t="s">
        <v>31474</v>
      </c>
      <c r="E11191" s="18" t="s">
        <v>28</v>
      </c>
      <c r="F11191" s="19" t="s">
        <v>28</v>
      </c>
      <c r="G11191" s="19">
        <v>5</v>
      </c>
      <c r="H11191" s="19" t="s">
        <v>28</v>
      </c>
      <c r="I11191" s="18" t="s">
        <v>28</v>
      </c>
      <c r="J11191" s="18" t="s">
        <v>28</v>
      </c>
      <c r="K11191" s="18" t="s">
        <v>28</v>
      </c>
      <c r="L11191" s="18" t="s">
        <v>28</v>
      </c>
      <c r="M11191" s="18" t="s">
        <v>28</v>
      </c>
      <c r="N11191" s="17">
        <v>41275</v>
      </c>
      <c r="O11191" s="15" t="s">
        <v>73</v>
      </c>
      <c r="P11191" s="16" t="s">
        <v>31475</v>
      </c>
      <c r="Q11191" s="15" t="s">
        <v>3912</v>
      </c>
      <c r="R11191" s="13" t="str">
        <f>HYPERLINK("https://my.pitchbook.com?c=36935-56T","View Company Online")</f>
        <v>View Company Online</v>
      </c>
    </row>
    <row r="11192" spans="1:18" hidden="1" x14ac:dyDescent="0.3">
      <c r="A11192" s="9" t="s">
        <v>31476</v>
      </c>
      <c r="B11192" s="9" t="s">
        <v>12512</v>
      </c>
      <c r="C11192" s="11" t="s">
        <v>28</v>
      </c>
      <c r="D11192" s="9" t="s">
        <v>27838</v>
      </c>
      <c r="E11192" s="11">
        <v>18.399999999999999</v>
      </c>
      <c r="F11192" s="10" t="s">
        <v>28</v>
      </c>
      <c r="G11192" s="10" t="s">
        <v>28</v>
      </c>
      <c r="H11192" s="10" t="s">
        <v>28</v>
      </c>
      <c r="I11192" s="11">
        <v>19.54</v>
      </c>
      <c r="J11192" s="11" t="s">
        <v>28</v>
      </c>
      <c r="K11192" s="11">
        <v>81.05</v>
      </c>
      <c r="L11192" s="11" t="s">
        <v>28</v>
      </c>
      <c r="M11192" s="11">
        <v>12.33</v>
      </c>
      <c r="N11192" s="8">
        <v>41275</v>
      </c>
      <c r="O11192" s="9" t="s">
        <v>93</v>
      </c>
      <c r="P11192" s="12" t="s">
        <v>27764</v>
      </c>
      <c r="Q11192" s="9" t="s">
        <v>188</v>
      </c>
      <c r="R11192" s="14" t="str">
        <f>HYPERLINK("https://my.pitchbook.com?c=117005-77T","View Company Online")</f>
        <v>View Company Online</v>
      </c>
    </row>
    <row r="11193" spans="1:18" hidden="1" x14ac:dyDescent="0.3">
      <c r="A11193" s="15" t="s">
        <v>31477</v>
      </c>
      <c r="B11193" s="15" t="s">
        <v>31478</v>
      </c>
      <c r="C11193" s="18" t="s">
        <v>28</v>
      </c>
      <c r="D11193" s="15" t="s">
        <v>31479</v>
      </c>
      <c r="E11193" s="18" t="s">
        <v>28</v>
      </c>
      <c r="F11193" s="19" t="s">
        <v>28</v>
      </c>
      <c r="G11193" s="19" t="s">
        <v>28</v>
      </c>
      <c r="H11193" s="19" t="s">
        <v>28</v>
      </c>
      <c r="I11193" s="18" t="s">
        <v>28</v>
      </c>
      <c r="J11193" s="18" t="s">
        <v>28</v>
      </c>
      <c r="K11193" s="18" t="s">
        <v>28</v>
      </c>
      <c r="L11193" s="18" t="s">
        <v>28</v>
      </c>
      <c r="M11193" s="18" t="s">
        <v>28</v>
      </c>
      <c r="N11193" s="17">
        <v>41275</v>
      </c>
      <c r="O11193" s="15" t="s">
        <v>52</v>
      </c>
      <c r="P11193" s="16" t="s">
        <v>9723</v>
      </c>
      <c r="Q11193" s="15" t="s">
        <v>43</v>
      </c>
      <c r="R11193" s="13" t="str">
        <f>HYPERLINK("https://my.pitchbook.com?c=99360-19T","View Company Online")</f>
        <v>View Company Online</v>
      </c>
    </row>
    <row r="11194" spans="1:18" hidden="1" x14ac:dyDescent="0.3">
      <c r="A11194" s="9" t="s">
        <v>31480</v>
      </c>
      <c r="B11194" s="9" t="s">
        <v>5516</v>
      </c>
      <c r="C11194" s="11" t="s">
        <v>28</v>
      </c>
      <c r="D11194" s="9" t="s">
        <v>5517</v>
      </c>
      <c r="E11194" s="11" t="s">
        <v>28</v>
      </c>
      <c r="F11194" s="10" t="s">
        <v>28</v>
      </c>
      <c r="G11194" s="10">
        <v>2.02</v>
      </c>
      <c r="H11194" s="10" t="s">
        <v>28</v>
      </c>
      <c r="I11194" s="11" t="s">
        <v>28</v>
      </c>
      <c r="J11194" s="11" t="s">
        <v>28</v>
      </c>
      <c r="K11194" s="11" t="s">
        <v>28</v>
      </c>
      <c r="L11194" s="11" t="s">
        <v>28</v>
      </c>
      <c r="M11194" s="11" t="s">
        <v>28</v>
      </c>
      <c r="N11194" s="8">
        <v>41275</v>
      </c>
      <c r="O11194" s="9" t="s">
        <v>73</v>
      </c>
      <c r="P11194" s="12" t="s">
        <v>31481</v>
      </c>
      <c r="Q11194" s="9" t="s">
        <v>566</v>
      </c>
      <c r="R11194" s="14" t="str">
        <f>HYPERLINK("https://my.pitchbook.com?c=56025-19T","View Company Online")</f>
        <v>View Company Online</v>
      </c>
    </row>
    <row r="11195" spans="1:18" hidden="1" x14ac:dyDescent="0.3">
      <c r="A11195" s="15" t="s">
        <v>31482</v>
      </c>
      <c r="B11195" s="15" t="s">
        <v>31483</v>
      </c>
      <c r="C11195" s="18" t="s">
        <v>28</v>
      </c>
      <c r="D11195" s="15" t="s">
        <v>31484</v>
      </c>
      <c r="E11195" s="18" t="s">
        <v>28</v>
      </c>
      <c r="F11195" s="19">
        <v>50.43</v>
      </c>
      <c r="G11195" s="19">
        <v>25.22</v>
      </c>
      <c r="H11195" s="19">
        <v>50.43</v>
      </c>
      <c r="I11195" s="18" t="s">
        <v>28</v>
      </c>
      <c r="J11195" s="18" t="s">
        <v>28</v>
      </c>
      <c r="K11195" s="18" t="s">
        <v>28</v>
      </c>
      <c r="L11195" s="18" t="s">
        <v>28</v>
      </c>
      <c r="M11195" s="18" t="s">
        <v>28</v>
      </c>
      <c r="N11195" s="17">
        <v>41274</v>
      </c>
      <c r="O11195" s="15" t="s">
        <v>30</v>
      </c>
      <c r="P11195" s="16" t="s">
        <v>31485</v>
      </c>
      <c r="Q11195" s="15" t="s">
        <v>299</v>
      </c>
      <c r="R11195" s="13" t="str">
        <f>HYPERLINK("https://my.pitchbook.com?c=59452-84T","View Company Online")</f>
        <v>View Company Online</v>
      </c>
    </row>
    <row r="11196" spans="1:18" hidden="1" x14ac:dyDescent="0.3">
      <c r="A11196" s="9" t="s">
        <v>31486</v>
      </c>
      <c r="B11196" s="9" t="s">
        <v>31487</v>
      </c>
      <c r="C11196" s="11" t="s">
        <v>28</v>
      </c>
      <c r="D11196" s="9" t="s">
        <v>31488</v>
      </c>
      <c r="E11196" s="11" t="s">
        <v>28</v>
      </c>
      <c r="F11196" s="10" t="s">
        <v>28</v>
      </c>
      <c r="G11196" s="10" t="s">
        <v>28</v>
      </c>
      <c r="H11196" s="10" t="s">
        <v>28</v>
      </c>
      <c r="I11196" s="11" t="s">
        <v>28</v>
      </c>
      <c r="J11196" s="11" t="s">
        <v>28</v>
      </c>
      <c r="K11196" s="11" t="s">
        <v>28</v>
      </c>
      <c r="L11196" s="11" t="s">
        <v>28</v>
      </c>
      <c r="M11196" s="11" t="s">
        <v>28</v>
      </c>
      <c r="N11196" s="8">
        <v>41274</v>
      </c>
      <c r="O11196" s="9" t="s">
        <v>30</v>
      </c>
      <c r="P11196" s="12" t="s">
        <v>31489</v>
      </c>
      <c r="Q11196" s="9" t="s">
        <v>19855</v>
      </c>
      <c r="R11196" s="14" t="str">
        <f>HYPERLINK("https://my.pitchbook.com?c=71830-63T","View Company Online")</f>
        <v>View Company Online</v>
      </c>
    </row>
    <row r="11197" spans="1:18" hidden="1" x14ac:dyDescent="0.3">
      <c r="A11197" s="15" t="s">
        <v>31490</v>
      </c>
      <c r="B11197" s="15" t="s">
        <v>1085</v>
      </c>
      <c r="C11197" s="18" t="s">
        <v>28</v>
      </c>
      <c r="D11197" s="15" t="s">
        <v>1086</v>
      </c>
      <c r="E11197" s="18" t="s">
        <v>28</v>
      </c>
      <c r="F11197" s="19">
        <v>607.94000000000005</v>
      </c>
      <c r="G11197" s="19">
        <v>329.56</v>
      </c>
      <c r="H11197" s="19">
        <v>607.94000000000005</v>
      </c>
      <c r="I11197" s="18" t="s">
        <v>28</v>
      </c>
      <c r="J11197" s="18" t="s">
        <v>28</v>
      </c>
      <c r="K11197" s="18" t="s">
        <v>28</v>
      </c>
      <c r="L11197" s="18" t="s">
        <v>28</v>
      </c>
      <c r="M11197" s="18" t="s">
        <v>28</v>
      </c>
      <c r="N11197" s="17">
        <v>41271</v>
      </c>
      <c r="O11197" s="15" t="s">
        <v>30</v>
      </c>
      <c r="P11197" s="16" t="s">
        <v>31491</v>
      </c>
      <c r="Q11197" s="15" t="s">
        <v>1088</v>
      </c>
      <c r="R11197" s="13" t="str">
        <f>HYPERLINK("https://my.pitchbook.com?c=81734-41T","View Company Online")</f>
        <v>View Company Online</v>
      </c>
    </row>
    <row r="11198" spans="1:18" hidden="1" x14ac:dyDescent="0.3">
      <c r="A11198" s="9" t="s">
        <v>31492</v>
      </c>
      <c r="B11198" s="9" t="s">
        <v>31493</v>
      </c>
      <c r="C11198" s="11" t="s">
        <v>28</v>
      </c>
      <c r="D11198" s="9" t="s">
        <v>31494</v>
      </c>
      <c r="E11198" s="11" t="s">
        <v>28</v>
      </c>
      <c r="F11198" s="10">
        <v>2</v>
      </c>
      <c r="G11198" s="10">
        <v>1</v>
      </c>
      <c r="H11198" s="10">
        <v>2</v>
      </c>
      <c r="I11198" s="11" t="s">
        <v>28</v>
      </c>
      <c r="J11198" s="11" t="s">
        <v>28</v>
      </c>
      <c r="K11198" s="11" t="s">
        <v>28</v>
      </c>
      <c r="L11198" s="11" t="s">
        <v>28</v>
      </c>
      <c r="M11198" s="11" t="s">
        <v>28</v>
      </c>
      <c r="N11198" s="8">
        <v>41271</v>
      </c>
      <c r="O11198" s="9" t="s">
        <v>30</v>
      </c>
      <c r="P11198" s="12" t="s">
        <v>31495</v>
      </c>
      <c r="Q11198" s="9" t="s">
        <v>19855</v>
      </c>
      <c r="R11198" s="14" t="str">
        <f>HYPERLINK("https://my.pitchbook.com?c=89721-82T","View Company Online")</f>
        <v>View Company Online</v>
      </c>
    </row>
    <row r="11199" spans="1:18" hidden="1" x14ac:dyDescent="0.3">
      <c r="A11199" s="15" t="s">
        <v>31496</v>
      </c>
      <c r="B11199" s="15" t="s">
        <v>20298</v>
      </c>
      <c r="C11199" s="18" t="s">
        <v>28</v>
      </c>
      <c r="D11199" s="15" t="s">
        <v>20299</v>
      </c>
      <c r="E11199" s="18" t="s">
        <v>28</v>
      </c>
      <c r="F11199" s="19" t="s">
        <v>28</v>
      </c>
      <c r="G11199" s="19">
        <v>2.63</v>
      </c>
      <c r="H11199" s="19">
        <v>10.96</v>
      </c>
      <c r="I11199" s="18" t="s">
        <v>28</v>
      </c>
      <c r="J11199" s="18" t="s">
        <v>28</v>
      </c>
      <c r="K11199" s="18" t="s">
        <v>28</v>
      </c>
      <c r="L11199" s="18" t="s">
        <v>28</v>
      </c>
      <c r="M11199" s="18" t="s">
        <v>28</v>
      </c>
      <c r="N11199" s="17">
        <v>41271</v>
      </c>
      <c r="O11199" s="15" t="s">
        <v>73</v>
      </c>
      <c r="P11199" s="16" t="s">
        <v>31497</v>
      </c>
      <c r="Q11199" s="15" t="s">
        <v>386</v>
      </c>
      <c r="R11199" s="13" t="str">
        <f>HYPERLINK("https://my.pitchbook.com?c=33062-95T","View Company Online")</f>
        <v>View Company Online</v>
      </c>
    </row>
    <row r="11200" spans="1:18" hidden="1" x14ac:dyDescent="0.3">
      <c r="A11200" s="9" t="s">
        <v>31498</v>
      </c>
      <c r="B11200" s="9" t="s">
        <v>20788</v>
      </c>
      <c r="C11200" s="11" t="s">
        <v>28</v>
      </c>
      <c r="D11200" s="9" t="s">
        <v>20789</v>
      </c>
      <c r="E11200" s="11" t="s">
        <v>28</v>
      </c>
      <c r="F11200" s="10" t="s">
        <v>28</v>
      </c>
      <c r="G11200" s="10" t="s">
        <v>28</v>
      </c>
      <c r="H11200" s="10" t="s">
        <v>28</v>
      </c>
      <c r="I11200" s="11" t="s">
        <v>28</v>
      </c>
      <c r="J11200" s="11" t="s">
        <v>28</v>
      </c>
      <c r="K11200" s="11" t="s">
        <v>28</v>
      </c>
      <c r="L11200" s="11" t="s">
        <v>28</v>
      </c>
      <c r="M11200" s="11">
        <v>0.2</v>
      </c>
      <c r="N11200" s="8">
        <v>41269</v>
      </c>
      <c r="O11200" s="9" t="s">
        <v>93</v>
      </c>
      <c r="P11200" s="12" t="s">
        <v>29390</v>
      </c>
      <c r="Q11200" s="9" t="s">
        <v>9353</v>
      </c>
      <c r="R11200" s="14" t="str">
        <f>HYPERLINK("https://my.pitchbook.com?c=122146-75T","View Company Online")</f>
        <v>View Company Online</v>
      </c>
    </row>
    <row r="11201" spans="1:18" hidden="1" x14ac:dyDescent="0.3">
      <c r="A11201" s="15" t="s">
        <v>31499</v>
      </c>
      <c r="B11201" s="15" t="s">
        <v>31500</v>
      </c>
      <c r="C11201" s="18" t="s">
        <v>28</v>
      </c>
      <c r="D11201" s="15" t="s">
        <v>31501</v>
      </c>
      <c r="E11201" s="18" t="s">
        <v>28</v>
      </c>
      <c r="F11201" s="19" t="s">
        <v>28</v>
      </c>
      <c r="G11201" s="19">
        <v>11.93</v>
      </c>
      <c r="H11201" s="19">
        <v>11.93</v>
      </c>
      <c r="I11201" s="18" t="s">
        <v>28</v>
      </c>
      <c r="J11201" s="18" t="s">
        <v>28</v>
      </c>
      <c r="K11201" s="18" t="s">
        <v>28</v>
      </c>
      <c r="L11201" s="18" t="s">
        <v>28</v>
      </c>
      <c r="M11201" s="18" t="s">
        <v>28</v>
      </c>
      <c r="N11201" s="17">
        <v>41264</v>
      </c>
      <c r="O11201" s="15" t="s">
        <v>30</v>
      </c>
      <c r="P11201" s="16" t="s">
        <v>4004</v>
      </c>
      <c r="Q11201" s="15" t="s">
        <v>188</v>
      </c>
      <c r="R11201" s="13" t="str">
        <f>HYPERLINK("https://my.pitchbook.com?c=89839-45T","View Company Online")</f>
        <v>View Company Online</v>
      </c>
    </row>
    <row r="11202" spans="1:18" hidden="1" x14ac:dyDescent="0.3">
      <c r="A11202" s="9" t="s">
        <v>31502</v>
      </c>
      <c r="B11202" s="9" t="s">
        <v>31503</v>
      </c>
      <c r="C11202" s="11" t="s">
        <v>28</v>
      </c>
      <c r="D11202" s="9" t="s">
        <v>31504</v>
      </c>
      <c r="E11202" s="11" t="s">
        <v>28</v>
      </c>
      <c r="F11202" s="10">
        <v>121.68</v>
      </c>
      <c r="G11202" s="10">
        <v>121.68</v>
      </c>
      <c r="H11202" s="10">
        <v>121.68</v>
      </c>
      <c r="I11202" s="11" t="s">
        <v>28</v>
      </c>
      <c r="J11202" s="11" t="s">
        <v>28</v>
      </c>
      <c r="K11202" s="11" t="s">
        <v>28</v>
      </c>
      <c r="L11202" s="11" t="s">
        <v>28</v>
      </c>
      <c r="M11202" s="11" t="s">
        <v>28</v>
      </c>
      <c r="N11202" s="8">
        <v>41264</v>
      </c>
      <c r="O11202" s="9" t="s">
        <v>30</v>
      </c>
      <c r="P11202" s="12" t="s">
        <v>28</v>
      </c>
      <c r="Q11202" s="9" t="s">
        <v>136</v>
      </c>
      <c r="R11202" s="14" t="str">
        <f>HYPERLINK("https://my.pitchbook.com?c=71324-47T","View Company Online")</f>
        <v>View Company Online</v>
      </c>
    </row>
    <row r="11203" spans="1:18" hidden="1" x14ac:dyDescent="0.3">
      <c r="A11203" s="15" t="s">
        <v>31505</v>
      </c>
      <c r="B11203" s="15" t="s">
        <v>31506</v>
      </c>
      <c r="C11203" s="18" t="s">
        <v>28</v>
      </c>
      <c r="D11203" s="15" t="s">
        <v>31507</v>
      </c>
      <c r="E11203" s="18" t="s">
        <v>28</v>
      </c>
      <c r="F11203" s="19">
        <v>31.68</v>
      </c>
      <c r="G11203" s="19">
        <v>31.68</v>
      </c>
      <c r="H11203" s="19">
        <v>31.68</v>
      </c>
      <c r="I11203" s="18" t="s">
        <v>28</v>
      </c>
      <c r="J11203" s="18" t="s">
        <v>28</v>
      </c>
      <c r="K11203" s="18" t="s">
        <v>28</v>
      </c>
      <c r="L11203" s="18" t="s">
        <v>28</v>
      </c>
      <c r="M11203" s="18" t="s">
        <v>28</v>
      </c>
      <c r="N11203" s="17">
        <v>41263</v>
      </c>
      <c r="O11203" s="15" t="s">
        <v>30</v>
      </c>
      <c r="P11203" s="16" t="s">
        <v>31508</v>
      </c>
      <c r="Q11203" s="15" t="s">
        <v>268</v>
      </c>
      <c r="R11203" s="13" t="str">
        <f>HYPERLINK("https://my.pitchbook.com?c=73504-63T","View Company Online")</f>
        <v>View Company Online</v>
      </c>
    </row>
    <row r="11204" spans="1:18" hidden="1" x14ac:dyDescent="0.3">
      <c r="A11204" s="9" t="s">
        <v>31509</v>
      </c>
      <c r="B11204" s="9" t="s">
        <v>11237</v>
      </c>
      <c r="C11204" s="11" t="s">
        <v>28</v>
      </c>
      <c r="D11204" s="9" t="s">
        <v>11747</v>
      </c>
      <c r="E11204" s="11">
        <v>192.84</v>
      </c>
      <c r="F11204" s="10" t="s">
        <v>28</v>
      </c>
      <c r="G11204" s="10">
        <v>668.04</v>
      </c>
      <c r="H11204" s="10">
        <v>10723.01</v>
      </c>
      <c r="I11204" s="11">
        <v>192.84</v>
      </c>
      <c r="J11204" s="11">
        <v>55.61</v>
      </c>
      <c r="K11204" s="11">
        <v>1232.57</v>
      </c>
      <c r="L11204" s="11">
        <v>8.6999999999999993</v>
      </c>
      <c r="M11204" s="11">
        <v>60.19</v>
      </c>
      <c r="N11204" s="8">
        <v>41263</v>
      </c>
      <c r="O11204" s="9" t="s">
        <v>159</v>
      </c>
      <c r="P11204" s="12" t="s">
        <v>27775</v>
      </c>
      <c r="Q11204" s="9" t="s">
        <v>348</v>
      </c>
      <c r="R11204" s="14" t="str">
        <f>HYPERLINK("https://my.pitchbook.com?c=25942-06T","View Company Online")</f>
        <v>View Company Online</v>
      </c>
    </row>
    <row r="11205" spans="1:18" hidden="1" x14ac:dyDescent="0.3">
      <c r="A11205" s="15" t="s">
        <v>31510</v>
      </c>
      <c r="B11205" s="15" t="s">
        <v>31511</v>
      </c>
      <c r="C11205" s="18" t="s">
        <v>28</v>
      </c>
      <c r="D11205" s="15" t="s">
        <v>31512</v>
      </c>
      <c r="E11205" s="18" t="s">
        <v>28</v>
      </c>
      <c r="F11205" s="19" t="s">
        <v>28</v>
      </c>
      <c r="G11205" s="19" t="s">
        <v>28</v>
      </c>
      <c r="H11205" s="19" t="s">
        <v>28</v>
      </c>
      <c r="I11205" s="18" t="s">
        <v>28</v>
      </c>
      <c r="J11205" s="18" t="s">
        <v>28</v>
      </c>
      <c r="K11205" s="18" t="s">
        <v>28</v>
      </c>
      <c r="L11205" s="18" t="s">
        <v>28</v>
      </c>
      <c r="M11205" s="18" t="s">
        <v>28</v>
      </c>
      <c r="N11205" s="17">
        <v>41263</v>
      </c>
      <c r="O11205" s="15" t="s">
        <v>173</v>
      </c>
      <c r="P11205" s="16" t="s">
        <v>28</v>
      </c>
      <c r="Q11205" s="15" t="s">
        <v>174</v>
      </c>
      <c r="R11205" s="13" t="str">
        <f>HYPERLINK("https://my.pitchbook.com?c=227744-11T","View Company Online")</f>
        <v>View Company Online</v>
      </c>
    </row>
    <row r="11206" spans="1:18" hidden="1" x14ac:dyDescent="0.3">
      <c r="A11206" s="9" t="s">
        <v>31513</v>
      </c>
      <c r="B11206" s="9" t="s">
        <v>28017</v>
      </c>
      <c r="C11206" s="11" t="s">
        <v>28</v>
      </c>
      <c r="D11206" s="9" t="s">
        <v>28018</v>
      </c>
      <c r="E11206" s="11" t="s">
        <v>28</v>
      </c>
      <c r="F11206" s="10" t="s">
        <v>28</v>
      </c>
      <c r="G11206" s="10">
        <v>1.6</v>
      </c>
      <c r="H11206" s="10" t="s">
        <v>28</v>
      </c>
      <c r="I11206" s="11" t="s">
        <v>28</v>
      </c>
      <c r="J11206" s="11" t="s">
        <v>28</v>
      </c>
      <c r="K11206" s="11" t="s">
        <v>28</v>
      </c>
      <c r="L11206" s="11" t="s">
        <v>28</v>
      </c>
      <c r="M11206" s="11" t="s">
        <v>28</v>
      </c>
      <c r="N11206" s="8">
        <v>41263</v>
      </c>
      <c r="O11206" s="9" t="s">
        <v>73</v>
      </c>
      <c r="P11206" s="12" t="s">
        <v>31514</v>
      </c>
      <c r="Q11206" s="9" t="s">
        <v>1643</v>
      </c>
      <c r="R11206" s="14" t="str">
        <f>HYPERLINK("https://my.pitchbook.com?c=32726-17T","View Company Online")</f>
        <v>View Company Online</v>
      </c>
    </row>
    <row r="11207" spans="1:18" hidden="1" x14ac:dyDescent="0.3">
      <c r="A11207" s="15" t="s">
        <v>31515</v>
      </c>
      <c r="B11207" s="15" t="s">
        <v>31516</v>
      </c>
      <c r="C11207" s="18" t="s">
        <v>28</v>
      </c>
      <c r="D11207" s="15" t="s">
        <v>31517</v>
      </c>
      <c r="E11207" s="18" t="s">
        <v>28</v>
      </c>
      <c r="F11207" s="19" t="s">
        <v>28</v>
      </c>
      <c r="G11207" s="19" t="s">
        <v>28</v>
      </c>
      <c r="H11207" s="19" t="s">
        <v>28</v>
      </c>
      <c r="I11207" s="18" t="s">
        <v>28</v>
      </c>
      <c r="J11207" s="18" t="s">
        <v>28</v>
      </c>
      <c r="K11207" s="18" t="s">
        <v>28</v>
      </c>
      <c r="L11207" s="18" t="s">
        <v>28</v>
      </c>
      <c r="M11207" s="18" t="s">
        <v>28</v>
      </c>
      <c r="N11207" s="17">
        <v>41263</v>
      </c>
      <c r="O11207" s="15" t="s">
        <v>173</v>
      </c>
      <c r="P11207" s="16" t="s">
        <v>28</v>
      </c>
      <c r="Q11207" s="15" t="s">
        <v>174</v>
      </c>
      <c r="R11207" s="13" t="str">
        <f>HYPERLINK("https://my.pitchbook.com?c=226470-79T","View Company Online")</f>
        <v>View Company Online</v>
      </c>
    </row>
    <row r="11208" spans="1:18" hidden="1" x14ac:dyDescent="0.3">
      <c r="A11208" s="9" t="s">
        <v>31518</v>
      </c>
      <c r="B11208" s="9" t="s">
        <v>25402</v>
      </c>
      <c r="C11208" s="11" t="s">
        <v>28</v>
      </c>
      <c r="D11208" s="9" t="s">
        <v>25403</v>
      </c>
      <c r="E11208" s="11" t="s">
        <v>28</v>
      </c>
      <c r="F11208" s="10" t="s">
        <v>28</v>
      </c>
      <c r="G11208" s="10">
        <v>14</v>
      </c>
      <c r="H11208" s="10">
        <v>56.67</v>
      </c>
      <c r="I11208" s="11" t="s">
        <v>28</v>
      </c>
      <c r="J11208" s="11" t="s">
        <v>28</v>
      </c>
      <c r="K11208" s="11" t="s">
        <v>28</v>
      </c>
      <c r="L11208" s="11" t="s">
        <v>28</v>
      </c>
      <c r="M11208" s="11" t="s">
        <v>28</v>
      </c>
      <c r="N11208" s="8">
        <v>41262</v>
      </c>
      <c r="O11208" s="9" t="s">
        <v>73</v>
      </c>
      <c r="P11208" s="12" t="s">
        <v>31519</v>
      </c>
      <c r="Q11208" s="9" t="s">
        <v>119</v>
      </c>
      <c r="R11208" s="14" t="str">
        <f>HYPERLINK("https://my.pitchbook.com?c=23366-80T","View Company Online")</f>
        <v>View Company Online</v>
      </c>
    </row>
    <row r="11209" spans="1:18" hidden="1" x14ac:dyDescent="0.3">
      <c r="A11209" s="15" t="s">
        <v>31520</v>
      </c>
      <c r="B11209" s="15" t="s">
        <v>31521</v>
      </c>
      <c r="C11209" s="18" t="s">
        <v>28</v>
      </c>
      <c r="D11209" s="15" t="s">
        <v>31522</v>
      </c>
      <c r="E11209" s="18" t="s">
        <v>28</v>
      </c>
      <c r="F11209" s="19" t="s">
        <v>28</v>
      </c>
      <c r="G11209" s="19" t="s">
        <v>28</v>
      </c>
      <c r="H11209" s="19" t="s">
        <v>28</v>
      </c>
      <c r="I11209" s="18" t="s">
        <v>28</v>
      </c>
      <c r="J11209" s="18" t="s">
        <v>28</v>
      </c>
      <c r="K11209" s="18" t="s">
        <v>28</v>
      </c>
      <c r="L11209" s="18" t="s">
        <v>28</v>
      </c>
      <c r="M11209" s="18" t="s">
        <v>28</v>
      </c>
      <c r="N11209" s="17">
        <v>41261</v>
      </c>
      <c r="O11209" s="15" t="s">
        <v>30</v>
      </c>
      <c r="P11209" s="16" t="s">
        <v>31523</v>
      </c>
      <c r="Q11209" s="15" t="s">
        <v>353</v>
      </c>
      <c r="R11209" s="13" t="str">
        <f>HYPERLINK("https://my.pitchbook.com?c=89805-70T","View Company Online")</f>
        <v>View Company Online</v>
      </c>
    </row>
    <row r="11210" spans="1:18" hidden="1" x14ac:dyDescent="0.3">
      <c r="A11210" s="9" t="s">
        <v>31524</v>
      </c>
      <c r="B11210" s="9" t="s">
        <v>31525</v>
      </c>
      <c r="C11210" s="11" t="s">
        <v>28</v>
      </c>
      <c r="D11210" s="9" t="s">
        <v>31526</v>
      </c>
      <c r="E11210" s="11" t="s">
        <v>28</v>
      </c>
      <c r="F11210" s="10" t="s">
        <v>28</v>
      </c>
      <c r="G11210" s="10" t="s">
        <v>28</v>
      </c>
      <c r="H11210" s="10" t="s">
        <v>28</v>
      </c>
      <c r="I11210" s="11" t="s">
        <v>28</v>
      </c>
      <c r="J11210" s="11" t="s">
        <v>28</v>
      </c>
      <c r="K11210" s="11" t="s">
        <v>28</v>
      </c>
      <c r="L11210" s="11" t="s">
        <v>28</v>
      </c>
      <c r="M11210" s="11" t="s">
        <v>28</v>
      </c>
      <c r="N11210" s="8">
        <v>41261</v>
      </c>
      <c r="O11210" s="9" t="s">
        <v>173</v>
      </c>
      <c r="P11210" s="12" t="s">
        <v>28</v>
      </c>
      <c r="Q11210" s="9" t="s">
        <v>174</v>
      </c>
      <c r="R11210" s="14" t="str">
        <f>HYPERLINK("https://my.pitchbook.com?c=224050-24T","View Company Online")</f>
        <v>View Company Online</v>
      </c>
    </row>
    <row r="11211" spans="1:18" hidden="1" x14ac:dyDescent="0.3">
      <c r="A11211" s="15" t="s">
        <v>31527</v>
      </c>
      <c r="B11211" s="15" t="s">
        <v>16136</v>
      </c>
      <c r="C11211" s="18" t="s">
        <v>28</v>
      </c>
      <c r="D11211" s="15" t="s">
        <v>16137</v>
      </c>
      <c r="E11211" s="18" t="s">
        <v>28</v>
      </c>
      <c r="F11211" s="19" t="s">
        <v>28</v>
      </c>
      <c r="G11211" s="19" t="s">
        <v>28</v>
      </c>
      <c r="H11211" s="19" t="s">
        <v>28</v>
      </c>
      <c r="I11211" s="18" t="s">
        <v>28</v>
      </c>
      <c r="J11211" s="18" t="s">
        <v>28</v>
      </c>
      <c r="K11211" s="18" t="s">
        <v>28</v>
      </c>
      <c r="L11211" s="18" t="s">
        <v>28</v>
      </c>
      <c r="M11211" s="18" t="s">
        <v>28</v>
      </c>
      <c r="N11211" s="17">
        <v>41257</v>
      </c>
      <c r="O11211" s="15" t="s">
        <v>52</v>
      </c>
      <c r="P11211" s="16" t="s">
        <v>31528</v>
      </c>
      <c r="Q11211" s="15" t="s">
        <v>75</v>
      </c>
      <c r="R11211" s="13" t="str">
        <f>HYPERLINK("https://my.pitchbook.com?c=136783-54T","View Company Online")</f>
        <v>View Company Online</v>
      </c>
    </row>
    <row r="11212" spans="1:18" hidden="1" x14ac:dyDescent="0.3">
      <c r="A11212" s="9" t="s">
        <v>31529</v>
      </c>
      <c r="B11212" s="9" t="s">
        <v>31530</v>
      </c>
      <c r="C11212" s="11" t="s">
        <v>28</v>
      </c>
      <c r="D11212" s="9" t="s">
        <v>31531</v>
      </c>
      <c r="E11212" s="11" t="s">
        <v>28</v>
      </c>
      <c r="F11212" s="10" t="s">
        <v>28</v>
      </c>
      <c r="G11212" s="10" t="s">
        <v>28</v>
      </c>
      <c r="H11212" s="10" t="s">
        <v>28</v>
      </c>
      <c r="I11212" s="11" t="s">
        <v>28</v>
      </c>
      <c r="J11212" s="11" t="s">
        <v>28</v>
      </c>
      <c r="K11212" s="11" t="s">
        <v>28</v>
      </c>
      <c r="L11212" s="11" t="s">
        <v>28</v>
      </c>
      <c r="M11212" s="11" t="s">
        <v>28</v>
      </c>
      <c r="N11212" s="8">
        <v>41255</v>
      </c>
      <c r="O11212" s="9" t="s">
        <v>173</v>
      </c>
      <c r="P11212" s="12" t="s">
        <v>28</v>
      </c>
      <c r="Q11212" s="9" t="s">
        <v>240</v>
      </c>
      <c r="R11212" s="14" t="str">
        <f>HYPERLINK("https://my.pitchbook.com?c=226105-39T","View Company Online")</f>
        <v>View Company Online</v>
      </c>
    </row>
    <row r="11213" spans="1:18" hidden="1" x14ac:dyDescent="0.3">
      <c r="A11213" s="15" t="s">
        <v>31532</v>
      </c>
      <c r="B11213" s="15" t="s">
        <v>29352</v>
      </c>
      <c r="C11213" s="18" t="s">
        <v>28</v>
      </c>
      <c r="D11213" s="15" t="s">
        <v>29353</v>
      </c>
      <c r="E11213" s="18">
        <v>49.94</v>
      </c>
      <c r="F11213" s="19" t="s">
        <v>28</v>
      </c>
      <c r="G11213" s="19" t="s">
        <v>28</v>
      </c>
      <c r="H11213" s="19" t="s">
        <v>28</v>
      </c>
      <c r="I11213" s="18">
        <v>78.78</v>
      </c>
      <c r="J11213" s="18" t="s">
        <v>28</v>
      </c>
      <c r="K11213" s="18">
        <v>840</v>
      </c>
      <c r="L11213" s="18" t="s">
        <v>28</v>
      </c>
      <c r="M11213" s="18">
        <v>55.13</v>
      </c>
      <c r="N11213" s="17">
        <v>41254</v>
      </c>
      <c r="O11213" s="15" t="s">
        <v>159</v>
      </c>
      <c r="P11213" s="16" t="s">
        <v>31533</v>
      </c>
      <c r="Q11213" s="15" t="s">
        <v>43</v>
      </c>
      <c r="R11213" s="13" t="str">
        <f>HYPERLINK("https://my.pitchbook.com?c=33707-80T","View Company Online")</f>
        <v>View Company Online</v>
      </c>
    </row>
    <row r="11214" spans="1:18" hidden="1" x14ac:dyDescent="0.3">
      <c r="A11214" s="9" t="s">
        <v>31534</v>
      </c>
      <c r="B11214" s="9" t="s">
        <v>31535</v>
      </c>
      <c r="C11214" s="11" t="s">
        <v>28</v>
      </c>
      <c r="D11214" s="9" t="s">
        <v>31536</v>
      </c>
      <c r="E11214" s="11" t="s">
        <v>28</v>
      </c>
      <c r="F11214" s="10" t="s">
        <v>28</v>
      </c>
      <c r="G11214" s="10" t="s">
        <v>28</v>
      </c>
      <c r="H11214" s="10" t="s">
        <v>28</v>
      </c>
      <c r="I11214" s="11" t="s">
        <v>28</v>
      </c>
      <c r="J11214" s="11" t="s">
        <v>28</v>
      </c>
      <c r="K11214" s="11" t="s">
        <v>28</v>
      </c>
      <c r="L11214" s="11" t="s">
        <v>28</v>
      </c>
      <c r="M11214" s="11" t="s">
        <v>28</v>
      </c>
      <c r="N11214" s="8">
        <v>41254</v>
      </c>
      <c r="O11214" s="9" t="s">
        <v>30</v>
      </c>
      <c r="P11214" s="12" t="s">
        <v>31537</v>
      </c>
      <c r="Q11214" s="9" t="s">
        <v>331</v>
      </c>
      <c r="R11214" s="14" t="str">
        <f>HYPERLINK("https://my.pitchbook.com?c=90102-25T","View Company Online")</f>
        <v>View Company Online</v>
      </c>
    </row>
    <row r="11215" spans="1:18" hidden="1" x14ac:dyDescent="0.3">
      <c r="A11215" s="15" t="s">
        <v>31538</v>
      </c>
      <c r="B11215" s="15" t="s">
        <v>31539</v>
      </c>
      <c r="C11215" s="18" t="s">
        <v>28</v>
      </c>
      <c r="D11215" s="15" t="s">
        <v>31540</v>
      </c>
      <c r="E11215" s="18" t="s">
        <v>28</v>
      </c>
      <c r="F11215" s="19">
        <v>59.6</v>
      </c>
      <c r="G11215" s="19">
        <v>59.6</v>
      </c>
      <c r="H11215" s="19">
        <v>59.6</v>
      </c>
      <c r="I11215" s="18" t="s">
        <v>28</v>
      </c>
      <c r="J11215" s="18" t="s">
        <v>28</v>
      </c>
      <c r="K11215" s="18" t="s">
        <v>28</v>
      </c>
      <c r="L11215" s="18" t="s">
        <v>28</v>
      </c>
      <c r="M11215" s="18" t="s">
        <v>28</v>
      </c>
      <c r="N11215" s="17">
        <v>41253</v>
      </c>
      <c r="O11215" s="15" t="s">
        <v>30</v>
      </c>
      <c r="P11215" s="16" t="s">
        <v>31541</v>
      </c>
      <c r="Q11215" s="15" t="s">
        <v>19850</v>
      </c>
      <c r="R11215" s="13" t="str">
        <f>HYPERLINK("https://my.pitchbook.com?c=90193-33T","View Company Online")</f>
        <v>View Company Online</v>
      </c>
    </row>
    <row r="11216" spans="1:18" hidden="1" x14ac:dyDescent="0.3">
      <c r="A11216" s="9" t="s">
        <v>31542</v>
      </c>
      <c r="B11216" s="9" t="s">
        <v>10389</v>
      </c>
      <c r="C11216" s="11" t="s">
        <v>28</v>
      </c>
      <c r="D11216" s="9" t="s">
        <v>10390</v>
      </c>
      <c r="E11216" s="11" t="s">
        <v>28</v>
      </c>
      <c r="F11216" s="10" t="s">
        <v>28</v>
      </c>
      <c r="G11216" s="10">
        <v>110</v>
      </c>
      <c r="H11216" s="10" t="s">
        <v>28</v>
      </c>
      <c r="I11216" s="11" t="s">
        <v>28</v>
      </c>
      <c r="J11216" s="11" t="s">
        <v>28</v>
      </c>
      <c r="K11216" s="11">
        <v>119.1</v>
      </c>
      <c r="L11216" s="11" t="s">
        <v>28</v>
      </c>
      <c r="M11216" s="11" t="s">
        <v>28</v>
      </c>
      <c r="N11216" s="8">
        <v>41253</v>
      </c>
      <c r="O11216" s="9" t="s">
        <v>73</v>
      </c>
      <c r="P11216" s="12" t="s">
        <v>31543</v>
      </c>
      <c r="Q11216" s="9" t="s">
        <v>740</v>
      </c>
      <c r="R11216" s="14" t="str">
        <f>HYPERLINK("https://my.pitchbook.com?c=27014-59T","View Company Online")</f>
        <v>View Company Online</v>
      </c>
    </row>
    <row r="11217" spans="1:18" hidden="1" x14ac:dyDescent="0.3">
      <c r="A11217" s="15" t="s">
        <v>31544</v>
      </c>
      <c r="B11217" s="15" t="s">
        <v>421</v>
      </c>
      <c r="C11217" s="18" t="s">
        <v>28</v>
      </c>
      <c r="D11217" s="15" t="s">
        <v>422</v>
      </c>
      <c r="E11217" s="18" t="s">
        <v>28</v>
      </c>
      <c r="F11217" s="19" t="s">
        <v>28</v>
      </c>
      <c r="G11217" s="19">
        <v>200</v>
      </c>
      <c r="H11217" s="19">
        <v>645.16</v>
      </c>
      <c r="I11217" s="18" t="s">
        <v>28</v>
      </c>
      <c r="J11217" s="18" t="s">
        <v>28</v>
      </c>
      <c r="K11217" s="18">
        <v>229.59</v>
      </c>
      <c r="L11217" s="18">
        <v>2.81</v>
      </c>
      <c r="M11217" s="18" t="s">
        <v>28</v>
      </c>
      <c r="N11217" s="17">
        <v>41248</v>
      </c>
      <c r="O11217" s="15" t="s">
        <v>93</v>
      </c>
      <c r="P11217" s="16" t="s">
        <v>27092</v>
      </c>
      <c r="Q11217" s="15" t="s">
        <v>424</v>
      </c>
      <c r="R11217" s="13" t="str">
        <f>HYPERLINK("https://my.pitchbook.com?c=23045-41T","View Company Online")</f>
        <v>View Company Online</v>
      </c>
    </row>
    <row r="11218" spans="1:18" hidden="1" x14ac:dyDescent="0.3">
      <c r="A11218" s="9" t="s">
        <v>31545</v>
      </c>
      <c r="B11218" s="9" t="s">
        <v>28377</v>
      </c>
      <c r="C11218" s="11" t="s">
        <v>28</v>
      </c>
      <c r="D11218" s="9" t="s">
        <v>28379</v>
      </c>
      <c r="E11218" s="11" t="s">
        <v>28</v>
      </c>
      <c r="F11218" s="10" t="s">
        <v>28</v>
      </c>
      <c r="G11218" s="10" t="s">
        <v>28</v>
      </c>
      <c r="H11218" s="10" t="s">
        <v>28</v>
      </c>
      <c r="I11218" s="11" t="s">
        <v>28</v>
      </c>
      <c r="J11218" s="11" t="s">
        <v>28</v>
      </c>
      <c r="K11218" s="11" t="s">
        <v>28</v>
      </c>
      <c r="L11218" s="11" t="s">
        <v>28</v>
      </c>
      <c r="M11218" s="11" t="s">
        <v>28</v>
      </c>
      <c r="N11218" s="8">
        <v>41248</v>
      </c>
      <c r="O11218" s="9" t="s">
        <v>30</v>
      </c>
      <c r="P11218" s="12" t="s">
        <v>31546</v>
      </c>
      <c r="Q11218" s="9" t="s">
        <v>119</v>
      </c>
      <c r="R11218" s="14" t="str">
        <f>HYPERLINK("https://my.pitchbook.com?c=216400-51T","View Company Online")</f>
        <v>View Company Online</v>
      </c>
    </row>
    <row r="11219" spans="1:18" hidden="1" x14ac:dyDescent="0.3">
      <c r="A11219" s="15" t="s">
        <v>31547</v>
      </c>
      <c r="B11219" s="15" t="s">
        <v>7535</v>
      </c>
      <c r="C11219" s="18" t="s">
        <v>28</v>
      </c>
      <c r="D11219" s="15" t="s">
        <v>7536</v>
      </c>
      <c r="E11219" s="18" t="s">
        <v>28</v>
      </c>
      <c r="F11219" s="19" t="s">
        <v>28</v>
      </c>
      <c r="G11219" s="19">
        <v>1.21</v>
      </c>
      <c r="H11219" s="19" t="s">
        <v>28</v>
      </c>
      <c r="I11219" s="18" t="s">
        <v>28</v>
      </c>
      <c r="J11219" s="18" t="s">
        <v>28</v>
      </c>
      <c r="K11219" s="18" t="s">
        <v>28</v>
      </c>
      <c r="L11219" s="18" t="s">
        <v>28</v>
      </c>
      <c r="M11219" s="18" t="s">
        <v>28</v>
      </c>
      <c r="N11219" s="17">
        <v>41247</v>
      </c>
      <c r="O11219" s="15" t="s">
        <v>73</v>
      </c>
      <c r="P11219" s="16" t="s">
        <v>31548</v>
      </c>
      <c r="Q11219" s="15" t="s">
        <v>43</v>
      </c>
      <c r="R11219" s="13" t="str">
        <f>HYPERLINK("https://my.pitchbook.com?c=30675-61T","View Company Online")</f>
        <v>View Company Online</v>
      </c>
    </row>
    <row r="11220" spans="1:18" hidden="1" x14ac:dyDescent="0.3">
      <c r="A11220" s="9" t="s">
        <v>31549</v>
      </c>
      <c r="B11220" s="9" t="s">
        <v>31550</v>
      </c>
      <c r="C11220" s="11" t="s">
        <v>28</v>
      </c>
      <c r="D11220" s="9" t="s">
        <v>31551</v>
      </c>
      <c r="E11220" s="11" t="s">
        <v>28</v>
      </c>
      <c r="F11220" s="10" t="s">
        <v>28</v>
      </c>
      <c r="G11220" s="10" t="s">
        <v>28</v>
      </c>
      <c r="H11220" s="10" t="s">
        <v>28</v>
      </c>
      <c r="I11220" s="11" t="s">
        <v>28</v>
      </c>
      <c r="J11220" s="11" t="s">
        <v>28</v>
      </c>
      <c r="K11220" s="11" t="s">
        <v>28</v>
      </c>
      <c r="L11220" s="11" t="s">
        <v>28</v>
      </c>
      <c r="M11220" s="11" t="s">
        <v>28</v>
      </c>
      <c r="N11220" s="8">
        <v>41246</v>
      </c>
      <c r="O11220" s="9" t="s">
        <v>30</v>
      </c>
      <c r="P11220" s="12" t="s">
        <v>4827</v>
      </c>
      <c r="Q11220" s="9" t="s">
        <v>4753</v>
      </c>
      <c r="R11220" s="14" t="str">
        <f>HYPERLINK("https://my.pitchbook.com?c=89950-24T","View Company Online")</f>
        <v>View Company Online</v>
      </c>
    </row>
    <row r="11221" spans="1:18" hidden="1" x14ac:dyDescent="0.3">
      <c r="A11221" s="15" t="s">
        <v>31552</v>
      </c>
      <c r="B11221" s="15" t="s">
        <v>31553</v>
      </c>
      <c r="C11221" s="18" t="s">
        <v>28</v>
      </c>
      <c r="D11221" s="15" t="s">
        <v>31554</v>
      </c>
      <c r="E11221" s="18" t="s">
        <v>28</v>
      </c>
      <c r="F11221" s="19" t="s">
        <v>28</v>
      </c>
      <c r="G11221" s="19" t="s">
        <v>28</v>
      </c>
      <c r="H11221" s="19" t="s">
        <v>28</v>
      </c>
      <c r="I11221" s="18" t="s">
        <v>28</v>
      </c>
      <c r="J11221" s="18" t="s">
        <v>28</v>
      </c>
      <c r="K11221" s="18" t="s">
        <v>28</v>
      </c>
      <c r="L11221" s="18" t="s">
        <v>28</v>
      </c>
      <c r="M11221" s="18" t="s">
        <v>28</v>
      </c>
      <c r="N11221" s="17">
        <v>41246</v>
      </c>
      <c r="O11221" s="15" t="s">
        <v>30</v>
      </c>
      <c r="P11221" s="16" t="s">
        <v>31555</v>
      </c>
      <c r="Q11221" s="15" t="s">
        <v>4602</v>
      </c>
      <c r="R11221" s="13" t="str">
        <f>HYPERLINK("https://my.pitchbook.com?c=90083-89T","View Company Online")</f>
        <v>View Company Online</v>
      </c>
    </row>
    <row r="11222" spans="1:18" hidden="1" x14ac:dyDescent="0.3">
      <c r="A11222" s="9" t="s">
        <v>31556</v>
      </c>
      <c r="B11222" s="9" t="s">
        <v>27094</v>
      </c>
      <c r="C11222" s="11" t="s">
        <v>28</v>
      </c>
      <c r="D11222" s="9" t="s">
        <v>27095</v>
      </c>
      <c r="E11222" s="11" t="s">
        <v>28</v>
      </c>
      <c r="F11222" s="10" t="s">
        <v>28</v>
      </c>
      <c r="G11222" s="10" t="s">
        <v>28</v>
      </c>
      <c r="H11222" s="10" t="s">
        <v>28</v>
      </c>
      <c r="I11222" s="11" t="s">
        <v>28</v>
      </c>
      <c r="J11222" s="11" t="s">
        <v>28</v>
      </c>
      <c r="K11222" s="11" t="s">
        <v>28</v>
      </c>
      <c r="L11222" s="11" t="s">
        <v>28</v>
      </c>
      <c r="M11222" s="11" t="s">
        <v>28</v>
      </c>
      <c r="N11222" s="8">
        <v>41246</v>
      </c>
      <c r="O11222" s="9" t="s">
        <v>30</v>
      </c>
      <c r="P11222" s="12" t="s">
        <v>31557</v>
      </c>
      <c r="Q11222" s="9" t="s">
        <v>353</v>
      </c>
      <c r="R11222" s="14" t="str">
        <f>HYPERLINK("https://my.pitchbook.com?c=62203-15T","View Company Online")</f>
        <v>View Company Online</v>
      </c>
    </row>
    <row r="11223" spans="1:18" hidden="1" x14ac:dyDescent="0.3">
      <c r="A11223" s="15" t="s">
        <v>31558</v>
      </c>
      <c r="B11223" s="15" t="s">
        <v>31559</v>
      </c>
      <c r="C11223" s="18" t="s">
        <v>28</v>
      </c>
      <c r="D11223" s="15" t="s">
        <v>31560</v>
      </c>
      <c r="E11223" s="18" t="s">
        <v>28</v>
      </c>
      <c r="F11223" s="19" t="s">
        <v>28</v>
      </c>
      <c r="G11223" s="19" t="s">
        <v>28</v>
      </c>
      <c r="H11223" s="19" t="s">
        <v>28</v>
      </c>
      <c r="I11223" s="18" t="s">
        <v>28</v>
      </c>
      <c r="J11223" s="18" t="s">
        <v>28</v>
      </c>
      <c r="K11223" s="18" t="s">
        <v>28</v>
      </c>
      <c r="L11223" s="18" t="s">
        <v>28</v>
      </c>
      <c r="M11223" s="18" t="s">
        <v>28</v>
      </c>
      <c r="N11223" s="17">
        <v>41245</v>
      </c>
      <c r="O11223" s="15" t="s">
        <v>173</v>
      </c>
      <c r="P11223" s="16" t="s">
        <v>28</v>
      </c>
      <c r="Q11223" s="15" t="s">
        <v>174</v>
      </c>
      <c r="R11223" s="13" t="str">
        <f>HYPERLINK("https://my.pitchbook.com?c=224048-08T","View Company Online")</f>
        <v>View Company Online</v>
      </c>
    </row>
    <row r="11224" spans="1:18" hidden="1" x14ac:dyDescent="0.3">
      <c r="A11224" s="9" t="s">
        <v>31561</v>
      </c>
      <c r="B11224" s="9" t="s">
        <v>23068</v>
      </c>
      <c r="C11224" s="11" t="s">
        <v>28</v>
      </c>
      <c r="D11224" s="9" t="s">
        <v>23069</v>
      </c>
      <c r="E11224" s="11">
        <v>14.87</v>
      </c>
      <c r="F11224" s="10" t="s">
        <v>28</v>
      </c>
      <c r="G11224" s="10" t="s">
        <v>28</v>
      </c>
      <c r="H11224" s="10" t="s">
        <v>28</v>
      </c>
      <c r="I11224" s="11">
        <v>28.87</v>
      </c>
      <c r="J11224" s="11" t="s">
        <v>28</v>
      </c>
      <c r="K11224" s="11">
        <v>275.86</v>
      </c>
      <c r="L11224" s="11" t="s">
        <v>28</v>
      </c>
      <c r="M11224" s="11">
        <v>13.5</v>
      </c>
      <c r="N11224" s="8">
        <v>41244</v>
      </c>
      <c r="O11224" s="9" t="s">
        <v>41</v>
      </c>
      <c r="P11224" s="12" t="s">
        <v>30689</v>
      </c>
      <c r="Q11224" s="9" t="s">
        <v>15070</v>
      </c>
      <c r="R11224" s="14" t="str">
        <f>HYPERLINK("https://my.pitchbook.com?c=81997-03T","View Company Online")</f>
        <v>View Company Online</v>
      </c>
    </row>
    <row r="11225" spans="1:18" hidden="1" x14ac:dyDescent="0.3">
      <c r="A11225" s="15" t="s">
        <v>31562</v>
      </c>
      <c r="B11225" s="15" t="s">
        <v>31563</v>
      </c>
      <c r="C11225" s="18" t="s">
        <v>28</v>
      </c>
      <c r="D11225" s="15" t="s">
        <v>31564</v>
      </c>
      <c r="E11225" s="18" t="s">
        <v>28</v>
      </c>
      <c r="F11225" s="19" t="s">
        <v>28</v>
      </c>
      <c r="G11225" s="19" t="s">
        <v>28</v>
      </c>
      <c r="H11225" s="19" t="s">
        <v>28</v>
      </c>
      <c r="I11225" s="18" t="s">
        <v>28</v>
      </c>
      <c r="J11225" s="18" t="s">
        <v>28</v>
      </c>
      <c r="K11225" s="18" t="s">
        <v>28</v>
      </c>
      <c r="L11225" s="18" t="s">
        <v>28</v>
      </c>
      <c r="M11225" s="18" t="s">
        <v>28</v>
      </c>
      <c r="N11225" s="17">
        <v>41244</v>
      </c>
      <c r="O11225" s="15" t="s">
        <v>93</v>
      </c>
      <c r="P11225" s="16" t="s">
        <v>26574</v>
      </c>
      <c r="Q11225" s="15" t="s">
        <v>900</v>
      </c>
      <c r="R11225" s="13" t="str">
        <f>HYPERLINK("https://my.pitchbook.com?c=181350-10T","View Company Online")</f>
        <v>View Company Online</v>
      </c>
    </row>
    <row r="11226" spans="1:18" hidden="1" x14ac:dyDescent="0.3">
      <c r="A11226" s="9" t="s">
        <v>31565</v>
      </c>
      <c r="B11226" s="9" t="s">
        <v>30537</v>
      </c>
      <c r="C11226" s="11" t="s">
        <v>28</v>
      </c>
      <c r="D11226" s="9" t="s">
        <v>30538</v>
      </c>
      <c r="E11226" s="11" t="s">
        <v>28</v>
      </c>
      <c r="F11226" s="10" t="s">
        <v>28</v>
      </c>
      <c r="G11226" s="10">
        <v>0.72</v>
      </c>
      <c r="H11226" s="10" t="s">
        <v>28</v>
      </c>
      <c r="I11226" s="11" t="s">
        <v>28</v>
      </c>
      <c r="J11226" s="11" t="s">
        <v>28</v>
      </c>
      <c r="K11226" s="11" t="s">
        <v>28</v>
      </c>
      <c r="L11226" s="11" t="s">
        <v>28</v>
      </c>
      <c r="M11226" s="11" t="s">
        <v>28</v>
      </c>
      <c r="N11226" s="8">
        <v>41244</v>
      </c>
      <c r="O11226" s="9" t="s">
        <v>73</v>
      </c>
      <c r="P11226" s="12" t="s">
        <v>31566</v>
      </c>
      <c r="Q11226" s="9" t="s">
        <v>566</v>
      </c>
      <c r="R11226" s="14" t="str">
        <f>HYPERLINK("https://my.pitchbook.com?c=33063-31T","View Company Online")</f>
        <v>View Company Online</v>
      </c>
    </row>
    <row r="11227" spans="1:18" hidden="1" x14ac:dyDescent="0.3">
      <c r="A11227" s="15" t="s">
        <v>31567</v>
      </c>
      <c r="B11227" s="15" t="s">
        <v>25918</v>
      </c>
      <c r="C11227" s="18" t="s">
        <v>28</v>
      </c>
      <c r="D11227" s="15" t="s">
        <v>25919</v>
      </c>
      <c r="E11227" s="18" t="s">
        <v>28</v>
      </c>
      <c r="F11227" s="19" t="s">
        <v>28</v>
      </c>
      <c r="G11227" s="19" t="s">
        <v>28</v>
      </c>
      <c r="H11227" s="19" t="s">
        <v>28</v>
      </c>
      <c r="I11227" s="18" t="s">
        <v>28</v>
      </c>
      <c r="J11227" s="18" t="s">
        <v>28</v>
      </c>
      <c r="K11227" s="18" t="s">
        <v>28</v>
      </c>
      <c r="L11227" s="18" t="s">
        <v>28</v>
      </c>
      <c r="M11227" s="18" t="s">
        <v>28</v>
      </c>
      <c r="N11227" s="17">
        <v>41244</v>
      </c>
      <c r="O11227" s="15" t="s">
        <v>30</v>
      </c>
      <c r="P11227" s="16" t="s">
        <v>28</v>
      </c>
      <c r="Q11227" s="15" t="s">
        <v>1862</v>
      </c>
      <c r="R11227" s="13" t="str">
        <f>HYPERLINK("https://my.pitchbook.com?c=216396-64T","View Company Online")</f>
        <v>View Company Online</v>
      </c>
    </row>
    <row r="11228" spans="1:18" hidden="1" x14ac:dyDescent="0.3">
      <c r="A11228" s="9" t="s">
        <v>31568</v>
      </c>
      <c r="B11228" s="9" t="s">
        <v>1376</v>
      </c>
      <c r="C11228" s="11" t="s">
        <v>28</v>
      </c>
      <c r="D11228" s="9" t="s">
        <v>1377</v>
      </c>
      <c r="E11228" s="11" t="s">
        <v>28</v>
      </c>
      <c r="F11228" s="10" t="s">
        <v>28</v>
      </c>
      <c r="G11228" s="10" t="s">
        <v>28</v>
      </c>
      <c r="H11228" s="10" t="s">
        <v>28</v>
      </c>
      <c r="I11228" s="11" t="s">
        <v>28</v>
      </c>
      <c r="J11228" s="11" t="s">
        <v>28</v>
      </c>
      <c r="K11228" s="11" t="s">
        <v>28</v>
      </c>
      <c r="L11228" s="11" t="s">
        <v>28</v>
      </c>
      <c r="M11228" s="11" t="s">
        <v>28</v>
      </c>
      <c r="N11228" s="8">
        <v>41243</v>
      </c>
      <c r="O11228" s="9" t="s">
        <v>30</v>
      </c>
      <c r="P11228" s="12" t="s">
        <v>31569</v>
      </c>
      <c r="Q11228" s="9" t="s">
        <v>975</v>
      </c>
      <c r="R11228" s="14" t="str">
        <f>HYPERLINK("https://my.pitchbook.com?c=78345-19T","View Company Online")</f>
        <v>View Company Online</v>
      </c>
    </row>
    <row r="11229" spans="1:18" hidden="1" x14ac:dyDescent="0.3">
      <c r="A11229" s="15" t="s">
        <v>31570</v>
      </c>
      <c r="B11229" s="15" t="s">
        <v>31571</v>
      </c>
      <c r="C11229" s="18" t="s">
        <v>28</v>
      </c>
      <c r="D11229" s="15" t="s">
        <v>31572</v>
      </c>
      <c r="E11229" s="18" t="s">
        <v>28</v>
      </c>
      <c r="F11229" s="19" t="s">
        <v>28</v>
      </c>
      <c r="G11229" s="19">
        <v>0.34</v>
      </c>
      <c r="H11229" s="19" t="s">
        <v>28</v>
      </c>
      <c r="I11229" s="18" t="s">
        <v>28</v>
      </c>
      <c r="J11229" s="18" t="s">
        <v>28</v>
      </c>
      <c r="K11229" s="18" t="s">
        <v>28</v>
      </c>
      <c r="L11229" s="18" t="s">
        <v>28</v>
      </c>
      <c r="M11229" s="18" t="s">
        <v>28</v>
      </c>
      <c r="N11229" s="17">
        <v>41243</v>
      </c>
      <c r="O11229" s="15" t="s">
        <v>99</v>
      </c>
      <c r="P11229" s="16" t="s">
        <v>28</v>
      </c>
      <c r="Q11229" s="15" t="s">
        <v>566</v>
      </c>
      <c r="R11229" s="13" t="str">
        <f>HYPERLINK("https://my.pitchbook.com?c=55746-10T","View Company Online")</f>
        <v>View Company Online</v>
      </c>
    </row>
    <row r="11230" spans="1:18" hidden="1" x14ac:dyDescent="0.3">
      <c r="A11230" s="9" t="s">
        <v>31573</v>
      </c>
      <c r="B11230" s="9" t="s">
        <v>31574</v>
      </c>
      <c r="C11230" s="11" t="s">
        <v>28</v>
      </c>
      <c r="D11230" s="9" t="s">
        <v>31575</v>
      </c>
      <c r="E11230" s="11" t="s">
        <v>28</v>
      </c>
      <c r="F11230" s="10" t="s">
        <v>28</v>
      </c>
      <c r="G11230" s="10">
        <v>0.01</v>
      </c>
      <c r="H11230" s="10" t="s">
        <v>28</v>
      </c>
      <c r="I11230" s="11" t="s">
        <v>28</v>
      </c>
      <c r="J11230" s="11" t="s">
        <v>28</v>
      </c>
      <c r="K11230" s="11" t="s">
        <v>28</v>
      </c>
      <c r="L11230" s="11" t="s">
        <v>28</v>
      </c>
      <c r="M11230" s="11" t="s">
        <v>28</v>
      </c>
      <c r="N11230" s="8">
        <v>41242</v>
      </c>
      <c r="O11230" s="9" t="s">
        <v>52</v>
      </c>
      <c r="P11230" s="12" t="s">
        <v>1792</v>
      </c>
      <c r="Q11230" s="9" t="s">
        <v>136</v>
      </c>
      <c r="R11230" s="14" t="str">
        <f>HYPERLINK("https://my.pitchbook.com?c=134881-03T","View Company Online")</f>
        <v>View Company Online</v>
      </c>
    </row>
    <row r="11231" spans="1:18" hidden="1" x14ac:dyDescent="0.3">
      <c r="A11231" s="15" t="s">
        <v>31576</v>
      </c>
      <c r="B11231" s="15" t="s">
        <v>25390</v>
      </c>
      <c r="C11231" s="18" t="s">
        <v>28</v>
      </c>
      <c r="D11231" s="15" t="s">
        <v>25391</v>
      </c>
      <c r="E11231" s="18" t="s">
        <v>28</v>
      </c>
      <c r="F11231" s="19" t="s">
        <v>28</v>
      </c>
      <c r="G11231" s="19" t="s">
        <v>28</v>
      </c>
      <c r="H11231" s="19" t="s">
        <v>28</v>
      </c>
      <c r="I11231" s="18" t="s">
        <v>28</v>
      </c>
      <c r="J11231" s="18" t="s">
        <v>28</v>
      </c>
      <c r="K11231" s="18" t="s">
        <v>28</v>
      </c>
      <c r="L11231" s="18" t="s">
        <v>28</v>
      </c>
      <c r="M11231" s="18" t="s">
        <v>28</v>
      </c>
      <c r="N11231" s="17">
        <v>41242</v>
      </c>
      <c r="O11231" s="15" t="s">
        <v>41</v>
      </c>
      <c r="P11231" s="16" t="s">
        <v>31577</v>
      </c>
      <c r="Q11231" s="15" t="s">
        <v>75</v>
      </c>
      <c r="R11231" s="13" t="str">
        <f>HYPERLINK("https://my.pitchbook.com?c=81637-93T","View Company Online")</f>
        <v>View Company Online</v>
      </c>
    </row>
    <row r="11232" spans="1:18" hidden="1" x14ac:dyDescent="0.3">
      <c r="A11232" s="9" t="s">
        <v>31578</v>
      </c>
      <c r="B11232" s="9" t="s">
        <v>20783</v>
      </c>
      <c r="C11232" s="11" t="s">
        <v>28</v>
      </c>
      <c r="D11232" s="9" t="s">
        <v>20784</v>
      </c>
      <c r="E11232" s="11" t="s">
        <v>28</v>
      </c>
      <c r="F11232" s="10" t="s">
        <v>28</v>
      </c>
      <c r="G11232" s="10">
        <v>76.28</v>
      </c>
      <c r="H11232" s="10" t="s">
        <v>28</v>
      </c>
      <c r="I11232" s="11" t="s">
        <v>28</v>
      </c>
      <c r="J11232" s="11" t="s">
        <v>28</v>
      </c>
      <c r="K11232" s="11">
        <v>612.25</v>
      </c>
      <c r="L11232" s="11" t="s">
        <v>28</v>
      </c>
      <c r="M11232" s="11">
        <v>586.74</v>
      </c>
      <c r="N11232" s="8">
        <v>41241</v>
      </c>
      <c r="O11232" s="9" t="s">
        <v>79</v>
      </c>
      <c r="P11232" s="12" t="s">
        <v>31579</v>
      </c>
      <c r="Q11232" s="9" t="s">
        <v>740</v>
      </c>
      <c r="R11232" s="14" t="str">
        <f>HYPERLINK("https://my.pitchbook.com?c=31515-85T","View Company Online")</f>
        <v>View Company Online</v>
      </c>
    </row>
    <row r="11233" spans="1:18" hidden="1" x14ac:dyDescent="0.3">
      <c r="A11233" s="15" t="s">
        <v>31580</v>
      </c>
      <c r="B11233" s="15" t="s">
        <v>31581</v>
      </c>
      <c r="C11233" s="18" t="s">
        <v>28</v>
      </c>
      <c r="D11233" s="15" t="s">
        <v>31582</v>
      </c>
      <c r="E11233" s="18" t="s">
        <v>28</v>
      </c>
      <c r="F11233" s="19" t="s">
        <v>28</v>
      </c>
      <c r="G11233" s="19" t="s">
        <v>28</v>
      </c>
      <c r="H11233" s="19" t="s">
        <v>28</v>
      </c>
      <c r="I11233" s="18" t="s">
        <v>28</v>
      </c>
      <c r="J11233" s="18" t="s">
        <v>28</v>
      </c>
      <c r="K11233" s="18" t="s">
        <v>28</v>
      </c>
      <c r="L11233" s="18" t="s">
        <v>28</v>
      </c>
      <c r="M11233" s="18" t="s">
        <v>28</v>
      </c>
      <c r="N11233" s="17">
        <v>41241</v>
      </c>
      <c r="O11233" s="15" t="s">
        <v>30</v>
      </c>
      <c r="P11233" s="16" t="s">
        <v>2330</v>
      </c>
      <c r="Q11233" s="15" t="s">
        <v>43</v>
      </c>
      <c r="R11233" s="13" t="str">
        <f>HYPERLINK("https://my.pitchbook.com?c=228081-25T","View Company Online")</f>
        <v>View Company Online</v>
      </c>
    </row>
    <row r="11234" spans="1:18" hidden="1" x14ac:dyDescent="0.3">
      <c r="A11234" s="9" t="s">
        <v>31583</v>
      </c>
      <c r="B11234" s="9" t="s">
        <v>31584</v>
      </c>
      <c r="C11234" s="11" t="s">
        <v>28</v>
      </c>
      <c r="D11234" s="9" t="s">
        <v>31585</v>
      </c>
      <c r="E11234" s="11" t="s">
        <v>28</v>
      </c>
      <c r="F11234" s="10" t="s">
        <v>28</v>
      </c>
      <c r="G11234" s="10" t="s">
        <v>28</v>
      </c>
      <c r="H11234" s="10" t="s">
        <v>28</v>
      </c>
      <c r="I11234" s="11" t="s">
        <v>28</v>
      </c>
      <c r="J11234" s="11" t="s">
        <v>28</v>
      </c>
      <c r="K11234" s="11" t="s">
        <v>28</v>
      </c>
      <c r="L11234" s="11" t="s">
        <v>28</v>
      </c>
      <c r="M11234" s="11" t="s">
        <v>28</v>
      </c>
      <c r="N11234" s="8">
        <v>41240</v>
      </c>
      <c r="O11234" s="9" t="s">
        <v>73</v>
      </c>
      <c r="P11234" s="12" t="s">
        <v>31586</v>
      </c>
      <c r="Q11234" s="9" t="s">
        <v>37</v>
      </c>
      <c r="R11234" s="14" t="str">
        <f>HYPERLINK("https://my.pitchbook.com?c=55933-12T","View Company Online")</f>
        <v>View Company Online</v>
      </c>
    </row>
    <row r="11235" spans="1:18" hidden="1" x14ac:dyDescent="0.3">
      <c r="A11235" s="15" t="s">
        <v>31587</v>
      </c>
      <c r="B11235" s="15" t="s">
        <v>20324</v>
      </c>
      <c r="C11235" s="18" t="s">
        <v>28</v>
      </c>
      <c r="D11235" s="15" t="s">
        <v>20325</v>
      </c>
      <c r="E11235" s="18" t="s">
        <v>28</v>
      </c>
      <c r="F11235" s="19" t="s">
        <v>28</v>
      </c>
      <c r="G11235" s="19">
        <v>0.05</v>
      </c>
      <c r="H11235" s="19" t="s">
        <v>28</v>
      </c>
      <c r="I11235" s="18" t="s">
        <v>28</v>
      </c>
      <c r="J11235" s="18" t="s">
        <v>28</v>
      </c>
      <c r="K11235" s="18" t="s">
        <v>28</v>
      </c>
      <c r="L11235" s="18" t="s">
        <v>28</v>
      </c>
      <c r="M11235" s="18" t="s">
        <v>28</v>
      </c>
      <c r="N11235" s="17">
        <v>41239</v>
      </c>
      <c r="O11235" s="15" t="s">
        <v>52</v>
      </c>
      <c r="P11235" s="16" t="s">
        <v>24901</v>
      </c>
      <c r="Q11235" s="15" t="s">
        <v>583</v>
      </c>
      <c r="R11235" s="13" t="str">
        <f>HYPERLINK("https://my.pitchbook.com?c=134949-16T","View Company Online")</f>
        <v>View Company Online</v>
      </c>
    </row>
    <row r="11236" spans="1:18" hidden="1" x14ac:dyDescent="0.3">
      <c r="A11236" s="9" t="s">
        <v>31588</v>
      </c>
      <c r="B11236" s="9" t="s">
        <v>31589</v>
      </c>
      <c r="C11236" s="11" t="s">
        <v>28</v>
      </c>
      <c r="D11236" s="9" t="s">
        <v>31590</v>
      </c>
      <c r="E11236" s="11" t="s">
        <v>28</v>
      </c>
      <c r="F11236" s="10" t="s">
        <v>28</v>
      </c>
      <c r="G11236" s="10" t="s">
        <v>28</v>
      </c>
      <c r="H11236" s="10" t="s">
        <v>28</v>
      </c>
      <c r="I11236" s="11" t="s">
        <v>28</v>
      </c>
      <c r="J11236" s="11" t="s">
        <v>28</v>
      </c>
      <c r="K11236" s="11" t="s">
        <v>28</v>
      </c>
      <c r="L11236" s="11" t="s">
        <v>28</v>
      </c>
      <c r="M11236" s="11" t="s">
        <v>28</v>
      </c>
      <c r="N11236" s="8">
        <v>41236</v>
      </c>
      <c r="O11236" s="9" t="s">
        <v>41</v>
      </c>
      <c r="P11236" s="12" t="s">
        <v>31591</v>
      </c>
      <c r="Q11236" s="9" t="s">
        <v>85</v>
      </c>
      <c r="R11236" s="14" t="str">
        <f>HYPERLINK("https://my.pitchbook.com?c=257965-21T","View Company Online")</f>
        <v>View Company Online</v>
      </c>
    </row>
    <row r="11237" spans="1:18" hidden="1" x14ac:dyDescent="0.3">
      <c r="A11237" s="15" t="s">
        <v>31592</v>
      </c>
      <c r="B11237" s="15" t="s">
        <v>7535</v>
      </c>
      <c r="C11237" s="18" t="s">
        <v>28</v>
      </c>
      <c r="D11237" s="15" t="s">
        <v>7536</v>
      </c>
      <c r="E11237" s="18" t="s">
        <v>28</v>
      </c>
      <c r="F11237" s="19" t="s">
        <v>28</v>
      </c>
      <c r="G11237" s="19">
        <v>1.22</v>
      </c>
      <c r="H11237" s="19" t="s">
        <v>28</v>
      </c>
      <c r="I11237" s="18" t="s">
        <v>28</v>
      </c>
      <c r="J11237" s="18" t="s">
        <v>28</v>
      </c>
      <c r="K11237" s="18" t="s">
        <v>28</v>
      </c>
      <c r="L11237" s="18" t="s">
        <v>28</v>
      </c>
      <c r="M11237" s="18" t="s">
        <v>28</v>
      </c>
      <c r="N11237" s="17">
        <v>41233</v>
      </c>
      <c r="O11237" s="15" t="s">
        <v>73</v>
      </c>
      <c r="P11237" s="16" t="s">
        <v>31593</v>
      </c>
      <c r="Q11237" s="15" t="s">
        <v>43</v>
      </c>
      <c r="R11237" s="13" t="str">
        <f>HYPERLINK("https://my.pitchbook.com?c=30675-79T","View Company Online")</f>
        <v>View Company Online</v>
      </c>
    </row>
    <row r="11238" spans="1:18" hidden="1" x14ac:dyDescent="0.3">
      <c r="A11238" s="9" t="s">
        <v>31594</v>
      </c>
      <c r="B11238" s="9" t="s">
        <v>2679</v>
      </c>
      <c r="C11238" s="11" t="s">
        <v>28</v>
      </c>
      <c r="D11238" s="9" t="s">
        <v>17437</v>
      </c>
      <c r="E11238" s="11" t="s">
        <v>28</v>
      </c>
      <c r="F11238" s="10" t="s">
        <v>28</v>
      </c>
      <c r="G11238" s="10">
        <v>0.04</v>
      </c>
      <c r="H11238" s="10" t="s">
        <v>28</v>
      </c>
      <c r="I11238" s="11" t="s">
        <v>28</v>
      </c>
      <c r="J11238" s="11" t="s">
        <v>28</v>
      </c>
      <c r="K11238" s="11" t="s">
        <v>28</v>
      </c>
      <c r="L11238" s="11" t="s">
        <v>28</v>
      </c>
      <c r="M11238" s="11" t="s">
        <v>28</v>
      </c>
      <c r="N11238" s="8">
        <v>41229</v>
      </c>
      <c r="O11238" s="9" t="s">
        <v>52</v>
      </c>
      <c r="P11238" s="12" t="s">
        <v>1792</v>
      </c>
      <c r="Q11238" s="9" t="s">
        <v>37</v>
      </c>
      <c r="R11238" s="14" t="str">
        <f>HYPERLINK("https://my.pitchbook.com?c=40331-53T","View Company Online")</f>
        <v>View Company Online</v>
      </c>
    </row>
    <row r="11239" spans="1:18" hidden="1" x14ac:dyDescent="0.3">
      <c r="A11239" s="15" t="s">
        <v>31595</v>
      </c>
      <c r="B11239" s="15" t="s">
        <v>31596</v>
      </c>
      <c r="C11239" s="18" t="s">
        <v>28</v>
      </c>
      <c r="D11239" s="15" t="s">
        <v>31597</v>
      </c>
      <c r="E11239" s="18" t="s">
        <v>28</v>
      </c>
      <c r="F11239" s="19" t="s">
        <v>28</v>
      </c>
      <c r="G11239" s="19" t="s">
        <v>28</v>
      </c>
      <c r="H11239" s="19" t="s">
        <v>28</v>
      </c>
      <c r="I11239" s="18" t="s">
        <v>28</v>
      </c>
      <c r="J11239" s="18" t="s">
        <v>28</v>
      </c>
      <c r="K11239" s="18" t="s">
        <v>28</v>
      </c>
      <c r="L11239" s="18" t="s">
        <v>28</v>
      </c>
      <c r="M11239" s="18" t="s">
        <v>28</v>
      </c>
      <c r="N11239" s="17">
        <v>41229</v>
      </c>
      <c r="O11239" s="15" t="s">
        <v>173</v>
      </c>
      <c r="P11239" s="16" t="s">
        <v>28</v>
      </c>
      <c r="Q11239" s="15" t="s">
        <v>174</v>
      </c>
      <c r="R11239" s="13" t="str">
        <f>HYPERLINK("https://my.pitchbook.com?c=226709-02T","View Company Online")</f>
        <v>View Company Online</v>
      </c>
    </row>
    <row r="11240" spans="1:18" hidden="1" x14ac:dyDescent="0.3">
      <c r="A11240" s="9" t="s">
        <v>31598</v>
      </c>
      <c r="B11240" s="9" t="s">
        <v>24152</v>
      </c>
      <c r="C11240" s="11" t="s">
        <v>28</v>
      </c>
      <c r="D11240" s="9" t="s">
        <v>24153</v>
      </c>
      <c r="E11240" s="11" t="s">
        <v>28</v>
      </c>
      <c r="F11240" s="10" t="s">
        <v>28</v>
      </c>
      <c r="G11240" s="10" t="s">
        <v>28</v>
      </c>
      <c r="H11240" s="10" t="s">
        <v>28</v>
      </c>
      <c r="I11240" s="11" t="s">
        <v>28</v>
      </c>
      <c r="J11240" s="11" t="s">
        <v>28</v>
      </c>
      <c r="K11240" s="11">
        <v>10</v>
      </c>
      <c r="L11240" s="11" t="s">
        <v>28</v>
      </c>
      <c r="M11240" s="11" t="s">
        <v>28</v>
      </c>
      <c r="N11240" s="8">
        <v>41228</v>
      </c>
      <c r="O11240" s="9" t="s">
        <v>30</v>
      </c>
      <c r="P11240" s="12" t="s">
        <v>31599</v>
      </c>
      <c r="Q11240" s="9" t="s">
        <v>362</v>
      </c>
      <c r="R11240" s="14" t="str">
        <f>HYPERLINK("https://my.pitchbook.com?c=95239-18T","View Company Online")</f>
        <v>View Company Online</v>
      </c>
    </row>
    <row r="11241" spans="1:18" hidden="1" x14ac:dyDescent="0.3">
      <c r="A11241" s="15" t="s">
        <v>31600</v>
      </c>
      <c r="B11241" s="15" t="s">
        <v>31601</v>
      </c>
      <c r="C11241" s="18" t="s">
        <v>28</v>
      </c>
      <c r="D11241" s="15" t="s">
        <v>31602</v>
      </c>
      <c r="E11241" s="18" t="s">
        <v>28</v>
      </c>
      <c r="F11241" s="19">
        <v>100</v>
      </c>
      <c r="G11241" s="19">
        <v>100</v>
      </c>
      <c r="H11241" s="19">
        <v>100</v>
      </c>
      <c r="I11241" s="18" t="s">
        <v>28</v>
      </c>
      <c r="J11241" s="18" t="s">
        <v>28</v>
      </c>
      <c r="K11241" s="18" t="s">
        <v>28</v>
      </c>
      <c r="L11241" s="18" t="s">
        <v>28</v>
      </c>
      <c r="M11241" s="18" t="s">
        <v>28</v>
      </c>
      <c r="N11241" s="17">
        <v>41227</v>
      </c>
      <c r="O11241" s="15" t="s">
        <v>30</v>
      </c>
      <c r="P11241" s="16" t="s">
        <v>31603</v>
      </c>
      <c r="Q11241" s="15" t="s">
        <v>226</v>
      </c>
      <c r="R11241" s="13" t="str">
        <f>HYPERLINK("https://my.pitchbook.com?c=195247-00T","View Company Online")</f>
        <v>View Company Online</v>
      </c>
    </row>
    <row r="11242" spans="1:18" hidden="1" x14ac:dyDescent="0.3">
      <c r="A11242" s="9" t="s">
        <v>31604</v>
      </c>
      <c r="B11242" s="9" t="s">
        <v>31605</v>
      </c>
      <c r="C11242" s="11" t="s">
        <v>28</v>
      </c>
      <c r="D11242" s="9" t="s">
        <v>31606</v>
      </c>
      <c r="E11242" s="11" t="s">
        <v>28</v>
      </c>
      <c r="F11242" s="10" t="s">
        <v>28</v>
      </c>
      <c r="G11242" s="10" t="s">
        <v>28</v>
      </c>
      <c r="H11242" s="10" t="s">
        <v>28</v>
      </c>
      <c r="I11242" s="11" t="s">
        <v>28</v>
      </c>
      <c r="J11242" s="11" t="s">
        <v>28</v>
      </c>
      <c r="K11242" s="11" t="s">
        <v>28</v>
      </c>
      <c r="L11242" s="11" t="s">
        <v>28</v>
      </c>
      <c r="M11242" s="11" t="s">
        <v>28</v>
      </c>
      <c r="N11242" s="8">
        <v>41227</v>
      </c>
      <c r="O11242" s="9" t="s">
        <v>30</v>
      </c>
      <c r="P11242" s="12" t="s">
        <v>7028</v>
      </c>
      <c r="Q11242" s="9" t="s">
        <v>522</v>
      </c>
      <c r="R11242" s="14" t="str">
        <f>HYPERLINK("https://my.pitchbook.com?c=212170-78T","View Company Online")</f>
        <v>View Company Online</v>
      </c>
    </row>
    <row r="11243" spans="1:18" hidden="1" x14ac:dyDescent="0.3">
      <c r="A11243" s="15" t="s">
        <v>31607</v>
      </c>
      <c r="B11243" s="15" t="s">
        <v>31608</v>
      </c>
      <c r="C11243" s="18" t="s">
        <v>28</v>
      </c>
      <c r="D11243" s="15" t="s">
        <v>31609</v>
      </c>
      <c r="E11243" s="18" t="s">
        <v>28</v>
      </c>
      <c r="F11243" s="19" t="s">
        <v>28</v>
      </c>
      <c r="G11243" s="19" t="s">
        <v>28</v>
      </c>
      <c r="H11243" s="19" t="s">
        <v>28</v>
      </c>
      <c r="I11243" s="18" t="s">
        <v>28</v>
      </c>
      <c r="J11243" s="18" t="s">
        <v>28</v>
      </c>
      <c r="K11243" s="18" t="s">
        <v>28</v>
      </c>
      <c r="L11243" s="18" t="s">
        <v>28</v>
      </c>
      <c r="M11243" s="18" t="s">
        <v>28</v>
      </c>
      <c r="N11243" s="17">
        <v>41227</v>
      </c>
      <c r="O11243" s="15" t="s">
        <v>30</v>
      </c>
      <c r="P11243" s="16" t="s">
        <v>31610</v>
      </c>
      <c r="Q11243" s="15" t="s">
        <v>119</v>
      </c>
      <c r="R11243" s="13" t="str">
        <f>HYPERLINK("https://my.pitchbook.com?c=90097-48T","View Company Online")</f>
        <v>View Company Online</v>
      </c>
    </row>
    <row r="11244" spans="1:18" hidden="1" x14ac:dyDescent="0.3">
      <c r="A11244" s="9" t="s">
        <v>31611</v>
      </c>
      <c r="B11244" s="9" t="s">
        <v>21911</v>
      </c>
      <c r="C11244" s="11" t="s">
        <v>28</v>
      </c>
      <c r="D11244" s="9" t="s">
        <v>21912</v>
      </c>
      <c r="E11244" s="11" t="s">
        <v>28</v>
      </c>
      <c r="F11244" s="10" t="s">
        <v>28</v>
      </c>
      <c r="G11244" s="10" t="s">
        <v>28</v>
      </c>
      <c r="H11244" s="10" t="s">
        <v>28</v>
      </c>
      <c r="I11244" s="11" t="s">
        <v>28</v>
      </c>
      <c r="J11244" s="11" t="s">
        <v>28</v>
      </c>
      <c r="K11244" s="11" t="s">
        <v>28</v>
      </c>
      <c r="L11244" s="11" t="s">
        <v>28</v>
      </c>
      <c r="M11244" s="11" t="s">
        <v>28</v>
      </c>
      <c r="N11244" s="8">
        <v>41226</v>
      </c>
      <c r="O11244" s="9" t="s">
        <v>52</v>
      </c>
      <c r="P11244" s="12" t="s">
        <v>31612</v>
      </c>
      <c r="Q11244" s="9" t="s">
        <v>75</v>
      </c>
      <c r="R11244" s="14" t="str">
        <f>HYPERLINK("https://my.pitchbook.com?c=134669-08T","View Company Online")</f>
        <v>View Company Online</v>
      </c>
    </row>
    <row r="11245" spans="1:18" hidden="1" x14ac:dyDescent="0.3">
      <c r="A11245" s="15" t="s">
        <v>31613</v>
      </c>
      <c r="B11245" s="15" t="s">
        <v>31614</v>
      </c>
      <c r="C11245" s="18" t="s">
        <v>28</v>
      </c>
      <c r="D11245" s="15" t="s">
        <v>31615</v>
      </c>
      <c r="E11245" s="18" t="s">
        <v>28</v>
      </c>
      <c r="F11245" s="19" t="s">
        <v>28</v>
      </c>
      <c r="G11245" s="19">
        <v>36.799999999999997</v>
      </c>
      <c r="H11245" s="19">
        <v>36.799999999999997</v>
      </c>
      <c r="I11245" s="18" t="s">
        <v>28</v>
      </c>
      <c r="J11245" s="18" t="s">
        <v>28</v>
      </c>
      <c r="K11245" s="18" t="s">
        <v>28</v>
      </c>
      <c r="L11245" s="18" t="s">
        <v>28</v>
      </c>
      <c r="M11245" s="18" t="s">
        <v>28</v>
      </c>
      <c r="N11245" s="17">
        <v>41226</v>
      </c>
      <c r="O11245" s="15" t="s">
        <v>30</v>
      </c>
      <c r="P11245" s="16" t="s">
        <v>4004</v>
      </c>
      <c r="Q11245" s="15" t="s">
        <v>774</v>
      </c>
      <c r="R11245" s="13" t="str">
        <f>HYPERLINK("https://my.pitchbook.com?c=89945-11T","View Company Online")</f>
        <v>View Company Online</v>
      </c>
    </row>
    <row r="11246" spans="1:18" hidden="1" x14ac:dyDescent="0.3">
      <c r="A11246" s="9" t="s">
        <v>31616</v>
      </c>
      <c r="B11246" s="9" t="s">
        <v>17263</v>
      </c>
      <c r="C11246" s="11" t="s">
        <v>28</v>
      </c>
      <c r="D11246" s="9" t="s">
        <v>17264</v>
      </c>
      <c r="E11246" s="11" t="s">
        <v>28</v>
      </c>
      <c r="F11246" s="10" t="s">
        <v>28</v>
      </c>
      <c r="G11246" s="10">
        <v>0.16</v>
      </c>
      <c r="H11246" s="10">
        <v>0.5</v>
      </c>
      <c r="I11246" s="11" t="s">
        <v>28</v>
      </c>
      <c r="J11246" s="11" t="s">
        <v>28</v>
      </c>
      <c r="K11246" s="11" t="s">
        <v>28</v>
      </c>
      <c r="L11246" s="11" t="s">
        <v>28</v>
      </c>
      <c r="M11246" s="11" t="s">
        <v>28</v>
      </c>
      <c r="N11246" s="8">
        <v>41224</v>
      </c>
      <c r="O11246" s="9" t="s">
        <v>99</v>
      </c>
      <c r="P11246" s="12" t="s">
        <v>28</v>
      </c>
      <c r="Q11246" s="9" t="s">
        <v>9705</v>
      </c>
      <c r="R11246" s="14" t="str">
        <f>HYPERLINK("https://my.pitchbook.com?c=57395-80T","View Company Online")</f>
        <v>View Company Online</v>
      </c>
    </row>
    <row r="11247" spans="1:18" hidden="1" x14ac:dyDescent="0.3">
      <c r="A11247" s="15" t="s">
        <v>31617</v>
      </c>
      <c r="B11247" s="15" t="s">
        <v>18592</v>
      </c>
      <c r="C11247" s="18" t="s">
        <v>28</v>
      </c>
      <c r="D11247" s="15" t="s">
        <v>18593</v>
      </c>
      <c r="E11247" s="18" t="s">
        <v>28</v>
      </c>
      <c r="F11247" s="19" t="s">
        <v>28</v>
      </c>
      <c r="G11247" s="19">
        <v>220.87</v>
      </c>
      <c r="H11247" s="19">
        <v>736.23</v>
      </c>
      <c r="I11247" s="18" t="s">
        <v>28</v>
      </c>
      <c r="J11247" s="18" t="s">
        <v>28</v>
      </c>
      <c r="K11247" s="18" t="s">
        <v>28</v>
      </c>
      <c r="L11247" s="18" t="s">
        <v>28</v>
      </c>
      <c r="M11247" s="18" t="s">
        <v>28</v>
      </c>
      <c r="N11247" s="17">
        <v>41222</v>
      </c>
      <c r="O11247" s="15" t="s">
        <v>93</v>
      </c>
      <c r="P11247" s="16" t="s">
        <v>31618</v>
      </c>
      <c r="Q11247" s="15" t="s">
        <v>6392</v>
      </c>
      <c r="R11247" s="13" t="str">
        <f>HYPERLINK("https://my.pitchbook.com?c=34158-61T","View Company Online")</f>
        <v>View Company Online</v>
      </c>
    </row>
    <row r="11248" spans="1:18" hidden="1" x14ac:dyDescent="0.3">
      <c r="A11248" s="9" t="s">
        <v>31619</v>
      </c>
      <c r="B11248" s="9" t="s">
        <v>28582</v>
      </c>
      <c r="C11248" s="11" t="s">
        <v>28</v>
      </c>
      <c r="D11248" s="9" t="s">
        <v>28583</v>
      </c>
      <c r="E11248" s="11" t="s">
        <v>28</v>
      </c>
      <c r="F11248" s="10" t="s">
        <v>28</v>
      </c>
      <c r="G11248" s="10">
        <v>0.01</v>
      </c>
      <c r="H11248" s="10" t="s">
        <v>28</v>
      </c>
      <c r="I11248" s="11" t="s">
        <v>28</v>
      </c>
      <c r="J11248" s="11" t="s">
        <v>28</v>
      </c>
      <c r="K11248" s="11" t="s">
        <v>28</v>
      </c>
      <c r="L11248" s="11" t="s">
        <v>28</v>
      </c>
      <c r="M11248" s="11" t="s">
        <v>28</v>
      </c>
      <c r="N11248" s="8">
        <v>41222</v>
      </c>
      <c r="O11248" s="9" t="s">
        <v>99</v>
      </c>
      <c r="P11248" s="12" t="s">
        <v>28</v>
      </c>
      <c r="Q11248" s="9" t="s">
        <v>386</v>
      </c>
      <c r="R11248" s="14" t="str">
        <f>HYPERLINK("https://my.pitchbook.com?c=59448-97T","View Company Online")</f>
        <v>View Company Online</v>
      </c>
    </row>
    <row r="11249" spans="1:18" hidden="1" x14ac:dyDescent="0.3">
      <c r="A11249" s="15" t="s">
        <v>31620</v>
      </c>
      <c r="B11249" s="15" t="s">
        <v>31621</v>
      </c>
      <c r="C11249" s="18" t="s">
        <v>28</v>
      </c>
      <c r="D11249" s="15" t="s">
        <v>31622</v>
      </c>
      <c r="E11249" s="18" t="s">
        <v>28</v>
      </c>
      <c r="F11249" s="19" t="s">
        <v>28</v>
      </c>
      <c r="G11249" s="19" t="s">
        <v>28</v>
      </c>
      <c r="H11249" s="19" t="s">
        <v>28</v>
      </c>
      <c r="I11249" s="18" t="s">
        <v>28</v>
      </c>
      <c r="J11249" s="18" t="s">
        <v>28</v>
      </c>
      <c r="K11249" s="18" t="s">
        <v>28</v>
      </c>
      <c r="L11249" s="18" t="s">
        <v>28</v>
      </c>
      <c r="M11249" s="18" t="s">
        <v>28</v>
      </c>
      <c r="N11249" s="17">
        <v>41221</v>
      </c>
      <c r="O11249" s="15" t="s">
        <v>73</v>
      </c>
      <c r="P11249" s="16" t="s">
        <v>6531</v>
      </c>
      <c r="Q11249" s="15" t="s">
        <v>75</v>
      </c>
      <c r="R11249" s="13" t="str">
        <f>HYPERLINK("https://my.pitchbook.com?c=53971-66T","View Company Online")</f>
        <v>View Company Online</v>
      </c>
    </row>
    <row r="11250" spans="1:18" hidden="1" x14ac:dyDescent="0.3">
      <c r="A11250" s="9" t="s">
        <v>31623</v>
      </c>
      <c r="B11250" s="9" t="s">
        <v>31624</v>
      </c>
      <c r="C11250" s="11" t="s">
        <v>28</v>
      </c>
      <c r="D11250" s="9" t="s">
        <v>31625</v>
      </c>
      <c r="E11250" s="11" t="s">
        <v>28</v>
      </c>
      <c r="F11250" s="10" t="s">
        <v>28</v>
      </c>
      <c r="G11250" s="10" t="s">
        <v>28</v>
      </c>
      <c r="H11250" s="10" t="s">
        <v>28</v>
      </c>
      <c r="I11250" s="11" t="s">
        <v>28</v>
      </c>
      <c r="J11250" s="11" t="s">
        <v>28</v>
      </c>
      <c r="K11250" s="11" t="s">
        <v>28</v>
      </c>
      <c r="L11250" s="11" t="s">
        <v>28</v>
      </c>
      <c r="M11250" s="11" t="s">
        <v>28</v>
      </c>
      <c r="N11250" s="8">
        <v>41220</v>
      </c>
      <c r="O11250" s="9" t="s">
        <v>41</v>
      </c>
      <c r="P11250" s="12" t="s">
        <v>2216</v>
      </c>
      <c r="Q11250" s="9" t="s">
        <v>105</v>
      </c>
      <c r="R11250" s="14" t="str">
        <f>HYPERLINK("https://my.pitchbook.com?c=84830-05T","View Company Online")</f>
        <v>View Company Online</v>
      </c>
    </row>
    <row r="11251" spans="1:18" hidden="1" x14ac:dyDescent="0.3">
      <c r="A11251" s="15" t="s">
        <v>31626</v>
      </c>
      <c r="B11251" s="15" t="s">
        <v>31627</v>
      </c>
      <c r="C11251" s="18" t="s">
        <v>28</v>
      </c>
      <c r="D11251" s="15" t="s">
        <v>31628</v>
      </c>
      <c r="E11251" s="18" t="s">
        <v>28</v>
      </c>
      <c r="F11251" s="19" t="s">
        <v>28</v>
      </c>
      <c r="G11251" s="19" t="s">
        <v>28</v>
      </c>
      <c r="H11251" s="19" t="s">
        <v>28</v>
      </c>
      <c r="I11251" s="18" t="s">
        <v>28</v>
      </c>
      <c r="J11251" s="18" t="s">
        <v>28</v>
      </c>
      <c r="K11251" s="18" t="s">
        <v>28</v>
      </c>
      <c r="L11251" s="18" t="s">
        <v>28</v>
      </c>
      <c r="M11251" s="18" t="s">
        <v>28</v>
      </c>
      <c r="N11251" s="17">
        <v>41220</v>
      </c>
      <c r="O11251" s="15" t="s">
        <v>173</v>
      </c>
      <c r="P11251" s="16" t="s">
        <v>28</v>
      </c>
      <c r="Q11251" s="15" t="s">
        <v>174</v>
      </c>
      <c r="R11251" s="13" t="str">
        <f>HYPERLINK("https://my.pitchbook.com?c=224020-81T","View Company Online")</f>
        <v>View Company Online</v>
      </c>
    </row>
    <row r="11252" spans="1:18" hidden="1" x14ac:dyDescent="0.3">
      <c r="A11252" s="9" t="s">
        <v>31629</v>
      </c>
      <c r="B11252" s="9" t="s">
        <v>10879</v>
      </c>
      <c r="C11252" s="11" t="s">
        <v>28</v>
      </c>
      <c r="D11252" s="9" t="s">
        <v>10880</v>
      </c>
      <c r="E11252" s="11" t="s">
        <v>28</v>
      </c>
      <c r="F11252" s="10" t="s">
        <v>28</v>
      </c>
      <c r="G11252" s="10" t="s">
        <v>28</v>
      </c>
      <c r="H11252" s="10" t="s">
        <v>28</v>
      </c>
      <c r="I11252" s="11" t="s">
        <v>28</v>
      </c>
      <c r="J11252" s="11" t="s">
        <v>28</v>
      </c>
      <c r="K11252" s="11" t="s">
        <v>28</v>
      </c>
      <c r="L11252" s="11" t="s">
        <v>28</v>
      </c>
      <c r="M11252" s="11" t="s">
        <v>28</v>
      </c>
      <c r="N11252" s="8">
        <v>41220</v>
      </c>
      <c r="O11252" s="9" t="s">
        <v>73</v>
      </c>
      <c r="P11252" s="12" t="s">
        <v>29471</v>
      </c>
      <c r="Q11252" s="9" t="s">
        <v>75</v>
      </c>
      <c r="R11252" s="14" t="str">
        <f>HYPERLINK("https://my.pitchbook.com?c=46616-68T","View Company Online")</f>
        <v>View Company Online</v>
      </c>
    </row>
    <row r="11253" spans="1:18" hidden="1" x14ac:dyDescent="0.3">
      <c r="A11253" s="15" t="s">
        <v>31630</v>
      </c>
      <c r="B11253" s="15" t="s">
        <v>31631</v>
      </c>
      <c r="C11253" s="18" t="s">
        <v>28</v>
      </c>
      <c r="D11253" s="15" t="s">
        <v>31632</v>
      </c>
      <c r="E11253" s="18" t="s">
        <v>28</v>
      </c>
      <c r="F11253" s="19" t="s">
        <v>28</v>
      </c>
      <c r="G11253" s="19" t="s">
        <v>28</v>
      </c>
      <c r="H11253" s="19" t="s">
        <v>28</v>
      </c>
      <c r="I11253" s="18" t="s">
        <v>28</v>
      </c>
      <c r="J11253" s="18" t="s">
        <v>28</v>
      </c>
      <c r="K11253" s="18" t="s">
        <v>28</v>
      </c>
      <c r="L11253" s="18" t="s">
        <v>28</v>
      </c>
      <c r="M11253" s="18" t="s">
        <v>28</v>
      </c>
      <c r="N11253" s="17">
        <v>41220</v>
      </c>
      <c r="O11253" s="15" t="s">
        <v>173</v>
      </c>
      <c r="P11253" s="16" t="s">
        <v>28</v>
      </c>
      <c r="Q11253" s="15" t="s">
        <v>174</v>
      </c>
      <c r="R11253" s="13" t="str">
        <f>HYPERLINK("https://my.pitchbook.com?c=227426-95T","View Company Online")</f>
        <v>View Company Online</v>
      </c>
    </row>
    <row r="11254" spans="1:18" hidden="1" x14ac:dyDescent="0.3">
      <c r="A11254" s="9" t="s">
        <v>31633</v>
      </c>
      <c r="B11254" s="9" t="s">
        <v>31634</v>
      </c>
      <c r="C11254" s="11" t="s">
        <v>28</v>
      </c>
      <c r="D11254" s="9" t="s">
        <v>31635</v>
      </c>
      <c r="E11254" s="11" t="s">
        <v>28</v>
      </c>
      <c r="F11254" s="10" t="s">
        <v>28</v>
      </c>
      <c r="G11254" s="10" t="s">
        <v>28</v>
      </c>
      <c r="H11254" s="10" t="s">
        <v>28</v>
      </c>
      <c r="I11254" s="11" t="s">
        <v>28</v>
      </c>
      <c r="J11254" s="11" t="s">
        <v>28</v>
      </c>
      <c r="K11254" s="11" t="s">
        <v>28</v>
      </c>
      <c r="L11254" s="11" t="s">
        <v>28</v>
      </c>
      <c r="M11254" s="11" t="s">
        <v>28</v>
      </c>
      <c r="N11254" s="8">
        <v>41215</v>
      </c>
      <c r="O11254" s="9" t="s">
        <v>41</v>
      </c>
      <c r="P11254" s="12" t="s">
        <v>31636</v>
      </c>
      <c r="Q11254" s="9" t="s">
        <v>43</v>
      </c>
      <c r="R11254" s="14" t="str">
        <f>HYPERLINK("https://my.pitchbook.com?c=102184-03T","View Company Online")</f>
        <v>View Company Online</v>
      </c>
    </row>
    <row r="11255" spans="1:18" hidden="1" x14ac:dyDescent="0.3">
      <c r="A11255" s="15" t="s">
        <v>31637</v>
      </c>
      <c r="B11255" s="15" t="s">
        <v>31638</v>
      </c>
      <c r="C11255" s="18" t="s">
        <v>28</v>
      </c>
      <c r="D11255" s="15" t="s">
        <v>31639</v>
      </c>
      <c r="E11255" s="18" t="s">
        <v>28</v>
      </c>
      <c r="F11255" s="19" t="s">
        <v>28</v>
      </c>
      <c r="G11255" s="19" t="s">
        <v>28</v>
      </c>
      <c r="H11255" s="19" t="s">
        <v>28</v>
      </c>
      <c r="I11255" s="18" t="s">
        <v>28</v>
      </c>
      <c r="J11255" s="18" t="s">
        <v>28</v>
      </c>
      <c r="K11255" s="18" t="s">
        <v>28</v>
      </c>
      <c r="L11255" s="18" t="s">
        <v>28</v>
      </c>
      <c r="M11255" s="18" t="s">
        <v>28</v>
      </c>
      <c r="N11255" s="17">
        <v>41215</v>
      </c>
      <c r="O11255" s="15" t="s">
        <v>173</v>
      </c>
      <c r="P11255" s="16" t="s">
        <v>28</v>
      </c>
      <c r="Q11255" s="15" t="s">
        <v>174</v>
      </c>
      <c r="R11255" s="13" t="str">
        <f>HYPERLINK("https://my.pitchbook.com?c=224809-12T","View Company Online")</f>
        <v>View Company Online</v>
      </c>
    </row>
    <row r="11256" spans="1:18" hidden="1" x14ac:dyDescent="0.3">
      <c r="A11256" s="9" t="s">
        <v>31640</v>
      </c>
      <c r="B11256" s="9" t="s">
        <v>31641</v>
      </c>
      <c r="C11256" s="11" t="s">
        <v>28</v>
      </c>
      <c r="D11256" s="9" t="s">
        <v>31642</v>
      </c>
      <c r="E11256" s="11" t="s">
        <v>28</v>
      </c>
      <c r="F11256" s="10" t="s">
        <v>28</v>
      </c>
      <c r="G11256" s="10" t="s">
        <v>28</v>
      </c>
      <c r="H11256" s="10" t="s">
        <v>28</v>
      </c>
      <c r="I11256" s="11" t="s">
        <v>28</v>
      </c>
      <c r="J11256" s="11" t="s">
        <v>28</v>
      </c>
      <c r="K11256" s="11" t="s">
        <v>28</v>
      </c>
      <c r="L11256" s="11" t="s">
        <v>28</v>
      </c>
      <c r="M11256" s="11" t="s">
        <v>28</v>
      </c>
      <c r="N11256" s="8">
        <v>41214</v>
      </c>
      <c r="O11256" s="9" t="s">
        <v>173</v>
      </c>
      <c r="P11256" s="12" t="s">
        <v>28</v>
      </c>
      <c r="Q11256" s="9" t="s">
        <v>174</v>
      </c>
      <c r="R11256" s="14" t="str">
        <f>HYPERLINK("https://my.pitchbook.com?c=222991-57T","View Company Online")</f>
        <v>View Company Online</v>
      </c>
    </row>
    <row r="11257" spans="1:18" x14ac:dyDescent="0.3">
      <c r="A11257" s="15" t="s">
        <v>31643</v>
      </c>
      <c r="B11257" s="15" t="s">
        <v>23372</v>
      </c>
      <c r="C11257" s="18">
        <v>6.66</v>
      </c>
      <c r="D11257" s="15" t="s">
        <v>23373</v>
      </c>
      <c r="E11257" s="18">
        <v>254.42</v>
      </c>
      <c r="F11257" s="19">
        <v>2682.28</v>
      </c>
      <c r="G11257" s="19">
        <v>1700</v>
      </c>
      <c r="H11257" s="19">
        <v>2753</v>
      </c>
      <c r="I11257" s="18">
        <v>402.75</v>
      </c>
      <c r="J11257" s="18">
        <v>6.84</v>
      </c>
      <c r="K11257" s="18">
        <v>2571.67</v>
      </c>
      <c r="L11257" s="18">
        <v>1.07</v>
      </c>
      <c r="M11257" s="18">
        <v>145.12</v>
      </c>
      <c r="N11257" s="17">
        <v>41214</v>
      </c>
      <c r="O11257" s="15" t="s">
        <v>30</v>
      </c>
      <c r="P11257" s="16" t="s">
        <v>23374</v>
      </c>
      <c r="Q11257" s="15" t="s">
        <v>4901</v>
      </c>
      <c r="R11257" s="13" t="str">
        <f>HYPERLINK("https://my.pitchbook.com?c=95628-34T","View Company Online")</f>
        <v>View Company Online</v>
      </c>
    </row>
    <row r="11258" spans="1:18" hidden="1" x14ac:dyDescent="0.3">
      <c r="A11258" s="9" t="s">
        <v>31644</v>
      </c>
      <c r="B11258" s="9" t="s">
        <v>31645</v>
      </c>
      <c r="C11258" s="11" t="s">
        <v>28</v>
      </c>
      <c r="D11258" s="9" t="s">
        <v>31646</v>
      </c>
      <c r="E11258" s="11" t="s">
        <v>28</v>
      </c>
      <c r="F11258" s="10" t="s">
        <v>28</v>
      </c>
      <c r="G11258" s="10" t="s">
        <v>28</v>
      </c>
      <c r="H11258" s="10" t="s">
        <v>28</v>
      </c>
      <c r="I11258" s="11" t="s">
        <v>28</v>
      </c>
      <c r="J11258" s="11" t="s">
        <v>28</v>
      </c>
      <c r="K11258" s="11" t="s">
        <v>28</v>
      </c>
      <c r="L11258" s="11" t="s">
        <v>28</v>
      </c>
      <c r="M11258" s="11" t="s">
        <v>28</v>
      </c>
      <c r="N11258" s="8">
        <v>41214</v>
      </c>
      <c r="O11258" s="9" t="s">
        <v>30</v>
      </c>
      <c r="P11258" s="12" t="s">
        <v>31647</v>
      </c>
      <c r="Q11258" s="9" t="s">
        <v>1068</v>
      </c>
      <c r="R11258" s="14" t="str">
        <f>HYPERLINK("https://my.pitchbook.com?c=288951-31T","View Company Online")</f>
        <v>View Company Online</v>
      </c>
    </row>
    <row r="11259" spans="1:18" hidden="1" x14ac:dyDescent="0.3">
      <c r="A11259" s="15" t="s">
        <v>31648</v>
      </c>
      <c r="B11259" s="15" t="s">
        <v>31649</v>
      </c>
      <c r="C11259" s="18" t="s">
        <v>28</v>
      </c>
      <c r="D11259" s="15" t="s">
        <v>31650</v>
      </c>
      <c r="E11259" s="18" t="s">
        <v>28</v>
      </c>
      <c r="F11259" s="19" t="s">
        <v>28</v>
      </c>
      <c r="G11259" s="19" t="s">
        <v>28</v>
      </c>
      <c r="H11259" s="19" t="s">
        <v>28</v>
      </c>
      <c r="I11259" s="18" t="s">
        <v>28</v>
      </c>
      <c r="J11259" s="18" t="s">
        <v>28</v>
      </c>
      <c r="K11259" s="18" t="s">
        <v>28</v>
      </c>
      <c r="L11259" s="18" t="s">
        <v>28</v>
      </c>
      <c r="M11259" s="18" t="s">
        <v>28</v>
      </c>
      <c r="N11259" s="17">
        <v>41214</v>
      </c>
      <c r="O11259" s="15" t="s">
        <v>30</v>
      </c>
      <c r="P11259" s="16" t="s">
        <v>28587</v>
      </c>
      <c r="Q11259" s="15" t="s">
        <v>19850</v>
      </c>
      <c r="R11259" s="13" t="str">
        <f>HYPERLINK("https://my.pitchbook.com?c=89300-26T","View Company Online")</f>
        <v>View Company Online</v>
      </c>
    </row>
    <row r="11260" spans="1:18" hidden="1" x14ac:dyDescent="0.3">
      <c r="A11260" s="9" t="s">
        <v>31651</v>
      </c>
      <c r="B11260" s="9" t="s">
        <v>28870</v>
      </c>
      <c r="C11260" s="11" t="s">
        <v>28</v>
      </c>
      <c r="D11260" s="9" t="s">
        <v>28871</v>
      </c>
      <c r="E11260" s="11" t="s">
        <v>28</v>
      </c>
      <c r="F11260" s="10" t="s">
        <v>28</v>
      </c>
      <c r="G11260" s="10">
        <v>0.25</v>
      </c>
      <c r="H11260" s="10" t="s">
        <v>28</v>
      </c>
      <c r="I11260" s="11" t="s">
        <v>28</v>
      </c>
      <c r="J11260" s="11" t="s">
        <v>28</v>
      </c>
      <c r="K11260" s="11" t="s">
        <v>28</v>
      </c>
      <c r="L11260" s="11" t="s">
        <v>28</v>
      </c>
      <c r="M11260" s="11" t="s">
        <v>28</v>
      </c>
      <c r="N11260" s="8">
        <v>41214</v>
      </c>
      <c r="O11260" s="9" t="s">
        <v>379</v>
      </c>
      <c r="P11260" s="12" t="s">
        <v>28</v>
      </c>
      <c r="Q11260" s="9" t="s">
        <v>740</v>
      </c>
      <c r="R11260" s="14" t="str">
        <f>HYPERLINK("https://my.pitchbook.com?c=50694-40T","View Company Online")</f>
        <v>View Company Online</v>
      </c>
    </row>
    <row r="11261" spans="1:18" hidden="1" x14ac:dyDescent="0.3">
      <c r="A11261" s="15" t="s">
        <v>31652</v>
      </c>
      <c r="B11261" s="15" t="s">
        <v>31653</v>
      </c>
      <c r="C11261" s="18" t="s">
        <v>28</v>
      </c>
      <c r="D11261" s="15" t="s">
        <v>31654</v>
      </c>
      <c r="E11261" s="18" t="s">
        <v>28</v>
      </c>
      <c r="F11261" s="19">
        <v>282.18</v>
      </c>
      <c r="G11261" s="19">
        <v>282.18</v>
      </c>
      <c r="H11261" s="19">
        <v>282.18</v>
      </c>
      <c r="I11261" s="18" t="s">
        <v>28</v>
      </c>
      <c r="J11261" s="18" t="s">
        <v>28</v>
      </c>
      <c r="K11261" s="18" t="s">
        <v>28</v>
      </c>
      <c r="L11261" s="18" t="s">
        <v>28</v>
      </c>
      <c r="M11261" s="18" t="s">
        <v>28</v>
      </c>
      <c r="N11261" s="17">
        <v>41214</v>
      </c>
      <c r="O11261" s="15" t="s">
        <v>30</v>
      </c>
      <c r="P11261" s="16" t="s">
        <v>16181</v>
      </c>
      <c r="Q11261" s="15" t="s">
        <v>174</v>
      </c>
      <c r="R11261" s="13" t="str">
        <f>HYPERLINK("https://my.pitchbook.com?c=247461-67T","View Company Online")</f>
        <v>View Company Online</v>
      </c>
    </row>
    <row r="11262" spans="1:18" hidden="1" x14ac:dyDescent="0.3">
      <c r="A11262" s="9" t="s">
        <v>31655</v>
      </c>
      <c r="B11262" s="9" t="s">
        <v>29985</v>
      </c>
      <c r="C11262" s="11" t="s">
        <v>28</v>
      </c>
      <c r="D11262" s="9" t="s">
        <v>29986</v>
      </c>
      <c r="E11262" s="11" t="s">
        <v>28</v>
      </c>
      <c r="F11262" s="10" t="s">
        <v>28</v>
      </c>
      <c r="G11262" s="10" t="s">
        <v>28</v>
      </c>
      <c r="H11262" s="10" t="s">
        <v>28</v>
      </c>
      <c r="I11262" s="11" t="s">
        <v>28</v>
      </c>
      <c r="J11262" s="11" t="s">
        <v>28</v>
      </c>
      <c r="K11262" s="11" t="s">
        <v>28</v>
      </c>
      <c r="L11262" s="11" t="s">
        <v>28</v>
      </c>
      <c r="M11262" s="11" t="s">
        <v>28</v>
      </c>
      <c r="N11262" s="8">
        <v>41214</v>
      </c>
      <c r="O11262" s="9" t="s">
        <v>73</v>
      </c>
      <c r="P11262" s="12" t="s">
        <v>31656</v>
      </c>
      <c r="Q11262" s="9" t="s">
        <v>386</v>
      </c>
      <c r="R11262" s="14" t="str">
        <f>HYPERLINK("https://my.pitchbook.com?c=36580-51T","View Company Online")</f>
        <v>View Company Online</v>
      </c>
    </row>
    <row r="11263" spans="1:18" hidden="1" x14ac:dyDescent="0.3">
      <c r="A11263" s="15" t="s">
        <v>31657</v>
      </c>
      <c r="B11263" s="15" t="s">
        <v>26727</v>
      </c>
      <c r="C11263" s="18" t="s">
        <v>28</v>
      </c>
      <c r="D11263" s="15" t="s">
        <v>26728</v>
      </c>
      <c r="E11263" s="18" t="s">
        <v>28</v>
      </c>
      <c r="F11263" s="19" t="s">
        <v>28</v>
      </c>
      <c r="G11263" s="19">
        <v>0.15</v>
      </c>
      <c r="H11263" s="19" t="s">
        <v>28</v>
      </c>
      <c r="I11263" s="18" t="s">
        <v>28</v>
      </c>
      <c r="J11263" s="18" t="s">
        <v>28</v>
      </c>
      <c r="K11263" s="18" t="s">
        <v>28</v>
      </c>
      <c r="L11263" s="18" t="s">
        <v>28</v>
      </c>
      <c r="M11263" s="18" t="s">
        <v>28</v>
      </c>
      <c r="N11263" s="17">
        <v>41214</v>
      </c>
      <c r="O11263" s="15" t="s">
        <v>99</v>
      </c>
      <c r="P11263" s="16" t="s">
        <v>17245</v>
      </c>
      <c r="Q11263" s="15" t="s">
        <v>419</v>
      </c>
      <c r="R11263" s="13" t="str">
        <f>HYPERLINK("https://my.pitchbook.com?c=65868-22T","View Company Online")</f>
        <v>View Company Online</v>
      </c>
    </row>
    <row r="11264" spans="1:18" hidden="1" x14ac:dyDescent="0.3">
      <c r="A11264" s="9" t="s">
        <v>31658</v>
      </c>
      <c r="B11264" s="9" t="s">
        <v>31659</v>
      </c>
      <c r="C11264" s="11" t="s">
        <v>28</v>
      </c>
      <c r="D11264" s="9" t="s">
        <v>31660</v>
      </c>
      <c r="E11264" s="11" t="s">
        <v>28</v>
      </c>
      <c r="F11264" s="10" t="s">
        <v>28</v>
      </c>
      <c r="G11264" s="10" t="s">
        <v>28</v>
      </c>
      <c r="H11264" s="10" t="s">
        <v>28</v>
      </c>
      <c r="I11264" s="11" t="s">
        <v>28</v>
      </c>
      <c r="J11264" s="11" t="s">
        <v>28</v>
      </c>
      <c r="K11264" s="11" t="s">
        <v>28</v>
      </c>
      <c r="L11264" s="11" t="s">
        <v>28</v>
      </c>
      <c r="M11264" s="11" t="s">
        <v>28</v>
      </c>
      <c r="N11264" s="8">
        <v>41213</v>
      </c>
      <c r="O11264" s="9" t="s">
        <v>52</v>
      </c>
      <c r="P11264" s="12" t="s">
        <v>24371</v>
      </c>
      <c r="Q11264" s="9" t="s">
        <v>386</v>
      </c>
      <c r="R11264" s="14" t="str">
        <f>HYPERLINK("https://my.pitchbook.com?c=23404-60T","View Company Online")</f>
        <v>View Company Online</v>
      </c>
    </row>
    <row r="11265" spans="1:18" hidden="1" x14ac:dyDescent="0.3">
      <c r="A11265" s="15" t="s">
        <v>31661</v>
      </c>
      <c r="B11265" s="15" t="s">
        <v>31662</v>
      </c>
      <c r="C11265" s="18" t="s">
        <v>28</v>
      </c>
      <c r="D11265" s="15" t="s">
        <v>31663</v>
      </c>
      <c r="E11265" s="18" t="s">
        <v>28</v>
      </c>
      <c r="F11265" s="19" t="s">
        <v>28</v>
      </c>
      <c r="G11265" s="19" t="s">
        <v>28</v>
      </c>
      <c r="H11265" s="19" t="s">
        <v>28</v>
      </c>
      <c r="I11265" s="18" t="s">
        <v>28</v>
      </c>
      <c r="J11265" s="18" t="s">
        <v>28</v>
      </c>
      <c r="K11265" s="18" t="s">
        <v>28</v>
      </c>
      <c r="L11265" s="18" t="s">
        <v>28</v>
      </c>
      <c r="M11265" s="18" t="s">
        <v>28</v>
      </c>
      <c r="N11265" s="17">
        <v>41213</v>
      </c>
      <c r="O11265" s="15" t="s">
        <v>30</v>
      </c>
      <c r="P11265" s="16" t="s">
        <v>4827</v>
      </c>
      <c r="Q11265" s="15" t="s">
        <v>1191</v>
      </c>
      <c r="R11265" s="13" t="str">
        <f>HYPERLINK("https://my.pitchbook.com?c=89950-42T","View Company Online")</f>
        <v>View Company Online</v>
      </c>
    </row>
    <row r="11266" spans="1:18" hidden="1" x14ac:dyDescent="0.3">
      <c r="A11266" s="9" t="s">
        <v>31664</v>
      </c>
      <c r="B11266" s="9" t="s">
        <v>31665</v>
      </c>
      <c r="C11266" s="11" t="s">
        <v>28</v>
      </c>
      <c r="D11266" s="9" t="s">
        <v>31666</v>
      </c>
      <c r="E11266" s="11" t="s">
        <v>28</v>
      </c>
      <c r="F11266" s="10" t="s">
        <v>28</v>
      </c>
      <c r="G11266" s="10" t="s">
        <v>28</v>
      </c>
      <c r="H11266" s="10" t="s">
        <v>28</v>
      </c>
      <c r="I11266" s="11" t="s">
        <v>28</v>
      </c>
      <c r="J11266" s="11" t="s">
        <v>28</v>
      </c>
      <c r="K11266" s="11" t="s">
        <v>28</v>
      </c>
      <c r="L11266" s="11" t="s">
        <v>28</v>
      </c>
      <c r="M11266" s="11" t="s">
        <v>28</v>
      </c>
      <c r="N11266" s="8">
        <v>41213</v>
      </c>
      <c r="O11266" s="9" t="s">
        <v>30</v>
      </c>
      <c r="P11266" s="12" t="s">
        <v>31667</v>
      </c>
      <c r="Q11266" s="9" t="s">
        <v>975</v>
      </c>
      <c r="R11266" s="14" t="str">
        <f>HYPERLINK("https://my.pitchbook.com?c=90074-08T","View Company Online")</f>
        <v>View Company Online</v>
      </c>
    </row>
    <row r="11267" spans="1:18" hidden="1" x14ac:dyDescent="0.3">
      <c r="A11267" s="15" t="s">
        <v>31668</v>
      </c>
      <c r="B11267" s="15" t="s">
        <v>31669</v>
      </c>
      <c r="C11267" s="18" t="s">
        <v>28</v>
      </c>
      <c r="D11267" s="15" t="s">
        <v>31670</v>
      </c>
      <c r="E11267" s="18" t="s">
        <v>28</v>
      </c>
      <c r="F11267" s="19" t="s">
        <v>28</v>
      </c>
      <c r="G11267" s="19" t="s">
        <v>28</v>
      </c>
      <c r="H11267" s="19" t="s">
        <v>28</v>
      </c>
      <c r="I11267" s="18" t="s">
        <v>28</v>
      </c>
      <c r="J11267" s="18" t="s">
        <v>28</v>
      </c>
      <c r="K11267" s="18" t="s">
        <v>28</v>
      </c>
      <c r="L11267" s="18" t="s">
        <v>28</v>
      </c>
      <c r="M11267" s="18" t="s">
        <v>28</v>
      </c>
      <c r="N11267" s="17">
        <v>41212</v>
      </c>
      <c r="O11267" s="15" t="s">
        <v>73</v>
      </c>
      <c r="P11267" s="16" t="s">
        <v>18830</v>
      </c>
      <c r="Q11267" s="15" t="s">
        <v>409</v>
      </c>
      <c r="R11267" s="13" t="str">
        <f>HYPERLINK("https://my.pitchbook.com?c=30926-62T","View Company Online")</f>
        <v>View Company Online</v>
      </c>
    </row>
    <row r="11268" spans="1:18" hidden="1" x14ac:dyDescent="0.3">
      <c r="A11268" s="9" t="s">
        <v>31671</v>
      </c>
      <c r="B11268" s="9" t="s">
        <v>15329</v>
      </c>
      <c r="C11268" s="11" t="s">
        <v>28</v>
      </c>
      <c r="D11268" s="9" t="s">
        <v>15330</v>
      </c>
      <c r="E11268" s="11" t="s">
        <v>28</v>
      </c>
      <c r="F11268" s="10" t="s">
        <v>28</v>
      </c>
      <c r="G11268" s="10" t="s">
        <v>28</v>
      </c>
      <c r="H11268" s="10" t="s">
        <v>28</v>
      </c>
      <c r="I11268" s="11" t="s">
        <v>28</v>
      </c>
      <c r="J11268" s="11" t="s">
        <v>28</v>
      </c>
      <c r="K11268" s="11" t="s">
        <v>28</v>
      </c>
      <c r="L11268" s="11" t="s">
        <v>28</v>
      </c>
      <c r="M11268" s="11" t="s">
        <v>28</v>
      </c>
      <c r="N11268" s="8">
        <v>41212</v>
      </c>
      <c r="O11268" s="9" t="s">
        <v>58</v>
      </c>
      <c r="P11268" s="12" t="s">
        <v>31672</v>
      </c>
      <c r="Q11268" s="9" t="s">
        <v>43</v>
      </c>
      <c r="R11268" s="14" t="str">
        <f>HYPERLINK("https://my.pitchbook.com?c=75032-83T","View Company Online")</f>
        <v>View Company Online</v>
      </c>
    </row>
    <row r="11269" spans="1:18" hidden="1" x14ac:dyDescent="0.3">
      <c r="A11269" s="15" t="s">
        <v>31673</v>
      </c>
      <c r="B11269" s="15" t="s">
        <v>3329</v>
      </c>
      <c r="C11269" s="18" t="s">
        <v>28</v>
      </c>
      <c r="D11269" s="15" t="s">
        <v>31674</v>
      </c>
      <c r="E11269" s="18">
        <v>-8.8699999999999992</v>
      </c>
      <c r="F11269" s="19" t="s">
        <v>28</v>
      </c>
      <c r="G11269" s="19">
        <v>244.6</v>
      </c>
      <c r="H11269" s="19" t="s">
        <v>28</v>
      </c>
      <c r="I11269" s="18">
        <v>17.239999999999998</v>
      </c>
      <c r="J11269" s="18" t="s">
        <v>28</v>
      </c>
      <c r="K11269" s="18">
        <v>2247.84</v>
      </c>
      <c r="L11269" s="18" t="s">
        <v>28</v>
      </c>
      <c r="M11269" s="18">
        <v>-84.24</v>
      </c>
      <c r="N11269" s="17">
        <v>41211</v>
      </c>
      <c r="O11269" s="15" t="s">
        <v>423</v>
      </c>
      <c r="P11269" s="16" t="s">
        <v>28</v>
      </c>
      <c r="Q11269" s="15" t="s">
        <v>136</v>
      </c>
      <c r="R11269" s="13" t="str">
        <f>HYPERLINK("https://my.pitchbook.com?c=298962-10T","View Company Online")</f>
        <v>View Company Online</v>
      </c>
    </row>
    <row r="11270" spans="1:18" hidden="1" x14ac:dyDescent="0.3">
      <c r="A11270" s="9" t="s">
        <v>31675</v>
      </c>
      <c r="B11270" s="9" t="s">
        <v>31676</v>
      </c>
      <c r="C11270" s="11" t="s">
        <v>28</v>
      </c>
      <c r="D11270" s="9" t="s">
        <v>31677</v>
      </c>
      <c r="E11270" s="11" t="s">
        <v>28</v>
      </c>
      <c r="F11270" s="10" t="s">
        <v>28</v>
      </c>
      <c r="G11270" s="10" t="s">
        <v>28</v>
      </c>
      <c r="H11270" s="10" t="s">
        <v>28</v>
      </c>
      <c r="I11270" s="11" t="s">
        <v>28</v>
      </c>
      <c r="J11270" s="11" t="s">
        <v>28</v>
      </c>
      <c r="K11270" s="11" t="s">
        <v>28</v>
      </c>
      <c r="L11270" s="11" t="s">
        <v>28</v>
      </c>
      <c r="M11270" s="11" t="s">
        <v>28</v>
      </c>
      <c r="N11270" s="8">
        <v>41209</v>
      </c>
      <c r="O11270" s="9" t="s">
        <v>173</v>
      </c>
      <c r="P11270" s="12" t="s">
        <v>28</v>
      </c>
      <c r="Q11270" s="9" t="s">
        <v>174</v>
      </c>
      <c r="R11270" s="14" t="str">
        <f>HYPERLINK("https://my.pitchbook.com?c=226678-69T","View Company Online")</f>
        <v>View Company Online</v>
      </c>
    </row>
    <row r="11271" spans="1:18" hidden="1" x14ac:dyDescent="0.3">
      <c r="A11271" s="15" t="s">
        <v>31678</v>
      </c>
      <c r="B11271" s="15" t="s">
        <v>31679</v>
      </c>
      <c r="C11271" s="18" t="s">
        <v>28</v>
      </c>
      <c r="D11271" s="15" t="s">
        <v>31680</v>
      </c>
      <c r="E11271" s="18" t="s">
        <v>28</v>
      </c>
      <c r="F11271" s="19" t="s">
        <v>28</v>
      </c>
      <c r="G11271" s="19" t="s">
        <v>28</v>
      </c>
      <c r="H11271" s="19" t="s">
        <v>28</v>
      </c>
      <c r="I11271" s="18" t="s">
        <v>28</v>
      </c>
      <c r="J11271" s="18" t="s">
        <v>28</v>
      </c>
      <c r="K11271" s="18" t="s">
        <v>28</v>
      </c>
      <c r="L11271" s="18" t="s">
        <v>28</v>
      </c>
      <c r="M11271" s="18" t="s">
        <v>28</v>
      </c>
      <c r="N11271" s="17">
        <v>41208</v>
      </c>
      <c r="O11271" s="15" t="s">
        <v>30</v>
      </c>
      <c r="P11271" s="16" t="s">
        <v>9649</v>
      </c>
      <c r="Q11271" s="15" t="s">
        <v>913</v>
      </c>
      <c r="R11271" s="13" t="str">
        <f>HYPERLINK("https://my.pitchbook.com?c=244105-03T","View Company Online")</f>
        <v>View Company Online</v>
      </c>
    </row>
    <row r="11272" spans="1:18" hidden="1" x14ac:dyDescent="0.3">
      <c r="A11272" s="9" t="s">
        <v>31681</v>
      </c>
      <c r="B11272" s="9" t="s">
        <v>31682</v>
      </c>
      <c r="C11272" s="11" t="s">
        <v>28</v>
      </c>
      <c r="D11272" s="9" t="s">
        <v>31683</v>
      </c>
      <c r="E11272" s="11" t="s">
        <v>28</v>
      </c>
      <c r="F11272" s="10" t="s">
        <v>28</v>
      </c>
      <c r="G11272" s="10" t="s">
        <v>28</v>
      </c>
      <c r="H11272" s="10" t="s">
        <v>28</v>
      </c>
      <c r="I11272" s="11" t="s">
        <v>28</v>
      </c>
      <c r="J11272" s="11" t="s">
        <v>28</v>
      </c>
      <c r="K11272" s="11" t="s">
        <v>28</v>
      </c>
      <c r="L11272" s="11" t="s">
        <v>28</v>
      </c>
      <c r="M11272" s="11" t="s">
        <v>28</v>
      </c>
      <c r="N11272" s="8">
        <v>41207</v>
      </c>
      <c r="O11272" s="9" t="s">
        <v>173</v>
      </c>
      <c r="P11272" s="12" t="s">
        <v>28</v>
      </c>
      <c r="Q11272" s="9" t="s">
        <v>174</v>
      </c>
      <c r="R11272" s="14" t="str">
        <f>HYPERLINK("https://my.pitchbook.com?c=224031-07T","View Company Online")</f>
        <v>View Company Online</v>
      </c>
    </row>
    <row r="11273" spans="1:18" hidden="1" x14ac:dyDescent="0.3">
      <c r="A11273" s="15" t="s">
        <v>31684</v>
      </c>
      <c r="B11273" s="15" t="s">
        <v>30458</v>
      </c>
      <c r="C11273" s="18" t="s">
        <v>28</v>
      </c>
      <c r="D11273" s="15" t="s">
        <v>30459</v>
      </c>
      <c r="E11273" s="18" t="s">
        <v>28</v>
      </c>
      <c r="F11273" s="19" t="s">
        <v>28</v>
      </c>
      <c r="G11273" s="19">
        <v>0.02</v>
      </c>
      <c r="H11273" s="19" t="s">
        <v>28</v>
      </c>
      <c r="I11273" s="18" t="s">
        <v>28</v>
      </c>
      <c r="J11273" s="18" t="s">
        <v>28</v>
      </c>
      <c r="K11273" s="18" t="s">
        <v>28</v>
      </c>
      <c r="L11273" s="18" t="s">
        <v>28</v>
      </c>
      <c r="M11273" s="18" t="s">
        <v>28</v>
      </c>
      <c r="N11273" s="17">
        <v>41206</v>
      </c>
      <c r="O11273" s="15" t="s">
        <v>52</v>
      </c>
      <c r="P11273" s="16" t="s">
        <v>18449</v>
      </c>
      <c r="Q11273" s="15" t="s">
        <v>566</v>
      </c>
      <c r="R11273" s="13" t="str">
        <f>HYPERLINK("https://my.pitchbook.com?c=52122-43T","View Company Online")</f>
        <v>View Company Online</v>
      </c>
    </row>
    <row r="11274" spans="1:18" hidden="1" x14ac:dyDescent="0.3">
      <c r="A11274" s="9" t="s">
        <v>31685</v>
      </c>
      <c r="B11274" s="9" t="s">
        <v>31178</v>
      </c>
      <c r="C11274" s="11" t="s">
        <v>28</v>
      </c>
      <c r="D11274" s="9" t="s">
        <v>31179</v>
      </c>
      <c r="E11274" s="11" t="s">
        <v>28</v>
      </c>
      <c r="F11274" s="10" t="s">
        <v>28</v>
      </c>
      <c r="G11274" s="10">
        <v>0.75</v>
      </c>
      <c r="H11274" s="10" t="s">
        <v>28</v>
      </c>
      <c r="I11274" s="11" t="s">
        <v>28</v>
      </c>
      <c r="J11274" s="11" t="s">
        <v>28</v>
      </c>
      <c r="K11274" s="11" t="s">
        <v>28</v>
      </c>
      <c r="L11274" s="11" t="s">
        <v>28</v>
      </c>
      <c r="M11274" s="11" t="s">
        <v>28</v>
      </c>
      <c r="N11274" s="8">
        <v>41205</v>
      </c>
      <c r="O11274" s="9" t="s">
        <v>99</v>
      </c>
      <c r="P11274" s="12" t="s">
        <v>31686</v>
      </c>
      <c r="Q11274" s="9" t="s">
        <v>583</v>
      </c>
      <c r="R11274" s="14" t="str">
        <f>HYPERLINK("https://my.pitchbook.com?c=25086-97T","View Company Online")</f>
        <v>View Company Online</v>
      </c>
    </row>
    <row r="11275" spans="1:18" hidden="1" x14ac:dyDescent="0.3">
      <c r="A11275" s="15" t="s">
        <v>31687</v>
      </c>
      <c r="B11275" s="15" t="s">
        <v>31688</v>
      </c>
      <c r="C11275" s="18" t="s">
        <v>28</v>
      </c>
      <c r="D11275" s="15" t="s">
        <v>31689</v>
      </c>
      <c r="E11275" s="18" t="s">
        <v>28</v>
      </c>
      <c r="F11275" s="19" t="s">
        <v>28</v>
      </c>
      <c r="G11275" s="19" t="s">
        <v>28</v>
      </c>
      <c r="H11275" s="19" t="s">
        <v>28</v>
      </c>
      <c r="I11275" s="18" t="s">
        <v>28</v>
      </c>
      <c r="J11275" s="18" t="s">
        <v>28</v>
      </c>
      <c r="K11275" s="18" t="s">
        <v>28</v>
      </c>
      <c r="L11275" s="18" t="s">
        <v>28</v>
      </c>
      <c r="M11275" s="18" t="s">
        <v>28</v>
      </c>
      <c r="N11275" s="17">
        <v>41204</v>
      </c>
      <c r="O11275" s="15" t="s">
        <v>30</v>
      </c>
      <c r="P11275" s="16" t="s">
        <v>31690</v>
      </c>
      <c r="Q11275" s="15" t="s">
        <v>517</v>
      </c>
      <c r="R11275" s="13" t="str">
        <f>HYPERLINK("https://my.pitchbook.com?c=90134-92T","View Company Online")</f>
        <v>View Company Online</v>
      </c>
    </row>
    <row r="11276" spans="1:18" hidden="1" x14ac:dyDescent="0.3">
      <c r="A11276" s="9" t="s">
        <v>31691</v>
      </c>
      <c r="B11276" s="9" t="s">
        <v>31692</v>
      </c>
      <c r="C11276" s="11" t="s">
        <v>28</v>
      </c>
      <c r="D11276" s="9" t="s">
        <v>31693</v>
      </c>
      <c r="E11276" s="11" t="s">
        <v>28</v>
      </c>
      <c r="F11276" s="10" t="s">
        <v>28</v>
      </c>
      <c r="G11276" s="10">
        <v>0.74</v>
      </c>
      <c r="H11276" s="10" t="s">
        <v>28</v>
      </c>
      <c r="I11276" s="11" t="s">
        <v>28</v>
      </c>
      <c r="J11276" s="11" t="s">
        <v>28</v>
      </c>
      <c r="K11276" s="11" t="s">
        <v>28</v>
      </c>
      <c r="L11276" s="11" t="s">
        <v>28</v>
      </c>
      <c r="M11276" s="11" t="s">
        <v>28</v>
      </c>
      <c r="N11276" s="8">
        <v>41198</v>
      </c>
      <c r="O11276" s="9" t="s">
        <v>79</v>
      </c>
      <c r="P11276" s="12" t="s">
        <v>31694</v>
      </c>
      <c r="Q11276" s="9" t="s">
        <v>75</v>
      </c>
      <c r="R11276" s="14" t="str">
        <f>HYPERLINK("https://my.pitchbook.com?c=86203-27T","View Company Online")</f>
        <v>View Company Online</v>
      </c>
    </row>
    <row r="11277" spans="1:18" hidden="1" x14ac:dyDescent="0.3">
      <c r="A11277" s="15" t="s">
        <v>31695</v>
      </c>
      <c r="B11277" s="15" t="s">
        <v>31696</v>
      </c>
      <c r="C11277" s="18" t="s">
        <v>28</v>
      </c>
      <c r="D11277" s="15" t="s">
        <v>31697</v>
      </c>
      <c r="E11277" s="18" t="s">
        <v>28</v>
      </c>
      <c r="F11277" s="19">
        <v>58.99</v>
      </c>
      <c r="G11277" s="19">
        <v>58.99</v>
      </c>
      <c r="H11277" s="19">
        <v>58.99</v>
      </c>
      <c r="I11277" s="18" t="s">
        <v>28</v>
      </c>
      <c r="J11277" s="18" t="s">
        <v>28</v>
      </c>
      <c r="K11277" s="18" t="s">
        <v>28</v>
      </c>
      <c r="L11277" s="18" t="s">
        <v>28</v>
      </c>
      <c r="M11277" s="18" t="s">
        <v>28</v>
      </c>
      <c r="N11277" s="17">
        <v>41197</v>
      </c>
      <c r="O11277" s="15" t="s">
        <v>30</v>
      </c>
      <c r="P11277" s="16" t="s">
        <v>31698</v>
      </c>
      <c r="Q11277" s="15" t="s">
        <v>5347</v>
      </c>
      <c r="R11277" s="13" t="str">
        <f>HYPERLINK("https://my.pitchbook.com?c=73504-81T","View Company Online")</f>
        <v>View Company Online</v>
      </c>
    </row>
    <row r="11278" spans="1:18" hidden="1" x14ac:dyDescent="0.3">
      <c r="A11278" s="9" t="s">
        <v>31699</v>
      </c>
      <c r="B11278" s="9" t="s">
        <v>4089</v>
      </c>
      <c r="C11278" s="11" t="s">
        <v>28</v>
      </c>
      <c r="D11278" s="9" t="s">
        <v>4090</v>
      </c>
      <c r="E11278" s="11" t="s">
        <v>28</v>
      </c>
      <c r="F11278" s="10" t="s">
        <v>28</v>
      </c>
      <c r="G11278" s="10" t="s">
        <v>28</v>
      </c>
      <c r="H11278" s="10" t="s">
        <v>28</v>
      </c>
      <c r="I11278" s="11" t="s">
        <v>28</v>
      </c>
      <c r="J11278" s="11" t="s">
        <v>28</v>
      </c>
      <c r="K11278" s="11" t="s">
        <v>28</v>
      </c>
      <c r="L11278" s="11" t="s">
        <v>28</v>
      </c>
      <c r="M11278" s="11" t="s">
        <v>28</v>
      </c>
      <c r="N11278" s="8">
        <v>41197</v>
      </c>
      <c r="O11278" s="9" t="s">
        <v>99</v>
      </c>
      <c r="P11278" s="12" t="s">
        <v>31700</v>
      </c>
      <c r="Q11278" s="9" t="s">
        <v>75</v>
      </c>
      <c r="R11278" s="14" t="str">
        <f>HYPERLINK("https://my.pitchbook.com?c=26452-99T","View Company Online")</f>
        <v>View Company Online</v>
      </c>
    </row>
    <row r="11279" spans="1:18" hidden="1" x14ac:dyDescent="0.3">
      <c r="A11279" s="15" t="s">
        <v>31701</v>
      </c>
      <c r="B11279" s="15" t="s">
        <v>16115</v>
      </c>
      <c r="C11279" s="18" t="s">
        <v>28</v>
      </c>
      <c r="D11279" s="15" t="s">
        <v>16116</v>
      </c>
      <c r="E11279" s="18" t="s">
        <v>28</v>
      </c>
      <c r="F11279" s="19" t="s">
        <v>28</v>
      </c>
      <c r="G11279" s="19">
        <v>0.01</v>
      </c>
      <c r="H11279" s="19" t="s">
        <v>28</v>
      </c>
      <c r="I11279" s="18" t="s">
        <v>28</v>
      </c>
      <c r="J11279" s="18" t="s">
        <v>28</v>
      </c>
      <c r="K11279" s="18" t="s">
        <v>28</v>
      </c>
      <c r="L11279" s="18" t="s">
        <v>28</v>
      </c>
      <c r="M11279" s="18" t="s">
        <v>28</v>
      </c>
      <c r="N11279" s="17">
        <v>41197</v>
      </c>
      <c r="O11279" s="15" t="s">
        <v>8420</v>
      </c>
      <c r="P11279" s="16" t="s">
        <v>28</v>
      </c>
      <c r="Q11279" s="15" t="s">
        <v>583</v>
      </c>
      <c r="R11279" s="13" t="str">
        <f>HYPERLINK("https://my.pitchbook.com?c=168494-86T","View Company Online")</f>
        <v>View Company Online</v>
      </c>
    </row>
    <row r="11280" spans="1:18" hidden="1" x14ac:dyDescent="0.3">
      <c r="A11280" s="9" t="s">
        <v>31702</v>
      </c>
      <c r="B11280" s="9" t="s">
        <v>25031</v>
      </c>
      <c r="C11280" s="11" t="s">
        <v>28</v>
      </c>
      <c r="D11280" s="9" t="s">
        <v>25032</v>
      </c>
      <c r="E11280" s="11" t="s">
        <v>28</v>
      </c>
      <c r="F11280" s="10" t="s">
        <v>28</v>
      </c>
      <c r="G11280" s="10" t="s">
        <v>28</v>
      </c>
      <c r="H11280" s="10" t="s">
        <v>28</v>
      </c>
      <c r="I11280" s="11" t="s">
        <v>28</v>
      </c>
      <c r="J11280" s="11" t="s">
        <v>28</v>
      </c>
      <c r="K11280" s="11" t="s">
        <v>28</v>
      </c>
      <c r="L11280" s="11" t="s">
        <v>28</v>
      </c>
      <c r="M11280" s="11" t="s">
        <v>28</v>
      </c>
      <c r="N11280" s="8">
        <v>41197</v>
      </c>
      <c r="O11280" s="9" t="s">
        <v>73</v>
      </c>
      <c r="P11280" s="12" t="s">
        <v>31703</v>
      </c>
      <c r="Q11280" s="9" t="s">
        <v>740</v>
      </c>
      <c r="R11280" s="14" t="str">
        <f>HYPERLINK("https://my.pitchbook.com?c=31516-48T","View Company Online")</f>
        <v>View Company Online</v>
      </c>
    </row>
    <row r="11281" spans="1:18" hidden="1" x14ac:dyDescent="0.3">
      <c r="A11281" s="15" t="s">
        <v>31704</v>
      </c>
      <c r="B11281" s="15" t="s">
        <v>5275</v>
      </c>
      <c r="C11281" s="18" t="s">
        <v>28</v>
      </c>
      <c r="D11281" s="15" t="s">
        <v>5276</v>
      </c>
      <c r="E11281" s="18" t="s">
        <v>28</v>
      </c>
      <c r="F11281" s="19" t="s">
        <v>28</v>
      </c>
      <c r="G11281" s="19" t="s">
        <v>28</v>
      </c>
      <c r="H11281" s="19" t="s">
        <v>28</v>
      </c>
      <c r="I11281" s="18" t="s">
        <v>28</v>
      </c>
      <c r="J11281" s="18" t="s">
        <v>28</v>
      </c>
      <c r="K11281" s="18" t="s">
        <v>28</v>
      </c>
      <c r="L11281" s="18" t="s">
        <v>28</v>
      </c>
      <c r="M11281" s="18" t="s">
        <v>28</v>
      </c>
      <c r="N11281" s="17">
        <v>41194</v>
      </c>
      <c r="O11281" s="15" t="s">
        <v>30</v>
      </c>
      <c r="P11281" s="16" t="s">
        <v>31705</v>
      </c>
      <c r="Q11281" s="15" t="s">
        <v>188</v>
      </c>
      <c r="R11281" s="13" t="str">
        <f>HYPERLINK("https://my.pitchbook.com?c=70922-80T","View Company Online")</f>
        <v>View Company Online</v>
      </c>
    </row>
    <row r="11282" spans="1:18" hidden="1" x14ac:dyDescent="0.3">
      <c r="A11282" s="9" t="s">
        <v>31706</v>
      </c>
      <c r="B11282" s="9" t="s">
        <v>31707</v>
      </c>
      <c r="C11282" s="11" t="s">
        <v>28</v>
      </c>
      <c r="D11282" s="9" t="s">
        <v>31708</v>
      </c>
      <c r="E11282" s="11" t="s">
        <v>28</v>
      </c>
      <c r="F11282" s="10">
        <v>18.260000000000002</v>
      </c>
      <c r="G11282" s="10">
        <v>18.260000000000002</v>
      </c>
      <c r="H11282" s="10">
        <v>18.260000000000002</v>
      </c>
      <c r="I11282" s="11" t="s">
        <v>28</v>
      </c>
      <c r="J11282" s="11" t="s">
        <v>28</v>
      </c>
      <c r="K11282" s="11" t="s">
        <v>28</v>
      </c>
      <c r="L11282" s="11" t="s">
        <v>28</v>
      </c>
      <c r="M11282" s="11" t="s">
        <v>28</v>
      </c>
      <c r="N11282" s="8">
        <v>41193</v>
      </c>
      <c r="O11282" s="9" t="s">
        <v>30</v>
      </c>
      <c r="P11282" s="12" t="s">
        <v>31709</v>
      </c>
      <c r="Q11282" s="9" t="s">
        <v>37</v>
      </c>
      <c r="R11282" s="14" t="str">
        <f>HYPERLINK("https://my.pitchbook.com?c=102756-52T","View Company Online")</f>
        <v>View Company Online</v>
      </c>
    </row>
    <row r="11283" spans="1:18" hidden="1" x14ac:dyDescent="0.3">
      <c r="A11283" s="15" t="s">
        <v>31710</v>
      </c>
      <c r="B11283" s="15" t="s">
        <v>31711</v>
      </c>
      <c r="C11283" s="18" t="s">
        <v>28</v>
      </c>
      <c r="D11283" s="15" t="s">
        <v>31712</v>
      </c>
      <c r="E11283" s="18" t="s">
        <v>28</v>
      </c>
      <c r="F11283" s="19" t="s">
        <v>28</v>
      </c>
      <c r="G11283" s="19" t="s">
        <v>28</v>
      </c>
      <c r="H11283" s="19" t="s">
        <v>28</v>
      </c>
      <c r="I11283" s="18" t="s">
        <v>28</v>
      </c>
      <c r="J11283" s="18" t="s">
        <v>28</v>
      </c>
      <c r="K11283" s="18" t="s">
        <v>28</v>
      </c>
      <c r="L11283" s="18" t="s">
        <v>28</v>
      </c>
      <c r="M11283" s="18" t="s">
        <v>28</v>
      </c>
      <c r="N11283" s="17">
        <v>41193</v>
      </c>
      <c r="O11283" s="15" t="s">
        <v>52</v>
      </c>
      <c r="P11283" s="16" t="s">
        <v>31713</v>
      </c>
      <c r="Q11283" s="15" t="s">
        <v>1088</v>
      </c>
      <c r="R11283" s="13" t="str">
        <f>HYPERLINK("https://my.pitchbook.com?c=55477-09T","View Company Online")</f>
        <v>View Company Online</v>
      </c>
    </row>
    <row r="11284" spans="1:18" hidden="1" x14ac:dyDescent="0.3">
      <c r="A11284" s="9" t="s">
        <v>31714</v>
      </c>
      <c r="B11284" s="9" t="s">
        <v>31715</v>
      </c>
      <c r="C11284" s="11" t="s">
        <v>28</v>
      </c>
      <c r="D11284" s="9" t="s">
        <v>31716</v>
      </c>
      <c r="E11284" s="11" t="s">
        <v>28</v>
      </c>
      <c r="F11284" s="10">
        <v>81.78</v>
      </c>
      <c r="G11284" s="10">
        <v>40.89</v>
      </c>
      <c r="H11284" s="10">
        <v>81.78</v>
      </c>
      <c r="I11284" s="11" t="s">
        <v>28</v>
      </c>
      <c r="J11284" s="11" t="s">
        <v>28</v>
      </c>
      <c r="K11284" s="11" t="s">
        <v>28</v>
      </c>
      <c r="L11284" s="11" t="s">
        <v>28</v>
      </c>
      <c r="M11284" s="11" t="s">
        <v>28</v>
      </c>
      <c r="N11284" s="8">
        <v>41192</v>
      </c>
      <c r="O11284" s="9" t="s">
        <v>30</v>
      </c>
      <c r="P11284" s="12" t="s">
        <v>2372</v>
      </c>
      <c r="Q11284" s="9" t="s">
        <v>114</v>
      </c>
      <c r="R11284" s="14" t="str">
        <f>HYPERLINK("https://my.pitchbook.com?c=89910-55T","View Company Online")</f>
        <v>View Company Online</v>
      </c>
    </row>
    <row r="11285" spans="1:18" hidden="1" x14ac:dyDescent="0.3">
      <c r="A11285" s="15" t="s">
        <v>31717</v>
      </c>
      <c r="B11285" s="15" t="s">
        <v>28319</v>
      </c>
      <c r="C11285" s="18" t="s">
        <v>28</v>
      </c>
      <c r="D11285" s="15" t="s">
        <v>28320</v>
      </c>
      <c r="E11285" s="18" t="s">
        <v>28</v>
      </c>
      <c r="F11285" s="19" t="s">
        <v>28</v>
      </c>
      <c r="G11285" s="19">
        <v>2.4700000000000002</v>
      </c>
      <c r="H11285" s="19" t="s">
        <v>28</v>
      </c>
      <c r="I11285" s="18" t="s">
        <v>28</v>
      </c>
      <c r="J11285" s="18" t="s">
        <v>28</v>
      </c>
      <c r="K11285" s="18" t="s">
        <v>28</v>
      </c>
      <c r="L11285" s="18" t="s">
        <v>28</v>
      </c>
      <c r="M11285" s="18" t="s">
        <v>28</v>
      </c>
      <c r="N11285" s="17">
        <v>41191</v>
      </c>
      <c r="O11285" s="15" t="s">
        <v>73</v>
      </c>
      <c r="P11285" s="16" t="s">
        <v>31718</v>
      </c>
      <c r="Q11285" s="15" t="s">
        <v>386</v>
      </c>
      <c r="R11285" s="13" t="str">
        <f>HYPERLINK("https://my.pitchbook.com?c=26791-75T","View Company Online")</f>
        <v>View Company Online</v>
      </c>
    </row>
    <row r="11286" spans="1:18" hidden="1" x14ac:dyDescent="0.3">
      <c r="A11286" s="9" t="s">
        <v>31719</v>
      </c>
      <c r="B11286" s="9" t="s">
        <v>22597</v>
      </c>
      <c r="C11286" s="11" t="s">
        <v>28</v>
      </c>
      <c r="D11286" s="9" t="s">
        <v>22598</v>
      </c>
      <c r="E11286" s="11" t="s">
        <v>28</v>
      </c>
      <c r="F11286" s="10" t="s">
        <v>28</v>
      </c>
      <c r="G11286" s="10" t="s">
        <v>28</v>
      </c>
      <c r="H11286" s="10" t="s">
        <v>28</v>
      </c>
      <c r="I11286" s="11" t="s">
        <v>28</v>
      </c>
      <c r="J11286" s="11" t="s">
        <v>28</v>
      </c>
      <c r="K11286" s="11" t="s">
        <v>28</v>
      </c>
      <c r="L11286" s="11" t="s">
        <v>28</v>
      </c>
      <c r="M11286" s="11" t="s">
        <v>28</v>
      </c>
      <c r="N11286" s="8">
        <v>41190</v>
      </c>
      <c r="O11286" s="9" t="s">
        <v>73</v>
      </c>
      <c r="P11286" s="12" t="s">
        <v>31720</v>
      </c>
      <c r="Q11286" s="9" t="s">
        <v>188</v>
      </c>
      <c r="R11286" s="14" t="str">
        <f>HYPERLINK("https://my.pitchbook.com?c=28579-78T","View Company Online")</f>
        <v>View Company Online</v>
      </c>
    </row>
    <row r="11287" spans="1:18" hidden="1" x14ac:dyDescent="0.3">
      <c r="A11287" s="15" t="s">
        <v>31721</v>
      </c>
      <c r="B11287" s="15" t="s">
        <v>2368</v>
      </c>
      <c r="C11287" s="18" t="s">
        <v>28</v>
      </c>
      <c r="D11287" s="15" t="s">
        <v>23267</v>
      </c>
      <c r="E11287" s="18">
        <v>2.96</v>
      </c>
      <c r="F11287" s="19" t="s">
        <v>28</v>
      </c>
      <c r="G11287" s="19">
        <v>128.5</v>
      </c>
      <c r="H11287" s="19">
        <v>1053.26</v>
      </c>
      <c r="I11287" s="18">
        <v>14.58</v>
      </c>
      <c r="J11287" s="18">
        <v>72.239999999999995</v>
      </c>
      <c r="K11287" s="18">
        <v>44.52</v>
      </c>
      <c r="L11287" s="18">
        <v>23.66</v>
      </c>
      <c r="M11287" s="18">
        <v>0.28000000000000003</v>
      </c>
      <c r="N11287" s="17">
        <v>41190</v>
      </c>
      <c r="O11287" s="15" t="s">
        <v>159</v>
      </c>
      <c r="P11287" s="16" t="s">
        <v>24775</v>
      </c>
      <c r="Q11287" s="15" t="s">
        <v>226</v>
      </c>
      <c r="R11287" s="13" t="str">
        <f>HYPERLINK("https://my.pitchbook.com?c=27879-04T","View Company Online")</f>
        <v>View Company Online</v>
      </c>
    </row>
    <row r="11288" spans="1:18" hidden="1" x14ac:dyDescent="0.3">
      <c r="A11288" s="9" t="s">
        <v>31722</v>
      </c>
      <c r="B11288" s="9" t="s">
        <v>23402</v>
      </c>
      <c r="C11288" s="11" t="s">
        <v>28</v>
      </c>
      <c r="D11288" s="9" t="s">
        <v>23403</v>
      </c>
      <c r="E11288" s="11" t="s">
        <v>28</v>
      </c>
      <c r="F11288" s="10" t="s">
        <v>28</v>
      </c>
      <c r="G11288" s="10">
        <v>13</v>
      </c>
      <c r="H11288" s="10" t="s">
        <v>28</v>
      </c>
      <c r="I11288" s="11" t="s">
        <v>28</v>
      </c>
      <c r="J11288" s="11" t="s">
        <v>28</v>
      </c>
      <c r="K11288" s="11" t="s">
        <v>28</v>
      </c>
      <c r="L11288" s="11" t="s">
        <v>28</v>
      </c>
      <c r="M11288" s="11" t="s">
        <v>28</v>
      </c>
      <c r="N11288" s="8">
        <v>41184</v>
      </c>
      <c r="O11288" s="9" t="s">
        <v>79</v>
      </c>
      <c r="P11288" s="12" t="s">
        <v>31723</v>
      </c>
      <c r="Q11288" s="9" t="s">
        <v>1179</v>
      </c>
      <c r="R11288" s="14" t="str">
        <f>HYPERLINK("https://my.pitchbook.com?c=25095-88T","View Company Online")</f>
        <v>View Company Online</v>
      </c>
    </row>
    <row r="11289" spans="1:18" hidden="1" x14ac:dyDescent="0.3">
      <c r="A11289" s="15" t="s">
        <v>31724</v>
      </c>
      <c r="B11289" s="15" t="s">
        <v>31725</v>
      </c>
      <c r="C11289" s="18" t="s">
        <v>28</v>
      </c>
      <c r="D11289" s="15" t="s">
        <v>31726</v>
      </c>
      <c r="E11289" s="18" t="s">
        <v>28</v>
      </c>
      <c r="F11289" s="19" t="s">
        <v>28</v>
      </c>
      <c r="G11289" s="19" t="s">
        <v>28</v>
      </c>
      <c r="H11289" s="19" t="s">
        <v>28</v>
      </c>
      <c r="I11289" s="18" t="s">
        <v>28</v>
      </c>
      <c r="J11289" s="18" t="s">
        <v>28</v>
      </c>
      <c r="K11289" s="18" t="s">
        <v>28</v>
      </c>
      <c r="L11289" s="18" t="s">
        <v>28</v>
      </c>
      <c r="M11289" s="18" t="s">
        <v>28</v>
      </c>
      <c r="N11289" s="17">
        <v>41184</v>
      </c>
      <c r="O11289" s="15" t="s">
        <v>73</v>
      </c>
      <c r="P11289" s="16" t="s">
        <v>31727</v>
      </c>
      <c r="Q11289" s="15" t="s">
        <v>37</v>
      </c>
      <c r="R11289" s="13" t="str">
        <f>HYPERLINK("https://my.pitchbook.com?c=24379-21T","View Company Online")</f>
        <v>View Company Online</v>
      </c>
    </row>
    <row r="11290" spans="1:18" hidden="1" x14ac:dyDescent="0.3">
      <c r="A11290" s="9" t="s">
        <v>31728</v>
      </c>
      <c r="B11290" s="9" t="s">
        <v>31729</v>
      </c>
      <c r="C11290" s="11" t="s">
        <v>28</v>
      </c>
      <c r="D11290" s="9" t="s">
        <v>31730</v>
      </c>
      <c r="E11290" s="11" t="s">
        <v>28</v>
      </c>
      <c r="F11290" s="10" t="s">
        <v>28</v>
      </c>
      <c r="G11290" s="10" t="s">
        <v>28</v>
      </c>
      <c r="H11290" s="10" t="s">
        <v>28</v>
      </c>
      <c r="I11290" s="11" t="s">
        <v>28</v>
      </c>
      <c r="J11290" s="11" t="s">
        <v>28</v>
      </c>
      <c r="K11290" s="11" t="s">
        <v>28</v>
      </c>
      <c r="L11290" s="11" t="s">
        <v>28</v>
      </c>
      <c r="M11290" s="11" t="s">
        <v>28</v>
      </c>
      <c r="N11290" s="8">
        <v>41183</v>
      </c>
      <c r="O11290" s="9" t="s">
        <v>73</v>
      </c>
      <c r="P11290" s="12" t="s">
        <v>31731</v>
      </c>
      <c r="Q11290" s="9" t="s">
        <v>3912</v>
      </c>
      <c r="R11290" s="14" t="str">
        <f>HYPERLINK("https://my.pitchbook.com?c=27812-44T","View Company Online")</f>
        <v>View Company Online</v>
      </c>
    </row>
    <row r="11291" spans="1:18" hidden="1" x14ac:dyDescent="0.3">
      <c r="A11291" s="15" t="s">
        <v>31732</v>
      </c>
      <c r="B11291" s="15" t="s">
        <v>26282</v>
      </c>
      <c r="C11291" s="18" t="s">
        <v>28</v>
      </c>
      <c r="D11291" s="15" t="s">
        <v>26283</v>
      </c>
      <c r="E11291" s="18">
        <v>315.08999999999997</v>
      </c>
      <c r="F11291" s="19" t="s">
        <v>28</v>
      </c>
      <c r="G11291" s="19" t="s">
        <v>28</v>
      </c>
      <c r="H11291" s="19" t="s">
        <v>28</v>
      </c>
      <c r="I11291" s="18">
        <v>438.39</v>
      </c>
      <c r="J11291" s="18" t="s">
        <v>28</v>
      </c>
      <c r="K11291" s="18">
        <v>1621.36</v>
      </c>
      <c r="L11291" s="18" t="s">
        <v>28</v>
      </c>
      <c r="M11291" s="18">
        <v>211.6</v>
      </c>
      <c r="N11291" s="17">
        <v>41183</v>
      </c>
      <c r="O11291" s="15" t="s">
        <v>30</v>
      </c>
      <c r="P11291" s="16" t="s">
        <v>31733</v>
      </c>
      <c r="Q11291" s="15" t="s">
        <v>24243</v>
      </c>
      <c r="R11291" s="13" t="str">
        <f>HYPERLINK("https://my.pitchbook.com?c=29832-13T","View Company Online")</f>
        <v>View Company Online</v>
      </c>
    </row>
    <row r="11292" spans="1:18" hidden="1" x14ac:dyDescent="0.3">
      <c r="A11292" s="9" t="s">
        <v>31734</v>
      </c>
      <c r="B11292" s="9" t="s">
        <v>31735</v>
      </c>
      <c r="C11292" s="11" t="s">
        <v>28</v>
      </c>
      <c r="D11292" s="9" t="s">
        <v>31736</v>
      </c>
      <c r="E11292" s="11" t="s">
        <v>28</v>
      </c>
      <c r="F11292" s="10" t="s">
        <v>28</v>
      </c>
      <c r="G11292" s="10">
        <v>0.01</v>
      </c>
      <c r="H11292" s="10" t="s">
        <v>28</v>
      </c>
      <c r="I11292" s="11" t="s">
        <v>28</v>
      </c>
      <c r="J11292" s="11" t="s">
        <v>28</v>
      </c>
      <c r="K11292" s="11" t="s">
        <v>28</v>
      </c>
      <c r="L11292" s="11" t="s">
        <v>28</v>
      </c>
      <c r="M11292" s="11" t="s">
        <v>28</v>
      </c>
      <c r="N11292" s="8">
        <v>41183</v>
      </c>
      <c r="O11292" s="9" t="s">
        <v>52</v>
      </c>
      <c r="P11292" s="12" t="s">
        <v>30501</v>
      </c>
      <c r="Q11292" s="9" t="s">
        <v>855</v>
      </c>
      <c r="R11292" s="14" t="str">
        <f>HYPERLINK("https://my.pitchbook.com?c=50729-77T","View Company Online")</f>
        <v>View Company Online</v>
      </c>
    </row>
    <row r="11293" spans="1:18" hidden="1" x14ac:dyDescent="0.3">
      <c r="A11293" s="15" t="s">
        <v>31737</v>
      </c>
      <c r="B11293" s="15" t="s">
        <v>223</v>
      </c>
      <c r="C11293" s="18" t="s">
        <v>28</v>
      </c>
      <c r="D11293" s="15" t="s">
        <v>224</v>
      </c>
      <c r="E11293" s="18" t="s">
        <v>28</v>
      </c>
      <c r="F11293" s="19" t="s">
        <v>28</v>
      </c>
      <c r="G11293" s="19" t="s">
        <v>28</v>
      </c>
      <c r="H11293" s="19" t="s">
        <v>28</v>
      </c>
      <c r="I11293" s="18" t="s">
        <v>28</v>
      </c>
      <c r="J11293" s="18" t="s">
        <v>28</v>
      </c>
      <c r="K11293" s="18" t="s">
        <v>28</v>
      </c>
      <c r="L11293" s="18" t="s">
        <v>28</v>
      </c>
      <c r="M11293" s="18" t="s">
        <v>28</v>
      </c>
      <c r="N11293" s="17">
        <v>41183</v>
      </c>
      <c r="O11293" s="15" t="s">
        <v>93</v>
      </c>
      <c r="P11293" s="16" t="s">
        <v>31738</v>
      </c>
      <c r="Q11293" s="15" t="s">
        <v>226</v>
      </c>
      <c r="R11293" s="13" t="str">
        <f>HYPERLINK("https://my.pitchbook.com?c=196091-47T","View Company Online")</f>
        <v>View Company Online</v>
      </c>
    </row>
    <row r="11294" spans="1:18" hidden="1" x14ac:dyDescent="0.3">
      <c r="A11294" s="9" t="s">
        <v>31739</v>
      </c>
      <c r="B11294" s="9" t="s">
        <v>9155</v>
      </c>
      <c r="C11294" s="11" t="s">
        <v>28</v>
      </c>
      <c r="D11294" s="9" t="s">
        <v>9156</v>
      </c>
      <c r="E11294" s="11" t="s">
        <v>28</v>
      </c>
      <c r="F11294" s="10" t="s">
        <v>28</v>
      </c>
      <c r="G11294" s="10" t="s">
        <v>28</v>
      </c>
      <c r="H11294" s="10" t="s">
        <v>28</v>
      </c>
      <c r="I11294" s="11" t="s">
        <v>28</v>
      </c>
      <c r="J11294" s="11" t="s">
        <v>28</v>
      </c>
      <c r="K11294" s="11" t="s">
        <v>28</v>
      </c>
      <c r="L11294" s="11" t="s">
        <v>28</v>
      </c>
      <c r="M11294" s="11" t="s">
        <v>28</v>
      </c>
      <c r="N11294" s="8">
        <v>41183</v>
      </c>
      <c r="O11294" s="9" t="s">
        <v>79</v>
      </c>
      <c r="P11294" s="12" t="s">
        <v>31740</v>
      </c>
      <c r="Q11294" s="9" t="s">
        <v>75</v>
      </c>
      <c r="R11294" s="14" t="str">
        <f>HYPERLINK("https://my.pitchbook.com?c=29874-07T","View Company Online")</f>
        <v>View Company Online</v>
      </c>
    </row>
    <row r="11295" spans="1:18" hidden="1" x14ac:dyDescent="0.3">
      <c r="A11295" s="15" t="s">
        <v>31741</v>
      </c>
      <c r="B11295" s="15" t="s">
        <v>31742</v>
      </c>
      <c r="C11295" s="18" t="s">
        <v>28</v>
      </c>
      <c r="D11295" s="15" t="s">
        <v>31743</v>
      </c>
      <c r="E11295" s="18" t="s">
        <v>28</v>
      </c>
      <c r="F11295" s="19">
        <v>20</v>
      </c>
      <c r="G11295" s="19">
        <v>20</v>
      </c>
      <c r="H11295" s="19">
        <v>20</v>
      </c>
      <c r="I11295" s="18" t="s">
        <v>28</v>
      </c>
      <c r="J11295" s="18" t="s">
        <v>28</v>
      </c>
      <c r="K11295" s="18" t="s">
        <v>28</v>
      </c>
      <c r="L11295" s="18" t="s">
        <v>28</v>
      </c>
      <c r="M11295" s="18" t="s">
        <v>28</v>
      </c>
      <c r="N11295" s="17">
        <v>41183</v>
      </c>
      <c r="O11295" s="15" t="s">
        <v>41</v>
      </c>
      <c r="P11295" s="16" t="s">
        <v>31744</v>
      </c>
      <c r="Q11295" s="15" t="s">
        <v>880</v>
      </c>
      <c r="R11295" s="13" t="str">
        <f>HYPERLINK("https://my.pitchbook.com?c=108489-43T","View Company Online")</f>
        <v>View Company Online</v>
      </c>
    </row>
    <row r="11296" spans="1:18" hidden="1" x14ac:dyDescent="0.3">
      <c r="A11296" s="9" t="s">
        <v>31745</v>
      </c>
      <c r="B11296" s="9" t="s">
        <v>27317</v>
      </c>
      <c r="C11296" s="11" t="s">
        <v>28</v>
      </c>
      <c r="D11296" s="9" t="s">
        <v>27318</v>
      </c>
      <c r="E11296" s="11" t="s">
        <v>28</v>
      </c>
      <c r="F11296" s="10" t="s">
        <v>28</v>
      </c>
      <c r="G11296" s="10" t="s">
        <v>28</v>
      </c>
      <c r="H11296" s="10" t="s">
        <v>28</v>
      </c>
      <c r="I11296" s="11" t="s">
        <v>28</v>
      </c>
      <c r="J11296" s="11" t="s">
        <v>28</v>
      </c>
      <c r="K11296" s="11" t="s">
        <v>28</v>
      </c>
      <c r="L11296" s="11" t="s">
        <v>28</v>
      </c>
      <c r="M11296" s="11" t="s">
        <v>28</v>
      </c>
      <c r="N11296" s="8">
        <v>41183</v>
      </c>
      <c r="O11296" s="9" t="s">
        <v>73</v>
      </c>
      <c r="P11296" s="12" t="s">
        <v>31746</v>
      </c>
      <c r="Q11296" s="9" t="s">
        <v>740</v>
      </c>
      <c r="R11296" s="14" t="str">
        <f>HYPERLINK("https://my.pitchbook.com?c=22280-32T","View Company Online")</f>
        <v>View Company Online</v>
      </c>
    </row>
    <row r="11297" spans="1:18" x14ac:dyDescent="0.3">
      <c r="A11297" s="15" t="s">
        <v>31747</v>
      </c>
      <c r="B11297" s="15" t="s">
        <v>31748</v>
      </c>
      <c r="C11297" s="18">
        <v>9.76</v>
      </c>
      <c r="D11297" s="15" t="s">
        <v>31749</v>
      </c>
      <c r="E11297" s="18" t="s">
        <v>28</v>
      </c>
      <c r="F11297" s="19">
        <v>22.45</v>
      </c>
      <c r="G11297" s="19">
        <v>22.45</v>
      </c>
      <c r="H11297" s="19">
        <v>22.45</v>
      </c>
      <c r="I11297" s="18">
        <v>2.2999999999999998</v>
      </c>
      <c r="J11297" s="18">
        <v>9.76</v>
      </c>
      <c r="K11297" s="18">
        <v>9.3000000000000007</v>
      </c>
      <c r="L11297" s="18">
        <v>2.41</v>
      </c>
      <c r="M11297" s="18" t="s">
        <v>28</v>
      </c>
      <c r="N11297" s="17">
        <v>41180</v>
      </c>
      <c r="O11297" s="15" t="s">
        <v>30</v>
      </c>
      <c r="P11297" s="16" t="s">
        <v>31750</v>
      </c>
      <c r="Q11297" s="15" t="s">
        <v>280</v>
      </c>
      <c r="R11297" s="13" t="str">
        <f>HYPERLINK("https://my.pitchbook.com?c=90160-03T","View Company Online")</f>
        <v>View Company Online</v>
      </c>
    </row>
    <row r="11298" spans="1:18" hidden="1" x14ac:dyDescent="0.3">
      <c r="A11298" s="9" t="s">
        <v>31751</v>
      </c>
      <c r="B11298" s="9" t="s">
        <v>31752</v>
      </c>
      <c r="C11298" s="11" t="s">
        <v>28</v>
      </c>
      <c r="D11298" s="9" t="s">
        <v>31753</v>
      </c>
      <c r="E11298" s="11" t="s">
        <v>28</v>
      </c>
      <c r="F11298" s="10" t="s">
        <v>28</v>
      </c>
      <c r="G11298" s="10" t="s">
        <v>28</v>
      </c>
      <c r="H11298" s="10" t="s">
        <v>28</v>
      </c>
      <c r="I11298" s="11" t="s">
        <v>28</v>
      </c>
      <c r="J11298" s="11" t="s">
        <v>28</v>
      </c>
      <c r="K11298" s="11" t="s">
        <v>28</v>
      </c>
      <c r="L11298" s="11" t="s">
        <v>28</v>
      </c>
      <c r="M11298" s="11" t="s">
        <v>28</v>
      </c>
      <c r="N11298" s="8">
        <v>41178</v>
      </c>
      <c r="O11298" s="9" t="s">
        <v>30</v>
      </c>
      <c r="P11298" s="12" t="s">
        <v>31754</v>
      </c>
      <c r="Q11298" s="9" t="s">
        <v>22187</v>
      </c>
      <c r="R11298" s="14" t="str">
        <f>HYPERLINK("https://my.pitchbook.com?c=69034-24T","View Company Online")</f>
        <v>View Company Online</v>
      </c>
    </row>
    <row r="11299" spans="1:18" hidden="1" x14ac:dyDescent="0.3">
      <c r="A11299" s="15" t="s">
        <v>31755</v>
      </c>
      <c r="B11299" s="15" t="s">
        <v>22752</v>
      </c>
      <c r="C11299" s="18" t="s">
        <v>28</v>
      </c>
      <c r="D11299" s="15" t="s">
        <v>23133</v>
      </c>
      <c r="E11299" s="18" t="s">
        <v>28</v>
      </c>
      <c r="F11299" s="19" t="s">
        <v>28</v>
      </c>
      <c r="G11299" s="19">
        <v>2.62</v>
      </c>
      <c r="H11299" s="19" t="s">
        <v>28</v>
      </c>
      <c r="I11299" s="18" t="s">
        <v>28</v>
      </c>
      <c r="J11299" s="18" t="s">
        <v>28</v>
      </c>
      <c r="K11299" s="18" t="s">
        <v>28</v>
      </c>
      <c r="L11299" s="18" t="s">
        <v>28</v>
      </c>
      <c r="M11299" s="18" t="s">
        <v>28</v>
      </c>
      <c r="N11299" s="17">
        <v>41177</v>
      </c>
      <c r="O11299" s="15" t="s">
        <v>99</v>
      </c>
      <c r="P11299" s="16" t="s">
        <v>31756</v>
      </c>
      <c r="Q11299" s="15" t="s">
        <v>75</v>
      </c>
      <c r="R11299" s="13" t="str">
        <f>HYPERLINK("https://my.pitchbook.com?c=24186-61T","View Company Online")</f>
        <v>View Company Online</v>
      </c>
    </row>
    <row r="11300" spans="1:18" x14ac:dyDescent="0.3">
      <c r="A11300" s="9" t="s">
        <v>31757</v>
      </c>
      <c r="B11300" s="9" t="s">
        <v>27279</v>
      </c>
      <c r="C11300" s="11">
        <v>8.19</v>
      </c>
      <c r="D11300" s="9" t="s">
        <v>31758</v>
      </c>
      <c r="E11300" s="11">
        <v>1301.58</v>
      </c>
      <c r="F11300" s="10">
        <v>11512.6</v>
      </c>
      <c r="G11300" s="10">
        <v>5149</v>
      </c>
      <c r="H11300" s="10">
        <v>11596.85</v>
      </c>
      <c r="I11300" s="11">
        <v>1406.31</v>
      </c>
      <c r="J11300" s="11">
        <v>8.25</v>
      </c>
      <c r="K11300" s="11">
        <v>1430.37</v>
      </c>
      <c r="L11300" s="11">
        <v>8.11</v>
      </c>
      <c r="M11300" s="11">
        <v>872.89</v>
      </c>
      <c r="N11300" s="8">
        <v>41176</v>
      </c>
      <c r="O11300" s="9" t="s">
        <v>30</v>
      </c>
      <c r="P11300" s="12" t="s">
        <v>2372</v>
      </c>
      <c r="Q11300" s="9" t="s">
        <v>37</v>
      </c>
      <c r="R11300" s="14" t="str">
        <f>HYPERLINK("https://my.pitchbook.com?c=212577-58T","View Company Online")</f>
        <v>View Company Online</v>
      </c>
    </row>
    <row r="11301" spans="1:18" hidden="1" x14ac:dyDescent="0.3">
      <c r="A11301" s="15" t="s">
        <v>31759</v>
      </c>
      <c r="B11301" s="15" t="s">
        <v>31760</v>
      </c>
      <c r="C11301" s="18" t="s">
        <v>28</v>
      </c>
      <c r="D11301" s="15" t="s">
        <v>31761</v>
      </c>
      <c r="E11301" s="18" t="s">
        <v>28</v>
      </c>
      <c r="F11301" s="19">
        <v>31</v>
      </c>
      <c r="G11301" s="19">
        <v>31</v>
      </c>
      <c r="H11301" s="19">
        <v>31</v>
      </c>
      <c r="I11301" s="18" t="s">
        <v>28</v>
      </c>
      <c r="J11301" s="18" t="s">
        <v>28</v>
      </c>
      <c r="K11301" s="18" t="s">
        <v>28</v>
      </c>
      <c r="L11301" s="18" t="s">
        <v>28</v>
      </c>
      <c r="M11301" s="18" t="s">
        <v>28</v>
      </c>
      <c r="N11301" s="17">
        <v>41176</v>
      </c>
      <c r="O11301" s="15" t="s">
        <v>30</v>
      </c>
      <c r="P11301" s="16" t="s">
        <v>31762</v>
      </c>
      <c r="Q11301" s="15" t="s">
        <v>1191</v>
      </c>
      <c r="R11301" s="13" t="str">
        <f>HYPERLINK("https://my.pitchbook.com?c=90132-67T","View Company Online")</f>
        <v>View Company Online</v>
      </c>
    </row>
    <row r="11302" spans="1:18" hidden="1" x14ac:dyDescent="0.3">
      <c r="A11302" s="9" t="s">
        <v>31763</v>
      </c>
      <c r="B11302" s="9" t="s">
        <v>31764</v>
      </c>
      <c r="C11302" s="11" t="s">
        <v>28</v>
      </c>
      <c r="D11302" s="9" t="s">
        <v>31765</v>
      </c>
      <c r="E11302" s="11" t="s">
        <v>28</v>
      </c>
      <c r="F11302" s="10">
        <v>10.56</v>
      </c>
      <c r="G11302" s="10">
        <v>10.56</v>
      </c>
      <c r="H11302" s="10">
        <v>10.56</v>
      </c>
      <c r="I11302" s="11" t="s">
        <v>28</v>
      </c>
      <c r="J11302" s="11" t="s">
        <v>28</v>
      </c>
      <c r="K11302" s="11" t="s">
        <v>28</v>
      </c>
      <c r="L11302" s="11" t="s">
        <v>28</v>
      </c>
      <c r="M11302" s="11" t="s">
        <v>28</v>
      </c>
      <c r="N11302" s="8">
        <v>41173</v>
      </c>
      <c r="O11302" s="9" t="s">
        <v>30</v>
      </c>
      <c r="P11302" s="12" t="s">
        <v>31766</v>
      </c>
      <c r="Q11302" s="9" t="s">
        <v>37</v>
      </c>
      <c r="R11302" s="14" t="str">
        <f>HYPERLINK("https://my.pitchbook.com?c=70578-19T","View Company Online")</f>
        <v>View Company Online</v>
      </c>
    </row>
    <row r="11303" spans="1:18" hidden="1" x14ac:dyDescent="0.3">
      <c r="A11303" s="15" t="s">
        <v>31767</v>
      </c>
      <c r="B11303" s="15" t="s">
        <v>31768</v>
      </c>
      <c r="C11303" s="18" t="s">
        <v>28</v>
      </c>
      <c r="D11303" s="15" t="s">
        <v>31769</v>
      </c>
      <c r="E11303" s="18" t="s">
        <v>28</v>
      </c>
      <c r="F11303" s="19" t="s">
        <v>28</v>
      </c>
      <c r="G11303" s="19" t="s">
        <v>28</v>
      </c>
      <c r="H11303" s="19" t="s">
        <v>28</v>
      </c>
      <c r="I11303" s="18" t="s">
        <v>28</v>
      </c>
      <c r="J11303" s="18" t="s">
        <v>28</v>
      </c>
      <c r="K11303" s="18" t="s">
        <v>28</v>
      </c>
      <c r="L11303" s="18" t="s">
        <v>28</v>
      </c>
      <c r="M11303" s="18" t="s">
        <v>28</v>
      </c>
      <c r="N11303" s="17">
        <v>41173</v>
      </c>
      <c r="O11303" s="15" t="s">
        <v>379</v>
      </c>
      <c r="P11303" s="16" t="s">
        <v>31770</v>
      </c>
      <c r="Q11303" s="15" t="s">
        <v>14987</v>
      </c>
      <c r="R11303" s="13" t="str">
        <f>HYPERLINK("https://my.pitchbook.com?c=50845-24T","View Company Online")</f>
        <v>View Company Online</v>
      </c>
    </row>
    <row r="11304" spans="1:18" hidden="1" x14ac:dyDescent="0.3">
      <c r="A11304" s="9" t="s">
        <v>31771</v>
      </c>
      <c r="B11304" s="9" t="s">
        <v>26376</v>
      </c>
      <c r="C11304" s="11" t="s">
        <v>28</v>
      </c>
      <c r="D11304" s="9" t="s">
        <v>26377</v>
      </c>
      <c r="E11304" s="11" t="s">
        <v>28</v>
      </c>
      <c r="F11304" s="10">
        <v>695.88</v>
      </c>
      <c r="G11304" s="10">
        <v>487.12</v>
      </c>
      <c r="H11304" s="10">
        <v>695.88</v>
      </c>
      <c r="I11304" s="11" t="s">
        <v>28</v>
      </c>
      <c r="J11304" s="11" t="s">
        <v>28</v>
      </c>
      <c r="K11304" s="11" t="s">
        <v>28</v>
      </c>
      <c r="L11304" s="11" t="s">
        <v>28</v>
      </c>
      <c r="M11304" s="11" t="s">
        <v>28</v>
      </c>
      <c r="N11304" s="8">
        <v>41172</v>
      </c>
      <c r="O11304" s="9" t="s">
        <v>41</v>
      </c>
      <c r="P11304" s="12" t="s">
        <v>343</v>
      </c>
      <c r="Q11304" s="9" t="s">
        <v>109</v>
      </c>
      <c r="R11304" s="14" t="str">
        <f>HYPERLINK("https://my.pitchbook.com?c=68131-09T","View Company Online")</f>
        <v>View Company Online</v>
      </c>
    </row>
    <row r="11305" spans="1:18" hidden="1" x14ac:dyDescent="0.3">
      <c r="A11305" s="15" t="s">
        <v>31772</v>
      </c>
      <c r="B11305" s="15" t="s">
        <v>31773</v>
      </c>
      <c r="C11305" s="18" t="s">
        <v>28</v>
      </c>
      <c r="D11305" s="15" t="s">
        <v>31774</v>
      </c>
      <c r="E11305" s="18" t="s">
        <v>28</v>
      </c>
      <c r="F11305" s="19">
        <v>24.9</v>
      </c>
      <c r="G11305" s="19">
        <v>12.45</v>
      </c>
      <c r="H11305" s="19">
        <v>24.9</v>
      </c>
      <c r="I11305" s="18" t="s">
        <v>28</v>
      </c>
      <c r="J11305" s="18" t="s">
        <v>28</v>
      </c>
      <c r="K11305" s="18" t="s">
        <v>28</v>
      </c>
      <c r="L11305" s="18" t="s">
        <v>28</v>
      </c>
      <c r="M11305" s="18" t="s">
        <v>28</v>
      </c>
      <c r="N11305" s="17">
        <v>41171</v>
      </c>
      <c r="O11305" s="15" t="s">
        <v>30</v>
      </c>
      <c r="P11305" s="16" t="s">
        <v>31775</v>
      </c>
      <c r="Q11305" s="15" t="s">
        <v>299</v>
      </c>
      <c r="R11305" s="13" t="str">
        <f>HYPERLINK("https://my.pitchbook.com?c=74639-17T","View Company Online")</f>
        <v>View Company Online</v>
      </c>
    </row>
    <row r="11306" spans="1:18" hidden="1" x14ac:dyDescent="0.3">
      <c r="A11306" s="9" t="s">
        <v>31776</v>
      </c>
      <c r="B11306" s="9" t="s">
        <v>31777</v>
      </c>
      <c r="C11306" s="11" t="s">
        <v>28</v>
      </c>
      <c r="D11306" s="9" t="s">
        <v>31778</v>
      </c>
      <c r="E11306" s="11" t="s">
        <v>28</v>
      </c>
      <c r="F11306" s="10" t="s">
        <v>28</v>
      </c>
      <c r="G11306" s="10" t="s">
        <v>28</v>
      </c>
      <c r="H11306" s="10" t="s">
        <v>28</v>
      </c>
      <c r="I11306" s="11" t="s">
        <v>28</v>
      </c>
      <c r="J11306" s="11" t="s">
        <v>28</v>
      </c>
      <c r="K11306" s="11" t="s">
        <v>28</v>
      </c>
      <c r="L11306" s="11" t="s">
        <v>28</v>
      </c>
      <c r="M11306" s="11" t="s">
        <v>28</v>
      </c>
      <c r="N11306" s="8">
        <v>41170</v>
      </c>
      <c r="O11306" s="9" t="s">
        <v>30</v>
      </c>
      <c r="P11306" s="12" t="s">
        <v>31779</v>
      </c>
      <c r="Q11306" s="9" t="s">
        <v>22648</v>
      </c>
      <c r="R11306" s="14" t="str">
        <f>HYPERLINK("https://my.pitchbook.com?c=70758-64T","View Company Online")</f>
        <v>View Company Online</v>
      </c>
    </row>
    <row r="11307" spans="1:18" hidden="1" x14ac:dyDescent="0.3">
      <c r="A11307" s="15" t="s">
        <v>31780</v>
      </c>
      <c r="B11307" s="15" t="s">
        <v>3284</v>
      </c>
      <c r="C11307" s="18" t="s">
        <v>28</v>
      </c>
      <c r="D11307" s="15" t="s">
        <v>3285</v>
      </c>
      <c r="E11307" s="18" t="s">
        <v>28</v>
      </c>
      <c r="F11307" s="19" t="s">
        <v>28</v>
      </c>
      <c r="G11307" s="19">
        <v>0.25</v>
      </c>
      <c r="H11307" s="19" t="s">
        <v>28</v>
      </c>
      <c r="I11307" s="18" t="s">
        <v>28</v>
      </c>
      <c r="J11307" s="18" t="s">
        <v>28</v>
      </c>
      <c r="K11307" s="18" t="s">
        <v>28</v>
      </c>
      <c r="L11307" s="18" t="s">
        <v>28</v>
      </c>
      <c r="M11307" s="18" t="s">
        <v>28</v>
      </c>
      <c r="N11307" s="17">
        <v>41169</v>
      </c>
      <c r="O11307" s="15" t="s">
        <v>99</v>
      </c>
      <c r="P11307" s="16" t="s">
        <v>28</v>
      </c>
      <c r="Q11307" s="15" t="s">
        <v>119</v>
      </c>
      <c r="R11307" s="13" t="str">
        <f>HYPERLINK("https://my.pitchbook.com?c=212369-23T","View Company Online")</f>
        <v>View Company Online</v>
      </c>
    </row>
    <row r="11308" spans="1:18" hidden="1" x14ac:dyDescent="0.3">
      <c r="A11308" s="9" t="s">
        <v>31781</v>
      </c>
      <c r="B11308" s="9" t="s">
        <v>28466</v>
      </c>
      <c r="C11308" s="11" t="s">
        <v>28</v>
      </c>
      <c r="D11308" s="9" t="s">
        <v>28467</v>
      </c>
      <c r="E11308" s="11" t="s">
        <v>28</v>
      </c>
      <c r="F11308" s="10" t="s">
        <v>28</v>
      </c>
      <c r="G11308" s="10" t="s">
        <v>28</v>
      </c>
      <c r="H11308" s="10" t="s">
        <v>28</v>
      </c>
      <c r="I11308" s="11" t="s">
        <v>28</v>
      </c>
      <c r="J11308" s="11" t="s">
        <v>28</v>
      </c>
      <c r="K11308" s="11">
        <v>195.41</v>
      </c>
      <c r="L11308" s="11" t="s">
        <v>28</v>
      </c>
      <c r="M11308" s="11" t="s">
        <v>28</v>
      </c>
      <c r="N11308" s="8">
        <v>41169</v>
      </c>
      <c r="O11308" s="9" t="s">
        <v>93</v>
      </c>
      <c r="P11308" s="12" t="s">
        <v>31782</v>
      </c>
      <c r="Q11308" s="9" t="s">
        <v>409</v>
      </c>
      <c r="R11308" s="14" t="str">
        <f>HYPERLINK("https://my.pitchbook.com?c=81850-96T","View Company Online")</f>
        <v>View Company Online</v>
      </c>
    </row>
    <row r="11309" spans="1:18" hidden="1" x14ac:dyDescent="0.3">
      <c r="A11309" s="15" t="s">
        <v>31783</v>
      </c>
      <c r="B11309" s="15" t="s">
        <v>31784</v>
      </c>
      <c r="C11309" s="18" t="s">
        <v>28</v>
      </c>
      <c r="D11309" s="15" t="s">
        <v>31785</v>
      </c>
      <c r="E11309" s="18" t="s">
        <v>28</v>
      </c>
      <c r="F11309" s="19" t="s">
        <v>28</v>
      </c>
      <c r="G11309" s="19" t="s">
        <v>28</v>
      </c>
      <c r="H11309" s="19" t="s">
        <v>28</v>
      </c>
      <c r="I11309" s="18" t="s">
        <v>28</v>
      </c>
      <c r="J11309" s="18" t="s">
        <v>28</v>
      </c>
      <c r="K11309" s="18" t="s">
        <v>28</v>
      </c>
      <c r="L11309" s="18" t="s">
        <v>28</v>
      </c>
      <c r="M11309" s="18" t="s">
        <v>28</v>
      </c>
      <c r="N11309" s="17">
        <v>41169</v>
      </c>
      <c r="O11309" s="15" t="s">
        <v>30</v>
      </c>
      <c r="P11309" s="16" t="s">
        <v>31786</v>
      </c>
      <c r="Q11309" s="15" t="s">
        <v>880</v>
      </c>
      <c r="R11309" s="13" t="str">
        <f>HYPERLINK("https://my.pitchbook.com?c=90061-84T","View Company Online")</f>
        <v>View Company Online</v>
      </c>
    </row>
    <row r="11310" spans="1:18" hidden="1" x14ac:dyDescent="0.3">
      <c r="A11310" s="9" t="s">
        <v>31787</v>
      </c>
      <c r="B11310" s="9" t="s">
        <v>31788</v>
      </c>
      <c r="C11310" s="11" t="s">
        <v>28</v>
      </c>
      <c r="D11310" s="9" t="s">
        <v>31789</v>
      </c>
      <c r="E11310" s="11" t="s">
        <v>28</v>
      </c>
      <c r="F11310" s="10" t="s">
        <v>28</v>
      </c>
      <c r="G11310" s="10" t="s">
        <v>28</v>
      </c>
      <c r="H11310" s="10" t="s">
        <v>28</v>
      </c>
      <c r="I11310" s="11" t="s">
        <v>28</v>
      </c>
      <c r="J11310" s="11" t="s">
        <v>28</v>
      </c>
      <c r="K11310" s="11" t="s">
        <v>28</v>
      </c>
      <c r="L11310" s="11" t="s">
        <v>28</v>
      </c>
      <c r="M11310" s="11" t="s">
        <v>28</v>
      </c>
      <c r="N11310" s="8">
        <v>41166</v>
      </c>
      <c r="O11310" s="9" t="s">
        <v>30</v>
      </c>
      <c r="P11310" s="12" t="s">
        <v>31790</v>
      </c>
      <c r="Q11310" s="9" t="s">
        <v>59</v>
      </c>
      <c r="R11310" s="14" t="str">
        <f>HYPERLINK("https://my.pitchbook.com?c=90288-55T","View Company Online")</f>
        <v>View Company Online</v>
      </c>
    </row>
    <row r="11311" spans="1:18" hidden="1" x14ac:dyDescent="0.3">
      <c r="A11311" s="15" t="s">
        <v>31791</v>
      </c>
      <c r="B11311" s="15" t="s">
        <v>8486</v>
      </c>
      <c r="C11311" s="18" t="s">
        <v>28</v>
      </c>
      <c r="D11311" s="15" t="s">
        <v>8487</v>
      </c>
      <c r="E11311" s="18" t="s">
        <v>28</v>
      </c>
      <c r="F11311" s="19" t="s">
        <v>28</v>
      </c>
      <c r="G11311" s="19" t="s">
        <v>28</v>
      </c>
      <c r="H11311" s="19" t="s">
        <v>28</v>
      </c>
      <c r="I11311" s="18" t="s">
        <v>28</v>
      </c>
      <c r="J11311" s="18" t="s">
        <v>28</v>
      </c>
      <c r="K11311" s="18" t="s">
        <v>28</v>
      </c>
      <c r="L11311" s="18" t="s">
        <v>28</v>
      </c>
      <c r="M11311" s="18" t="s">
        <v>28</v>
      </c>
      <c r="N11311" s="17">
        <v>41166</v>
      </c>
      <c r="O11311" s="15" t="s">
        <v>41</v>
      </c>
      <c r="P11311" s="16" t="s">
        <v>20359</v>
      </c>
      <c r="Q11311" s="15" t="s">
        <v>43</v>
      </c>
      <c r="R11311" s="13" t="str">
        <f>HYPERLINK("https://my.pitchbook.com?c=22331-35T","View Company Online")</f>
        <v>View Company Online</v>
      </c>
    </row>
    <row r="11312" spans="1:18" hidden="1" x14ac:dyDescent="0.3">
      <c r="A11312" s="9" t="s">
        <v>31792</v>
      </c>
      <c r="B11312" s="9" t="s">
        <v>6820</v>
      </c>
      <c r="C11312" s="11" t="s">
        <v>28</v>
      </c>
      <c r="D11312" s="9" t="s">
        <v>6821</v>
      </c>
      <c r="E11312" s="11" t="s">
        <v>28</v>
      </c>
      <c r="F11312" s="10" t="s">
        <v>28</v>
      </c>
      <c r="G11312" s="10">
        <v>3.45</v>
      </c>
      <c r="H11312" s="10" t="s">
        <v>28</v>
      </c>
      <c r="I11312" s="11" t="s">
        <v>28</v>
      </c>
      <c r="J11312" s="11" t="s">
        <v>28</v>
      </c>
      <c r="K11312" s="11" t="s">
        <v>28</v>
      </c>
      <c r="L11312" s="11" t="s">
        <v>28</v>
      </c>
      <c r="M11312" s="11" t="s">
        <v>28</v>
      </c>
      <c r="N11312" s="8">
        <v>41166</v>
      </c>
      <c r="O11312" s="9" t="s">
        <v>58</v>
      </c>
      <c r="P11312" s="12" t="s">
        <v>31793</v>
      </c>
      <c r="Q11312" s="9" t="s">
        <v>75</v>
      </c>
      <c r="R11312" s="14" t="str">
        <f>HYPERLINK("https://my.pitchbook.com?c=212364-10T","View Company Online")</f>
        <v>View Company Online</v>
      </c>
    </row>
    <row r="11313" spans="1:18" hidden="1" x14ac:dyDescent="0.3">
      <c r="A11313" s="15" t="s">
        <v>31794</v>
      </c>
      <c r="B11313" s="15" t="s">
        <v>31795</v>
      </c>
      <c r="C11313" s="18" t="s">
        <v>28</v>
      </c>
      <c r="D11313" s="15" t="s">
        <v>31796</v>
      </c>
      <c r="E11313" s="18" t="s">
        <v>28</v>
      </c>
      <c r="F11313" s="19" t="s">
        <v>28</v>
      </c>
      <c r="G11313" s="19" t="s">
        <v>28</v>
      </c>
      <c r="H11313" s="19" t="s">
        <v>28</v>
      </c>
      <c r="I11313" s="18" t="s">
        <v>28</v>
      </c>
      <c r="J11313" s="18" t="s">
        <v>28</v>
      </c>
      <c r="K11313" s="18" t="s">
        <v>28</v>
      </c>
      <c r="L11313" s="18" t="s">
        <v>28</v>
      </c>
      <c r="M11313" s="18" t="s">
        <v>28</v>
      </c>
      <c r="N11313" s="17">
        <v>41166</v>
      </c>
      <c r="O11313" s="15" t="s">
        <v>30</v>
      </c>
      <c r="P11313" s="16" t="s">
        <v>31797</v>
      </c>
      <c r="Q11313" s="15" t="s">
        <v>740</v>
      </c>
      <c r="R11313" s="13" t="str">
        <f>HYPERLINK("https://my.pitchbook.com?c=78235-30T","View Company Online")</f>
        <v>View Company Online</v>
      </c>
    </row>
    <row r="11314" spans="1:18" hidden="1" x14ac:dyDescent="0.3">
      <c r="A11314" s="9" t="s">
        <v>31798</v>
      </c>
      <c r="B11314" s="9" t="s">
        <v>31799</v>
      </c>
      <c r="C11314" s="11" t="s">
        <v>28</v>
      </c>
      <c r="D11314" s="9" t="s">
        <v>31800</v>
      </c>
      <c r="E11314" s="11" t="s">
        <v>28</v>
      </c>
      <c r="F11314" s="10" t="s">
        <v>28</v>
      </c>
      <c r="G11314" s="10" t="s">
        <v>28</v>
      </c>
      <c r="H11314" s="10" t="s">
        <v>28</v>
      </c>
      <c r="I11314" s="11" t="s">
        <v>28</v>
      </c>
      <c r="J11314" s="11" t="s">
        <v>28</v>
      </c>
      <c r="K11314" s="11" t="s">
        <v>28</v>
      </c>
      <c r="L11314" s="11" t="s">
        <v>28</v>
      </c>
      <c r="M11314" s="11" t="s">
        <v>28</v>
      </c>
      <c r="N11314" s="8">
        <v>41165</v>
      </c>
      <c r="O11314" s="9" t="s">
        <v>173</v>
      </c>
      <c r="P11314" s="12" t="s">
        <v>28</v>
      </c>
      <c r="Q11314" s="9" t="s">
        <v>174</v>
      </c>
      <c r="R11314" s="14" t="str">
        <f>HYPERLINK("https://my.pitchbook.com?c=224023-69T","View Company Online")</f>
        <v>View Company Online</v>
      </c>
    </row>
    <row r="11315" spans="1:18" hidden="1" x14ac:dyDescent="0.3">
      <c r="A11315" s="15" t="s">
        <v>31801</v>
      </c>
      <c r="B11315" s="15" t="s">
        <v>685</v>
      </c>
      <c r="C11315" s="18" t="s">
        <v>28</v>
      </c>
      <c r="D11315" s="15" t="s">
        <v>686</v>
      </c>
      <c r="E11315" s="18" t="s">
        <v>28</v>
      </c>
      <c r="F11315" s="19" t="s">
        <v>28</v>
      </c>
      <c r="G11315" s="19" t="s">
        <v>28</v>
      </c>
      <c r="H11315" s="19" t="s">
        <v>28</v>
      </c>
      <c r="I11315" s="18" t="s">
        <v>28</v>
      </c>
      <c r="J11315" s="18" t="s">
        <v>28</v>
      </c>
      <c r="K11315" s="18" t="s">
        <v>28</v>
      </c>
      <c r="L11315" s="18" t="s">
        <v>28</v>
      </c>
      <c r="M11315" s="18" t="s">
        <v>28</v>
      </c>
      <c r="N11315" s="17">
        <v>41165</v>
      </c>
      <c r="O11315" s="15" t="s">
        <v>41</v>
      </c>
      <c r="P11315" s="16" t="s">
        <v>31802</v>
      </c>
      <c r="Q11315" s="15" t="s">
        <v>409</v>
      </c>
      <c r="R11315" s="13" t="str">
        <f>HYPERLINK("https://my.pitchbook.com?c=20737-99T","View Company Online")</f>
        <v>View Company Online</v>
      </c>
    </row>
    <row r="11316" spans="1:18" hidden="1" x14ac:dyDescent="0.3">
      <c r="A11316" s="9" t="s">
        <v>31803</v>
      </c>
      <c r="B11316" s="9" t="s">
        <v>31804</v>
      </c>
      <c r="C11316" s="11" t="s">
        <v>28</v>
      </c>
      <c r="D11316" s="9" t="s">
        <v>31805</v>
      </c>
      <c r="E11316" s="11" t="s">
        <v>28</v>
      </c>
      <c r="F11316" s="10" t="s">
        <v>28</v>
      </c>
      <c r="G11316" s="10" t="s">
        <v>28</v>
      </c>
      <c r="H11316" s="10" t="s">
        <v>28</v>
      </c>
      <c r="I11316" s="11" t="s">
        <v>28</v>
      </c>
      <c r="J11316" s="11" t="s">
        <v>28</v>
      </c>
      <c r="K11316" s="11" t="s">
        <v>28</v>
      </c>
      <c r="L11316" s="11" t="s">
        <v>28</v>
      </c>
      <c r="M11316" s="11" t="s">
        <v>28</v>
      </c>
      <c r="N11316" s="8">
        <v>41164</v>
      </c>
      <c r="O11316" s="9" t="s">
        <v>30</v>
      </c>
      <c r="P11316" s="12" t="s">
        <v>31806</v>
      </c>
      <c r="Q11316" s="9" t="s">
        <v>2916</v>
      </c>
      <c r="R11316" s="14" t="str">
        <f>HYPERLINK("https://my.pitchbook.com?c=71280-91T","View Company Online")</f>
        <v>View Company Online</v>
      </c>
    </row>
    <row r="11317" spans="1:18" hidden="1" x14ac:dyDescent="0.3">
      <c r="A11317" s="15" t="s">
        <v>31807</v>
      </c>
      <c r="B11317" s="15" t="s">
        <v>31808</v>
      </c>
      <c r="C11317" s="18" t="s">
        <v>28</v>
      </c>
      <c r="D11317" s="15" t="s">
        <v>31809</v>
      </c>
      <c r="E11317" s="18" t="s">
        <v>28</v>
      </c>
      <c r="F11317" s="19" t="s">
        <v>28</v>
      </c>
      <c r="G11317" s="19" t="s">
        <v>28</v>
      </c>
      <c r="H11317" s="19" t="s">
        <v>28</v>
      </c>
      <c r="I11317" s="18" t="s">
        <v>28</v>
      </c>
      <c r="J11317" s="18" t="s">
        <v>28</v>
      </c>
      <c r="K11317" s="18" t="s">
        <v>28</v>
      </c>
      <c r="L11317" s="18" t="s">
        <v>28</v>
      </c>
      <c r="M11317" s="18" t="s">
        <v>28</v>
      </c>
      <c r="N11317" s="17">
        <v>41164</v>
      </c>
      <c r="O11317" s="15" t="s">
        <v>30</v>
      </c>
      <c r="P11317" s="16" t="s">
        <v>31810</v>
      </c>
      <c r="Q11317" s="15" t="s">
        <v>880</v>
      </c>
      <c r="R11317" s="13" t="str">
        <f>HYPERLINK("https://my.pitchbook.com?c=53562-52T","View Company Online")</f>
        <v>View Company Online</v>
      </c>
    </row>
    <row r="11318" spans="1:18" hidden="1" x14ac:dyDescent="0.3">
      <c r="A11318" s="9" t="s">
        <v>31811</v>
      </c>
      <c r="B11318" s="9" t="s">
        <v>31812</v>
      </c>
      <c r="C11318" s="11" t="s">
        <v>28</v>
      </c>
      <c r="D11318" s="9" t="s">
        <v>31813</v>
      </c>
      <c r="E11318" s="11" t="s">
        <v>28</v>
      </c>
      <c r="F11318" s="10" t="s">
        <v>28</v>
      </c>
      <c r="G11318" s="10" t="s">
        <v>28</v>
      </c>
      <c r="H11318" s="10" t="s">
        <v>28</v>
      </c>
      <c r="I11318" s="11" t="s">
        <v>28</v>
      </c>
      <c r="J11318" s="11" t="s">
        <v>28</v>
      </c>
      <c r="K11318" s="11" t="s">
        <v>28</v>
      </c>
      <c r="L11318" s="11" t="s">
        <v>28</v>
      </c>
      <c r="M11318" s="11" t="s">
        <v>28</v>
      </c>
      <c r="N11318" s="8">
        <v>41163</v>
      </c>
      <c r="O11318" s="9" t="s">
        <v>173</v>
      </c>
      <c r="P11318" s="12" t="s">
        <v>28</v>
      </c>
      <c r="Q11318" s="9" t="s">
        <v>174</v>
      </c>
      <c r="R11318" s="14" t="str">
        <f>HYPERLINK("https://my.pitchbook.com?c=221293-90T","View Company Online")</f>
        <v>View Company Online</v>
      </c>
    </row>
    <row r="11319" spans="1:18" hidden="1" x14ac:dyDescent="0.3">
      <c r="A11319" s="15" t="s">
        <v>31814</v>
      </c>
      <c r="B11319" s="15" t="s">
        <v>31815</v>
      </c>
      <c r="C11319" s="18" t="s">
        <v>28</v>
      </c>
      <c r="D11319" s="15" t="s">
        <v>31816</v>
      </c>
      <c r="E11319" s="18" t="s">
        <v>28</v>
      </c>
      <c r="F11319" s="19" t="s">
        <v>28</v>
      </c>
      <c r="G11319" s="19">
        <v>68</v>
      </c>
      <c r="H11319" s="19" t="s">
        <v>28</v>
      </c>
      <c r="I11319" s="18" t="s">
        <v>28</v>
      </c>
      <c r="J11319" s="18" t="s">
        <v>28</v>
      </c>
      <c r="K11319" s="18" t="s">
        <v>28</v>
      </c>
      <c r="L11319" s="18" t="s">
        <v>28</v>
      </c>
      <c r="M11319" s="18" t="s">
        <v>28</v>
      </c>
      <c r="N11319" s="17">
        <v>41163</v>
      </c>
      <c r="O11319" s="15" t="s">
        <v>93</v>
      </c>
      <c r="P11319" s="16" t="s">
        <v>31817</v>
      </c>
      <c r="Q11319" s="15" t="s">
        <v>43</v>
      </c>
      <c r="R11319" s="13" t="str">
        <f>HYPERLINK("https://my.pitchbook.com?c=33087-61T","View Company Online")</f>
        <v>View Company Online</v>
      </c>
    </row>
    <row r="11320" spans="1:18" hidden="1" x14ac:dyDescent="0.3">
      <c r="A11320" s="9" t="s">
        <v>31818</v>
      </c>
      <c r="B11320" s="9" t="s">
        <v>31819</v>
      </c>
      <c r="C11320" s="11" t="s">
        <v>28</v>
      </c>
      <c r="D11320" s="9" t="s">
        <v>31820</v>
      </c>
      <c r="E11320" s="11" t="s">
        <v>28</v>
      </c>
      <c r="F11320" s="10" t="s">
        <v>28</v>
      </c>
      <c r="G11320" s="10" t="s">
        <v>28</v>
      </c>
      <c r="H11320" s="10" t="s">
        <v>28</v>
      </c>
      <c r="I11320" s="11" t="s">
        <v>28</v>
      </c>
      <c r="J11320" s="11" t="s">
        <v>28</v>
      </c>
      <c r="K11320" s="11" t="s">
        <v>28</v>
      </c>
      <c r="L11320" s="11" t="s">
        <v>28</v>
      </c>
      <c r="M11320" s="11" t="s">
        <v>28</v>
      </c>
      <c r="N11320" s="8">
        <v>41160</v>
      </c>
      <c r="O11320" s="9" t="s">
        <v>30</v>
      </c>
      <c r="P11320" s="12" t="s">
        <v>31821</v>
      </c>
      <c r="Q11320" s="9" t="s">
        <v>299</v>
      </c>
      <c r="R11320" s="14" t="str">
        <f>HYPERLINK("https://my.pitchbook.com?c=90128-26T","View Company Online")</f>
        <v>View Company Online</v>
      </c>
    </row>
    <row r="11321" spans="1:18" hidden="1" x14ac:dyDescent="0.3">
      <c r="A11321" s="15" t="s">
        <v>31822</v>
      </c>
      <c r="B11321" s="15" t="s">
        <v>1542</v>
      </c>
      <c r="C11321" s="18" t="s">
        <v>28</v>
      </c>
      <c r="D11321" s="15" t="s">
        <v>1543</v>
      </c>
      <c r="E11321" s="18" t="s">
        <v>28</v>
      </c>
      <c r="F11321" s="19" t="s">
        <v>28</v>
      </c>
      <c r="G11321" s="19" t="s">
        <v>28</v>
      </c>
      <c r="H11321" s="19" t="s">
        <v>28</v>
      </c>
      <c r="I11321" s="18" t="s">
        <v>28</v>
      </c>
      <c r="J11321" s="18" t="s">
        <v>28</v>
      </c>
      <c r="K11321" s="18" t="s">
        <v>28</v>
      </c>
      <c r="L11321" s="18" t="s">
        <v>28</v>
      </c>
      <c r="M11321" s="18" t="s">
        <v>28</v>
      </c>
      <c r="N11321" s="17">
        <v>41159</v>
      </c>
      <c r="O11321" s="15" t="s">
        <v>30</v>
      </c>
      <c r="P11321" s="16" t="s">
        <v>28</v>
      </c>
      <c r="Q11321" s="15" t="s">
        <v>362</v>
      </c>
      <c r="R11321" s="13" t="str">
        <f>HYPERLINK("https://my.pitchbook.com?c=125386-75T","View Company Online")</f>
        <v>View Company Online</v>
      </c>
    </row>
    <row r="11322" spans="1:18" hidden="1" x14ac:dyDescent="0.3">
      <c r="A11322" s="9" t="s">
        <v>31823</v>
      </c>
      <c r="B11322" s="9" t="s">
        <v>31824</v>
      </c>
      <c r="C11322" s="11" t="s">
        <v>28</v>
      </c>
      <c r="D11322" s="9" t="s">
        <v>31825</v>
      </c>
      <c r="E11322" s="11" t="s">
        <v>28</v>
      </c>
      <c r="F11322" s="10" t="s">
        <v>28</v>
      </c>
      <c r="G11322" s="10" t="s">
        <v>28</v>
      </c>
      <c r="H11322" s="10" t="s">
        <v>28</v>
      </c>
      <c r="I11322" s="11" t="s">
        <v>28</v>
      </c>
      <c r="J11322" s="11" t="s">
        <v>28</v>
      </c>
      <c r="K11322" s="11" t="s">
        <v>28</v>
      </c>
      <c r="L11322" s="11" t="s">
        <v>28</v>
      </c>
      <c r="M11322" s="11" t="s">
        <v>28</v>
      </c>
      <c r="N11322" s="8">
        <v>41157</v>
      </c>
      <c r="O11322" s="9" t="s">
        <v>30</v>
      </c>
      <c r="P11322" s="12" t="s">
        <v>31826</v>
      </c>
      <c r="Q11322" s="9" t="s">
        <v>4710</v>
      </c>
      <c r="R11322" s="14" t="str">
        <f>HYPERLINK("https://my.pitchbook.com?c=89843-05T","View Company Online")</f>
        <v>View Company Online</v>
      </c>
    </row>
    <row r="11323" spans="1:18" hidden="1" x14ac:dyDescent="0.3">
      <c r="A11323" s="15" t="s">
        <v>31827</v>
      </c>
      <c r="B11323" s="15" t="s">
        <v>31828</v>
      </c>
      <c r="C11323" s="18" t="s">
        <v>28</v>
      </c>
      <c r="D11323" s="15" t="s">
        <v>31829</v>
      </c>
      <c r="E11323" s="18" t="s">
        <v>28</v>
      </c>
      <c r="F11323" s="19">
        <v>147.74</v>
      </c>
      <c r="G11323" s="19">
        <v>147.74</v>
      </c>
      <c r="H11323" s="19">
        <v>147.74</v>
      </c>
      <c r="I11323" s="18" t="s">
        <v>28</v>
      </c>
      <c r="J11323" s="18" t="s">
        <v>28</v>
      </c>
      <c r="K11323" s="18" t="s">
        <v>28</v>
      </c>
      <c r="L11323" s="18" t="s">
        <v>28</v>
      </c>
      <c r="M11323" s="18" t="s">
        <v>28</v>
      </c>
      <c r="N11323" s="17">
        <v>41157</v>
      </c>
      <c r="O11323" s="15" t="s">
        <v>30</v>
      </c>
      <c r="P11323" s="16" t="s">
        <v>31830</v>
      </c>
      <c r="Q11323" s="15" t="s">
        <v>1191</v>
      </c>
      <c r="R11323" s="13" t="str">
        <f>HYPERLINK("https://my.pitchbook.com?c=102687-40T","View Company Online")</f>
        <v>View Company Online</v>
      </c>
    </row>
    <row r="11324" spans="1:18" hidden="1" x14ac:dyDescent="0.3">
      <c r="A11324" s="9" t="s">
        <v>31831</v>
      </c>
      <c r="B11324" s="9" t="s">
        <v>31832</v>
      </c>
      <c r="C11324" s="11" t="s">
        <v>28</v>
      </c>
      <c r="D11324" s="9" t="s">
        <v>31833</v>
      </c>
      <c r="E11324" s="11" t="s">
        <v>28</v>
      </c>
      <c r="F11324" s="10">
        <v>15.86</v>
      </c>
      <c r="G11324" s="10">
        <v>15.86</v>
      </c>
      <c r="H11324" s="10">
        <v>15.86</v>
      </c>
      <c r="I11324" s="11" t="s">
        <v>28</v>
      </c>
      <c r="J11324" s="11" t="s">
        <v>28</v>
      </c>
      <c r="K11324" s="11" t="s">
        <v>28</v>
      </c>
      <c r="L11324" s="11" t="s">
        <v>28</v>
      </c>
      <c r="M11324" s="11" t="s">
        <v>28</v>
      </c>
      <c r="N11324" s="8">
        <v>41155</v>
      </c>
      <c r="O11324" s="9" t="s">
        <v>30</v>
      </c>
      <c r="P11324" s="12" t="s">
        <v>31834</v>
      </c>
      <c r="Q11324" s="9" t="s">
        <v>43</v>
      </c>
      <c r="R11324" s="14" t="str">
        <f>HYPERLINK("https://my.pitchbook.com?c=82442-08T","View Company Online")</f>
        <v>View Company Online</v>
      </c>
    </row>
    <row r="11325" spans="1:18" hidden="1" x14ac:dyDescent="0.3">
      <c r="A11325" s="15" t="s">
        <v>31835</v>
      </c>
      <c r="B11325" s="15" t="s">
        <v>31836</v>
      </c>
      <c r="C11325" s="18" t="s">
        <v>28</v>
      </c>
      <c r="D11325" s="15" t="s">
        <v>31837</v>
      </c>
      <c r="E11325" s="18" t="s">
        <v>28</v>
      </c>
      <c r="F11325" s="19" t="s">
        <v>28</v>
      </c>
      <c r="G11325" s="19" t="s">
        <v>28</v>
      </c>
      <c r="H11325" s="19" t="s">
        <v>28</v>
      </c>
      <c r="I11325" s="18" t="s">
        <v>28</v>
      </c>
      <c r="J11325" s="18" t="s">
        <v>28</v>
      </c>
      <c r="K11325" s="18" t="s">
        <v>28</v>
      </c>
      <c r="L11325" s="18" t="s">
        <v>28</v>
      </c>
      <c r="M11325" s="18" t="s">
        <v>28</v>
      </c>
      <c r="N11325" s="17">
        <v>41155</v>
      </c>
      <c r="O11325" s="15" t="s">
        <v>30</v>
      </c>
      <c r="P11325" s="16" t="s">
        <v>31838</v>
      </c>
      <c r="Q11325" s="15" t="s">
        <v>616</v>
      </c>
      <c r="R11325" s="13" t="str">
        <f>HYPERLINK("https://my.pitchbook.com?c=133553-62T","View Company Online")</f>
        <v>View Company Online</v>
      </c>
    </row>
    <row r="11326" spans="1:18" hidden="1" x14ac:dyDescent="0.3">
      <c r="A11326" s="9" t="s">
        <v>31839</v>
      </c>
      <c r="B11326" s="9" t="s">
        <v>31840</v>
      </c>
      <c r="C11326" s="11" t="s">
        <v>28</v>
      </c>
      <c r="D11326" s="9" t="s">
        <v>31841</v>
      </c>
      <c r="E11326" s="11" t="s">
        <v>28</v>
      </c>
      <c r="F11326" s="10" t="s">
        <v>28</v>
      </c>
      <c r="G11326" s="10">
        <v>0.3</v>
      </c>
      <c r="H11326" s="10" t="s">
        <v>28</v>
      </c>
      <c r="I11326" s="11" t="s">
        <v>28</v>
      </c>
      <c r="J11326" s="11" t="s">
        <v>28</v>
      </c>
      <c r="K11326" s="11" t="s">
        <v>28</v>
      </c>
      <c r="L11326" s="11" t="s">
        <v>28</v>
      </c>
      <c r="M11326" s="11" t="s">
        <v>28</v>
      </c>
      <c r="N11326" s="8">
        <v>41153</v>
      </c>
      <c r="O11326" s="9" t="s">
        <v>99</v>
      </c>
      <c r="P11326" s="12" t="s">
        <v>28</v>
      </c>
      <c r="Q11326" s="9" t="s">
        <v>386</v>
      </c>
      <c r="R11326" s="14" t="str">
        <f>HYPERLINK("https://my.pitchbook.com?c=50662-18T","View Company Online")</f>
        <v>View Company Online</v>
      </c>
    </row>
    <row r="11327" spans="1:18" hidden="1" x14ac:dyDescent="0.3">
      <c r="A11327" s="15" t="s">
        <v>31842</v>
      </c>
      <c r="B11327" s="15" t="s">
        <v>31843</v>
      </c>
      <c r="C11327" s="18" t="s">
        <v>28</v>
      </c>
      <c r="D11327" s="15" t="s">
        <v>31844</v>
      </c>
      <c r="E11327" s="18" t="s">
        <v>28</v>
      </c>
      <c r="F11327" s="19" t="s">
        <v>28</v>
      </c>
      <c r="G11327" s="19" t="s">
        <v>28</v>
      </c>
      <c r="H11327" s="19" t="s">
        <v>28</v>
      </c>
      <c r="I11327" s="18" t="s">
        <v>28</v>
      </c>
      <c r="J11327" s="18" t="s">
        <v>28</v>
      </c>
      <c r="K11327" s="18" t="s">
        <v>28</v>
      </c>
      <c r="L11327" s="18" t="s">
        <v>28</v>
      </c>
      <c r="M11327" s="18" t="s">
        <v>28</v>
      </c>
      <c r="N11327" s="17">
        <v>41153</v>
      </c>
      <c r="O11327" s="15" t="s">
        <v>30</v>
      </c>
      <c r="P11327" s="16" t="s">
        <v>31845</v>
      </c>
      <c r="Q11327" s="15" t="s">
        <v>4773</v>
      </c>
      <c r="R11327" s="13" t="str">
        <f>HYPERLINK("https://my.pitchbook.com?c=166949-56T","View Company Online")</f>
        <v>View Company Online</v>
      </c>
    </row>
    <row r="11328" spans="1:18" hidden="1" x14ac:dyDescent="0.3">
      <c r="A11328" s="9" t="s">
        <v>31846</v>
      </c>
      <c r="B11328" s="9" t="s">
        <v>14602</v>
      </c>
      <c r="C11328" s="11" t="s">
        <v>28</v>
      </c>
      <c r="D11328" s="9" t="s">
        <v>14603</v>
      </c>
      <c r="E11328" s="11" t="s">
        <v>28</v>
      </c>
      <c r="F11328" s="10" t="s">
        <v>28</v>
      </c>
      <c r="G11328" s="10" t="s">
        <v>28</v>
      </c>
      <c r="H11328" s="10" t="s">
        <v>28</v>
      </c>
      <c r="I11328" s="11" t="s">
        <v>28</v>
      </c>
      <c r="J11328" s="11" t="s">
        <v>28</v>
      </c>
      <c r="K11328" s="11" t="s">
        <v>28</v>
      </c>
      <c r="L11328" s="11" t="s">
        <v>28</v>
      </c>
      <c r="M11328" s="11" t="s">
        <v>28</v>
      </c>
      <c r="N11328" s="8">
        <v>41153</v>
      </c>
      <c r="O11328" s="9" t="s">
        <v>73</v>
      </c>
      <c r="P11328" s="12" t="s">
        <v>31847</v>
      </c>
      <c r="Q11328" s="9" t="s">
        <v>188</v>
      </c>
      <c r="R11328" s="14" t="str">
        <f>HYPERLINK("https://my.pitchbook.com?c=27812-35T","View Company Online")</f>
        <v>View Company Online</v>
      </c>
    </row>
    <row r="11329" spans="1:18" hidden="1" x14ac:dyDescent="0.3">
      <c r="A11329" s="15" t="s">
        <v>31848</v>
      </c>
      <c r="B11329" s="15" t="s">
        <v>31849</v>
      </c>
      <c r="C11329" s="18" t="s">
        <v>28</v>
      </c>
      <c r="D11329" s="15" t="s">
        <v>31850</v>
      </c>
      <c r="E11329" s="18" t="s">
        <v>28</v>
      </c>
      <c r="F11329" s="19" t="s">
        <v>28</v>
      </c>
      <c r="G11329" s="19" t="s">
        <v>28</v>
      </c>
      <c r="H11329" s="19" t="s">
        <v>28</v>
      </c>
      <c r="I11329" s="18" t="s">
        <v>28</v>
      </c>
      <c r="J11329" s="18" t="s">
        <v>28</v>
      </c>
      <c r="K11329" s="18" t="s">
        <v>28</v>
      </c>
      <c r="L11329" s="18" t="s">
        <v>28</v>
      </c>
      <c r="M11329" s="18" t="s">
        <v>28</v>
      </c>
      <c r="N11329" s="17">
        <v>41152</v>
      </c>
      <c r="O11329" s="15" t="s">
        <v>30</v>
      </c>
      <c r="P11329" s="16" t="s">
        <v>21227</v>
      </c>
      <c r="Q11329" s="15" t="s">
        <v>43</v>
      </c>
      <c r="R11329" s="13" t="str">
        <f>HYPERLINK("https://my.pitchbook.com?c=89885-71T","View Company Online")</f>
        <v>View Company Online</v>
      </c>
    </row>
    <row r="11330" spans="1:18" hidden="1" x14ac:dyDescent="0.3">
      <c r="A11330" s="9" t="s">
        <v>31851</v>
      </c>
      <c r="B11330" s="9" t="s">
        <v>31852</v>
      </c>
      <c r="C11330" s="11" t="s">
        <v>28</v>
      </c>
      <c r="D11330" s="9" t="s">
        <v>31853</v>
      </c>
      <c r="E11330" s="11" t="s">
        <v>28</v>
      </c>
      <c r="F11330" s="10" t="s">
        <v>28</v>
      </c>
      <c r="G11330" s="10" t="s">
        <v>28</v>
      </c>
      <c r="H11330" s="10" t="s">
        <v>28</v>
      </c>
      <c r="I11330" s="11" t="s">
        <v>28</v>
      </c>
      <c r="J11330" s="11" t="s">
        <v>28</v>
      </c>
      <c r="K11330" s="11" t="s">
        <v>28</v>
      </c>
      <c r="L11330" s="11" t="s">
        <v>28</v>
      </c>
      <c r="M11330" s="11" t="s">
        <v>28</v>
      </c>
      <c r="N11330" s="8">
        <v>41152</v>
      </c>
      <c r="O11330" s="9" t="s">
        <v>30</v>
      </c>
      <c r="P11330" s="12" t="s">
        <v>28902</v>
      </c>
      <c r="Q11330" s="9" t="s">
        <v>280</v>
      </c>
      <c r="R11330" s="14" t="str">
        <f>HYPERLINK("https://my.pitchbook.com?c=72037-54T","View Company Online")</f>
        <v>View Company Online</v>
      </c>
    </row>
    <row r="11331" spans="1:18" hidden="1" x14ac:dyDescent="0.3">
      <c r="A11331" s="15" t="s">
        <v>31854</v>
      </c>
      <c r="B11331" s="15" t="s">
        <v>31855</v>
      </c>
      <c r="C11331" s="18" t="s">
        <v>28</v>
      </c>
      <c r="D11331" s="15" t="s">
        <v>31856</v>
      </c>
      <c r="E11331" s="18" t="s">
        <v>28</v>
      </c>
      <c r="F11331" s="19" t="s">
        <v>28</v>
      </c>
      <c r="G11331" s="19" t="s">
        <v>28</v>
      </c>
      <c r="H11331" s="19" t="s">
        <v>28</v>
      </c>
      <c r="I11331" s="18" t="s">
        <v>28</v>
      </c>
      <c r="J11331" s="18" t="s">
        <v>28</v>
      </c>
      <c r="K11331" s="18" t="s">
        <v>28</v>
      </c>
      <c r="L11331" s="18" t="s">
        <v>28</v>
      </c>
      <c r="M11331" s="18" t="s">
        <v>28</v>
      </c>
      <c r="N11331" s="17">
        <v>41151</v>
      </c>
      <c r="O11331" s="15" t="s">
        <v>52</v>
      </c>
      <c r="P11331" s="16" t="s">
        <v>1792</v>
      </c>
      <c r="Q11331" s="15" t="s">
        <v>449</v>
      </c>
      <c r="R11331" s="13" t="str">
        <f>HYPERLINK("https://my.pitchbook.com?c=141111-91T","View Company Online")</f>
        <v>View Company Online</v>
      </c>
    </row>
    <row r="11332" spans="1:18" hidden="1" x14ac:dyDescent="0.3">
      <c r="A11332" s="9" t="s">
        <v>31857</v>
      </c>
      <c r="B11332" s="9" t="s">
        <v>31858</v>
      </c>
      <c r="C11332" s="11" t="s">
        <v>28</v>
      </c>
      <c r="D11332" s="9" t="s">
        <v>31859</v>
      </c>
      <c r="E11332" s="11" t="s">
        <v>28</v>
      </c>
      <c r="F11332" s="10" t="s">
        <v>28</v>
      </c>
      <c r="G11332" s="10">
        <v>71.42</v>
      </c>
      <c r="H11332" s="10">
        <v>178.54</v>
      </c>
      <c r="I11332" s="11" t="s">
        <v>28</v>
      </c>
      <c r="J11332" s="11" t="s">
        <v>28</v>
      </c>
      <c r="K11332" s="11" t="s">
        <v>28</v>
      </c>
      <c r="L11332" s="11" t="s">
        <v>28</v>
      </c>
      <c r="M11332" s="11" t="s">
        <v>28</v>
      </c>
      <c r="N11332" s="8">
        <v>41151</v>
      </c>
      <c r="O11332" s="9" t="s">
        <v>58</v>
      </c>
      <c r="P11332" s="12" t="s">
        <v>30649</v>
      </c>
      <c r="Q11332" s="9" t="s">
        <v>105</v>
      </c>
      <c r="R11332" s="14" t="str">
        <f>HYPERLINK("https://my.pitchbook.com?c=131203-18T","View Company Online")</f>
        <v>View Company Online</v>
      </c>
    </row>
    <row r="11333" spans="1:18" hidden="1" x14ac:dyDescent="0.3">
      <c r="A11333" s="15" t="s">
        <v>31860</v>
      </c>
      <c r="B11333" s="15" t="s">
        <v>28156</v>
      </c>
      <c r="C11333" s="18" t="s">
        <v>28</v>
      </c>
      <c r="D11333" s="15" t="s">
        <v>28157</v>
      </c>
      <c r="E11333" s="18">
        <v>-16.5</v>
      </c>
      <c r="F11333" s="19" t="s">
        <v>28</v>
      </c>
      <c r="G11333" s="19">
        <v>391.99</v>
      </c>
      <c r="H11333" s="19" t="s">
        <v>28</v>
      </c>
      <c r="I11333" s="18">
        <v>104.42</v>
      </c>
      <c r="J11333" s="18" t="s">
        <v>28</v>
      </c>
      <c r="K11333" s="18">
        <v>3423.15</v>
      </c>
      <c r="L11333" s="18" t="s">
        <v>28</v>
      </c>
      <c r="M11333" s="18">
        <v>-100.07</v>
      </c>
      <c r="N11333" s="17">
        <v>41150</v>
      </c>
      <c r="O11333" s="15" t="s">
        <v>159</v>
      </c>
      <c r="P11333" s="16" t="s">
        <v>31861</v>
      </c>
      <c r="Q11333" s="15" t="s">
        <v>119</v>
      </c>
      <c r="R11333" s="13" t="str">
        <f>HYPERLINK("https://my.pitchbook.com?c=25943-41T","View Company Online")</f>
        <v>View Company Online</v>
      </c>
    </row>
    <row r="11334" spans="1:18" hidden="1" x14ac:dyDescent="0.3">
      <c r="A11334" s="9" t="s">
        <v>31862</v>
      </c>
      <c r="B11334" s="9" t="s">
        <v>26983</v>
      </c>
      <c r="C11334" s="11" t="s">
        <v>28</v>
      </c>
      <c r="D11334" s="9" t="s">
        <v>26984</v>
      </c>
      <c r="E11334" s="11" t="s">
        <v>28</v>
      </c>
      <c r="F11334" s="10" t="s">
        <v>28</v>
      </c>
      <c r="G11334" s="10" t="s">
        <v>28</v>
      </c>
      <c r="H11334" s="10" t="s">
        <v>28</v>
      </c>
      <c r="I11334" s="11" t="s">
        <v>28</v>
      </c>
      <c r="J11334" s="11" t="s">
        <v>28</v>
      </c>
      <c r="K11334" s="11" t="s">
        <v>28</v>
      </c>
      <c r="L11334" s="11" t="s">
        <v>28</v>
      </c>
      <c r="M11334" s="11" t="s">
        <v>28</v>
      </c>
      <c r="N11334" s="8">
        <v>41150</v>
      </c>
      <c r="O11334" s="9" t="s">
        <v>41</v>
      </c>
      <c r="P11334" s="12" t="s">
        <v>4766</v>
      </c>
      <c r="Q11334" s="9" t="s">
        <v>740</v>
      </c>
      <c r="R11334" s="14" t="str">
        <f>HYPERLINK("https://my.pitchbook.com?c=33960-97T","View Company Online")</f>
        <v>View Company Online</v>
      </c>
    </row>
    <row r="11335" spans="1:18" hidden="1" x14ac:dyDescent="0.3">
      <c r="A11335" s="15" t="s">
        <v>31863</v>
      </c>
      <c r="B11335" s="15" t="s">
        <v>31864</v>
      </c>
      <c r="C11335" s="18" t="s">
        <v>28</v>
      </c>
      <c r="D11335" s="15" t="s">
        <v>28</v>
      </c>
      <c r="E11335" s="18" t="s">
        <v>28</v>
      </c>
      <c r="F11335" s="19" t="s">
        <v>28</v>
      </c>
      <c r="G11335" s="19" t="s">
        <v>28</v>
      </c>
      <c r="H11335" s="19" t="s">
        <v>28</v>
      </c>
      <c r="I11335" s="18" t="s">
        <v>28</v>
      </c>
      <c r="J11335" s="18" t="s">
        <v>28</v>
      </c>
      <c r="K11335" s="18" t="s">
        <v>28</v>
      </c>
      <c r="L11335" s="18" t="s">
        <v>28</v>
      </c>
      <c r="M11335" s="18" t="s">
        <v>28</v>
      </c>
      <c r="N11335" s="17">
        <v>41149</v>
      </c>
      <c r="O11335" s="15" t="s">
        <v>173</v>
      </c>
      <c r="P11335" s="16" t="s">
        <v>28</v>
      </c>
      <c r="Q11335" s="15" t="s">
        <v>832</v>
      </c>
      <c r="R11335" s="13" t="str">
        <f>HYPERLINK("https://my.pitchbook.com?c=224026-66T","View Company Online")</f>
        <v>View Company Online</v>
      </c>
    </row>
    <row r="11336" spans="1:18" hidden="1" x14ac:dyDescent="0.3">
      <c r="A11336" s="9" t="s">
        <v>31865</v>
      </c>
      <c r="B11336" s="9" t="s">
        <v>31866</v>
      </c>
      <c r="C11336" s="11" t="s">
        <v>28</v>
      </c>
      <c r="D11336" s="9" t="s">
        <v>31867</v>
      </c>
      <c r="E11336" s="11" t="s">
        <v>28</v>
      </c>
      <c r="F11336" s="10">
        <v>7.16</v>
      </c>
      <c r="G11336" s="10">
        <v>3.94</v>
      </c>
      <c r="H11336" s="10">
        <v>7.16</v>
      </c>
      <c r="I11336" s="11" t="s">
        <v>28</v>
      </c>
      <c r="J11336" s="11" t="s">
        <v>28</v>
      </c>
      <c r="K11336" s="11" t="s">
        <v>28</v>
      </c>
      <c r="L11336" s="11" t="s">
        <v>28</v>
      </c>
      <c r="M11336" s="11" t="s">
        <v>28</v>
      </c>
      <c r="N11336" s="8">
        <v>41149</v>
      </c>
      <c r="O11336" s="9" t="s">
        <v>30</v>
      </c>
      <c r="P11336" s="12" t="s">
        <v>16073</v>
      </c>
      <c r="Q11336" s="9" t="s">
        <v>119</v>
      </c>
      <c r="R11336" s="14" t="str">
        <f>HYPERLINK("https://my.pitchbook.com?c=90035-29T","View Company Online")</f>
        <v>View Company Online</v>
      </c>
    </row>
    <row r="11337" spans="1:18" hidden="1" x14ac:dyDescent="0.3">
      <c r="A11337" s="15" t="s">
        <v>31868</v>
      </c>
      <c r="B11337" s="15" t="s">
        <v>16672</v>
      </c>
      <c r="C11337" s="18" t="s">
        <v>28</v>
      </c>
      <c r="D11337" s="15" t="s">
        <v>16673</v>
      </c>
      <c r="E11337" s="18" t="s">
        <v>28</v>
      </c>
      <c r="F11337" s="19" t="s">
        <v>28</v>
      </c>
      <c r="G11337" s="19" t="s">
        <v>28</v>
      </c>
      <c r="H11337" s="19" t="s">
        <v>28</v>
      </c>
      <c r="I11337" s="18" t="s">
        <v>28</v>
      </c>
      <c r="J11337" s="18" t="s">
        <v>28</v>
      </c>
      <c r="K11337" s="18" t="s">
        <v>28</v>
      </c>
      <c r="L11337" s="18" t="s">
        <v>28</v>
      </c>
      <c r="M11337" s="18" t="s">
        <v>28</v>
      </c>
      <c r="N11337" s="17">
        <v>41149</v>
      </c>
      <c r="O11337" s="15" t="s">
        <v>379</v>
      </c>
      <c r="P11337" s="16" t="s">
        <v>28</v>
      </c>
      <c r="Q11337" s="15" t="s">
        <v>692</v>
      </c>
      <c r="R11337" s="13" t="str">
        <f>HYPERLINK("https://my.pitchbook.com?c=59082-40T","View Company Online")</f>
        <v>View Company Online</v>
      </c>
    </row>
    <row r="11338" spans="1:18" hidden="1" x14ac:dyDescent="0.3">
      <c r="A11338" s="9" t="s">
        <v>31869</v>
      </c>
      <c r="B11338" s="9" t="s">
        <v>12627</v>
      </c>
      <c r="C11338" s="11" t="s">
        <v>28</v>
      </c>
      <c r="D11338" s="9" t="s">
        <v>12628</v>
      </c>
      <c r="E11338" s="11" t="s">
        <v>28</v>
      </c>
      <c r="F11338" s="10" t="s">
        <v>28</v>
      </c>
      <c r="G11338" s="10" t="s">
        <v>28</v>
      </c>
      <c r="H11338" s="10" t="s">
        <v>28</v>
      </c>
      <c r="I11338" s="11" t="s">
        <v>28</v>
      </c>
      <c r="J11338" s="11" t="s">
        <v>28</v>
      </c>
      <c r="K11338" s="11" t="s">
        <v>28</v>
      </c>
      <c r="L11338" s="11" t="s">
        <v>28</v>
      </c>
      <c r="M11338" s="11" t="s">
        <v>28</v>
      </c>
      <c r="N11338" s="8">
        <v>41149</v>
      </c>
      <c r="O11338" s="9" t="s">
        <v>79</v>
      </c>
      <c r="P11338" s="12" t="s">
        <v>31870</v>
      </c>
      <c r="Q11338" s="9" t="s">
        <v>1643</v>
      </c>
      <c r="R11338" s="14" t="str">
        <f>HYPERLINK("https://my.pitchbook.com?c=57989-35T","View Company Online")</f>
        <v>View Company Online</v>
      </c>
    </row>
    <row r="11339" spans="1:18" hidden="1" x14ac:dyDescent="0.3">
      <c r="A11339" s="15" t="s">
        <v>31871</v>
      </c>
      <c r="B11339" s="15" t="s">
        <v>31872</v>
      </c>
      <c r="C11339" s="18" t="s">
        <v>28</v>
      </c>
      <c r="D11339" s="15" t="s">
        <v>31873</v>
      </c>
      <c r="E11339" s="18" t="s">
        <v>28</v>
      </c>
      <c r="F11339" s="19" t="s">
        <v>28</v>
      </c>
      <c r="G11339" s="19" t="s">
        <v>28</v>
      </c>
      <c r="H11339" s="19" t="s">
        <v>28</v>
      </c>
      <c r="I11339" s="18" t="s">
        <v>28</v>
      </c>
      <c r="J11339" s="18" t="s">
        <v>28</v>
      </c>
      <c r="K11339" s="18" t="s">
        <v>28</v>
      </c>
      <c r="L11339" s="18" t="s">
        <v>28</v>
      </c>
      <c r="M11339" s="18" t="s">
        <v>28</v>
      </c>
      <c r="N11339" s="17">
        <v>41146</v>
      </c>
      <c r="O11339" s="15" t="s">
        <v>30</v>
      </c>
      <c r="P11339" s="16" t="s">
        <v>31874</v>
      </c>
      <c r="Q11339" s="15" t="s">
        <v>114</v>
      </c>
      <c r="R11339" s="13" t="str">
        <f>HYPERLINK("https://my.pitchbook.com?c=135951-13T","View Company Online")</f>
        <v>View Company Online</v>
      </c>
    </row>
    <row r="11340" spans="1:18" hidden="1" x14ac:dyDescent="0.3">
      <c r="A11340" s="9" t="s">
        <v>31875</v>
      </c>
      <c r="B11340" s="9" t="s">
        <v>31876</v>
      </c>
      <c r="C11340" s="11" t="s">
        <v>28</v>
      </c>
      <c r="D11340" s="9" t="s">
        <v>31877</v>
      </c>
      <c r="E11340" s="11" t="s">
        <v>28</v>
      </c>
      <c r="F11340" s="10" t="s">
        <v>28</v>
      </c>
      <c r="G11340" s="10" t="s">
        <v>28</v>
      </c>
      <c r="H11340" s="10" t="s">
        <v>28</v>
      </c>
      <c r="I11340" s="11" t="s">
        <v>28</v>
      </c>
      <c r="J11340" s="11" t="s">
        <v>28</v>
      </c>
      <c r="K11340" s="11" t="s">
        <v>28</v>
      </c>
      <c r="L11340" s="11" t="s">
        <v>28</v>
      </c>
      <c r="M11340" s="11" t="s">
        <v>28</v>
      </c>
      <c r="N11340" s="8">
        <v>41144</v>
      </c>
      <c r="O11340" s="9" t="s">
        <v>173</v>
      </c>
      <c r="P11340" s="12" t="s">
        <v>28</v>
      </c>
      <c r="Q11340" s="9" t="s">
        <v>174</v>
      </c>
      <c r="R11340" s="14" t="str">
        <f>HYPERLINK("https://my.pitchbook.com?c=221309-29T","View Company Online")</f>
        <v>View Company Online</v>
      </c>
    </row>
    <row r="11341" spans="1:18" hidden="1" x14ac:dyDescent="0.3">
      <c r="A11341" s="15" t="s">
        <v>31878</v>
      </c>
      <c r="B11341" s="15" t="s">
        <v>31879</v>
      </c>
      <c r="C11341" s="18" t="s">
        <v>28</v>
      </c>
      <c r="D11341" s="15" t="s">
        <v>31880</v>
      </c>
      <c r="E11341" s="18" t="s">
        <v>28</v>
      </c>
      <c r="F11341" s="19" t="s">
        <v>28</v>
      </c>
      <c r="G11341" s="19" t="s">
        <v>28</v>
      </c>
      <c r="H11341" s="19" t="s">
        <v>28</v>
      </c>
      <c r="I11341" s="18" t="s">
        <v>28</v>
      </c>
      <c r="J11341" s="18" t="s">
        <v>28</v>
      </c>
      <c r="K11341" s="18" t="s">
        <v>28</v>
      </c>
      <c r="L11341" s="18" t="s">
        <v>28</v>
      </c>
      <c r="M11341" s="18" t="s">
        <v>28</v>
      </c>
      <c r="N11341" s="17">
        <v>41144</v>
      </c>
      <c r="O11341" s="15" t="s">
        <v>173</v>
      </c>
      <c r="P11341" s="16" t="s">
        <v>28</v>
      </c>
      <c r="Q11341" s="15" t="s">
        <v>174</v>
      </c>
      <c r="R11341" s="13" t="str">
        <f>HYPERLINK("https://my.pitchbook.com?c=224036-83T","View Company Online")</f>
        <v>View Company Online</v>
      </c>
    </row>
    <row r="11342" spans="1:18" hidden="1" x14ac:dyDescent="0.3">
      <c r="A11342" s="9" t="s">
        <v>31881</v>
      </c>
      <c r="B11342" s="9" t="s">
        <v>31882</v>
      </c>
      <c r="C11342" s="11" t="s">
        <v>28</v>
      </c>
      <c r="D11342" s="9" t="s">
        <v>31883</v>
      </c>
      <c r="E11342" s="11" t="s">
        <v>28</v>
      </c>
      <c r="F11342" s="10" t="s">
        <v>28</v>
      </c>
      <c r="G11342" s="10" t="s">
        <v>28</v>
      </c>
      <c r="H11342" s="10" t="s">
        <v>28</v>
      </c>
      <c r="I11342" s="11" t="s">
        <v>28</v>
      </c>
      <c r="J11342" s="11" t="s">
        <v>28</v>
      </c>
      <c r="K11342" s="11" t="s">
        <v>28</v>
      </c>
      <c r="L11342" s="11" t="s">
        <v>28</v>
      </c>
      <c r="M11342" s="11" t="s">
        <v>28</v>
      </c>
      <c r="N11342" s="8">
        <v>41144</v>
      </c>
      <c r="O11342" s="9" t="s">
        <v>30</v>
      </c>
      <c r="P11342" s="12" t="s">
        <v>31884</v>
      </c>
      <c r="Q11342" s="9" t="s">
        <v>136</v>
      </c>
      <c r="R11342" s="14" t="str">
        <f>HYPERLINK("https://my.pitchbook.com?c=90128-35T","View Company Online")</f>
        <v>View Company Online</v>
      </c>
    </row>
    <row r="11343" spans="1:18" hidden="1" x14ac:dyDescent="0.3">
      <c r="A11343" s="15" t="s">
        <v>31885</v>
      </c>
      <c r="B11343" s="15" t="s">
        <v>28532</v>
      </c>
      <c r="C11343" s="18" t="s">
        <v>28</v>
      </c>
      <c r="D11343" s="15" t="s">
        <v>28533</v>
      </c>
      <c r="E11343" s="18" t="s">
        <v>28</v>
      </c>
      <c r="F11343" s="19" t="s">
        <v>28</v>
      </c>
      <c r="G11343" s="19">
        <v>300</v>
      </c>
      <c r="H11343" s="19" t="s">
        <v>28</v>
      </c>
      <c r="I11343" s="18" t="s">
        <v>28</v>
      </c>
      <c r="J11343" s="18" t="s">
        <v>28</v>
      </c>
      <c r="K11343" s="18" t="s">
        <v>28</v>
      </c>
      <c r="L11343" s="18" t="s">
        <v>28</v>
      </c>
      <c r="M11343" s="18" t="s">
        <v>28</v>
      </c>
      <c r="N11343" s="17">
        <v>41144</v>
      </c>
      <c r="O11343" s="15" t="s">
        <v>93</v>
      </c>
      <c r="P11343" s="16" t="s">
        <v>31886</v>
      </c>
      <c r="Q11343" s="15" t="s">
        <v>64</v>
      </c>
      <c r="R11343" s="13" t="str">
        <f>HYPERLINK("https://my.pitchbook.com?c=22185-64T","View Company Online")</f>
        <v>View Company Online</v>
      </c>
    </row>
    <row r="11344" spans="1:18" hidden="1" x14ac:dyDescent="0.3">
      <c r="A11344" s="9" t="s">
        <v>31887</v>
      </c>
      <c r="B11344" s="9" t="s">
        <v>2281</v>
      </c>
      <c r="C11344" s="11" t="s">
        <v>28</v>
      </c>
      <c r="D11344" s="9" t="s">
        <v>20660</v>
      </c>
      <c r="E11344" s="11">
        <v>-81.489999999999995</v>
      </c>
      <c r="F11344" s="10" t="s">
        <v>28</v>
      </c>
      <c r="G11344" s="10">
        <v>990</v>
      </c>
      <c r="H11344" s="10" t="s">
        <v>28</v>
      </c>
      <c r="I11344" s="11">
        <v>256.82</v>
      </c>
      <c r="J11344" s="11" t="s">
        <v>28</v>
      </c>
      <c r="K11344" s="11">
        <v>10304.23</v>
      </c>
      <c r="L11344" s="11" t="s">
        <v>28</v>
      </c>
      <c r="M11344" s="11">
        <v>-349.55</v>
      </c>
      <c r="N11344" s="8">
        <v>41144</v>
      </c>
      <c r="O11344" s="9" t="s">
        <v>159</v>
      </c>
      <c r="P11344" s="12" t="s">
        <v>28</v>
      </c>
      <c r="Q11344" s="9" t="s">
        <v>753</v>
      </c>
      <c r="R11344" s="14" t="str">
        <f>HYPERLINK("https://my.pitchbook.com?c=22186-54T","View Company Online")</f>
        <v>View Company Online</v>
      </c>
    </row>
    <row r="11345" spans="1:18" hidden="1" x14ac:dyDescent="0.3">
      <c r="A11345" s="15" t="s">
        <v>31888</v>
      </c>
      <c r="B11345" s="15" t="s">
        <v>31889</v>
      </c>
      <c r="C11345" s="18" t="s">
        <v>28</v>
      </c>
      <c r="D11345" s="15" t="s">
        <v>31890</v>
      </c>
      <c r="E11345" s="18" t="s">
        <v>28</v>
      </c>
      <c r="F11345" s="19" t="s">
        <v>28</v>
      </c>
      <c r="G11345" s="19" t="s">
        <v>28</v>
      </c>
      <c r="H11345" s="19" t="s">
        <v>28</v>
      </c>
      <c r="I11345" s="18" t="s">
        <v>28</v>
      </c>
      <c r="J11345" s="18" t="s">
        <v>28</v>
      </c>
      <c r="K11345" s="18" t="s">
        <v>28</v>
      </c>
      <c r="L11345" s="18" t="s">
        <v>28</v>
      </c>
      <c r="M11345" s="18" t="s">
        <v>28</v>
      </c>
      <c r="N11345" s="17">
        <v>41144</v>
      </c>
      <c r="O11345" s="15" t="s">
        <v>173</v>
      </c>
      <c r="P11345" s="16" t="s">
        <v>28</v>
      </c>
      <c r="Q11345" s="15" t="s">
        <v>174</v>
      </c>
      <c r="R11345" s="13" t="str">
        <f>HYPERLINK("https://my.pitchbook.com?c=245546-74T","View Company Online")</f>
        <v>View Company Online</v>
      </c>
    </row>
    <row r="11346" spans="1:18" hidden="1" x14ac:dyDescent="0.3">
      <c r="A11346" s="9" t="s">
        <v>31891</v>
      </c>
      <c r="B11346" s="9" t="s">
        <v>30458</v>
      </c>
      <c r="C11346" s="11" t="s">
        <v>28</v>
      </c>
      <c r="D11346" s="9" t="s">
        <v>30459</v>
      </c>
      <c r="E11346" s="11" t="s">
        <v>28</v>
      </c>
      <c r="F11346" s="10" t="s">
        <v>28</v>
      </c>
      <c r="G11346" s="10" t="s">
        <v>28</v>
      </c>
      <c r="H11346" s="10" t="s">
        <v>28</v>
      </c>
      <c r="I11346" s="11" t="s">
        <v>28</v>
      </c>
      <c r="J11346" s="11" t="s">
        <v>28</v>
      </c>
      <c r="K11346" s="11" t="s">
        <v>28</v>
      </c>
      <c r="L11346" s="11" t="s">
        <v>28</v>
      </c>
      <c r="M11346" s="11" t="s">
        <v>28</v>
      </c>
      <c r="N11346" s="8">
        <v>41138</v>
      </c>
      <c r="O11346" s="9" t="s">
        <v>379</v>
      </c>
      <c r="P11346" s="12" t="s">
        <v>31892</v>
      </c>
      <c r="Q11346" s="9" t="s">
        <v>566</v>
      </c>
      <c r="R11346" s="14" t="str">
        <f>HYPERLINK("https://my.pitchbook.com?c=52122-34T","View Company Online")</f>
        <v>View Company Online</v>
      </c>
    </row>
    <row r="11347" spans="1:18" hidden="1" x14ac:dyDescent="0.3">
      <c r="A11347" s="15" t="s">
        <v>31893</v>
      </c>
      <c r="B11347" s="15" t="s">
        <v>31894</v>
      </c>
      <c r="C11347" s="18" t="s">
        <v>28</v>
      </c>
      <c r="D11347" s="15" t="s">
        <v>31895</v>
      </c>
      <c r="E11347" s="18" t="s">
        <v>28</v>
      </c>
      <c r="F11347" s="19" t="s">
        <v>28</v>
      </c>
      <c r="G11347" s="19" t="s">
        <v>28</v>
      </c>
      <c r="H11347" s="19" t="s">
        <v>28</v>
      </c>
      <c r="I11347" s="18" t="s">
        <v>28</v>
      </c>
      <c r="J11347" s="18" t="s">
        <v>28</v>
      </c>
      <c r="K11347" s="18" t="s">
        <v>28</v>
      </c>
      <c r="L11347" s="18" t="s">
        <v>28</v>
      </c>
      <c r="M11347" s="18" t="s">
        <v>28</v>
      </c>
      <c r="N11347" s="17">
        <v>41138</v>
      </c>
      <c r="O11347" s="15" t="s">
        <v>52</v>
      </c>
      <c r="P11347" s="16" t="s">
        <v>18449</v>
      </c>
      <c r="Q11347" s="15" t="s">
        <v>3912</v>
      </c>
      <c r="R11347" s="13" t="str">
        <f>HYPERLINK("https://my.pitchbook.com?c=52093-36T","View Company Online")</f>
        <v>View Company Online</v>
      </c>
    </row>
    <row r="11348" spans="1:18" hidden="1" x14ac:dyDescent="0.3">
      <c r="A11348" s="9" t="s">
        <v>31896</v>
      </c>
      <c r="B11348" s="9" t="s">
        <v>24146</v>
      </c>
      <c r="C11348" s="11" t="s">
        <v>28</v>
      </c>
      <c r="D11348" s="9" t="s">
        <v>24147</v>
      </c>
      <c r="E11348" s="11" t="s">
        <v>28</v>
      </c>
      <c r="F11348" s="10" t="s">
        <v>28</v>
      </c>
      <c r="G11348" s="10" t="s">
        <v>28</v>
      </c>
      <c r="H11348" s="10" t="s">
        <v>28</v>
      </c>
      <c r="I11348" s="11" t="s">
        <v>28</v>
      </c>
      <c r="J11348" s="11" t="s">
        <v>28</v>
      </c>
      <c r="K11348" s="11" t="s">
        <v>28</v>
      </c>
      <c r="L11348" s="11" t="s">
        <v>28</v>
      </c>
      <c r="M11348" s="11" t="s">
        <v>28</v>
      </c>
      <c r="N11348" s="8">
        <v>41138</v>
      </c>
      <c r="O11348" s="9" t="s">
        <v>73</v>
      </c>
      <c r="P11348" s="12" t="s">
        <v>31897</v>
      </c>
      <c r="Q11348" s="9" t="s">
        <v>5347</v>
      </c>
      <c r="R11348" s="14" t="str">
        <f>HYPERLINK("https://my.pitchbook.com?c=52086-97T","View Company Online")</f>
        <v>View Company Online</v>
      </c>
    </row>
    <row r="11349" spans="1:18" hidden="1" x14ac:dyDescent="0.3">
      <c r="A11349" s="15" t="s">
        <v>31898</v>
      </c>
      <c r="B11349" s="15" t="s">
        <v>28532</v>
      </c>
      <c r="C11349" s="18" t="s">
        <v>28</v>
      </c>
      <c r="D11349" s="15" t="s">
        <v>28533</v>
      </c>
      <c r="E11349" s="18" t="s">
        <v>28</v>
      </c>
      <c r="F11349" s="19" t="s">
        <v>28</v>
      </c>
      <c r="G11349" s="19" t="s">
        <v>28</v>
      </c>
      <c r="H11349" s="19" t="s">
        <v>28</v>
      </c>
      <c r="I11349" s="18" t="s">
        <v>28</v>
      </c>
      <c r="J11349" s="18" t="s">
        <v>28</v>
      </c>
      <c r="K11349" s="18" t="s">
        <v>28</v>
      </c>
      <c r="L11349" s="18" t="s">
        <v>28</v>
      </c>
      <c r="M11349" s="18" t="s">
        <v>28</v>
      </c>
      <c r="N11349" s="17">
        <v>41138</v>
      </c>
      <c r="O11349" s="15" t="s">
        <v>173</v>
      </c>
      <c r="P11349" s="16" t="s">
        <v>28</v>
      </c>
      <c r="Q11349" s="15" t="s">
        <v>64</v>
      </c>
      <c r="R11349" s="13" t="str">
        <f>HYPERLINK("https://my.pitchbook.com?c=22184-38T","View Company Online")</f>
        <v>View Company Online</v>
      </c>
    </row>
    <row r="11350" spans="1:18" hidden="1" x14ac:dyDescent="0.3">
      <c r="A11350" s="9" t="s">
        <v>31899</v>
      </c>
      <c r="B11350" s="9" t="s">
        <v>31900</v>
      </c>
      <c r="C11350" s="11" t="s">
        <v>28</v>
      </c>
      <c r="D11350" s="9" t="s">
        <v>31901</v>
      </c>
      <c r="E11350" s="11" t="s">
        <v>28</v>
      </c>
      <c r="F11350" s="10" t="s">
        <v>28</v>
      </c>
      <c r="G11350" s="10" t="s">
        <v>28</v>
      </c>
      <c r="H11350" s="10" t="s">
        <v>28</v>
      </c>
      <c r="I11350" s="11" t="s">
        <v>28</v>
      </c>
      <c r="J11350" s="11" t="s">
        <v>28</v>
      </c>
      <c r="K11350" s="11" t="s">
        <v>28</v>
      </c>
      <c r="L11350" s="11" t="s">
        <v>28</v>
      </c>
      <c r="M11350" s="11" t="s">
        <v>28</v>
      </c>
      <c r="N11350" s="8">
        <v>41138</v>
      </c>
      <c r="O11350" s="9" t="s">
        <v>30</v>
      </c>
      <c r="P11350" s="12" t="s">
        <v>31902</v>
      </c>
      <c r="Q11350" s="9" t="s">
        <v>299</v>
      </c>
      <c r="R11350" s="14" t="str">
        <f>HYPERLINK("https://my.pitchbook.com?c=90104-23T","View Company Online")</f>
        <v>View Company Online</v>
      </c>
    </row>
    <row r="11351" spans="1:18" hidden="1" x14ac:dyDescent="0.3">
      <c r="A11351" s="15" t="s">
        <v>31903</v>
      </c>
      <c r="B11351" s="15" t="s">
        <v>26886</v>
      </c>
      <c r="C11351" s="18" t="s">
        <v>28</v>
      </c>
      <c r="D11351" s="15" t="s">
        <v>26887</v>
      </c>
      <c r="E11351" s="18" t="s">
        <v>28</v>
      </c>
      <c r="F11351" s="19" t="s">
        <v>28</v>
      </c>
      <c r="G11351" s="19">
        <v>0.17</v>
      </c>
      <c r="H11351" s="19" t="s">
        <v>28</v>
      </c>
      <c r="I11351" s="18" t="s">
        <v>28</v>
      </c>
      <c r="J11351" s="18" t="s">
        <v>28</v>
      </c>
      <c r="K11351" s="18" t="s">
        <v>28</v>
      </c>
      <c r="L11351" s="18" t="s">
        <v>28</v>
      </c>
      <c r="M11351" s="18" t="s">
        <v>28</v>
      </c>
      <c r="N11351" s="17">
        <v>41137</v>
      </c>
      <c r="O11351" s="15" t="s">
        <v>99</v>
      </c>
      <c r="P11351" s="16" t="s">
        <v>31904</v>
      </c>
      <c r="Q11351" s="15" t="s">
        <v>740</v>
      </c>
      <c r="R11351" s="13" t="str">
        <f>HYPERLINK("https://my.pitchbook.com?c=36834-31T","View Company Online")</f>
        <v>View Company Online</v>
      </c>
    </row>
    <row r="11352" spans="1:18" hidden="1" x14ac:dyDescent="0.3">
      <c r="A11352" s="9" t="s">
        <v>31905</v>
      </c>
      <c r="B11352" s="9" t="s">
        <v>31906</v>
      </c>
      <c r="C11352" s="11" t="s">
        <v>28</v>
      </c>
      <c r="D11352" s="9" t="s">
        <v>31907</v>
      </c>
      <c r="E11352" s="11" t="s">
        <v>28</v>
      </c>
      <c r="F11352" s="10" t="s">
        <v>28</v>
      </c>
      <c r="G11352" s="10" t="s">
        <v>28</v>
      </c>
      <c r="H11352" s="10" t="s">
        <v>28</v>
      </c>
      <c r="I11352" s="11" t="s">
        <v>28</v>
      </c>
      <c r="J11352" s="11" t="s">
        <v>28</v>
      </c>
      <c r="K11352" s="11" t="s">
        <v>28</v>
      </c>
      <c r="L11352" s="11" t="s">
        <v>28</v>
      </c>
      <c r="M11352" s="11" t="s">
        <v>28</v>
      </c>
      <c r="N11352" s="8">
        <v>41136</v>
      </c>
      <c r="O11352" s="9" t="s">
        <v>379</v>
      </c>
      <c r="P11352" s="12" t="s">
        <v>31908</v>
      </c>
      <c r="Q11352" s="9" t="s">
        <v>95</v>
      </c>
      <c r="R11352" s="14" t="str">
        <f>HYPERLINK("https://my.pitchbook.com?c=52089-13T","View Company Online")</f>
        <v>View Company Online</v>
      </c>
    </row>
    <row r="11353" spans="1:18" hidden="1" x14ac:dyDescent="0.3">
      <c r="A11353" s="15" t="s">
        <v>31909</v>
      </c>
      <c r="B11353" s="15" t="s">
        <v>16181</v>
      </c>
      <c r="C11353" s="18" t="s">
        <v>28</v>
      </c>
      <c r="D11353" s="15" t="s">
        <v>31910</v>
      </c>
      <c r="E11353" s="18">
        <v>88.06</v>
      </c>
      <c r="F11353" s="19" t="s">
        <v>28</v>
      </c>
      <c r="G11353" s="19">
        <v>195.2</v>
      </c>
      <c r="H11353" s="19" t="s">
        <v>28</v>
      </c>
      <c r="I11353" s="18">
        <v>105.07</v>
      </c>
      <c r="J11353" s="18" t="s">
        <v>28</v>
      </c>
      <c r="K11353" s="18">
        <v>165.02</v>
      </c>
      <c r="L11353" s="18" t="s">
        <v>28</v>
      </c>
      <c r="M11353" s="18">
        <v>62.28</v>
      </c>
      <c r="N11353" s="17">
        <v>41136</v>
      </c>
      <c r="O11353" s="15" t="s">
        <v>159</v>
      </c>
      <c r="P11353" s="16" t="s">
        <v>31911</v>
      </c>
      <c r="Q11353" s="15" t="s">
        <v>1361</v>
      </c>
      <c r="R11353" s="13" t="str">
        <f>HYPERLINK("https://my.pitchbook.com?c=34830-10T","View Company Online")</f>
        <v>View Company Online</v>
      </c>
    </row>
    <row r="11354" spans="1:18" hidden="1" x14ac:dyDescent="0.3">
      <c r="A11354" s="9" t="s">
        <v>31912</v>
      </c>
      <c r="B11354" s="9" t="s">
        <v>31913</v>
      </c>
      <c r="C11354" s="11" t="s">
        <v>28</v>
      </c>
      <c r="D11354" s="9" t="s">
        <v>31914</v>
      </c>
      <c r="E11354" s="11" t="s">
        <v>28</v>
      </c>
      <c r="F11354" s="10" t="s">
        <v>28</v>
      </c>
      <c r="G11354" s="10" t="s">
        <v>28</v>
      </c>
      <c r="H11354" s="10" t="s">
        <v>28</v>
      </c>
      <c r="I11354" s="11" t="s">
        <v>28</v>
      </c>
      <c r="J11354" s="11" t="s">
        <v>28</v>
      </c>
      <c r="K11354" s="11" t="s">
        <v>28</v>
      </c>
      <c r="L11354" s="11" t="s">
        <v>28</v>
      </c>
      <c r="M11354" s="11" t="s">
        <v>28</v>
      </c>
      <c r="N11354" s="8">
        <v>41136</v>
      </c>
      <c r="O11354" s="9" t="s">
        <v>30</v>
      </c>
      <c r="P11354" s="12" t="s">
        <v>31915</v>
      </c>
      <c r="Q11354" s="9" t="s">
        <v>22648</v>
      </c>
      <c r="R11354" s="14" t="str">
        <f>HYPERLINK("https://my.pitchbook.com?c=54275-68T","View Company Online")</f>
        <v>View Company Online</v>
      </c>
    </row>
    <row r="11355" spans="1:18" hidden="1" x14ac:dyDescent="0.3">
      <c r="A11355" s="15" t="s">
        <v>31916</v>
      </c>
      <c r="B11355" s="15" t="s">
        <v>31917</v>
      </c>
      <c r="C11355" s="18" t="s">
        <v>28</v>
      </c>
      <c r="D11355" s="15" t="s">
        <v>31918</v>
      </c>
      <c r="E11355" s="18" t="s">
        <v>28</v>
      </c>
      <c r="F11355" s="19" t="s">
        <v>28</v>
      </c>
      <c r="G11355" s="19" t="s">
        <v>28</v>
      </c>
      <c r="H11355" s="19" t="s">
        <v>28</v>
      </c>
      <c r="I11355" s="18" t="s">
        <v>28</v>
      </c>
      <c r="J11355" s="18" t="s">
        <v>28</v>
      </c>
      <c r="K11355" s="18" t="s">
        <v>28</v>
      </c>
      <c r="L11355" s="18" t="s">
        <v>28</v>
      </c>
      <c r="M11355" s="18" t="s">
        <v>28</v>
      </c>
      <c r="N11355" s="17">
        <v>41135</v>
      </c>
      <c r="O11355" s="15" t="s">
        <v>30</v>
      </c>
      <c r="P11355" s="16" t="s">
        <v>31919</v>
      </c>
      <c r="Q11355" s="15" t="s">
        <v>353</v>
      </c>
      <c r="R11355" s="13" t="str">
        <f>HYPERLINK("https://my.pitchbook.com?c=75104-47T","View Company Online")</f>
        <v>View Company Online</v>
      </c>
    </row>
    <row r="11356" spans="1:18" hidden="1" x14ac:dyDescent="0.3">
      <c r="A11356" s="9" t="s">
        <v>31920</v>
      </c>
      <c r="B11356" s="9" t="s">
        <v>31921</v>
      </c>
      <c r="C11356" s="11" t="s">
        <v>28</v>
      </c>
      <c r="D11356" s="9" t="s">
        <v>31922</v>
      </c>
      <c r="E11356" s="11" t="s">
        <v>28</v>
      </c>
      <c r="F11356" s="10" t="s">
        <v>28</v>
      </c>
      <c r="G11356" s="10" t="s">
        <v>28</v>
      </c>
      <c r="H11356" s="10" t="s">
        <v>28</v>
      </c>
      <c r="I11356" s="11" t="s">
        <v>28</v>
      </c>
      <c r="J11356" s="11" t="s">
        <v>28</v>
      </c>
      <c r="K11356" s="11" t="s">
        <v>28</v>
      </c>
      <c r="L11356" s="11" t="s">
        <v>28</v>
      </c>
      <c r="M11356" s="11" t="s">
        <v>28</v>
      </c>
      <c r="N11356" s="8">
        <v>41135</v>
      </c>
      <c r="O11356" s="9" t="s">
        <v>173</v>
      </c>
      <c r="P11356" s="12" t="s">
        <v>28</v>
      </c>
      <c r="Q11356" s="9" t="s">
        <v>174</v>
      </c>
      <c r="R11356" s="14" t="str">
        <f>HYPERLINK("https://my.pitchbook.com?c=224807-41T","View Company Online")</f>
        <v>View Company Online</v>
      </c>
    </row>
    <row r="11357" spans="1:18" hidden="1" x14ac:dyDescent="0.3">
      <c r="A11357" s="15" t="s">
        <v>31923</v>
      </c>
      <c r="B11357" s="15" t="s">
        <v>31924</v>
      </c>
      <c r="C11357" s="18" t="s">
        <v>28</v>
      </c>
      <c r="D11357" s="15" t="s">
        <v>31925</v>
      </c>
      <c r="E11357" s="18" t="s">
        <v>28</v>
      </c>
      <c r="F11357" s="19" t="s">
        <v>28</v>
      </c>
      <c r="G11357" s="19" t="s">
        <v>28</v>
      </c>
      <c r="H11357" s="19" t="s">
        <v>28</v>
      </c>
      <c r="I11357" s="18" t="s">
        <v>28</v>
      </c>
      <c r="J11357" s="18" t="s">
        <v>28</v>
      </c>
      <c r="K11357" s="18" t="s">
        <v>28</v>
      </c>
      <c r="L11357" s="18" t="s">
        <v>28</v>
      </c>
      <c r="M11357" s="18" t="s">
        <v>28</v>
      </c>
      <c r="N11357" s="17">
        <v>41135</v>
      </c>
      <c r="O11357" s="15" t="s">
        <v>30</v>
      </c>
      <c r="P11357" s="16" t="s">
        <v>31926</v>
      </c>
      <c r="Q11357" s="15" t="s">
        <v>1035</v>
      </c>
      <c r="R11357" s="13" t="str">
        <f>HYPERLINK("https://my.pitchbook.com?c=90042-85T","View Company Online")</f>
        <v>View Company Online</v>
      </c>
    </row>
    <row r="11358" spans="1:18" hidden="1" x14ac:dyDescent="0.3">
      <c r="A11358" s="9" t="s">
        <v>31927</v>
      </c>
      <c r="B11358" s="9" t="s">
        <v>31768</v>
      </c>
      <c r="C11358" s="11" t="s">
        <v>28</v>
      </c>
      <c r="D11358" s="9" t="s">
        <v>31769</v>
      </c>
      <c r="E11358" s="11" t="s">
        <v>28</v>
      </c>
      <c r="F11358" s="10" t="s">
        <v>28</v>
      </c>
      <c r="G11358" s="10">
        <v>0.04</v>
      </c>
      <c r="H11358" s="10" t="s">
        <v>28</v>
      </c>
      <c r="I11358" s="11" t="s">
        <v>28</v>
      </c>
      <c r="J11358" s="11" t="s">
        <v>28</v>
      </c>
      <c r="K11358" s="11" t="s">
        <v>28</v>
      </c>
      <c r="L11358" s="11" t="s">
        <v>28</v>
      </c>
      <c r="M11358" s="11" t="s">
        <v>28</v>
      </c>
      <c r="N11358" s="8">
        <v>41135</v>
      </c>
      <c r="O11358" s="9" t="s">
        <v>52</v>
      </c>
      <c r="P11358" s="12" t="s">
        <v>1792</v>
      </c>
      <c r="Q11358" s="9" t="s">
        <v>14987</v>
      </c>
      <c r="R11358" s="14" t="str">
        <f>HYPERLINK("https://my.pitchbook.com?c=50844-07T","View Company Online")</f>
        <v>View Company Online</v>
      </c>
    </row>
    <row r="11359" spans="1:18" hidden="1" x14ac:dyDescent="0.3">
      <c r="A11359" s="15" t="s">
        <v>31928</v>
      </c>
      <c r="B11359" s="15" t="s">
        <v>13779</v>
      </c>
      <c r="C11359" s="18" t="s">
        <v>28</v>
      </c>
      <c r="D11359" s="15" t="s">
        <v>13780</v>
      </c>
      <c r="E11359" s="18" t="s">
        <v>28</v>
      </c>
      <c r="F11359" s="19" t="s">
        <v>28</v>
      </c>
      <c r="G11359" s="19">
        <v>1.03</v>
      </c>
      <c r="H11359" s="19" t="s">
        <v>28</v>
      </c>
      <c r="I11359" s="18" t="s">
        <v>28</v>
      </c>
      <c r="J11359" s="18" t="s">
        <v>28</v>
      </c>
      <c r="K11359" s="18" t="s">
        <v>28</v>
      </c>
      <c r="L11359" s="18" t="s">
        <v>28</v>
      </c>
      <c r="M11359" s="18" t="s">
        <v>28</v>
      </c>
      <c r="N11359" s="17">
        <v>41134</v>
      </c>
      <c r="O11359" s="15" t="s">
        <v>73</v>
      </c>
      <c r="P11359" s="16" t="s">
        <v>31929</v>
      </c>
      <c r="Q11359" s="15" t="s">
        <v>1341</v>
      </c>
      <c r="R11359" s="13" t="str">
        <f>HYPERLINK("https://my.pitchbook.com?c=24213-43T","View Company Online")</f>
        <v>View Company Online</v>
      </c>
    </row>
    <row r="11360" spans="1:18" hidden="1" x14ac:dyDescent="0.3">
      <c r="A11360" s="9" t="s">
        <v>31930</v>
      </c>
      <c r="B11360" s="9" t="s">
        <v>31931</v>
      </c>
      <c r="C11360" s="11" t="s">
        <v>28</v>
      </c>
      <c r="D11360" s="9" t="s">
        <v>31932</v>
      </c>
      <c r="E11360" s="11" t="s">
        <v>28</v>
      </c>
      <c r="F11360" s="10" t="s">
        <v>28</v>
      </c>
      <c r="G11360" s="10" t="s">
        <v>28</v>
      </c>
      <c r="H11360" s="10" t="s">
        <v>28</v>
      </c>
      <c r="I11360" s="11" t="s">
        <v>28</v>
      </c>
      <c r="J11360" s="11" t="s">
        <v>28</v>
      </c>
      <c r="K11360" s="11" t="s">
        <v>28</v>
      </c>
      <c r="L11360" s="11" t="s">
        <v>28</v>
      </c>
      <c r="M11360" s="11" t="s">
        <v>28</v>
      </c>
      <c r="N11360" s="8">
        <v>41134</v>
      </c>
      <c r="O11360" s="9" t="s">
        <v>93</v>
      </c>
      <c r="P11360" s="12" t="s">
        <v>31933</v>
      </c>
      <c r="Q11360" s="9" t="s">
        <v>290</v>
      </c>
      <c r="R11360" s="14" t="str">
        <f>HYPERLINK("https://my.pitchbook.com?c=92261-98T","View Company Online")</f>
        <v>View Company Online</v>
      </c>
    </row>
    <row r="11361" spans="1:18" hidden="1" x14ac:dyDescent="0.3">
      <c r="A11361" s="15" t="s">
        <v>31934</v>
      </c>
      <c r="B11361" s="15" t="s">
        <v>31935</v>
      </c>
      <c r="C11361" s="18" t="s">
        <v>28</v>
      </c>
      <c r="D11361" s="15" t="s">
        <v>31936</v>
      </c>
      <c r="E11361" s="18" t="s">
        <v>28</v>
      </c>
      <c r="F11361" s="19" t="s">
        <v>28</v>
      </c>
      <c r="G11361" s="19" t="s">
        <v>28</v>
      </c>
      <c r="H11361" s="19" t="s">
        <v>28</v>
      </c>
      <c r="I11361" s="18" t="s">
        <v>28</v>
      </c>
      <c r="J11361" s="18" t="s">
        <v>28</v>
      </c>
      <c r="K11361" s="18" t="s">
        <v>28</v>
      </c>
      <c r="L11361" s="18" t="s">
        <v>28</v>
      </c>
      <c r="M11361" s="18" t="s">
        <v>28</v>
      </c>
      <c r="N11361" s="17">
        <v>41131</v>
      </c>
      <c r="O11361" s="15" t="s">
        <v>173</v>
      </c>
      <c r="P11361" s="16" t="s">
        <v>28</v>
      </c>
      <c r="Q11361" s="15" t="s">
        <v>174</v>
      </c>
      <c r="R11361" s="13" t="str">
        <f>HYPERLINK("https://my.pitchbook.com?c=224105-14T","View Company Online")</f>
        <v>View Company Online</v>
      </c>
    </row>
    <row r="11362" spans="1:18" hidden="1" x14ac:dyDescent="0.3">
      <c r="A11362" s="9" t="s">
        <v>31937</v>
      </c>
      <c r="B11362" s="9" t="s">
        <v>17790</v>
      </c>
      <c r="C11362" s="11" t="s">
        <v>28</v>
      </c>
      <c r="D11362" s="9" t="s">
        <v>17791</v>
      </c>
      <c r="E11362" s="11" t="s">
        <v>28</v>
      </c>
      <c r="F11362" s="10" t="s">
        <v>28</v>
      </c>
      <c r="G11362" s="10">
        <v>1</v>
      </c>
      <c r="H11362" s="10" t="s">
        <v>28</v>
      </c>
      <c r="I11362" s="11" t="s">
        <v>28</v>
      </c>
      <c r="J11362" s="11" t="s">
        <v>28</v>
      </c>
      <c r="K11362" s="11" t="s">
        <v>28</v>
      </c>
      <c r="L11362" s="11" t="s">
        <v>28</v>
      </c>
      <c r="M11362" s="11" t="s">
        <v>28</v>
      </c>
      <c r="N11362" s="8">
        <v>41130</v>
      </c>
      <c r="O11362" s="9" t="s">
        <v>99</v>
      </c>
      <c r="P11362" s="12" t="s">
        <v>31938</v>
      </c>
      <c r="Q11362" s="9" t="s">
        <v>855</v>
      </c>
      <c r="R11362" s="14" t="str">
        <f>HYPERLINK("https://my.pitchbook.com?c=33188-50T","View Company Online")</f>
        <v>View Company Online</v>
      </c>
    </row>
    <row r="11363" spans="1:18" hidden="1" x14ac:dyDescent="0.3">
      <c r="A11363" s="15" t="s">
        <v>31939</v>
      </c>
      <c r="B11363" s="15" t="s">
        <v>31940</v>
      </c>
      <c r="C11363" s="18" t="s">
        <v>28</v>
      </c>
      <c r="D11363" s="15" t="s">
        <v>31941</v>
      </c>
      <c r="E11363" s="18" t="s">
        <v>28</v>
      </c>
      <c r="F11363" s="19" t="s">
        <v>28</v>
      </c>
      <c r="G11363" s="19" t="s">
        <v>28</v>
      </c>
      <c r="H11363" s="19" t="s">
        <v>28</v>
      </c>
      <c r="I11363" s="18" t="s">
        <v>28</v>
      </c>
      <c r="J11363" s="18" t="s">
        <v>28</v>
      </c>
      <c r="K11363" s="18" t="s">
        <v>28</v>
      </c>
      <c r="L11363" s="18" t="s">
        <v>28</v>
      </c>
      <c r="M11363" s="18" t="s">
        <v>28</v>
      </c>
      <c r="N11363" s="17">
        <v>41130</v>
      </c>
      <c r="O11363" s="15" t="s">
        <v>73</v>
      </c>
      <c r="P11363" s="16" t="s">
        <v>31942</v>
      </c>
      <c r="Q11363" s="15" t="s">
        <v>3912</v>
      </c>
      <c r="R11363" s="13" t="str">
        <f>HYPERLINK("https://my.pitchbook.com?c=22103-74T","View Company Online")</f>
        <v>View Company Online</v>
      </c>
    </row>
    <row r="11364" spans="1:18" hidden="1" x14ac:dyDescent="0.3">
      <c r="A11364" s="9" t="s">
        <v>31943</v>
      </c>
      <c r="B11364" s="9" t="s">
        <v>31944</v>
      </c>
      <c r="C11364" s="11" t="s">
        <v>28</v>
      </c>
      <c r="D11364" s="9" t="s">
        <v>31945</v>
      </c>
      <c r="E11364" s="11" t="s">
        <v>28</v>
      </c>
      <c r="F11364" s="10" t="s">
        <v>28</v>
      </c>
      <c r="G11364" s="10">
        <v>100</v>
      </c>
      <c r="H11364" s="10" t="s">
        <v>28</v>
      </c>
      <c r="I11364" s="11" t="s">
        <v>28</v>
      </c>
      <c r="J11364" s="11" t="s">
        <v>28</v>
      </c>
      <c r="K11364" s="11" t="s">
        <v>28</v>
      </c>
      <c r="L11364" s="11" t="s">
        <v>28</v>
      </c>
      <c r="M11364" s="11" t="s">
        <v>28</v>
      </c>
      <c r="N11364" s="8">
        <v>41129</v>
      </c>
      <c r="O11364" s="9" t="s">
        <v>79</v>
      </c>
      <c r="P11364" s="12" t="s">
        <v>31946</v>
      </c>
      <c r="Q11364" s="9" t="s">
        <v>263</v>
      </c>
      <c r="R11364" s="14" t="str">
        <f>HYPERLINK("https://my.pitchbook.com?c=22063-33T","View Company Online")</f>
        <v>View Company Online</v>
      </c>
    </row>
    <row r="11365" spans="1:18" hidden="1" x14ac:dyDescent="0.3">
      <c r="A11365" s="15" t="s">
        <v>31947</v>
      </c>
      <c r="B11365" s="15" t="s">
        <v>28977</v>
      </c>
      <c r="C11365" s="18" t="s">
        <v>28</v>
      </c>
      <c r="D11365" s="15" t="s">
        <v>28978</v>
      </c>
      <c r="E11365" s="18" t="s">
        <v>28</v>
      </c>
      <c r="F11365" s="19" t="s">
        <v>28</v>
      </c>
      <c r="G11365" s="19">
        <v>1.2</v>
      </c>
      <c r="H11365" s="19" t="s">
        <v>28</v>
      </c>
      <c r="I11365" s="18" t="s">
        <v>28</v>
      </c>
      <c r="J11365" s="18" t="s">
        <v>28</v>
      </c>
      <c r="K11365" s="18" t="s">
        <v>28</v>
      </c>
      <c r="L11365" s="18" t="s">
        <v>28</v>
      </c>
      <c r="M11365" s="18" t="s">
        <v>28</v>
      </c>
      <c r="N11365" s="17">
        <v>41128</v>
      </c>
      <c r="O11365" s="15" t="s">
        <v>73</v>
      </c>
      <c r="P11365" s="16" t="s">
        <v>31948</v>
      </c>
      <c r="Q11365" s="15" t="s">
        <v>5760</v>
      </c>
      <c r="R11365" s="13" t="str">
        <f>HYPERLINK("https://my.pitchbook.com?c=32948-38T","View Company Online")</f>
        <v>View Company Online</v>
      </c>
    </row>
    <row r="11366" spans="1:18" hidden="1" x14ac:dyDescent="0.3">
      <c r="A11366" s="9" t="s">
        <v>31949</v>
      </c>
      <c r="B11366" s="9" t="s">
        <v>31950</v>
      </c>
      <c r="C11366" s="11" t="s">
        <v>28</v>
      </c>
      <c r="D11366" s="9" t="s">
        <v>31951</v>
      </c>
      <c r="E11366" s="11" t="s">
        <v>28</v>
      </c>
      <c r="F11366" s="10" t="s">
        <v>28</v>
      </c>
      <c r="G11366" s="10" t="s">
        <v>28</v>
      </c>
      <c r="H11366" s="10" t="s">
        <v>28</v>
      </c>
      <c r="I11366" s="11" t="s">
        <v>28</v>
      </c>
      <c r="J11366" s="11" t="s">
        <v>28</v>
      </c>
      <c r="K11366" s="11" t="s">
        <v>28</v>
      </c>
      <c r="L11366" s="11" t="s">
        <v>28</v>
      </c>
      <c r="M11366" s="11" t="s">
        <v>28</v>
      </c>
      <c r="N11366" s="8">
        <v>41127</v>
      </c>
      <c r="O11366" s="9" t="s">
        <v>30</v>
      </c>
      <c r="P11366" s="12" t="s">
        <v>31952</v>
      </c>
      <c r="Q11366" s="9" t="s">
        <v>353</v>
      </c>
      <c r="R11366" s="14" t="str">
        <f>HYPERLINK("https://my.pitchbook.com?c=102737-53T","View Company Online")</f>
        <v>View Company Online</v>
      </c>
    </row>
    <row r="11367" spans="1:18" hidden="1" x14ac:dyDescent="0.3">
      <c r="A11367" s="15" t="s">
        <v>31953</v>
      </c>
      <c r="B11367" s="15" t="s">
        <v>30748</v>
      </c>
      <c r="C11367" s="18" t="s">
        <v>28</v>
      </c>
      <c r="D11367" s="15" t="s">
        <v>30749</v>
      </c>
      <c r="E11367" s="18" t="s">
        <v>28</v>
      </c>
      <c r="F11367" s="19" t="s">
        <v>28</v>
      </c>
      <c r="G11367" s="19">
        <v>2653.28</v>
      </c>
      <c r="H11367" s="19" t="s">
        <v>28</v>
      </c>
      <c r="I11367" s="18" t="s">
        <v>28</v>
      </c>
      <c r="J11367" s="18" t="s">
        <v>28</v>
      </c>
      <c r="K11367" s="18" t="s">
        <v>28</v>
      </c>
      <c r="L11367" s="18" t="s">
        <v>28</v>
      </c>
      <c r="M11367" s="18" t="s">
        <v>28</v>
      </c>
      <c r="N11367" s="17">
        <v>41124</v>
      </c>
      <c r="O11367" s="15" t="s">
        <v>93</v>
      </c>
      <c r="P11367" s="16" t="s">
        <v>31954</v>
      </c>
      <c r="Q11367" s="15" t="s">
        <v>54</v>
      </c>
      <c r="R11367" s="13" t="str">
        <f>HYPERLINK("https://my.pitchbook.com?c=22043-62T","View Company Online")</f>
        <v>View Company Online</v>
      </c>
    </row>
    <row r="11368" spans="1:18" hidden="1" x14ac:dyDescent="0.3">
      <c r="A11368" s="9" t="s">
        <v>31955</v>
      </c>
      <c r="B11368" s="9" t="s">
        <v>31956</v>
      </c>
      <c r="C11368" s="11" t="s">
        <v>28</v>
      </c>
      <c r="D11368" s="9" t="s">
        <v>31957</v>
      </c>
      <c r="E11368" s="11">
        <v>57.83</v>
      </c>
      <c r="F11368" s="10" t="s">
        <v>28</v>
      </c>
      <c r="G11368" s="10">
        <v>363.71</v>
      </c>
      <c r="H11368" s="10" t="s">
        <v>28</v>
      </c>
      <c r="I11368" s="11">
        <v>390.9</v>
      </c>
      <c r="J11368" s="11" t="s">
        <v>28</v>
      </c>
      <c r="K11368" s="11">
        <v>3833.41</v>
      </c>
      <c r="L11368" s="11" t="s">
        <v>28</v>
      </c>
      <c r="M11368" s="11">
        <v>22.8</v>
      </c>
      <c r="N11368" s="8">
        <v>41124</v>
      </c>
      <c r="O11368" s="9" t="s">
        <v>159</v>
      </c>
      <c r="P11368" s="12" t="s">
        <v>28</v>
      </c>
      <c r="Q11368" s="9" t="s">
        <v>136</v>
      </c>
      <c r="R11368" s="14" t="str">
        <f>HYPERLINK("https://my.pitchbook.com?c=159936-13T","View Company Online")</f>
        <v>View Company Online</v>
      </c>
    </row>
    <row r="11369" spans="1:18" hidden="1" x14ac:dyDescent="0.3">
      <c r="A11369" s="15" t="s">
        <v>31958</v>
      </c>
      <c r="B11369" s="15" t="s">
        <v>19358</v>
      </c>
      <c r="C11369" s="18" t="s">
        <v>28</v>
      </c>
      <c r="D11369" s="15" t="s">
        <v>31959</v>
      </c>
      <c r="E11369" s="18" t="s">
        <v>28</v>
      </c>
      <c r="F11369" s="19">
        <v>21.13</v>
      </c>
      <c r="G11369" s="19">
        <v>21.13</v>
      </c>
      <c r="H11369" s="19">
        <v>21.13</v>
      </c>
      <c r="I11369" s="18" t="s">
        <v>28</v>
      </c>
      <c r="J11369" s="18" t="s">
        <v>28</v>
      </c>
      <c r="K11369" s="18" t="s">
        <v>28</v>
      </c>
      <c r="L11369" s="18" t="s">
        <v>28</v>
      </c>
      <c r="M11369" s="18" t="s">
        <v>28</v>
      </c>
      <c r="N11369" s="17">
        <v>41124</v>
      </c>
      <c r="O11369" s="15" t="s">
        <v>41</v>
      </c>
      <c r="P11369" s="16" t="s">
        <v>31960</v>
      </c>
      <c r="Q11369" s="15" t="s">
        <v>2097</v>
      </c>
      <c r="R11369" s="13" t="str">
        <f>HYPERLINK("https://my.pitchbook.com?c=78215-23T","View Company Online")</f>
        <v>View Company Online</v>
      </c>
    </row>
    <row r="11370" spans="1:18" hidden="1" x14ac:dyDescent="0.3">
      <c r="A11370" s="9" t="s">
        <v>31961</v>
      </c>
      <c r="B11370" s="9" t="s">
        <v>31962</v>
      </c>
      <c r="C11370" s="11" t="s">
        <v>28</v>
      </c>
      <c r="D11370" s="9" t="s">
        <v>31963</v>
      </c>
      <c r="E11370" s="11" t="s">
        <v>28</v>
      </c>
      <c r="F11370" s="10" t="s">
        <v>28</v>
      </c>
      <c r="G11370" s="10" t="s">
        <v>28</v>
      </c>
      <c r="H11370" s="10" t="s">
        <v>28</v>
      </c>
      <c r="I11370" s="11" t="s">
        <v>28</v>
      </c>
      <c r="J11370" s="11" t="s">
        <v>28</v>
      </c>
      <c r="K11370" s="11" t="s">
        <v>28</v>
      </c>
      <c r="L11370" s="11" t="s">
        <v>28</v>
      </c>
      <c r="M11370" s="11" t="s">
        <v>28</v>
      </c>
      <c r="N11370" s="8">
        <v>41123</v>
      </c>
      <c r="O11370" s="9" t="s">
        <v>99</v>
      </c>
      <c r="P11370" s="12" t="s">
        <v>31964</v>
      </c>
      <c r="Q11370" s="9" t="s">
        <v>3912</v>
      </c>
      <c r="R11370" s="14" t="str">
        <f>HYPERLINK("https://my.pitchbook.com?c=61569-73T","View Company Online")</f>
        <v>View Company Online</v>
      </c>
    </row>
    <row r="11371" spans="1:18" hidden="1" x14ac:dyDescent="0.3">
      <c r="A11371" s="15" t="s">
        <v>31965</v>
      </c>
      <c r="B11371" s="15" t="s">
        <v>26768</v>
      </c>
      <c r="C11371" s="18" t="s">
        <v>28</v>
      </c>
      <c r="D11371" s="15" t="s">
        <v>26769</v>
      </c>
      <c r="E11371" s="18" t="s">
        <v>28</v>
      </c>
      <c r="F11371" s="19" t="s">
        <v>28</v>
      </c>
      <c r="G11371" s="19" t="s">
        <v>28</v>
      </c>
      <c r="H11371" s="19" t="s">
        <v>28</v>
      </c>
      <c r="I11371" s="18" t="s">
        <v>28</v>
      </c>
      <c r="J11371" s="18" t="s">
        <v>28</v>
      </c>
      <c r="K11371" s="18" t="s">
        <v>28</v>
      </c>
      <c r="L11371" s="18" t="s">
        <v>28</v>
      </c>
      <c r="M11371" s="18" t="s">
        <v>28</v>
      </c>
      <c r="N11371" s="17">
        <v>41123</v>
      </c>
      <c r="O11371" s="15" t="s">
        <v>73</v>
      </c>
      <c r="P11371" s="16" t="s">
        <v>31966</v>
      </c>
      <c r="Q11371" s="15" t="s">
        <v>409</v>
      </c>
      <c r="R11371" s="13" t="str">
        <f>HYPERLINK("https://my.pitchbook.com?c=31514-05T","View Company Online")</f>
        <v>View Company Online</v>
      </c>
    </row>
    <row r="11372" spans="1:18" hidden="1" x14ac:dyDescent="0.3">
      <c r="A11372" s="9" t="s">
        <v>31967</v>
      </c>
      <c r="B11372" s="9" t="s">
        <v>31968</v>
      </c>
      <c r="C11372" s="11" t="s">
        <v>28</v>
      </c>
      <c r="D11372" s="9" t="s">
        <v>31969</v>
      </c>
      <c r="E11372" s="11" t="s">
        <v>28</v>
      </c>
      <c r="F11372" s="10">
        <v>9.85</v>
      </c>
      <c r="G11372" s="10">
        <v>9.85</v>
      </c>
      <c r="H11372" s="10">
        <v>9.85</v>
      </c>
      <c r="I11372" s="11" t="s">
        <v>28</v>
      </c>
      <c r="J11372" s="11" t="s">
        <v>28</v>
      </c>
      <c r="K11372" s="11" t="s">
        <v>28</v>
      </c>
      <c r="L11372" s="11" t="s">
        <v>28</v>
      </c>
      <c r="M11372" s="11" t="s">
        <v>28</v>
      </c>
      <c r="N11372" s="8">
        <v>41123</v>
      </c>
      <c r="O11372" s="9" t="s">
        <v>30</v>
      </c>
      <c r="P11372" s="12" t="s">
        <v>21227</v>
      </c>
      <c r="Q11372" s="9" t="s">
        <v>43</v>
      </c>
      <c r="R11372" s="14" t="str">
        <f>HYPERLINK("https://my.pitchbook.com?c=90151-75T","View Company Online")</f>
        <v>View Company Online</v>
      </c>
    </row>
    <row r="11373" spans="1:18" hidden="1" x14ac:dyDescent="0.3">
      <c r="A11373" s="15" t="s">
        <v>31970</v>
      </c>
      <c r="B11373" s="15" t="s">
        <v>26215</v>
      </c>
      <c r="C11373" s="18" t="s">
        <v>28</v>
      </c>
      <c r="D11373" s="15" t="s">
        <v>26216</v>
      </c>
      <c r="E11373" s="18" t="s">
        <v>28</v>
      </c>
      <c r="F11373" s="19" t="s">
        <v>28</v>
      </c>
      <c r="G11373" s="19" t="s">
        <v>28</v>
      </c>
      <c r="H11373" s="19" t="s">
        <v>28</v>
      </c>
      <c r="I11373" s="18" t="s">
        <v>28</v>
      </c>
      <c r="J11373" s="18" t="s">
        <v>28</v>
      </c>
      <c r="K11373" s="18" t="s">
        <v>28</v>
      </c>
      <c r="L11373" s="18" t="s">
        <v>28</v>
      </c>
      <c r="M11373" s="18" t="s">
        <v>28</v>
      </c>
      <c r="N11373" s="17">
        <v>41122</v>
      </c>
      <c r="O11373" s="15" t="s">
        <v>99</v>
      </c>
      <c r="P11373" s="16" t="s">
        <v>31971</v>
      </c>
      <c r="Q11373" s="15" t="s">
        <v>3912</v>
      </c>
      <c r="R11373" s="13" t="str">
        <f>HYPERLINK("https://my.pitchbook.com?c=36903-79T","View Company Online")</f>
        <v>View Company Online</v>
      </c>
    </row>
    <row r="11374" spans="1:18" hidden="1" x14ac:dyDescent="0.3">
      <c r="A11374" s="9" t="s">
        <v>31972</v>
      </c>
      <c r="B11374" s="9" t="s">
        <v>4953</v>
      </c>
      <c r="C11374" s="11" t="s">
        <v>28</v>
      </c>
      <c r="D11374" s="9" t="s">
        <v>20135</v>
      </c>
      <c r="E11374" s="11">
        <v>4064.8</v>
      </c>
      <c r="F11374" s="10" t="s">
        <v>28</v>
      </c>
      <c r="G11374" s="10" t="s">
        <v>28</v>
      </c>
      <c r="H11374" s="10" t="s">
        <v>28</v>
      </c>
      <c r="I11374" s="11">
        <v>5049.93</v>
      </c>
      <c r="J11374" s="11" t="s">
        <v>28</v>
      </c>
      <c r="K11374" s="11">
        <v>17668.98</v>
      </c>
      <c r="L11374" s="11" t="s">
        <v>28</v>
      </c>
      <c r="M11374" s="11">
        <v>2634.63</v>
      </c>
      <c r="N11374" s="8">
        <v>41122</v>
      </c>
      <c r="O11374" s="9" t="s">
        <v>159</v>
      </c>
      <c r="P11374" s="12" t="s">
        <v>31973</v>
      </c>
      <c r="Q11374" s="9" t="s">
        <v>348</v>
      </c>
      <c r="R11374" s="14" t="str">
        <f>HYPERLINK("https://my.pitchbook.com?c=93109-78T","View Company Online")</f>
        <v>View Company Online</v>
      </c>
    </row>
    <row r="11375" spans="1:18" hidden="1" x14ac:dyDescent="0.3">
      <c r="A11375" s="15" t="s">
        <v>31974</v>
      </c>
      <c r="B11375" s="15" t="s">
        <v>31975</v>
      </c>
      <c r="C11375" s="18" t="s">
        <v>28</v>
      </c>
      <c r="D11375" s="15" t="s">
        <v>31976</v>
      </c>
      <c r="E11375" s="18" t="s">
        <v>28</v>
      </c>
      <c r="F11375" s="19">
        <v>39</v>
      </c>
      <c r="G11375" s="19">
        <v>39</v>
      </c>
      <c r="H11375" s="19">
        <v>39</v>
      </c>
      <c r="I11375" s="18" t="s">
        <v>28</v>
      </c>
      <c r="J11375" s="18" t="s">
        <v>28</v>
      </c>
      <c r="K11375" s="18" t="s">
        <v>28</v>
      </c>
      <c r="L11375" s="18" t="s">
        <v>28</v>
      </c>
      <c r="M11375" s="18" t="s">
        <v>28</v>
      </c>
      <c r="N11375" s="17">
        <v>41122</v>
      </c>
      <c r="O11375" s="15" t="s">
        <v>30</v>
      </c>
      <c r="P11375" s="16" t="s">
        <v>31977</v>
      </c>
      <c r="Q11375" s="15" t="s">
        <v>414</v>
      </c>
      <c r="R11375" s="13" t="str">
        <f>HYPERLINK("https://my.pitchbook.com?c=71610-13T","View Company Online")</f>
        <v>View Company Online</v>
      </c>
    </row>
    <row r="11376" spans="1:18" hidden="1" x14ac:dyDescent="0.3">
      <c r="A11376" s="9" t="s">
        <v>31978</v>
      </c>
      <c r="B11376" s="9" t="s">
        <v>20992</v>
      </c>
      <c r="C11376" s="11" t="s">
        <v>28</v>
      </c>
      <c r="D11376" s="9" t="s">
        <v>20993</v>
      </c>
      <c r="E11376" s="11" t="s">
        <v>28</v>
      </c>
      <c r="F11376" s="10" t="s">
        <v>28</v>
      </c>
      <c r="G11376" s="10">
        <v>0.1</v>
      </c>
      <c r="H11376" s="10" t="s">
        <v>28</v>
      </c>
      <c r="I11376" s="11" t="s">
        <v>28</v>
      </c>
      <c r="J11376" s="11" t="s">
        <v>28</v>
      </c>
      <c r="K11376" s="11" t="s">
        <v>28</v>
      </c>
      <c r="L11376" s="11" t="s">
        <v>28</v>
      </c>
      <c r="M11376" s="11" t="s">
        <v>28</v>
      </c>
      <c r="N11376" s="8">
        <v>41122</v>
      </c>
      <c r="O11376" s="9" t="s">
        <v>379</v>
      </c>
      <c r="P11376" s="12" t="s">
        <v>31979</v>
      </c>
      <c r="Q11376" s="9" t="s">
        <v>583</v>
      </c>
      <c r="R11376" s="14" t="str">
        <f>HYPERLINK("https://my.pitchbook.com?c=65861-83T","View Company Online")</f>
        <v>View Company Online</v>
      </c>
    </row>
    <row r="11377" spans="1:18" hidden="1" x14ac:dyDescent="0.3">
      <c r="A11377" s="15" t="s">
        <v>31980</v>
      </c>
      <c r="B11377" s="15" t="s">
        <v>31981</v>
      </c>
      <c r="C11377" s="18" t="s">
        <v>28</v>
      </c>
      <c r="D11377" s="15" t="s">
        <v>31982</v>
      </c>
      <c r="E11377" s="18" t="s">
        <v>28</v>
      </c>
      <c r="F11377" s="19" t="s">
        <v>28</v>
      </c>
      <c r="G11377" s="19" t="s">
        <v>28</v>
      </c>
      <c r="H11377" s="19" t="s">
        <v>28</v>
      </c>
      <c r="I11377" s="18" t="s">
        <v>28</v>
      </c>
      <c r="J11377" s="18" t="s">
        <v>28</v>
      </c>
      <c r="K11377" s="18" t="s">
        <v>28</v>
      </c>
      <c r="L11377" s="18" t="s">
        <v>28</v>
      </c>
      <c r="M11377" s="18" t="s">
        <v>28</v>
      </c>
      <c r="N11377" s="17">
        <v>41122</v>
      </c>
      <c r="O11377" s="15" t="s">
        <v>79</v>
      </c>
      <c r="P11377" s="16" t="s">
        <v>31983</v>
      </c>
      <c r="Q11377" s="15" t="s">
        <v>1179</v>
      </c>
      <c r="R11377" s="13" t="str">
        <f>HYPERLINK("https://my.pitchbook.com?c=46632-16T","View Company Online")</f>
        <v>View Company Online</v>
      </c>
    </row>
    <row r="11378" spans="1:18" hidden="1" x14ac:dyDescent="0.3">
      <c r="A11378" s="9" t="s">
        <v>31984</v>
      </c>
      <c r="B11378" s="9" t="s">
        <v>31985</v>
      </c>
      <c r="C11378" s="11" t="s">
        <v>28</v>
      </c>
      <c r="D11378" s="9" t="s">
        <v>31986</v>
      </c>
      <c r="E11378" s="11" t="s">
        <v>28</v>
      </c>
      <c r="F11378" s="10">
        <v>3.07</v>
      </c>
      <c r="G11378" s="10">
        <v>3.07</v>
      </c>
      <c r="H11378" s="10">
        <v>3.07</v>
      </c>
      <c r="I11378" s="11" t="s">
        <v>28</v>
      </c>
      <c r="J11378" s="11" t="s">
        <v>28</v>
      </c>
      <c r="K11378" s="11" t="s">
        <v>28</v>
      </c>
      <c r="L11378" s="11" t="s">
        <v>28</v>
      </c>
      <c r="M11378" s="11" t="s">
        <v>28</v>
      </c>
      <c r="N11378" s="8">
        <v>41122</v>
      </c>
      <c r="O11378" s="9" t="s">
        <v>30</v>
      </c>
      <c r="P11378" s="12" t="s">
        <v>31987</v>
      </c>
      <c r="Q11378" s="9" t="s">
        <v>249</v>
      </c>
      <c r="R11378" s="14" t="str">
        <f>HYPERLINK("https://my.pitchbook.com?c=90065-71T","View Company Online")</f>
        <v>View Company Online</v>
      </c>
    </row>
    <row r="11379" spans="1:18" hidden="1" x14ac:dyDescent="0.3">
      <c r="A11379" s="15" t="s">
        <v>31988</v>
      </c>
      <c r="B11379" s="15" t="s">
        <v>455</v>
      </c>
      <c r="C11379" s="18" t="s">
        <v>28</v>
      </c>
      <c r="D11379" s="15" t="s">
        <v>456</v>
      </c>
      <c r="E11379" s="18" t="s">
        <v>28</v>
      </c>
      <c r="F11379" s="19" t="s">
        <v>28</v>
      </c>
      <c r="G11379" s="19">
        <v>0.5</v>
      </c>
      <c r="H11379" s="19" t="s">
        <v>28</v>
      </c>
      <c r="I11379" s="18" t="s">
        <v>28</v>
      </c>
      <c r="J11379" s="18" t="s">
        <v>28</v>
      </c>
      <c r="K11379" s="18" t="s">
        <v>28</v>
      </c>
      <c r="L11379" s="18" t="s">
        <v>28</v>
      </c>
      <c r="M11379" s="18" t="s">
        <v>28</v>
      </c>
      <c r="N11379" s="17">
        <v>41122</v>
      </c>
      <c r="O11379" s="15" t="s">
        <v>99</v>
      </c>
      <c r="P11379" s="16" t="s">
        <v>31989</v>
      </c>
      <c r="Q11379" s="15" t="s">
        <v>75</v>
      </c>
      <c r="R11379" s="13" t="str">
        <f>HYPERLINK("https://my.pitchbook.com?c=28580-32T","View Company Online")</f>
        <v>View Company Online</v>
      </c>
    </row>
    <row r="11380" spans="1:18" hidden="1" x14ac:dyDescent="0.3">
      <c r="A11380" s="9" t="s">
        <v>31990</v>
      </c>
      <c r="B11380" s="9" t="s">
        <v>31991</v>
      </c>
      <c r="C11380" s="11" t="s">
        <v>28</v>
      </c>
      <c r="D11380" s="9" t="s">
        <v>31992</v>
      </c>
      <c r="E11380" s="11" t="s">
        <v>28</v>
      </c>
      <c r="F11380" s="10" t="s">
        <v>28</v>
      </c>
      <c r="G11380" s="10" t="s">
        <v>28</v>
      </c>
      <c r="H11380" s="10" t="s">
        <v>28</v>
      </c>
      <c r="I11380" s="11" t="s">
        <v>28</v>
      </c>
      <c r="J11380" s="11" t="s">
        <v>28</v>
      </c>
      <c r="K11380" s="11" t="s">
        <v>28</v>
      </c>
      <c r="L11380" s="11" t="s">
        <v>28</v>
      </c>
      <c r="M11380" s="11" t="s">
        <v>28</v>
      </c>
      <c r="N11380" s="8">
        <v>41122</v>
      </c>
      <c r="O11380" s="9" t="s">
        <v>30</v>
      </c>
      <c r="P11380" s="12" t="s">
        <v>31993</v>
      </c>
      <c r="Q11380" s="9" t="s">
        <v>3048</v>
      </c>
      <c r="R11380" s="14" t="str">
        <f>HYPERLINK("https://my.pitchbook.com?c=90113-86T","View Company Online")</f>
        <v>View Company Online</v>
      </c>
    </row>
    <row r="11381" spans="1:18" hidden="1" x14ac:dyDescent="0.3">
      <c r="A11381" s="15" t="s">
        <v>31994</v>
      </c>
      <c r="B11381" s="15" t="s">
        <v>31995</v>
      </c>
      <c r="C11381" s="18" t="s">
        <v>28</v>
      </c>
      <c r="D11381" s="15" t="s">
        <v>31996</v>
      </c>
      <c r="E11381" s="18" t="s">
        <v>28</v>
      </c>
      <c r="F11381" s="19">
        <v>4.59</v>
      </c>
      <c r="G11381" s="19">
        <v>4.59</v>
      </c>
      <c r="H11381" s="19">
        <v>4.59</v>
      </c>
      <c r="I11381" s="18" t="s">
        <v>28</v>
      </c>
      <c r="J11381" s="18" t="s">
        <v>28</v>
      </c>
      <c r="K11381" s="18" t="s">
        <v>28</v>
      </c>
      <c r="L11381" s="18" t="s">
        <v>28</v>
      </c>
      <c r="M11381" s="18" t="s">
        <v>28</v>
      </c>
      <c r="N11381" s="17">
        <v>41122</v>
      </c>
      <c r="O11381" s="15" t="s">
        <v>30</v>
      </c>
      <c r="P11381" s="16" t="s">
        <v>2330</v>
      </c>
      <c r="Q11381" s="15" t="s">
        <v>43</v>
      </c>
      <c r="R11381" s="13" t="str">
        <f>HYPERLINK("https://my.pitchbook.com?c=90114-49T","View Company Online")</f>
        <v>View Company Online</v>
      </c>
    </row>
    <row r="11382" spans="1:18" hidden="1" x14ac:dyDescent="0.3">
      <c r="A11382" s="9" t="s">
        <v>31997</v>
      </c>
      <c r="B11382" s="9" t="s">
        <v>31998</v>
      </c>
      <c r="C11382" s="11" t="s">
        <v>28</v>
      </c>
      <c r="D11382" s="9" t="s">
        <v>31999</v>
      </c>
      <c r="E11382" s="11" t="s">
        <v>28</v>
      </c>
      <c r="F11382" s="10" t="s">
        <v>28</v>
      </c>
      <c r="G11382" s="10">
        <v>0.01</v>
      </c>
      <c r="H11382" s="10" t="s">
        <v>28</v>
      </c>
      <c r="I11382" s="11" t="s">
        <v>28</v>
      </c>
      <c r="J11382" s="11" t="s">
        <v>28</v>
      </c>
      <c r="K11382" s="11" t="s">
        <v>28</v>
      </c>
      <c r="L11382" s="11" t="s">
        <v>28</v>
      </c>
      <c r="M11382" s="11" t="s">
        <v>28</v>
      </c>
      <c r="N11382" s="8">
        <v>41122</v>
      </c>
      <c r="O11382" s="9" t="s">
        <v>52</v>
      </c>
      <c r="P11382" s="12" t="s">
        <v>32000</v>
      </c>
      <c r="Q11382" s="9" t="s">
        <v>3912</v>
      </c>
      <c r="R11382" s="14" t="str">
        <f>HYPERLINK("https://my.pitchbook.com?c=104931-19T","View Company Online")</f>
        <v>View Company Online</v>
      </c>
    </row>
    <row r="11383" spans="1:18" hidden="1" x14ac:dyDescent="0.3">
      <c r="A11383" s="15" t="s">
        <v>32001</v>
      </c>
      <c r="B11383" s="15" t="s">
        <v>32002</v>
      </c>
      <c r="C11383" s="18" t="s">
        <v>28</v>
      </c>
      <c r="D11383" s="15" t="s">
        <v>32003</v>
      </c>
      <c r="E11383" s="18" t="s">
        <v>28</v>
      </c>
      <c r="F11383" s="19" t="s">
        <v>28</v>
      </c>
      <c r="G11383" s="19" t="s">
        <v>28</v>
      </c>
      <c r="H11383" s="19" t="s">
        <v>28</v>
      </c>
      <c r="I11383" s="18" t="s">
        <v>28</v>
      </c>
      <c r="J11383" s="18" t="s">
        <v>28</v>
      </c>
      <c r="K11383" s="18" t="s">
        <v>28</v>
      </c>
      <c r="L11383" s="18" t="s">
        <v>28</v>
      </c>
      <c r="M11383" s="18" t="s">
        <v>28</v>
      </c>
      <c r="N11383" s="17">
        <v>41122</v>
      </c>
      <c r="O11383" s="15" t="s">
        <v>30</v>
      </c>
      <c r="P11383" s="16" t="s">
        <v>32004</v>
      </c>
      <c r="Q11383" s="15" t="s">
        <v>517</v>
      </c>
      <c r="R11383" s="13" t="str">
        <f>HYPERLINK("https://my.pitchbook.com?c=90176-77T","View Company Online")</f>
        <v>View Company Online</v>
      </c>
    </row>
    <row r="11384" spans="1:18" hidden="1" x14ac:dyDescent="0.3">
      <c r="A11384" s="9" t="s">
        <v>32005</v>
      </c>
      <c r="B11384" s="9" t="s">
        <v>25402</v>
      </c>
      <c r="C11384" s="11" t="s">
        <v>28</v>
      </c>
      <c r="D11384" s="9" t="s">
        <v>25403</v>
      </c>
      <c r="E11384" s="11" t="s">
        <v>28</v>
      </c>
      <c r="F11384" s="10" t="s">
        <v>28</v>
      </c>
      <c r="G11384" s="10">
        <v>3.7</v>
      </c>
      <c r="H11384" s="10">
        <v>14.94</v>
      </c>
      <c r="I11384" s="11" t="s">
        <v>28</v>
      </c>
      <c r="J11384" s="11" t="s">
        <v>28</v>
      </c>
      <c r="K11384" s="11" t="s">
        <v>28</v>
      </c>
      <c r="L11384" s="11" t="s">
        <v>28</v>
      </c>
      <c r="M11384" s="11" t="s">
        <v>28</v>
      </c>
      <c r="N11384" s="8">
        <v>41122</v>
      </c>
      <c r="O11384" s="9" t="s">
        <v>73</v>
      </c>
      <c r="P11384" s="12" t="s">
        <v>32006</v>
      </c>
      <c r="Q11384" s="9" t="s">
        <v>119</v>
      </c>
      <c r="R11384" s="14" t="str">
        <f>HYPERLINK("https://my.pitchbook.com?c=20909-26T","View Company Online")</f>
        <v>View Company Online</v>
      </c>
    </row>
    <row r="11385" spans="1:18" hidden="1" x14ac:dyDescent="0.3">
      <c r="A11385" s="15" t="s">
        <v>32007</v>
      </c>
      <c r="B11385" s="15" t="s">
        <v>32008</v>
      </c>
      <c r="C11385" s="18" t="s">
        <v>28</v>
      </c>
      <c r="D11385" s="15" t="s">
        <v>32009</v>
      </c>
      <c r="E11385" s="18" t="s">
        <v>28</v>
      </c>
      <c r="F11385" s="19">
        <v>938.5</v>
      </c>
      <c r="G11385" s="19">
        <v>938.5</v>
      </c>
      <c r="H11385" s="19">
        <v>938.5</v>
      </c>
      <c r="I11385" s="18" t="s">
        <v>28</v>
      </c>
      <c r="J11385" s="18" t="s">
        <v>28</v>
      </c>
      <c r="K11385" s="18" t="s">
        <v>28</v>
      </c>
      <c r="L11385" s="18" t="s">
        <v>28</v>
      </c>
      <c r="M11385" s="18" t="s">
        <v>28</v>
      </c>
      <c r="N11385" s="17">
        <v>41122</v>
      </c>
      <c r="O11385" s="15" t="s">
        <v>30</v>
      </c>
      <c r="P11385" s="16" t="s">
        <v>27070</v>
      </c>
      <c r="Q11385" s="15" t="s">
        <v>136</v>
      </c>
      <c r="R11385" s="13" t="str">
        <f>HYPERLINK("https://my.pitchbook.com?c=70018-03T","View Company Online")</f>
        <v>View Company Online</v>
      </c>
    </row>
    <row r="11386" spans="1:18" hidden="1" x14ac:dyDescent="0.3">
      <c r="A11386" s="9" t="s">
        <v>32010</v>
      </c>
      <c r="B11386" s="9" t="s">
        <v>27152</v>
      </c>
      <c r="C11386" s="11" t="s">
        <v>28</v>
      </c>
      <c r="D11386" s="9" t="s">
        <v>27153</v>
      </c>
      <c r="E11386" s="11" t="s">
        <v>28</v>
      </c>
      <c r="F11386" s="10" t="s">
        <v>28</v>
      </c>
      <c r="G11386" s="10">
        <v>49.23</v>
      </c>
      <c r="H11386" s="10">
        <v>102.02</v>
      </c>
      <c r="I11386" s="11" t="s">
        <v>28</v>
      </c>
      <c r="J11386" s="11" t="s">
        <v>28</v>
      </c>
      <c r="K11386" s="11" t="s">
        <v>28</v>
      </c>
      <c r="L11386" s="11" t="s">
        <v>28</v>
      </c>
      <c r="M11386" s="11" t="s">
        <v>28</v>
      </c>
      <c r="N11386" s="8">
        <v>41121</v>
      </c>
      <c r="O11386" s="9" t="s">
        <v>93</v>
      </c>
      <c r="P11386" s="12" t="s">
        <v>32011</v>
      </c>
      <c r="Q11386" s="9" t="s">
        <v>18018</v>
      </c>
      <c r="R11386" s="14" t="str">
        <f>HYPERLINK("https://my.pitchbook.com?c=30213-91T","View Company Online")</f>
        <v>View Company Online</v>
      </c>
    </row>
    <row r="11387" spans="1:18" hidden="1" x14ac:dyDescent="0.3">
      <c r="A11387" s="15" t="s">
        <v>32012</v>
      </c>
      <c r="B11387" s="15" t="s">
        <v>32013</v>
      </c>
      <c r="C11387" s="18" t="s">
        <v>28</v>
      </c>
      <c r="D11387" s="15" t="s">
        <v>32014</v>
      </c>
      <c r="E11387" s="18" t="s">
        <v>28</v>
      </c>
      <c r="F11387" s="19" t="s">
        <v>28</v>
      </c>
      <c r="G11387" s="19" t="s">
        <v>28</v>
      </c>
      <c r="H11387" s="19" t="s">
        <v>28</v>
      </c>
      <c r="I11387" s="18" t="s">
        <v>28</v>
      </c>
      <c r="J11387" s="18" t="s">
        <v>28</v>
      </c>
      <c r="K11387" s="18" t="s">
        <v>28</v>
      </c>
      <c r="L11387" s="18" t="s">
        <v>28</v>
      </c>
      <c r="M11387" s="18" t="s">
        <v>28</v>
      </c>
      <c r="N11387" s="17">
        <v>41121</v>
      </c>
      <c r="O11387" s="15" t="s">
        <v>73</v>
      </c>
      <c r="P11387" s="16" t="s">
        <v>32015</v>
      </c>
      <c r="Q11387" s="15" t="s">
        <v>740</v>
      </c>
      <c r="R11387" s="13" t="str">
        <f>HYPERLINK("https://my.pitchbook.com?c=28582-93T","View Company Online")</f>
        <v>View Company Online</v>
      </c>
    </row>
    <row r="11388" spans="1:18" hidden="1" x14ac:dyDescent="0.3">
      <c r="A11388" s="9" t="s">
        <v>32016</v>
      </c>
      <c r="B11388" s="9" t="s">
        <v>32017</v>
      </c>
      <c r="C11388" s="11" t="s">
        <v>28</v>
      </c>
      <c r="D11388" s="9" t="s">
        <v>32018</v>
      </c>
      <c r="E11388" s="11" t="s">
        <v>28</v>
      </c>
      <c r="F11388" s="10">
        <v>12.21</v>
      </c>
      <c r="G11388" s="10">
        <v>12.21</v>
      </c>
      <c r="H11388" s="10">
        <v>12.21</v>
      </c>
      <c r="I11388" s="11" t="s">
        <v>28</v>
      </c>
      <c r="J11388" s="11" t="s">
        <v>28</v>
      </c>
      <c r="K11388" s="11" t="s">
        <v>28</v>
      </c>
      <c r="L11388" s="11" t="s">
        <v>28</v>
      </c>
      <c r="M11388" s="11" t="s">
        <v>28</v>
      </c>
      <c r="N11388" s="8">
        <v>41121</v>
      </c>
      <c r="O11388" s="9" t="s">
        <v>30</v>
      </c>
      <c r="P11388" s="12" t="s">
        <v>7572</v>
      </c>
      <c r="Q11388" s="9" t="s">
        <v>119</v>
      </c>
      <c r="R11388" s="14" t="str">
        <f>HYPERLINK("https://my.pitchbook.com?c=75021-58T","View Company Online")</f>
        <v>View Company Online</v>
      </c>
    </row>
    <row r="11389" spans="1:18" hidden="1" x14ac:dyDescent="0.3">
      <c r="A11389" s="15" t="s">
        <v>32019</v>
      </c>
      <c r="B11389" s="15" t="s">
        <v>32020</v>
      </c>
      <c r="C11389" s="18" t="s">
        <v>28</v>
      </c>
      <c r="D11389" s="15" t="s">
        <v>32021</v>
      </c>
      <c r="E11389" s="18" t="s">
        <v>28</v>
      </c>
      <c r="F11389" s="19" t="s">
        <v>28</v>
      </c>
      <c r="G11389" s="19" t="s">
        <v>28</v>
      </c>
      <c r="H11389" s="19" t="s">
        <v>28</v>
      </c>
      <c r="I11389" s="18" t="s">
        <v>28</v>
      </c>
      <c r="J11389" s="18" t="s">
        <v>28</v>
      </c>
      <c r="K11389" s="18" t="s">
        <v>28</v>
      </c>
      <c r="L11389" s="18" t="s">
        <v>28</v>
      </c>
      <c r="M11389" s="18" t="s">
        <v>28</v>
      </c>
      <c r="N11389" s="17">
        <v>41121</v>
      </c>
      <c r="O11389" s="15" t="s">
        <v>30</v>
      </c>
      <c r="P11389" s="16" t="s">
        <v>32022</v>
      </c>
      <c r="Q11389" s="15" t="s">
        <v>188</v>
      </c>
      <c r="R11389" s="13" t="str">
        <f>HYPERLINK("https://my.pitchbook.com?c=86193-37T","View Company Online")</f>
        <v>View Company Online</v>
      </c>
    </row>
    <row r="11390" spans="1:18" hidden="1" x14ac:dyDescent="0.3">
      <c r="A11390" s="9" t="s">
        <v>32023</v>
      </c>
      <c r="B11390" s="9" t="s">
        <v>32024</v>
      </c>
      <c r="C11390" s="11" t="s">
        <v>28</v>
      </c>
      <c r="D11390" s="9" t="s">
        <v>32025</v>
      </c>
      <c r="E11390" s="11" t="s">
        <v>28</v>
      </c>
      <c r="F11390" s="10">
        <v>4.4400000000000004</v>
      </c>
      <c r="G11390" s="10">
        <v>4.4400000000000004</v>
      </c>
      <c r="H11390" s="10">
        <v>4.4400000000000004</v>
      </c>
      <c r="I11390" s="11" t="s">
        <v>28</v>
      </c>
      <c r="J11390" s="11" t="s">
        <v>28</v>
      </c>
      <c r="K11390" s="11">
        <v>15</v>
      </c>
      <c r="L11390" s="11">
        <v>0.3</v>
      </c>
      <c r="M11390" s="11" t="s">
        <v>28</v>
      </c>
      <c r="N11390" s="8">
        <v>41121</v>
      </c>
      <c r="O11390" s="9" t="s">
        <v>30</v>
      </c>
      <c r="P11390" s="12" t="s">
        <v>32026</v>
      </c>
      <c r="Q11390" s="9" t="s">
        <v>5347</v>
      </c>
      <c r="R11390" s="14" t="str">
        <f>HYPERLINK("https://my.pitchbook.com?c=90164-62T","View Company Online")</f>
        <v>View Company Online</v>
      </c>
    </row>
    <row r="11391" spans="1:18" hidden="1" x14ac:dyDescent="0.3">
      <c r="A11391" s="15" t="s">
        <v>32027</v>
      </c>
      <c r="B11391" s="15" t="s">
        <v>32028</v>
      </c>
      <c r="C11391" s="18" t="s">
        <v>28</v>
      </c>
      <c r="D11391" s="15" t="s">
        <v>32029</v>
      </c>
      <c r="E11391" s="18" t="s">
        <v>28</v>
      </c>
      <c r="F11391" s="19" t="s">
        <v>28</v>
      </c>
      <c r="G11391" s="19" t="s">
        <v>28</v>
      </c>
      <c r="H11391" s="19" t="s">
        <v>28</v>
      </c>
      <c r="I11391" s="18" t="s">
        <v>28</v>
      </c>
      <c r="J11391" s="18" t="s">
        <v>28</v>
      </c>
      <c r="K11391" s="18" t="s">
        <v>28</v>
      </c>
      <c r="L11391" s="18" t="s">
        <v>28</v>
      </c>
      <c r="M11391" s="18" t="s">
        <v>28</v>
      </c>
      <c r="N11391" s="17">
        <v>41120</v>
      </c>
      <c r="O11391" s="15" t="s">
        <v>58</v>
      </c>
      <c r="P11391" s="16" t="s">
        <v>32030</v>
      </c>
      <c r="Q11391" s="15" t="s">
        <v>245</v>
      </c>
      <c r="R11391" s="13" t="str">
        <f>HYPERLINK("https://my.pitchbook.com?c=22196-08T","View Company Online")</f>
        <v>View Company Online</v>
      </c>
    </row>
    <row r="11392" spans="1:18" hidden="1" x14ac:dyDescent="0.3">
      <c r="A11392" s="9" t="s">
        <v>32031</v>
      </c>
      <c r="B11392" s="9" t="s">
        <v>32032</v>
      </c>
      <c r="C11392" s="11" t="s">
        <v>28</v>
      </c>
      <c r="D11392" s="9" t="s">
        <v>32033</v>
      </c>
      <c r="E11392" s="11" t="s">
        <v>28</v>
      </c>
      <c r="F11392" s="10" t="s">
        <v>28</v>
      </c>
      <c r="G11392" s="10" t="s">
        <v>28</v>
      </c>
      <c r="H11392" s="10" t="s">
        <v>28</v>
      </c>
      <c r="I11392" s="11" t="s">
        <v>28</v>
      </c>
      <c r="J11392" s="11" t="s">
        <v>28</v>
      </c>
      <c r="K11392" s="11" t="s">
        <v>28</v>
      </c>
      <c r="L11392" s="11" t="s">
        <v>28</v>
      </c>
      <c r="M11392" s="11" t="s">
        <v>28</v>
      </c>
      <c r="N11392" s="8">
        <v>41120</v>
      </c>
      <c r="O11392" s="9" t="s">
        <v>30</v>
      </c>
      <c r="P11392" s="12" t="s">
        <v>32034</v>
      </c>
      <c r="Q11392" s="9" t="s">
        <v>517</v>
      </c>
      <c r="R11392" s="14" t="str">
        <f>HYPERLINK("https://my.pitchbook.com?c=71666-65T","View Company Online")</f>
        <v>View Company Online</v>
      </c>
    </row>
    <row r="11393" spans="1:18" hidden="1" x14ac:dyDescent="0.3">
      <c r="A11393" s="15" t="s">
        <v>32035</v>
      </c>
      <c r="B11393" s="15" t="s">
        <v>24970</v>
      </c>
      <c r="C11393" s="18" t="s">
        <v>28</v>
      </c>
      <c r="D11393" s="15" t="s">
        <v>24971</v>
      </c>
      <c r="E11393" s="18" t="s">
        <v>28</v>
      </c>
      <c r="F11393" s="19">
        <v>80.92</v>
      </c>
      <c r="G11393" s="19">
        <v>56.65</v>
      </c>
      <c r="H11393" s="19">
        <v>80.930000000000007</v>
      </c>
      <c r="I11393" s="18" t="s">
        <v>28</v>
      </c>
      <c r="J11393" s="18" t="s">
        <v>28</v>
      </c>
      <c r="K11393" s="18" t="s">
        <v>28</v>
      </c>
      <c r="L11393" s="18" t="s">
        <v>28</v>
      </c>
      <c r="M11393" s="18" t="s">
        <v>28</v>
      </c>
      <c r="N11393" s="17">
        <v>41117</v>
      </c>
      <c r="O11393" s="15" t="s">
        <v>41</v>
      </c>
      <c r="P11393" s="16" t="s">
        <v>32036</v>
      </c>
      <c r="Q11393" s="15" t="s">
        <v>169</v>
      </c>
      <c r="R11393" s="13" t="str">
        <f>HYPERLINK("https://my.pitchbook.com?c=58859-11T","View Company Online")</f>
        <v>View Company Online</v>
      </c>
    </row>
    <row r="11394" spans="1:18" hidden="1" x14ac:dyDescent="0.3">
      <c r="A11394" s="9" t="s">
        <v>32037</v>
      </c>
      <c r="B11394" s="9" t="s">
        <v>32038</v>
      </c>
      <c r="C11394" s="11" t="s">
        <v>28</v>
      </c>
      <c r="D11394" s="9" t="s">
        <v>32039</v>
      </c>
      <c r="E11394" s="11" t="s">
        <v>28</v>
      </c>
      <c r="F11394" s="10" t="s">
        <v>28</v>
      </c>
      <c r="G11394" s="10" t="s">
        <v>28</v>
      </c>
      <c r="H11394" s="10" t="s">
        <v>28</v>
      </c>
      <c r="I11394" s="11" t="s">
        <v>28</v>
      </c>
      <c r="J11394" s="11" t="s">
        <v>28</v>
      </c>
      <c r="K11394" s="11" t="s">
        <v>28</v>
      </c>
      <c r="L11394" s="11" t="s">
        <v>28</v>
      </c>
      <c r="M11394" s="11" t="s">
        <v>28</v>
      </c>
      <c r="N11394" s="8">
        <v>41116</v>
      </c>
      <c r="O11394" s="9" t="s">
        <v>93</v>
      </c>
      <c r="P11394" s="12" t="s">
        <v>32040</v>
      </c>
      <c r="Q11394" s="9" t="s">
        <v>169</v>
      </c>
      <c r="R11394" s="14" t="str">
        <f>HYPERLINK("https://my.pitchbook.com?c=33827-14T","View Company Online")</f>
        <v>View Company Online</v>
      </c>
    </row>
    <row r="11395" spans="1:18" hidden="1" x14ac:dyDescent="0.3">
      <c r="A11395" s="15" t="s">
        <v>32041</v>
      </c>
      <c r="B11395" s="15" t="s">
        <v>32042</v>
      </c>
      <c r="C11395" s="18" t="s">
        <v>28</v>
      </c>
      <c r="D11395" s="15" t="s">
        <v>32043</v>
      </c>
      <c r="E11395" s="18" t="s">
        <v>28</v>
      </c>
      <c r="F11395" s="19">
        <v>10.119999999999999</v>
      </c>
      <c r="G11395" s="19">
        <v>10.119999999999999</v>
      </c>
      <c r="H11395" s="19">
        <v>10.119999999999999</v>
      </c>
      <c r="I11395" s="18" t="s">
        <v>28</v>
      </c>
      <c r="J11395" s="18" t="s">
        <v>28</v>
      </c>
      <c r="K11395" s="18" t="s">
        <v>28</v>
      </c>
      <c r="L11395" s="18" t="s">
        <v>28</v>
      </c>
      <c r="M11395" s="18" t="s">
        <v>28</v>
      </c>
      <c r="N11395" s="17">
        <v>41115</v>
      </c>
      <c r="O11395" s="15" t="s">
        <v>30</v>
      </c>
      <c r="P11395" s="16" t="s">
        <v>32044</v>
      </c>
      <c r="Q11395" s="15" t="s">
        <v>409</v>
      </c>
      <c r="R11395" s="13" t="str">
        <f>HYPERLINK("https://my.pitchbook.com?c=90134-02T","View Company Online")</f>
        <v>View Company Online</v>
      </c>
    </row>
    <row r="11396" spans="1:18" hidden="1" x14ac:dyDescent="0.3">
      <c r="A11396" s="9" t="s">
        <v>32045</v>
      </c>
      <c r="B11396" s="9" t="s">
        <v>32046</v>
      </c>
      <c r="C11396" s="11" t="s">
        <v>28</v>
      </c>
      <c r="D11396" s="9" t="s">
        <v>32047</v>
      </c>
      <c r="E11396" s="11" t="s">
        <v>28</v>
      </c>
      <c r="F11396" s="10" t="s">
        <v>28</v>
      </c>
      <c r="G11396" s="10" t="s">
        <v>28</v>
      </c>
      <c r="H11396" s="10" t="s">
        <v>28</v>
      </c>
      <c r="I11396" s="11" t="s">
        <v>28</v>
      </c>
      <c r="J11396" s="11" t="s">
        <v>28</v>
      </c>
      <c r="K11396" s="11" t="s">
        <v>28</v>
      </c>
      <c r="L11396" s="11" t="s">
        <v>28</v>
      </c>
      <c r="M11396" s="11" t="s">
        <v>28</v>
      </c>
      <c r="N11396" s="8">
        <v>41115</v>
      </c>
      <c r="O11396" s="9" t="s">
        <v>30</v>
      </c>
      <c r="P11396" s="12" t="s">
        <v>32048</v>
      </c>
      <c r="Q11396" s="9" t="s">
        <v>1643</v>
      </c>
      <c r="R11396" s="14" t="str">
        <f>HYPERLINK("https://my.pitchbook.com?c=86599-72T","View Company Online")</f>
        <v>View Company Online</v>
      </c>
    </row>
    <row r="11397" spans="1:18" hidden="1" x14ac:dyDescent="0.3">
      <c r="A11397" s="15" t="s">
        <v>32049</v>
      </c>
      <c r="B11397" s="15" t="s">
        <v>32050</v>
      </c>
      <c r="C11397" s="18" t="s">
        <v>28</v>
      </c>
      <c r="D11397" s="15" t="s">
        <v>32051</v>
      </c>
      <c r="E11397" s="18" t="s">
        <v>28</v>
      </c>
      <c r="F11397" s="19" t="s">
        <v>28</v>
      </c>
      <c r="G11397" s="19" t="s">
        <v>28</v>
      </c>
      <c r="H11397" s="19" t="s">
        <v>28</v>
      </c>
      <c r="I11397" s="18" t="s">
        <v>28</v>
      </c>
      <c r="J11397" s="18" t="s">
        <v>28</v>
      </c>
      <c r="K11397" s="18" t="s">
        <v>28</v>
      </c>
      <c r="L11397" s="18" t="s">
        <v>28</v>
      </c>
      <c r="M11397" s="18" t="s">
        <v>28</v>
      </c>
      <c r="N11397" s="17">
        <v>41114</v>
      </c>
      <c r="O11397" s="15" t="s">
        <v>30</v>
      </c>
      <c r="P11397" s="16" t="s">
        <v>32048</v>
      </c>
      <c r="Q11397" s="15" t="s">
        <v>1643</v>
      </c>
      <c r="R11397" s="13" t="str">
        <f>HYPERLINK("https://my.pitchbook.com?c=90176-23T","View Company Online")</f>
        <v>View Company Online</v>
      </c>
    </row>
    <row r="11398" spans="1:18" hidden="1" x14ac:dyDescent="0.3">
      <c r="A11398" s="9" t="s">
        <v>32052</v>
      </c>
      <c r="B11398" s="9" t="s">
        <v>29559</v>
      </c>
      <c r="C11398" s="11" t="s">
        <v>28</v>
      </c>
      <c r="D11398" s="9" t="s">
        <v>29560</v>
      </c>
      <c r="E11398" s="11" t="s">
        <v>28</v>
      </c>
      <c r="F11398" s="10" t="s">
        <v>28</v>
      </c>
      <c r="G11398" s="10" t="s">
        <v>28</v>
      </c>
      <c r="H11398" s="10" t="s">
        <v>28</v>
      </c>
      <c r="I11398" s="11" t="s">
        <v>28</v>
      </c>
      <c r="J11398" s="11" t="s">
        <v>28</v>
      </c>
      <c r="K11398" s="11" t="s">
        <v>28</v>
      </c>
      <c r="L11398" s="11" t="s">
        <v>28</v>
      </c>
      <c r="M11398" s="11" t="s">
        <v>28</v>
      </c>
      <c r="N11398" s="8">
        <v>41113</v>
      </c>
      <c r="O11398" s="9" t="s">
        <v>30</v>
      </c>
      <c r="P11398" s="12" t="s">
        <v>29396</v>
      </c>
      <c r="Q11398" s="9" t="s">
        <v>409</v>
      </c>
      <c r="R11398" s="14" t="str">
        <f>HYPERLINK("https://my.pitchbook.com?c=44555-95T","View Company Online")</f>
        <v>View Company Online</v>
      </c>
    </row>
    <row r="11399" spans="1:18" hidden="1" x14ac:dyDescent="0.3">
      <c r="A11399" s="15" t="s">
        <v>32053</v>
      </c>
      <c r="B11399" s="15" t="s">
        <v>32054</v>
      </c>
      <c r="C11399" s="18" t="s">
        <v>28</v>
      </c>
      <c r="D11399" s="15" t="s">
        <v>32055</v>
      </c>
      <c r="E11399" s="18" t="s">
        <v>28</v>
      </c>
      <c r="F11399" s="19">
        <v>31.34</v>
      </c>
      <c r="G11399" s="19">
        <v>15.98</v>
      </c>
      <c r="H11399" s="19">
        <v>31.34</v>
      </c>
      <c r="I11399" s="18" t="s">
        <v>28</v>
      </c>
      <c r="J11399" s="18" t="s">
        <v>28</v>
      </c>
      <c r="K11399" s="18" t="s">
        <v>28</v>
      </c>
      <c r="L11399" s="18" t="s">
        <v>28</v>
      </c>
      <c r="M11399" s="18" t="s">
        <v>28</v>
      </c>
      <c r="N11399" s="17">
        <v>41110</v>
      </c>
      <c r="O11399" s="15" t="s">
        <v>30</v>
      </c>
      <c r="P11399" s="16" t="s">
        <v>12054</v>
      </c>
      <c r="Q11399" s="15" t="s">
        <v>43</v>
      </c>
      <c r="R11399" s="13" t="str">
        <f>HYPERLINK("https://my.pitchbook.com?c=90100-72T","View Company Online")</f>
        <v>View Company Online</v>
      </c>
    </row>
    <row r="11400" spans="1:18" hidden="1" x14ac:dyDescent="0.3">
      <c r="A11400" s="9" t="s">
        <v>32056</v>
      </c>
      <c r="B11400" s="9" t="s">
        <v>29300</v>
      </c>
      <c r="C11400" s="11" t="s">
        <v>28</v>
      </c>
      <c r="D11400" s="9" t="s">
        <v>29301</v>
      </c>
      <c r="E11400" s="11" t="s">
        <v>28</v>
      </c>
      <c r="F11400" s="10" t="s">
        <v>28</v>
      </c>
      <c r="G11400" s="10">
        <v>16.7</v>
      </c>
      <c r="H11400" s="10" t="s">
        <v>28</v>
      </c>
      <c r="I11400" s="11" t="s">
        <v>28</v>
      </c>
      <c r="J11400" s="11" t="s">
        <v>28</v>
      </c>
      <c r="K11400" s="11" t="s">
        <v>28</v>
      </c>
      <c r="L11400" s="11" t="s">
        <v>28</v>
      </c>
      <c r="M11400" s="11" t="s">
        <v>28</v>
      </c>
      <c r="N11400" s="8">
        <v>41109</v>
      </c>
      <c r="O11400" s="9" t="s">
        <v>73</v>
      </c>
      <c r="P11400" s="12" t="s">
        <v>32057</v>
      </c>
      <c r="Q11400" s="9" t="s">
        <v>740</v>
      </c>
      <c r="R11400" s="14" t="str">
        <f>HYPERLINK("https://my.pitchbook.com?c=21925-45T","View Company Online")</f>
        <v>View Company Online</v>
      </c>
    </row>
    <row r="11401" spans="1:18" x14ac:dyDescent="0.3">
      <c r="A11401" s="15" t="s">
        <v>32058</v>
      </c>
      <c r="B11401" s="15" t="s">
        <v>32059</v>
      </c>
      <c r="C11401" s="18">
        <v>43.24</v>
      </c>
      <c r="D11401" s="15" t="s">
        <v>32060</v>
      </c>
      <c r="E11401" s="18">
        <v>13.78</v>
      </c>
      <c r="F11401" s="19">
        <v>653.5</v>
      </c>
      <c r="G11401" s="19">
        <v>653.5</v>
      </c>
      <c r="H11401" s="19">
        <v>653.5</v>
      </c>
      <c r="I11401" s="18">
        <v>15.11</v>
      </c>
      <c r="J11401" s="18">
        <v>43.24</v>
      </c>
      <c r="K11401" s="18">
        <v>185.11</v>
      </c>
      <c r="L11401" s="18">
        <v>3.53</v>
      </c>
      <c r="M11401" s="18">
        <v>14.32</v>
      </c>
      <c r="N11401" s="17">
        <v>41109</v>
      </c>
      <c r="O11401" s="15" t="s">
        <v>30</v>
      </c>
      <c r="P11401" s="16" t="s">
        <v>32061</v>
      </c>
      <c r="Q11401" s="15" t="s">
        <v>1336</v>
      </c>
      <c r="R11401" s="13" t="str">
        <f>HYPERLINK("https://my.pitchbook.com?c=23023-54T","View Company Online")</f>
        <v>View Company Online</v>
      </c>
    </row>
    <row r="11402" spans="1:18" hidden="1" x14ac:dyDescent="0.3">
      <c r="A11402" s="9" t="s">
        <v>32062</v>
      </c>
      <c r="B11402" s="9" t="s">
        <v>32063</v>
      </c>
      <c r="C11402" s="11" t="s">
        <v>28</v>
      </c>
      <c r="D11402" s="9" t="s">
        <v>32064</v>
      </c>
      <c r="E11402" s="11" t="s">
        <v>28</v>
      </c>
      <c r="F11402" s="10" t="s">
        <v>28</v>
      </c>
      <c r="G11402" s="10" t="s">
        <v>28</v>
      </c>
      <c r="H11402" s="10" t="s">
        <v>28</v>
      </c>
      <c r="I11402" s="11" t="s">
        <v>28</v>
      </c>
      <c r="J11402" s="11" t="s">
        <v>28</v>
      </c>
      <c r="K11402" s="11" t="s">
        <v>28</v>
      </c>
      <c r="L11402" s="11" t="s">
        <v>28</v>
      </c>
      <c r="M11402" s="11" t="s">
        <v>28</v>
      </c>
      <c r="N11402" s="8">
        <v>41107</v>
      </c>
      <c r="O11402" s="9" t="s">
        <v>173</v>
      </c>
      <c r="P11402" s="12" t="s">
        <v>28</v>
      </c>
      <c r="Q11402" s="9" t="s">
        <v>174</v>
      </c>
      <c r="R11402" s="14" t="str">
        <f>HYPERLINK("https://my.pitchbook.com?c=224027-83T","View Company Online")</f>
        <v>View Company Online</v>
      </c>
    </row>
    <row r="11403" spans="1:18" hidden="1" x14ac:dyDescent="0.3">
      <c r="A11403" s="15" t="s">
        <v>32065</v>
      </c>
      <c r="B11403" s="15" t="s">
        <v>11630</v>
      </c>
      <c r="C11403" s="18" t="s">
        <v>28</v>
      </c>
      <c r="D11403" s="15" t="s">
        <v>20815</v>
      </c>
      <c r="E11403" s="18">
        <v>-1361.47</v>
      </c>
      <c r="F11403" s="19" t="s">
        <v>28</v>
      </c>
      <c r="G11403" s="19">
        <v>250</v>
      </c>
      <c r="H11403" s="19" t="s">
        <v>28</v>
      </c>
      <c r="I11403" s="18">
        <v>-347.57</v>
      </c>
      <c r="J11403" s="18" t="s">
        <v>28</v>
      </c>
      <c r="K11403" s="18">
        <v>19091.560000000001</v>
      </c>
      <c r="L11403" s="18" t="s">
        <v>28</v>
      </c>
      <c r="M11403" s="18">
        <v>-1165.47</v>
      </c>
      <c r="N11403" s="17">
        <v>41103</v>
      </c>
      <c r="O11403" s="15" t="s">
        <v>159</v>
      </c>
      <c r="P11403" s="16" t="s">
        <v>28</v>
      </c>
      <c r="Q11403" s="15" t="s">
        <v>331</v>
      </c>
      <c r="R11403" s="13" t="str">
        <f>HYPERLINK("https://my.pitchbook.com?c=96511-24T","View Company Online")</f>
        <v>View Company Online</v>
      </c>
    </row>
    <row r="11404" spans="1:18" hidden="1" x14ac:dyDescent="0.3">
      <c r="A11404" s="9" t="s">
        <v>32066</v>
      </c>
      <c r="B11404" s="9" t="s">
        <v>16423</v>
      </c>
      <c r="C11404" s="11" t="s">
        <v>28</v>
      </c>
      <c r="D11404" s="9" t="s">
        <v>16424</v>
      </c>
      <c r="E11404" s="11" t="s">
        <v>28</v>
      </c>
      <c r="F11404" s="10" t="s">
        <v>28</v>
      </c>
      <c r="G11404" s="10">
        <v>16.72</v>
      </c>
      <c r="H11404" s="10" t="s">
        <v>28</v>
      </c>
      <c r="I11404" s="11" t="s">
        <v>28</v>
      </c>
      <c r="J11404" s="11" t="s">
        <v>28</v>
      </c>
      <c r="K11404" s="11" t="s">
        <v>28</v>
      </c>
      <c r="L11404" s="11" t="s">
        <v>28</v>
      </c>
      <c r="M11404" s="11" t="s">
        <v>28</v>
      </c>
      <c r="N11404" s="8">
        <v>41102</v>
      </c>
      <c r="O11404" s="9" t="s">
        <v>73</v>
      </c>
      <c r="P11404" s="12" t="s">
        <v>32067</v>
      </c>
      <c r="Q11404" s="9" t="s">
        <v>409</v>
      </c>
      <c r="R11404" s="14" t="str">
        <f>HYPERLINK("https://my.pitchbook.com?c=28583-11T","View Company Online")</f>
        <v>View Company Online</v>
      </c>
    </row>
    <row r="11405" spans="1:18" hidden="1" x14ac:dyDescent="0.3">
      <c r="A11405" s="15" t="s">
        <v>32068</v>
      </c>
      <c r="B11405" s="15" t="s">
        <v>22005</v>
      </c>
      <c r="C11405" s="18" t="s">
        <v>28</v>
      </c>
      <c r="D11405" s="15" t="s">
        <v>22006</v>
      </c>
      <c r="E11405" s="18">
        <v>-39.950000000000003</v>
      </c>
      <c r="F11405" s="19" t="s">
        <v>28</v>
      </c>
      <c r="G11405" s="19" t="s">
        <v>28</v>
      </c>
      <c r="H11405" s="19" t="s">
        <v>28</v>
      </c>
      <c r="I11405" s="18" t="s">
        <v>28</v>
      </c>
      <c r="J11405" s="18" t="s">
        <v>28</v>
      </c>
      <c r="K11405" s="18">
        <v>144.19</v>
      </c>
      <c r="L11405" s="18" t="s">
        <v>28</v>
      </c>
      <c r="M11405" s="18">
        <v>-45.51</v>
      </c>
      <c r="N11405" s="17">
        <v>41101</v>
      </c>
      <c r="O11405" s="15" t="s">
        <v>974</v>
      </c>
      <c r="P11405" s="16" t="s">
        <v>28</v>
      </c>
      <c r="Q11405" s="15" t="s">
        <v>64</v>
      </c>
      <c r="R11405" s="13" t="str">
        <f>HYPERLINK("https://my.pitchbook.com?c=21883-60T","View Company Online")</f>
        <v>View Company Online</v>
      </c>
    </row>
    <row r="11406" spans="1:18" hidden="1" x14ac:dyDescent="0.3">
      <c r="A11406" s="9" t="s">
        <v>32069</v>
      </c>
      <c r="B11406" s="9" t="s">
        <v>32070</v>
      </c>
      <c r="C11406" s="11" t="s">
        <v>28</v>
      </c>
      <c r="D11406" s="9" t="s">
        <v>32071</v>
      </c>
      <c r="E11406" s="11" t="s">
        <v>28</v>
      </c>
      <c r="F11406" s="10" t="s">
        <v>28</v>
      </c>
      <c r="G11406" s="10" t="s">
        <v>28</v>
      </c>
      <c r="H11406" s="10" t="s">
        <v>28</v>
      </c>
      <c r="I11406" s="11" t="s">
        <v>28</v>
      </c>
      <c r="J11406" s="11" t="s">
        <v>28</v>
      </c>
      <c r="K11406" s="11" t="s">
        <v>28</v>
      </c>
      <c r="L11406" s="11" t="s">
        <v>28</v>
      </c>
      <c r="M11406" s="11" t="s">
        <v>28</v>
      </c>
      <c r="N11406" s="8">
        <v>41101</v>
      </c>
      <c r="O11406" s="9" t="s">
        <v>30</v>
      </c>
      <c r="P11406" s="12" t="s">
        <v>32072</v>
      </c>
      <c r="Q11406" s="9" t="s">
        <v>169</v>
      </c>
      <c r="R11406" s="14" t="str">
        <f>HYPERLINK("https://my.pitchbook.com?c=90041-86T","View Company Online")</f>
        <v>View Company Online</v>
      </c>
    </row>
    <row r="11407" spans="1:18" hidden="1" x14ac:dyDescent="0.3">
      <c r="A11407" s="15" t="s">
        <v>32073</v>
      </c>
      <c r="B11407" s="15" t="s">
        <v>32074</v>
      </c>
      <c r="C11407" s="18" t="s">
        <v>28</v>
      </c>
      <c r="D11407" s="15" t="s">
        <v>32075</v>
      </c>
      <c r="E11407" s="18" t="s">
        <v>28</v>
      </c>
      <c r="F11407" s="19" t="s">
        <v>28</v>
      </c>
      <c r="G11407" s="19" t="s">
        <v>28</v>
      </c>
      <c r="H11407" s="19" t="s">
        <v>28</v>
      </c>
      <c r="I11407" s="18" t="s">
        <v>28</v>
      </c>
      <c r="J11407" s="18" t="s">
        <v>28</v>
      </c>
      <c r="K11407" s="18" t="s">
        <v>28</v>
      </c>
      <c r="L11407" s="18" t="s">
        <v>28</v>
      </c>
      <c r="M11407" s="18" t="s">
        <v>28</v>
      </c>
      <c r="N11407" s="17">
        <v>41101</v>
      </c>
      <c r="O11407" s="15" t="s">
        <v>30</v>
      </c>
      <c r="P11407" s="16" t="s">
        <v>1387</v>
      </c>
      <c r="Q11407" s="15" t="s">
        <v>169</v>
      </c>
      <c r="R11407" s="13" t="str">
        <f>HYPERLINK("https://my.pitchbook.com?c=90073-72T","View Company Online")</f>
        <v>View Company Online</v>
      </c>
    </row>
    <row r="11408" spans="1:18" hidden="1" x14ac:dyDescent="0.3">
      <c r="A11408" s="9" t="s">
        <v>32076</v>
      </c>
      <c r="B11408" s="9" t="s">
        <v>14168</v>
      </c>
      <c r="C11408" s="11" t="s">
        <v>28</v>
      </c>
      <c r="D11408" s="9" t="s">
        <v>14169</v>
      </c>
      <c r="E11408" s="11" t="s">
        <v>28</v>
      </c>
      <c r="F11408" s="10" t="s">
        <v>28</v>
      </c>
      <c r="G11408" s="10" t="s">
        <v>28</v>
      </c>
      <c r="H11408" s="10" t="s">
        <v>28</v>
      </c>
      <c r="I11408" s="11" t="s">
        <v>28</v>
      </c>
      <c r="J11408" s="11" t="s">
        <v>28</v>
      </c>
      <c r="K11408" s="11" t="s">
        <v>28</v>
      </c>
      <c r="L11408" s="11" t="s">
        <v>28</v>
      </c>
      <c r="M11408" s="11" t="s">
        <v>28</v>
      </c>
      <c r="N11408" s="8">
        <v>41101</v>
      </c>
      <c r="O11408" s="9" t="s">
        <v>79</v>
      </c>
      <c r="P11408" s="12" t="s">
        <v>32077</v>
      </c>
      <c r="Q11408" s="9" t="s">
        <v>409</v>
      </c>
      <c r="R11408" s="14" t="str">
        <f>HYPERLINK("https://my.pitchbook.com?c=28580-14T","View Company Online")</f>
        <v>View Company Online</v>
      </c>
    </row>
    <row r="11409" spans="1:18" hidden="1" x14ac:dyDescent="0.3">
      <c r="A11409" s="15" t="s">
        <v>32078</v>
      </c>
      <c r="B11409" s="15" t="s">
        <v>32079</v>
      </c>
      <c r="C11409" s="18" t="s">
        <v>28</v>
      </c>
      <c r="D11409" s="15" t="s">
        <v>32080</v>
      </c>
      <c r="E11409" s="18" t="s">
        <v>28</v>
      </c>
      <c r="F11409" s="19" t="s">
        <v>28</v>
      </c>
      <c r="G11409" s="19" t="s">
        <v>28</v>
      </c>
      <c r="H11409" s="19" t="s">
        <v>28</v>
      </c>
      <c r="I11409" s="18" t="s">
        <v>28</v>
      </c>
      <c r="J11409" s="18" t="s">
        <v>28</v>
      </c>
      <c r="K11409" s="18" t="s">
        <v>28</v>
      </c>
      <c r="L11409" s="18" t="s">
        <v>28</v>
      </c>
      <c r="M11409" s="18" t="s">
        <v>28</v>
      </c>
      <c r="N11409" s="17">
        <v>41101</v>
      </c>
      <c r="O11409" s="15" t="s">
        <v>30</v>
      </c>
      <c r="P11409" s="16" t="s">
        <v>1387</v>
      </c>
      <c r="Q11409" s="15" t="s">
        <v>169</v>
      </c>
      <c r="R11409" s="13" t="str">
        <f>HYPERLINK("https://my.pitchbook.com?c=90120-43T","View Company Online")</f>
        <v>View Company Online</v>
      </c>
    </row>
    <row r="11410" spans="1:18" hidden="1" x14ac:dyDescent="0.3">
      <c r="A11410" s="9" t="s">
        <v>32081</v>
      </c>
      <c r="B11410" s="9" t="s">
        <v>32082</v>
      </c>
      <c r="C11410" s="11" t="s">
        <v>28</v>
      </c>
      <c r="D11410" s="9" t="s">
        <v>32083</v>
      </c>
      <c r="E11410" s="11">
        <v>106.59</v>
      </c>
      <c r="F11410" s="10" t="s">
        <v>28</v>
      </c>
      <c r="G11410" s="10" t="s">
        <v>28</v>
      </c>
      <c r="H11410" s="10" t="s">
        <v>28</v>
      </c>
      <c r="I11410" s="11">
        <v>106.59</v>
      </c>
      <c r="J11410" s="11" t="s">
        <v>28</v>
      </c>
      <c r="K11410" s="11">
        <v>42.23</v>
      </c>
      <c r="L11410" s="11" t="s">
        <v>28</v>
      </c>
      <c r="M11410" s="11">
        <v>106.59</v>
      </c>
      <c r="N11410" s="8">
        <v>41100</v>
      </c>
      <c r="O11410" s="9" t="s">
        <v>173</v>
      </c>
      <c r="P11410" s="12" t="s">
        <v>28</v>
      </c>
      <c r="Q11410" s="9" t="s">
        <v>174</v>
      </c>
      <c r="R11410" s="14" t="str">
        <f>HYPERLINK("https://my.pitchbook.com?c=223337-26T","View Company Online")</f>
        <v>View Company Online</v>
      </c>
    </row>
    <row r="11411" spans="1:18" hidden="1" x14ac:dyDescent="0.3">
      <c r="A11411" s="15" t="s">
        <v>32084</v>
      </c>
      <c r="B11411" s="15" t="s">
        <v>32085</v>
      </c>
      <c r="C11411" s="18" t="s">
        <v>28</v>
      </c>
      <c r="D11411" s="15" t="s">
        <v>32086</v>
      </c>
      <c r="E11411" s="18" t="s">
        <v>28</v>
      </c>
      <c r="F11411" s="19">
        <v>40.31</v>
      </c>
      <c r="G11411" s="19">
        <v>40.31</v>
      </c>
      <c r="H11411" s="19">
        <v>40.31</v>
      </c>
      <c r="I11411" s="18" t="s">
        <v>28</v>
      </c>
      <c r="J11411" s="18" t="s">
        <v>28</v>
      </c>
      <c r="K11411" s="18" t="s">
        <v>28</v>
      </c>
      <c r="L11411" s="18" t="s">
        <v>28</v>
      </c>
      <c r="M11411" s="18" t="s">
        <v>28</v>
      </c>
      <c r="N11411" s="17">
        <v>41099</v>
      </c>
      <c r="O11411" s="15" t="s">
        <v>30</v>
      </c>
      <c r="P11411" s="16" t="s">
        <v>32087</v>
      </c>
      <c r="Q11411" s="15" t="s">
        <v>316</v>
      </c>
      <c r="R11411" s="13" t="str">
        <f>HYPERLINK("https://my.pitchbook.com?c=71699-41T","View Company Online")</f>
        <v>View Company Online</v>
      </c>
    </row>
    <row r="11412" spans="1:18" hidden="1" x14ac:dyDescent="0.3">
      <c r="A11412" s="9" t="s">
        <v>32088</v>
      </c>
      <c r="B11412" s="9" t="s">
        <v>28208</v>
      </c>
      <c r="C11412" s="11" t="s">
        <v>28</v>
      </c>
      <c r="D11412" s="9" t="s">
        <v>28209</v>
      </c>
      <c r="E11412" s="11" t="s">
        <v>28</v>
      </c>
      <c r="F11412" s="10" t="s">
        <v>28</v>
      </c>
      <c r="G11412" s="10">
        <v>1.5</v>
      </c>
      <c r="H11412" s="10" t="s">
        <v>28</v>
      </c>
      <c r="I11412" s="11" t="s">
        <v>28</v>
      </c>
      <c r="J11412" s="11" t="s">
        <v>28</v>
      </c>
      <c r="K11412" s="11" t="s">
        <v>28</v>
      </c>
      <c r="L11412" s="11" t="s">
        <v>28</v>
      </c>
      <c r="M11412" s="11" t="s">
        <v>28</v>
      </c>
      <c r="N11412" s="8">
        <v>41098</v>
      </c>
      <c r="O11412" s="9" t="s">
        <v>99</v>
      </c>
      <c r="P11412" s="12" t="s">
        <v>32089</v>
      </c>
      <c r="Q11412" s="9" t="s">
        <v>855</v>
      </c>
      <c r="R11412" s="14" t="str">
        <f>HYPERLINK("https://my.pitchbook.com?c=50690-71T","View Company Online")</f>
        <v>View Company Online</v>
      </c>
    </row>
    <row r="11413" spans="1:18" hidden="1" x14ac:dyDescent="0.3">
      <c r="A11413" s="15" t="s">
        <v>32090</v>
      </c>
      <c r="B11413" s="15" t="s">
        <v>32091</v>
      </c>
      <c r="C11413" s="18" t="s">
        <v>28</v>
      </c>
      <c r="D11413" s="15" t="s">
        <v>32092</v>
      </c>
      <c r="E11413" s="18" t="s">
        <v>28</v>
      </c>
      <c r="F11413" s="19" t="s">
        <v>28</v>
      </c>
      <c r="G11413" s="19" t="s">
        <v>28</v>
      </c>
      <c r="H11413" s="19" t="s">
        <v>28</v>
      </c>
      <c r="I11413" s="18" t="s">
        <v>28</v>
      </c>
      <c r="J11413" s="18" t="s">
        <v>28</v>
      </c>
      <c r="K11413" s="18" t="s">
        <v>28</v>
      </c>
      <c r="L11413" s="18" t="s">
        <v>28</v>
      </c>
      <c r="M11413" s="18" t="s">
        <v>28</v>
      </c>
      <c r="N11413" s="17">
        <v>41096</v>
      </c>
      <c r="O11413" s="15" t="s">
        <v>173</v>
      </c>
      <c r="P11413" s="16" t="s">
        <v>28</v>
      </c>
      <c r="Q11413" s="15" t="s">
        <v>174</v>
      </c>
      <c r="R11413" s="13" t="str">
        <f>HYPERLINK("https://my.pitchbook.com?c=224031-16T","View Company Online")</f>
        <v>View Company Online</v>
      </c>
    </row>
    <row r="11414" spans="1:18" hidden="1" x14ac:dyDescent="0.3">
      <c r="A11414" s="9" t="s">
        <v>32093</v>
      </c>
      <c r="B11414" s="9" t="s">
        <v>32094</v>
      </c>
      <c r="C11414" s="11" t="s">
        <v>28</v>
      </c>
      <c r="D11414" s="9" t="s">
        <v>32095</v>
      </c>
      <c r="E11414" s="11" t="s">
        <v>28</v>
      </c>
      <c r="F11414" s="10" t="s">
        <v>28</v>
      </c>
      <c r="G11414" s="10" t="s">
        <v>28</v>
      </c>
      <c r="H11414" s="10" t="s">
        <v>28</v>
      </c>
      <c r="I11414" s="11" t="s">
        <v>28</v>
      </c>
      <c r="J11414" s="11" t="s">
        <v>28</v>
      </c>
      <c r="K11414" s="11" t="s">
        <v>28</v>
      </c>
      <c r="L11414" s="11" t="s">
        <v>28</v>
      </c>
      <c r="M11414" s="11" t="s">
        <v>28</v>
      </c>
      <c r="N11414" s="8">
        <v>41096</v>
      </c>
      <c r="O11414" s="9" t="s">
        <v>173</v>
      </c>
      <c r="P11414" s="12" t="s">
        <v>28</v>
      </c>
      <c r="Q11414" s="9" t="s">
        <v>1336</v>
      </c>
      <c r="R11414" s="14" t="str">
        <f>HYPERLINK("https://my.pitchbook.com?c=224054-56T","View Company Online")</f>
        <v>View Company Online</v>
      </c>
    </row>
    <row r="11415" spans="1:18" hidden="1" x14ac:dyDescent="0.3">
      <c r="A11415" s="15" t="s">
        <v>32096</v>
      </c>
      <c r="B11415" s="15" t="s">
        <v>32097</v>
      </c>
      <c r="C11415" s="18" t="s">
        <v>28</v>
      </c>
      <c r="D11415" s="15" t="s">
        <v>32098</v>
      </c>
      <c r="E11415" s="18" t="s">
        <v>28</v>
      </c>
      <c r="F11415" s="19" t="s">
        <v>28</v>
      </c>
      <c r="G11415" s="19">
        <v>24.44</v>
      </c>
      <c r="H11415" s="19" t="s">
        <v>28</v>
      </c>
      <c r="I11415" s="18" t="s">
        <v>28</v>
      </c>
      <c r="J11415" s="18" t="s">
        <v>28</v>
      </c>
      <c r="K11415" s="18" t="s">
        <v>28</v>
      </c>
      <c r="L11415" s="18" t="s">
        <v>28</v>
      </c>
      <c r="M11415" s="18" t="s">
        <v>28</v>
      </c>
      <c r="N11415" s="17">
        <v>41096</v>
      </c>
      <c r="O11415" s="15" t="s">
        <v>79</v>
      </c>
      <c r="P11415" s="16" t="s">
        <v>32099</v>
      </c>
      <c r="Q11415" s="15" t="s">
        <v>740</v>
      </c>
      <c r="R11415" s="13" t="str">
        <f>HYPERLINK("https://my.pitchbook.com?c=54901-45T","View Company Online")</f>
        <v>View Company Online</v>
      </c>
    </row>
    <row r="11416" spans="1:18" hidden="1" x14ac:dyDescent="0.3">
      <c r="A11416" s="9" t="s">
        <v>32100</v>
      </c>
      <c r="B11416" s="9" t="s">
        <v>32101</v>
      </c>
      <c r="C11416" s="11" t="s">
        <v>28</v>
      </c>
      <c r="D11416" s="9" t="s">
        <v>32102</v>
      </c>
      <c r="E11416" s="11" t="s">
        <v>28</v>
      </c>
      <c r="F11416" s="10">
        <v>71.959999999999994</v>
      </c>
      <c r="G11416" s="10">
        <v>36.700000000000003</v>
      </c>
      <c r="H11416" s="10">
        <v>71.959999999999994</v>
      </c>
      <c r="I11416" s="11" t="s">
        <v>28</v>
      </c>
      <c r="J11416" s="11" t="s">
        <v>28</v>
      </c>
      <c r="K11416" s="11" t="s">
        <v>28</v>
      </c>
      <c r="L11416" s="11" t="s">
        <v>28</v>
      </c>
      <c r="M11416" s="11" t="s">
        <v>28</v>
      </c>
      <c r="N11416" s="8">
        <v>41096</v>
      </c>
      <c r="O11416" s="9" t="s">
        <v>30</v>
      </c>
      <c r="P11416" s="12" t="s">
        <v>32103</v>
      </c>
      <c r="Q11416" s="9" t="s">
        <v>119</v>
      </c>
      <c r="R11416" s="14" t="str">
        <f>HYPERLINK("https://my.pitchbook.com?c=102116-98T","View Company Online")</f>
        <v>View Company Online</v>
      </c>
    </row>
    <row r="11417" spans="1:18" hidden="1" x14ac:dyDescent="0.3">
      <c r="A11417" s="15" t="s">
        <v>32104</v>
      </c>
      <c r="B11417" s="15" t="s">
        <v>15318</v>
      </c>
      <c r="C11417" s="18" t="s">
        <v>28</v>
      </c>
      <c r="D11417" s="15" t="s">
        <v>15319</v>
      </c>
      <c r="E11417" s="18" t="s">
        <v>28</v>
      </c>
      <c r="F11417" s="19" t="s">
        <v>28</v>
      </c>
      <c r="G11417" s="19" t="s">
        <v>28</v>
      </c>
      <c r="H11417" s="19" t="s">
        <v>28</v>
      </c>
      <c r="I11417" s="18" t="s">
        <v>28</v>
      </c>
      <c r="J11417" s="18" t="s">
        <v>28</v>
      </c>
      <c r="K11417" s="18" t="s">
        <v>28</v>
      </c>
      <c r="L11417" s="18" t="s">
        <v>28</v>
      </c>
      <c r="M11417" s="18" t="s">
        <v>28</v>
      </c>
      <c r="N11417" s="17">
        <v>41095</v>
      </c>
      <c r="O11417" s="15" t="s">
        <v>41</v>
      </c>
      <c r="P11417" s="16" t="s">
        <v>32105</v>
      </c>
      <c r="Q11417" s="15" t="s">
        <v>43</v>
      </c>
      <c r="R11417" s="13" t="str">
        <f>HYPERLINK("https://my.pitchbook.com?c=73314-73T","View Company Online")</f>
        <v>View Company Online</v>
      </c>
    </row>
    <row r="11418" spans="1:18" hidden="1" x14ac:dyDescent="0.3">
      <c r="A11418" s="9" t="s">
        <v>32106</v>
      </c>
      <c r="B11418" s="9" t="s">
        <v>27873</v>
      </c>
      <c r="C11418" s="11" t="s">
        <v>28</v>
      </c>
      <c r="D11418" s="9" t="s">
        <v>27874</v>
      </c>
      <c r="E11418" s="11" t="s">
        <v>28</v>
      </c>
      <c r="F11418" s="10">
        <v>8.4</v>
      </c>
      <c r="G11418" s="10">
        <v>8.4</v>
      </c>
      <c r="H11418" s="10">
        <v>8.4</v>
      </c>
      <c r="I11418" s="11" t="s">
        <v>28</v>
      </c>
      <c r="J11418" s="11" t="s">
        <v>28</v>
      </c>
      <c r="K11418" s="11" t="s">
        <v>28</v>
      </c>
      <c r="L11418" s="11" t="s">
        <v>28</v>
      </c>
      <c r="M11418" s="11" t="s">
        <v>28</v>
      </c>
      <c r="N11418" s="8">
        <v>41095</v>
      </c>
      <c r="O11418" s="9" t="s">
        <v>30</v>
      </c>
      <c r="P11418" s="12" t="s">
        <v>28</v>
      </c>
      <c r="Q11418" s="9" t="s">
        <v>5347</v>
      </c>
      <c r="R11418" s="14" t="str">
        <f>HYPERLINK("https://my.pitchbook.com?c=89910-82T","View Company Online")</f>
        <v>View Company Online</v>
      </c>
    </row>
    <row r="11419" spans="1:18" hidden="1" x14ac:dyDescent="0.3">
      <c r="A11419" s="15" t="s">
        <v>32107</v>
      </c>
      <c r="B11419" s="15" t="s">
        <v>32108</v>
      </c>
      <c r="C11419" s="18" t="s">
        <v>28</v>
      </c>
      <c r="D11419" s="15" t="s">
        <v>32109</v>
      </c>
      <c r="E11419" s="18" t="s">
        <v>28</v>
      </c>
      <c r="F11419" s="19" t="s">
        <v>28</v>
      </c>
      <c r="G11419" s="19" t="s">
        <v>28</v>
      </c>
      <c r="H11419" s="19" t="s">
        <v>28</v>
      </c>
      <c r="I11419" s="18" t="s">
        <v>28</v>
      </c>
      <c r="J11419" s="18" t="s">
        <v>28</v>
      </c>
      <c r="K11419" s="18" t="s">
        <v>28</v>
      </c>
      <c r="L11419" s="18" t="s">
        <v>28</v>
      </c>
      <c r="M11419" s="18" t="s">
        <v>28</v>
      </c>
      <c r="N11419" s="17">
        <v>41095</v>
      </c>
      <c r="O11419" s="15" t="s">
        <v>30</v>
      </c>
      <c r="P11419" s="16" t="s">
        <v>32110</v>
      </c>
      <c r="Q11419" s="15" t="s">
        <v>353</v>
      </c>
      <c r="R11419" s="13" t="str">
        <f>HYPERLINK("https://my.pitchbook.com?c=90194-50T","View Company Online")</f>
        <v>View Company Online</v>
      </c>
    </row>
    <row r="11420" spans="1:18" hidden="1" x14ac:dyDescent="0.3">
      <c r="A11420" s="9" t="s">
        <v>32111</v>
      </c>
      <c r="B11420" s="9" t="s">
        <v>32112</v>
      </c>
      <c r="C11420" s="11" t="s">
        <v>28</v>
      </c>
      <c r="D11420" s="9" t="s">
        <v>32113</v>
      </c>
      <c r="E11420" s="11" t="s">
        <v>28</v>
      </c>
      <c r="F11420" s="10" t="s">
        <v>28</v>
      </c>
      <c r="G11420" s="10" t="s">
        <v>28</v>
      </c>
      <c r="H11420" s="10" t="s">
        <v>28</v>
      </c>
      <c r="I11420" s="11" t="s">
        <v>28</v>
      </c>
      <c r="J11420" s="11" t="s">
        <v>28</v>
      </c>
      <c r="K11420" s="11">
        <v>19.899999999999999</v>
      </c>
      <c r="L11420" s="11" t="s">
        <v>28</v>
      </c>
      <c r="M11420" s="11" t="s">
        <v>28</v>
      </c>
      <c r="N11420" s="8">
        <v>41094</v>
      </c>
      <c r="O11420" s="9" t="s">
        <v>30</v>
      </c>
      <c r="P11420" s="12" t="s">
        <v>32114</v>
      </c>
      <c r="Q11420" s="9" t="s">
        <v>371</v>
      </c>
      <c r="R11420" s="14" t="str">
        <f>HYPERLINK("https://my.pitchbook.com?c=102739-60T","View Company Online")</f>
        <v>View Company Online</v>
      </c>
    </row>
    <row r="11421" spans="1:18" hidden="1" x14ac:dyDescent="0.3">
      <c r="A11421" s="15" t="s">
        <v>32115</v>
      </c>
      <c r="B11421" s="15" t="s">
        <v>32116</v>
      </c>
      <c r="C11421" s="18" t="s">
        <v>28</v>
      </c>
      <c r="D11421" s="15" t="s">
        <v>32117</v>
      </c>
      <c r="E11421" s="18" t="s">
        <v>28</v>
      </c>
      <c r="F11421" s="19">
        <v>398</v>
      </c>
      <c r="G11421" s="19">
        <v>398</v>
      </c>
      <c r="H11421" s="19">
        <v>398</v>
      </c>
      <c r="I11421" s="18" t="s">
        <v>28</v>
      </c>
      <c r="J11421" s="18" t="s">
        <v>28</v>
      </c>
      <c r="K11421" s="18">
        <v>500</v>
      </c>
      <c r="L11421" s="18">
        <v>0.8</v>
      </c>
      <c r="M11421" s="18" t="s">
        <v>28</v>
      </c>
      <c r="N11421" s="17">
        <v>41094</v>
      </c>
      <c r="O11421" s="15" t="s">
        <v>30</v>
      </c>
      <c r="P11421" s="16" t="s">
        <v>32118</v>
      </c>
      <c r="Q11421" s="15" t="s">
        <v>5347</v>
      </c>
      <c r="R11421" s="13" t="str">
        <f>HYPERLINK("https://my.pitchbook.com?c=72114-85T","View Company Online")</f>
        <v>View Company Online</v>
      </c>
    </row>
    <row r="11422" spans="1:18" hidden="1" x14ac:dyDescent="0.3">
      <c r="A11422" s="9" t="s">
        <v>32119</v>
      </c>
      <c r="B11422" s="9" t="s">
        <v>32120</v>
      </c>
      <c r="C11422" s="11" t="s">
        <v>28</v>
      </c>
      <c r="D11422" s="9" t="s">
        <v>32121</v>
      </c>
      <c r="E11422" s="11" t="s">
        <v>28</v>
      </c>
      <c r="F11422" s="10" t="s">
        <v>28</v>
      </c>
      <c r="G11422" s="10" t="s">
        <v>28</v>
      </c>
      <c r="H11422" s="10" t="s">
        <v>28</v>
      </c>
      <c r="I11422" s="11" t="s">
        <v>28</v>
      </c>
      <c r="J11422" s="11" t="s">
        <v>28</v>
      </c>
      <c r="K11422" s="11" t="s">
        <v>28</v>
      </c>
      <c r="L11422" s="11" t="s">
        <v>28</v>
      </c>
      <c r="M11422" s="11" t="s">
        <v>28</v>
      </c>
      <c r="N11422" s="8">
        <v>41093</v>
      </c>
      <c r="O11422" s="9" t="s">
        <v>30</v>
      </c>
      <c r="P11422" s="12" t="s">
        <v>32122</v>
      </c>
      <c r="Q11422" s="9" t="s">
        <v>13990</v>
      </c>
      <c r="R11422" s="14" t="str">
        <f>HYPERLINK("https://my.pitchbook.com?c=89808-76T","View Company Online")</f>
        <v>View Company Online</v>
      </c>
    </row>
    <row r="11423" spans="1:18" hidden="1" x14ac:dyDescent="0.3">
      <c r="A11423" s="15" t="s">
        <v>32123</v>
      </c>
      <c r="B11423" s="15" t="s">
        <v>32124</v>
      </c>
      <c r="C11423" s="18" t="s">
        <v>28</v>
      </c>
      <c r="D11423" s="15" t="s">
        <v>32125</v>
      </c>
      <c r="E11423" s="18" t="s">
        <v>28</v>
      </c>
      <c r="F11423" s="19" t="s">
        <v>28</v>
      </c>
      <c r="G11423" s="19">
        <v>0.5</v>
      </c>
      <c r="H11423" s="19" t="s">
        <v>28</v>
      </c>
      <c r="I11423" s="18" t="s">
        <v>28</v>
      </c>
      <c r="J11423" s="18" t="s">
        <v>28</v>
      </c>
      <c r="K11423" s="18" t="s">
        <v>28</v>
      </c>
      <c r="L11423" s="18" t="s">
        <v>28</v>
      </c>
      <c r="M11423" s="18" t="s">
        <v>28</v>
      </c>
      <c r="N11423" s="17">
        <v>41093</v>
      </c>
      <c r="O11423" s="15" t="s">
        <v>73</v>
      </c>
      <c r="P11423" s="16" t="s">
        <v>32126</v>
      </c>
      <c r="Q11423" s="15" t="s">
        <v>75</v>
      </c>
      <c r="R11423" s="13" t="str">
        <f>HYPERLINK("https://my.pitchbook.com?c=55900-90T","View Company Online")</f>
        <v>View Company Online</v>
      </c>
    </row>
    <row r="11424" spans="1:18" hidden="1" x14ac:dyDescent="0.3">
      <c r="A11424" s="9" t="s">
        <v>32127</v>
      </c>
      <c r="B11424" s="9" t="s">
        <v>23822</v>
      </c>
      <c r="C11424" s="11" t="s">
        <v>28</v>
      </c>
      <c r="D11424" s="9" t="s">
        <v>23823</v>
      </c>
      <c r="E11424" s="11" t="s">
        <v>28</v>
      </c>
      <c r="F11424" s="10">
        <v>3.42</v>
      </c>
      <c r="G11424" s="10">
        <v>3.42</v>
      </c>
      <c r="H11424" s="10">
        <v>3.42</v>
      </c>
      <c r="I11424" s="11" t="s">
        <v>28</v>
      </c>
      <c r="J11424" s="11" t="s">
        <v>28</v>
      </c>
      <c r="K11424" s="11">
        <v>38</v>
      </c>
      <c r="L11424" s="11">
        <v>0.09</v>
      </c>
      <c r="M11424" s="11" t="s">
        <v>28</v>
      </c>
      <c r="N11424" s="8">
        <v>41093</v>
      </c>
      <c r="O11424" s="9" t="s">
        <v>30</v>
      </c>
      <c r="P11424" s="12" t="s">
        <v>32128</v>
      </c>
      <c r="Q11424" s="9" t="s">
        <v>1051</v>
      </c>
      <c r="R11424" s="14" t="str">
        <f>HYPERLINK("https://my.pitchbook.com?c=70552-00T","View Company Online")</f>
        <v>View Company Online</v>
      </c>
    </row>
    <row r="11425" spans="1:18" hidden="1" x14ac:dyDescent="0.3">
      <c r="A11425" s="15" t="s">
        <v>32129</v>
      </c>
      <c r="B11425" s="15" t="s">
        <v>32130</v>
      </c>
      <c r="C11425" s="18" t="s">
        <v>28</v>
      </c>
      <c r="D11425" s="15" t="s">
        <v>32131</v>
      </c>
      <c r="E11425" s="18" t="s">
        <v>28</v>
      </c>
      <c r="F11425" s="19" t="s">
        <v>28</v>
      </c>
      <c r="G11425" s="19" t="s">
        <v>28</v>
      </c>
      <c r="H11425" s="19" t="s">
        <v>28</v>
      </c>
      <c r="I11425" s="18" t="s">
        <v>28</v>
      </c>
      <c r="J11425" s="18" t="s">
        <v>28</v>
      </c>
      <c r="K11425" s="18" t="s">
        <v>28</v>
      </c>
      <c r="L11425" s="18" t="s">
        <v>28</v>
      </c>
      <c r="M11425" s="18" t="s">
        <v>28</v>
      </c>
      <c r="N11425" s="17">
        <v>41093</v>
      </c>
      <c r="O11425" s="15" t="s">
        <v>30</v>
      </c>
      <c r="P11425" s="16" t="s">
        <v>32132</v>
      </c>
      <c r="Q11425" s="15" t="s">
        <v>183</v>
      </c>
      <c r="R11425" s="13" t="str">
        <f>HYPERLINK("https://my.pitchbook.com?c=92109-70T","View Company Online")</f>
        <v>View Company Online</v>
      </c>
    </row>
    <row r="11426" spans="1:18" hidden="1" x14ac:dyDescent="0.3">
      <c r="A11426" s="9" t="s">
        <v>32133</v>
      </c>
      <c r="B11426" s="9" t="s">
        <v>32134</v>
      </c>
      <c r="C11426" s="11" t="s">
        <v>28</v>
      </c>
      <c r="D11426" s="9" t="s">
        <v>32135</v>
      </c>
      <c r="E11426" s="11" t="s">
        <v>28</v>
      </c>
      <c r="F11426" s="10" t="s">
        <v>28</v>
      </c>
      <c r="G11426" s="10" t="s">
        <v>28</v>
      </c>
      <c r="H11426" s="10" t="s">
        <v>28</v>
      </c>
      <c r="I11426" s="11" t="s">
        <v>28</v>
      </c>
      <c r="J11426" s="11" t="s">
        <v>28</v>
      </c>
      <c r="K11426" s="11" t="s">
        <v>28</v>
      </c>
      <c r="L11426" s="11" t="s">
        <v>28</v>
      </c>
      <c r="M11426" s="11" t="s">
        <v>28</v>
      </c>
      <c r="N11426" s="8">
        <v>41093</v>
      </c>
      <c r="O11426" s="9" t="s">
        <v>30</v>
      </c>
      <c r="P11426" s="12" t="s">
        <v>14320</v>
      </c>
      <c r="Q11426" s="9" t="s">
        <v>114</v>
      </c>
      <c r="R11426" s="14" t="str">
        <f>HYPERLINK("https://my.pitchbook.com?c=90159-13T","View Company Online")</f>
        <v>View Company Online</v>
      </c>
    </row>
    <row r="11427" spans="1:18" hidden="1" x14ac:dyDescent="0.3">
      <c r="A11427" s="15" t="s">
        <v>32136</v>
      </c>
      <c r="B11427" s="15" t="s">
        <v>32137</v>
      </c>
      <c r="C11427" s="18" t="s">
        <v>28</v>
      </c>
      <c r="D11427" s="15" t="s">
        <v>32138</v>
      </c>
      <c r="E11427" s="18" t="s">
        <v>28</v>
      </c>
      <c r="F11427" s="19" t="s">
        <v>28</v>
      </c>
      <c r="G11427" s="19" t="s">
        <v>28</v>
      </c>
      <c r="H11427" s="19" t="s">
        <v>28</v>
      </c>
      <c r="I11427" s="18" t="s">
        <v>28</v>
      </c>
      <c r="J11427" s="18" t="s">
        <v>28</v>
      </c>
      <c r="K11427" s="18" t="s">
        <v>28</v>
      </c>
      <c r="L11427" s="18" t="s">
        <v>28</v>
      </c>
      <c r="M11427" s="18" t="s">
        <v>28</v>
      </c>
      <c r="N11427" s="17">
        <v>41092</v>
      </c>
      <c r="O11427" s="15" t="s">
        <v>41</v>
      </c>
      <c r="P11427" s="16" t="s">
        <v>32139</v>
      </c>
      <c r="Q11427" s="15" t="s">
        <v>75</v>
      </c>
      <c r="R11427" s="13" t="str">
        <f>HYPERLINK("https://my.pitchbook.com?c=21825-91T","View Company Online")</f>
        <v>View Company Online</v>
      </c>
    </row>
    <row r="11428" spans="1:18" hidden="1" x14ac:dyDescent="0.3">
      <c r="A11428" s="9" t="s">
        <v>32140</v>
      </c>
      <c r="B11428" s="9" t="s">
        <v>32141</v>
      </c>
      <c r="C11428" s="11" t="s">
        <v>28</v>
      </c>
      <c r="D11428" s="9" t="s">
        <v>32142</v>
      </c>
      <c r="E11428" s="11" t="s">
        <v>28</v>
      </c>
      <c r="F11428" s="10" t="s">
        <v>28</v>
      </c>
      <c r="G11428" s="10" t="s">
        <v>28</v>
      </c>
      <c r="H11428" s="10" t="s">
        <v>28</v>
      </c>
      <c r="I11428" s="11" t="s">
        <v>28</v>
      </c>
      <c r="J11428" s="11" t="s">
        <v>28</v>
      </c>
      <c r="K11428" s="11" t="s">
        <v>28</v>
      </c>
      <c r="L11428" s="11" t="s">
        <v>28</v>
      </c>
      <c r="M11428" s="11" t="s">
        <v>28</v>
      </c>
      <c r="N11428" s="8">
        <v>41091</v>
      </c>
      <c r="O11428" s="9" t="s">
        <v>30</v>
      </c>
      <c r="P11428" s="12" t="s">
        <v>32143</v>
      </c>
      <c r="Q11428" s="9" t="s">
        <v>669</v>
      </c>
      <c r="R11428" s="14" t="str">
        <f>HYPERLINK("https://my.pitchbook.com?c=89845-48T","View Company Online")</f>
        <v>View Company Online</v>
      </c>
    </row>
    <row r="11429" spans="1:18" hidden="1" x14ac:dyDescent="0.3">
      <c r="A11429" s="15" t="s">
        <v>32144</v>
      </c>
      <c r="B11429" s="15" t="s">
        <v>16681</v>
      </c>
      <c r="C11429" s="18" t="s">
        <v>28</v>
      </c>
      <c r="D11429" s="15" t="s">
        <v>19777</v>
      </c>
      <c r="E11429" s="18" t="s">
        <v>28</v>
      </c>
      <c r="F11429" s="19" t="s">
        <v>28</v>
      </c>
      <c r="G11429" s="19" t="s">
        <v>28</v>
      </c>
      <c r="H11429" s="19" t="s">
        <v>28</v>
      </c>
      <c r="I11429" s="18" t="s">
        <v>28</v>
      </c>
      <c r="J11429" s="18" t="s">
        <v>28</v>
      </c>
      <c r="K11429" s="18" t="s">
        <v>28</v>
      </c>
      <c r="L11429" s="18" t="s">
        <v>28</v>
      </c>
      <c r="M11429" s="18" t="s">
        <v>28</v>
      </c>
      <c r="N11429" s="17">
        <v>41091</v>
      </c>
      <c r="O11429" s="15" t="s">
        <v>52</v>
      </c>
      <c r="P11429" s="16" t="s">
        <v>27946</v>
      </c>
      <c r="Q11429" s="15" t="s">
        <v>566</v>
      </c>
      <c r="R11429" s="13" t="str">
        <f>HYPERLINK("https://my.pitchbook.com?c=30812-50T","View Company Online")</f>
        <v>View Company Online</v>
      </c>
    </row>
    <row r="11430" spans="1:18" hidden="1" x14ac:dyDescent="0.3">
      <c r="A11430" s="9" t="s">
        <v>32145</v>
      </c>
      <c r="B11430" s="9" t="s">
        <v>32146</v>
      </c>
      <c r="C11430" s="11" t="s">
        <v>28</v>
      </c>
      <c r="D11430" s="9" t="s">
        <v>32147</v>
      </c>
      <c r="E11430" s="11" t="s">
        <v>28</v>
      </c>
      <c r="F11430" s="10" t="s">
        <v>28</v>
      </c>
      <c r="G11430" s="10">
        <v>0.03</v>
      </c>
      <c r="H11430" s="10" t="s">
        <v>28</v>
      </c>
      <c r="I11430" s="11" t="s">
        <v>28</v>
      </c>
      <c r="J11430" s="11" t="s">
        <v>28</v>
      </c>
      <c r="K11430" s="11" t="s">
        <v>28</v>
      </c>
      <c r="L11430" s="11" t="s">
        <v>28</v>
      </c>
      <c r="M11430" s="11" t="s">
        <v>28</v>
      </c>
      <c r="N11430" s="8">
        <v>41091</v>
      </c>
      <c r="O11430" s="9" t="s">
        <v>379</v>
      </c>
      <c r="P11430" s="12" t="s">
        <v>31442</v>
      </c>
      <c r="Q11430" s="9" t="s">
        <v>114</v>
      </c>
      <c r="R11430" s="14" t="str">
        <f>HYPERLINK("https://my.pitchbook.com?c=58294-54T","View Company Online")</f>
        <v>View Company Online</v>
      </c>
    </row>
    <row r="11431" spans="1:18" hidden="1" x14ac:dyDescent="0.3">
      <c r="A11431" s="15" t="s">
        <v>32148</v>
      </c>
      <c r="B11431" s="15" t="s">
        <v>32149</v>
      </c>
      <c r="C11431" s="18" t="s">
        <v>28</v>
      </c>
      <c r="D11431" s="15" t="s">
        <v>32150</v>
      </c>
      <c r="E11431" s="18" t="s">
        <v>28</v>
      </c>
      <c r="F11431" s="19" t="s">
        <v>28</v>
      </c>
      <c r="G11431" s="19" t="s">
        <v>28</v>
      </c>
      <c r="H11431" s="19" t="s">
        <v>28</v>
      </c>
      <c r="I11431" s="18" t="s">
        <v>28</v>
      </c>
      <c r="J11431" s="18" t="s">
        <v>28</v>
      </c>
      <c r="K11431" s="18" t="s">
        <v>28</v>
      </c>
      <c r="L11431" s="18" t="s">
        <v>28</v>
      </c>
      <c r="M11431" s="18" t="s">
        <v>28</v>
      </c>
      <c r="N11431" s="17">
        <v>41091</v>
      </c>
      <c r="O11431" s="15" t="s">
        <v>30</v>
      </c>
      <c r="P11431" s="16" t="s">
        <v>32151</v>
      </c>
      <c r="Q11431" s="15" t="s">
        <v>1035</v>
      </c>
      <c r="R11431" s="13" t="str">
        <f>HYPERLINK("https://my.pitchbook.com?c=90101-44T","View Company Online")</f>
        <v>View Company Online</v>
      </c>
    </row>
    <row r="11432" spans="1:18" hidden="1" x14ac:dyDescent="0.3">
      <c r="A11432" s="9" t="s">
        <v>32152</v>
      </c>
      <c r="B11432" s="9" t="s">
        <v>5142</v>
      </c>
      <c r="C11432" s="11" t="s">
        <v>28</v>
      </c>
      <c r="D11432" s="9" t="s">
        <v>5143</v>
      </c>
      <c r="E11432" s="11" t="s">
        <v>28</v>
      </c>
      <c r="F11432" s="10" t="s">
        <v>28</v>
      </c>
      <c r="G11432" s="10" t="s">
        <v>28</v>
      </c>
      <c r="H11432" s="10" t="s">
        <v>28</v>
      </c>
      <c r="I11432" s="11" t="s">
        <v>28</v>
      </c>
      <c r="J11432" s="11" t="s">
        <v>28</v>
      </c>
      <c r="K11432" s="11" t="s">
        <v>28</v>
      </c>
      <c r="L11432" s="11" t="s">
        <v>28</v>
      </c>
      <c r="M11432" s="11" t="s">
        <v>28</v>
      </c>
      <c r="N11432" s="8">
        <v>41091</v>
      </c>
      <c r="O11432" s="9" t="s">
        <v>73</v>
      </c>
      <c r="P11432" s="12" t="s">
        <v>32153</v>
      </c>
      <c r="Q11432" s="9" t="s">
        <v>583</v>
      </c>
      <c r="R11432" s="14" t="str">
        <f>HYPERLINK("https://my.pitchbook.com?c=66702-07T","View Company Online")</f>
        <v>View Company Online</v>
      </c>
    </row>
    <row r="11433" spans="1:18" hidden="1" x14ac:dyDescent="0.3">
      <c r="A11433" s="15" t="s">
        <v>32154</v>
      </c>
      <c r="B11433" s="15" t="s">
        <v>32155</v>
      </c>
      <c r="C11433" s="18" t="s">
        <v>28</v>
      </c>
      <c r="D11433" s="15" t="s">
        <v>32156</v>
      </c>
      <c r="E11433" s="18" t="s">
        <v>28</v>
      </c>
      <c r="F11433" s="19" t="s">
        <v>28</v>
      </c>
      <c r="G11433" s="19" t="s">
        <v>28</v>
      </c>
      <c r="H11433" s="19" t="s">
        <v>28</v>
      </c>
      <c r="I11433" s="18" t="s">
        <v>28</v>
      </c>
      <c r="J11433" s="18" t="s">
        <v>28</v>
      </c>
      <c r="K11433" s="18">
        <v>20</v>
      </c>
      <c r="L11433" s="18" t="s">
        <v>28</v>
      </c>
      <c r="M11433" s="18" t="s">
        <v>28</v>
      </c>
      <c r="N11433" s="17">
        <v>41090</v>
      </c>
      <c r="O11433" s="15" t="s">
        <v>30</v>
      </c>
      <c r="P11433" s="16" t="s">
        <v>32157</v>
      </c>
      <c r="Q11433" s="15" t="s">
        <v>299</v>
      </c>
      <c r="R11433" s="13" t="str">
        <f>HYPERLINK("https://my.pitchbook.com?c=76968-19T","View Company Online")</f>
        <v>View Company Online</v>
      </c>
    </row>
    <row r="11434" spans="1:18" hidden="1" x14ac:dyDescent="0.3">
      <c r="A11434" s="9" t="s">
        <v>32158</v>
      </c>
      <c r="B11434" s="9" t="s">
        <v>11487</v>
      </c>
      <c r="C11434" s="11" t="s">
        <v>28</v>
      </c>
      <c r="D11434" s="9" t="s">
        <v>11488</v>
      </c>
      <c r="E11434" s="11" t="s">
        <v>28</v>
      </c>
      <c r="F11434" s="10" t="s">
        <v>28</v>
      </c>
      <c r="G11434" s="10" t="s">
        <v>28</v>
      </c>
      <c r="H11434" s="10" t="s">
        <v>28</v>
      </c>
      <c r="I11434" s="11" t="s">
        <v>28</v>
      </c>
      <c r="J11434" s="11" t="s">
        <v>28</v>
      </c>
      <c r="K11434" s="11" t="s">
        <v>28</v>
      </c>
      <c r="L11434" s="11" t="s">
        <v>28</v>
      </c>
      <c r="M11434" s="11" t="s">
        <v>28</v>
      </c>
      <c r="N11434" s="8">
        <v>41089</v>
      </c>
      <c r="O11434" s="9" t="s">
        <v>79</v>
      </c>
      <c r="P11434" s="12" t="s">
        <v>32159</v>
      </c>
      <c r="Q11434" s="9" t="s">
        <v>419</v>
      </c>
      <c r="R11434" s="14" t="str">
        <f>HYPERLINK("https://my.pitchbook.com?c=56003-05T","View Company Online")</f>
        <v>View Company Online</v>
      </c>
    </row>
    <row r="11435" spans="1:18" hidden="1" x14ac:dyDescent="0.3">
      <c r="A11435" s="15" t="s">
        <v>32160</v>
      </c>
      <c r="B11435" s="15" t="s">
        <v>32161</v>
      </c>
      <c r="C11435" s="18" t="s">
        <v>28</v>
      </c>
      <c r="D11435" s="15" t="s">
        <v>32162</v>
      </c>
      <c r="E11435" s="18" t="s">
        <v>28</v>
      </c>
      <c r="F11435" s="19" t="s">
        <v>28</v>
      </c>
      <c r="G11435" s="19" t="s">
        <v>28</v>
      </c>
      <c r="H11435" s="19" t="s">
        <v>28</v>
      </c>
      <c r="I11435" s="18" t="s">
        <v>28</v>
      </c>
      <c r="J11435" s="18" t="s">
        <v>28</v>
      </c>
      <c r="K11435" s="18">
        <v>1401.5</v>
      </c>
      <c r="L11435" s="18" t="s">
        <v>28</v>
      </c>
      <c r="M11435" s="18">
        <v>25.5</v>
      </c>
      <c r="N11435" s="17">
        <v>41088</v>
      </c>
      <c r="O11435" s="15" t="s">
        <v>93</v>
      </c>
      <c r="P11435" s="16" t="s">
        <v>32163</v>
      </c>
      <c r="Q11435" s="15" t="s">
        <v>136</v>
      </c>
      <c r="R11435" s="13" t="str">
        <f>HYPERLINK("https://my.pitchbook.com?c=73510-21T","View Company Online")</f>
        <v>View Company Online</v>
      </c>
    </row>
    <row r="11436" spans="1:18" hidden="1" x14ac:dyDescent="0.3">
      <c r="A11436" s="9" t="s">
        <v>32164</v>
      </c>
      <c r="B11436" s="9" t="s">
        <v>29742</v>
      </c>
      <c r="C11436" s="11" t="s">
        <v>28</v>
      </c>
      <c r="D11436" s="9" t="s">
        <v>29743</v>
      </c>
      <c r="E11436" s="11" t="s">
        <v>28</v>
      </c>
      <c r="F11436" s="10" t="s">
        <v>28</v>
      </c>
      <c r="G11436" s="10">
        <v>2.77</v>
      </c>
      <c r="H11436" s="10" t="s">
        <v>28</v>
      </c>
      <c r="I11436" s="11" t="s">
        <v>28</v>
      </c>
      <c r="J11436" s="11" t="s">
        <v>28</v>
      </c>
      <c r="K11436" s="11" t="s">
        <v>28</v>
      </c>
      <c r="L11436" s="11" t="s">
        <v>28</v>
      </c>
      <c r="M11436" s="11" t="s">
        <v>28</v>
      </c>
      <c r="N11436" s="8">
        <v>41088</v>
      </c>
      <c r="O11436" s="9" t="s">
        <v>79</v>
      </c>
      <c r="P11436" s="12" t="s">
        <v>28</v>
      </c>
      <c r="Q11436" s="9" t="s">
        <v>419</v>
      </c>
      <c r="R11436" s="14" t="str">
        <f>HYPERLINK("https://my.pitchbook.com?c=31882-96T","View Company Online")</f>
        <v>View Company Online</v>
      </c>
    </row>
    <row r="11437" spans="1:18" hidden="1" x14ac:dyDescent="0.3">
      <c r="A11437" s="15" t="s">
        <v>32165</v>
      </c>
      <c r="B11437" s="15" t="s">
        <v>31766</v>
      </c>
      <c r="C11437" s="18" t="s">
        <v>28</v>
      </c>
      <c r="D11437" s="15" t="s">
        <v>32166</v>
      </c>
      <c r="E11437" s="18" t="s">
        <v>28</v>
      </c>
      <c r="F11437" s="19">
        <v>253.54</v>
      </c>
      <c r="G11437" s="19">
        <v>190.63</v>
      </c>
      <c r="H11437" s="19">
        <v>253.54</v>
      </c>
      <c r="I11437" s="18" t="s">
        <v>28</v>
      </c>
      <c r="J11437" s="18" t="s">
        <v>28</v>
      </c>
      <c r="K11437" s="18" t="s">
        <v>28</v>
      </c>
      <c r="L11437" s="18" t="s">
        <v>28</v>
      </c>
      <c r="M11437" s="18" t="s">
        <v>28</v>
      </c>
      <c r="N11437" s="17">
        <v>41085</v>
      </c>
      <c r="O11437" s="15" t="s">
        <v>30</v>
      </c>
      <c r="P11437" s="16" t="s">
        <v>29218</v>
      </c>
      <c r="Q11437" s="15" t="s">
        <v>37</v>
      </c>
      <c r="R11437" s="13" t="str">
        <f>HYPERLINK("https://my.pitchbook.com?c=31888-27T","View Company Online")</f>
        <v>View Company Online</v>
      </c>
    </row>
    <row r="11438" spans="1:18" hidden="1" x14ac:dyDescent="0.3">
      <c r="A11438" s="9" t="s">
        <v>32167</v>
      </c>
      <c r="B11438" s="9" t="s">
        <v>32168</v>
      </c>
      <c r="C11438" s="11" t="s">
        <v>28</v>
      </c>
      <c r="D11438" s="9" t="s">
        <v>32169</v>
      </c>
      <c r="E11438" s="11" t="s">
        <v>28</v>
      </c>
      <c r="F11438" s="10" t="s">
        <v>28</v>
      </c>
      <c r="G11438" s="10" t="s">
        <v>28</v>
      </c>
      <c r="H11438" s="10" t="s">
        <v>28</v>
      </c>
      <c r="I11438" s="11" t="s">
        <v>28</v>
      </c>
      <c r="J11438" s="11" t="s">
        <v>28</v>
      </c>
      <c r="K11438" s="11" t="s">
        <v>28</v>
      </c>
      <c r="L11438" s="11" t="s">
        <v>28</v>
      </c>
      <c r="M11438" s="11" t="s">
        <v>28</v>
      </c>
      <c r="N11438" s="8">
        <v>41085</v>
      </c>
      <c r="O11438" s="9" t="s">
        <v>41</v>
      </c>
      <c r="P11438" s="12" t="s">
        <v>26151</v>
      </c>
      <c r="Q11438" s="9" t="s">
        <v>409</v>
      </c>
      <c r="R11438" s="14" t="str">
        <f>HYPERLINK("https://my.pitchbook.com?c=92262-70T","View Company Online")</f>
        <v>View Company Online</v>
      </c>
    </row>
    <row r="11439" spans="1:18" hidden="1" x14ac:dyDescent="0.3">
      <c r="A11439" s="15" t="s">
        <v>32170</v>
      </c>
      <c r="B11439" s="15" t="s">
        <v>32171</v>
      </c>
      <c r="C11439" s="18" t="s">
        <v>28</v>
      </c>
      <c r="D11439" s="15" t="s">
        <v>32172</v>
      </c>
      <c r="E11439" s="18">
        <v>519.16</v>
      </c>
      <c r="F11439" s="19" t="s">
        <v>28</v>
      </c>
      <c r="G11439" s="19" t="s">
        <v>28</v>
      </c>
      <c r="H11439" s="19" t="s">
        <v>28</v>
      </c>
      <c r="I11439" s="18">
        <v>962.59</v>
      </c>
      <c r="J11439" s="18" t="s">
        <v>28</v>
      </c>
      <c r="K11439" s="18">
        <v>7734.69</v>
      </c>
      <c r="L11439" s="18" t="s">
        <v>28</v>
      </c>
      <c r="M11439" s="18">
        <v>-213.07</v>
      </c>
      <c r="N11439" s="17">
        <v>41082</v>
      </c>
      <c r="O11439" s="15" t="s">
        <v>30</v>
      </c>
      <c r="P11439" s="16" t="s">
        <v>2167</v>
      </c>
      <c r="Q11439" s="15" t="s">
        <v>2168</v>
      </c>
      <c r="R11439" s="13" t="str">
        <f>HYPERLINK("https://my.pitchbook.com?c=55155-61T","View Company Online")</f>
        <v>View Company Online</v>
      </c>
    </row>
    <row r="11440" spans="1:18" hidden="1" x14ac:dyDescent="0.3">
      <c r="A11440" s="9" t="s">
        <v>32173</v>
      </c>
      <c r="B11440" s="9" t="s">
        <v>24057</v>
      </c>
      <c r="C11440" s="11" t="s">
        <v>28</v>
      </c>
      <c r="D11440" s="9" t="s">
        <v>24058</v>
      </c>
      <c r="E11440" s="11" t="s">
        <v>28</v>
      </c>
      <c r="F11440" s="10" t="s">
        <v>28</v>
      </c>
      <c r="G11440" s="10" t="s">
        <v>28</v>
      </c>
      <c r="H11440" s="10" t="s">
        <v>28</v>
      </c>
      <c r="I11440" s="11" t="s">
        <v>28</v>
      </c>
      <c r="J11440" s="11" t="s">
        <v>28</v>
      </c>
      <c r="K11440" s="11" t="s">
        <v>28</v>
      </c>
      <c r="L11440" s="11" t="s">
        <v>28</v>
      </c>
      <c r="M11440" s="11" t="s">
        <v>28</v>
      </c>
      <c r="N11440" s="8">
        <v>41082</v>
      </c>
      <c r="O11440" s="9" t="s">
        <v>173</v>
      </c>
      <c r="P11440" s="12" t="s">
        <v>28</v>
      </c>
      <c r="Q11440" s="9" t="s">
        <v>136</v>
      </c>
      <c r="R11440" s="14" t="str">
        <f>HYPERLINK("https://my.pitchbook.com?c=84417-49T","View Company Online")</f>
        <v>View Company Online</v>
      </c>
    </row>
    <row r="11441" spans="1:18" hidden="1" x14ac:dyDescent="0.3">
      <c r="A11441" s="15" t="s">
        <v>32174</v>
      </c>
      <c r="B11441" s="15" t="s">
        <v>19012</v>
      </c>
      <c r="C11441" s="18" t="s">
        <v>28</v>
      </c>
      <c r="D11441" s="15" t="s">
        <v>19013</v>
      </c>
      <c r="E11441" s="18">
        <v>43.32</v>
      </c>
      <c r="F11441" s="19" t="s">
        <v>28</v>
      </c>
      <c r="G11441" s="19" t="s">
        <v>28</v>
      </c>
      <c r="H11441" s="19" t="s">
        <v>28</v>
      </c>
      <c r="I11441" s="18" t="s">
        <v>28</v>
      </c>
      <c r="J11441" s="18" t="s">
        <v>28</v>
      </c>
      <c r="K11441" s="18">
        <v>570.54999999999995</v>
      </c>
      <c r="L11441" s="18" t="s">
        <v>28</v>
      </c>
      <c r="M11441" s="18">
        <v>28.24</v>
      </c>
      <c r="N11441" s="17">
        <v>41080</v>
      </c>
      <c r="O11441" s="15" t="s">
        <v>41</v>
      </c>
      <c r="P11441" s="16" t="s">
        <v>22841</v>
      </c>
      <c r="Q11441" s="15" t="s">
        <v>109</v>
      </c>
      <c r="R11441" s="13" t="str">
        <f>HYPERLINK("https://my.pitchbook.com?c=69828-76T","View Company Online")</f>
        <v>View Company Online</v>
      </c>
    </row>
    <row r="11442" spans="1:18" hidden="1" x14ac:dyDescent="0.3">
      <c r="A11442" s="9" t="s">
        <v>32175</v>
      </c>
      <c r="B11442" s="9" t="s">
        <v>32176</v>
      </c>
      <c r="C11442" s="11" t="s">
        <v>28</v>
      </c>
      <c r="D11442" s="9" t="s">
        <v>32177</v>
      </c>
      <c r="E11442" s="11" t="s">
        <v>28</v>
      </c>
      <c r="F11442" s="10" t="s">
        <v>28</v>
      </c>
      <c r="G11442" s="10" t="s">
        <v>28</v>
      </c>
      <c r="H11442" s="10" t="s">
        <v>28</v>
      </c>
      <c r="I11442" s="11" t="s">
        <v>28</v>
      </c>
      <c r="J11442" s="11" t="s">
        <v>28</v>
      </c>
      <c r="K11442" s="11" t="s">
        <v>28</v>
      </c>
      <c r="L11442" s="11" t="s">
        <v>28</v>
      </c>
      <c r="M11442" s="11" t="s">
        <v>28</v>
      </c>
      <c r="N11442" s="8">
        <v>41079</v>
      </c>
      <c r="O11442" s="9" t="s">
        <v>30</v>
      </c>
      <c r="P11442" s="12" t="s">
        <v>32178</v>
      </c>
      <c r="Q11442" s="9" t="s">
        <v>18014</v>
      </c>
      <c r="R11442" s="14" t="str">
        <f>HYPERLINK("https://my.pitchbook.com?c=89808-58T","View Company Online")</f>
        <v>View Company Online</v>
      </c>
    </row>
    <row r="11443" spans="1:18" hidden="1" x14ac:dyDescent="0.3">
      <c r="A11443" s="15" t="s">
        <v>32179</v>
      </c>
      <c r="B11443" s="15" t="s">
        <v>32180</v>
      </c>
      <c r="C11443" s="18" t="s">
        <v>28</v>
      </c>
      <c r="D11443" s="15" t="s">
        <v>32181</v>
      </c>
      <c r="E11443" s="18" t="s">
        <v>28</v>
      </c>
      <c r="F11443" s="19">
        <v>377.04</v>
      </c>
      <c r="G11443" s="19">
        <v>377.04</v>
      </c>
      <c r="H11443" s="19">
        <v>377.04</v>
      </c>
      <c r="I11443" s="18" t="s">
        <v>28</v>
      </c>
      <c r="J11443" s="18" t="s">
        <v>28</v>
      </c>
      <c r="K11443" s="18" t="s">
        <v>28</v>
      </c>
      <c r="L11443" s="18" t="s">
        <v>28</v>
      </c>
      <c r="M11443" s="18" t="s">
        <v>28</v>
      </c>
      <c r="N11443" s="17">
        <v>41079</v>
      </c>
      <c r="O11443" s="15" t="s">
        <v>30</v>
      </c>
      <c r="P11443" s="16" t="s">
        <v>23353</v>
      </c>
      <c r="Q11443" s="15" t="s">
        <v>160</v>
      </c>
      <c r="R11443" s="13" t="str">
        <f>HYPERLINK("https://my.pitchbook.com?c=89842-42T","View Company Online")</f>
        <v>View Company Online</v>
      </c>
    </row>
    <row r="11444" spans="1:18" hidden="1" x14ac:dyDescent="0.3">
      <c r="A11444" s="9" t="s">
        <v>32182</v>
      </c>
      <c r="B11444" s="9" t="s">
        <v>32183</v>
      </c>
      <c r="C11444" s="11" t="s">
        <v>28</v>
      </c>
      <c r="D11444" s="9" t="s">
        <v>32184</v>
      </c>
      <c r="E11444" s="11" t="s">
        <v>28</v>
      </c>
      <c r="F11444" s="10" t="s">
        <v>28</v>
      </c>
      <c r="G11444" s="10" t="s">
        <v>28</v>
      </c>
      <c r="H11444" s="10" t="s">
        <v>28</v>
      </c>
      <c r="I11444" s="11" t="s">
        <v>28</v>
      </c>
      <c r="J11444" s="11" t="s">
        <v>28</v>
      </c>
      <c r="K11444" s="11">
        <v>46.47</v>
      </c>
      <c r="L11444" s="11" t="s">
        <v>28</v>
      </c>
      <c r="M11444" s="11" t="s">
        <v>28</v>
      </c>
      <c r="N11444" s="8">
        <v>41079</v>
      </c>
      <c r="O11444" s="9" t="s">
        <v>30</v>
      </c>
      <c r="P11444" s="12" t="s">
        <v>4827</v>
      </c>
      <c r="Q11444" s="9" t="s">
        <v>4753</v>
      </c>
      <c r="R11444" s="14" t="str">
        <f>HYPERLINK("https://my.pitchbook.com?c=90121-42T","View Company Online")</f>
        <v>View Company Online</v>
      </c>
    </row>
    <row r="11445" spans="1:18" hidden="1" x14ac:dyDescent="0.3">
      <c r="A11445" s="15" t="s">
        <v>32185</v>
      </c>
      <c r="B11445" s="15" t="s">
        <v>32186</v>
      </c>
      <c r="C11445" s="18" t="s">
        <v>28</v>
      </c>
      <c r="D11445" s="15" t="s">
        <v>32187</v>
      </c>
      <c r="E11445" s="18" t="s">
        <v>28</v>
      </c>
      <c r="F11445" s="19" t="s">
        <v>28</v>
      </c>
      <c r="G11445" s="19" t="s">
        <v>28</v>
      </c>
      <c r="H11445" s="19" t="s">
        <v>28</v>
      </c>
      <c r="I11445" s="18" t="s">
        <v>28</v>
      </c>
      <c r="J11445" s="18" t="s">
        <v>28</v>
      </c>
      <c r="K11445" s="18" t="s">
        <v>28</v>
      </c>
      <c r="L11445" s="18" t="s">
        <v>28</v>
      </c>
      <c r="M11445" s="18" t="s">
        <v>28</v>
      </c>
      <c r="N11445" s="17">
        <v>41079</v>
      </c>
      <c r="O11445" s="15" t="s">
        <v>30</v>
      </c>
      <c r="P11445" s="16" t="s">
        <v>32188</v>
      </c>
      <c r="Q11445" s="15" t="s">
        <v>669</v>
      </c>
      <c r="R11445" s="13" t="str">
        <f>HYPERLINK("https://my.pitchbook.com?c=102741-67T","View Company Online")</f>
        <v>View Company Online</v>
      </c>
    </row>
    <row r="11446" spans="1:18" hidden="1" x14ac:dyDescent="0.3">
      <c r="A11446" s="9" t="s">
        <v>32189</v>
      </c>
      <c r="B11446" s="9" t="s">
        <v>14415</v>
      </c>
      <c r="C11446" s="11" t="s">
        <v>28</v>
      </c>
      <c r="D11446" s="9" t="s">
        <v>14416</v>
      </c>
      <c r="E11446" s="11" t="s">
        <v>28</v>
      </c>
      <c r="F11446" s="10" t="s">
        <v>28</v>
      </c>
      <c r="G11446" s="10">
        <v>0.98</v>
      </c>
      <c r="H11446" s="10">
        <v>3.74</v>
      </c>
      <c r="I11446" s="11" t="s">
        <v>28</v>
      </c>
      <c r="J11446" s="11" t="s">
        <v>28</v>
      </c>
      <c r="K11446" s="11" t="s">
        <v>28</v>
      </c>
      <c r="L11446" s="11" t="s">
        <v>28</v>
      </c>
      <c r="M11446" s="11" t="s">
        <v>28</v>
      </c>
      <c r="N11446" s="8">
        <v>41075</v>
      </c>
      <c r="O11446" s="9" t="s">
        <v>93</v>
      </c>
      <c r="P11446" s="12" t="s">
        <v>13100</v>
      </c>
      <c r="Q11446" s="9" t="s">
        <v>616</v>
      </c>
      <c r="R11446" s="14" t="str">
        <f>HYPERLINK("https://my.pitchbook.com?c=92915-65T","View Company Online")</f>
        <v>View Company Online</v>
      </c>
    </row>
    <row r="11447" spans="1:18" hidden="1" x14ac:dyDescent="0.3">
      <c r="A11447" s="15" t="s">
        <v>32190</v>
      </c>
      <c r="B11447" s="15" t="s">
        <v>32191</v>
      </c>
      <c r="C11447" s="18" t="s">
        <v>28</v>
      </c>
      <c r="D11447" s="15" t="s">
        <v>32192</v>
      </c>
      <c r="E11447" s="18">
        <v>-184.18</v>
      </c>
      <c r="F11447" s="19" t="s">
        <v>28</v>
      </c>
      <c r="G11447" s="19">
        <v>128.74</v>
      </c>
      <c r="H11447" s="19" t="s">
        <v>28</v>
      </c>
      <c r="I11447" s="18">
        <v>-164.53</v>
      </c>
      <c r="J11447" s="18" t="s">
        <v>28</v>
      </c>
      <c r="K11447" s="18">
        <v>307.86</v>
      </c>
      <c r="L11447" s="18" t="s">
        <v>28</v>
      </c>
      <c r="M11447" s="18">
        <v>-215.67</v>
      </c>
      <c r="N11447" s="17">
        <v>41072</v>
      </c>
      <c r="O11447" s="15" t="s">
        <v>159</v>
      </c>
      <c r="P11447" s="16" t="s">
        <v>32193</v>
      </c>
      <c r="Q11447" s="15" t="s">
        <v>517</v>
      </c>
      <c r="R11447" s="13" t="str">
        <f>HYPERLINK("https://my.pitchbook.com?c=93254-23T","View Company Online")</f>
        <v>View Company Online</v>
      </c>
    </row>
    <row r="11448" spans="1:18" hidden="1" x14ac:dyDescent="0.3">
      <c r="A11448" s="9" t="s">
        <v>32194</v>
      </c>
      <c r="B11448" s="9" t="s">
        <v>10621</v>
      </c>
      <c r="C11448" s="11" t="s">
        <v>28</v>
      </c>
      <c r="D11448" s="9" t="s">
        <v>10622</v>
      </c>
      <c r="E11448" s="11" t="s">
        <v>28</v>
      </c>
      <c r="F11448" s="10" t="s">
        <v>28</v>
      </c>
      <c r="G11448" s="10" t="s">
        <v>28</v>
      </c>
      <c r="H11448" s="10" t="s">
        <v>28</v>
      </c>
      <c r="I11448" s="11" t="s">
        <v>28</v>
      </c>
      <c r="J11448" s="11" t="s">
        <v>28</v>
      </c>
      <c r="K11448" s="11" t="s">
        <v>28</v>
      </c>
      <c r="L11448" s="11" t="s">
        <v>28</v>
      </c>
      <c r="M11448" s="11" t="s">
        <v>28</v>
      </c>
      <c r="N11448" s="8">
        <v>41068</v>
      </c>
      <c r="O11448" s="9" t="s">
        <v>58</v>
      </c>
      <c r="P11448" s="12" t="s">
        <v>864</v>
      </c>
      <c r="Q11448" s="9" t="s">
        <v>245</v>
      </c>
      <c r="R11448" s="14" t="str">
        <f>HYPERLINK("https://my.pitchbook.com?c=97978-15T","View Company Online")</f>
        <v>View Company Online</v>
      </c>
    </row>
    <row r="11449" spans="1:18" hidden="1" x14ac:dyDescent="0.3">
      <c r="A11449" s="15" t="s">
        <v>32195</v>
      </c>
      <c r="B11449" s="15" t="s">
        <v>32196</v>
      </c>
      <c r="C11449" s="18" t="s">
        <v>28</v>
      </c>
      <c r="D11449" s="15" t="s">
        <v>32197</v>
      </c>
      <c r="E11449" s="18" t="s">
        <v>28</v>
      </c>
      <c r="F11449" s="19" t="s">
        <v>28</v>
      </c>
      <c r="G11449" s="19" t="s">
        <v>28</v>
      </c>
      <c r="H11449" s="19" t="s">
        <v>28</v>
      </c>
      <c r="I11449" s="18" t="s">
        <v>28</v>
      </c>
      <c r="J11449" s="18" t="s">
        <v>28</v>
      </c>
      <c r="K11449" s="18" t="s">
        <v>28</v>
      </c>
      <c r="L11449" s="18" t="s">
        <v>28</v>
      </c>
      <c r="M11449" s="18" t="s">
        <v>28</v>
      </c>
      <c r="N11449" s="17">
        <v>41066</v>
      </c>
      <c r="O11449" s="15" t="s">
        <v>30</v>
      </c>
      <c r="P11449" s="16" t="s">
        <v>32198</v>
      </c>
      <c r="Q11449" s="15" t="s">
        <v>353</v>
      </c>
      <c r="R11449" s="13" t="str">
        <f>HYPERLINK("https://my.pitchbook.com?c=100802-80T","View Company Online")</f>
        <v>View Company Online</v>
      </c>
    </row>
    <row r="11450" spans="1:18" hidden="1" x14ac:dyDescent="0.3">
      <c r="A11450" s="9" t="s">
        <v>32199</v>
      </c>
      <c r="B11450" s="9" t="s">
        <v>8234</v>
      </c>
      <c r="C11450" s="11" t="s">
        <v>28</v>
      </c>
      <c r="D11450" s="9" t="s">
        <v>8235</v>
      </c>
      <c r="E11450" s="11" t="s">
        <v>28</v>
      </c>
      <c r="F11450" s="10" t="s">
        <v>28</v>
      </c>
      <c r="G11450" s="10">
        <v>0.45</v>
      </c>
      <c r="H11450" s="10" t="s">
        <v>28</v>
      </c>
      <c r="I11450" s="11" t="s">
        <v>28</v>
      </c>
      <c r="J11450" s="11" t="s">
        <v>28</v>
      </c>
      <c r="K11450" s="11" t="s">
        <v>28</v>
      </c>
      <c r="L11450" s="11" t="s">
        <v>28</v>
      </c>
      <c r="M11450" s="11" t="s">
        <v>28</v>
      </c>
      <c r="N11450" s="8">
        <v>41066</v>
      </c>
      <c r="O11450" s="9" t="s">
        <v>99</v>
      </c>
      <c r="P11450" s="12" t="s">
        <v>29865</v>
      </c>
      <c r="Q11450" s="9" t="s">
        <v>75</v>
      </c>
      <c r="R11450" s="14" t="str">
        <f>HYPERLINK("https://my.pitchbook.com?c=38829-52T","View Company Online")</f>
        <v>View Company Online</v>
      </c>
    </row>
    <row r="11451" spans="1:18" hidden="1" x14ac:dyDescent="0.3">
      <c r="A11451" s="15" t="s">
        <v>32200</v>
      </c>
      <c r="B11451" s="15" t="s">
        <v>32201</v>
      </c>
      <c r="C11451" s="18" t="s">
        <v>28</v>
      </c>
      <c r="D11451" s="15" t="s">
        <v>32202</v>
      </c>
      <c r="E11451" s="18" t="s">
        <v>28</v>
      </c>
      <c r="F11451" s="19" t="s">
        <v>28</v>
      </c>
      <c r="G11451" s="19">
        <v>159.93</v>
      </c>
      <c r="H11451" s="19">
        <v>726.93</v>
      </c>
      <c r="I11451" s="18" t="s">
        <v>28</v>
      </c>
      <c r="J11451" s="18" t="s">
        <v>28</v>
      </c>
      <c r="K11451" s="18" t="s">
        <v>28</v>
      </c>
      <c r="L11451" s="18" t="s">
        <v>28</v>
      </c>
      <c r="M11451" s="18" t="s">
        <v>28</v>
      </c>
      <c r="N11451" s="17">
        <v>41066</v>
      </c>
      <c r="O11451" s="15" t="s">
        <v>58</v>
      </c>
      <c r="P11451" s="16" t="s">
        <v>32203</v>
      </c>
      <c r="Q11451" s="15" t="s">
        <v>245</v>
      </c>
      <c r="R11451" s="13" t="str">
        <f>HYPERLINK("https://my.pitchbook.com?c=65961-19T","View Company Online")</f>
        <v>View Company Online</v>
      </c>
    </row>
    <row r="11452" spans="1:18" hidden="1" x14ac:dyDescent="0.3">
      <c r="A11452" s="9" t="s">
        <v>32204</v>
      </c>
      <c r="B11452" s="9" t="s">
        <v>32205</v>
      </c>
      <c r="C11452" s="11" t="s">
        <v>28</v>
      </c>
      <c r="D11452" s="9" t="s">
        <v>32206</v>
      </c>
      <c r="E11452" s="11" t="s">
        <v>28</v>
      </c>
      <c r="F11452" s="10" t="s">
        <v>28</v>
      </c>
      <c r="G11452" s="10" t="s">
        <v>28</v>
      </c>
      <c r="H11452" s="10" t="s">
        <v>28</v>
      </c>
      <c r="I11452" s="11" t="s">
        <v>28</v>
      </c>
      <c r="J11452" s="11" t="s">
        <v>28</v>
      </c>
      <c r="K11452" s="11" t="s">
        <v>28</v>
      </c>
      <c r="L11452" s="11" t="s">
        <v>28</v>
      </c>
      <c r="M11452" s="11" t="s">
        <v>28</v>
      </c>
      <c r="N11452" s="8">
        <v>41066</v>
      </c>
      <c r="O11452" s="9" t="s">
        <v>30</v>
      </c>
      <c r="P11452" s="12" t="s">
        <v>1072</v>
      </c>
      <c r="Q11452" s="9" t="s">
        <v>95</v>
      </c>
      <c r="R11452" s="14" t="str">
        <f>HYPERLINK("https://my.pitchbook.com?c=90535-33T","View Company Online")</f>
        <v>View Company Online</v>
      </c>
    </row>
    <row r="11453" spans="1:18" hidden="1" x14ac:dyDescent="0.3">
      <c r="A11453" s="15" t="s">
        <v>32207</v>
      </c>
      <c r="B11453" s="15" t="s">
        <v>11237</v>
      </c>
      <c r="C11453" s="18" t="s">
        <v>28</v>
      </c>
      <c r="D11453" s="15" t="s">
        <v>11747</v>
      </c>
      <c r="E11453" s="18">
        <v>191.93</v>
      </c>
      <c r="F11453" s="19" t="s">
        <v>28</v>
      </c>
      <c r="G11453" s="19" t="s">
        <v>28</v>
      </c>
      <c r="H11453" s="19" t="s">
        <v>28</v>
      </c>
      <c r="I11453" s="18">
        <v>239.66</v>
      </c>
      <c r="J11453" s="18" t="s">
        <v>28</v>
      </c>
      <c r="K11453" s="18">
        <v>1234.57</v>
      </c>
      <c r="L11453" s="18" t="s">
        <v>28</v>
      </c>
      <c r="M11453" s="18">
        <v>75.290000000000006</v>
      </c>
      <c r="N11453" s="17">
        <v>41065</v>
      </c>
      <c r="O11453" s="15" t="s">
        <v>159</v>
      </c>
      <c r="P11453" s="16" t="s">
        <v>27775</v>
      </c>
      <c r="Q11453" s="15" t="s">
        <v>348</v>
      </c>
      <c r="R11453" s="13" t="str">
        <f>HYPERLINK("https://my.pitchbook.com?c=25961-05T","View Company Online")</f>
        <v>View Company Online</v>
      </c>
    </row>
    <row r="11454" spans="1:18" hidden="1" x14ac:dyDescent="0.3">
      <c r="A11454" s="9" t="s">
        <v>32208</v>
      </c>
      <c r="B11454" s="9" t="s">
        <v>26983</v>
      </c>
      <c r="C11454" s="11" t="s">
        <v>28</v>
      </c>
      <c r="D11454" s="9" t="s">
        <v>26984</v>
      </c>
      <c r="E11454" s="11" t="s">
        <v>28</v>
      </c>
      <c r="F11454" s="10" t="s">
        <v>28</v>
      </c>
      <c r="G11454" s="10">
        <v>15.37</v>
      </c>
      <c r="H11454" s="10">
        <v>17.079999999999998</v>
      </c>
      <c r="I11454" s="11" t="s">
        <v>28</v>
      </c>
      <c r="J11454" s="11" t="s">
        <v>28</v>
      </c>
      <c r="K11454" s="11" t="s">
        <v>28</v>
      </c>
      <c r="L11454" s="11" t="s">
        <v>28</v>
      </c>
      <c r="M11454" s="11" t="s">
        <v>28</v>
      </c>
      <c r="N11454" s="8">
        <v>41065</v>
      </c>
      <c r="O11454" s="9" t="s">
        <v>73</v>
      </c>
      <c r="P11454" s="12" t="s">
        <v>19683</v>
      </c>
      <c r="Q11454" s="9" t="s">
        <v>740</v>
      </c>
      <c r="R11454" s="14" t="str">
        <f>HYPERLINK("https://my.pitchbook.com?c=33958-54T","View Company Online")</f>
        <v>View Company Online</v>
      </c>
    </row>
    <row r="11455" spans="1:18" hidden="1" x14ac:dyDescent="0.3">
      <c r="A11455" s="15" t="s">
        <v>32209</v>
      </c>
      <c r="B11455" s="15" t="s">
        <v>32210</v>
      </c>
      <c r="C11455" s="18" t="s">
        <v>28</v>
      </c>
      <c r="D11455" s="15" t="s">
        <v>32211</v>
      </c>
      <c r="E11455" s="18" t="s">
        <v>28</v>
      </c>
      <c r="F11455" s="19" t="s">
        <v>28</v>
      </c>
      <c r="G11455" s="19" t="s">
        <v>28</v>
      </c>
      <c r="H11455" s="19" t="s">
        <v>28</v>
      </c>
      <c r="I11455" s="18" t="s">
        <v>28</v>
      </c>
      <c r="J11455" s="18" t="s">
        <v>28</v>
      </c>
      <c r="K11455" s="18" t="s">
        <v>28</v>
      </c>
      <c r="L11455" s="18" t="s">
        <v>28</v>
      </c>
      <c r="M11455" s="18" t="s">
        <v>28</v>
      </c>
      <c r="N11455" s="17">
        <v>41064</v>
      </c>
      <c r="O11455" s="15" t="s">
        <v>41</v>
      </c>
      <c r="P11455" s="16" t="s">
        <v>32212</v>
      </c>
      <c r="Q11455" s="15" t="s">
        <v>517</v>
      </c>
      <c r="R11455" s="13" t="str">
        <f>HYPERLINK("https://my.pitchbook.com?c=21596-23T","View Company Online")</f>
        <v>View Company Online</v>
      </c>
    </row>
    <row r="11456" spans="1:18" hidden="1" x14ac:dyDescent="0.3">
      <c r="A11456" s="9" t="s">
        <v>32213</v>
      </c>
      <c r="B11456" s="9" t="s">
        <v>32214</v>
      </c>
      <c r="C11456" s="11" t="s">
        <v>28</v>
      </c>
      <c r="D11456" s="9" t="s">
        <v>32215</v>
      </c>
      <c r="E11456" s="11" t="s">
        <v>28</v>
      </c>
      <c r="F11456" s="10">
        <v>44.99</v>
      </c>
      <c r="G11456" s="10">
        <v>27.02</v>
      </c>
      <c r="H11456" s="10">
        <v>44.99</v>
      </c>
      <c r="I11456" s="11" t="s">
        <v>28</v>
      </c>
      <c r="J11456" s="11" t="s">
        <v>28</v>
      </c>
      <c r="K11456" s="11" t="s">
        <v>28</v>
      </c>
      <c r="L11456" s="11" t="s">
        <v>28</v>
      </c>
      <c r="M11456" s="11" t="s">
        <v>28</v>
      </c>
      <c r="N11456" s="8">
        <v>41061</v>
      </c>
      <c r="O11456" s="9" t="s">
        <v>30</v>
      </c>
      <c r="P11456" s="12" t="s">
        <v>5632</v>
      </c>
      <c r="Q11456" s="9" t="s">
        <v>85</v>
      </c>
      <c r="R11456" s="14" t="str">
        <f>HYPERLINK("https://my.pitchbook.com?c=72020-17T","View Company Online")</f>
        <v>View Company Online</v>
      </c>
    </row>
    <row r="11457" spans="1:18" hidden="1" x14ac:dyDescent="0.3">
      <c r="A11457" s="15" t="s">
        <v>32216</v>
      </c>
      <c r="B11457" s="15" t="s">
        <v>32217</v>
      </c>
      <c r="C11457" s="18" t="s">
        <v>28</v>
      </c>
      <c r="D11457" s="15" t="s">
        <v>32218</v>
      </c>
      <c r="E11457" s="18" t="s">
        <v>28</v>
      </c>
      <c r="F11457" s="19" t="s">
        <v>28</v>
      </c>
      <c r="G11457" s="19" t="s">
        <v>28</v>
      </c>
      <c r="H11457" s="19" t="s">
        <v>28</v>
      </c>
      <c r="I11457" s="18" t="s">
        <v>28</v>
      </c>
      <c r="J11457" s="18" t="s">
        <v>28</v>
      </c>
      <c r="K11457" s="18" t="s">
        <v>28</v>
      </c>
      <c r="L11457" s="18" t="s">
        <v>28</v>
      </c>
      <c r="M11457" s="18" t="s">
        <v>28</v>
      </c>
      <c r="N11457" s="17">
        <v>41061</v>
      </c>
      <c r="O11457" s="15" t="s">
        <v>30</v>
      </c>
      <c r="P11457" s="16" t="s">
        <v>32151</v>
      </c>
      <c r="Q11457" s="15" t="s">
        <v>136</v>
      </c>
      <c r="R11457" s="13" t="str">
        <f>HYPERLINK("https://my.pitchbook.com?c=89867-89T","View Company Online")</f>
        <v>View Company Online</v>
      </c>
    </row>
    <row r="11458" spans="1:18" hidden="1" x14ac:dyDescent="0.3">
      <c r="A11458" s="9" t="s">
        <v>32219</v>
      </c>
      <c r="B11458" s="9" t="s">
        <v>32220</v>
      </c>
      <c r="C11458" s="11" t="s">
        <v>28</v>
      </c>
      <c r="D11458" s="9" t="s">
        <v>32221</v>
      </c>
      <c r="E11458" s="11" t="s">
        <v>28</v>
      </c>
      <c r="F11458" s="10" t="s">
        <v>28</v>
      </c>
      <c r="G11458" s="10">
        <v>1</v>
      </c>
      <c r="H11458" s="10" t="s">
        <v>28</v>
      </c>
      <c r="I11458" s="11" t="s">
        <v>28</v>
      </c>
      <c r="J11458" s="11" t="s">
        <v>28</v>
      </c>
      <c r="K11458" s="11" t="s">
        <v>28</v>
      </c>
      <c r="L11458" s="11" t="s">
        <v>28</v>
      </c>
      <c r="M11458" s="11" t="s">
        <v>28</v>
      </c>
      <c r="N11458" s="8">
        <v>41061</v>
      </c>
      <c r="O11458" s="9" t="s">
        <v>58</v>
      </c>
      <c r="P11458" s="12" t="s">
        <v>27386</v>
      </c>
      <c r="Q11458" s="9" t="s">
        <v>419</v>
      </c>
      <c r="R11458" s="14" t="str">
        <f>HYPERLINK("https://my.pitchbook.com?c=54848-98T","View Company Online")</f>
        <v>View Company Online</v>
      </c>
    </row>
    <row r="11459" spans="1:18" hidden="1" x14ac:dyDescent="0.3">
      <c r="A11459" s="15" t="s">
        <v>32222</v>
      </c>
      <c r="B11459" s="15" t="s">
        <v>32223</v>
      </c>
      <c r="C11459" s="18" t="s">
        <v>28</v>
      </c>
      <c r="D11459" s="15" t="s">
        <v>32224</v>
      </c>
      <c r="E11459" s="18" t="s">
        <v>28</v>
      </c>
      <c r="F11459" s="19" t="s">
        <v>28</v>
      </c>
      <c r="G11459" s="19" t="s">
        <v>28</v>
      </c>
      <c r="H11459" s="19" t="s">
        <v>28</v>
      </c>
      <c r="I11459" s="18" t="s">
        <v>28</v>
      </c>
      <c r="J11459" s="18" t="s">
        <v>28</v>
      </c>
      <c r="K11459" s="18" t="s">
        <v>28</v>
      </c>
      <c r="L11459" s="18" t="s">
        <v>28</v>
      </c>
      <c r="M11459" s="18" t="s">
        <v>28</v>
      </c>
      <c r="N11459" s="17">
        <v>41061</v>
      </c>
      <c r="O11459" s="15" t="s">
        <v>93</v>
      </c>
      <c r="P11459" s="16" t="s">
        <v>32225</v>
      </c>
      <c r="Q11459" s="15" t="s">
        <v>409</v>
      </c>
      <c r="R11459" s="13" t="str">
        <f>HYPERLINK("https://my.pitchbook.com?c=73237-78T","View Company Online")</f>
        <v>View Company Online</v>
      </c>
    </row>
    <row r="11460" spans="1:18" hidden="1" x14ac:dyDescent="0.3">
      <c r="A11460" s="9" t="s">
        <v>32226</v>
      </c>
      <c r="B11460" s="9" t="s">
        <v>32227</v>
      </c>
      <c r="C11460" s="11" t="s">
        <v>28</v>
      </c>
      <c r="D11460" s="9" t="s">
        <v>32228</v>
      </c>
      <c r="E11460" s="11" t="s">
        <v>28</v>
      </c>
      <c r="F11460" s="10" t="s">
        <v>28</v>
      </c>
      <c r="G11460" s="10" t="s">
        <v>28</v>
      </c>
      <c r="H11460" s="10" t="s">
        <v>28</v>
      </c>
      <c r="I11460" s="11" t="s">
        <v>28</v>
      </c>
      <c r="J11460" s="11" t="s">
        <v>28</v>
      </c>
      <c r="K11460" s="11" t="s">
        <v>28</v>
      </c>
      <c r="L11460" s="11" t="s">
        <v>28</v>
      </c>
      <c r="M11460" s="11" t="s">
        <v>28</v>
      </c>
      <c r="N11460" s="8">
        <v>41061</v>
      </c>
      <c r="O11460" s="9" t="s">
        <v>30</v>
      </c>
      <c r="P11460" s="12" t="s">
        <v>32229</v>
      </c>
      <c r="Q11460" s="9" t="s">
        <v>1035</v>
      </c>
      <c r="R11460" s="14" t="str">
        <f>HYPERLINK("https://my.pitchbook.com?c=89959-33T","View Company Online")</f>
        <v>View Company Online</v>
      </c>
    </row>
    <row r="11461" spans="1:18" hidden="1" x14ac:dyDescent="0.3">
      <c r="A11461" s="15" t="s">
        <v>32230</v>
      </c>
      <c r="B11461" s="15" t="s">
        <v>32231</v>
      </c>
      <c r="C11461" s="18" t="s">
        <v>28</v>
      </c>
      <c r="D11461" s="15" t="s">
        <v>32232</v>
      </c>
      <c r="E11461" s="18" t="s">
        <v>28</v>
      </c>
      <c r="F11461" s="19" t="s">
        <v>28</v>
      </c>
      <c r="G11461" s="19" t="s">
        <v>28</v>
      </c>
      <c r="H11461" s="19" t="s">
        <v>28</v>
      </c>
      <c r="I11461" s="18" t="s">
        <v>28</v>
      </c>
      <c r="J11461" s="18" t="s">
        <v>28</v>
      </c>
      <c r="K11461" s="18" t="s">
        <v>28</v>
      </c>
      <c r="L11461" s="18" t="s">
        <v>28</v>
      </c>
      <c r="M11461" s="18" t="s">
        <v>28</v>
      </c>
      <c r="N11461" s="17">
        <v>41061</v>
      </c>
      <c r="O11461" s="15" t="s">
        <v>93</v>
      </c>
      <c r="P11461" s="16" t="s">
        <v>32233</v>
      </c>
      <c r="Q11461" s="15" t="s">
        <v>1088</v>
      </c>
      <c r="R11461" s="13" t="str">
        <f>HYPERLINK("https://my.pitchbook.com?c=45567-01T","View Company Online")</f>
        <v>View Company Online</v>
      </c>
    </row>
    <row r="11462" spans="1:18" hidden="1" x14ac:dyDescent="0.3">
      <c r="A11462" s="9" t="s">
        <v>32234</v>
      </c>
      <c r="B11462" s="9" t="s">
        <v>32235</v>
      </c>
      <c r="C11462" s="11" t="s">
        <v>28</v>
      </c>
      <c r="D11462" s="9" t="s">
        <v>32236</v>
      </c>
      <c r="E11462" s="11" t="s">
        <v>28</v>
      </c>
      <c r="F11462" s="10" t="s">
        <v>28</v>
      </c>
      <c r="G11462" s="10" t="s">
        <v>28</v>
      </c>
      <c r="H11462" s="10" t="s">
        <v>28</v>
      </c>
      <c r="I11462" s="11" t="s">
        <v>28</v>
      </c>
      <c r="J11462" s="11" t="s">
        <v>28</v>
      </c>
      <c r="K11462" s="11">
        <v>24.57</v>
      </c>
      <c r="L11462" s="11" t="s">
        <v>28</v>
      </c>
      <c r="M11462" s="11" t="s">
        <v>28</v>
      </c>
      <c r="N11462" s="8">
        <v>41061</v>
      </c>
      <c r="O11462" s="9" t="s">
        <v>30</v>
      </c>
      <c r="P11462" s="12" t="s">
        <v>32237</v>
      </c>
      <c r="Q11462" s="9" t="s">
        <v>249</v>
      </c>
      <c r="R11462" s="14" t="str">
        <f>HYPERLINK("https://my.pitchbook.com?c=71718-22T","View Company Online")</f>
        <v>View Company Online</v>
      </c>
    </row>
    <row r="11463" spans="1:18" hidden="1" x14ac:dyDescent="0.3">
      <c r="A11463" s="15" t="s">
        <v>32238</v>
      </c>
      <c r="B11463" s="15" t="s">
        <v>5865</v>
      </c>
      <c r="C11463" s="18" t="s">
        <v>28</v>
      </c>
      <c r="D11463" s="15" t="s">
        <v>5866</v>
      </c>
      <c r="E11463" s="18">
        <v>-27.57</v>
      </c>
      <c r="F11463" s="19" t="s">
        <v>28</v>
      </c>
      <c r="G11463" s="19" t="s">
        <v>28</v>
      </c>
      <c r="H11463" s="19" t="s">
        <v>28</v>
      </c>
      <c r="I11463" s="18">
        <v>-27.57</v>
      </c>
      <c r="J11463" s="18" t="s">
        <v>28</v>
      </c>
      <c r="K11463" s="18">
        <v>277.8</v>
      </c>
      <c r="L11463" s="18" t="s">
        <v>28</v>
      </c>
      <c r="M11463" s="18">
        <v>-67.27</v>
      </c>
      <c r="N11463" s="17">
        <v>41060</v>
      </c>
      <c r="O11463" s="15" t="s">
        <v>159</v>
      </c>
      <c r="P11463" s="16" t="s">
        <v>30859</v>
      </c>
      <c r="Q11463" s="15" t="s">
        <v>470</v>
      </c>
      <c r="R11463" s="13" t="str">
        <f>HYPERLINK("https://my.pitchbook.com?c=29660-50T","View Company Online")</f>
        <v>View Company Online</v>
      </c>
    </row>
    <row r="11464" spans="1:18" hidden="1" x14ac:dyDescent="0.3">
      <c r="A11464" s="9" t="s">
        <v>32239</v>
      </c>
      <c r="B11464" s="9" t="s">
        <v>2094</v>
      </c>
      <c r="C11464" s="11" t="s">
        <v>28</v>
      </c>
      <c r="D11464" s="9" t="s">
        <v>2095</v>
      </c>
      <c r="E11464" s="11" t="s">
        <v>28</v>
      </c>
      <c r="F11464" s="10">
        <v>375.24</v>
      </c>
      <c r="G11464" s="10">
        <v>78.8</v>
      </c>
      <c r="H11464" s="10">
        <v>375.24</v>
      </c>
      <c r="I11464" s="11" t="s">
        <v>28</v>
      </c>
      <c r="J11464" s="11" t="s">
        <v>28</v>
      </c>
      <c r="K11464" s="11" t="s">
        <v>28</v>
      </c>
      <c r="L11464" s="11" t="s">
        <v>28</v>
      </c>
      <c r="M11464" s="11" t="s">
        <v>28</v>
      </c>
      <c r="N11464" s="8">
        <v>41060</v>
      </c>
      <c r="O11464" s="9" t="s">
        <v>30</v>
      </c>
      <c r="P11464" s="12" t="s">
        <v>32240</v>
      </c>
      <c r="Q11464" s="9" t="s">
        <v>2097</v>
      </c>
      <c r="R11464" s="14" t="str">
        <f>HYPERLINK("https://my.pitchbook.com?c=72655-93T","View Company Online")</f>
        <v>View Company Online</v>
      </c>
    </row>
    <row r="11465" spans="1:18" hidden="1" x14ac:dyDescent="0.3">
      <c r="A11465" s="15" t="s">
        <v>32241</v>
      </c>
      <c r="B11465" s="15" t="s">
        <v>32242</v>
      </c>
      <c r="C11465" s="18" t="s">
        <v>28</v>
      </c>
      <c r="D11465" s="15" t="s">
        <v>32243</v>
      </c>
      <c r="E11465" s="18" t="s">
        <v>28</v>
      </c>
      <c r="F11465" s="19" t="s">
        <v>28</v>
      </c>
      <c r="G11465" s="19" t="s">
        <v>28</v>
      </c>
      <c r="H11465" s="19" t="s">
        <v>28</v>
      </c>
      <c r="I11465" s="18" t="s">
        <v>28</v>
      </c>
      <c r="J11465" s="18" t="s">
        <v>28</v>
      </c>
      <c r="K11465" s="18" t="s">
        <v>28</v>
      </c>
      <c r="L11465" s="18" t="s">
        <v>28</v>
      </c>
      <c r="M11465" s="18" t="s">
        <v>28</v>
      </c>
      <c r="N11465" s="17">
        <v>41060</v>
      </c>
      <c r="O11465" s="15" t="s">
        <v>30</v>
      </c>
      <c r="P11465" s="16" t="s">
        <v>31786</v>
      </c>
      <c r="Q11465" s="15" t="s">
        <v>4670</v>
      </c>
      <c r="R11465" s="13" t="str">
        <f>HYPERLINK("https://my.pitchbook.com?c=90064-18T","View Company Online")</f>
        <v>View Company Online</v>
      </c>
    </row>
    <row r="11466" spans="1:18" hidden="1" x14ac:dyDescent="0.3">
      <c r="A11466" s="9" t="s">
        <v>32244</v>
      </c>
      <c r="B11466" s="9" t="s">
        <v>26250</v>
      </c>
      <c r="C11466" s="11" t="s">
        <v>28</v>
      </c>
      <c r="D11466" s="9" t="s">
        <v>26251</v>
      </c>
      <c r="E11466" s="11" t="s">
        <v>28</v>
      </c>
      <c r="F11466" s="10" t="s">
        <v>28</v>
      </c>
      <c r="G11466" s="10">
        <v>323.04000000000002</v>
      </c>
      <c r="H11466" s="10">
        <v>647.34</v>
      </c>
      <c r="I11466" s="11" t="s">
        <v>28</v>
      </c>
      <c r="J11466" s="11" t="s">
        <v>28</v>
      </c>
      <c r="K11466" s="11" t="s">
        <v>28</v>
      </c>
      <c r="L11466" s="11" t="s">
        <v>28</v>
      </c>
      <c r="M11466" s="11" t="s">
        <v>28</v>
      </c>
      <c r="N11466" s="8">
        <v>41060</v>
      </c>
      <c r="O11466" s="9" t="s">
        <v>58</v>
      </c>
      <c r="P11466" s="12" t="s">
        <v>32245</v>
      </c>
      <c r="Q11466" s="9" t="s">
        <v>900</v>
      </c>
      <c r="R11466" s="14" t="str">
        <f>HYPERLINK("https://my.pitchbook.com?c=65822-95T","View Company Online")</f>
        <v>View Company Online</v>
      </c>
    </row>
    <row r="11467" spans="1:18" hidden="1" x14ac:dyDescent="0.3">
      <c r="A11467" s="15" t="s">
        <v>32246</v>
      </c>
      <c r="B11467" s="15" t="s">
        <v>536</v>
      </c>
      <c r="C11467" s="18" t="s">
        <v>28</v>
      </c>
      <c r="D11467" s="15" t="s">
        <v>537</v>
      </c>
      <c r="E11467" s="18" t="s">
        <v>28</v>
      </c>
      <c r="F11467" s="19" t="s">
        <v>28</v>
      </c>
      <c r="G11467" s="19">
        <v>58.66</v>
      </c>
      <c r="H11467" s="19" t="s">
        <v>28</v>
      </c>
      <c r="I11467" s="18" t="s">
        <v>28</v>
      </c>
      <c r="J11467" s="18" t="s">
        <v>28</v>
      </c>
      <c r="K11467" s="18" t="s">
        <v>28</v>
      </c>
      <c r="L11467" s="18" t="s">
        <v>28</v>
      </c>
      <c r="M11467" s="18" t="s">
        <v>28</v>
      </c>
      <c r="N11467" s="17">
        <v>41060</v>
      </c>
      <c r="O11467" s="15" t="s">
        <v>93</v>
      </c>
      <c r="P11467" s="16" t="s">
        <v>32247</v>
      </c>
      <c r="Q11467" s="15" t="s">
        <v>470</v>
      </c>
      <c r="R11467" s="13" t="str">
        <f>HYPERLINK("https://my.pitchbook.com?c=87561-91T","View Company Online")</f>
        <v>View Company Online</v>
      </c>
    </row>
    <row r="11468" spans="1:18" hidden="1" x14ac:dyDescent="0.3">
      <c r="A11468" s="9" t="s">
        <v>32248</v>
      </c>
      <c r="B11468" s="9" t="s">
        <v>32249</v>
      </c>
      <c r="C11468" s="11" t="s">
        <v>28</v>
      </c>
      <c r="D11468" s="9" t="s">
        <v>32250</v>
      </c>
      <c r="E11468" s="11" t="s">
        <v>28</v>
      </c>
      <c r="F11468" s="10">
        <v>13</v>
      </c>
      <c r="G11468" s="10">
        <v>13</v>
      </c>
      <c r="H11468" s="10">
        <v>13</v>
      </c>
      <c r="I11468" s="11" t="s">
        <v>28</v>
      </c>
      <c r="J11468" s="11" t="s">
        <v>28</v>
      </c>
      <c r="K11468" s="11" t="s">
        <v>28</v>
      </c>
      <c r="L11468" s="11" t="s">
        <v>28</v>
      </c>
      <c r="M11468" s="11" t="s">
        <v>28</v>
      </c>
      <c r="N11468" s="8">
        <v>41060</v>
      </c>
      <c r="O11468" s="9" t="s">
        <v>30</v>
      </c>
      <c r="P11468" s="12" t="s">
        <v>32251</v>
      </c>
      <c r="Q11468" s="9" t="s">
        <v>75</v>
      </c>
      <c r="R11468" s="14" t="str">
        <f>HYPERLINK("https://my.pitchbook.com?c=71822-80T","View Company Online")</f>
        <v>View Company Online</v>
      </c>
    </row>
    <row r="11469" spans="1:18" hidden="1" x14ac:dyDescent="0.3">
      <c r="A11469" s="15" t="s">
        <v>32252</v>
      </c>
      <c r="B11469" s="15" t="s">
        <v>32253</v>
      </c>
      <c r="C11469" s="18" t="s">
        <v>28</v>
      </c>
      <c r="D11469" s="15" t="s">
        <v>32254</v>
      </c>
      <c r="E11469" s="18">
        <v>5.66</v>
      </c>
      <c r="F11469" s="19">
        <v>160.61000000000001</v>
      </c>
      <c r="G11469" s="19">
        <v>81.91</v>
      </c>
      <c r="H11469" s="19">
        <v>160.61000000000001</v>
      </c>
      <c r="I11469" s="18" t="s">
        <v>28</v>
      </c>
      <c r="J11469" s="18" t="s">
        <v>28</v>
      </c>
      <c r="K11469" s="18">
        <v>44.09</v>
      </c>
      <c r="L11469" s="18">
        <v>3.64</v>
      </c>
      <c r="M11469" s="18">
        <v>3.93</v>
      </c>
      <c r="N11469" s="17">
        <v>41059</v>
      </c>
      <c r="O11469" s="15" t="s">
        <v>30</v>
      </c>
      <c r="P11469" s="16" t="s">
        <v>32255</v>
      </c>
      <c r="Q11469" s="15" t="s">
        <v>15521</v>
      </c>
      <c r="R11469" s="13" t="str">
        <f>HYPERLINK("https://my.pitchbook.com?c=71824-51T","View Company Online")</f>
        <v>View Company Online</v>
      </c>
    </row>
    <row r="11470" spans="1:18" hidden="1" x14ac:dyDescent="0.3">
      <c r="A11470" s="9" t="s">
        <v>32256</v>
      </c>
      <c r="B11470" s="9" t="s">
        <v>32257</v>
      </c>
      <c r="C11470" s="11" t="s">
        <v>28</v>
      </c>
      <c r="D11470" s="9" t="s">
        <v>32258</v>
      </c>
      <c r="E11470" s="11" t="s">
        <v>28</v>
      </c>
      <c r="F11470" s="10" t="s">
        <v>28</v>
      </c>
      <c r="G11470" s="10" t="s">
        <v>28</v>
      </c>
      <c r="H11470" s="10" t="s">
        <v>28</v>
      </c>
      <c r="I11470" s="11" t="s">
        <v>28</v>
      </c>
      <c r="J11470" s="11" t="s">
        <v>28</v>
      </c>
      <c r="K11470" s="11" t="s">
        <v>28</v>
      </c>
      <c r="L11470" s="11" t="s">
        <v>28</v>
      </c>
      <c r="M11470" s="11" t="s">
        <v>28</v>
      </c>
      <c r="N11470" s="8">
        <v>41059</v>
      </c>
      <c r="O11470" s="9" t="s">
        <v>41</v>
      </c>
      <c r="P11470" s="12" t="s">
        <v>32259</v>
      </c>
      <c r="Q11470" s="9" t="s">
        <v>774</v>
      </c>
      <c r="R11470" s="14" t="str">
        <f>HYPERLINK("https://my.pitchbook.com?c=102516-04T","View Company Online")</f>
        <v>View Company Online</v>
      </c>
    </row>
    <row r="11471" spans="1:18" hidden="1" x14ac:dyDescent="0.3">
      <c r="A11471" s="15" t="s">
        <v>32260</v>
      </c>
      <c r="B11471" s="15" t="s">
        <v>6868</v>
      </c>
      <c r="C11471" s="18" t="s">
        <v>28</v>
      </c>
      <c r="D11471" s="15" t="s">
        <v>6869</v>
      </c>
      <c r="E11471" s="18" t="s">
        <v>28</v>
      </c>
      <c r="F11471" s="19">
        <v>4.91</v>
      </c>
      <c r="G11471" s="19">
        <v>4.91</v>
      </c>
      <c r="H11471" s="19">
        <v>4.91</v>
      </c>
      <c r="I11471" s="18" t="s">
        <v>28</v>
      </c>
      <c r="J11471" s="18" t="s">
        <v>28</v>
      </c>
      <c r="K11471" s="18" t="s">
        <v>28</v>
      </c>
      <c r="L11471" s="18" t="s">
        <v>28</v>
      </c>
      <c r="M11471" s="18" t="s">
        <v>28</v>
      </c>
      <c r="N11471" s="17">
        <v>41059</v>
      </c>
      <c r="O11471" s="15" t="s">
        <v>41</v>
      </c>
      <c r="P11471" s="16" t="s">
        <v>32261</v>
      </c>
      <c r="Q11471" s="15" t="s">
        <v>409</v>
      </c>
      <c r="R11471" s="13" t="str">
        <f>HYPERLINK("https://my.pitchbook.com?c=33960-25T","View Company Online")</f>
        <v>View Company Online</v>
      </c>
    </row>
    <row r="11472" spans="1:18" hidden="1" x14ac:dyDescent="0.3">
      <c r="A11472" s="9" t="s">
        <v>32262</v>
      </c>
      <c r="B11472" s="9" t="s">
        <v>5865</v>
      </c>
      <c r="C11472" s="11" t="s">
        <v>28</v>
      </c>
      <c r="D11472" s="9" t="s">
        <v>5866</v>
      </c>
      <c r="E11472" s="11">
        <v>-27.57</v>
      </c>
      <c r="F11472" s="10" t="s">
        <v>28</v>
      </c>
      <c r="G11472" s="10" t="s">
        <v>28</v>
      </c>
      <c r="H11472" s="10" t="s">
        <v>28</v>
      </c>
      <c r="I11472" s="11">
        <v>-27.57</v>
      </c>
      <c r="J11472" s="11" t="s">
        <v>28</v>
      </c>
      <c r="K11472" s="11">
        <v>277.8</v>
      </c>
      <c r="L11472" s="11" t="s">
        <v>28</v>
      </c>
      <c r="M11472" s="11">
        <v>-67.27</v>
      </c>
      <c r="N11472" s="8">
        <v>41058</v>
      </c>
      <c r="O11472" s="9" t="s">
        <v>159</v>
      </c>
      <c r="P11472" s="12" t="s">
        <v>32263</v>
      </c>
      <c r="Q11472" s="9" t="s">
        <v>470</v>
      </c>
      <c r="R11472" s="14" t="str">
        <f>HYPERLINK("https://my.pitchbook.com?c=29660-41T","View Company Online")</f>
        <v>View Company Online</v>
      </c>
    </row>
    <row r="11473" spans="1:18" hidden="1" x14ac:dyDescent="0.3">
      <c r="A11473" s="15" t="s">
        <v>32264</v>
      </c>
      <c r="B11473" s="15" t="s">
        <v>32265</v>
      </c>
      <c r="C11473" s="18" t="s">
        <v>28</v>
      </c>
      <c r="D11473" s="15" t="s">
        <v>32266</v>
      </c>
      <c r="E11473" s="18">
        <v>-0.23</v>
      </c>
      <c r="F11473" s="19" t="s">
        <v>28</v>
      </c>
      <c r="G11473" s="19" t="s">
        <v>28</v>
      </c>
      <c r="H11473" s="19" t="s">
        <v>28</v>
      </c>
      <c r="I11473" s="18" t="s">
        <v>28</v>
      </c>
      <c r="J11473" s="18" t="s">
        <v>28</v>
      </c>
      <c r="K11473" s="18">
        <v>0</v>
      </c>
      <c r="L11473" s="18" t="s">
        <v>28</v>
      </c>
      <c r="M11473" s="18">
        <v>-0.54</v>
      </c>
      <c r="N11473" s="17">
        <v>41057</v>
      </c>
      <c r="O11473" s="15" t="s">
        <v>30</v>
      </c>
      <c r="P11473" s="16" t="s">
        <v>28</v>
      </c>
      <c r="Q11473" s="15" t="s">
        <v>160</v>
      </c>
      <c r="R11473" s="13" t="str">
        <f>HYPERLINK("https://my.pitchbook.com?c=134455-15T","View Company Online")</f>
        <v>View Company Online</v>
      </c>
    </row>
    <row r="11474" spans="1:18" hidden="1" x14ac:dyDescent="0.3">
      <c r="A11474" s="9" t="s">
        <v>32267</v>
      </c>
      <c r="B11474" s="9" t="s">
        <v>32268</v>
      </c>
      <c r="C11474" s="11" t="s">
        <v>28</v>
      </c>
      <c r="D11474" s="9" t="s">
        <v>32269</v>
      </c>
      <c r="E11474" s="11" t="s">
        <v>28</v>
      </c>
      <c r="F11474" s="10">
        <v>58.43</v>
      </c>
      <c r="G11474" s="10">
        <v>58.43</v>
      </c>
      <c r="H11474" s="10">
        <v>58.43</v>
      </c>
      <c r="I11474" s="11" t="s">
        <v>28</v>
      </c>
      <c r="J11474" s="11" t="s">
        <v>28</v>
      </c>
      <c r="K11474" s="11" t="s">
        <v>28</v>
      </c>
      <c r="L11474" s="11" t="s">
        <v>28</v>
      </c>
      <c r="M11474" s="11" t="s">
        <v>28</v>
      </c>
      <c r="N11474" s="8">
        <v>41057</v>
      </c>
      <c r="O11474" s="9" t="s">
        <v>30</v>
      </c>
      <c r="P11474" s="12" t="s">
        <v>17216</v>
      </c>
      <c r="Q11474" s="9" t="s">
        <v>348</v>
      </c>
      <c r="R11474" s="14" t="str">
        <f>HYPERLINK("https://my.pitchbook.com?c=89902-00T","View Company Online")</f>
        <v>View Company Online</v>
      </c>
    </row>
    <row r="11475" spans="1:18" hidden="1" x14ac:dyDescent="0.3">
      <c r="A11475" s="15" t="s">
        <v>32270</v>
      </c>
      <c r="B11475" s="15" t="s">
        <v>8468</v>
      </c>
      <c r="C11475" s="18" t="s">
        <v>28</v>
      </c>
      <c r="D11475" s="15" t="s">
        <v>8469</v>
      </c>
      <c r="E11475" s="18" t="s">
        <v>28</v>
      </c>
      <c r="F11475" s="19">
        <v>290.47000000000003</v>
      </c>
      <c r="G11475" s="19">
        <v>290.47000000000003</v>
      </c>
      <c r="H11475" s="19">
        <v>290.47000000000003</v>
      </c>
      <c r="I11475" s="18" t="s">
        <v>28</v>
      </c>
      <c r="J11475" s="18" t="s">
        <v>28</v>
      </c>
      <c r="K11475" s="18" t="s">
        <v>28</v>
      </c>
      <c r="L11475" s="18" t="s">
        <v>28</v>
      </c>
      <c r="M11475" s="18" t="s">
        <v>28</v>
      </c>
      <c r="N11475" s="17">
        <v>41057</v>
      </c>
      <c r="O11475" s="15" t="s">
        <v>30</v>
      </c>
      <c r="P11475" s="16" t="s">
        <v>21227</v>
      </c>
      <c r="Q11475" s="15" t="s">
        <v>43</v>
      </c>
      <c r="R11475" s="13" t="str">
        <f>HYPERLINK("https://my.pitchbook.com?c=67154-05T","View Company Online")</f>
        <v>View Company Online</v>
      </c>
    </row>
    <row r="11476" spans="1:18" hidden="1" x14ac:dyDescent="0.3">
      <c r="A11476" s="9" t="s">
        <v>32271</v>
      </c>
      <c r="B11476" s="9" t="s">
        <v>32272</v>
      </c>
      <c r="C11476" s="11" t="s">
        <v>28</v>
      </c>
      <c r="D11476" s="9" t="s">
        <v>32273</v>
      </c>
      <c r="E11476" s="11" t="s">
        <v>28</v>
      </c>
      <c r="F11476" s="10">
        <v>457.04</v>
      </c>
      <c r="G11476" s="10">
        <v>457.04</v>
      </c>
      <c r="H11476" s="10">
        <v>457.04</v>
      </c>
      <c r="I11476" s="11" t="s">
        <v>28</v>
      </c>
      <c r="J11476" s="11" t="s">
        <v>28</v>
      </c>
      <c r="K11476" s="11" t="s">
        <v>28</v>
      </c>
      <c r="L11476" s="11" t="s">
        <v>28</v>
      </c>
      <c r="M11476" s="11" t="s">
        <v>28</v>
      </c>
      <c r="N11476" s="8">
        <v>41057</v>
      </c>
      <c r="O11476" s="9" t="s">
        <v>30</v>
      </c>
      <c r="P11476" s="12" t="s">
        <v>32274</v>
      </c>
      <c r="Q11476" s="9" t="s">
        <v>105</v>
      </c>
      <c r="R11476" s="14" t="str">
        <f>HYPERLINK("https://my.pitchbook.com?c=90174-88T","View Company Online")</f>
        <v>View Company Online</v>
      </c>
    </row>
    <row r="11477" spans="1:18" hidden="1" x14ac:dyDescent="0.3">
      <c r="A11477" s="15" t="s">
        <v>32275</v>
      </c>
      <c r="B11477" s="15" t="s">
        <v>28061</v>
      </c>
      <c r="C11477" s="18" t="s">
        <v>28</v>
      </c>
      <c r="D11477" s="15" t="s">
        <v>28062</v>
      </c>
      <c r="E11477" s="18">
        <v>-20.18</v>
      </c>
      <c r="F11477" s="19" t="s">
        <v>28</v>
      </c>
      <c r="G11477" s="19">
        <v>765.8</v>
      </c>
      <c r="H11477" s="19" t="s">
        <v>28</v>
      </c>
      <c r="I11477" s="18" t="s">
        <v>28</v>
      </c>
      <c r="J11477" s="18" t="s">
        <v>28</v>
      </c>
      <c r="K11477" s="18">
        <v>0</v>
      </c>
      <c r="L11477" s="18" t="s">
        <v>28</v>
      </c>
      <c r="M11477" s="18">
        <v>-20.68</v>
      </c>
      <c r="N11477" s="17">
        <v>41054</v>
      </c>
      <c r="O11477" s="15" t="s">
        <v>173</v>
      </c>
      <c r="P11477" s="16" t="s">
        <v>28</v>
      </c>
      <c r="Q11477" s="15" t="s">
        <v>28063</v>
      </c>
      <c r="R11477" s="13" t="str">
        <f>HYPERLINK("https://my.pitchbook.com?c=46967-86T","View Company Online")</f>
        <v>View Company Online</v>
      </c>
    </row>
    <row r="11478" spans="1:18" hidden="1" x14ac:dyDescent="0.3">
      <c r="A11478" s="9" t="s">
        <v>32276</v>
      </c>
      <c r="B11478" s="9" t="s">
        <v>32277</v>
      </c>
      <c r="C11478" s="11" t="s">
        <v>28</v>
      </c>
      <c r="D11478" s="9" t="s">
        <v>32278</v>
      </c>
      <c r="E11478" s="11" t="s">
        <v>28</v>
      </c>
      <c r="F11478" s="10" t="s">
        <v>28</v>
      </c>
      <c r="G11478" s="10" t="s">
        <v>28</v>
      </c>
      <c r="H11478" s="10" t="s">
        <v>28</v>
      </c>
      <c r="I11478" s="11" t="s">
        <v>28</v>
      </c>
      <c r="J11478" s="11" t="s">
        <v>28</v>
      </c>
      <c r="K11478" s="11" t="s">
        <v>28</v>
      </c>
      <c r="L11478" s="11" t="s">
        <v>28</v>
      </c>
      <c r="M11478" s="11" t="s">
        <v>28</v>
      </c>
      <c r="N11478" s="8">
        <v>41054</v>
      </c>
      <c r="O11478" s="9" t="s">
        <v>30</v>
      </c>
      <c r="P11478" s="12" t="s">
        <v>32279</v>
      </c>
      <c r="Q11478" s="9" t="s">
        <v>2620</v>
      </c>
      <c r="R11478" s="14" t="str">
        <f>HYPERLINK("https://my.pitchbook.com?c=90106-75T","View Company Online")</f>
        <v>View Company Online</v>
      </c>
    </row>
    <row r="11479" spans="1:18" hidden="1" x14ac:dyDescent="0.3">
      <c r="A11479" s="15" t="s">
        <v>32280</v>
      </c>
      <c r="B11479" s="15" t="s">
        <v>27801</v>
      </c>
      <c r="C11479" s="18" t="s">
        <v>28</v>
      </c>
      <c r="D11479" s="15" t="s">
        <v>27802</v>
      </c>
      <c r="E11479" s="18" t="s">
        <v>28</v>
      </c>
      <c r="F11479" s="19" t="s">
        <v>28</v>
      </c>
      <c r="G11479" s="19">
        <v>5.1100000000000003</v>
      </c>
      <c r="H11479" s="19">
        <v>25.53</v>
      </c>
      <c r="I11479" s="18" t="s">
        <v>28</v>
      </c>
      <c r="J11479" s="18" t="s">
        <v>28</v>
      </c>
      <c r="K11479" s="18" t="s">
        <v>28</v>
      </c>
      <c r="L11479" s="18" t="s">
        <v>28</v>
      </c>
      <c r="M11479" s="18" t="s">
        <v>28</v>
      </c>
      <c r="N11479" s="17">
        <v>41054</v>
      </c>
      <c r="O11479" s="15" t="s">
        <v>58</v>
      </c>
      <c r="P11479" s="16" t="s">
        <v>32281</v>
      </c>
      <c r="Q11479" s="15" t="s">
        <v>855</v>
      </c>
      <c r="R11479" s="13" t="str">
        <f>HYPERLINK("https://my.pitchbook.com?c=60496-21T","View Company Online")</f>
        <v>View Company Online</v>
      </c>
    </row>
    <row r="11480" spans="1:18" hidden="1" x14ac:dyDescent="0.3">
      <c r="A11480" s="9" t="s">
        <v>32282</v>
      </c>
      <c r="B11480" s="9" t="s">
        <v>25861</v>
      </c>
      <c r="C11480" s="11" t="s">
        <v>28</v>
      </c>
      <c r="D11480" s="9" t="s">
        <v>25862</v>
      </c>
      <c r="E11480" s="11" t="s">
        <v>28</v>
      </c>
      <c r="F11480" s="10" t="s">
        <v>28</v>
      </c>
      <c r="G11480" s="10" t="s">
        <v>28</v>
      </c>
      <c r="H11480" s="10" t="s">
        <v>28</v>
      </c>
      <c r="I11480" s="11" t="s">
        <v>28</v>
      </c>
      <c r="J11480" s="11" t="s">
        <v>28</v>
      </c>
      <c r="K11480" s="11">
        <v>251.31</v>
      </c>
      <c r="L11480" s="11" t="s">
        <v>28</v>
      </c>
      <c r="M11480" s="11" t="s">
        <v>28</v>
      </c>
      <c r="N11480" s="8">
        <v>41054</v>
      </c>
      <c r="O11480" s="9" t="s">
        <v>93</v>
      </c>
      <c r="P11480" s="12" t="s">
        <v>32283</v>
      </c>
      <c r="Q11480" s="9" t="s">
        <v>105</v>
      </c>
      <c r="R11480" s="14" t="str">
        <f>HYPERLINK("https://my.pitchbook.com?c=30316-06T","View Company Online")</f>
        <v>View Company Online</v>
      </c>
    </row>
    <row r="11481" spans="1:18" x14ac:dyDescent="0.3">
      <c r="A11481" s="15" t="s">
        <v>32284</v>
      </c>
      <c r="B11481" s="15" t="s">
        <v>32285</v>
      </c>
      <c r="C11481" s="18" t="s">
        <v>28</v>
      </c>
      <c r="D11481" s="15" t="s">
        <v>32286</v>
      </c>
      <c r="E11481" s="18" t="s">
        <v>28</v>
      </c>
      <c r="F11481" s="19" t="s">
        <v>28</v>
      </c>
      <c r="G11481" s="19">
        <v>51.18</v>
      </c>
      <c r="H11481" s="19">
        <v>85.3</v>
      </c>
      <c r="I11481" s="18">
        <v>19.07</v>
      </c>
      <c r="J11481" s="18">
        <v>4.47</v>
      </c>
      <c r="K11481" s="18" t="s">
        <v>28</v>
      </c>
      <c r="L11481" s="18" t="s">
        <v>28</v>
      </c>
      <c r="M11481" s="18">
        <v>14.18</v>
      </c>
      <c r="N11481" s="17">
        <v>41052</v>
      </c>
      <c r="O11481" s="15" t="s">
        <v>30</v>
      </c>
      <c r="P11481" s="16" t="s">
        <v>14320</v>
      </c>
      <c r="Q11481" s="15" t="s">
        <v>774</v>
      </c>
      <c r="R11481" s="13" t="str">
        <f>HYPERLINK("https://my.pitchbook.com?c=89788-06T","View Company Online")</f>
        <v>View Company Online</v>
      </c>
    </row>
    <row r="11482" spans="1:18" hidden="1" x14ac:dyDescent="0.3">
      <c r="A11482" s="9" t="s">
        <v>32287</v>
      </c>
      <c r="B11482" s="9" t="s">
        <v>5865</v>
      </c>
      <c r="C11482" s="11" t="s">
        <v>28</v>
      </c>
      <c r="D11482" s="9" t="s">
        <v>5866</v>
      </c>
      <c r="E11482" s="11">
        <v>-27.57</v>
      </c>
      <c r="F11482" s="10" t="s">
        <v>28</v>
      </c>
      <c r="G11482" s="10">
        <v>77.88</v>
      </c>
      <c r="H11482" s="10" t="s">
        <v>28</v>
      </c>
      <c r="I11482" s="11">
        <v>-27.57</v>
      </c>
      <c r="J11482" s="11" t="s">
        <v>28</v>
      </c>
      <c r="K11482" s="11">
        <v>277.8</v>
      </c>
      <c r="L11482" s="11" t="s">
        <v>28</v>
      </c>
      <c r="M11482" s="11">
        <v>-67.27</v>
      </c>
      <c r="N11482" s="8">
        <v>41046</v>
      </c>
      <c r="O11482" s="9" t="s">
        <v>159</v>
      </c>
      <c r="P11482" s="12" t="s">
        <v>30859</v>
      </c>
      <c r="Q11482" s="9" t="s">
        <v>470</v>
      </c>
      <c r="R11482" s="14" t="str">
        <f>HYPERLINK("https://my.pitchbook.com?c=29660-14T","View Company Online")</f>
        <v>View Company Online</v>
      </c>
    </row>
    <row r="11483" spans="1:18" hidden="1" x14ac:dyDescent="0.3">
      <c r="A11483" s="15" t="s">
        <v>32288</v>
      </c>
      <c r="B11483" s="15" t="s">
        <v>32289</v>
      </c>
      <c r="C11483" s="18" t="s">
        <v>28</v>
      </c>
      <c r="D11483" s="15" t="s">
        <v>32290</v>
      </c>
      <c r="E11483" s="18" t="s">
        <v>28</v>
      </c>
      <c r="F11483" s="19" t="s">
        <v>28</v>
      </c>
      <c r="G11483" s="19" t="s">
        <v>28</v>
      </c>
      <c r="H11483" s="19" t="s">
        <v>28</v>
      </c>
      <c r="I11483" s="18" t="s">
        <v>28</v>
      </c>
      <c r="J11483" s="18" t="s">
        <v>28</v>
      </c>
      <c r="K11483" s="18" t="s">
        <v>28</v>
      </c>
      <c r="L11483" s="18" t="s">
        <v>28</v>
      </c>
      <c r="M11483" s="18" t="s">
        <v>28</v>
      </c>
      <c r="N11483" s="17">
        <v>41046</v>
      </c>
      <c r="O11483" s="15" t="s">
        <v>30</v>
      </c>
      <c r="P11483" s="16" t="s">
        <v>9649</v>
      </c>
      <c r="Q11483" s="15" t="s">
        <v>37</v>
      </c>
      <c r="R11483" s="13" t="str">
        <f>HYPERLINK("https://my.pitchbook.com?c=211598-65T","View Company Online")</f>
        <v>View Company Online</v>
      </c>
    </row>
    <row r="11484" spans="1:18" hidden="1" x14ac:dyDescent="0.3">
      <c r="A11484" s="9" t="s">
        <v>32291</v>
      </c>
      <c r="B11484" s="9" t="s">
        <v>25134</v>
      </c>
      <c r="C11484" s="11" t="s">
        <v>28</v>
      </c>
      <c r="D11484" s="9" t="s">
        <v>25135</v>
      </c>
      <c r="E11484" s="11" t="s">
        <v>28</v>
      </c>
      <c r="F11484" s="10" t="s">
        <v>28</v>
      </c>
      <c r="G11484" s="10" t="s">
        <v>28</v>
      </c>
      <c r="H11484" s="10" t="s">
        <v>28</v>
      </c>
      <c r="I11484" s="11" t="s">
        <v>28</v>
      </c>
      <c r="J11484" s="11" t="s">
        <v>28</v>
      </c>
      <c r="K11484" s="11" t="s">
        <v>28</v>
      </c>
      <c r="L11484" s="11" t="s">
        <v>28</v>
      </c>
      <c r="M11484" s="11" t="s">
        <v>28</v>
      </c>
      <c r="N11484" s="8">
        <v>41044</v>
      </c>
      <c r="O11484" s="9" t="s">
        <v>58</v>
      </c>
      <c r="P11484" s="12" t="s">
        <v>32292</v>
      </c>
      <c r="Q11484" s="9" t="s">
        <v>12903</v>
      </c>
      <c r="R11484" s="14" t="str">
        <f>HYPERLINK("https://my.pitchbook.com?c=97586-56T","View Company Online")</f>
        <v>View Company Online</v>
      </c>
    </row>
    <row r="11485" spans="1:18" hidden="1" x14ac:dyDescent="0.3">
      <c r="A11485" s="15" t="s">
        <v>32293</v>
      </c>
      <c r="B11485" s="15" t="s">
        <v>32294</v>
      </c>
      <c r="C11485" s="18" t="s">
        <v>28</v>
      </c>
      <c r="D11485" s="15" t="s">
        <v>32295</v>
      </c>
      <c r="E11485" s="18" t="s">
        <v>28</v>
      </c>
      <c r="F11485" s="19" t="s">
        <v>28</v>
      </c>
      <c r="G11485" s="19" t="s">
        <v>28</v>
      </c>
      <c r="H11485" s="19" t="s">
        <v>28</v>
      </c>
      <c r="I11485" s="18" t="s">
        <v>28</v>
      </c>
      <c r="J11485" s="18" t="s">
        <v>28</v>
      </c>
      <c r="K11485" s="18" t="s">
        <v>28</v>
      </c>
      <c r="L11485" s="18" t="s">
        <v>28</v>
      </c>
      <c r="M11485" s="18" t="s">
        <v>28</v>
      </c>
      <c r="N11485" s="17">
        <v>41043</v>
      </c>
      <c r="O11485" s="15" t="s">
        <v>30</v>
      </c>
      <c r="P11485" s="16" t="s">
        <v>32296</v>
      </c>
      <c r="Q11485" s="15" t="s">
        <v>299</v>
      </c>
      <c r="R11485" s="13" t="str">
        <f>HYPERLINK("https://my.pitchbook.com?c=72030-16T","View Company Online")</f>
        <v>View Company Online</v>
      </c>
    </row>
    <row r="11486" spans="1:18" hidden="1" x14ac:dyDescent="0.3">
      <c r="A11486" s="9" t="s">
        <v>32297</v>
      </c>
      <c r="B11486" s="9" t="s">
        <v>4699</v>
      </c>
      <c r="C11486" s="11" t="s">
        <v>28</v>
      </c>
      <c r="D11486" s="9" t="s">
        <v>4700</v>
      </c>
      <c r="E11486" s="11" t="s">
        <v>28</v>
      </c>
      <c r="F11486" s="10" t="s">
        <v>28</v>
      </c>
      <c r="G11486" s="10">
        <v>20</v>
      </c>
      <c r="H11486" s="10">
        <v>67.5</v>
      </c>
      <c r="I11486" s="11" t="s">
        <v>28</v>
      </c>
      <c r="J11486" s="11" t="s">
        <v>28</v>
      </c>
      <c r="K11486" s="11" t="s">
        <v>28</v>
      </c>
      <c r="L11486" s="11" t="s">
        <v>28</v>
      </c>
      <c r="M11486" s="11" t="s">
        <v>28</v>
      </c>
      <c r="N11486" s="8">
        <v>41039</v>
      </c>
      <c r="O11486" s="9" t="s">
        <v>93</v>
      </c>
      <c r="P11486" s="12" t="s">
        <v>32298</v>
      </c>
      <c r="Q11486" s="9" t="s">
        <v>75</v>
      </c>
      <c r="R11486" s="14" t="str">
        <f>HYPERLINK("https://my.pitchbook.com?c=21898-36T","View Company Online")</f>
        <v>View Company Online</v>
      </c>
    </row>
    <row r="11487" spans="1:18" hidden="1" x14ac:dyDescent="0.3">
      <c r="A11487" s="15" t="s">
        <v>32299</v>
      </c>
      <c r="B11487" s="15" t="s">
        <v>32300</v>
      </c>
      <c r="C11487" s="18" t="s">
        <v>28</v>
      </c>
      <c r="D11487" s="15" t="s">
        <v>32301</v>
      </c>
      <c r="E11487" s="18" t="s">
        <v>28</v>
      </c>
      <c r="F11487" s="19" t="s">
        <v>28</v>
      </c>
      <c r="G11487" s="19" t="s">
        <v>28</v>
      </c>
      <c r="H11487" s="19" t="s">
        <v>28</v>
      </c>
      <c r="I11487" s="18" t="s">
        <v>28</v>
      </c>
      <c r="J11487" s="18" t="s">
        <v>28</v>
      </c>
      <c r="K11487" s="18" t="s">
        <v>28</v>
      </c>
      <c r="L11487" s="18" t="s">
        <v>28</v>
      </c>
      <c r="M11487" s="18" t="s">
        <v>28</v>
      </c>
      <c r="N11487" s="17">
        <v>41036</v>
      </c>
      <c r="O11487" s="15" t="s">
        <v>173</v>
      </c>
      <c r="P11487" s="16" t="s">
        <v>28</v>
      </c>
      <c r="Q11487" s="15" t="s">
        <v>174</v>
      </c>
      <c r="R11487" s="13" t="str">
        <f>HYPERLINK("https://my.pitchbook.com?c=221309-47T","View Company Online")</f>
        <v>View Company Online</v>
      </c>
    </row>
    <row r="11488" spans="1:18" hidden="1" x14ac:dyDescent="0.3">
      <c r="A11488" s="9" t="s">
        <v>32302</v>
      </c>
      <c r="B11488" s="9" t="s">
        <v>32303</v>
      </c>
      <c r="C11488" s="11" t="s">
        <v>28</v>
      </c>
      <c r="D11488" s="9" t="s">
        <v>32304</v>
      </c>
      <c r="E11488" s="11" t="s">
        <v>28</v>
      </c>
      <c r="F11488" s="10">
        <v>50</v>
      </c>
      <c r="G11488" s="10">
        <v>30.75</v>
      </c>
      <c r="H11488" s="10">
        <v>50.01</v>
      </c>
      <c r="I11488" s="11" t="s">
        <v>28</v>
      </c>
      <c r="J11488" s="11" t="s">
        <v>28</v>
      </c>
      <c r="K11488" s="11" t="s">
        <v>28</v>
      </c>
      <c r="L11488" s="11" t="s">
        <v>28</v>
      </c>
      <c r="M11488" s="11" t="s">
        <v>28</v>
      </c>
      <c r="N11488" s="8">
        <v>41036</v>
      </c>
      <c r="O11488" s="9" t="s">
        <v>41</v>
      </c>
      <c r="P11488" s="12" t="s">
        <v>32305</v>
      </c>
      <c r="Q11488" s="9" t="s">
        <v>470</v>
      </c>
      <c r="R11488" s="14" t="str">
        <f>HYPERLINK("https://my.pitchbook.com?c=72597-97T","View Company Online")</f>
        <v>View Company Online</v>
      </c>
    </row>
    <row r="11489" spans="1:18" hidden="1" x14ac:dyDescent="0.3">
      <c r="A11489" s="15" t="s">
        <v>32306</v>
      </c>
      <c r="B11489" s="15" t="s">
        <v>694</v>
      </c>
      <c r="C11489" s="18" t="s">
        <v>28</v>
      </c>
      <c r="D11489" s="15" t="s">
        <v>695</v>
      </c>
      <c r="E11489" s="18" t="s">
        <v>28</v>
      </c>
      <c r="F11489" s="19" t="s">
        <v>28</v>
      </c>
      <c r="G11489" s="19" t="s">
        <v>28</v>
      </c>
      <c r="H11489" s="19" t="s">
        <v>28</v>
      </c>
      <c r="I11489" s="18" t="s">
        <v>28</v>
      </c>
      <c r="J11489" s="18" t="s">
        <v>28</v>
      </c>
      <c r="K11489" s="18" t="s">
        <v>28</v>
      </c>
      <c r="L11489" s="18" t="s">
        <v>28</v>
      </c>
      <c r="M11489" s="18" t="s">
        <v>28</v>
      </c>
      <c r="N11489" s="17">
        <v>41035</v>
      </c>
      <c r="O11489" s="15" t="s">
        <v>58</v>
      </c>
      <c r="P11489" s="16" t="s">
        <v>2372</v>
      </c>
      <c r="Q11489" s="15" t="s">
        <v>696</v>
      </c>
      <c r="R11489" s="13" t="str">
        <f>HYPERLINK("https://my.pitchbook.com?c=74270-62T","View Company Online")</f>
        <v>View Company Online</v>
      </c>
    </row>
    <row r="11490" spans="1:18" hidden="1" x14ac:dyDescent="0.3">
      <c r="A11490" s="9" t="s">
        <v>32307</v>
      </c>
      <c r="B11490" s="9" t="s">
        <v>32308</v>
      </c>
      <c r="C11490" s="11" t="s">
        <v>28</v>
      </c>
      <c r="D11490" s="9" t="s">
        <v>32309</v>
      </c>
      <c r="E11490" s="11" t="s">
        <v>28</v>
      </c>
      <c r="F11490" s="10">
        <v>74.900000000000006</v>
      </c>
      <c r="G11490" s="10">
        <v>74.900000000000006</v>
      </c>
      <c r="H11490" s="10">
        <v>74.900000000000006</v>
      </c>
      <c r="I11490" s="11" t="s">
        <v>28</v>
      </c>
      <c r="J11490" s="11" t="s">
        <v>28</v>
      </c>
      <c r="K11490" s="11">
        <v>73.28</v>
      </c>
      <c r="L11490" s="11">
        <v>1.02</v>
      </c>
      <c r="M11490" s="11" t="s">
        <v>28</v>
      </c>
      <c r="N11490" s="8">
        <v>41033</v>
      </c>
      <c r="O11490" s="9" t="s">
        <v>30</v>
      </c>
      <c r="P11490" s="12" t="s">
        <v>32310</v>
      </c>
      <c r="Q11490" s="9" t="s">
        <v>245</v>
      </c>
      <c r="R11490" s="14" t="str">
        <f>HYPERLINK("https://my.pitchbook.com?c=89886-97T","View Company Online")</f>
        <v>View Company Online</v>
      </c>
    </row>
    <row r="11491" spans="1:18" hidden="1" x14ac:dyDescent="0.3">
      <c r="A11491" s="15" t="s">
        <v>32311</v>
      </c>
      <c r="B11491" s="15" t="s">
        <v>32312</v>
      </c>
      <c r="C11491" s="18" t="s">
        <v>28</v>
      </c>
      <c r="D11491" s="15" t="s">
        <v>32313</v>
      </c>
      <c r="E11491" s="18" t="s">
        <v>28</v>
      </c>
      <c r="F11491" s="19" t="s">
        <v>28</v>
      </c>
      <c r="G11491" s="19" t="s">
        <v>28</v>
      </c>
      <c r="H11491" s="19" t="s">
        <v>28</v>
      </c>
      <c r="I11491" s="18" t="s">
        <v>28</v>
      </c>
      <c r="J11491" s="18" t="s">
        <v>28</v>
      </c>
      <c r="K11491" s="18" t="s">
        <v>28</v>
      </c>
      <c r="L11491" s="18" t="s">
        <v>28</v>
      </c>
      <c r="M11491" s="18" t="s">
        <v>28</v>
      </c>
      <c r="N11491" s="17">
        <v>41032</v>
      </c>
      <c r="O11491" s="15" t="s">
        <v>30</v>
      </c>
      <c r="P11491" s="16" t="s">
        <v>32314</v>
      </c>
      <c r="Q11491" s="15" t="s">
        <v>280</v>
      </c>
      <c r="R11491" s="13" t="str">
        <f>HYPERLINK("https://my.pitchbook.com?c=71832-34T","View Company Online")</f>
        <v>View Company Online</v>
      </c>
    </row>
    <row r="11492" spans="1:18" hidden="1" x14ac:dyDescent="0.3">
      <c r="A11492" s="9" t="s">
        <v>32315</v>
      </c>
      <c r="B11492" s="9" t="s">
        <v>32316</v>
      </c>
      <c r="C11492" s="11" t="s">
        <v>28</v>
      </c>
      <c r="D11492" s="9" t="s">
        <v>32317</v>
      </c>
      <c r="E11492" s="11" t="s">
        <v>28</v>
      </c>
      <c r="F11492" s="10" t="s">
        <v>28</v>
      </c>
      <c r="G11492" s="10">
        <v>1.23</v>
      </c>
      <c r="H11492" s="10" t="s">
        <v>28</v>
      </c>
      <c r="I11492" s="11" t="s">
        <v>28</v>
      </c>
      <c r="J11492" s="11" t="s">
        <v>28</v>
      </c>
      <c r="K11492" s="11" t="s">
        <v>28</v>
      </c>
      <c r="L11492" s="11" t="s">
        <v>28</v>
      </c>
      <c r="M11492" s="11" t="s">
        <v>28</v>
      </c>
      <c r="N11492" s="8">
        <v>41032</v>
      </c>
      <c r="O11492" s="9" t="s">
        <v>73</v>
      </c>
      <c r="P11492" s="12" t="s">
        <v>31694</v>
      </c>
      <c r="Q11492" s="9" t="s">
        <v>105</v>
      </c>
      <c r="R11492" s="14" t="str">
        <f>HYPERLINK("https://my.pitchbook.com?c=91830-43T","View Company Online")</f>
        <v>View Company Online</v>
      </c>
    </row>
    <row r="11493" spans="1:18" hidden="1" x14ac:dyDescent="0.3">
      <c r="A11493" s="15" t="s">
        <v>32318</v>
      </c>
      <c r="B11493" s="15" t="s">
        <v>26450</v>
      </c>
      <c r="C11493" s="18" t="s">
        <v>28</v>
      </c>
      <c r="D11493" s="15" t="s">
        <v>29877</v>
      </c>
      <c r="E11493" s="18" t="s">
        <v>28</v>
      </c>
      <c r="F11493" s="19">
        <v>56</v>
      </c>
      <c r="G11493" s="19">
        <v>56</v>
      </c>
      <c r="H11493" s="19">
        <v>56</v>
      </c>
      <c r="I11493" s="18" t="s">
        <v>28</v>
      </c>
      <c r="J11493" s="18" t="s">
        <v>28</v>
      </c>
      <c r="K11493" s="18" t="s">
        <v>28</v>
      </c>
      <c r="L11493" s="18" t="s">
        <v>28</v>
      </c>
      <c r="M11493" s="18" t="s">
        <v>28</v>
      </c>
      <c r="N11493" s="17">
        <v>41030</v>
      </c>
      <c r="O11493" s="15" t="s">
        <v>30</v>
      </c>
      <c r="P11493" s="16" t="s">
        <v>32319</v>
      </c>
      <c r="Q11493" s="15" t="s">
        <v>5937</v>
      </c>
      <c r="R11493" s="13" t="str">
        <f>HYPERLINK("https://my.pitchbook.com?c=96509-62T","View Company Online")</f>
        <v>View Company Online</v>
      </c>
    </row>
    <row r="11494" spans="1:18" hidden="1" x14ac:dyDescent="0.3">
      <c r="A11494" s="9" t="s">
        <v>32320</v>
      </c>
      <c r="B11494" s="9" t="s">
        <v>32321</v>
      </c>
      <c r="C11494" s="11" t="s">
        <v>28</v>
      </c>
      <c r="D11494" s="9" t="s">
        <v>32322</v>
      </c>
      <c r="E11494" s="11" t="s">
        <v>28</v>
      </c>
      <c r="F11494" s="10" t="s">
        <v>28</v>
      </c>
      <c r="G11494" s="10">
        <v>3.98</v>
      </c>
      <c r="H11494" s="10" t="s">
        <v>28</v>
      </c>
      <c r="I11494" s="11" t="s">
        <v>28</v>
      </c>
      <c r="J11494" s="11" t="s">
        <v>28</v>
      </c>
      <c r="K11494" s="11" t="s">
        <v>28</v>
      </c>
      <c r="L11494" s="11" t="s">
        <v>28</v>
      </c>
      <c r="M11494" s="11" t="s">
        <v>28</v>
      </c>
      <c r="N11494" s="8">
        <v>41030</v>
      </c>
      <c r="O11494" s="9" t="s">
        <v>73</v>
      </c>
      <c r="P11494" s="12" t="s">
        <v>32323</v>
      </c>
      <c r="Q11494" s="9" t="s">
        <v>299</v>
      </c>
      <c r="R11494" s="14" t="str">
        <f>HYPERLINK("https://my.pitchbook.com?c=67142-80T","View Company Online")</f>
        <v>View Company Online</v>
      </c>
    </row>
    <row r="11495" spans="1:18" hidden="1" x14ac:dyDescent="0.3">
      <c r="A11495" s="15" t="s">
        <v>32324</v>
      </c>
      <c r="B11495" s="15" t="s">
        <v>29902</v>
      </c>
      <c r="C11495" s="18" t="s">
        <v>28</v>
      </c>
      <c r="D11495" s="15" t="s">
        <v>29903</v>
      </c>
      <c r="E11495" s="18" t="s">
        <v>28</v>
      </c>
      <c r="F11495" s="19" t="s">
        <v>28</v>
      </c>
      <c r="G11495" s="19">
        <v>0.5</v>
      </c>
      <c r="H11495" s="19" t="s">
        <v>28</v>
      </c>
      <c r="I11495" s="18" t="s">
        <v>28</v>
      </c>
      <c r="J11495" s="18" t="s">
        <v>28</v>
      </c>
      <c r="K11495" s="18" t="s">
        <v>28</v>
      </c>
      <c r="L11495" s="18" t="s">
        <v>28</v>
      </c>
      <c r="M11495" s="18" t="s">
        <v>28</v>
      </c>
      <c r="N11495" s="17">
        <v>41030</v>
      </c>
      <c r="O11495" s="15" t="s">
        <v>99</v>
      </c>
      <c r="P11495" s="16" t="s">
        <v>32325</v>
      </c>
      <c r="Q11495" s="15" t="s">
        <v>95</v>
      </c>
      <c r="R11495" s="13" t="str">
        <f>HYPERLINK("https://my.pitchbook.com?c=55865-44T","View Company Online")</f>
        <v>View Company Online</v>
      </c>
    </row>
    <row r="11496" spans="1:18" hidden="1" x14ac:dyDescent="0.3">
      <c r="A11496" s="9" t="s">
        <v>32326</v>
      </c>
      <c r="B11496" s="9" t="s">
        <v>32327</v>
      </c>
      <c r="C11496" s="11" t="s">
        <v>28</v>
      </c>
      <c r="D11496" s="9" t="s">
        <v>32328</v>
      </c>
      <c r="E11496" s="11" t="s">
        <v>28</v>
      </c>
      <c r="F11496" s="10" t="s">
        <v>28</v>
      </c>
      <c r="G11496" s="10">
        <v>0.52</v>
      </c>
      <c r="H11496" s="10" t="s">
        <v>28</v>
      </c>
      <c r="I11496" s="11" t="s">
        <v>28</v>
      </c>
      <c r="J11496" s="11" t="s">
        <v>28</v>
      </c>
      <c r="K11496" s="11" t="s">
        <v>28</v>
      </c>
      <c r="L11496" s="11" t="s">
        <v>28</v>
      </c>
      <c r="M11496" s="11" t="s">
        <v>28</v>
      </c>
      <c r="N11496" s="8">
        <v>41030</v>
      </c>
      <c r="O11496" s="9" t="s">
        <v>52</v>
      </c>
      <c r="P11496" s="12" t="s">
        <v>32329</v>
      </c>
      <c r="Q11496" s="9" t="s">
        <v>1853</v>
      </c>
      <c r="R11496" s="14" t="str">
        <f>HYPERLINK("https://my.pitchbook.com?c=51406-66T","View Company Online")</f>
        <v>View Company Online</v>
      </c>
    </row>
    <row r="11497" spans="1:18" hidden="1" x14ac:dyDescent="0.3">
      <c r="A11497" s="15" t="s">
        <v>32330</v>
      </c>
      <c r="B11497" s="15" t="s">
        <v>32331</v>
      </c>
      <c r="C11497" s="18" t="s">
        <v>28</v>
      </c>
      <c r="D11497" s="15" t="s">
        <v>32332</v>
      </c>
      <c r="E11497" s="18" t="s">
        <v>28</v>
      </c>
      <c r="F11497" s="19" t="s">
        <v>28</v>
      </c>
      <c r="G11497" s="19" t="s">
        <v>28</v>
      </c>
      <c r="H11497" s="19" t="s">
        <v>28</v>
      </c>
      <c r="I11497" s="18" t="s">
        <v>28</v>
      </c>
      <c r="J11497" s="18" t="s">
        <v>28</v>
      </c>
      <c r="K11497" s="18" t="s">
        <v>28</v>
      </c>
      <c r="L11497" s="18" t="s">
        <v>28</v>
      </c>
      <c r="M11497" s="18" t="s">
        <v>28</v>
      </c>
      <c r="N11497" s="17">
        <v>41030</v>
      </c>
      <c r="O11497" s="15" t="s">
        <v>30</v>
      </c>
      <c r="P11497" s="16" t="s">
        <v>19996</v>
      </c>
      <c r="Q11497" s="15" t="s">
        <v>331</v>
      </c>
      <c r="R11497" s="13" t="str">
        <f>HYPERLINK("https://my.pitchbook.com?c=72091-99T","View Company Online")</f>
        <v>View Company Online</v>
      </c>
    </row>
    <row r="11498" spans="1:18" hidden="1" x14ac:dyDescent="0.3">
      <c r="A11498" s="9" t="s">
        <v>32333</v>
      </c>
      <c r="B11498" s="9" t="s">
        <v>16016</v>
      </c>
      <c r="C11498" s="11" t="s">
        <v>28</v>
      </c>
      <c r="D11498" s="9" t="s">
        <v>16017</v>
      </c>
      <c r="E11498" s="11" t="s">
        <v>28</v>
      </c>
      <c r="F11498" s="10" t="s">
        <v>28</v>
      </c>
      <c r="G11498" s="10">
        <v>0.3</v>
      </c>
      <c r="H11498" s="10" t="s">
        <v>28</v>
      </c>
      <c r="I11498" s="11" t="s">
        <v>28</v>
      </c>
      <c r="J11498" s="11" t="s">
        <v>28</v>
      </c>
      <c r="K11498" s="11" t="s">
        <v>28</v>
      </c>
      <c r="L11498" s="11" t="s">
        <v>28</v>
      </c>
      <c r="M11498" s="11" t="s">
        <v>28</v>
      </c>
      <c r="N11498" s="8">
        <v>41030</v>
      </c>
      <c r="O11498" s="9" t="s">
        <v>52</v>
      </c>
      <c r="P11498" s="12" t="s">
        <v>32334</v>
      </c>
      <c r="Q11498" s="9" t="s">
        <v>583</v>
      </c>
      <c r="R11498" s="14" t="str">
        <f>HYPERLINK("https://my.pitchbook.com?c=46777-69T","View Company Online")</f>
        <v>View Company Online</v>
      </c>
    </row>
    <row r="11499" spans="1:18" hidden="1" x14ac:dyDescent="0.3">
      <c r="A11499" s="15" t="s">
        <v>32335</v>
      </c>
      <c r="B11499" s="15" t="s">
        <v>31106</v>
      </c>
      <c r="C11499" s="18" t="s">
        <v>28</v>
      </c>
      <c r="D11499" s="15" t="s">
        <v>31107</v>
      </c>
      <c r="E11499" s="18" t="s">
        <v>28</v>
      </c>
      <c r="F11499" s="19" t="s">
        <v>28</v>
      </c>
      <c r="G11499" s="19">
        <v>0.02</v>
      </c>
      <c r="H11499" s="19" t="s">
        <v>28</v>
      </c>
      <c r="I11499" s="18" t="s">
        <v>28</v>
      </c>
      <c r="J11499" s="18" t="s">
        <v>28</v>
      </c>
      <c r="K11499" s="18" t="s">
        <v>28</v>
      </c>
      <c r="L11499" s="18" t="s">
        <v>28</v>
      </c>
      <c r="M11499" s="18" t="s">
        <v>28</v>
      </c>
      <c r="N11499" s="17">
        <v>41030</v>
      </c>
      <c r="O11499" s="15" t="s">
        <v>379</v>
      </c>
      <c r="P11499" s="16" t="s">
        <v>31108</v>
      </c>
      <c r="Q11499" s="15" t="s">
        <v>362</v>
      </c>
      <c r="R11499" s="13" t="str">
        <f>HYPERLINK("https://my.pitchbook.com?c=50795-38T","View Company Online")</f>
        <v>View Company Online</v>
      </c>
    </row>
    <row r="11500" spans="1:18" hidden="1" x14ac:dyDescent="0.3">
      <c r="A11500" s="9" t="s">
        <v>32336</v>
      </c>
      <c r="B11500" s="9" t="s">
        <v>32337</v>
      </c>
      <c r="C11500" s="11" t="s">
        <v>28</v>
      </c>
      <c r="D11500" s="9" t="s">
        <v>32338</v>
      </c>
      <c r="E11500" s="11" t="s">
        <v>28</v>
      </c>
      <c r="F11500" s="10" t="s">
        <v>28</v>
      </c>
      <c r="G11500" s="10" t="s">
        <v>28</v>
      </c>
      <c r="H11500" s="10" t="s">
        <v>28</v>
      </c>
      <c r="I11500" s="11" t="s">
        <v>28</v>
      </c>
      <c r="J11500" s="11" t="s">
        <v>28</v>
      </c>
      <c r="K11500" s="11" t="s">
        <v>28</v>
      </c>
      <c r="L11500" s="11" t="s">
        <v>28</v>
      </c>
      <c r="M11500" s="11" t="s">
        <v>28</v>
      </c>
      <c r="N11500" s="8">
        <v>41030</v>
      </c>
      <c r="O11500" s="9" t="s">
        <v>30</v>
      </c>
      <c r="P11500" s="12" t="s">
        <v>11424</v>
      </c>
      <c r="Q11500" s="9" t="s">
        <v>9051</v>
      </c>
      <c r="R11500" s="14" t="str">
        <f>HYPERLINK("https://my.pitchbook.com?c=44559-55T","View Company Online")</f>
        <v>View Company Online</v>
      </c>
    </row>
    <row r="11501" spans="1:18" hidden="1" x14ac:dyDescent="0.3">
      <c r="A11501" s="15" t="s">
        <v>32339</v>
      </c>
      <c r="B11501" s="15" t="s">
        <v>31998</v>
      </c>
      <c r="C11501" s="18" t="s">
        <v>28</v>
      </c>
      <c r="D11501" s="15" t="s">
        <v>31999</v>
      </c>
      <c r="E11501" s="18" t="s">
        <v>28</v>
      </c>
      <c r="F11501" s="19" t="s">
        <v>28</v>
      </c>
      <c r="G11501" s="19">
        <v>0.05</v>
      </c>
      <c r="H11501" s="19" t="s">
        <v>28</v>
      </c>
      <c r="I11501" s="18" t="s">
        <v>28</v>
      </c>
      <c r="J11501" s="18" t="s">
        <v>28</v>
      </c>
      <c r="K11501" s="18" t="s">
        <v>28</v>
      </c>
      <c r="L11501" s="18" t="s">
        <v>28</v>
      </c>
      <c r="M11501" s="18" t="s">
        <v>28</v>
      </c>
      <c r="N11501" s="17">
        <v>41030</v>
      </c>
      <c r="O11501" s="15" t="s">
        <v>99</v>
      </c>
      <c r="P11501" s="16" t="s">
        <v>32329</v>
      </c>
      <c r="Q11501" s="15" t="s">
        <v>3912</v>
      </c>
      <c r="R11501" s="13" t="str">
        <f>HYPERLINK("https://my.pitchbook.com?c=51631-03T","View Company Online")</f>
        <v>View Company Online</v>
      </c>
    </row>
    <row r="11502" spans="1:18" hidden="1" x14ac:dyDescent="0.3">
      <c r="A11502" s="9" t="s">
        <v>32340</v>
      </c>
      <c r="B11502" s="9" t="s">
        <v>30164</v>
      </c>
      <c r="C11502" s="11" t="s">
        <v>28</v>
      </c>
      <c r="D11502" s="9" t="s">
        <v>30165</v>
      </c>
      <c r="E11502" s="11" t="s">
        <v>28</v>
      </c>
      <c r="F11502" s="10" t="s">
        <v>28</v>
      </c>
      <c r="G11502" s="10">
        <v>0.2</v>
      </c>
      <c r="H11502" s="10" t="s">
        <v>28</v>
      </c>
      <c r="I11502" s="11" t="s">
        <v>28</v>
      </c>
      <c r="J11502" s="11" t="s">
        <v>28</v>
      </c>
      <c r="K11502" s="11" t="s">
        <v>28</v>
      </c>
      <c r="L11502" s="11" t="s">
        <v>28</v>
      </c>
      <c r="M11502" s="11" t="s">
        <v>28</v>
      </c>
      <c r="N11502" s="8">
        <v>41030</v>
      </c>
      <c r="O11502" s="9" t="s">
        <v>99</v>
      </c>
      <c r="P11502" s="12" t="s">
        <v>28</v>
      </c>
      <c r="Q11502" s="9" t="s">
        <v>95</v>
      </c>
      <c r="R11502" s="14" t="str">
        <f>HYPERLINK("https://my.pitchbook.com?c=55708-75T","View Company Online")</f>
        <v>View Company Online</v>
      </c>
    </row>
    <row r="11503" spans="1:18" hidden="1" x14ac:dyDescent="0.3">
      <c r="A11503" s="15" t="s">
        <v>32341</v>
      </c>
      <c r="B11503" s="15" t="s">
        <v>32342</v>
      </c>
      <c r="C11503" s="18" t="s">
        <v>28</v>
      </c>
      <c r="D11503" s="15" t="s">
        <v>32343</v>
      </c>
      <c r="E11503" s="18" t="s">
        <v>28</v>
      </c>
      <c r="F11503" s="19" t="s">
        <v>28</v>
      </c>
      <c r="G11503" s="19">
        <v>0.05</v>
      </c>
      <c r="H11503" s="19" t="s">
        <v>28</v>
      </c>
      <c r="I11503" s="18" t="s">
        <v>28</v>
      </c>
      <c r="J11503" s="18" t="s">
        <v>28</v>
      </c>
      <c r="K11503" s="18" t="s">
        <v>28</v>
      </c>
      <c r="L11503" s="18" t="s">
        <v>28</v>
      </c>
      <c r="M11503" s="18" t="s">
        <v>28</v>
      </c>
      <c r="N11503" s="17">
        <v>41030</v>
      </c>
      <c r="O11503" s="15" t="s">
        <v>52</v>
      </c>
      <c r="P11503" s="16" t="s">
        <v>24901</v>
      </c>
      <c r="Q11503" s="15" t="s">
        <v>386</v>
      </c>
      <c r="R11503" s="13" t="str">
        <f>HYPERLINK("https://my.pitchbook.com?c=52052-68T","View Company Online")</f>
        <v>View Company Online</v>
      </c>
    </row>
    <row r="11504" spans="1:18" hidden="1" x14ac:dyDescent="0.3">
      <c r="A11504" s="9" t="s">
        <v>32344</v>
      </c>
      <c r="B11504" s="9" t="s">
        <v>32345</v>
      </c>
      <c r="C11504" s="11" t="s">
        <v>28</v>
      </c>
      <c r="D11504" s="9" t="s">
        <v>32346</v>
      </c>
      <c r="E11504" s="11" t="s">
        <v>28</v>
      </c>
      <c r="F11504" s="10">
        <v>3.23</v>
      </c>
      <c r="G11504" s="10">
        <v>3.23</v>
      </c>
      <c r="H11504" s="10">
        <v>3.23</v>
      </c>
      <c r="I11504" s="11" t="s">
        <v>28</v>
      </c>
      <c r="J11504" s="11" t="s">
        <v>28</v>
      </c>
      <c r="K11504" s="11" t="s">
        <v>28</v>
      </c>
      <c r="L11504" s="11" t="s">
        <v>28</v>
      </c>
      <c r="M11504" s="11" t="s">
        <v>28</v>
      </c>
      <c r="N11504" s="8">
        <v>41029</v>
      </c>
      <c r="O11504" s="9" t="s">
        <v>30</v>
      </c>
      <c r="P11504" s="12" t="s">
        <v>32347</v>
      </c>
      <c r="Q11504" s="9" t="s">
        <v>975</v>
      </c>
      <c r="R11504" s="14" t="str">
        <f>HYPERLINK("https://my.pitchbook.com?c=90708-04T","View Company Online")</f>
        <v>View Company Online</v>
      </c>
    </row>
    <row r="11505" spans="1:18" hidden="1" x14ac:dyDescent="0.3">
      <c r="A11505" s="15" t="s">
        <v>32348</v>
      </c>
      <c r="B11505" s="15" t="s">
        <v>32349</v>
      </c>
      <c r="C11505" s="18" t="s">
        <v>28</v>
      </c>
      <c r="D11505" s="15" t="s">
        <v>32350</v>
      </c>
      <c r="E11505" s="18">
        <v>47.92</v>
      </c>
      <c r="F11505" s="19" t="s">
        <v>28</v>
      </c>
      <c r="G11505" s="19">
        <v>229.56</v>
      </c>
      <c r="H11505" s="19" t="s">
        <v>28</v>
      </c>
      <c r="I11505" s="18">
        <v>52.35</v>
      </c>
      <c r="J11505" s="18" t="s">
        <v>28</v>
      </c>
      <c r="K11505" s="18">
        <v>173.39</v>
      </c>
      <c r="L11505" s="18" t="s">
        <v>28</v>
      </c>
      <c r="M11505" s="18">
        <v>34</v>
      </c>
      <c r="N11505" s="17">
        <v>41026</v>
      </c>
      <c r="O11505" s="15" t="s">
        <v>173</v>
      </c>
      <c r="P11505" s="16" t="s">
        <v>28</v>
      </c>
      <c r="Q11505" s="15" t="s">
        <v>1179</v>
      </c>
      <c r="R11505" s="13" t="str">
        <f>HYPERLINK("https://my.pitchbook.com?c=227451-70T","View Company Online")</f>
        <v>View Company Online</v>
      </c>
    </row>
    <row r="11506" spans="1:18" hidden="1" x14ac:dyDescent="0.3">
      <c r="A11506" s="9" t="s">
        <v>32351</v>
      </c>
      <c r="B11506" s="9" t="s">
        <v>343</v>
      </c>
      <c r="C11506" s="11" t="s">
        <v>28</v>
      </c>
      <c r="D11506" s="9" t="s">
        <v>16532</v>
      </c>
      <c r="E11506" s="11" t="s">
        <v>28</v>
      </c>
      <c r="F11506" s="10" t="s">
        <v>28</v>
      </c>
      <c r="G11506" s="10">
        <v>1748.79</v>
      </c>
      <c r="H11506" s="10">
        <v>7539.61</v>
      </c>
      <c r="I11506" s="11" t="s">
        <v>28</v>
      </c>
      <c r="J11506" s="11" t="s">
        <v>28</v>
      </c>
      <c r="K11506" s="11">
        <v>2151.92</v>
      </c>
      <c r="L11506" s="11">
        <v>3.5</v>
      </c>
      <c r="M11506" s="11">
        <v>1042.3900000000001</v>
      </c>
      <c r="N11506" s="8">
        <v>41025</v>
      </c>
      <c r="O11506" s="9" t="s">
        <v>173</v>
      </c>
      <c r="P11506" s="12" t="s">
        <v>28</v>
      </c>
      <c r="Q11506" s="9" t="s">
        <v>7449</v>
      </c>
      <c r="R11506" s="14" t="str">
        <f>HYPERLINK("https://my.pitchbook.com?c=23813-02T","View Company Online")</f>
        <v>View Company Online</v>
      </c>
    </row>
    <row r="11507" spans="1:18" hidden="1" x14ac:dyDescent="0.3">
      <c r="A11507" s="15" t="s">
        <v>32352</v>
      </c>
      <c r="B11507" s="15" t="s">
        <v>32353</v>
      </c>
      <c r="C11507" s="18" t="s">
        <v>28</v>
      </c>
      <c r="D11507" s="15" t="s">
        <v>32354</v>
      </c>
      <c r="E11507" s="18" t="s">
        <v>28</v>
      </c>
      <c r="F11507" s="19" t="s">
        <v>28</v>
      </c>
      <c r="G11507" s="19" t="s">
        <v>28</v>
      </c>
      <c r="H11507" s="19" t="s">
        <v>28</v>
      </c>
      <c r="I11507" s="18" t="s">
        <v>28</v>
      </c>
      <c r="J11507" s="18" t="s">
        <v>28</v>
      </c>
      <c r="K11507" s="18" t="s">
        <v>28</v>
      </c>
      <c r="L11507" s="18" t="s">
        <v>28</v>
      </c>
      <c r="M11507" s="18" t="s">
        <v>28</v>
      </c>
      <c r="N11507" s="17">
        <v>41025</v>
      </c>
      <c r="O11507" s="15" t="s">
        <v>30</v>
      </c>
      <c r="P11507" s="16" t="s">
        <v>32355</v>
      </c>
      <c r="Q11507" s="15" t="s">
        <v>975</v>
      </c>
      <c r="R11507" s="13" t="str">
        <f>HYPERLINK("https://my.pitchbook.com?c=90469-45T","View Company Online")</f>
        <v>View Company Online</v>
      </c>
    </row>
    <row r="11508" spans="1:18" hidden="1" x14ac:dyDescent="0.3">
      <c r="A11508" s="9" t="s">
        <v>32356</v>
      </c>
      <c r="B11508" s="9" t="s">
        <v>32357</v>
      </c>
      <c r="C11508" s="11" t="s">
        <v>28</v>
      </c>
      <c r="D11508" s="9" t="s">
        <v>32358</v>
      </c>
      <c r="E11508" s="11" t="s">
        <v>28</v>
      </c>
      <c r="F11508" s="10">
        <v>300</v>
      </c>
      <c r="G11508" s="10">
        <v>300</v>
      </c>
      <c r="H11508" s="10">
        <v>300</v>
      </c>
      <c r="I11508" s="11" t="s">
        <v>28</v>
      </c>
      <c r="J11508" s="11" t="s">
        <v>28</v>
      </c>
      <c r="K11508" s="11" t="s">
        <v>28</v>
      </c>
      <c r="L11508" s="11" t="s">
        <v>28</v>
      </c>
      <c r="M11508" s="11" t="s">
        <v>28</v>
      </c>
      <c r="N11508" s="8">
        <v>41022</v>
      </c>
      <c r="O11508" s="9" t="s">
        <v>30</v>
      </c>
      <c r="P11508" s="12" t="s">
        <v>32359</v>
      </c>
      <c r="Q11508" s="9" t="s">
        <v>109</v>
      </c>
      <c r="R11508" s="14" t="str">
        <f>HYPERLINK("https://my.pitchbook.com?c=75064-15T","View Company Online")</f>
        <v>View Company Online</v>
      </c>
    </row>
    <row r="11509" spans="1:18" hidden="1" x14ac:dyDescent="0.3">
      <c r="A11509" s="15" t="s">
        <v>32360</v>
      </c>
      <c r="B11509" s="15" t="s">
        <v>13134</v>
      </c>
      <c r="C11509" s="18" t="s">
        <v>28</v>
      </c>
      <c r="D11509" s="15" t="s">
        <v>16350</v>
      </c>
      <c r="E11509" s="18">
        <v>19.28</v>
      </c>
      <c r="F11509" s="19" t="s">
        <v>28</v>
      </c>
      <c r="G11509" s="19">
        <v>40.090000000000003</v>
      </c>
      <c r="H11509" s="19" t="s">
        <v>28</v>
      </c>
      <c r="I11509" s="18">
        <v>45.47</v>
      </c>
      <c r="J11509" s="18" t="s">
        <v>28</v>
      </c>
      <c r="K11509" s="18">
        <v>232.3</v>
      </c>
      <c r="L11509" s="18" t="s">
        <v>28</v>
      </c>
      <c r="M11509" s="18">
        <v>14.74</v>
      </c>
      <c r="N11509" s="17">
        <v>41022</v>
      </c>
      <c r="O11509" s="15" t="s">
        <v>173</v>
      </c>
      <c r="P11509" s="16" t="s">
        <v>28</v>
      </c>
      <c r="Q11509" s="15" t="s">
        <v>85</v>
      </c>
      <c r="R11509" s="13" t="str">
        <f>HYPERLINK("https://my.pitchbook.com?c=84853-27T","View Company Online")</f>
        <v>View Company Online</v>
      </c>
    </row>
    <row r="11510" spans="1:18" hidden="1" x14ac:dyDescent="0.3">
      <c r="A11510" s="9" t="s">
        <v>32361</v>
      </c>
      <c r="B11510" s="9" t="s">
        <v>32362</v>
      </c>
      <c r="C11510" s="11" t="s">
        <v>28</v>
      </c>
      <c r="D11510" s="9" t="s">
        <v>32363</v>
      </c>
      <c r="E11510" s="11" t="s">
        <v>28</v>
      </c>
      <c r="F11510" s="10" t="s">
        <v>28</v>
      </c>
      <c r="G11510" s="10" t="s">
        <v>28</v>
      </c>
      <c r="H11510" s="10" t="s">
        <v>28</v>
      </c>
      <c r="I11510" s="11" t="s">
        <v>28</v>
      </c>
      <c r="J11510" s="11" t="s">
        <v>28</v>
      </c>
      <c r="K11510" s="11" t="s">
        <v>28</v>
      </c>
      <c r="L11510" s="11" t="s">
        <v>28</v>
      </c>
      <c r="M11510" s="11" t="s">
        <v>28</v>
      </c>
      <c r="N11510" s="8">
        <v>41019</v>
      </c>
      <c r="O11510" s="9" t="s">
        <v>173</v>
      </c>
      <c r="P11510" s="12" t="s">
        <v>28</v>
      </c>
      <c r="Q11510" s="9" t="s">
        <v>174</v>
      </c>
      <c r="R11510" s="14" t="str">
        <f>HYPERLINK("https://my.pitchbook.com?c=224082-55T","View Company Online")</f>
        <v>View Company Online</v>
      </c>
    </row>
    <row r="11511" spans="1:18" hidden="1" x14ac:dyDescent="0.3">
      <c r="A11511" s="15" t="s">
        <v>32364</v>
      </c>
      <c r="B11511" s="15" t="s">
        <v>32365</v>
      </c>
      <c r="C11511" s="18" t="s">
        <v>28</v>
      </c>
      <c r="D11511" s="15" t="s">
        <v>32366</v>
      </c>
      <c r="E11511" s="18" t="s">
        <v>28</v>
      </c>
      <c r="F11511" s="19">
        <v>86.67</v>
      </c>
      <c r="G11511" s="19">
        <v>44.2</v>
      </c>
      <c r="H11511" s="19">
        <v>86.67</v>
      </c>
      <c r="I11511" s="18" t="s">
        <v>28</v>
      </c>
      <c r="J11511" s="18" t="s">
        <v>28</v>
      </c>
      <c r="K11511" s="18">
        <v>70</v>
      </c>
      <c r="L11511" s="18">
        <v>1.24</v>
      </c>
      <c r="M11511" s="18" t="s">
        <v>28</v>
      </c>
      <c r="N11511" s="17">
        <v>41019</v>
      </c>
      <c r="O11511" s="15" t="s">
        <v>30</v>
      </c>
      <c r="P11511" s="16" t="s">
        <v>32367</v>
      </c>
      <c r="Q11511" s="15" t="s">
        <v>2620</v>
      </c>
      <c r="R11511" s="13" t="str">
        <f>HYPERLINK("https://my.pitchbook.com?c=139522-96T","View Company Online")</f>
        <v>View Company Online</v>
      </c>
    </row>
    <row r="11512" spans="1:18" hidden="1" x14ac:dyDescent="0.3">
      <c r="A11512" s="9" t="s">
        <v>32368</v>
      </c>
      <c r="B11512" s="9" t="s">
        <v>32369</v>
      </c>
      <c r="C11512" s="11" t="s">
        <v>28</v>
      </c>
      <c r="D11512" s="9" t="s">
        <v>32370</v>
      </c>
      <c r="E11512" s="11" t="s">
        <v>28</v>
      </c>
      <c r="F11512" s="10" t="s">
        <v>28</v>
      </c>
      <c r="G11512" s="10" t="s">
        <v>28</v>
      </c>
      <c r="H11512" s="10" t="s">
        <v>28</v>
      </c>
      <c r="I11512" s="11" t="s">
        <v>28</v>
      </c>
      <c r="J11512" s="11" t="s">
        <v>28</v>
      </c>
      <c r="K11512" s="11">
        <v>140.97</v>
      </c>
      <c r="L11512" s="11" t="s">
        <v>28</v>
      </c>
      <c r="M11512" s="11">
        <v>2.2599999999999998</v>
      </c>
      <c r="N11512" s="8">
        <v>41018</v>
      </c>
      <c r="O11512" s="9" t="s">
        <v>30</v>
      </c>
      <c r="P11512" s="12" t="s">
        <v>32371</v>
      </c>
      <c r="Q11512" s="9" t="s">
        <v>290</v>
      </c>
      <c r="R11512" s="14" t="str">
        <f>HYPERLINK("https://my.pitchbook.com?c=76957-48T","View Company Online")</f>
        <v>View Company Online</v>
      </c>
    </row>
    <row r="11513" spans="1:18" hidden="1" x14ac:dyDescent="0.3">
      <c r="A11513" s="15" t="s">
        <v>32372</v>
      </c>
      <c r="B11513" s="15" t="s">
        <v>32373</v>
      </c>
      <c r="C11513" s="18" t="s">
        <v>28</v>
      </c>
      <c r="D11513" s="15" t="s">
        <v>32374</v>
      </c>
      <c r="E11513" s="18" t="s">
        <v>28</v>
      </c>
      <c r="F11513" s="19" t="s">
        <v>28</v>
      </c>
      <c r="G11513" s="19" t="s">
        <v>28</v>
      </c>
      <c r="H11513" s="19" t="s">
        <v>28</v>
      </c>
      <c r="I11513" s="18" t="s">
        <v>28</v>
      </c>
      <c r="J11513" s="18" t="s">
        <v>28</v>
      </c>
      <c r="K11513" s="18" t="s">
        <v>28</v>
      </c>
      <c r="L11513" s="18" t="s">
        <v>28</v>
      </c>
      <c r="M11513" s="18" t="s">
        <v>28</v>
      </c>
      <c r="N11513" s="17">
        <v>41017</v>
      </c>
      <c r="O11513" s="15" t="s">
        <v>30</v>
      </c>
      <c r="P11513" s="16" t="s">
        <v>32375</v>
      </c>
      <c r="Q11513" s="15" t="s">
        <v>2097</v>
      </c>
      <c r="R11513" s="13" t="str">
        <f>HYPERLINK("https://my.pitchbook.com?c=21296-35T","View Company Online")</f>
        <v>View Company Online</v>
      </c>
    </row>
    <row r="11514" spans="1:18" hidden="1" x14ac:dyDescent="0.3">
      <c r="A11514" s="9" t="s">
        <v>32376</v>
      </c>
      <c r="B11514" s="9" t="s">
        <v>32377</v>
      </c>
      <c r="C11514" s="11" t="s">
        <v>28</v>
      </c>
      <c r="D11514" s="9" t="s">
        <v>32378</v>
      </c>
      <c r="E11514" s="11" t="s">
        <v>28</v>
      </c>
      <c r="F11514" s="10" t="s">
        <v>28</v>
      </c>
      <c r="G11514" s="10">
        <v>7.09</v>
      </c>
      <c r="H11514" s="10">
        <v>7.09</v>
      </c>
      <c r="I11514" s="11" t="s">
        <v>28</v>
      </c>
      <c r="J11514" s="11" t="s">
        <v>28</v>
      </c>
      <c r="K11514" s="11" t="s">
        <v>28</v>
      </c>
      <c r="L11514" s="11" t="s">
        <v>28</v>
      </c>
      <c r="M11514" s="11" t="s">
        <v>28</v>
      </c>
      <c r="N11514" s="8">
        <v>41017</v>
      </c>
      <c r="O11514" s="9" t="s">
        <v>30</v>
      </c>
      <c r="P11514" s="12" t="s">
        <v>4004</v>
      </c>
      <c r="Q11514" s="9" t="s">
        <v>188</v>
      </c>
      <c r="R11514" s="14" t="str">
        <f>HYPERLINK("https://my.pitchbook.com?c=89969-95T","View Company Online")</f>
        <v>View Company Online</v>
      </c>
    </row>
    <row r="11515" spans="1:18" hidden="1" x14ac:dyDescent="0.3">
      <c r="A11515" s="15" t="s">
        <v>32379</v>
      </c>
      <c r="B11515" s="15" t="s">
        <v>32380</v>
      </c>
      <c r="C11515" s="18" t="s">
        <v>28</v>
      </c>
      <c r="D11515" s="15" t="s">
        <v>32381</v>
      </c>
      <c r="E11515" s="18" t="s">
        <v>28</v>
      </c>
      <c r="F11515" s="19">
        <v>7.85</v>
      </c>
      <c r="G11515" s="19">
        <v>7.85</v>
      </c>
      <c r="H11515" s="19">
        <v>7.85</v>
      </c>
      <c r="I11515" s="18" t="s">
        <v>28</v>
      </c>
      <c r="J11515" s="18" t="s">
        <v>28</v>
      </c>
      <c r="K11515" s="18" t="s">
        <v>28</v>
      </c>
      <c r="L11515" s="18" t="s">
        <v>28</v>
      </c>
      <c r="M11515" s="18" t="s">
        <v>28</v>
      </c>
      <c r="N11515" s="17">
        <v>41017</v>
      </c>
      <c r="O11515" s="15" t="s">
        <v>30</v>
      </c>
      <c r="P11515" s="16" t="s">
        <v>32382</v>
      </c>
      <c r="Q11515" s="15" t="s">
        <v>4753</v>
      </c>
      <c r="R11515" s="13" t="str">
        <f>HYPERLINK("https://my.pitchbook.com?c=90711-55T","View Company Online")</f>
        <v>View Company Online</v>
      </c>
    </row>
    <row r="11516" spans="1:18" hidden="1" x14ac:dyDescent="0.3">
      <c r="A11516" s="9" t="s">
        <v>32383</v>
      </c>
      <c r="B11516" s="9" t="s">
        <v>26736</v>
      </c>
      <c r="C11516" s="11" t="s">
        <v>28</v>
      </c>
      <c r="D11516" s="9" t="s">
        <v>26737</v>
      </c>
      <c r="E11516" s="11" t="s">
        <v>28</v>
      </c>
      <c r="F11516" s="10" t="s">
        <v>28</v>
      </c>
      <c r="G11516" s="10">
        <v>40</v>
      </c>
      <c r="H11516" s="10">
        <v>333.33</v>
      </c>
      <c r="I11516" s="11" t="s">
        <v>28</v>
      </c>
      <c r="J11516" s="11" t="s">
        <v>28</v>
      </c>
      <c r="K11516" s="11" t="s">
        <v>28</v>
      </c>
      <c r="L11516" s="11" t="s">
        <v>28</v>
      </c>
      <c r="M11516" s="11" t="s">
        <v>28</v>
      </c>
      <c r="N11516" s="8">
        <v>41017</v>
      </c>
      <c r="O11516" s="9" t="s">
        <v>93</v>
      </c>
      <c r="P11516" s="12" t="s">
        <v>32384</v>
      </c>
      <c r="Q11516" s="9" t="s">
        <v>119</v>
      </c>
      <c r="R11516" s="14" t="str">
        <f>HYPERLINK("https://my.pitchbook.com?c=92288-98T","View Company Online")</f>
        <v>View Company Online</v>
      </c>
    </row>
    <row r="11517" spans="1:18" hidden="1" x14ac:dyDescent="0.3">
      <c r="A11517" s="15" t="s">
        <v>32385</v>
      </c>
      <c r="B11517" s="15" t="s">
        <v>32386</v>
      </c>
      <c r="C11517" s="18" t="s">
        <v>28</v>
      </c>
      <c r="D11517" s="15" t="s">
        <v>32387</v>
      </c>
      <c r="E11517" s="18" t="s">
        <v>28</v>
      </c>
      <c r="F11517" s="19" t="s">
        <v>28</v>
      </c>
      <c r="G11517" s="19" t="s">
        <v>28</v>
      </c>
      <c r="H11517" s="19">
        <v>150.38999999999999</v>
      </c>
      <c r="I11517" s="18" t="s">
        <v>28</v>
      </c>
      <c r="J11517" s="18" t="s">
        <v>28</v>
      </c>
      <c r="K11517" s="18" t="s">
        <v>28</v>
      </c>
      <c r="L11517" s="18" t="s">
        <v>28</v>
      </c>
      <c r="M11517" s="18" t="s">
        <v>28</v>
      </c>
      <c r="N11517" s="17">
        <v>41015</v>
      </c>
      <c r="O11517" s="15" t="s">
        <v>93</v>
      </c>
      <c r="P11517" s="16" t="s">
        <v>32388</v>
      </c>
      <c r="Q11517" s="15" t="s">
        <v>959</v>
      </c>
      <c r="R11517" s="13" t="str">
        <f>HYPERLINK("https://my.pitchbook.com?c=22052-44T","View Company Online")</f>
        <v>View Company Online</v>
      </c>
    </row>
    <row r="11518" spans="1:18" hidden="1" x14ac:dyDescent="0.3">
      <c r="A11518" s="9" t="s">
        <v>32389</v>
      </c>
      <c r="B11518" s="9" t="s">
        <v>32390</v>
      </c>
      <c r="C11518" s="11" t="s">
        <v>28</v>
      </c>
      <c r="D11518" s="9" t="s">
        <v>32391</v>
      </c>
      <c r="E11518" s="11" t="s">
        <v>28</v>
      </c>
      <c r="F11518" s="10" t="s">
        <v>28</v>
      </c>
      <c r="G11518" s="10" t="s">
        <v>28</v>
      </c>
      <c r="H11518" s="10" t="s">
        <v>28</v>
      </c>
      <c r="I11518" s="11" t="s">
        <v>28</v>
      </c>
      <c r="J11518" s="11" t="s">
        <v>28</v>
      </c>
      <c r="K11518" s="11">
        <v>8.34</v>
      </c>
      <c r="L11518" s="11" t="s">
        <v>28</v>
      </c>
      <c r="M11518" s="11" t="s">
        <v>28</v>
      </c>
      <c r="N11518" s="8">
        <v>41015</v>
      </c>
      <c r="O11518" s="9" t="s">
        <v>30</v>
      </c>
      <c r="P11518" s="12" t="s">
        <v>32392</v>
      </c>
      <c r="Q11518" s="9" t="s">
        <v>1088</v>
      </c>
      <c r="R11518" s="14" t="str">
        <f>HYPERLINK("https://my.pitchbook.com?c=90197-47T","View Company Online")</f>
        <v>View Company Online</v>
      </c>
    </row>
    <row r="11519" spans="1:18" x14ac:dyDescent="0.3">
      <c r="A11519" s="15" t="s">
        <v>32393</v>
      </c>
      <c r="B11519" s="15" t="s">
        <v>32394</v>
      </c>
      <c r="C11519" s="18">
        <v>7.59</v>
      </c>
      <c r="D11519" s="15" t="s">
        <v>32395</v>
      </c>
      <c r="E11519" s="18" t="s">
        <v>28</v>
      </c>
      <c r="F11519" s="19">
        <v>198.92</v>
      </c>
      <c r="G11519" s="19">
        <v>198.92</v>
      </c>
      <c r="H11519" s="19">
        <v>198.92</v>
      </c>
      <c r="I11519" s="18">
        <v>26.22</v>
      </c>
      <c r="J11519" s="18">
        <v>7.59</v>
      </c>
      <c r="K11519" s="18">
        <v>78.650000000000006</v>
      </c>
      <c r="L11519" s="18">
        <v>2.5299999999999998</v>
      </c>
      <c r="M11519" s="18" t="s">
        <v>28</v>
      </c>
      <c r="N11519" s="17">
        <v>41015</v>
      </c>
      <c r="O11519" s="15" t="s">
        <v>30</v>
      </c>
      <c r="P11519" s="16" t="s">
        <v>32396</v>
      </c>
      <c r="Q11519" s="15" t="s">
        <v>353</v>
      </c>
      <c r="R11519" s="13" t="str">
        <f>HYPERLINK("https://my.pitchbook.com?c=75022-84T","View Company Online")</f>
        <v>View Company Online</v>
      </c>
    </row>
    <row r="11520" spans="1:18" hidden="1" x14ac:dyDescent="0.3">
      <c r="A11520" s="9" t="s">
        <v>32397</v>
      </c>
      <c r="B11520" s="9" t="s">
        <v>19222</v>
      </c>
      <c r="C11520" s="11" t="s">
        <v>28</v>
      </c>
      <c r="D11520" s="9" t="s">
        <v>19223</v>
      </c>
      <c r="E11520" s="11" t="s">
        <v>28</v>
      </c>
      <c r="F11520" s="10">
        <v>130</v>
      </c>
      <c r="G11520" s="10">
        <v>130</v>
      </c>
      <c r="H11520" s="10">
        <v>130</v>
      </c>
      <c r="I11520" s="11" t="s">
        <v>28</v>
      </c>
      <c r="J11520" s="11" t="s">
        <v>28</v>
      </c>
      <c r="K11520" s="11">
        <v>300</v>
      </c>
      <c r="L11520" s="11">
        <v>0.43</v>
      </c>
      <c r="M11520" s="11" t="s">
        <v>28</v>
      </c>
      <c r="N11520" s="8">
        <v>41015</v>
      </c>
      <c r="O11520" s="9" t="s">
        <v>41</v>
      </c>
      <c r="P11520" s="12" t="s">
        <v>32398</v>
      </c>
      <c r="Q11520" s="9" t="s">
        <v>1051</v>
      </c>
      <c r="R11520" s="14" t="str">
        <f>HYPERLINK("https://my.pitchbook.com?c=21216-25T","View Company Online")</f>
        <v>View Company Online</v>
      </c>
    </row>
    <row r="11521" spans="1:18" hidden="1" x14ac:dyDescent="0.3">
      <c r="A11521" s="15" t="s">
        <v>32399</v>
      </c>
      <c r="B11521" s="15" t="s">
        <v>32400</v>
      </c>
      <c r="C11521" s="18" t="s">
        <v>28</v>
      </c>
      <c r="D11521" s="15" t="s">
        <v>32401</v>
      </c>
      <c r="E11521" s="18" t="s">
        <v>28</v>
      </c>
      <c r="F11521" s="19" t="s">
        <v>28</v>
      </c>
      <c r="G11521" s="19" t="s">
        <v>28</v>
      </c>
      <c r="H11521" s="19" t="s">
        <v>28</v>
      </c>
      <c r="I11521" s="18" t="s">
        <v>28</v>
      </c>
      <c r="J11521" s="18" t="s">
        <v>28</v>
      </c>
      <c r="K11521" s="18" t="s">
        <v>28</v>
      </c>
      <c r="L11521" s="18" t="s">
        <v>28</v>
      </c>
      <c r="M11521" s="18" t="s">
        <v>28</v>
      </c>
      <c r="N11521" s="17">
        <v>41012</v>
      </c>
      <c r="O11521" s="15" t="s">
        <v>30</v>
      </c>
      <c r="P11521" s="16" t="s">
        <v>25443</v>
      </c>
      <c r="Q11521" s="15" t="s">
        <v>1088</v>
      </c>
      <c r="R11521" s="13" t="str">
        <f>HYPERLINK("https://my.pitchbook.com?c=78454-81T","View Company Online")</f>
        <v>View Company Online</v>
      </c>
    </row>
    <row r="11522" spans="1:18" hidden="1" x14ac:dyDescent="0.3">
      <c r="A11522" s="9" t="s">
        <v>32402</v>
      </c>
      <c r="B11522" s="9" t="s">
        <v>32403</v>
      </c>
      <c r="C11522" s="11" t="s">
        <v>28</v>
      </c>
      <c r="D11522" s="9" t="s">
        <v>32404</v>
      </c>
      <c r="E11522" s="11" t="s">
        <v>28</v>
      </c>
      <c r="F11522" s="10" t="s">
        <v>28</v>
      </c>
      <c r="G11522" s="10" t="s">
        <v>28</v>
      </c>
      <c r="H11522" s="10" t="s">
        <v>28</v>
      </c>
      <c r="I11522" s="11" t="s">
        <v>28</v>
      </c>
      <c r="J11522" s="11" t="s">
        <v>28</v>
      </c>
      <c r="K11522" s="11" t="s">
        <v>28</v>
      </c>
      <c r="L11522" s="11" t="s">
        <v>28</v>
      </c>
      <c r="M11522" s="11" t="s">
        <v>28</v>
      </c>
      <c r="N11522" s="8">
        <v>41012</v>
      </c>
      <c r="O11522" s="9" t="s">
        <v>173</v>
      </c>
      <c r="P11522" s="12" t="s">
        <v>28</v>
      </c>
      <c r="Q11522" s="9" t="s">
        <v>174</v>
      </c>
      <c r="R11522" s="14" t="str">
        <f>HYPERLINK("https://my.pitchbook.com?c=225085-69T","View Company Online")</f>
        <v>View Company Online</v>
      </c>
    </row>
    <row r="11523" spans="1:18" hidden="1" x14ac:dyDescent="0.3">
      <c r="A11523" s="15" t="s">
        <v>32405</v>
      </c>
      <c r="B11523" s="15" t="s">
        <v>32406</v>
      </c>
      <c r="C11523" s="18" t="s">
        <v>28</v>
      </c>
      <c r="D11523" s="15" t="s">
        <v>32407</v>
      </c>
      <c r="E11523" s="18" t="s">
        <v>28</v>
      </c>
      <c r="F11523" s="19" t="s">
        <v>28</v>
      </c>
      <c r="G11523" s="19" t="s">
        <v>28</v>
      </c>
      <c r="H11523" s="19" t="s">
        <v>28</v>
      </c>
      <c r="I11523" s="18" t="s">
        <v>28</v>
      </c>
      <c r="J11523" s="18" t="s">
        <v>28</v>
      </c>
      <c r="K11523" s="18" t="s">
        <v>28</v>
      </c>
      <c r="L11523" s="18" t="s">
        <v>28</v>
      </c>
      <c r="M11523" s="18" t="s">
        <v>28</v>
      </c>
      <c r="N11523" s="17">
        <v>41012</v>
      </c>
      <c r="O11523" s="15" t="s">
        <v>173</v>
      </c>
      <c r="P11523" s="16" t="s">
        <v>28</v>
      </c>
      <c r="Q11523" s="15" t="s">
        <v>174</v>
      </c>
      <c r="R11523" s="13" t="str">
        <f>HYPERLINK("https://my.pitchbook.com?c=225425-53T","View Company Online")</f>
        <v>View Company Online</v>
      </c>
    </row>
    <row r="11524" spans="1:18" hidden="1" x14ac:dyDescent="0.3">
      <c r="A11524" s="9" t="s">
        <v>32408</v>
      </c>
      <c r="B11524" s="9" t="s">
        <v>32409</v>
      </c>
      <c r="C11524" s="11" t="s">
        <v>28</v>
      </c>
      <c r="D11524" s="9" t="s">
        <v>32410</v>
      </c>
      <c r="E11524" s="11" t="s">
        <v>28</v>
      </c>
      <c r="F11524" s="10" t="s">
        <v>28</v>
      </c>
      <c r="G11524" s="10" t="s">
        <v>28</v>
      </c>
      <c r="H11524" s="10" t="s">
        <v>28</v>
      </c>
      <c r="I11524" s="11" t="s">
        <v>28</v>
      </c>
      <c r="J11524" s="11" t="s">
        <v>28</v>
      </c>
      <c r="K11524" s="11">
        <v>20</v>
      </c>
      <c r="L11524" s="11" t="s">
        <v>28</v>
      </c>
      <c r="M11524" s="11" t="s">
        <v>28</v>
      </c>
      <c r="N11524" s="8">
        <v>41011</v>
      </c>
      <c r="O11524" s="9" t="s">
        <v>30</v>
      </c>
      <c r="P11524" s="12" t="s">
        <v>32411</v>
      </c>
      <c r="Q11524" s="9" t="s">
        <v>85</v>
      </c>
      <c r="R11524" s="14" t="str">
        <f>HYPERLINK("https://my.pitchbook.com?c=89866-18T","View Company Online")</f>
        <v>View Company Online</v>
      </c>
    </row>
    <row r="11525" spans="1:18" hidden="1" x14ac:dyDescent="0.3">
      <c r="A11525" s="15" t="s">
        <v>32412</v>
      </c>
      <c r="B11525" s="15" t="s">
        <v>32413</v>
      </c>
      <c r="C11525" s="18" t="s">
        <v>28</v>
      </c>
      <c r="D11525" s="15" t="s">
        <v>32414</v>
      </c>
      <c r="E11525" s="18" t="s">
        <v>28</v>
      </c>
      <c r="F11525" s="19" t="s">
        <v>28</v>
      </c>
      <c r="G11525" s="19" t="s">
        <v>28</v>
      </c>
      <c r="H11525" s="19" t="s">
        <v>28</v>
      </c>
      <c r="I11525" s="18" t="s">
        <v>28</v>
      </c>
      <c r="J11525" s="18" t="s">
        <v>28</v>
      </c>
      <c r="K11525" s="18" t="s">
        <v>28</v>
      </c>
      <c r="L11525" s="18" t="s">
        <v>28</v>
      </c>
      <c r="M11525" s="18" t="s">
        <v>28</v>
      </c>
      <c r="N11525" s="17">
        <v>41009</v>
      </c>
      <c r="O11525" s="15" t="s">
        <v>30</v>
      </c>
      <c r="P11525" s="16" t="s">
        <v>32415</v>
      </c>
      <c r="Q11525" s="15" t="s">
        <v>105</v>
      </c>
      <c r="R11525" s="13" t="str">
        <f>HYPERLINK("https://my.pitchbook.com?c=72034-84T","View Company Online")</f>
        <v>View Company Online</v>
      </c>
    </row>
    <row r="11526" spans="1:18" hidden="1" x14ac:dyDescent="0.3">
      <c r="A11526" s="9" t="s">
        <v>32416</v>
      </c>
      <c r="B11526" s="9" t="s">
        <v>32417</v>
      </c>
      <c r="C11526" s="11" t="s">
        <v>28</v>
      </c>
      <c r="D11526" s="9" t="s">
        <v>32418</v>
      </c>
      <c r="E11526" s="11" t="s">
        <v>28</v>
      </c>
      <c r="F11526" s="10" t="s">
        <v>28</v>
      </c>
      <c r="G11526" s="10" t="s">
        <v>28</v>
      </c>
      <c r="H11526" s="10" t="s">
        <v>28</v>
      </c>
      <c r="I11526" s="11" t="s">
        <v>28</v>
      </c>
      <c r="J11526" s="11" t="s">
        <v>28</v>
      </c>
      <c r="K11526" s="11" t="s">
        <v>28</v>
      </c>
      <c r="L11526" s="11" t="s">
        <v>28</v>
      </c>
      <c r="M11526" s="11" t="s">
        <v>28</v>
      </c>
      <c r="N11526" s="8">
        <v>41009</v>
      </c>
      <c r="O11526" s="9" t="s">
        <v>41</v>
      </c>
      <c r="P11526" s="12" t="s">
        <v>32419</v>
      </c>
      <c r="Q11526" s="9" t="s">
        <v>75</v>
      </c>
      <c r="R11526" s="14" t="str">
        <f>HYPERLINK("https://my.pitchbook.com?c=70519-51T","View Company Online")</f>
        <v>View Company Online</v>
      </c>
    </row>
    <row r="11527" spans="1:18" hidden="1" x14ac:dyDescent="0.3">
      <c r="A11527" s="15" t="s">
        <v>32420</v>
      </c>
      <c r="B11527" s="15" t="s">
        <v>32421</v>
      </c>
      <c r="C11527" s="18" t="s">
        <v>28</v>
      </c>
      <c r="D11527" s="15" t="s">
        <v>32422</v>
      </c>
      <c r="E11527" s="18" t="s">
        <v>28</v>
      </c>
      <c r="F11527" s="19">
        <v>12.63</v>
      </c>
      <c r="G11527" s="19">
        <v>12.63</v>
      </c>
      <c r="H11527" s="19">
        <v>12.63</v>
      </c>
      <c r="I11527" s="18" t="s">
        <v>28</v>
      </c>
      <c r="J11527" s="18" t="s">
        <v>28</v>
      </c>
      <c r="K11527" s="18" t="s">
        <v>28</v>
      </c>
      <c r="L11527" s="18" t="s">
        <v>28</v>
      </c>
      <c r="M11527" s="18" t="s">
        <v>28</v>
      </c>
      <c r="N11527" s="17">
        <v>41009</v>
      </c>
      <c r="O11527" s="15" t="s">
        <v>30</v>
      </c>
      <c r="P11527" s="16" t="s">
        <v>32423</v>
      </c>
      <c r="Q11527" s="15" t="s">
        <v>75</v>
      </c>
      <c r="R11527" s="13" t="str">
        <f>HYPERLINK("https://my.pitchbook.com?c=86194-99T","View Company Online")</f>
        <v>View Company Online</v>
      </c>
    </row>
    <row r="11528" spans="1:18" hidden="1" x14ac:dyDescent="0.3">
      <c r="A11528" s="9" t="s">
        <v>32424</v>
      </c>
      <c r="B11528" s="9" t="s">
        <v>32425</v>
      </c>
      <c r="C11528" s="11" t="s">
        <v>28</v>
      </c>
      <c r="D11528" s="9" t="s">
        <v>32426</v>
      </c>
      <c r="E11528" s="11" t="s">
        <v>28</v>
      </c>
      <c r="F11528" s="10">
        <v>8.25</v>
      </c>
      <c r="G11528" s="10">
        <v>8.25</v>
      </c>
      <c r="H11528" s="10">
        <v>8.25</v>
      </c>
      <c r="I11528" s="11" t="s">
        <v>28</v>
      </c>
      <c r="J11528" s="11" t="s">
        <v>28</v>
      </c>
      <c r="K11528" s="11" t="s">
        <v>28</v>
      </c>
      <c r="L11528" s="11" t="s">
        <v>28</v>
      </c>
      <c r="M11528" s="11" t="s">
        <v>28</v>
      </c>
      <c r="N11528" s="8">
        <v>41009</v>
      </c>
      <c r="O11528" s="9" t="s">
        <v>30</v>
      </c>
      <c r="P11528" s="12" t="s">
        <v>32427</v>
      </c>
      <c r="Q11528" s="9" t="s">
        <v>740</v>
      </c>
      <c r="R11528" s="14" t="str">
        <f>HYPERLINK("https://my.pitchbook.com?c=21187-63T","View Company Online")</f>
        <v>View Company Online</v>
      </c>
    </row>
    <row r="11529" spans="1:18" hidden="1" x14ac:dyDescent="0.3">
      <c r="A11529" s="15" t="s">
        <v>32428</v>
      </c>
      <c r="B11529" s="15" t="s">
        <v>24912</v>
      </c>
      <c r="C11529" s="18" t="s">
        <v>28</v>
      </c>
      <c r="D11529" s="15" t="s">
        <v>24913</v>
      </c>
      <c r="E11529" s="18" t="s">
        <v>28</v>
      </c>
      <c r="F11529" s="19" t="s">
        <v>28</v>
      </c>
      <c r="G11529" s="19" t="s">
        <v>28</v>
      </c>
      <c r="H11529" s="19" t="s">
        <v>28</v>
      </c>
      <c r="I11529" s="18" t="s">
        <v>28</v>
      </c>
      <c r="J11529" s="18" t="s">
        <v>28</v>
      </c>
      <c r="K11529" s="18">
        <v>1.07</v>
      </c>
      <c r="L11529" s="18" t="s">
        <v>28</v>
      </c>
      <c r="M11529" s="18" t="s">
        <v>28</v>
      </c>
      <c r="N11529" s="17">
        <v>41008</v>
      </c>
      <c r="O11529" s="15" t="s">
        <v>79</v>
      </c>
      <c r="P11529" s="16" t="s">
        <v>32429</v>
      </c>
      <c r="Q11529" s="15" t="s">
        <v>285</v>
      </c>
      <c r="R11529" s="13" t="str">
        <f>HYPERLINK("https://my.pitchbook.com?c=21153-70T","View Company Online")</f>
        <v>View Company Online</v>
      </c>
    </row>
    <row r="11530" spans="1:18" hidden="1" x14ac:dyDescent="0.3">
      <c r="A11530" s="9" t="s">
        <v>32430</v>
      </c>
      <c r="B11530" s="9" t="s">
        <v>32431</v>
      </c>
      <c r="C11530" s="11" t="s">
        <v>28</v>
      </c>
      <c r="D11530" s="9" t="s">
        <v>32432</v>
      </c>
      <c r="E11530" s="11" t="s">
        <v>28</v>
      </c>
      <c r="F11530" s="10" t="s">
        <v>28</v>
      </c>
      <c r="G11530" s="10" t="s">
        <v>28</v>
      </c>
      <c r="H11530" s="10" t="s">
        <v>28</v>
      </c>
      <c r="I11530" s="11" t="s">
        <v>28</v>
      </c>
      <c r="J11530" s="11" t="s">
        <v>28</v>
      </c>
      <c r="K11530" s="11">
        <v>3</v>
      </c>
      <c r="L11530" s="11" t="s">
        <v>28</v>
      </c>
      <c r="M11530" s="11" t="s">
        <v>28</v>
      </c>
      <c r="N11530" s="8">
        <v>41008</v>
      </c>
      <c r="O11530" s="9" t="s">
        <v>30</v>
      </c>
      <c r="P11530" s="12" t="s">
        <v>32433</v>
      </c>
      <c r="Q11530" s="9" t="s">
        <v>449</v>
      </c>
      <c r="R11530" s="14" t="str">
        <f>HYPERLINK("https://my.pitchbook.com?c=226062-64T","View Company Online")</f>
        <v>View Company Online</v>
      </c>
    </row>
    <row r="11531" spans="1:18" hidden="1" x14ac:dyDescent="0.3">
      <c r="A11531" s="15" t="s">
        <v>32434</v>
      </c>
      <c r="B11531" s="15" t="s">
        <v>32435</v>
      </c>
      <c r="C11531" s="18" t="s">
        <v>28</v>
      </c>
      <c r="D11531" s="15" t="s">
        <v>32436</v>
      </c>
      <c r="E11531" s="18" t="s">
        <v>28</v>
      </c>
      <c r="F11531" s="19" t="s">
        <v>28</v>
      </c>
      <c r="G11531" s="19" t="s">
        <v>28</v>
      </c>
      <c r="H11531" s="19" t="s">
        <v>28</v>
      </c>
      <c r="I11531" s="18" t="s">
        <v>28</v>
      </c>
      <c r="J11531" s="18" t="s">
        <v>28</v>
      </c>
      <c r="K11531" s="18" t="s">
        <v>28</v>
      </c>
      <c r="L11531" s="18" t="s">
        <v>28</v>
      </c>
      <c r="M11531" s="18" t="s">
        <v>28</v>
      </c>
      <c r="N11531" s="17">
        <v>41008</v>
      </c>
      <c r="O11531" s="15" t="s">
        <v>173</v>
      </c>
      <c r="P11531" s="16" t="s">
        <v>28</v>
      </c>
      <c r="Q11531" s="15" t="s">
        <v>174</v>
      </c>
      <c r="R11531" s="13" t="str">
        <f>HYPERLINK("https://my.pitchbook.com?c=226416-79T","View Company Online")</f>
        <v>View Company Online</v>
      </c>
    </row>
    <row r="11532" spans="1:18" hidden="1" x14ac:dyDescent="0.3">
      <c r="A11532" s="9" t="s">
        <v>32437</v>
      </c>
      <c r="B11532" s="9" t="s">
        <v>32438</v>
      </c>
      <c r="C11532" s="11" t="s">
        <v>28</v>
      </c>
      <c r="D11532" s="9" t="s">
        <v>32439</v>
      </c>
      <c r="E11532" s="11" t="s">
        <v>28</v>
      </c>
      <c r="F11532" s="10">
        <v>8.82</v>
      </c>
      <c r="G11532" s="10">
        <v>2.64</v>
      </c>
      <c r="H11532" s="10">
        <v>8.81</v>
      </c>
      <c r="I11532" s="11" t="s">
        <v>28</v>
      </c>
      <c r="J11532" s="11" t="s">
        <v>28</v>
      </c>
      <c r="K11532" s="11">
        <v>30.59</v>
      </c>
      <c r="L11532" s="11">
        <v>0.28999999999999998</v>
      </c>
      <c r="M11532" s="11" t="s">
        <v>28</v>
      </c>
      <c r="N11532" s="8">
        <v>41004</v>
      </c>
      <c r="O11532" s="9" t="s">
        <v>30</v>
      </c>
      <c r="P11532" s="12" t="s">
        <v>32440</v>
      </c>
      <c r="Q11532" s="9" t="s">
        <v>14060</v>
      </c>
      <c r="R11532" s="14" t="str">
        <f>HYPERLINK("https://my.pitchbook.com?c=71807-05T","View Company Online")</f>
        <v>View Company Online</v>
      </c>
    </row>
    <row r="11533" spans="1:18" hidden="1" x14ac:dyDescent="0.3">
      <c r="A11533" s="15" t="s">
        <v>32441</v>
      </c>
      <c r="B11533" s="15" t="s">
        <v>32442</v>
      </c>
      <c r="C11533" s="18" t="s">
        <v>28</v>
      </c>
      <c r="D11533" s="15" t="s">
        <v>32443</v>
      </c>
      <c r="E11533" s="18" t="s">
        <v>28</v>
      </c>
      <c r="F11533" s="19">
        <v>60.8</v>
      </c>
      <c r="G11533" s="19">
        <v>30.4</v>
      </c>
      <c r="H11533" s="19">
        <v>60.8</v>
      </c>
      <c r="I11533" s="18" t="s">
        <v>28</v>
      </c>
      <c r="J11533" s="18" t="s">
        <v>28</v>
      </c>
      <c r="K11533" s="18">
        <v>168.24</v>
      </c>
      <c r="L11533" s="18">
        <v>0.36</v>
      </c>
      <c r="M11533" s="18" t="s">
        <v>28</v>
      </c>
      <c r="N11533" s="17">
        <v>41004</v>
      </c>
      <c r="O11533" s="15" t="s">
        <v>30</v>
      </c>
      <c r="P11533" s="16" t="s">
        <v>32444</v>
      </c>
      <c r="Q11533" s="15" t="s">
        <v>10313</v>
      </c>
      <c r="R11533" s="13" t="str">
        <f>HYPERLINK("https://my.pitchbook.com?c=68318-92T","View Company Online")</f>
        <v>View Company Online</v>
      </c>
    </row>
    <row r="11534" spans="1:18" hidden="1" x14ac:dyDescent="0.3">
      <c r="A11534" s="9" t="s">
        <v>32445</v>
      </c>
      <c r="B11534" s="9" t="s">
        <v>32446</v>
      </c>
      <c r="C11534" s="11" t="s">
        <v>28</v>
      </c>
      <c r="D11534" s="9" t="s">
        <v>32447</v>
      </c>
      <c r="E11534" s="11" t="s">
        <v>28</v>
      </c>
      <c r="F11534" s="10" t="s">
        <v>28</v>
      </c>
      <c r="G11534" s="10" t="s">
        <v>28</v>
      </c>
      <c r="H11534" s="10" t="s">
        <v>28</v>
      </c>
      <c r="I11534" s="11" t="s">
        <v>28</v>
      </c>
      <c r="J11534" s="11" t="s">
        <v>28</v>
      </c>
      <c r="K11534" s="11">
        <v>53.56</v>
      </c>
      <c r="L11534" s="11" t="s">
        <v>28</v>
      </c>
      <c r="M11534" s="11" t="s">
        <v>28</v>
      </c>
      <c r="N11534" s="8">
        <v>41001</v>
      </c>
      <c r="O11534" s="9" t="s">
        <v>30</v>
      </c>
      <c r="P11534" s="12" t="s">
        <v>32448</v>
      </c>
      <c r="Q11534" s="9" t="s">
        <v>136</v>
      </c>
      <c r="R11534" s="14" t="str">
        <f>HYPERLINK("https://my.pitchbook.com?c=54580-06T","View Company Online")</f>
        <v>View Company Online</v>
      </c>
    </row>
    <row r="11535" spans="1:18" hidden="1" x14ac:dyDescent="0.3">
      <c r="A11535" s="15" t="s">
        <v>32449</v>
      </c>
      <c r="B11535" s="15" t="s">
        <v>32450</v>
      </c>
      <c r="C11535" s="18" t="s">
        <v>28</v>
      </c>
      <c r="D11535" s="15" t="s">
        <v>32451</v>
      </c>
      <c r="E11535" s="18" t="s">
        <v>28</v>
      </c>
      <c r="F11535" s="19" t="s">
        <v>28</v>
      </c>
      <c r="G11535" s="19" t="s">
        <v>28</v>
      </c>
      <c r="H11535" s="19" t="s">
        <v>28</v>
      </c>
      <c r="I11535" s="18" t="s">
        <v>28</v>
      </c>
      <c r="J11535" s="18" t="s">
        <v>28</v>
      </c>
      <c r="K11535" s="18" t="s">
        <v>28</v>
      </c>
      <c r="L11535" s="18" t="s">
        <v>28</v>
      </c>
      <c r="M11535" s="18" t="s">
        <v>28</v>
      </c>
      <c r="N11535" s="17">
        <v>41000</v>
      </c>
      <c r="O11535" s="15" t="s">
        <v>173</v>
      </c>
      <c r="P11535" s="16" t="s">
        <v>28</v>
      </c>
      <c r="Q11535" s="15" t="s">
        <v>174</v>
      </c>
      <c r="R11535" s="13" t="str">
        <f>HYPERLINK("https://my.pitchbook.com?c=221242-69T","View Company Online")</f>
        <v>View Company Online</v>
      </c>
    </row>
    <row r="11536" spans="1:18" hidden="1" x14ac:dyDescent="0.3">
      <c r="A11536" s="9" t="s">
        <v>32452</v>
      </c>
      <c r="B11536" s="9" t="s">
        <v>30537</v>
      </c>
      <c r="C11536" s="11" t="s">
        <v>28</v>
      </c>
      <c r="D11536" s="9" t="s">
        <v>30538</v>
      </c>
      <c r="E11536" s="11" t="s">
        <v>28</v>
      </c>
      <c r="F11536" s="10" t="s">
        <v>28</v>
      </c>
      <c r="G11536" s="10" t="s">
        <v>28</v>
      </c>
      <c r="H11536" s="10" t="s">
        <v>28</v>
      </c>
      <c r="I11536" s="11" t="s">
        <v>28</v>
      </c>
      <c r="J11536" s="11" t="s">
        <v>28</v>
      </c>
      <c r="K11536" s="11" t="s">
        <v>28</v>
      </c>
      <c r="L11536" s="11" t="s">
        <v>28</v>
      </c>
      <c r="M11536" s="11" t="s">
        <v>28</v>
      </c>
      <c r="N11536" s="8">
        <v>41000</v>
      </c>
      <c r="O11536" s="9" t="s">
        <v>73</v>
      </c>
      <c r="P11536" s="12" t="s">
        <v>32453</v>
      </c>
      <c r="Q11536" s="9" t="s">
        <v>566</v>
      </c>
      <c r="R11536" s="14" t="str">
        <f>HYPERLINK("https://my.pitchbook.com?c=33063-22T","View Company Online")</f>
        <v>View Company Online</v>
      </c>
    </row>
    <row r="11537" spans="1:18" hidden="1" x14ac:dyDescent="0.3">
      <c r="A11537" s="15" t="s">
        <v>32454</v>
      </c>
      <c r="B11537" s="15" t="s">
        <v>28297</v>
      </c>
      <c r="C11537" s="18" t="s">
        <v>28</v>
      </c>
      <c r="D11537" s="15" t="s">
        <v>28298</v>
      </c>
      <c r="E11537" s="18" t="s">
        <v>28</v>
      </c>
      <c r="F11537" s="19" t="s">
        <v>28</v>
      </c>
      <c r="G11537" s="19">
        <v>0.5</v>
      </c>
      <c r="H11537" s="19" t="s">
        <v>28</v>
      </c>
      <c r="I11537" s="18" t="s">
        <v>28</v>
      </c>
      <c r="J11537" s="18" t="s">
        <v>28</v>
      </c>
      <c r="K11537" s="18" t="s">
        <v>28</v>
      </c>
      <c r="L11537" s="18" t="s">
        <v>28</v>
      </c>
      <c r="M11537" s="18" t="s">
        <v>28</v>
      </c>
      <c r="N11537" s="17">
        <v>41000</v>
      </c>
      <c r="O11537" s="15" t="s">
        <v>52</v>
      </c>
      <c r="P11537" s="16" t="s">
        <v>21581</v>
      </c>
      <c r="Q11537" s="15" t="s">
        <v>386</v>
      </c>
      <c r="R11537" s="13" t="str">
        <f>HYPERLINK("https://my.pitchbook.com?c=21792-61T","View Company Online")</f>
        <v>View Company Online</v>
      </c>
    </row>
    <row r="11538" spans="1:18" hidden="1" x14ac:dyDescent="0.3">
      <c r="A11538" s="9" t="s">
        <v>32455</v>
      </c>
      <c r="B11538" s="9" t="s">
        <v>31376</v>
      </c>
      <c r="C11538" s="11" t="s">
        <v>28</v>
      </c>
      <c r="D11538" s="9" t="s">
        <v>31377</v>
      </c>
      <c r="E11538" s="11" t="s">
        <v>28</v>
      </c>
      <c r="F11538" s="10" t="s">
        <v>28</v>
      </c>
      <c r="G11538" s="10">
        <v>0.02</v>
      </c>
      <c r="H11538" s="10" t="s">
        <v>28</v>
      </c>
      <c r="I11538" s="11" t="s">
        <v>28</v>
      </c>
      <c r="J11538" s="11" t="s">
        <v>28</v>
      </c>
      <c r="K11538" s="11" t="s">
        <v>28</v>
      </c>
      <c r="L11538" s="11" t="s">
        <v>28</v>
      </c>
      <c r="M11538" s="11" t="s">
        <v>28</v>
      </c>
      <c r="N11538" s="8">
        <v>40997</v>
      </c>
      <c r="O11538" s="9" t="s">
        <v>8420</v>
      </c>
      <c r="P11538" s="12" t="s">
        <v>28</v>
      </c>
      <c r="Q11538" s="9" t="s">
        <v>249</v>
      </c>
      <c r="R11538" s="14" t="str">
        <f>HYPERLINK("https://my.pitchbook.com?c=65186-92T","View Company Online")</f>
        <v>View Company Online</v>
      </c>
    </row>
    <row r="11539" spans="1:18" hidden="1" x14ac:dyDescent="0.3">
      <c r="A11539" s="15" t="s">
        <v>32456</v>
      </c>
      <c r="B11539" s="15" t="s">
        <v>26894</v>
      </c>
      <c r="C11539" s="18" t="s">
        <v>28</v>
      </c>
      <c r="D11539" s="15" t="s">
        <v>26895</v>
      </c>
      <c r="E11539" s="18" t="s">
        <v>28</v>
      </c>
      <c r="F11539" s="19" t="s">
        <v>28</v>
      </c>
      <c r="G11539" s="19" t="s">
        <v>28</v>
      </c>
      <c r="H11539" s="19" t="s">
        <v>28</v>
      </c>
      <c r="I11539" s="18" t="s">
        <v>28</v>
      </c>
      <c r="J11539" s="18" t="s">
        <v>28</v>
      </c>
      <c r="K11539" s="18" t="s">
        <v>28</v>
      </c>
      <c r="L11539" s="18" t="s">
        <v>28</v>
      </c>
      <c r="M11539" s="18" t="s">
        <v>28</v>
      </c>
      <c r="N11539" s="17">
        <v>40996</v>
      </c>
      <c r="O11539" s="15" t="s">
        <v>41</v>
      </c>
      <c r="P11539" s="16" t="s">
        <v>32457</v>
      </c>
      <c r="Q11539" s="15" t="s">
        <v>299</v>
      </c>
      <c r="R11539" s="13" t="str">
        <f>HYPERLINK("https://my.pitchbook.com?c=21024-01T","View Company Online")</f>
        <v>View Company Online</v>
      </c>
    </row>
    <row r="11540" spans="1:18" hidden="1" x14ac:dyDescent="0.3">
      <c r="A11540" s="9" t="s">
        <v>32458</v>
      </c>
      <c r="B11540" s="9" t="s">
        <v>15714</v>
      </c>
      <c r="C11540" s="11" t="s">
        <v>28</v>
      </c>
      <c r="D11540" s="9" t="s">
        <v>15715</v>
      </c>
      <c r="E11540" s="11" t="s">
        <v>28</v>
      </c>
      <c r="F11540" s="10">
        <v>55.97</v>
      </c>
      <c r="G11540" s="10">
        <v>55.97</v>
      </c>
      <c r="H11540" s="10">
        <v>55.97</v>
      </c>
      <c r="I11540" s="11" t="s">
        <v>28</v>
      </c>
      <c r="J11540" s="11" t="s">
        <v>28</v>
      </c>
      <c r="K11540" s="11" t="s">
        <v>28</v>
      </c>
      <c r="L11540" s="11" t="s">
        <v>28</v>
      </c>
      <c r="M11540" s="11" t="s">
        <v>28</v>
      </c>
      <c r="N11540" s="8">
        <v>40996</v>
      </c>
      <c r="O11540" s="9" t="s">
        <v>41</v>
      </c>
      <c r="P11540" s="12" t="s">
        <v>28789</v>
      </c>
      <c r="Q11540" s="9" t="s">
        <v>880</v>
      </c>
      <c r="R11540" s="14" t="str">
        <f>HYPERLINK("https://my.pitchbook.com?c=29926-72T","View Company Online")</f>
        <v>View Company Online</v>
      </c>
    </row>
    <row r="11541" spans="1:18" hidden="1" x14ac:dyDescent="0.3">
      <c r="A11541" s="15" t="s">
        <v>32459</v>
      </c>
      <c r="B11541" s="15" t="s">
        <v>32460</v>
      </c>
      <c r="C11541" s="18" t="s">
        <v>28</v>
      </c>
      <c r="D11541" s="15" t="s">
        <v>32461</v>
      </c>
      <c r="E11541" s="18" t="s">
        <v>28</v>
      </c>
      <c r="F11541" s="19">
        <v>13.4</v>
      </c>
      <c r="G11541" s="19">
        <v>13.4</v>
      </c>
      <c r="H11541" s="19">
        <v>13.4</v>
      </c>
      <c r="I11541" s="18" t="s">
        <v>28</v>
      </c>
      <c r="J11541" s="18" t="s">
        <v>28</v>
      </c>
      <c r="K11541" s="18">
        <v>14.06</v>
      </c>
      <c r="L11541" s="18">
        <v>0.95</v>
      </c>
      <c r="M11541" s="18" t="s">
        <v>28</v>
      </c>
      <c r="N11541" s="17">
        <v>40996</v>
      </c>
      <c r="O11541" s="15" t="s">
        <v>30</v>
      </c>
      <c r="P11541" s="16" t="s">
        <v>32462</v>
      </c>
      <c r="Q11541" s="15" t="s">
        <v>404</v>
      </c>
      <c r="R11541" s="13" t="str">
        <f>HYPERLINK("https://my.pitchbook.com?c=72128-44T","View Company Online")</f>
        <v>View Company Online</v>
      </c>
    </row>
    <row r="11542" spans="1:18" hidden="1" x14ac:dyDescent="0.3">
      <c r="A11542" s="9" t="s">
        <v>32463</v>
      </c>
      <c r="B11542" s="9" t="s">
        <v>21518</v>
      </c>
      <c r="C11542" s="11" t="s">
        <v>28</v>
      </c>
      <c r="D11542" s="9" t="s">
        <v>21519</v>
      </c>
      <c r="E11542" s="11" t="s">
        <v>28</v>
      </c>
      <c r="F11542" s="10" t="s">
        <v>28</v>
      </c>
      <c r="G11542" s="10" t="s">
        <v>28</v>
      </c>
      <c r="H11542" s="10" t="s">
        <v>28</v>
      </c>
      <c r="I11542" s="11" t="s">
        <v>28</v>
      </c>
      <c r="J11542" s="11" t="s">
        <v>28</v>
      </c>
      <c r="K11542" s="11" t="s">
        <v>28</v>
      </c>
      <c r="L11542" s="11" t="s">
        <v>28</v>
      </c>
      <c r="M11542" s="11" t="s">
        <v>28</v>
      </c>
      <c r="N11542" s="8">
        <v>40995</v>
      </c>
      <c r="O11542" s="9" t="s">
        <v>93</v>
      </c>
      <c r="P11542" s="12" t="s">
        <v>32464</v>
      </c>
      <c r="Q11542" s="9" t="s">
        <v>880</v>
      </c>
      <c r="R11542" s="14" t="str">
        <f>HYPERLINK("https://my.pitchbook.com?c=32646-16T","View Company Online")</f>
        <v>View Company Online</v>
      </c>
    </row>
    <row r="11543" spans="1:18" hidden="1" x14ac:dyDescent="0.3">
      <c r="A11543" s="15" t="s">
        <v>32465</v>
      </c>
      <c r="B11543" s="15" t="s">
        <v>32466</v>
      </c>
      <c r="C11543" s="18" t="s">
        <v>28</v>
      </c>
      <c r="D11543" s="15" t="s">
        <v>32467</v>
      </c>
      <c r="E11543" s="18" t="s">
        <v>28</v>
      </c>
      <c r="F11543" s="19" t="s">
        <v>28</v>
      </c>
      <c r="G11543" s="19" t="s">
        <v>28</v>
      </c>
      <c r="H11543" s="19" t="s">
        <v>28</v>
      </c>
      <c r="I11543" s="18" t="s">
        <v>28</v>
      </c>
      <c r="J11543" s="18" t="s">
        <v>28</v>
      </c>
      <c r="K11543" s="18" t="s">
        <v>28</v>
      </c>
      <c r="L11543" s="18" t="s">
        <v>28</v>
      </c>
      <c r="M11543" s="18" t="s">
        <v>28</v>
      </c>
      <c r="N11543" s="17">
        <v>40995</v>
      </c>
      <c r="O11543" s="15" t="s">
        <v>30</v>
      </c>
      <c r="P11543" s="16" t="s">
        <v>18971</v>
      </c>
      <c r="Q11543" s="15" t="s">
        <v>566</v>
      </c>
      <c r="R11543" s="13" t="str">
        <f>HYPERLINK("https://my.pitchbook.com?c=57524-95T","View Company Online")</f>
        <v>View Company Online</v>
      </c>
    </row>
    <row r="11544" spans="1:18" hidden="1" x14ac:dyDescent="0.3">
      <c r="A11544" s="9" t="s">
        <v>32468</v>
      </c>
      <c r="B11544" s="9" t="s">
        <v>24966</v>
      </c>
      <c r="C11544" s="11" t="s">
        <v>28</v>
      </c>
      <c r="D11544" s="9" t="s">
        <v>24967</v>
      </c>
      <c r="E11544" s="11" t="s">
        <v>28</v>
      </c>
      <c r="F11544" s="10" t="s">
        <v>28</v>
      </c>
      <c r="G11544" s="10" t="s">
        <v>28</v>
      </c>
      <c r="H11544" s="10" t="s">
        <v>28</v>
      </c>
      <c r="I11544" s="11" t="s">
        <v>28</v>
      </c>
      <c r="J11544" s="11" t="s">
        <v>28</v>
      </c>
      <c r="K11544" s="11">
        <v>67.989999999999995</v>
      </c>
      <c r="L11544" s="11" t="s">
        <v>28</v>
      </c>
      <c r="M11544" s="11" t="s">
        <v>28</v>
      </c>
      <c r="N11544" s="8">
        <v>40989</v>
      </c>
      <c r="O11544" s="9" t="s">
        <v>30</v>
      </c>
      <c r="P11544" s="12" t="s">
        <v>32469</v>
      </c>
      <c r="Q11544" s="9" t="s">
        <v>69</v>
      </c>
      <c r="R11544" s="14" t="str">
        <f>HYPERLINK("https://my.pitchbook.com?c=86821-66T","View Company Online")</f>
        <v>View Company Online</v>
      </c>
    </row>
    <row r="11545" spans="1:18" hidden="1" x14ac:dyDescent="0.3">
      <c r="A11545" s="15" t="s">
        <v>32470</v>
      </c>
      <c r="B11545" s="15" t="s">
        <v>5263</v>
      </c>
      <c r="C11545" s="18" t="s">
        <v>28</v>
      </c>
      <c r="D11545" s="15" t="s">
        <v>5264</v>
      </c>
      <c r="E11545" s="18" t="s">
        <v>28</v>
      </c>
      <c r="F11545" s="19" t="s">
        <v>28</v>
      </c>
      <c r="G11545" s="19">
        <v>5</v>
      </c>
      <c r="H11545" s="19" t="s">
        <v>28</v>
      </c>
      <c r="I11545" s="18" t="s">
        <v>28</v>
      </c>
      <c r="J11545" s="18" t="s">
        <v>28</v>
      </c>
      <c r="K11545" s="18" t="s">
        <v>28</v>
      </c>
      <c r="L11545" s="18" t="s">
        <v>28</v>
      </c>
      <c r="M11545" s="18" t="s">
        <v>28</v>
      </c>
      <c r="N11545" s="17">
        <v>40984</v>
      </c>
      <c r="O11545" s="15" t="s">
        <v>73</v>
      </c>
      <c r="P11545" s="16" t="s">
        <v>32471</v>
      </c>
      <c r="Q11545" s="15" t="s">
        <v>740</v>
      </c>
      <c r="R11545" s="13" t="str">
        <f>HYPERLINK("https://my.pitchbook.com?c=20901-07T","View Company Online")</f>
        <v>View Company Online</v>
      </c>
    </row>
    <row r="11546" spans="1:18" hidden="1" x14ac:dyDescent="0.3">
      <c r="A11546" s="9" t="s">
        <v>32472</v>
      </c>
      <c r="B11546" s="9" t="s">
        <v>32473</v>
      </c>
      <c r="C11546" s="11" t="s">
        <v>28</v>
      </c>
      <c r="D11546" s="9" t="s">
        <v>32474</v>
      </c>
      <c r="E11546" s="11">
        <v>-13.82</v>
      </c>
      <c r="F11546" s="10" t="s">
        <v>28</v>
      </c>
      <c r="G11546" s="10">
        <v>9.16</v>
      </c>
      <c r="H11546" s="10" t="s">
        <v>28</v>
      </c>
      <c r="I11546" s="11">
        <v>-8.7899999999999991</v>
      </c>
      <c r="J11546" s="11" t="s">
        <v>28</v>
      </c>
      <c r="K11546" s="11">
        <v>31.29</v>
      </c>
      <c r="L11546" s="11" t="s">
        <v>28</v>
      </c>
      <c r="M11546" s="11">
        <v>-12.87</v>
      </c>
      <c r="N11546" s="8">
        <v>40984</v>
      </c>
      <c r="O11546" s="9" t="s">
        <v>159</v>
      </c>
      <c r="P11546" s="12" t="s">
        <v>28</v>
      </c>
      <c r="Q11546" s="9" t="s">
        <v>69</v>
      </c>
      <c r="R11546" s="14" t="str">
        <f>HYPERLINK("https://my.pitchbook.com?c=280980-64T","View Company Online")</f>
        <v>View Company Online</v>
      </c>
    </row>
    <row r="11547" spans="1:18" hidden="1" x14ac:dyDescent="0.3">
      <c r="A11547" s="15" t="s">
        <v>32475</v>
      </c>
      <c r="B11547" s="15" t="s">
        <v>32476</v>
      </c>
      <c r="C11547" s="18" t="s">
        <v>28</v>
      </c>
      <c r="D11547" s="15" t="s">
        <v>32477</v>
      </c>
      <c r="E11547" s="18" t="s">
        <v>28</v>
      </c>
      <c r="F11547" s="19" t="s">
        <v>28</v>
      </c>
      <c r="G11547" s="19" t="s">
        <v>28</v>
      </c>
      <c r="H11547" s="19" t="s">
        <v>28</v>
      </c>
      <c r="I11547" s="18" t="s">
        <v>28</v>
      </c>
      <c r="J11547" s="18" t="s">
        <v>28</v>
      </c>
      <c r="K11547" s="18" t="s">
        <v>28</v>
      </c>
      <c r="L11547" s="18" t="s">
        <v>28</v>
      </c>
      <c r="M11547" s="18" t="s">
        <v>28</v>
      </c>
      <c r="N11547" s="17">
        <v>40981</v>
      </c>
      <c r="O11547" s="15" t="s">
        <v>30</v>
      </c>
      <c r="P11547" s="16" t="s">
        <v>32478</v>
      </c>
      <c r="Q11547" s="15" t="s">
        <v>64</v>
      </c>
      <c r="R11547" s="13" t="str">
        <f>HYPERLINK("https://my.pitchbook.com?c=89787-97T","View Company Online")</f>
        <v>View Company Online</v>
      </c>
    </row>
    <row r="11548" spans="1:18" hidden="1" x14ac:dyDescent="0.3">
      <c r="A11548" s="9" t="s">
        <v>32479</v>
      </c>
      <c r="B11548" s="9" t="s">
        <v>19853</v>
      </c>
      <c r="C11548" s="11" t="s">
        <v>28</v>
      </c>
      <c r="D11548" s="9" t="s">
        <v>19854</v>
      </c>
      <c r="E11548" s="11" t="s">
        <v>28</v>
      </c>
      <c r="F11548" s="10" t="s">
        <v>28</v>
      </c>
      <c r="G11548" s="10" t="s">
        <v>28</v>
      </c>
      <c r="H11548" s="10" t="s">
        <v>28</v>
      </c>
      <c r="I11548" s="11" t="s">
        <v>28</v>
      </c>
      <c r="J11548" s="11" t="s">
        <v>28</v>
      </c>
      <c r="K11548" s="11" t="s">
        <v>28</v>
      </c>
      <c r="L11548" s="11" t="s">
        <v>28</v>
      </c>
      <c r="M11548" s="11" t="s">
        <v>28</v>
      </c>
      <c r="N11548" s="8">
        <v>40981</v>
      </c>
      <c r="O11548" s="9" t="s">
        <v>30</v>
      </c>
      <c r="P11548" s="12" t="s">
        <v>32480</v>
      </c>
      <c r="Q11548" s="9" t="s">
        <v>19855</v>
      </c>
      <c r="R11548" s="14" t="str">
        <f>HYPERLINK("https://my.pitchbook.com?c=65711-89T","View Company Online")</f>
        <v>View Company Online</v>
      </c>
    </row>
    <row r="11549" spans="1:18" hidden="1" x14ac:dyDescent="0.3">
      <c r="A11549" s="15" t="s">
        <v>32481</v>
      </c>
      <c r="B11549" s="15" t="s">
        <v>32482</v>
      </c>
      <c r="C11549" s="18" t="s">
        <v>28</v>
      </c>
      <c r="D11549" s="15" t="s">
        <v>32483</v>
      </c>
      <c r="E11549" s="18" t="s">
        <v>28</v>
      </c>
      <c r="F11549" s="19" t="s">
        <v>28</v>
      </c>
      <c r="G11549" s="19">
        <v>9.26</v>
      </c>
      <c r="H11549" s="19">
        <v>9.26</v>
      </c>
      <c r="I11549" s="18" t="s">
        <v>28</v>
      </c>
      <c r="J11549" s="18" t="s">
        <v>28</v>
      </c>
      <c r="K11549" s="18" t="s">
        <v>28</v>
      </c>
      <c r="L11549" s="18" t="s">
        <v>28</v>
      </c>
      <c r="M11549" s="18" t="s">
        <v>28</v>
      </c>
      <c r="N11549" s="17">
        <v>40981</v>
      </c>
      <c r="O11549" s="15" t="s">
        <v>30</v>
      </c>
      <c r="P11549" s="16" t="s">
        <v>4004</v>
      </c>
      <c r="Q11549" s="15" t="s">
        <v>1341</v>
      </c>
      <c r="R11549" s="13" t="str">
        <f>HYPERLINK("https://my.pitchbook.com?c=90177-49T","View Company Online")</f>
        <v>View Company Online</v>
      </c>
    </row>
    <row r="11550" spans="1:18" hidden="1" x14ac:dyDescent="0.3">
      <c r="A11550" s="9" t="s">
        <v>32484</v>
      </c>
      <c r="B11550" s="9" t="s">
        <v>32485</v>
      </c>
      <c r="C11550" s="11" t="s">
        <v>28</v>
      </c>
      <c r="D11550" s="9" t="s">
        <v>32486</v>
      </c>
      <c r="E11550" s="11">
        <v>21.42</v>
      </c>
      <c r="F11550" s="10" t="s">
        <v>28</v>
      </c>
      <c r="G11550" s="10" t="s">
        <v>28</v>
      </c>
      <c r="H11550" s="10" t="s">
        <v>28</v>
      </c>
      <c r="I11550" s="11">
        <v>21.42</v>
      </c>
      <c r="J11550" s="11" t="s">
        <v>28</v>
      </c>
      <c r="K11550" s="11">
        <v>9.59</v>
      </c>
      <c r="L11550" s="11" t="s">
        <v>28</v>
      </c>
      <c r="M11550" s="11">
        <v>21.42</v>
      </c>
      <c r="N11550" s="8">
        <v>40980</v>
      </c>
      <c r="O11550" s="9" t="s">
        <v>173</v>
      </c>
      <c r="P11550" s="12" t="s">
        <v>28</v>
      </c>
      <c r="Q11550" s="9" t="s">
        <v>174</v>
      </c>
      <c r="R11550" s="14" t="str">
        <f>HYPERLINK("https://my.pitchbook.com?c=223303-06T","View Company Online")</f>
        <v>View Company Online</v>
      </c>
    </row>
    <row r="11551" spans="1:18" hidden="1" x14ac:dyDescent="0.3">
      <c r="A11551" s="15" t="s">
        <v>32487</v>
      </c>
      <c r="B11551" s="15" t="s">
        <v>32488</v>
      </c>
      <c r="C11551" s="18" t="s">
        <v>28</v>
      </c>
      <c r="D11551" s="15" t="s">
        <v>32489</v>
      </c>
      <c r="E11551" s="18" t="s">
        <v>28</v>
      </c>
      <c r="F11551" s="19" t="s">
        <v>28</v>
      </c>
      <c r="G11551" s="19" t="s">
        <v>28</v>
      </c>
      <c r="H11551" s="19" t="s">
        <v>28</v>
      </c>
      <c r="I11551" s="18" t="s">
        <v>28</v>
      </c>
      <c r="J11551" s="18" t="s">
        <v>28</v>
      </c>
      <c r="K11551" s="18" t="s">
        <v>28</v>
      </c>
      <c r="L11551" s="18" t="s">
        <v>28</v>
      </c>
      <c r="M11551" s="18" t="s">
        <v>28</v>
      </c>
      <c r="N11551" s="17">
        <v>40980</v>
      </c>
      <c r="O11551" s="15" t="s">
        <v>58</v>
      </c>
      <c r="P11551" s="16" t="s">
        <v>32448</v>
      </c>
      <c r="Q11551" s="15" t="s">
        <v>136</v>
      </c>
      <c r="R11551" s="13" t="str">
        <f>HYPERLINK("https://my.pitchbook.com?c=54613-18T","View Company Online")</f>
        <v>View Company Online</v>
      </c>
    </row>
    <row r="11552" spans="1:18" hidden="1" x14ac:dyDescent="0.3">
      <c r="A11552" s="9" t="s">
        <v>32490</v>
      </c>
      <c r="B11552" s="9" t="s">
        <v>6102</v>
      </c>
      <c r="C11552" s="11" t="s">
        <v>28</v>
      </c>
      <c r="D11552" s="9" t="s">
        <v>6103</v>
      </c>
      <c r="E11552" s="11" t="s">
        <v>28</v>
      </c>
      <c r="F11552" s="10" t="s">
        <v>28</v>
      </c>
      <c r="G11552" s="10">
        <v>8.66</v>
      </c>
      <c r="H11552" s="10" t="s">
        <v>28</v>
      </c>
      <c r="I11552" s="11" t="s">
        <v>28</v>
      </c>
      <c r="J11552" s="11" t="s">
        <v>28</v>
      </c>
      <c r="K11552" s="11" t="s">
        <v>28</v>
      </c>
      <c r="L11552" s="11" t="s">
        <v>28</v>
      </c>
      <c r="M11552" s="11" t="s">
        <v>28</v>
      </c>
      <c r="N11552" s="8">
        <v>40978</v>
      </c>
      <c r="O11552" s="9" t="s">
        <v>93</v>
      </c>
      <c r="P11552" s="12" t="s">
        <v>32491</v>
      </c>
      <c r="Q11552" s="9" t="s">
        <v>669</v>
      </c>
      <c r="R11552" s="14" t="str">
        <f>HYPERLINK("https://my.pitchbook.com?c=24539-59T","View Company Online")</f>
        <v>View Company Online</v>
      </c>
    </row>
    <row r="11553" spans="1:18" hidden="1" x14ac:dyDescent="0.3">
      <c r="A11553" s="15" t="s">
        <v>32492</v>
      </c>
      <c r="B11553" s="15" t="s">
        <v>32493</v>
      </c>
      <c r="C11553" s="18" t="s">
        <v>28</v>
      </c>
      <c r="D11553" s="15" t="s">
        <v>32494</v>
      </c>
      <c r="E11553" s="18" t="s">
        <v>28</v>
      </c>
      <c r="F11553" s="19">
        <v>54.77</v>
      </c>
      <c r="G11553" s="19">
        <v>54.77</v>
      </c>
      <c r="H11553" s="19">
        <v>54.77</v>
      </c>
      <c r="I11553" s="18" t="s">
        <v>28</v>
      </c>
      <c r="J11553" s="18" t="s">
        <v>28</v>
      </c>
      <c r="K11553" s="18">
        <v>78.650000000000006</v>
      </c>
      <c r="L11553" s="18">
        <v>0.7</v>
      </c>
      <c r="M11553" s="18" t="s">
        <v>28</v>
      </c>
      <c r="N11553" s="17">
        <v>40977</v>
      </c>
      <c r="O11553" s="15" t="s">
        <v>30</v>
      </c>
      <c r="P11553" s="16" t="s">
        <v>21461</v>
      </c>
      <c r="Q11553" s="15" t="s">
        <v>245</v>
      </c>
      <c r="R11553" s="13" t="str">
        <f>HYPERLINK("https://my.pitchbook.com?c=210112-75T","View Company Online")</f>
        <v>View Company Online</v>
      </c>
    </row>
    <row r="11554" spans="1:18" hidden="1" x14ac:dyDescent="0.3">
      <c r="A11554" s="9" t="s">
        <v>32495</v>
      </c>
      <c r="B11554" s="9" t="s">
        <v>32496</v>
      </c>
      <c r="C11554" s="11" t="s">
        <v>28</v>
      </c>
      <c r="D11554" s="9" t="s">
        <v>32497</v>
      </c>
      <c r="E11554" s="11" t="s">
        <v>28</v>
      </c>
      <c r="F11554" s="10" t="s">
        <v>28</v>
      </c>
      <c r="G11554" s="10" t="s">
        <v>28</v>
      </c>
      <c r="H11554" s="10" t="s">
        <v>28</v>
      </c>
      <c r="I11554" s="11" t="s">
        <v>28</v>
      </c>
      <c r="J11554" s="11" t="s">
        <v>28</v>
      </c>
      <c r="K11554" s="11">
        <v>9</v>
      </c>
      <c r="L11554" s="11" t="s">
        <v>28</v>
      </c>
      <c r="M11554" s="11" t="s">
        <v>28</v>
      </c>
      <c r="N11554" s="8">
        <v>40976</v>
      </c>
      <c r="O11554" s="9" t="s">
        <v>30</v>
      </c>
      <c r="P11554" s="12" t="s">
        <v>32498</v>
      </c>
      <c r="Q11554" s="9" t="s">
        <v>381</v>
      </c>
      <c r="R11554" s="14" t="str">
        <f>HYPERLINK("https://my.pitchbook.com?c=71886-88T","View Company Online")</f>
        <v>View Company Online</v>
      </c>
    </row>
    <row r="11555" spans="1:18" hidden="1" x14ac:dyDescent="0.3">
      <c r="A11555" s="15" t="s">
        <v>32499</v>
      </c>
      <c r="B11555" s="15" t="s">
        <v>26096</v>
      </c>
      <c r="C11555" s="18" t="s">
        <v>28</v>
      </c>
      <c r="D11555" s="15" t="s">
        <v>26097</v>
      </c>
      <c r="E11555" s="18" t="s">
        <v>28</v>
      </c>
      <c r="F11555" s="19">
        <v>231.57</v>
      </c>
      <c r="G11555" s="19">
        <v>138.94</v>
      </c>
      <c r="H11555" s="19">
        <v>231.57</v>
      </c>
      <c r="I11555" s="18" t="s">
        <v>28</v>
      </c>
      <c r="J11555" s="18" t="s">
        <v>28</v>
      </c>
      <c r="K11555" s="18">
        <v>178.74</v>
      </c>
      <c r="L11555" s="18">
        <v>1.3</v>
      </c>
      <c r="M11555" s="18" t="s">
        <v>28</v>
      </c>
      <c r="N11555" s="17">
        <v>40976</v>
      </c>
      <c r="O11555" s="15" t="s">
        <v>41</v>
      </c>
      <c r="P11555" s="16" t="s">
        <v>21400</v>
      </c>
      <c r="Q11555" s="15" t="s">
        <v>1643</v>
      </c>
      <c r="R11555" s="13" t="str">
        <f>HYPERLINK("https://my.pitchbook.com?c=73040-23T","View Company Online")</f>
        <v>View Company Online</v>
      </c>
    </row>
    <row r="11556" spans="1:18" hidden="1" x14ac:dyDescent="0.3">
      <c r="A11556" s="9" t="s">
        <v>32500</v>
      </c>
      <c r="B11556" s="9" t="s">
        <v>6230</v>
      </c>
      <c r="C11556" s="11" t="s">
        <v>28</v>
      </c>
      <c r="D11556" s="9" t="s">
        <v>6231</v>
      </c>
      <c r="E11556" s="11" t="s">
        <v>28</v>
      </c>
      <c r="F11556" s="10" t="s">
        <v>28</v>
      </c>
      <c r="G11556" s="10">
        <v>104.28</v>
      </c>
      <c r="H11556" s="10" t="s">
        <v>28</v>
      </c>
      <c r="I11556" s="11" t="s">
        <v>28</v>
      </c>
      <c r="J11556" s="11" t="s">
        <v>28</v>
      </c>
      <c r="K11556" s="11">
        <v>89.37</v>
      </c>
      <c r="L11556" s="11" t="s">
        <v>28</v>
      </c>
      <c r="M11556" s="11" t="s">
        <v>28</v>
      </c>
      <c r="N11556" s="8">
        <v>40975</v>
      </c>
      <c r="O11556" s="9" t="s">
        <v>93</v>
      </c>
      <c r="P11556" s="12" t="s">
        <v>31861</v>
      </c>
      <c r="Q11556" s="9" t="s">
        <v>740</v>
      </c>
      <c r="R11556" s="14" t="str">
        <f>HYPERLINK("https://my.pitchbook.com?c=25940-89T","View Company Online")</f>
        <v>View Company Online</v>
      </c>
    </row>
    <row r="11557" spans="1:18" hidden="1" x14ac:dyDescent="0.3">
      <c r="A11557" s="15" t="s">
        <v>32501</v>
      </c>
      <c r="B11557" s="15" t="s">
        <v>32502</v>
      </c>
      <c r="C11557" s="18" t="s">
        <v>28</v>
      </c>
      <c r="D11557" s="15" t="s">
        <v>32503</v>
      </c>
      <c r="E11557" s="18" t="s">
        <v>28</v>
      </c>
      <c r="F11557" s="19">
        <v>477.95</v>
      </c>
      <c r="G11557" s="19">
        <v>477.95</v>
      </c>
      <c r="H11557" s="19">
        <v>477.95</v>
      </c>
      <c r="I11557" s="18" t="s">
        <v>28</v>
      </c>
      <c r="J11557" s="18" t="s">
        <v>28</v>
      </c>
      <c r="K11557" s="18" t="s">
        <v>28</v>
      </c>
      <c r="L11557" s="18" t="s">
        <v>28</v>
      </c>
      <c r="M11557" s="18">
        <v>476.65</v>
      </c>
      <c r="N11557" s="17">
        <v>40975</v>
      </c>
      <c r="O11557" s="15" t="s">
        <v>30</v>
      </c>
      <c r="P11557" s="16" t="s">
        <v>22734</v>
      </c>
      <c r="Q11557" s="15" t="s">
        <v>7209</v>
      </c>
      <c r="R11557" s="13" t="str">
        <f>HYPERLINK("https://my.pitchbook.com?c=90141-13T","View Company Online")</f>
        <v>View Company Online</v>
      </c>
    </row>
    <row r="11558" spans="1:18" hidden="1" x14ac:dyDescent="0.3">
      <c r="A11558" s="9" t="s">
        <v>32504</v>
      </c>
      <c r="B11558" s="9" t="s">
        <v>17247</v>
      </c>
      <c r="C11558" s="11" t="s">
        <v>28</v>
      </c>
      <c r="D11558" s="9" t="s">
        <v>17248</v>
      </c>
      <c r="E11558" s="11" t="s">
        <v>28</v>
      </c>
      <c r="F11558" s="10" t="s">
        <v>28</v>
      </c>
      <c r="G11558" s="10" t="s">
        <v>28</v>
      </c>
      <c r="H11558" s="10" t="s">
        <v>28</v>
      </c>
      <c r="I11558" s="11" t="s">
        <v>28</v>
      </c>
      <c r="J11558" s="11" t="s">
        <v>28</v>
      </c>
      <c r="K11558" s="11" t="s">
        <v>28</v>
      </c>
      <c r="L11558" s="11" t="s">
        <v>28</v>
      </c>
      <c r="M11558" s="11" t="s">
        <v>28</v>
      </c>
      <c r="N11558" s="8">
        <v>40974</v>
      </c>
      <c r="O11558" s="9" t="s">
        <v>52</v>
      </c>
      <c r="P11558" s="12" t="s">
        <v>4500</v>
      </c>
      <c r="Q11558" s="9" t="s">
        <v>658</v>
      </c>
      <c r="R11558" s="14" t="str">
        <f>HYPERLINK("https://my.pitchbook.com?c=253772-83T","View Company Online")</f>
        <v>View Company Online</v>
      </c>
    </row>
    <row r="11559" spans="1:18" hidden="1" x14ac:dyDescent="0.3">
      <c r="A11559" s="15" t="s">
        <v>32505</v>
      </c>
      <c r="B11559" s="15" t="s">
        <v>10960</v>
      </c>
      <c r="C11559" s="18" t="s">
        <v>28</v>
      </c>
      <c r="D11559" s="15" t="s">
        <v>10961</v>
      </c>
      <c r="E11559" s="18" t="s">
        <v>28</v>
      </c>
      <c r="F11559" s="19" t="s">
        <v>28</v>
      </c>
      <c r="G11559" s="19" t="s">
        <v>28</v>
      </c>
      <c r="H11559" s="19" t="s">
        <v>28</v>
      </c>
      <c r="I11559" s="18" t="s">
        <v>28</v>
      </c>
      <c r="J11559" s="18" t="s">
        <v>28</v>
      </c>
      <c r="K11559" s="18" t="s">
        <v>28</v>
      </c>
      <c r="L11559" s="18" t="s">
        <v>28</v>
      </c>
      <c r="M11559" s="18" t="s">
        <v>28</v>
      </c>
      <c r="N11559" s="17">
        <v>40974</v>
      </c>
      <c r="O11559" s="15" t="s">
        <v>41</v>
      </c>
      <c r="P11559" s="16" t="s">
        <v>32506</v>
      </c>
      <c r="Q11559" s="15" t="s">
        <v>280</v>
      </c>
      <c r="R11559" s="13" t="str">
        <f>HYPERLINK("https://my.pitchbook.com?c=70325-29T","View Company Online")</f>
        <v>View Company Online</v>
      </c>
    </row>
    <row r="11560" spans="1:18" hidden="1" x14ac:dyDescent="0.3">
      <c r="A11560" s="9" t="s">
        <v>32507</v>
      </c>
      <c r="B11560" s="9" t="s">
        <v>32508</v>
      </c>
      <c r="C11560" s="11" t="s">
        <v>28</v>
      </c>
      <c r="D11560" s="9" t="s">
        <v>32509</v>
      </c>
      <c r="E11560" s="11" t="s">
        <v>28</v>
      </c>
      <c r="F11560" s="10" t="s">
        <v>28</v>
      </c>
      <c r="G11560" s="10">
        <v>0.05</v>
      </c>
      <c r="H11560" s="10" t="s">
        <v>28</v>
      </c>
      <c r="I11560" s="11" t="s">
        <v>28</v>
      </c>
      <c r="J11560" s="11" t="s">
        <v>28</v>
      </c>
      <c r="K11560" s="11" t="s">
        <v>28</v>
      </c>
      <c r="L11560" s="11" t="s">
        <v>28</v>
      </c>
      <c r="M11560" s="11" t="s">
        <v>28</v>
      </c>
      <c r="N11560" s="8">
        <v>40969</v>
      </c>
      <c r="O11560" s="9" t="s">
        <v>52</v>
      </c>
      <c r="P11560" s="12" t="s">
        <v>24901</v>
      </c>
      <c r="Q11560" s="9" t="s">
        <v>740</v>
      </c>
      <c r="R11560" s="14" t="str">
        <f>HYPERLINK("https://my.pitchbook.com?c=51465-25T","View Company Online")</f>
        <v>View Company Online</v>
      </c>
    </row>
    <row r="11561" spans="1:18" hidden="1" x14ac:dyDescent="0.3">
      <c r="A11561" s="15" t="s">
        <v>32510</v>
      </c>
      <c r="B11561" s="15" t="s">
        <v>32511</v>
      </c>
      <c r="C11561" s="18" t="s">
        <v>28</v>
      </c>
      <c r="D11561" s="15" t="s">
        <v>32512</v>
      </c>
      <c r="E11561" s="18" t="s">
        <v>28</v>
      </c>
      <c r="F11561" s="19" t="s">
        <v>28</v>
      </c>
      <c r="G11561" s="19" t="s">
        <v>28</v>
      </c>
      <c r="H11561" s="19" t="s">
        <v>28</v>
      </c>
      <c r="I11561" s="18" t="s">
        <v>28</v>
      </c>
      <c r="J11561" s="18" t="s">
        <v>28</v>
      </c>
      <c r="K11561" s="18" t="s">
        <v>28</v>
      </c>
      <c r="L11561" s="18" t="s">
        <v>28</v>
      </c>
      <c r="M11561" s="18" t="s">
        <v>28</v>
      </c>
      <c r="N11561" s="17">
        <v>40969</v>
      </c>
      <c r="O11561" s="15" t="s">
        <v>30</v>
      </c>
      <c r="P11561" s="16" t="s">
        <v>32513</v>
      </c>
      <c r="Q11561" s="15" t="s">
        <v>353</v>
      </c>
      <c r="R11561" s="13" t="str">
        <f>HYPERLINK("https://my.pitchbook.com?c=66154-51T","View Company Online")</f>
        <v>View Company Online</v>
      </c>
    </row>
    <row r="11562" spans="1:18" hidden="1" x14ac:dyDescent="0.3">
      <c r="A11562" s="9" t="s">
        <v>32514</v>
      </c>
      <c r="B11562" s="9" t="s">
        <v>23113</v>
      </c>
      <c r="C11562" s="11" t="s">
        <v>28</v>
      </c>
      <c r="D11562" s="9" t="s">
        <v>23114</v>
      </c>
      <c r="E11562" s="11" t="s">
        <v>28</v>
      </c>
      <c r="F11562" s="10">
        <v>408.83</v>
      </c>
      <c r="G11562" s="10">
        <v>347.5</v>
      </c>
      <c r="H11562" s="10">
        <v>408.83</v>
      </c>
      <c r="I11562" s="11" t="s">
        <v>28</v>
      </c>
      <c r="J11562" s="11" t="s">
        <v>28</v>
      </c>
      <c r="K11562" s="11">
        <v>476.65</v>
      </c>
      <c r="L11562" s="11">
        <v>0.86</v>
      </c>
      <c r="M11562" s="11" t="s">
        <v>28</v>
      </c>
      <c r="N11562" s="8">
        <v>40969</v>
      </c>
      <c r="O11562" s="9" t="s">
        <v>41</v>
      </c>
      <c r="P11562" s="12" t="s">
        <v>25434</v>
      </c>
      <c r="Q11562" s="9" t="s">
        <v>409</v>
      </c>
      <c r="R11562" s="14" t="str">
        <f>HYPERLINK("https://my.pitchbook.com?c=20766-16T","View Company Online")</f>
        <v>View Company Online</v>
      </c>
    </row>
    <row r="11563" spans="1:18" hidden="1" x14ac:dyDescent="0.3">
      <c r="A11563" s="15" t="s">
        <v>32515</v>
      </c>
      <c r="B11563" s="15" t="s">
        <v>24222</v>
      </c>
      <c r="C11563" s="18" t="s">
        <v>28</v>
      </c>
      <c r="D11563" s="15" t="s">
        <v>24223</v>
      </c>
      <c r="E11563" s="18" t="s">
        <v>28</v>
      </c>
      <c r="F11563" s="19" t="s">
        <v>28</v>
      </c>
      <c r="G11563" s="19">
        <v>0.16</v>
      </c>
      <c r="H11563" s="19" t="s">
        <v>28</v>
      </c>
      <c r="I11563" s="18" t="s">
        <v>28</v>
      </c>
      <c r="J11563" s="18" t="s">
        <v>28</v>
      </c>
      <c r="K11563" s="18" t="s">
        <v>28</v>
      </c>
      <c r="L11563" s="18" t="s">
        <v>28</v>
      </c>
      <c r="M11563" s="18" t="s">
        <v>28</v>
      </c>
      <c r="N11563" s="17">
        <v>40969</v>
      </c>
      <c r="O11563" s="15" t="s">
        <v>52</v>
      </c>
      <c r="P11563" s="16" t="s">
        <v>17783</v>
      </c>
      <c r="Q11563" s="15" t="s">
        <v>75</v>
      </c>
      <c r="R11563" s="13" t="str">
        <f>HYPERLINK("https://my.pitchbook.com?c=52352-20T","View Company Online")</f>
        <v>View Company Online</v>
      </c>
    </row>
    <row r="11564" spans="1:18" hidden="1" x14ac:dyDescent="0.3">
      <c r="A11564" s="9" t="s">
        <v>32516</v>
      </c>
      <c r="B11564" s="9" t="s">
        <v>32517</v>
      </c>
      <c r="C11564" s="11" t="s">
        <v>28</v>
      </c>
      <c r="D11564" s="9" t="s">
        <v>32518</v>
      </c>
      <c r="E11564" s="11" t="s">
        <v>28</v>
      </c>
      <c r="F11564" s="10" t="s">
        <v>28</v>
      </c>
      <c r="G11564" s="10" t="s">
        <v>28</v>
      </c>
      <c r="H11564" s="10" t="s">
        <v>28</v>
      </c>
      <c r="I11564" s="11" t="s">
        <v>28</v>
      </c>
      <c r="J11564" s="11" t="s">
        <v>28</v>
      </c>
      <c r="K11564" s="11" t="s">
        <v>28</v>
      </c>
      <c r="L11564" s="11" t="s">
        <v>28</v>
      </c>
      <c r="M11564" s="11" t="s">
        <v>28</v>
      </c>
      <c r="N11564" s="8">
        <v>40969</v>
      </c>
      <c r="O11564" s="9" t="s">
        <v>30</v>
      </c>
      <c r="P11564" s="12" t="s">
        <v>32519</v>
      </c>
      <c r="Q11564" s="9" t="s">
        <v>1007</v>
      </c>
      <c r="R11564" s="14" t="str">
        <f>HYPERLINK("https://my.pitchbook.com?c=72164-53T","View Company Online")</f>
        <v>View Company Online</v>
      </c>
    </row>
    <row r="11565" spans="1:18" hidden="1" x14ac:dyDescent="0.3">
      <c r="A11565" s="15" t="s">
        <v>32520</v>
      </c>
      <c r="B11565" s="15" t="s">
        <v>32521</v>
      </c>
      <c r="C11565" s="18" t="s">
        <v>28</v>
      </c>
      <c r="D11565" s="15" t="s">
        <v>32522</v>
      </c>
      <c r="E11565" s="18" t="s">
        <v>28</v>
      </c>
      <c r="F11565" s="19" t="s">
        <v>28</v>
      </c>
      <c r="G11565" s="19">
        <v>8.6999999999999993</v>
      </c>
      <c r="H11565" s="19" t="s">
        <v>28</v>
      </c>
      <c r="I11565" s="18" t="s">
        <v>28</v>
      </c>
      <c r="J11565" s="18" t="s">
        <v>28</v>
      </c>
      <c r="K11565" s="18" t="s">
        <v>28</v>
      </c>
      <c r="L11565" s="18" t="s">
        <v>28</v>
      </c>
      <c r="M11565" s="18" t="s">
        <v>28</v>
      </c>
      <c r="N11565" s="17">
        <v>40968</v>
      </c>
      <c r="O11565" s="15" t="s">
        <v>79</v>
      </c>
      <c r="P11565" s="16" t="s">
        <v>32523</v>
      </c>
      <c r="Q11565" s="15" t="s">
        <v>85</v>
      </c>
      <c r="R11565" s="13" t="str">
        <f>HYPERLINK("https://my.pitchbook.com?c=24554-62T","View Company Online")</f>
        <v>View Company Online</v>
      </c>
    </row>
    <row r="11566" spans="1:18" hidden="1" x14ac:dyDescent="0.3">
      <c r="A11566" s="9" t="s">
        <v>32524</v>
      </c>
      <c r="B11566" s="9" t="s">
        <v>6122</v>
      </c>
      <c r="C11566" s="11" t="s">
        <v>28</v>
      </c>
      <c r="D11566" s="9" t="s">
        <v>22463</v>
      </c>
      <c r="E11566" s="11">
        <v>-502.62</v>
      </c>
      <c r="F11566" s="10" t="s">
        <v>28</v>
      </c>
      <c r="G11566" s="10" t="s">
        <v>28</v>
      </c>
      <c r="H11566" s="10" t="s">
        <v>28</v>
      </c>
      <c r="I11566" s="11">
        <v>-455.62</v>
      </c>
      <c r="J11566" s="11" t="s">
        <v>28</v>
      </c>
      <c r="K11566" s="11">
        <v>1100.4000000000001</v>
      </c>
      <c r="L11566" s="11" t="s">
        <v>28</v>
      </c>
      <c r="M11566" s="11">
        <v>-562.96</v>
      </c>
      <c r="N11566" s="8">
        <v>40968</v>
      </c>
      <c r="O11566" s="9" t="s">
        <v>41</v>
      </c>
      <c r="P11566" s="12" t="s">
        <v>32525</v>
      </c>
      <c r="Q11566" s="9" t="s">
        <v>299</v>
      </c>
      <c r="R11566" s="14" t="str">
        <f>HYPERLINK("https://my.pitchbook.com?c=32093-65T","View Company Online")</f>
        <v>View Company Online</v>
      </c>
    </row>
    <row r="11567" spans="1:18" hidden="1" x14ac:dyDescent="0.3">
      <c r="A11567" s="15" t="s">
        <v>32526</v>
      </c>
      <c r="B11567" s="15" t="s">
        <v>32527</v>
      </c>
      <c r="C11567" s="18" t="s">
        <v>28</v>
      </c>
      <c r="D11567" s="15" t="s">
        <v>32528</v>
      </c>
      <c r="E11567" s="18" t="s">
        <v>28</v>
      </c>
      <c r="F11567" s="19">
        <v>5.86</v>
      </c>
      <c r="G11567" s="19">
        <v>3.81</v>
      </c>
      <c r="H11567" s="19">
        <v>5.86</v>
      </c>
      <c r="I11567" s="18" t="s">
        <v>28</v>
      </c>
      <c r="J11567" s="18" t="s">
        <v>28</v>
      </c>
      <c r="K11567" s="18" t="s">
        <v>28</v>
      </c>
      <c r="L11567" s="18" t="s">
        <v>28</v>
      </c>
      <c r="M11567" s="18" t="s">
        <v>28</v>
      </c>
      <c r="N11567" s="17">
        <v>40968</v>
      </c>
      <c r="O11567" s="15" t="s">
        <v>30</v>
      </c>
      <c r="P11567" s="16" t="s">
        <v>16073</v>
      </c>
      <c r="Q11567" s="15" t="s">
        <v>119</v>
      </c>
      <c r="R11567" s="13" t="str">
        <f>HYPERLINK("https://my.pitchbook.com?c=90060-58T","View Company Online")</f>
        <v>View Company Online</v>
      </c>
    </row>
    <row r="11568" spans="1:18" hidden="1" x14ac:dyDescent="0.3">
      <c r="A11568" s="9" t="s">
        <v>32529</v>
      </c>
      <c r="B11568" s="9" t="s">
        <v>26747</v>
      </c>
      <c r="C11568" s="11" t="s">
        <v>28</v>
      </c>
      <c r="D11568" s="9" t="s">
        <v>26748</v>
      </c>
      <c r="E11568" s="11" t="s">
        <v>28</v>
      </c>
      <c r="F11568" s="10" t="s">
        <v>28</v>
      </c>
      <c r="G11568" s="10">
        <v>1.1499999999999999</v>
      </c>
      <c r="H11568" s="10" t="s">
        <v>28</v>
      </c>
      <c r="I11568" s="11" t="s">
        <v>28</v>
      </c>
      <c r="J11568" s="11" t="s">
        <v>28</v>
      </c>
      <c r="K11568" s="11" t="s">
        <v>28</v>
      </c>
      <c r="L11568" s="11" t="s">
        <v>28</v>
      </c>
      <c r="M11568" s="11" t="s">
        <v>28</v>
      </c>
      <c r="N11568" s="8">
        <v>40967</v>
      </c>
      <c r="O11568" s="9" t="s">
        <v>73</v>
      </c>
      <c r="P11568" s="12" t="s">
        <v>31694</v>
      </c>
      <c r="Q11568" s="9" t="s">
        <v>4773</v>
      </c>
      <c r="R11568" s="14" t="str">
        <f>HYPERLINK("https://my.pitchbook.com?c=86200-57T","View Company Online")</f>
        <v>View Company Online</v>
      </c>
    </row>
    <row r="11569" spans="1:18" hidden="1" x14ac:dyDescent="0.3">
      <c r="A11569" s="15" t="s">
        <v>32530</v>
      </c>
      <c r="B11569" s="15" t="s">
        <v>26426</v>
      </c>
      <c r="C11569" s="18" t="s">
        <v>28</v>
      </c>
      <c r="D11569" s="15" t="s">
        <v>26427</v>
      </c>
      <c r="E11569" s="18" t="s">
        <v>28</v>
      </c>
      <c r="F11569" s="19">
        <v>11.5</v>
      </c>
      <c r="G11569" s="19">
        <v>11.5</v>
      </c>
      <c r="H11569" s="19">
        <v>11.5</v>
      </c>
      <c r="I11569" s="18" t="s">
        <v>28</v>
      </c>
      <c r="J11569" s="18" t="s">
        <v>28</v>
      </c>
      <c r="K11569" s="18" t="s">
        <v>28</v>
      </c>
      <c r="L11569" s="18" t="s">
        <v>28</v>
      </c>
      <c r="M11569" s="18" t="s">
        <v>28</v>
      </c>
      <c r="N11569" s="17">
        <v>40966</v>
      </c>
      <c r="O11569" s="15" t="s">
        <v>30</v>
      </c>
      <c r="P11569" s="16" t="s">
        <v>32531</v>
      </c>
      <c r="Q11569" s="15" t="s">
        <v>136</v>
      </c>
      <c r="R11569" s="13" t="str">
        <f>HYPERLINK("https://my.pitchbook.com?c=89910-19T","View Company Online")</f>
        <v>View Company Online</v>
      </c>
    </row>
    <row r="11570" spans="1:18" hidden="1" x14ac:dyDescent="0.3">
      <c r="A11570" s="9" t="s">
        <v>32532</v>
      </c>
      <c r="B11570" s="9" t="s">
        <v>32533</v>
      </c>
      <c r="C11570" s="11" t="s">
        <v>28</v>
      </c>
      <c r="D11570" s="9" t="s">
        <v>32534</v>
      </c>
      <c r="E11570" s="11" t="s">
        <v>28</v>
      </c>
      <c r="F11570" s="10">
        <v>609.1</v>
      </c>
      <c r="G11570" s="10">
        <v>609.1</v>
      </c>
      <c r="H11570" s="10">
        <v>609.1</v>
      </c>
      <c r="I11570" s="11" t="s">
        <v>28</v>
      </c>
      <c r="J11570" s="11" t="s">
        <v>28</v>
      </c>
      <c r="K11570" s="11" t="s">
        <v>28</v>
      </c>
      <c r="L11570" s="11" t="s">
        <v>28</v>
      </c>
      <c r="M11570" s="11" t="s">
        <v>28</v>
      </c>
      <c r="N11570" s="8">
        <v>40963</v>
      </c>
      <c r="O11570" s="9" t="s">
        <v>30</v>
      </c>
      <c r="P11570" s="12" t="s">
        <v>29710</v>
      </c>
      <c r="Q11570" s="9" t="s">
        <v>160</v>
      </c>
      <c r="R11570" s="14" t="str">
        <f>HYPERLINK("https://my.pitchbook.com?c=117168-94T","View Company Online")</f>
        <v>View Company Online</v>
      </c>
    </row>
    <row r="11571" spans="1:18" hidden="1" x14ac:dyDescent="0.3">
      <c r="A11571" s="15" t="s">
        <v>32535</v>
      </c>
      <c r="B11571" s="15" t="s">
        <v>32536</v>
      </c>
      <c r="C11571" s="18" t="s">
        <v>28</v>
      </c>
      <c r="D11571" s="15" t="s">
        <v>32537</v>
      </c>
      <c r="E11571" s="18" t="s">
        <v>28</v>
      </c>
      <c r="F11571" s="19" t="s">
        <v>28</v>
      </c>
      <c r="G11571" s="19" t="s">
        <v>28</v>
      </c>
      <c r="H11571" s="19" t="s">
        <v>28</v>
      </c>
      <c r="I11571" s="18" t="s">
        <v>28</v>
      </c>
      <c r="J11571" s="18" t="s">
        <v>28</v>
      </c>
      <c r="K11571" s="18" t="s">
        <v>28</v>
      </c>
      <c r="L11571" s="18" t="s">
        <v>28</v>
      </c>
      <c r="M11571" s="18" t="s">
        <v>28</v>
      </c>
      <c r="N11571" s="17">
        <v>40962</v>
      </c>
      <c r="O11571" s="15" t="s">
        <v>30</v>
      </c>
      <c r="P11571" s="16" t="s">
        <v>32538</v>
      </c>
      <c r="Q11571" s="15" t="s">
        <v>1853</v>
      </c>
      <c r="R11571" s="13" t="str">
        <f>HYPERLINK("https://my.pitchbook.com?c=89951-14T","View Company Online")</f>
        <v>View Company Online</v>
      </c>
    </row>
    <row r="11572" spans="1:18" hidden="1" x14ac:dyDescent="0.3">
      <c r="A11572" s="9" t="s">
        <v>32539</v>
      </c>
      <c r="B11572" s="9" t="s">
        <v>28188</v>
      </c>
      <c r="C11572" s="11" t="s">
        <v>28</v>
      </c>
      <c r="D11572" s="9" t="s">
        <v>28189</v>
      </c>
      <c r="E11572" s="11" t="s">
        <v>28</v>
      </c>
      <c r="F11572" s="10" t="s">
        <v>28</v>
      </c>
      <c r="G11572" s="10" t="s">
        <v>28</v>
      </c>
      <c r="H11572" s="10" t="s">
        <v>28</v>
      </c>
      <c r="I11572" s="11" t="s">
        <v>28</v>
      </c>
      <c r="J11572" s="11" t="s">
        <v>28</v>
      </c>
      <c r="K11572" s="11" t="s">
        <v>28</v>
      </c>
      <c r="L11572" s="11" t="s">
        <v>28</v>
      </c>
      <c r="M11572" s="11" t="s">
        <v>28</v>
      </c>
      <c r="N11572" s="8">
        <v>40961</v>
      </c>
      <c r="O11572" s="9" t="s">
        <v>58</v>
      </c>
      <c r="P11572" s="12" t="s">
        <v>32540</v>
      </c>
      <c r="Q11572" s="9" t="s">
        <v>404</v>
      </c>
      <c r="R11572" s="14" t="str">
        <f>HYPERLINK("https://my.pitchbook.com?c=111571-12T","View Company Online")</f>
        <v>View Company Online</v>
      </c>
    </row>
    <row r="11573" spans="1:18" hidden="1" x14ac:dyDescent="0.3">
      <c r="A11573" s="15" t="s">
        <v>32541</v>
      </c>
      <c r="B11573" s="15" t="s">
        <v>32542</v>
      </c>
      <c r="C11573" s="18" t="s">
        <v>28</v>
      </c>
      <c r="D11573" s="15" t="s">
        <v>32543</v>
      </c>
      <c r="E11573" s="18" t="s">
        <v>28</v>
      </c>
      <c r="F11573" s="19" t="s">
        <v>28</v>
      </c>
      <c r="G11573" s="19" t="s">
        <v>28</v>
      </c>
      <c r="H11573" s="19" t="s">
        <v>28</v>
      </c>
      <c r="I11573" s="18" t="s">
        <v>28</v>
      </c>
      <c r="J11573" s="18" t="s">
        <v>28</v>
      </c>
      <c r="K11573" s="18" t="s">
        <v>28</v>
      </c>
      <c r="L11573" s="18" t="s">
        <v>28</v>
      </c>
      <c r="M11573" s="18" t="s">
        <v>28</v>
      </c>
      <c r="N11573" s="17">
        <v>40960</v>
      </c>
      <c r="O11573" s="15" t="s">
        <v>30</v>
      </c>
      <c r="P11573" s="16" t="s">
        <v>32544</v>
      </c>
      <c r="Q11573" s="15" t="s">
        <v>245</v>
      </c>
      <c r="R11573" s="13" t="str">
        <f>HYPERLINK("https://my.pitchbook.com?c=71914-24T","View Company Online")</f>
        <v>View Company Online</v>
      </c>
    </row>
    <row r="11574" spans="1:18" hidden="1" x14ac:dyDescent="0.3">
      <c r="A11574" s="9" t="s">
        <v>32545</v>
      </c>
      <c r="B11574" s="9" t="s">
        <v>32546</v>
      </c>
      <c r="C11574" s="11" t="s">
        <v>28</v>
      </c>
      <c r="D11574" s="9" t="s">
        <v>32547</v>
      </c>
      <c r="E11574" s="11" t="s">
        <v>28</v>
      </c>
      <c r="F11574" s="10" t="s">
        <v>28</v>
      </c>
      <c r="G11574" s="10" t="s">
        <v>28</v>
      </c>
      <c r="H11574" s="10" t="s">
        <v>28</v>
      </c>
      <c r="I11574" s="11" t="s">
        <v>28</v>
      </c>
      <c r="J11574" s="11" t="s">
        <v>28</v>
      </c>
      <c r="K11574" s="11" t="s">
        <v>28</v>
      </c>
      <c r="L11574" s="11" t="s">
        <v>28</v>
      </c>
      <c r="M11574" s="11" t="s">
        <v>28</v>
      </c>
      <c r="N11574" s="8">
        <v>40956</v>
      </c>
      <c r="O11574" s="9" t="s">
        <v>41</v>
      </c>
      <c r="P11574" s="12" t="s">
        <v>32548</v>
      </c>
      <c r="Q11574" s="9" t="s">
        <v>64</v>
      </c>
      <c r="R11574" s="14" t="str">
        <f>HYPERLINK("https://my.pitchbook.com?c=20704-06T","View Company Online")</f>
        <v>View Company Online</v>
      </c>
    </row>
    <row r="11575" spans="1:18" hidden="1" x14ac:dyDescent="0.3">
      <c r="A11575" s="15" t="s">
        <v>32549</v>
      </c>
      <c r="B11575" s="15" t="s">
        <v>32550</v>
      </c>
      <c r="C11575" s="18" t="s">
        <v>28</v>
      </c>
      <c r="D11575" s="15" t="s">
        <v>32551</v>
      </c>
      <c r="E11575" s="18" t="s">
        <v>28</v>
      </c>
      <c r="F11575" s="19" t="s">
        <v>28</v>
      </c>
      <c r="G11575" s="19" t="s">
        <v>28</v>
      </c>
      <c r="H11575" s="19" t="s">
        <v>28</v>
      </c>
      <c r="I11575" s="18" t="s">
        <v>28</v>
      </c>
      <c r="J11575" s="18" t="s">
        <v>28</v>
      </c>
      <c r="K11575" s="18" t="s">
        <v>28</v>
      </c>
      <c r="L11575" s="18" t="s">
        <v>28</v>
      </c>
      <c r="M11575" s="18" t="s">
        <v>28</v>
      </c>
      <c r="N11575" s="17">
        <v>40956</v>
      </c>
      <c r="O11575" s="15" t="s">
        <v>30</v>
      </c>
      <c r="P11575" s="16" t="s">
        <v>32552</v>
      </c>
      <c r="Q11575" s="15" t="s">
        <v>316</v>
      </c>
      <c r="R11575" s="13" t="str">
        <f>HYPERLINK("https://my.pitchbook.com?c=52585-30T","View Company Online")</f>
        <v>View Company Online</v>
      </c>
    </row>
    <row r="11576" spans="1:18" hidden="1" x14ac:dyDescent="0.3">
      <c r="A11576" s="9" t="s">
        <v>32553</v>
      </c>
      <c r="B11576" s="9" t="s">
        <v>30913</v>
      </c>
      <c r="C11576" s="11" t="s">
        <v>28</v>
      </c>
      <c r="D11576" s="9" t="s">
        <v>30914</v>
      </c>
      <c r="E11576" s="11" t="s">
        <v>28</v>
      </c>
      <c r="F11576" s="10" t="s">
        <v>28</v>
      </c>
      <c r="G11576" s="10" t="s">
        <v>28</v>
      </c>
      <c r="H11576" s="10" t="s">
        <v>28</v>
      </c>
      <c r="I11576" s="11" t="s">
        <v>28</v>
      </c>
      <c r="J11576" s="11" t="s">
        <v>28</v>
      </c>
      <c r="K11576" s="11" t="s">
        <v>28</v>
      </c>
      <c r="L11576" s="11" t="s">
        <v>28</v>
      </c>
      <c r="M11576" s="11" t="s">
        <v>28</v>
      </c>
      <c r="N11576" s="8">
        <v>40955</v>
      </c>
      <c r="O11576" s="9" t="s">
        <v>73</v>
      </c>
      <c r="P11576" s="12" t="s">
        <v>31727</v>
      </c>
      <c r="Q11576" s="9" t="s">
        <v>607</v>
      </c>
      <c r="R11576" s="14" t="str">
        <f>HYPERLINK("https://my.pitchbook.com?c=20663-38T","View Company Online")</f>
        <v>View Company Online</v>
      </c>
    </row>
    <row r="11577" spans="1:18" hidden="1" x14ac:dyDescent="0.3">
      <c r="A11577" s="15" t="s">
        <v>32554</v>
      </c>
      <c r="B11577" s="15" t="s">
        <v>32555</v>
      </c>
      <c r="C11577" s="18" t="s">
        <v>28</v>
      </c>
      <c r="D11577" s="15" t="s">
        <v>32556</v>
      </c>
      <c r="E11577" s="18" t="s">
        <v>28</v>
      </c>
      <c r="F11577" s="19" t="s">
        <v>28</v>
      </c>
      <c r="G11577" s="19" t="s">
        <v>28</v>
      </c>
      <c r="H11577" s="19" t="s">
        <v>28</v>
      </c>
      <c r="I11577" s="18" t="s">
        <v>28</v>
      </c>
      <c r="J11577" s="18" t="s">
        <v>28</v>
      </c>
      <c r="K11577" s="18" t="s">
        <v>28</v>
      </c>
      <c r="L11577" s="18" t="s">
        <v>28</v>
      </c>
      <c r="M11577" s="18" t="s">
        <v>28</v>
      </c>
      <c r="N11577" s="17">
        <v>40955</v>
      </c>
      <c r="O11577" s="15" t="s">
        <v>73</v>
      </c>
      <c r="P11577" s="16" t="s">
        <v>32557</v>
      </c>
      <c r="Q11577" s="15" t="s">
        <v>14987</v>
      </c>
      <c r="R11577" s="13" t="str">
        <f>HYPERLINK("https://my.pitchbook.com?c=20661-67T","View Company Online")</f>
        <v>View Company Online</v>
      </c>
    </row>
    <row r="11578" spans="1:18" x14ac:dyDescent="0.3">
      <c r="A11578" s="9" t="s">
        <v>32558</v>
      </c>
      <c r="B11578" s="9" t="s">
        <v>32559</v>
      </c>
      <c r="C11578" s="11">
        <v>8.6</v>
      </c>
      <c r="D11578" s="9" t="s">
        <v>32560</v>
      </c>
      <c r="E11578" s="11" t="s">
        <v>28</v>
      </c>
      <c r="F11578" s="10">
        <v>16.899999999999999</v>
      </c>
      <c r="G11578" s="10">
        <v>16.899999999999999</v>
      </c>
      <c r="H11578" s="10">
        <v>16.899999999999999</v>
      </c>
      <c r="I11578" s="11">
        <v>1.97</v>
      </c>
      <c r="J11578" s="11">
        <v>8.6</v>
      </c>
      <c r="K11578" s="11">
        <v>10.66</v>
      </c>
      <c r="L11578" s="11">
        <v>1.59</v>
      </c>
      <c r="M11578" s="11" t="s">
        <v>28</v>
      </c>
      <c r="N11578" s="8">
        <v>40955</v>
      </c>
      <c r="O11578" s="9" t="s">
        <v>30</v>
      </c>
      <c r="P11578" s="12" t="s">
        <v>516</v>
      </c>
      <c r="Q11578" s="9" t="s">
        <v>5110</v>
      </c>
      <c r="R11578" s="14" t="str">
        <f>HYPERLINK("https://my.pitchbook.com?c=71919-73T","View Company Online")</f>
        <v>View Company Online</v>
      </c>
    </row>
    <row r="11579" spans="1:18" hidden="1" x14ac:dyDescent="0.3">
      <c r="A11579" s="15" t="s">
        <v>32561</v>
      </c>
      <c r="B11579" s="15" t="s">
        <v>32562</v>
      </c>
      <c r="C11579" s="18" t="s">
        <v>28</v>
      </c>
      <c r="D11579" s="15" t="s">
        <v>32563</v>
      </c>
      <c r="E11579" s="18" t="s">
        <v>28</v>
      </c>
      <c r="F11579" s="19" t="s">
        <v>28</v>
      </c>
      <c r="G11579" s="19" t="s">
        <v>28</v>
      </c>
      <c r="H11579" s="19" t="s">
        <v>28</v>
      </c>
      <c r="I11579" s="18" t="s">
        <v>28</v>
      </c>
      <c r="J11579" s="18" t="s">
        <v>28</v>
      </c>
      <c r="K11579" s="18" t="s">
        <v>28</v>
      </c>
      <c r="L11579" s="18" t="s">
        <v>28</v>
      </c>
      <c r="M11579" s="18" t="s">
        <v>28</v>
      </c>
      <c r="N11579" s="17">
        <v>40955</v>
      </c>
      <c r="O11579" s="15" t="s">
        <v>30</v>
      </c>
      <c r="P11579" s="16" t="s">
        <v>32564</v>
      </c>
      <c r="Q11579" s="15" t="s">
        <v>3912</v>
      </c>
      <c r="R11579" s="13" t="str">
        <f>HYPERLINK("https://my.pitchbook.com?c=84515-77T","View Company Online")</f>
        <v>View Company Online</v>
      </c>
    </row>
    <row r="11580" spans="1:18" hidden="1" x14ac:dyDescent="0.3">
      <c r="A11580" s="9" t="s">
        <v>32565</v>
      </c>
      <c r="B11580" s="9" t="s">
        <v>25425</v>
      </c>
      <c r="C11580" s="11" t="s">
        <v>28</v>
      </c>
      <c r="D11580" s="9" t="s">
        <v>25426</v>
      </c>
      <c r="E11580" s="11" t="s">
        <v>28</v>
      </c>
      <c r="F11580" s="10" t="s">
        <v>28</v>
      </c>
      <c r="G11580" s="10">
        <v>20</v>
      </c>
      <c r="H11580" s="10">
        <v>266.66000000000003</v>
      </c>
      <c r="I11580" s="11" t="s">
        <v>28</v>
      </c>
      <c r="J11580" s="11" t="s">
        <v>28</v>
      </c>
      <c r="K11580" s="11" t="s">
        <v>28</v>
      </c>
      <c r="L11580" s="11" t="s">
        <v>28</v>
      </c>
      <c r="M11580" s="11" t="s">
        <v>28</v>
      </c>
      <c r="N11580" s="8">
        <v>40954</v>
      </c>
      <c r="O11580" s="9" t="s">
        <v>58</v>
      </c>
      <c r="P11580" s="12" t="s">
        <v>32566</v>
      </c>
      <c r="Q11580" s="9" t="s">
        <v>1007</v>
      </c>
      <c r="R11580" s="14" t="str">
        <f>HYPERLINK("https://my.pitchbook.com?c=99020-26T","View Company Online")</f>
        <v>View Company Online</v>
      </c>
    </row>
    <row r="11581" spans="1:18" hidden="1" x14ac:dyDescent="0.3">
      <c r="A11581" s="15" t="s">
        <v>32567</v>
      </c>
      <c r="B11581" s="15" t="s">
        <v>32568</v>
      </c>
      <c r="C11581" s="18" t="s">
        <v>28</v>
      </c>
      <c r="D11581" s="15" t="s">
        <v>32569</v>
      </c>
      <c r="E11581" s="18" t="s">
        <v>28</v>
      </c>
      <c r="F11581" s="19">
        <v>15.43</v>
      </c>
      <c r="G11581" s="19">
        <v>15.43</v>
      </c>
      <c r="H11581" s="19">
        <v>15.43</v>
      </c>
      <c r="I11581" s="18" t="s">
        <v>28</v>
      </c>
      <c r="J11581" s="18" t="s">
        <v>28</v>
      </c>
      <c r="K11581" s="18">
        <v>11.32</v>
      </c>
      <c r="L11581" s="18">
        <v>1.36</v>
      </c>
      <c r="M11581" s="18" t="s">
        <v>28</v>
      </c>
      <c r="N11581" s="17">
        <v>40954</v>
      </c>
      <c r="O11581" s="15" t="s">
        <v>30</v>
      </c>
      <c r="P11581" s="16" t="s">
        <v>18597</v>
      </c>
      <c r="Q11581" s="15" t="s">
        <v>280</v>
      </c>
      <c r="R11581" s="13" t="str">
        <f>HYPERLINK("https://my.pitchbook.com?c=71954-47T","View Company Online")</f>
        <v>View Company Online</v>
      </c>
    </row>
    <row r="11582" spans="1:18" hidden="1" x14ac:dyDescent="0.3">
      <c r="A11582" s="9" t="s">
        <v>32570</v>
      </c>
      <c r="B11582" s="9" t="s">
        <v>32571</v>
      </c>
      <c r="C11582" s="11" t="s">
        <v>28</v>
      </c>
      <c r="D11582" s="9" t="s">
        <v>32572</v>
      </c>
      <c r="E11582" s="11" t="s">
        <v>28</v>
      </c>
      <c r="F11582" s="10">
        <v>26.36</v>
      </c>
      <c r="G11582" s="10">
        <v>14.5</v>
      </c>
      <c r="H11582" s="10">
        <v>26.36</v>
      </c>
      <c r="I11582" s="11" t="s">
        <v>28</v>
      </c>
      <c r="J11582" s="11" t="s">
        <v>28</v>
      </c>
      <c r="K11582" s="11" t="s">
        <v>28</v>
      </c>
      <c r="L11582" s="11" t="s">
        <v>28</v>
      </c>
      <c r="M11582" s="11" t="s">
        <v>28</v>
      </c>
      <c r="N11582" s="8">
        <v>40953</v>
      </c>
      <c r="O11582" s="9" t="s">
        <v>30</v>
      </c>
      <c r="P11582" s="12" t="s">
        <v>16073</v>
      </c>
      <c r="Q11582" s="9" t="s">
        <v>119</v>
      </c>
      <c r="R11582" s="14" t="str">
        <f>HYPERLINK("https://my.pitchbook.com?c=89807-86T","View Company Online")</f>
        <v>View Company Online</v>
      </c>
    </row>
    <row r="11583" spans="1:18" hidden="1" x14ac:dyDescent="0.3">
      <c r="A11583" s="15" t="s">
        <v>32573</v>
      </c>
      <c r="B11583" s="15" t="s">
        <v>30045</v>
      </c>
      <c r="C11583" s="18" t="s">
        <v>28</v>
      </c>
      <c r="D11583" s="15" t="s">
        <v>30046</v>
      </c>
      <c r="E11583" s="18" t="s">
        <v>28</v>
      </c>
      <c r="F11583" s="19" t="s">
        <v>28</v>
      </c>
      <c r="G11583" s="19" t="s">
        <v>28</v>
      </c>
      <c r="H11583" s="19" t="s">
        <v>28</v>
      </c>
      <c r="I11583" s="18" t="s">
        <v>28</v>
      </c>
      <c r="J11583" s="18" t="s">
        <v>28</v>
      </c>
      <c r="K11583" s="18" t="s">
        <v>28</v>
      </c>
      <c r="L11583" s="18" t="s">
        <v>28</v>
      </c>
      <c r="M11583" s="18" t="s">
        <v>28</v>
      </c>
      <c r="N11583" s="17">
        <v>40953</v>
      </c>
      <c r="O11583" s="15" t="s">
        <v>79</v>
      </c>
      <c r="P11583" s="16" t="s">
        <v>1755</v>
      </c>
      <c r="Q11583" s="15" t="s">
        <v>3912</v>
      </c>
      <c r="R11583" s="13" t="str">
        <f>HYPERLINK("https://my.pitchbook.com?c=55359-28T","View Company Online")</f>
        <v>View Company Online</v>
      </c>
    </row>
    <row r="11584" spans="1:18" hidden="1" x14ac:dyDescent="0.3">
      <c r="A11584" s="9" t="s">
        <v>32574</v>
      </c>
      <c r="B11584" s="9" t="s">
        <v>32575</v>
      </c>
      <c r="C11584" s="11" t="s">
        <v>28</v>
      </c>
      <c r="D11584" s="9" t="s">
        <v>32576</v>
      </c>
      <c r="E11584" s="11" t="s">
        <v>28</v>
      </c>
      <c r="F11584" s="10" t="s">
        <v>28</v>
      </c>
      <c r="G11584" s="10" t="s">
        <v>28</v>
      </c>
      <c r="H11584" s="10" t="s">
        <v>28</v>
      </c>
      <c r="I11584" s="11" t="s">
        <v>28</v>
      </c>
      <c r="J11584" s="11" t="s">
        <v>28</v>
      </c>
      <c r="K11584" s="11" t="s">
        <v>28</v>
      </c>
      <c r="L11584" s="11" t="s">
        <v>28</v>
      </c>
      <c r="M11584" s="11" t="s">
        <v>28</v>
      </c>
      <c r="N11584" s="8">
        <v>40953</v>
      </c>
      <c r="O11584" s="9" t="s">
        <v>173</v>
      </c>
      <c r="P11584" s="12" t="s">
        <v>28</v>
      </c>
      <c r="Q11584" s="9" t="s">
        <v>174</v>
      </c>
      <c r="R11584" s="14" t="str">
        <f>HYPERLINK("https://my.pitchbook.com?c=224131-15T","View Company Online")</f>
        <v>View Company Online</v>
      </c>
    </row>
    <row r="11585" spans="1:18" hidden="1" x14ac:dyDescent="0.3">
      <c r="A11585" s="15" t="s">
        <v>32577</v>
      </c>
      <c r="B11585" s="15" t="s">
        <v>28463</v>
      </c>
      <c r="C11585" s="18" t="s">
        <v>28</v>
      </c>
      <c r="D11585" s="15" t="s">
        <v>28464</v>
      </c>
      <c r="E11585" s="18" t="s">
        <v>28</v>
      </c>
      <c r="F11585" s="19" t="s">
        <v>28</v>
      </c>
      <c r="G11585" s="19" t="s">
        <v>28</v>
      </c>
      <c r="H11585" s="19" t="s">
        <v>28</v>
      </c>
      <c r="I11585" s="18" t="s">
        <v>28</v>
      </c>
      <c r="J11585" s="18" t="s">
        <v>28</v>
      </c>
      <c r="K11585" s="18" t="s">
        <v>28</v>
      </c>
      <c r="L11585" s="18" t="s">
        <v>28</v>
      </c>
      <c r="M11585" s="18" t="s">
        <v>28</v>
      </c>
      <c r="N11585" s="17">
        <v>40951</v>
      </c>
      <c r="O11585" s="15" t="s">
        <v>41</v>
      </c>
      <c r="P11585" s="16" t="s">
        <v>2216</v>
      </c>
      <c r="Q11585" s="15" t="s">
        <v>54</v>
      </c>
      <c r="R11585" s="13" t="str">
        <f>HYPERLINK("https://my.pitchbook.com?c=110886-40T","View Company Online")</f>
        <v>View Company Online</v>
      </c>
    </row>
    <row r="11586" spans="1:18" hidden="1" x14ac:dyDescent="0.3">
      <c r="A11586" s="9" t="s">
        <v>32578</v>
      </c>
      <c r="B11586" s="9" t="s">
        <v>10204</v>
      </c>
      <c r="C11586" s="11" t="s">
        <v>28</v>
      </c>
      <c r="D11586" s="9" t="s">
        <v>10205</v>
      </c>
      <c r="E11586" s="11" t="s">
        <v>28</v>
      </c>
      <c r="F11586" s="10">
        <v>27.69</v>
      </c>
      <c r="G11586" s="10">
        <v>14.12</v>
      </c>
      <c r="H11586" s="10">
        <v>27.69</v>
      </c>
      <c r="I11586" s="11" t="s">
        <v>28</v>
      </c>
      <c r="J11586" s="11" t="s">
        <v>28</v>
      </c>
      <c r="K11586" s="11" t="s">
        <v>28</v>
      </c>
      <c r="L11586" s="11" t="s">
        <v>28</v>
      </c>
      <c r="M11586" s="11" t="s">
        <v>28</v>
      </c>
      <c r="N11586" s="8">
        <v>40949</v>
      </c>
      <c r="O11586" s="9" t="s">
        <v>30</v>
      </c>
      <c r="P11586" s="12" t="s">
        <v>32579</v>
      </c>
      <c r="Q11586" s="9" t="s">
        <v>226</v>
      </c>
      <c r="R11586" s="14" t="str">
        <f>HYPERLINK("https://my.pitchbook.com?c=89930-80T","View Company Online")</f>
        <v>View Company Online</v>
      </c>
    </row>
    <row r="11587" spans="1:18" hidden="1" x14ac:dyDescent="0.3">
      <c r="A11587" s="15" t="s">
        <v>32580</v>
      </c>
      <c r="B11587" s="15" t="s">
        <v>32581</v>
      </c>
      <c r="C11587" s="18" t="s">
        <v>28</v>
      </c>
      <c r="D11587" s="15" t="s">
        <v>32582</v>
      </c>
      <c r="E11587" s="18" t="s">
        <v>28</v>
      </c>
      <c r="F11587" s="19" t="s">
        <v>28</v>
      </c>
      <c r="G11587" s="19" t="s">
        <v>28</v>
      </c>
      <c r="H11587" s="19" t="s">
        <v>28</v>
      </c>
      <c r="I11587" s="18" t="s">
        <v>28</v>
      </c>
      <c r="J11587" s="18" t="s">
        <v>28</v>
      </c>
      <c r="K11587" s="18" t="s">
        <v>28</v>
      </c>
      <c r="L11587" s="18" t="s">
        <v>28</v>
      </c>
      <c r="M11587" s="18" t="s">
        <v>28</v>
      </c>
      <c r="N11587" s="17">
        <v>40946</v>
      </c>
      <c r="O11587" s="15" t="s">
        <v>30</v>
      </c>
      <c r="P11587" s="16" t="s">
        <v>32583</v>
      </c>
      <c r="Q11587" s="15" t="s">
        <v>9705</v>
      </c>
      <c r="R11587" s="13" t="str">
        <f>HYPERLINK("https://my.pitchbook.com?c=92254-78T","View Company Online")</f>
        <v>View Company Online</v>
      </c>
    </row>
    <row r="11588" spans="1:18" hidden="1" x14ac:dyDescent="0.3">
      <c r="A11588" s="9" t="s">
        <v>32584</v>
      </c>
      <c r="B11588" s="9" t="s">
        <v>32585</v>
      </c>
      <c r="C11588" s="11" t="s">
        <v>28</v>
      </c>
      <c r="D11588" s="9" t="s">
        <v>32586</v>
      </c>
      <c r="E11588" s="11" t="s">
        <v>28</v>
      </c>
      <c r="F11588" s="10">
        <v>1</v>
      </c>
      <c r="G11588" s="10">
        <v>1</v>
      </c>
      <c r="H11588" s="10">
        <v>1</v>
      </c>
      <c r="I11588" s="11" t="s">
        <v>28</v>
      </c>
      <c r="J11588" s="11" t="s">
        <v>28</v>
      </c>
      <c r="K11588" s="11" t="s">
        <v>28</v>
      </c>
      <c r="L11588" s="11" t="s">
        <v>28</v>
      </c>
      <c r="M11588" s="11" t="s">
        <v>28</v>
      </c>
      <c r="N11588" s="8">
        <v>40946</v>
      </c>
      <c r="O11588" s="9" t="s">
        <v>30</v>
      </c>
      <c r="P11588" s="12" t="s">
        <v>20811</v>
      </c>
      <c r="Q11588" s="9" t="s">
        <v>75</v>
      </c>
      <c r="R11588" s="14" t="str">
        <f>HYPERLINK("https://my.pitchbook.com?c=71729-29T","View Company Online")</f>
        <v>View Company Online</v>
      </c>
    </row>
    <row r="11589" spans="1:18" hidden="1" x14ac:dyDescent="0.3">
      <c r="A11589" s="15" t="s">
        <v>32587</v>
      </c>
      <c r="B11589" s="15" t="s">
        <v>32588</v>
      </c>
      <c r="C11589" s="18" t="s">
        <v>28</v>
      </c>
      <c r="D11589" s="15" t="s">
        <v>32589</v>
      </c>
      <c r="E11589" s="18" t="s">
        <v>28</v>
      </c>
      <c r="F11589" s="19" t="s">
        <v>28</v>
      </c>
      <c r="G11589" s="19" t="s">
        <v>28</v>
      </c>
      <c r="H11589" s="19" t="s">
        <v>28</v>
      </c>
      <c r="I11589" s="18" t="s">
        <v>28</v>
      </c>
      <c r="J11589" s="18" t="s">
        <v>28</v>
      </c>
      <c r="K11589" s="18" t="s">
        <v>28</v>
      </c>
      <c r="L11589" s="18" t="s">
        <v>28</v>
      </c>
      <c r="M11589" s="18" t="s">
        <v>28</v>
      </c>
      <c r="N11589" s="17">
        <v>40946</v>
      </c>
      <c r="O11589" s="15" t="s">
        <v>30</v>
      </c>
      <c r="P11589" s="16" t="s">
        <v>32590</v>
      </c>
      <c r="Q11589" s="15" t="s">
        <v>900</v>
      </c>
      <c r="R11589" s="13" t="str">
        <f>HYPERLINK("https://my.pitchbook.com?c=71768-62T","View Company Online")</f>
        <v>View Company Online</v>
      </c>
    </row>
    <row r="11590" spans="1:18" hidden="1" x14ac:dyDescent="0.3">
      <c r="A11590" s="9" t="s">
        <v>32591</v>
      </c>
      <c r="B11590" s="9" t="s">
        <v>32592</v>
      </c>
      <c r="C11590" s="11" t="s">
        <v>28</v>
      </c>
      <c r="D11590" s="9" t="s">
        <v>32593</v>
      </c>
      <c r="E11590" s="11" t="s">
        <v>28</v>
      </c>
      <c r="F11590" s="10" t="s">
        <v>28</v>
      </c>
      <c r="G11590" s="10" t="s">
        <v>28</v>
      </c>
      <c r="H11590" s="10" t="s">
        <v>28</v>
      </c>
      <c r="I11590" s="11" t="s">
        <v>28</v>
      </c>
      <c r="J11590" s="11" t="s">
        <v>28</v>
      </c>
      <c r="K11590" s="11" t="s">
        <v>28</v>
      </c>
      <c r="L11590" s="11" t="s">
        <v>28</v>
      </c>
      <c r="M11590" s="11" t="s">
        <v>28</v>
      </c>
      <c r="N11590" s="8">
        <v>40945</v>
      </c>
      <c r="O11590" s="9" t="s">
        <v>30</v>
      </c>
      <c r="P11590" s="12" t="s">
        <v>27120</v>
      </c>
      <c r="Q11590" s="9" t="s">
        <v>85</v>
      </c>
      <c r="R11590" s="14" t="str">
        <f>HYPERLINK("https://my.pitchbook.com?c=90691-12T","View Company Online")</f>
        <v>View Company Online</v>
      </c>
    </row>
    <row r="11591" spans="1:18" hidden="1" x14ac:dyDescent="0.3">
      <c r="A11591" s="15" t="s">
        <v>32594</v>
      </c>
      <c r="B11591" s="15" t="s">
        <v>32595</v>
      </c>
      <c r="C11591" s="18" t="s">
        <v>28</v>
      </c>
      <c r="D11591" s="15" t="s">
        <v>32596</v>
      </c>
      <c r="E11591" s="18" t="s">
        <v>28</v>
      </c>
      <c r="F11591" s="19" t="s">
        <v>28</v>
      </c>
      <c r="G11591" s="19">
        <v>2.97</v>
      </c>
      <c r="H11591" s="19">
        <v>2.97</v>
      </c>
      <c r="I11591" s="18" t="s">
        <v>28</v>
      </c>
      <c r="J11591" s="18" t="s">
        <v>28</v>
      </c>
      <c r="K11591" s="18" t="s">
        <v>28</v>
      </c>
      <c r="L11591" s="18" t="s">
        <v>28</v>
      </c>
      <c r="M11591" s="18" t="s">
        <v>28</v>
      </c>
      <c r="N11591" s="17">
        <v>40945</v>
      </c>
      <c r="O11591" s="15" t="s">
        <v>30</v>
      </c>
      <c r="P11591" s="16" t="s">
        <v>4004</v>
      </c>
      <c r="Q11591" s="15" t="s">
        <v>188</v>
      </c>
      <c r="R11591" s="13" t="str">
        <f>HYPERLINK("https://my.pitchbook.com?c=90132-04T","View Company Online")</f>
        <v>View Company Online</v>
      </c>
    </row>
    <row r="11592" spans="1:18" hidden="1" x14ac:dyDescent="0.3">
      <c r="A11592" s="9" t="s">
        <v>32597</v>
      </c>
      <c r="B11592" s="9" t="s">
        <v>29846</v>
      </c>
      <c r="C11592" s="11" t="s">
        <v>28</v>
      </c>
      <c r="D11592" s="9" t="s">
        <v>29847</v>
      </c>
      <c r="E11592" s="11" t="s">
        <v>28</v>
      </c>
      <c r="F11592" s="10" t="s">
        <v>28</v>
      </c>
      <c r="G11592" s="10">
        <v>0.06</v>
      </c>
      <c r="H11592" s="10" t="s">
        <v>28</v>
      </c>
      <c r="I11592" s="11" t="s">
        <v>28</v>
      </c>
      <c r="J11592" s="11" t="s">
        <v>28</v>
      </c>
      <c r="K11592" s="11" t="s">
        <v>28</v>
      </c>
      <c r="L11592" s="11" t="s">
        <v>28</v>
      </c>
      <c r="M11592" s="11" t="s">
        <v>28</v>
      </c>
      <c r="N11592" s="8">
        <v>40944</v>
      </c>
      <c r="O11592" s="9" t="s">
        <v>379</v>
      </c>
      <c r="P11592" s="12" t="s">
        <v>28</v>
      </c>
      <c r="Q11592" s="9" t="s">
        <v>75</v>
      </c>
      <c r="R11592" s="14" t="str">
        <f>HYPERLINK("https://my.pitchbook.com?c=55189-18T","View Company Online")</f>
        <v>View Company Online</v>
      </c>
    </row>
    <row r="11593" spans="1:18" hidden="1" x14ac:dyDescent="0.3">
      <c r="A11593" s="15" t="s">
        <v>32598</v>
      </c>
      <c r="B11593" s="15" t="s">
        <v>32599</v>
      </c>
      <c r="C11593" s="18" t="s">
        <v>28</v>
      </c>
      <c r="D11593" s="15" t="s">
        <v>32600</v>
      </c>
      <c r="E11593" s="18" t="s">
        <v>28</v>
      </c>
      <c r="F11593" s="19" t="s">
        <v>28</v>
      </c>
      <c r="G11593" s="19" t="s">
        <v>28</v>
      </c>
      <c r="H11593" s="19" t="s">
        <v>28</v>
      </c>
      <c r="I11593" s="18" t="s">
        <v>28</v>
      </c>
      <c r="J11593" s="18" t="s">
        <v>28</v>
      </c>
      <c r="K11593" s="18" t="s">
        <v>28</v>
      </c>
      <c r="L11593" s="18" t="s">
        <v>28</v>
      </c>
      <c r="M11593" s="18" t="s">
        <v>28</v>
      </c>
      <c r="N11593" s="17">
        <v>40943</v>
      </c>
      <c r="O11593" s="15" t="s">
        <v>30</v>
      </c>
      <c r="P11593" s="16" t="s">
        <v>32601</v>
      </c>
      <c r="Q11593" s="15" t="s">
        <v>249</v>
      </c>
      <c r="R11593" s="13" t="str">
        <f>HYPERLINK("https://my.pitchbook.com?c=89820-64T","View Company Online")</f>
        <v>View Company Online</v>
      </c>
    </row>
    <row r="11594" spans="1:18" hidden="1" x14ac:dyDescent="0.3">
      <c r="A11594" s="9" t="s">
        <v>32602</v>
      </c>
      <c r="B11594" s="9" t="s">
        <v>32603</v>
      </c>
      <c r="C11594" s="11" t="s">
        <v>28</v>
      </c>
      <c r="D11594" s="9" t="s">
        <v>32604</v>
      </c>
      <c r="E11594" s="11" t="s">
        <v>28</v>
      </c>
      <c r="F11594" s="10" t="s">
        <v>28</v>
      </c>
      <c r="G11594" s="10" t="s">
        <v>28</v>
      </c>
      <c r="H11594" s="10" t="s">
        <v>28</v>
      </c>
      <c r="I11594" s="11" t="s">
        <v>28</v>
      </c>
      <c r="J11594" s="11" t="s">
        <v>28</v>
      </c>
      <c r="K11594" s="11" t="s">
        <v>28</v>
      </c>
      <c r="L11594" s="11" t="s">
        <v>28</v>
      </c>
      <c r="M11594" s="11" t="s">
        <v>28</v>
      </c>
      <c r="N11594" s="8">
        <v>40942</v>
      </c>
      <c r="O11594" s="9" t="s">
        <v>30</v>
      </c>
      <c r="P11594" s="12" t="s">
        <v>32605</v>
      </c>
      <c r="Q11594" s="9" t="s">
        <v>19855</v>
      </c>
      <c r="R11594" s="14" t="str">
        <f>HYPERLINK("https://my.pitchbook.com?c=65707-48T","View Company Online")</f>
        <v>View Company Online</v>
      </c>
    </row>
    <row r="11595" spans="1:18" hidden="1" x14ac:dyDescent="0.3">
      <c r="A11595" s="15" t="s">
        <v>32606</v>
      </c>
      <c r="B11595" s="15" t="s">
        <v>32607</v>
      </c>
      <c r="C11595" s="18" t="s">
        <v>28</v>
      </c>
      <c r="D11595" s="15" t="s">
        <v>32608</v>
      </c>
      <c r="E11595" s="18" t="s">
        <v>28</v>
      </c>
      <c r="F11595" s="19" t="s">
        <v>28</v>
      </c>
      <c r="G11595" s="19">
        <v>7.22</v>
      </c>
      <c r="H11595" s="19">
        <v>7.22</v>
      </c>
      <c r="I11595" s="18" t="s">
        <v>28</v>
      </c>
      <c r="J11595" s="18" t="s">
        <v>28</v>
      </c>
      <c r="K11595" s="18" t="s">
        <v>28</v>
      </c>
      <c r="L11595" s="18" t="s">
        <v>28</v>
      </c>
      <c r="M11595" s="18" t="s">
        <v>28</v>
      </c>
      <c r="N11595" s="17">
        <v>40942</v>
      </c>
      <c r="O11595" s="15" t="s">
        <v>30</v>
      </c>
      <c r="P11595" s="16" t="s">
        <v>30863</v>
      </c>
      <c r="Q11595" s="15" t="s">
        <v>1341</v>
      </c>
      <c r="R11595" s="13" t="str">
        <f>HYPERLINK("https://my.pitchbook.com?c=96668-02T","View Company Online")</f>
        <v>View Company Online</v>
      </c>
    </row>
    <row r="11596" spans="1:18" hidden="1" x14ac:dyDescent="0.3">
      <c r="A11596" s="9" t="s">
        <v>32609</v>
      </c>
      <c r="B11596" s="9" t="s">
        <v>32610</v>
      </c>
      <c r="C11596" s="11" t="s">
        <v>28</v>
      </c>
      <c r="D11596" s="9" t="s">
        <v>32611</v>
      </c>
      <c r="E11596" s="11" t="s">
        <v>28</v>
      </c>
      <c r="F11596" s="10" t="s">
        <v>28</v>
      </c>
      <c r="G11596" s="10" t="s">
        <v>28</v>
      </c>
      <c r="H11596" s="10" t="s">
        <v>28</v>
      </c>
      <c r="I11596" s="11" t="s">
        <v>28</v>
      </c>
      <c r="J11596" s="11" t="s">
        <v>28</v>
      </c>
      <c r="K11596" s="11" t="s">
        <v>28</v>
      </c>
      <c r="L11596" s="11" t="s">
        <v>28</v>
      </c>
      <c r="M11596" s="11" t="s">
        <v>28</v>
      </c>
      <c r="N11596" s="8">
        <v>40940</v>
      </c>
      <c r="O11596" s="9" t="s">
        <v>30</v>
      </c>
      <c r="P11596" s="12" t="s">
        <v>32612</v>
      </c>
      <c r="Q11596" s="9" t="s">
        <v>386</v>
      </c>
      <c r="R11596" s="14" t="str">
        <f>HYPERLINK("https://my.pitchbook.com?c=213471-46T","View Company Online")</f>
        <v>View Company Online</v>
      </c>
    </row>
    <row r="11597" spans="1:18" hidden="1" x14ac:dyDescent="0.3">
      <c r="A11597" s="15" t="s">
        <v>32613</v>
      </c>
      <c r="B11597" s="15" t="s">
        <v>32614</v>
      </c>
      <c r="C11597" s="18" t="s">
        <v>28</v>
      </c>
      <c r="D11597" s="15" t="s">
        <v>32615</v>
      </c>
      <c r="E11597" s="18" t="s">
        <v>28</v>
      </c>
      <c r="F11597" s="19" t="s">
        <v>28</v>
      </c>
      <c r="G11597" s="19">
        <v>0.5</v>
      </c>
      <c r="H11597" s="19" t="s">
        <v>28</v>
      </c>
      <c r="I11597" s="18" t="s">
        <v>28</v>
      </c>
      <c r="J11597" s="18" t="s">
        <v>28</v>
      </c>
      <c r="K11597" s="18" t="s">
        <v>28</v>
      </c>
      <c r="L11597" s="18" t="s">
        <v>28</v>
      </c>
      <c r="M11597" s="18" t="s">
        <v>28</v>
      </c>
      <c r="N11597" s="17">
        <v>40940</v>
      </c>
      <c r="O11597" s="15" t="s">
        <v>99</v>
      </c>
      <c r="P11597" s="16" t="s">
        <v>28</v>
      </c>
      <c r="Q11597" s="15" t="s">
        <v>3912</v>
      </c>
      <c r="R11597" s="13" t="str">
        <f>HYPERLINK("https://my.pitchbook.com?c=50656-15T","View Company Online")</f>
        <v>View Company Online</v>
      </c>
    </row>
    <row r="11598" spans="1:18" hidden="1" x14ac:dyDescent="0.3">
      <c r="A11598" s="9" t="s">
        <v>32616</v>
      </c>
      <c r="B11598" s="9" t="s">
        <v>5722</v>
      </c>
      <c r="C11598" s="11" t="s">
        <v>28</v>
      </c>
      <c r="D11598" s="9" t="s">
        <v>5723</v>
      </c>
      <c r="E11598" s="11">
        <v>176.01</v>
      </c>
      <c r="F11598" s="10" t="s">
        <v>28</v>
      </c>
      <c r="G11598" s="10" t="s">
        <v>28</v>
      </c>
      <c r="H11598" s="10" t="s">
        <v>28</v>
      </c>
      <c r="I11598" s="11">
        <v>178.24</v>
      </c>
      <c r="J11598" s="11" t="s">
        <v>28</v>
      </c>
      <c r="K11598" s="11">
        <v>355.13</v>
      </c>
      <c r="L11598" s="11" t="s">
        <v>28</v>
      </c>
      <c r="M11598" s="11">
        <v>65.489999999999995</v>
      </c>
      <c r="N11598" s="8">
        <v>40940</v>
      </c>
      <c r="O11598" s="9" t="s">
        <v>173</v>
      </c>
      <c r="P11598" s="12" t="s">
        <v>28</v>
      </c>
      <c r="Q11598" s="9" t="s">
        <v>566</v>
      </c>
      <c r="R11598" s="14" t="str">
        <f>HYPERLINK("https://my.pitchbook.com?c=29207-08T","View Company Online")</f>
        <v>View Company Online</v>
      </c>
    </row>
    <row r="11599" spans="1:18" hidden="1" x14ac:dyDescent="0.3">
      <c r="A11599" s="15" t="s">
        <v>32617</v>
      </c>
      <c r="B11599" s="15" t="s">
        <v>2574</v>
      </c>
      <c r="C11599" s="18" t="s">
        <v>28</v>
      </c>
      <c r="D11599" s="15" t="s">
        <v>2575</v>
      </c>
      <c r="E11599" s="18" t="s">
        <v>28</v>
      </c>
      <c r="F11599" s="19">
        <v>57.07</v>
      </c>
      <c r="G11599" s="19">
        <v>35.380000000000003</v>
      </c>
      <c r="H11599" s="19">
        <v>57.07</v>
      </c>
      <c r="I11599" s="18" t="s">
        <v>28</v>
      </c>
      <c r="J11599" s="18" t="s">
        <v>28</v>
      </c>
      <c r="K11599" s="18" t="s">
        <v>28</v>
      </c>
      <c r="L11599" s="18" t="s">
        <v>28</v>
      </c>
      <c r="M11599" s="18" t="s">
        <v>28</v>
      </c>
      <c r="N11599" s="17">
        <v>40940</v>
      </c>
      <c r="O11599" s="15" t="s">
        <v>41</v>
      </c>
      <c r="P11599" s="16" t="s">
        <v>30684</v>
      </c>
      <c r="Q11599" s="15" t="s">
        <v>470</v>
      </c>
      <c r="R11599" s="13" t="str">
        <f>HYPERLINK("https://my.pitchbook.com?c=40274-20T","View Company Online")</f>
        <v>View Company Online</v>
      </c>
    </row>
    <row r="11600" spans="1:18" x14ac:dyDescent="0.3">
      <c r="A11600" s="9" t="s">
        <v>32618</v>
      </c>
      <c r="B11600" s="9" t="s">
        <v>32619</v>
      </c>
      <c r="C11600" s="11">
        <v>5.47</v>
      </c>
      <c r="D11600" s="9" t="s">
        <v>32620</v>
      </c>
      <c r="E11600" s="11" t="s">
        <v>28</v>
      </c>
      <c r="F11600" s="10">
        <v>16.309999999999999</v>
      </c>
      <c r="G11600" s="10">
        <v>16.309999999999999</v>
      </c>
      <c r="H11600" s="10">
        <v>16.309999999999999</v>
      </c>
      <c r="I11600" s="11">
        <v>2.98</v>
      </c>
      <c r="J11600" s="11">
        <v>5.47</v>
      </c>
      <c r="K11600" s="11">
        <v>26.1</v>
      </c>
      <c r="L11600" s="11">
        <v>0.62</v>
      </c>
      <c r="M11600" s="11" t="s">
        <v>28</v>
      </c>
      <c r="N11600" s="8">
        <v>40940</v>
      </c>
      <c r="O11600" s="9" t="s">
        <v>30</v>
      </c>
      <c r="P11600" s="12" t="s">
        <v>32621</v>
      </c>
      <c r="Q11600" s="9" t="s">
        <v>5347</v>
      </c>
      <c r="R11600" s="14" t="str">
        <f>HYPERLINK("https://my.pitchbook.com?c=90035-11T","View Company Online")</f>
        <v>View Company Online</v>
      </c>
    </row>
    <row r="11601" spans="1:18" hidden="1" x14ac:dyDescent="0.3">
      <c r="A11601" s="15" t="s">
        <v>32622</v>
      </c>
      <c r="B11601" s="15" t="s">
        <v>32623</v>
      </c>
      <c r="C11601" s="18" t="s">
        <v>28</v>
      </c>
      <c r="D11601" s="15" t="s">
        <v>32624</v>
      </c>
      <c r="E11601" s="18" t="s">
        <v>28</v>
      </c>
      <c r="F11601" s="19" t="s">
        <v>28</v>
      </c>
      <c r="G11601" s="19">
        <v>1.1499999999999999</v>
      </c>
      <c r="H11601" s="19" t="s">
        <v>28</v>
      </c>
      <c r="I11601" s="18" t="s">
        <v>28</v>
      </c>
      <c r="J11601" s="18" t="s">
        <v>28</v>
      </c>
      <c r="K11601" s="18" t="s">
        <v>28</v>
      </c>
      <c r="L11601" s="18" t="s">
        <v>28</v>
      </c>
      <c r="M11601" s="18" t="s">
        <v>28</v>
      </c>
      <c r="N11601" s="17">
        <v>40940</v>
      </c>
      <c r="O11601" s="15" t="s">
        <v>73</v>
      </c>
      <c r="P11601" s="16" t="s">
        <v>32625</v>
      </c>
      <c r="Q11601" s="15" t="s">
        <v>855</v>
      </c>
      <c r="R11601" s="13" t="str">
        <f>HYPERLINK("https://my.pitchbook.com?c=63698-68T","View Company Online")</f>
        <v>View Company Online</v>
      </c>
    </row>
    <row r="11602" spans="1:18" hidden="1" x14ac:dyDescent="0.3">
      <c r="A11602" s="9" t="s">
        <v>32626</v>
      </c>
      <c r="B11602" s="9" t="s">
        <v>22875</v>
      </c>
      <c r="C11602" s="11" t="s">
        <v>28</v>
      </c>
      <c r="D11602" s="9" t="s">
        <v>22876</v>
      </c>
      <c r="E11602" s="11" t="s">
        <v>28</v>
      </c>
      <c r="F11602" s="10">
        <v>90.5</v>
      </c>
      <c r="G11602" s="10">
        <v>90.5</v>
      </c>
      <c r="H11602" s="10">
        <v>90.5</v>
      </c>
      <c r="I11602" s="11" t="s">
        <v>28</v>
      </c>
      <c r="J11602" s="11" t="s">
        <v>28</v>
      </c>
      <c r="K11602" s="11">
        <v>47.66</v>
      </c>
      <c r="L11602" s="11">
        <v>1.9</v>
      </c>
      <c r="M11602" s="11" t="s">
        <v>28</v>
      </c>
      <c r="N11602" s="8">
        <v>40940</v>
      </c>
      <c r="O11602" s="9" t="s">
        <v>30</v>
      </c>
      <c r="P11602" s="12" t="s">
        <v>32627</v>
      </c>
      <c r="Q11602" s="9" t="s">
        <v>136</v>
      </c>
      <c r="R11602" s="14" t="str">
        <f>HYPERLINK("https://my.pitchbook.com?c=90199-90T","View Company Online")</f>
        <v>View Company Online</v>
      </c>
    </row>
    <row r="11603" spans="1:18" hidden="1" x14ac:dyDescent="0.3">
      <c r="A11603" s="15" t="s">
        <v>32628</v>
      </c>
      <c r="B11603" s="15" t="s">
        <v>32629</v>
      </c>
      <c r="C11603" s="18" t="s">
        <v>28</v>
      </c>
      <c r="D11603" s="15" t="s">
        <v>32630</v>
      </c>
      <c r="E11603" s="18" t="s">
        <v>28</v>
      </c>
      <c r="F11603" s="19" t="s">
        <v>28</v>
      </c>
      <c r="G11603" s="19">
        <v>0.04</v>
      </c>
      <c r="H11603" s="19" t="s">
        <v>28</v>
      </c>
      <c r="I11603" s="18" t="s">
        <v>28</v>
      </c>
      <c r="J11603" s="18" t="s">
        <v>28</v>
      </c>
      <c r="K11603" s="18" t="s">
        <v>28</v>
      </c>
      <c r="L11603" s="18" t="s">
        <v>28</v>
      </c>
      <c r="M11603" s="18" t="s">
        <v>28</v>
      </c>
      <c r="N11603" s="17">
        <v>40940</v>
      </c>
      <c r="O11603" s="15" t="s">
        <v>52</v>
      </c>
      <c r="P11603" s="16" t="s">
        <v>1792</v>
      </c>
      <c r="Q11603" s="15" t="s">
        <v>114</v>
      </c>
      <c r="R11603" s="13" t="str">
        <f>HYPERLINK("https://my.pitchbook.com?c=67111-30T","View Company Online")</f>
        <v>View Company Online</v>
      </c>
    </row>
    <row r="11604" spans="1:18" hidden="1" x14ac:dyDescent="0.3">
      <c r="A11604" s="9" t="s">
        <v>32631</v>
      </c>
      <c r="B11604" s="9" t="s">
        <v>5553</v>
      </c>
      <c r="C11604" s="11" t="s">
        <v>28</v>
      </c>
      <c r="D11604" s="9" t="s">
        <v>5554</v>
      </c>
      <c r="E11604" s="11" t="s">
        <v>28</v>
      </c>
      <c r="F11604" s="10" t="s">
        <v>28</v>
      </c>
      <c r="G11604" s="10">
        <v>210.97</v>
      </c>
      <c r="H11604" s="10" t="s">
        <v>28</v>
      </c>
      <c r="I11604" s="11" t="s">
        <v>28</v>
      </c>
      <c r="J11604" s="11" t="s">
        <v>28</v>
      </c>
      <c r="K11604" s="11" t="s">
        <v>28</v>
      </c>
      <c r="L11604" s="11" t="s">
        <v>28</v>
      </c>
      <c r="M11604" s="11" t="s">
        <v>28</v>
      </c>
      <c r="N11604" s="8">
        <v>40939</v>
      </c>
      <c r="O11604" s="9" t="s">
        <v>93</v>
      </c>
      <c r="P11604" s="12" t="s">
        <v>32632</v>
      </c>
      <c r="Q11604" s="9" t="s">
        <v>5347</v>
      </c>
      <c r="R11604" s="14" t="str">
        <f>HYPERLINK("https://my.pitchbook.com?c=45561-43T","View Company Online")</f>
        <v>View Company Online</v>
      </c>
    </row>
    <row r="11605" spans="1:18" hidden="1" x14ac:dyDescent="0.3">
      <c r="A11605" s="15" t="s">
        <v>32633</v>
      </c>
      <c r="B11605" s="15" t="s">
        <v>32634</v>
      </c>
      <c r="C11605" s="18" t="s">
        <v>28</v>
      </c>
      <c r="D11605" s="15" t="s">
        <v>32635</v>
      </c>
      <c r="E11605" s="18" t="s">
        <v>28</v>
      </c>
      <c r="F11605" s="19">
        <v>58.5</v>
      </c>
      <c r="G11605" s="19">
        <v>58.5</v>
      </c>
      <c r="H11605" s="19">
        <v>58.5</v>
      </c>
      <c r="I11605" s="18" t="s">
        <v>28</v>
      </c>
      <c r="J11605" s="18" t="s">
        <v>28</v>
      </c>
      <c r="K11605" s="18" t="s">
        <v>28</v>
      </c>
      <c r="L11605" s="18" t="s">
        <v>28</v>
      </c>
      <c r="M11605" s="18" t="s">
        <v>28</v>
      </c>
      <c r="N11605" s="17">
        <v>40939</v>
      </c>
      <c r="O11605" s="15" t="s">
        <v>30</v>
      </c>
      <c r="P11605" s="16" t="s">
        <v>2951</v>
      </c>
      <c r="Q11605" s="15" t="s">
        <v>5110</v>
      </c>
      <c r="R11605" s="13" t="str">
        <f>HYPERLINK("https://my.pitchbook.com?c=21743-20T","View Company Online")</f>
        <v>View Company Online</v>
      </c>
    </row>
    <row r="11606" spans="1:18" hidden="1" x14ac:dyDescent="0.3">
      <c r="A11606" s="9" t="s">
        <v>32636</v>
      </c>
      <c r="B11606" s="9" t="s">
        <v>27328</v>
      </c>
      <c r="C11606" s="11" t="s">
        <v>28</v>
      </c>
      <c r="D11606" s="9" t="s">
        <v>27329</v>
      </c>
      <c r="E11606" s="11" t="s">
        <v>28</v>
      </c>
      <c r="F11606" s="10">
        <v>94.47</v>
      </c>
      <c r="G11606" s="10">
        <v>94.47</v>
      </c>
      <c r="H11606" s="10">
        <v>94.47</v>
      </c>
      <c r="I11606" s="11" t="s">
        <v>28</v>
      </c>
      <c r="J11606" s="11" t="s">
        <v>28</v>
      </c>
      <c r="K11606" s="11" t="s">
        <v>28</v>
      </c>
      <c r="L11606" s="11" t="s">
        <v>28</v>
      </c>
      <c r="M11606" s="11" t="s">
        <v>28</v>
      </c>
      <c r="N11606" s="8">
        <v>40938</v>
      </c>
      <c r="O11606" s="9" t="s">
        <v>30</v>
      </c>
      <c r="P11606" s="12" t="s">
        <v>32637</v>
      </c>
      <c r="Q11606" s="9" t="s">
        <v>299</v>
      </c>
      <c r="R11606" s="14" t="str">
        <f>HYPERLINK("https://my.pitchbook.com?c=70315-93T","View Company Online")</f>
        <v>View Company Online</v>
      </c>
    </row>
    <row r="11607" spans="1:18" hidden="1" x14ac:dyDescent="0.3">
      <c r="A11607" s="15" t="s">
        <v>32638</v>
      </c>
      <c r="B11607" s="15" t="s">
        <v>32639</v>
      </c>
      <c r="C11607" s="18" t="s">
        <v>28</v>
      </c>
      <c r="D11607" s="15" t="s">
        <v>32640</v>
      </c>
      <c r="E11607" s="18">
        <v>524.27</v>
      </c>
      <c r="F11607" s="19" t="s">
        <v>28</v>
      </c>
      <c r="G11607" s="19" t="s">
        <v>28</v>
      </c>
      <c r="H11607" s="19" t="s">
        <v>28</v>
      </c>
      <c r="I11607" s="18">
        <v>1156.96</v>
      </c>
      <c r="J11607" s="18" t="s">
        <v>28</v>
      </c>
      <c r="K11607" s="18">
        <v>3989.47</v>
      </c>
      <c r="L11607" s="18" t="s">
        <v>28</v>
      </c>
      <c r="M11607" s="18">
        <v>222.34</v>
      </c>
      <c r="N11607" s="17">
        <v>40935</v>
      </c>
      <c r="O11607" s="15" t="s">
        <v>30</v>
      </c>
      <c r="P11607" s="16" t="s">
        <v>32641</v>
      </c>
      <c r="Q11607" s="15" t="s">
        <v>18018</v>
      </c>
      <c r="R11607" s="13" t="str">
        <f>HYPERLINK("https://my.pitchbook.com?c=122446-09T","View Company Online")</f>
        <v>View Company Online</v>
      </c>
    </row>
    <row r="11608" spans="1:18" hidden="1" x14ac:dyDescent="0.3">
      <c r="A11608" s="9" t="s">
        <v>32642</v>
      </c>
      <c r="B11608" s="9" t="s">
        <v>15244</v>
      </c>
      <c r="C11608" s="11" t="s">
        <v>28</v>
      </c>
      <c r="D11608" s="9" t="s">
        <v>15245</v>
      </c>
      <c r="E11608" s="11" t="s">
        <v>28</v>
      </c>
      <c r="F11608" s="10" t="s">
        <v>28</v>
      </c>
      <c r="G11608" s="10" t="s">
        <v>28</v>
      </c>
      <c r="H11608" s="10" t="s">
        <v>28</v>
      </c>
      <c r="I11608" s="11" t="s">
        <v>28</v>
      </c>
      <c r="J11608" s="11" t="s">
        <v>28</v>
      </c>
      <c r="K11608" s="11" t="s">
        <v>28</v>
      </c>
      <c r="L11608" s="11" t="s">
        <v>28</v>
      </c>
      <c r="M11608" s="11" t="s">
        <v>28</v>
      </c>
      <c r="N11608" s="8">
        <v>40933</v>
      </c>
      <c r="O11608" s="9" t="s">
        <v>52</v>
      </c>
      <c r="P11608" s="12" t="s">
        <v>10628</v>
      </c>
      <c r="Q11608" s="9" t="s">
        <v>583</v>
      </c>
      <c r="R11608" s="14" t="str">
        <f>HYPERLINK("https://my.pitchbook.com?c=80306-65T","View Company Online")</f>
        <v>View Company Online</v>
      </c>
    </row>
    <row r="11609" spans="1:18" hidden="1" x14ac:dyDescent="0.3">
      <c r="A11609" s="15" t="s">
        <v>32643</v>
      </c>
      <c r="B11609" s="15" t="s">
        <v>32644</v>
      </c>
      <c r="C11609" s="18" t="s">
        <v>28</v>
      </c>
      <c r="D11609" s="15" t="s">
        <v>32645</v>
      </c>
      <c r="E11609" s="18" t="s">
        <v>28</v>
      </c>
      <c r="F11609" s="19">
        <v>2.92</v>
      </c>
      <c r="G11609" s="19">
        <v>2.92</v>
      </c>
      <c r="H11609" s="19">
        <v>2.92</v>
      </c>
      <c r="I11609" s="18" t="s">
        <v>28</v>
      </c>
      <c r="J11609" s="18" t="s">
        <v>28</v>
      </c>
      <c r="K11609" s="18" t="s">
        <v>28</v>
      </c>
      <c r="L11609" s="18" t="s">
        <v>28</v>
      </c>
      <c r="M11609" s="18" t="s">
        <v>28</v>
      </c>
      <c r="N11609" s="17">
        <v>40932</v>
      </c>
      <c r="O11609" s="15" t="s">
        <v>30</v>
      </c>
      <c r="P11609" s="16" t="s">
        <v>32646</v>
      </c>
      <c r="Q11609" s="15" t="s">
        <v>32</v>
      </c>
      <c r="R11609" s="13" t="str">
        <f>HYPERLINK("https://my.pitchbook.com?c=89929-27T","View Company Online")</f>
        <v>View Company Online</v>
      </c>
    </row>
    <row r="11610" spans="1:18" hidden="1" x14ac:dyDescent="0.3">
      <c r="A11610" s="9" t="s">
        <v>32647</v>
      </c>
      <c r="B11610" s="9" t="s">
        <v>14643</v>
      </c>
      <c r="C11610" s="11" t="s">
        <v>28</v>
      </c>
      <c r="D11610" s="9" t="s">
        <v>16376</v>
      </c>
      <c r="E11610" s="11" t="s">
        <v>28</v>
      </c>
      <c r="F11610" s="10" t="s">
        <v>28</v>
      </c>
      <c r="G11610" s="10">
        <v>98.51</v>
      </c>
      <c r="H11610" s="10">
        <v>266.23</v>
      </c>
      <c r="I11610" s="11" t="s">
        <v>28</v>
      </c>
      <c r="J11610" s="11" t="s">
        <v>28</v>
      </c>
      <c r="K11610" s="11" t="s">
        <v>28</v>
      </c>
      <c r="L11610" s="11" t="s">
        <v>28</v>
      </c>
      <c r="M11610" s="11" t="s">
        <v>28</v>
      </c>
      <c r="N11610" s="8">
        <v>40931</v>
      </c>
      <c r="O11610" s="9" t="s">
        <v>93</v>
      </c>
      <c r="P11610" s="12" t="s">
        <v>32648</v>
      </c>
      <c r="Q11610" s="9" t="s">
        <v>43</v>
      </c>
      <c r="R11610" s="14" t="str">
        <f>HYPERLINK("https://my.pitchbook.com?c=48214-90T","View Company Online")</f>
        <v>View Company Online</v>
      </c>
    </row>
    <row r="11611" spans="1:18" hidden="1" x14ac:dyDescent="0.3">
      <c r="A11611" s="15" t="s">
        <v>32649</v>
      </c>
      <c r="B11611" s="15" t="s">
        <v>30180</v>
      </c>
      <c r="C11611" s="18" t="s">
        <v>28</v>
      </c>
      <c r="D11611" s="15" t="s">
        <v>30181</v>
      </c>
      <c r="E11611" s="18" t="s">
        <v>28</v>
      </c>
      <c r="F11611" s="19" t="s">
        <v>28</v>
      </c>
      <c r="G11611" s="19" t="s">
        <v>28</v>
      </c>
      <c r="H11611" s="19" t="s">
        <v>28</v>
      </c>
      <c r="I11611" s="18" t="s">
        <v>28</v>
      </c>
      <c r="J11611" s="18" t="s">
        <v>28</v>
      </c>
      <c r="K11611" s="18" t="s">
        <v>28</v>
      </c>
      <c r="L11611" s="18" t="s">
        <v>28</v>
      </c>
      <c r="M11611" s="18" t="s">
        <v>28</v>
      </c>
      <c r="N11611" s="17">
        <v>40931</v>
      </c>
      <c r="O11611" s="15" t="s">
        <v>73</v>
      </c>
      <c r="P11611" s="16" t="s">
        <v>32650</v>
      </c>
      <c r="Q11611" s="15" t="s">
        <v>3912</v>
      </c>
      <c r="R11611" s="13" t="str">
        <f>HYPERLINK("https://my.pitchbook.com?c=33907-15T","View Company Online")</f>
        <v>View Company Online</v>
      </c>
    </row>
    <row r="11612" spans="1:18" hidden="1" x14ac:dyDescent="0.3">
      <c r="A11612" s="9" t="s">
        <v>32651</v>
      </c>
      <c r="B11612" s="9" t="s">
        <v>32652</v>
      </c>
      <c r="C11612" s="11" t="s">
        <v>28</v>
      </c>
      <c r="D11612" s="9" t="s">
        <v>32653</v>
      </c>
      <c r="E11612" s="11" t="s">
        <v>28</v>
      </c>
      <c r="F11612" s="10" t="s">
        <v>28</v>
      </c>
      <c r="G11612" s="10" t="s">
        <v>28</v>
      </c>
      <c r="H11612" s="10" t="s">
        <v>28</v>
      </c>
      <c r="I11612" s="11" t="s">
        <v>28</v>
      </c>
      <c r="J11612" s="11" t="s">
        <v>28</v>
      </c>
      <c r="K11612" s="11" t="s">
        <v>28</v>
      </c>
      <c r="L11612" s="11" t="s">
        <v>28</v>
      </c>
      <c r="M11612" s="11" t="s">
        <v>28</v>
      </c>
      <c r="N11612" s="8">
        <v>40928</v>
      </c>
      <c r="O11612" s="9" t="s">
        <v>41</v>
      </c>
      <c r="P11612" s="12" t="s">
        <v>32654</v>
      </c>
      <c r="Q11612" s="9" t="s">
        <v>5347</v>
      </c>
      <c r="R11612" s="14" t="str">
        <f>HYPERLINK("https://my.pitchbook.com?c=20444-05T","View Company Online")</f>
        <v>View Company Online</v>
      </c>
    </row>
    <row r="11613" spans="1:18" hidden="1" x14ac:dyDescent="0.3">
      <c r="A11613" s="15" t="s">
        <v>32655</v>
      </c>
      <c r="B11613" s="15" t="s">
        <v>29752</v>
      </c>
      <c r="C11613" s="18" t="s">
        <v>28</v>
      </c>
      <c r="D11613" s="15" t="s">
        <v>29753</v>
      </c>
      <c r="E11613" s="18" t="s">
        <v>28</v>
      </c>
      <c r="F11613" s="19" t="s">
        <v>28</v>
      </c>
      <c r="G11613" s="19">
        <v>26.95</v>
      </c>
      <c r="H11613" s="19">
        <v>55</v>
      </c>
      <c r="I11613" s="18" t="s">
        <v>28</v>
      </c>
      <c r="J11613" s="18" t="s">
        <v>28</v>
      </c>
      <c r="K11613" s="18" t="s">
        <v>28</v>
      </c>
      <c r="L11613" s="18" t="s">
        <v>28</v>
      </c>
      <c r="M11613" s="18" t="s">
        <v>28</v>
      </c>
      <c r="N11613" s="17">
        <v>40927</v>
      </c>
      <c r="O11613" s="15" t="s">
        <v>58</v>
      </c>
      <c r="P11613" s="16" t="s">
        <v>32656</v>
      </c>
      <c r="Q11613" s="15" t="s">
        <v>419</v>
      </c>
      <c r="R11613" s="13" t="str">
        <f>HYPERLINK("https://my.pitchbook.com?c=166797-10T","View Company Online")</f>
        <v>View Company Online</v>
      </c>
    </row>
    <row r="11614" spans="1:18" hidden="1" x14ac:dyDescent="0.3">
      <c r="A11614" s="9" t="s">
        <v>32657</v>
      </c>
      <c r="B11614" s="9" t="s">
        <v>18971</v>
      </c>
      <c r="C11614" s="11" t="s">
        <v>28</v>
      </c>
      <c r="D11614" s="9" t="s">
        <v>23891</v>
      </c>
      <c r="E11614" s="11" t="s">
        <v>28</v>
      </c>
      <c r="F11614" s="10" t="s">
        <v>28</v>
      </c>
      <c r="G11614" s="10">
        <v>80</v>
      </c>
      <c r="H11614" s="10" t="s">
        <v>28</v>
      </c>
      <c r="I11614" s="11" t="s">
        <v>28</v>
      </c>
      <c r="J11614" s="11" t="s">
        <v>28</v>
      </c>
      <c r="K11614" s="11" t="s">
        <v>28</v>
      </c>
      <c r="L11614" s="11" t="s">
        <v>28</v>
      </c>
      <c r="M11614" s="11" t="s">
        <v>28</v>
      </c>
      <c r="N11614" s="8">
        <v>40927</v>
      </c>
      <c r="O11614" s="9" t="s">
        <v>79</v>
      </c>
      <c r="P11614" s="12" t="s">
        <v>32658</v>
      </c>
      <c r="Q11614" s="9" t="s">
        <v>386</v>
      </c>
      <c r="R11614" s="14" t="str">
        <f>HYPERLINK("https://my.pitchbook.com?c=20375-29T","View Company Online")</f>
        <v>View Company Online</v>
      </c>
    </row>
    <row r="11615" spans="1:18" hidden="1" x14ac:dyDescent="0.3">
      <c r="A11615" s="15" t="s">
        <v>32659</v>
      </c>
      <c r="B11615" s="15" t="s">
        <v>30748</v>
      </c>
      <c r="C11615" s="18" t="s">
        <v>28</v>
      </c>
      <c r="D11615" s="15" t="s">
        <v>30749</v>
      </c>
      <c r="E11615" s="18" t="s">
        <v>28</v>
      </c>
      <c r="F11615" s="19" t="s">
        <v>28</v>
      </c>
      <c r="G11615" s="19">
        <v>320</v>
      </c>
      <c r="H11615" s="19" t="s">
        <v>28</v>
      </c>
      <c r="I11615" s="18" t="s">
        <v>28</v>
      </c>
      <c r="J11615" s="18" t="s">
        <v>28</v>
      </c>
      <c r="K11615" s="18" t="s">
        <v>28</v>
      </c>
      <c r="L11615" s="18" t="s">
        <v>28</v>
      </c>
      <c r="M11615" s="18" t="s">
        <v>28</v>
      </c>
      <c r="N11615" s="17">
        <v>40926</v>
      </c>
      <c r="O11615" s="15" t="s">
        <v>93</v>
      </c>
      <c r="P11615" s="16" t="s">
        <v>31886</v>
      </c>
      <c r="Q11615" s="15" t="s">
        <v>54</v>
      </c>
      <c r="R11615" s="13" t="str">
        <f>HYPERLINK("https://my.pitchbook.com?c=21650-68T","View Company Online")</f>
        <v>View Company Online</v>
      </c>
    </row>
    <row r="11616" spans="1:18" hidden="1" x14ac:dyDescent="0.3">
      <c r="A11616" s="9" t="s">
        <v>32660</v>
      </c>
      <c r="B11616" s="9" t="s">
        <v>32661</v>
      </c>
      <c r="C11616" s="11" t="s">
        <v>28</v>
      </c>
      <c r="D11616" s="9" t="s">
        <v>32662</v>
      </c>
      <c r="E11616" s="11" t="s">
        <v>28</v>
      </c>
      <c r="F11616" s="10">
        <v>55.8</v>
      </c>
      <c r="G11616" s="10">
        <v>44.7</v>
      </c>
      <c r="H11616" s="10">
        <v>55.8</v>
      </c>
      <c r="I11616" s="11" t="s">
        <v>28</v>
      </c>
      <c r="J11616" s="11" t="s">
        <v>28</v>
      </c>
      <c r="K11616" s="11" t="s">
        <v>28</v>
      </c>
      <c r="L11616" s="11" t="s">
        <v>28</v>
      </c>
      <c r="M11616" s="11" t="s">
        <v>28</v>
      </c>
      <c r="N11616" s="8">
        <v>40924</v>
      </c>
      <c r="O11616" s="9" t="s">
        <v>30</v>
      </c>
      <c r="P11616" s="12" t="s">
        <v>32663</v>
      </c>
      <c r="Q11616" s="9" t="s">
        <v>37</v>
      </c>
      <c r="R11616" s="14" t="str">
        <f>HYPERLINK("https://my.pitchbook.com?c=80284-24T","View Company Online")</f>
        <v>View Company Online</v>
      </c>
    </row>
    <row r="11617" spans="1:18" hidden="1" x14ac:dyDescent="0.3">
      <c r="A11617" s="15" t="s">
        <v>32664</v>
      </c>
      <c r="B11617" s="15" t="s">
        <v>32665</v>
      </c>
      <c r="C11617" s="18" t="s">
        <v>28</v>
      </c>
      <c r="D11617" s="15" t="s">
        <v>32666</v>
      </c>
      <c r="E11617" s="18" t="s">
        <v>28</v>
      </c>
      <c r="F11617" s="19" t="s">
        <v>28</v>
      </c>
      <c r="G11617" s="19" t="s">
        <v>28</v>
      </c>
      <c r="H11617" s="19" t="s">
        <v>28</v>
      </c>
      <c r="I11617" s="18" t="s">
        <v>28</v>
      </c>
      <c r="J11617" s="18" t="s">
        <v>28</v>
      </c>
      <c r="K11617" s="18" t="s">
        <v>28</v>
      </c>
      <c r="L11617" s="18" t="s">
        <v>28</v>
      </c>
      <c r="M11617" s="18" t="s">
        <v>28</v>
      </c>
      <c r="N11617" s="17">
        <v>40924</v>
      </c>
      <c r="O11617" s="15" t="s">
        <v>173</v>
      </c>
      <c r="P11617" s="16" t="s">
        <v>28</v>
      </c>
      <c r="Q11617" s="15" t="s">
        <v>174</v>
      </c>
      <c r="R11617" s="13" t="str">
        <f>HYPERLINK("https://my.pitchbook.com?c=224072-47T","View Company Online")</f>
        <v>View Company Online</v>
      </c>
    </row>
    <row r="11618" spans="1:18" hidden="1" x14ac:dyDescent="0.3">
      <c r="A11618" s="9" t="s">
        <v>32667</v>
      </c>
      <c r="B11618" s="9" t="s">
        <v>32668</v>
      </c>
      <c r="C11618" s="11" t="s">
        <v>28</v>
      </c>
      <c r="D11618" s="9" t="s">
        <v>32669</v>
      </c>
      <c r="E11618" s="11" t="s">
        <v>28</v>
      </c>
      <c r="F11618" s="10" t="s">
        <v>28</v>
      </c>
      <c r="G11618" s="10" t="s">
        <v>28</v>
      </c>
      <c r="H11618" s="10" t="s">
        <v>28</v>
      </c>
      <c r="I11618" s="11" t="s">
        <v>28</v>
      </c>
      <c r="J11618" s="11" t="s">
        <v>28</v>
      </c>
      <c r="K11618" s="11" t="s">
        <v>28</v>
      </c>
      <c r="L11618" s="11" t="s">
        <v>28</v>
      </c>
      <c r="M11618" s="11" t="s">
        <v>28</v>
      </c>
      <c r="N11618" s="8">
        <v>40924</v>
      </c>
      <c r="O11618" s="9" t="s">
        <v>30</v>
      </c>
      <c r="P11618" s="12" t="s">
        <v>8927</v>
      </c>
      <c r="Q11618" s="9" t="s">
        <v>193</v>
      </c>
      <c r="R11618" s="14" t="str">
        <f>HYPERLINK("https://my.pitchbook.com?c=68816-44T","View Company Online")</f>
        <v>View Company Online</v>
      </c>
    </row>
    <row r="11619" spans="1:18" hidden="1" x14ac:dyDescent="0.3">
      <c r="A11619" s="15" t="s">
        <v>32670</v>
      </c>
      <c r="B11619" s="15" t="s">
        <v>32671</v>
      </c>
      <c r="C11619" s="18" t="s">
        <v>28</v>
      </c>
      <c r="D11619" s="15" t="s">
        <v>32672</v>
      </c>
      <c r="E11619" s="18" t="s">
        <v>28</v>
      </c>
      <c r="F11619" s="19" t="s">
        <v>28</v>
      </c>
      <c r="G11619" s="19" t="s">
        <v>28</v>
      </c>
      <c r="H11619" s="19" t="s">
        <v>28</v>
      </c>
      <c r="I11619" s="18" t="s">
        <v>28</v>
      </c>
      <c r="J11619" s="18" t="s">
        <v>28</v>
      </c>
      <c r="K11619" s="18" t="s">
        <v>28</v>
      </c>
      <c r="L11619" s="18" t="s">
        <v>28</v>
      </c>
      <c r="M11619" s="18" t="s">
        <v>28</v>
      </c>
      <c r="N11619" s="17">
        <v>40921</v>
      </c>
      <c r="O11619" s="15" t="s">
        <v>30</v>
      </c>
      <c r="P11619" s="16" t="s">
        <v>32673</v>
      </c>
      <c r="Q11619" s="15" t="s">
        <v>75</v>
      </c>
      <c r="R11619" s="13" t="str">
        <f>HYPERLINK("https://my.pitchbook.com?c=102160-63T","View Company Online")</f>
        <v>View Company Online</v>
      </c>
    </row>
    <row r="11620" spans="1:18" hidden="1" x14ac:dyDescent="0.3">
      <c r="A11620" s="9" t="s">
        <v>32674</v>
      </c>
      <c r="B11620" s="9" t="s">
        <v>26943</v>
      </c>
      <c r="C11620" s="11" t="s">
        <v>28</v>
      </c>
      <c r="D11620" s="9" t="s">
        <v>26944</v>
      </c>
      <c r="E11620" s="11" t="s">
        <v>28</v>
      </c>
      <c r="F11620" s="10" t="s">
        <v>28</v>
      </c>
      <c r="G11620" s="10">
        <v>0.81</v>
      </c>
      <c r="H11620" s="10" t="s">
        <v>28</v>
      </c>
      <c r="I11620" s="11" t="s">
        <v>28</v>
      </c>
      <c r="J11620" s="11" t="s">
        <v>28</v>
      </c>
      <c r="K11620" s="11" t="s">
        <v>28</v>
      </c>
      <c r="L11620" s="11" t="s">
        <v>28</v>
      </c>
      <c r="M11620" s="11" t="s">
        <v>28</v>
      </c>
      <c r="N11620" s="8">
        <v>40920</v>
      </c>
      <c r="O11620" s="9" t="s">
        <v>73</v>
      </c>
      <c r="P11620" s="12" t="s">
        <v>18292</v>
      </c>
      <c r="Q11620" s="9" t="s">
        <v>362</v>
      </c>
      <c r="R11620" s="14" t="str">
        <f>HYPERLINK("https://my.pitchbook.com?c=86198-05T","View Company Online")</f>
        <v>View Company Online</v>
      </c>
    </row>
    <row r="11621" spans="1:18" hidden="1" x14ac:dyDescent="0.3">
      <c r="A11621" s="15" t="s">
        <v>32675</v>
      </c>
      <c r="B11621" s="15" t="s">
        <v>32676</v>
      </c>
      <c r="C11621" s="18" t="s">
        <v>28</v>
      </c>
      <c r="D11621" s="15" t="s">
        <v>32677</v>
      </c>
      <c r="E11621" s="18" t="s">
        <v>28</v>
      </c>
      <c r="F11621" s="19" t="s">
        <v>28</v>
      </c>
      <c r="G11621" s="19" t="s">
        <v>28</v>
      </c>
      <c r="H11621" s="19" t="s">
        <v>28</v>
      </c>
      <c r="I11621" s="18" t="s">
        <v>28</v>
      </c>
      <c r="J11621" s="18" t="s">
        <v>28</v>
      </c>
      <c r="K11621" s="18" t="s">
        <v>28</v>
      </c>
      <c r="L11621" s="18" t="s">
        <v>28</v>
      </c>
      <c r="M11621" s="18" t="s">
        <v>28</v>
      </c>
      <c r="N11621" s="17">
        <v>40918</v>
      </c>
      <c r="O11621" s="15" t="s">
        <v>52</v>
      </c>
      <c r="P11621" s="16" t="s">
        <v>32678</v>
      </c>
      <c r="Q11621" s="15" t="s">
        <v>75</v>
      </c>
      <c r="R11621" s="13" t="str">
        <f>HYPERLINK("https://my.pitchbook.com?c=55471-69T","View Company Online")</f>
        <v>View Company Online</v>
      </c>
    </row>
    <row r="11622" spans="1:18" hidden="1" x14ac:dyDescent="0.3">
      <c r="A11622" s="9" t="s">
        <v>32679</v>
      </c>
      <c r="B11622" s="9" t="s">
        <v>32680</v>
      </c>
      <c r="C11622" s="11" t="s">
        <v>28</v>
      </c>
      <c r="D11622" s="9" t="s">
        <v>32681</v>
      </c>
      <c r="E11622" s="11" t="s">
        <v>28</v>
      </c>
      <c r="F11622" s="10" t="s">
        <v>28</v>
      </c>
      <c r="G11622" s="10">
        <v>0.02</v>
      </c>
      <c r="H11622" s="10" t="s">
        <v>28</v>
      </c>
      <c r="I11622" s="11" t="s">
        <v>28</v>
      </c>
      <c r="J11622" s="11" t="s">
        <v>28</v>
      </c>
      <c r="K11622" s="11" t="s">
        <v>28</v>
      </c>
      <c r="L11622" s="11" t="s">
        <v>28</v>
      </c>
      <c r="M11622" s="11" t="s">
        <v>28</v>
      </c>
      <c r="N11622" s="8">
        <v>40918</v>
      </c>
      <c r="O11622" s="9" t="s">
        <v>379</v>
      </c>
      <c r="P11622" s="12" t="s">
        <v>32682</v>
      </c>
      <c r="Q11622" s="9" t="s">
        <v>95</v>
      </c>
      <c r="R11622" s="14" t="str">
        <f>HYPERLINK("https://my.pitchbook.com?c=59717-62T","View Company Online")</f>
        <v>View Company Online</v>
      </c>
    </row>
    <row r="11623" spans="1:18" hidden="1" x14ac:dyDescent="0.3">
      <c r="A11623" s="15" t="s">
        <v>32683</v>
      </c>
      <c r="B11623" s="15" t="s">
        <v>29104</v>
      </c>
      <c r="C11623" s="18" t="s">
        <v>28</v>
      </c>
      <c r="D11623" s="15" t="s">
        <v>29105</v>
      </c>
      <c r="E11623" s="18" t="s">
        <v>28</v>
      </c>
      <c r="F11623" s="19">
        <v>60.16</v>
      </c>
      <c r="G11623" s="19">
        <v>36.700000000000003</v>
      </c>
      <c r="H11623" s="19">
        <v>60.16</v>
      </c>
      <c r="I11623" s="18" t="s">
        <v>28</v>
      </c>
      <c r="J11623" s="18" t="s">
        <v>28</v>
      </c>
      <c r="K11623" s="18" t="s">
        <v>28</v>
      </c>
      <c r="L11623" s="18" t="s">
        <v>28</v>
      </c>
      <c r="M11623" s="18" t="s">
        <v>28</v>
      </c>
      <c r="N11623" s="17">
        <v>40914</v>
      </c>
      <c r="O11623" s="15" t="s">
        <v>30</v>
      </c>
      <c r="P11623" s="16" t="s">
        <v>29106</v>
      </c>
      <c r="Q11623" s="15" t="s">
        <v>19850</v>
      </c>
      <c r="R11623" s="13" t="str">
        <f>HYPERLINK("https://my.pitchbook.com?c=70331-14T","View Company Online")</f>
        <v>View Company Online</v>
      </c>
    </row>
    <row r="11624" spans="1:18" hidden="1" x14ac:dyDescent="0.3">
      <c r="A11624" s="9" t="s">
        <v>32684</v>
      </c>
      <c r="B11624" s="9" t="s">
        <v>32685</v>
      </c>
      <c r="C11624" s="11" t="s">
        <v>28</v>
      </c>
      <c r="D11624" s="9" t="s">
        <v>32686</v>
      </c>
      <c r="E11624" s="11" t="s">
        <v>28</v>
      </c>
      <c r="F11624" s="10" t="s">
        <v>28</v>
      </c>
      <c r="G11624" s="10" t="s">
        <v>28</v>
      </c>
      <c r="H11624" s="10" t="s">
        <v>28</v>
      </c>
      <c r="I11624" s="11" t="s">
        <v>28</v>
      </c>
      <c r="J11624" s="11" t="s">
        <v>28</v>
      </c>
      <c r="K11624" s="11" t="s">
        <v>28</v>
      </c>
      <c r="L11624" s="11" t="s">
        <v>28</v>
      </c>
      <c r="M11624" s="11" t="s">
        <v>28</v>
      </c>
      <c r="N11624" s="8">
        <v>40913</v>
      </c>
      <c r="O11624" s="9" t="s">
        <v>30</v>
      </c>
      <c r="P11624" s="12" t="s">
        <v>32687</v>
      </c>
      <c r="Q11624" s="9" t="s">
        <v>19855</v>
      </c>
      <c r="R11624" s="14" t="str">
        <f>HYPERLINK("https://my.pitchbook.com?c=89824-87T","View Company Online")</f>
        <v>View Company Online</v>
      </c>
    </row>
    <row r="11625" spans="1:18" hidden="1" x14ac:dyDescent="0.3">
      <c r="A11625" s="15" t="s">
        <v>32688</v>
      </c>
      <c r="B11625" s="15" t="s">
        <v>32689</v>
      </c>
      <c r="C11625" s="18" t="s">
        <v>28</v>
      </c>
      <c r="D11625" s="15" t="s">
        <v>32690</v>
      </c>
      <c r="E11625" s="18" t="s">
        <v>28</v>
      </c>
      <c r="F11625" s="19" t="s">
        <v>28</v>
      </c>
      <c r="G11625" s="19" t="s">
        <v>28</v>
      </c>
      <c r="H11625" s="19" t="s">
        <v>28</v>
      </c>
      <c r="I11625" s="18" t="s">
        <v>28</v>
      </c>
      <c r="J11625" s="18" t="s">
        <v>28</v>
      </c>
      <c r="K11625" s="18" t="s">
        <v>28</v>
      </c>
      <c r="L11625" s="18" t="s">
        <v>28</v>
      </c>
      <c r="M11625" s="18" t="s">
        <v>28</v>
      </c>
      <c r="N11625" s="17">
        <v>40913</v>
      </c>
      <c r="O11625" s="15" t="s">
        <v>30</v>
      </c>
      <c r="P11625" s="16" t="s">
        <v>32691</v>
      </c>
      <c r="Q11625" s="15" t="s">
        <v>1007</v>
      </c>
      <c r="R11625" s="13" t="str">
        <f>HYPERLINK("https://my.pitchbook.com?c=90042-94T","View Company Online")</f>
        <v>View Company Online</v>
      </c>
    </row>
    <row r="11626" spans="1:18" hidden="1" x14ac:dyDescent="0.3">
      <c r="A11626" s="9" t="s">
        <v>32692</v>
      </c>
      <c r="B11626" s="9" t="s">
        <v>32693</v>
      </c>
      <c r="C11626" s="11" t="s">
        <v>28</v>
      </c>
      <c r="D11626" s="9" t="s">
        <v>32694</v>
      </c>
      <c r="E11626" s="11" t="s">
        <v>28</v>
      </c>
      <c r="F11626" s="10">
        <v>55</v>
      </c>
      <c r="G11626" s="10">
        <v>55</v>
      </c>
      <c r="H11626" s="10">
        <v>55</v>
      </c>
      <c r="I11626" s="11" t="s">
        <v>28</v>
      </c>
      <c r="J11626" s="11" t="s">
        <v>28</v>
      </c>
      <c r="K11626" s="11" t="s">
        <v>28</v>
      </c>
      <c r="L11626" s="11" t="s">
        <v>28</v>
      </c>
      <c r="M11626" s="11" t="s">
        <v>28</v>
      </c>
      <c r="N11626" s="8">
        <v>40909</v>
      </c>
      <c r="O11626" s="9" t="s">
        <v>30</v>
      </c>
      <c r="P11626" s="12" t="s">
        <v>25594</v>
      </c>
      <c r="Q11626" s="9" t="s">
        <v>692</v>
      </c>
      <c r="R11626" s="14" t="str">
        <f>HYPERLINK("https://my.pitchbook.com?c=89782-03T","View Company Online")</f>
        <v>View Company Online</v>
      </c>
    </row>
    <row r="11627" spans="1:18" hidden="1" x14ac:dyDescent="0.3">
      <c r="A11627" s="15" t="s">
        <v>32695</v>
      </c>
      <c r="B11627" s="15" t="s">
        <v>32696</v>
      </c>
      <c r="C11627" s="18" t="s">
        <v>28</v>
      </c>
      <c r="D11627" s="15" t="s">
        <v>32697</v>
      </c>
      <c r="E11627" s="18" t="s">
        <v>28</v>
      </c>
      <c r="F11627" s="19" t="s">
        <v>28</v>
      </c>
      <c r="G11627" s="19" t="s">
        <v>28</v>
      </c>
      <c r="H11627" s="19" t="s">
        <v>28</v>
      </c>
      <c r="I11627" s="18" t="s">
        <v>28</v>
      </c>
      <c r="J11627" s="18" t="s">
        <v>28</v>
      </c>
      <c r="K11627" s="18" t="s">
        <v>28</v>
      </c>
      <c r="L11627" s="18" t="s">
        <v>28</v>
      </c>
      <c r="M11627" s="18" t="s">
        <v>28</v>
      </c>
      <c r="N11627" s="17">
        <v>40909</v>
      </c>
      <c r="O11627" s="15" t="s">
        <v>58</v>
      </c>
      <c r="P11627" s="16" t="s">
        <v>32698</v>
      </c>
      <c r="Q11627" s="15" t="s">
        <v>299</v>
      </c>
      <c r="R11627" s="13" t="str">
        <f>HYPERLINK("https://my.pitchbook.com?c=73506-07T","View Company Online")</f>
        <v>View Company Online</v>
      </c>
    </row>
    <row r="11628" spans="1:18" hidden="1" x14ac:dyDescent="0.3">
      <c r="A11628" s="9" t="s">
        <v>32699</v>
      </c>
      <c r="B11628" s="9" t="s">
        <v>12583</v>
      </c>
      <c r="C11628" s="11" t="s">
        <v>28</v>
      </c>
      <c r="D11628" s="9" t="s">
        <v>12584</v>
      </c>
      <c r="E11628" s="11" t="s">
        <v>28</v>
      </c>
      <c r="F11628" s="10" t="s">
        <v>28</v>
      </c>
      <c r="G11628" s="10">
        <v>4.57</v>
      </c>
      <c r="H11628" s="10" t="s">
        <v>28</v>
      </c>
      <c r="I11628" s="11" t="s">
        <v>28</v>
      </c>
      <c r="J11628" s="11" t="s">
        <v>28</v>
      </c>
      <c r="K11628" s="11" t="s">
        <v>28</v>
      </c>
      <c r="L11628" s="11" t="s">
        <v>28</v>
      </c>
      <c r="M11628" s="11" t="s">
        <v>28</v>
      </c>
      <c r="N11628" s="8">
        <v>40909</v>
      </c>
      <c r="O11628" s="9" t="s">
        <v>79</v>
      </c>
      <c r="P11628" s="12" t="s">
        <v>18830</v>
      </c>
      <c r="Q11628" s="9" t="s">
        <v>75</v>
      </c>
      <c r="R11628" s="14" t="str">
        <f>HYPERLINK("https://my.pitchbook.com?c=166314-25T","View Company Online")</f>
        <v>View Company Online</v>
      </c>
    </row>
    <row r="11629" spans="1:18" hidden="1" x14ac:dyDescent="0.3">
      <c r="A11629" s="15" t="s">
        <v>32700</v>
      </c>
      <c r="B11629" s="15" t="s">
        <v>18532</v>
      </c>
      <c r="C11629" s="18" t="s">
        <v>28</v>
      </c>
      <c r="D11629" s="15" t="s">
        <v>18533</v>
      </c>
      <c r="E11629" s="18" t="s">
        <v>28</v>
      </c>
      <c r="F11629" s="19" t="s">
        <v>28</v>
      </c>
      <c r="G11629" s="19">
        <v>1.21</v>
      </c>
      <c r="H11629" s="19">
        <v>3.89</v>
      </c>
      <c r="I11629" s="18" t="s">
        <v>28</v>
      </c>
      <c r="J11629" s="18" t="s">
        <v>28</v>
      </c>
      <c r="K11629" s="18" t="s">
        <v>28</v>
      </c>
      <c r="L11629" s="18" t="s">
        <v>28</v>
      </c>
      <c r="M11629" s="18" t="s">
        <v>28</v>
      </c>
      <c r="N11629" s="17">
        <v>40909</v>
      </c>
      <c r="O11629" s="15" t="s">
        <v>99</v>
      </c>
      <c r="P11629" s="16" t="s">
        <v>28</v>
      </c>
      <c r="Q11629" s="15" t="s">
        <v>1336</v>
      </c>
      <c r="R11629" s="13" t="str">
        <f>HYPERLINK("https://my.pitchbook.com?c=66915-73T","View Company Online")</f>
        <v>View Company Online</v>
      </c>
    </row>
    <row r="11630" spans="1:18" hidden="1" x14ac:dyDescent="0.3">
      <c r="A11630" s="9" t="s">
        <v>32701</v>
      </c>
      <c r="B11630" s="9" t="s">
        <v>32702</v>
      </c>
      <c r="C11630" s="11" t="s">
        <v>28</v>
      </c>
      <c r="D11630" s="9" t="s">
        <v>32703</v>
      </c>
      <c r="E11630" s="11" t="s">
        <v>28</v>
      </c>
      <c r="F11630" s="10" t="s">
        <v>28</v>
      </c>
      <c r="G11630" s="10" t="s">
        <v>28</v>
      </c>
      <c r="H11630" s="10" t="s">
        <v>28</v>
      </c>
      <c r="I11630" s="11" t="s">
        <v>28</v>
      </c>
      <c r="J11630" s="11" t="s">
        <v>28</v>
      </c>
      <c r="K11630" s="11" t="s">
        <v>28</v>
      </c>
      <c r="L11630" s="11" t="s">
        <v>28</v>
      </c>
      <c r="M11630" s="11" t="s">
        <v>28</v>
      </c>
      <c r="N11630" s="8">
        <v>40909</v>
      </c>
      <c r="O11630" s="9" t="s">
        <v>41</v>
      </c>
      <c r="P11630" s="12" t="s">
        <v>168</v>
      </c>
      <c r="Q11630" s="9" t="s">
        <v>1213</v>
      </c>
      <c r="R11630" s="14" t="str">
        <f>HYPERLINK("https://my.pitchbook.com?c=267148-72T","View Company Online")</f>
        <v>View Company Online</v>
      </c>
    </row>
    <row r="11631" spans="1:18" hidden="1" x14ac:dyDescent="0.3">
      <c r="A11631" s="15" t="s">
        <v>32704</v>
      </c>
      <c r="B11631" s="15" t="s">
        <v>29302</v>
      </c>
      <c r="C11631" s="18" t="s">
        <v>28</v>
      </c>
      <c r="D11631" s="15" t="s">
        <v>29325</v>
      </c>
      <c r="E11631" s="18" t="s">
        <v>28</v>
      </c>
      <c r="F11631" s="19" t="s">
        <v>28</v>
      </c>
      <c r="G11631" s="19">
        <v>12.83</v>
      </c>
      <c r="H11631" s="19" t="s">
        <v>28</v>
      </c>
      <c r="I11631" s="18" t="s">
        <v>28</v>
      </c>
      <c r="J11631" s="18" t="s">
        <v>28</v>
      </c>
      <c r="K11631" s="18" t="s">
        <v>28</v>
      </c>
      <c r="L11631" s="18" t="s">
        <v>28</v>
      </c>
      <c r="M11631" s="18" t="s">
        <v>28</v>
      </c>
      <c r="N11631" s="17">
        <v>40909</v>
      </c>
      <c r="O11631" s="15" t="s">
        <v>73</v>
      </c>
      <c r="P11631" s="16" t="s">
        <v>32705</v>
      </c>
      <c r="Q11631" s="15" t="s">
        <v>740</v>
      </c>
      <c r="R11631" s="13" t="str">
        <f>HYPERLINK("https://my.pitchbook.com?c=25473-70T","View Company Online")</f>
        <v>View Company Online</v>
      </c>
    </row>
    <row r="11632" spans="1:18" hidden="1" x14ac:dyDescent="0.3">
      <c r="A11632" s="9" t="s">
        <v>32706</v>
      </c>
      <c r="B11632" s="9" t="s">
        <v>8418</v>
      </c>
      <c r="C11632" s="11" t="s">
        <v>28</v>
      </c>
      <c r="D11632" s="9" t="s">
        <v>8419</v>
      </c>
      <c r="E11632" s="11" t="s">
        <v>28</v>
      </c>
      <c r="F11632" s="10" t="s">
        <v>28</v>
      </c>
      <c r="G11632" s="10" t="s">
        <v>28</v>
      </c>
      <c r="H11632" s="10" t="s">
        <v>28</v>
      </c>
      <c r="I11632" s="11" t="s">
        <v>28</v>
      </c>
      <c r="J11632" s="11" t="s">
        <v>28</v>
      </c>
      <c r="K11632" s="11" t="s">
        <v>28</v>
      </c>
      <c r="L11632" s="11" t="s">
        <v>28</v>
      </c>
      <c r="M11632" s="11" t="s">
        <v>28</v>
      </c>
      <c r="N11632" s="8">
        <v>40909</v>
      </c>
      <c r="O11632" s="9" t="s">
        <v>73</v>
      </c>
      <c r="P11632" s="12" t="s">
        <v>32707</v>
      </c>
      <c r="Q11632" s="9" t="s">
        <v>419</v>
      </c>
      <c r="R11632" s="14" t="str">
        <f>HYPERLINK("https://my.pitchbook.com?c=45779-86T","View Company Online")</f>
        <v>View Company Online</v>
      </c>
    </row>
    <row r="11633" spans="1:18" hidden="1" x14ac:dyDescent="0.3">
      <c r="A11633" s="15" t="s">
        <v>32708</v>
      </c>
      <c r="B11633" s="15" t="s">
        <v>32709</v>
      </c>
      <c r="C11633" s="18" t="s">
        <v>28</v>
      </c>
      <c r="D11633" s="15" t="s">
        <v>32710</v>
      </c>
      <c r="E11633" s="18" t="s">
        <v>28</v>
      </c>
      <c r="F11633" s="19" t="s">
        <v>28</v>
      </c>
      <c r="G11633" s="19" t="s">
        <v>28</v>
      </c>
      <c r="H11633" s="19" t="s">
        <v>28</v>
      </c>
      <c r="I11633" s="18" t="s">
        <v>28</v>
      </c>
      <c r="J11633" s="18" t="s">
        <v>28</v>
      </c>
      <c r="K11633" s="18" t="s">
        <v>28</v>
      </c>
      <c r="L11633" s="18" t="s">
        <v>28</v>
      </c>
      <c r="M11633" s="18" t="s">
        <v>28</v>
      </c>
      <c r="N11633" s="17">
        <v>40909</v>
      </c>
      <c r="O11633" s="15" t="s">
        <v>30</v>
      </c>
      <c r="P11633" s="16" t="s">
        <v>28</v>
      </c>
      <c r="Q11633" s="15" t="s">
        <v>1336</v>
      </c>
      <c r="R11633" s="13" t="str">
        <f>HYPERLINK("https://my.pitchbook.com?c=127895-05T","View Company Online")</f>
        <v>View Company Online</v>
      </c>
    </row>
    <row r="11634" spans="1:18" hidden="1" x14ac:dyDescent="0.3">
      <c r="A11634" s="9" t="s">
        <v>32711</v>
      </c>
      <c r="B11634" s="9" t="s">
        <v>31295</v>
      </c>
      <c r="C11634" s="11" t="s">
        <v>28</v>
      </c>
      <c r="D11634" s="9" t="s">
        <v>31296</v>
      </c>
      <c r="E11634" s="11" t="s">
        <v>28</v>
      </c>
      <c r="F11634" s="10" t="s">
        <v>28</v>
      </c>
      <c r="G11634" s="10" t="s">
        <v>28</v>
      </c>
      <c r="H11634" s="10" t="s">
        <v>28</v>
      </c>
      <c r="I11634" s="11" t="s">
        <v>28</v>
      </c>
      <c r="J11634" s="11" t="s">
        <v>28</v>
      </c>
      <c r="K11634" s="11" t="s">
        <v>28</v>
      </c>
      <c r="L11634" s="11" t="s">
        <v>28</v>
      </c>
      <c r="M11634" s="11" t="s">
        <v>28</v>
      </c>
      <c r="N11634" s="8">
        <v>40909</v>
      </c>
      <c r="O11634" s="9" t="s">
        <v>52</v>
      </c>
      <c r="P11634" s="12" t="s">
        <v>29510</v>
      </c>
      <c r="Q11634" s="9" t="s">
        <v>855</v>
      </c>
      <c r="R11634" s="14" t="str">
        <f>HYPERLINK("https://my.pitchbook.com?c=52219-00T","View Company Online")</f>
        <v>View Company Online</v>
      </c>
    </row>
    <row r="11635" spans="1:18" hidden="1" x14ac:dyDescent="0.3">
      <c r="A11635" s="15" t="s">
        <v>32712</v>
      </c>
      <c r="B11635" s="15" t="s">
        <v>31295</v>
      </c>
      <c r="C11635" s="18" t="s">
        <v>28</v>
      </c>
      <c r="D11635" s="15" t="s">
        <v>31296</v>
      </c>
      <c r="E11635" s="18" t="s">
        <v>28</v>
      </c>
      <c r="F11635" s="19" t="s">
        <v>28</v>
      </c>
      <c r="G11635" s="19" t="s">
        <v>28</v>
      </c>
      <c r="H11635" s="19" t="s">
        <v>28</v>
      </c>
      <c r="I11635" s="18" t="s">
        <v>28</v>
      </c>
      <c r="J11635" s="18" t="s">
        <v>28</v>
      </c>
      <c r="K11635" s="18" t="s">
        <v>28</v>
      </c>
      <c r="L11635" s="18" t="s">
        <v>28</v>
      </c>
      <c r="M11635" s="18" t="s">
        <v>28</v>
      </c>
      <c r="N11635" s="17">
        <v>40909</v>
      </c>
      <c r="O11635" s="15" t="s">
        <v>47</v>
      </c>
      <c r="P11635" s="16" t="s">
        <v>28437</v>
      </c>
      <c r="Q11635" s="15" t="s">
        <v>855</v>
      </c>
      <c r="R11635" s="13" t="str">
        <f>HYPERLINK("https://my.pitchbook.com?c=52224-76T","View Company Online")</f>
        <v>View Company Online</v>
      </c>
    </row>
    <row r="11636" spans="1:18" hidden="1" x14ac:dyDescent="0.3">
      <c r="A11636" s="9" t="s">
        <v>32713</v>
      </c>
      <c r="B11636" s="9" t="s">
        <v>32714</v>
      </c>
      <c r="C11636" s="11" t="s">
        <v>28</v>
      </c>
      <c r="D11636" s="9" t="s">
        <v>32715</v>
      </c>
      <c r="E11636" s="11" t="s">
        <v>28</v>
      </c>
      <c r="F11636" s="10" t="s">
        <v>28</v>
      </c>
      <c r="G11636" s="10" t="s">
        <v>28</v>
      </c>
      <c r="H11636" s="10" t="s">
        <v>28</v>
      </c>
      <c r="I11636" s="11" t="s">
        <v>28</v>
      </c>
      <c r="J11636" s="11" t="s">
        <v>28</v>
      </c>
      <c r="K11636" s="11" t="s">
        <v>28</v>
      </c>
      <c r="L11636" s="11" t="s">
        <v>28</v>
      </c>
      <c r="M11636" s="11" t="s">
        <v>28</v>
      </c>
      <c r="N11636" s="8">
        <v>40909</v>
      </c>
      <c r="O11636" s="9" t="s">
        <v>30</v>
      </c>
      <c r="P11636" s="12" t="s">
        <v>20977</v>
      </c>
      <c r="Q11636" s="9" t="s">
        <v>740</v>
      </c>
      <c r="R11636" s="14" t="str">
        <f>HYPERLINK("https://my.pitchbook.com?c=26025-85T","View Company Online")</f>
        <v>View Company Online</v>
      </c>
    </row>
    <row r="11637" spans="1:18" hidden="1" x14ac:dyDescent="0.3">
      <c r="A11637" s="15" t="s">
        <v>32716</v>
      </c>
      <c r="B11637" s="15" t="s">
        <v>24063</v>
      </c>
      <c r="C11637" s="18" t="s">
        <v>28</v>
      </c>
      <c r="D11637" s="15" t="s">
        <v>24064</v>
      </c>
      <c r="E11637" s="18" t="s">
        <v>28</v>
      </c>
      <c r="F11637" s="19" t="s">
        <v>28</v>
      </c>
      <c r="G11637" s="19" t="s">
        <v>28</v>
      </c>
      <c r="H11637" s="19" t="s">
        <v>28</v>
      </c>
      <c r="I11637" s="18" t="s">
        <v>28</v>
      </c>
      <c r="J11637" s="18" t="s">
        <v>28</v>
      </c>
      <c r="K11637" s="18" t="s">
        <v>28</v>
      </c>
      <c r="L11637" s="18" t="s">
        <v>28</v>
      </c>
      <c r="M11637" s="18" t="s">
        <v>28</v>
      </c>
      <c r="N11637" s="17">
        <v>40909</v>
      </c>
      <c r="O11637" s="15" t="s">
        <v>73</v>
      </c>
      <c r="P11637" s="16" t="s">
        <v>32717</v>
      </c>
      <c r="Q11637" s="15" t="s">
        <v>307</v>
      </c>
      <c r="R11637" s="13" t="str">
        <f>HYPERLINK("https://my.pitchbook.com?c=190855-54T","View Company Online")</f>
        <v>View Company Online</v>
      </c>
    </row>
    <row r="11638" spans="1:18" hidden="1" x14ac:dyDescent="0.3">
      <c r="A11638" s="9" t="s">
        <v>32718</v>
      </c>
      <c r="B11638" s="9" t="s">
        <v>28456</v>
      </c>
      <c r="C11638" s="11" t="s">
        <v>28</v>
      </c>
      <c r="D11638" s="9" t="s">
        <v>28457</v>
      </c>
      <c r="E11638" s="11" t="s">
        <v>28</v>
      </c>
      <c r="F11638" s="10">
        <v>179.91</v>
      </c>
      <c r="G11638" s="10">
        <v>120</v>
      </c>
      <c r="H11638" s="10">
        <v>179.91</v>
      </c>
      <c r="I11638" s="11" t="s">
        <v>28</v>
      </c>
      <c r="J11638" s="11" t="s">
        <v>28</v>
      </c>
      <c r="K11638" s="11" t="s">
        <v>28</v>
      </c>
      <c r="L11638" s="11" t="s">
        <v>28</v>
      </c>
      <c r="M11638" s="11" t="s">
        <v>28</v>
      </c>
      <c r="N11638" s="8">
        <v>40909</v>
      </c>
      <c r="O11638" s="9" t="s">
        <v>30</v>
      </c>
      <c r="P11638" s="12" t="s">
        <v>32719</v>
      </c>
      <c r="Q11638" s="9" t="s">
        <v>280</v>
      </c>
      <c r="R11638" s="14" t="str">
        <f>HYPERLINK("https://my.pitchbook.com?c=242663-05T","View Company Online")</f>
        <v>View Company Online</v>
      </c>
    </row>
    <row r="11639" spans="1:18" hidden="1" x14ac:dyDescent="0.3">
      <c r="A11639" s="15" t="s">
        <v>32720</v>
      </c>
      <c r="B11639" s="15" t="s">
        <v>32721</v>
      </c>
      <c r="C11639" s="18" t="s">
        <v>28</v>
      </c>
      <c r="D11639" s="15" t="s">
        <v>32722</v>
      </c>
      <c r="E11639" s="18" t="s">
        <v>28</v>
      </c>
      <c r="F11639" s="19" t="s">
        <v>28</v>
      </c>
      <c r="G11639" s="19" t="s">
        <v>28</v>
      </c>
      <c r="H11639" s="19" t="s">
        <v>28</v>
      </c>
      <c r="I11639" s="18" t="s">
        <v>28</v>
      </c>
      <c r="J11639" s="18" t="s">
        <v>28</v>
      </c>
      <c r="K11639" s="18" t="s">
        <v>28</v>
      </c>
      <c r="L11639" s="18" t="s">
        <v>28</v>
      </c>
      <c r="M11639" s="18" t="s">
        <v>28</v>
      </c>
      <c r="N11639" s="17">
        <v>40909</v>
      </c>
      <c r="O11639" s="15" t="s">
        <v>30</v>
      </c>
      <c r="P11639" s="16" t="s">
        <v>20851</v>
      </c>
      <c r="Q11639" s="15" t="s">
        <v>64</v>
      </c>
      <c r="R11639" s="13" t="str">
        <f>HYPERLINK("https://my.pitchbook.com?c=211863-52T","View Company Online")</f>
        <v>View Company Online</v>
      </c>
    </row>
    <row r="11640" spans="1:18" hidden="1" x14ac:dyDescent="0.3">
      <c r="A11640" s="9" t="s">
        <v>32723</v>
      </c>
      <c r="B11640" s="9" t="s">
        <v>18758</v>
      </c>
      <c r="C11640" s="11" t="s">
        <v>28</v>
      </c>
      <c r="D11640" s="9" t="s">
        <v>18759</v>
      </c>
      <c r="E11640" s="11" t="s">
        <v>28</v>
      </c>
      <c r="F11640" s="10" t="s">
        <v>28</v>
      </c>
      <c r="G11640" s="10" t="s">
        <v>28</v>
      </c>
      <c r="H11640" s="10" t="s">
        <v>28</v>
      </c>
      <c r="I11640" s="11" t="s">
        <v>28</v>
      </c>
      <c r="J11640" s="11" t="s">
        <v>28</v>
      </c>
      <c r="K11640" s="11" t="s">
        <v>28</v>
      </c>
      <c r="L11640" s="11" t="s">
        <v>28</v>
      </c>
      <c r="M11640" s="11" t="s">
        <v>28</v>
      </c>
      <c r="N11640" s="8">
        <v>40909</v>
      </c>
      <c r="O11640" s="9" t="s">
        <v>30</v>
      </c>
      <c r="P11640" s="12" t="s">
        <v>11193</v>
      </c>
      <c r="Q11640" s="9" t="s">
        <v>37</v>
      </c>
      <c r="R11640" s="14" t="str">
        <f>HYPERLINK("https://my.pitchbook.com?c=294983-20T","View Company Online")</f>
        <v>View Company Online</v>
      </c>
    </row>
    <row r="11641" spans="1:18" hidden="1" x14ac:dyDescent="0.3">
      <c r="A11641" s="15" t="s">
        <v>32724</v>
      </c>
      <c r="B11641" s="15" t="s">
        <v>32725</v>
      </c>
      <c r="C11641" s="18" t="s">
        <v>28</v>
      </c>
      <c r="D11641" s="15" t="s">
        <v>32726</v>
      </c>
      <c r="E11641" s="18" t="s">
        <v>28</v>
      </c>
      <c r="F11641" s="19" t="s">
        <v>28</v>
      </c>
      <c r="G11641" s="19" t="s">
        <v>28</v>
      </c>
      <c r="H11641" s="19" t="s">
        <v>28</v>
      </c>
      <c r="I11641" s="18" t="s">
        <v>28</v>
      </c>
      <c r="J11641" s="18" t="s">
        <v>28</v>
      </c>
      <c r="K11641" s="18" t="s">
        <v>28</v>
      </c>
      <c r="L11641" s="18" t="s">
        <v>28</v>
      </c>
      <c r="M11641" s="18" t="s">
        <v>28</v>
      </c>
      <c r="N11641" s="17">
        <v>40909</v>
      </c>
      <c r="O11641" s="15" t="s">
        <v>30</v>
      </c>
      <c r="P11641" s="16" t="s">
        <v>28</v>
      </c>
      <c r="Q11641" s="15" t="s">
        <v>136</v>
      </c>
      <c r="R11641" s="13" t="str">
        <f>HYPERLINK("https://my.pitchbook.com?c=104294-80T","View Company Online")</f>
        <v>View Company Online</v>
      </c>
    </row>
    <row r="11642" spans="1:18" hidden="1" x14ac:dyDescent="0.3">
      <c r="A11642" s="9" t="s">
        <v>32727</v>
      </c>
      <c r="B11642" s="9" t="s">
        <v>32728</v>
      </c>
      <c r="C11642" s="11" t="s">
        <v>28</v>
      </c>
      <c r="D11642" s="9" t="s">
        <v>32729</v>
      </c>
      <c r="E11642" s="11" t="s">
        <v>28</v>
      </c>
      <c r="F11642" s="10" t="s">
        <v>28</v>
      </c>
      <c r="G11642" s="10">
        <v>0.39</v>
      </c>
      <c r="H11642" s="10" t="s">
        <v>28</v>
      </c>
      <c r="I11642" s="11" t="s">
        <v>28</v>
      </c>
      <c r="J11642" s="11" t="s">
        <v>28</v>
      </c>
      <c r="K11642" s="11" t="s">
        <v>28</v>
      </c>
      <c r="L11642" s="11" t="s">
        <v>28</v>
      </c>
      <c r="M11642" s="11" t="s">
        <v>28</v>
      </c>
      <c r="N11642" s="8">
        <v>40909</v>
      </c>
      <c r="O11642" s="9" t="s">
        <v>73</v>
      </c>
      <c r="P11642" s="12" t="s">
        <v>32730</v>
      </c>
      <c r="Q11642" s="9" t="s">
        <v>75</v>
      </c>
      <c r="R11642" s="14" t="str">
        <f>HYPERLINK("https://my.pitchbook.com?c=58848-94T","View Company Online")</f>
        <v>View Company Online</v>
      </c>
    </row>
    <row r="11643" spans="1:18" hidden="1" x14ac:dyDescent="0.3">
      <c r="A11643" s="15" t="s">
        <v>32731</v>
      </c>
      <c r="B11643" s="15" t="s">
        <v>7016</v>
      </c>
      <c r="C11643" s="18" t="s">
        <v>28</v>
      </c>
      <c r="D11643" s="15" t="s">
        <v>7017</v>
      </c>
      <c r="E11643" s="18" t="s">
        <v>28</v>
      </c>
      <c r="F11643" s="19" t="s">
        <v>28</v>
      </c>
      <c r="G11643" s="19">
        <v>0.05</v>
      </c>
      <c r="H11643" s="19" t="s">
        <v>28</v>
      </c>
      <c r="I11643" s="18" t="s">
        <v>28</v>
      </c>
      <c r="J11643" s="18" t="s">
        <v>28</v>
      </c>
      <c r="K11643" s="18" t="s">
        <v>28</v>
      </c>
      <c r="L11643" s="18" t="s">
        <v>28</v>
      </c>
      <c r="M11643" s="18" t="s">
        <v>28</v>
      </c>
      <c r="N11643" s="17">
        <v>40909</v>
      </c>
      <c r="O11643" s="15" t="s">
        <v>9098</v>
      </c>
      <c r="P11643" s="16" t="s">
        <v>28</v>
      </c>
      <c r="Q11643" s="15" t="s">
        <v>37</v>
      </c>
      <c r="R11643" s="13" t="str">
        <f>HYPERLINK("https://my.pitchbook.com?c=125628-58T","View Company Online")</f>
        <v>View Company Online</v>
      </c>
    </row>
    <row r="11644" spans="1:18" hidden="1" x14ac:dyDescent="0.3">
      <c r="A11644" s="9" t="s">
        <v>32732</v>
      </c>
      <c r="B11644" s="9" t="s">
        <v>32733</v>
      </c>
      <c r="C11644" s="11" t="s">
        <v>28</v>
      </c>
      <c r="D11644" s="9" t="s">
        <v>32734</v>
      </c>
      <c r="E11644" s="11" t="s">
        <v>28</v>
      </c>
      <c r="F11644" s="10" t="s">
        <v>28</v>
      </c>
      <c r="G11644" s="10" t="s">
        <v>28</v>
      </c>
      <c r="H11644" s="10" t="s">
        <v>28</v>
      </c>
      <c r="I11644" s="11" t="s">
        <v>28</v>
      </c>
      <c r="J11644" s="11" t="s">
        <v>28</v>
      </c>
      <c r="K11644" s="11">
        <v>79.12</v>
      </c>
      <c r="L11644" s="11" t="s">
        <v>28</v>
      </c>
      <c r="M11644" s="11" t="s">
        <v>28</v>
      </c>
      <c r="N11644" s="8">
        <v>40909</v>
      </c>
      <c r="O11644" s="9" t="s">
        <v>30</v>
      </c>
      <c r="P11644" s="12" t="s">
        <v>32735</v>
      </c>
      <c r="Q11644" s="9" t="s">
        <v>900</v>
      </c>
      <c r="R11644" s="14" t="str">
        <f>HYPERLINK("https://my.pitchbook.com?c=63626-05T","View Company Online")</f>
        <v>View Company Online</v>
      </c>
    </row>
    <row r="11645" spans="1:18" hidden="1" x14ac:dyDescent="0.3">
      <c r="A11645" s="15" t="s">
        <v>32736</v>
      </c>
      <c r="B11645" s="15" t="s">
        <v>32737</v>
      </c>
      <c r="C11645" s="18" t="s">
        <v>28</v>
      </c>
      <c r="D11645" s="15" t="s">
        <v>32738</v>
      </c>
      <c r="E11645" s="18" t="s">
        <v>28</v>
      </c>
      <c r="F11645" s="19" t="s">
        <v>28</v>
      </c>
      <c r="G11645" s="19" t="s">
        <v>28</v>
      </c>
      <c r="H11645" s="19" t="s">
        <v>28</v>
      </c>
      <c r="I11645" s="18" t="s">
        <v>28</v>
      </c>
      <c r="J11645" s="18" t="s">
        <v>28</v>
      </c>
      <c r="K11645" s="18" t="s">
        <v>28</v>
      </c>
      <c r="L11645" s="18" t="s">
        <v>28</v>
      </c>
      <c r="M11645" s="18" t="s">
        <v>28</v>
      </c>
      <c r="N11645" s="17">
        <v>40909</v>
      </c>
      <c r="O11645" s="15" t="s">
        <v>30</v>
      </c>
      <c r="P11645" s="16" t="s">
        <v>32739</v>
      </c>
      <c r="Q11645" s="15" t="s">
        <v>900</v>
      </c>
      <c r="R11645" s="13" t="str">
        <f>HYPERLINK("https://my.pitchbook.com?c=89617-51T","View Company Online")</f>
        <v>View Company Online</v>
      </c>
    </row>
    <row r="11646" spans="1:18" hidden="1" x14ac:dyDescent="0.3">
      <c r="A11646" s="9" t="s">
        <v>32740</v>
      </c>
      <c r="B11646" s="9" t="s">
        <v>9021</v>
      </c>
      <c r="C11646" s="11" t="s">
        <v>28</v>
      </c>
      <c r="D11646" s="9" t="s">
        <v>9022</v>
      </c>
      <c r="E11646" s="11" t="s">
        <v>28</v>
      </c>
      <c r="F11646" s="10" t="s">
        <v>28</v>
      </c>
      <c r="G11646" s="10">
        <v>2</v>
      </c>
      <c r="H11646" s="10" t="s">
        <v>28</v>
      </c>
      <c r="I11646" s="11" t="s">
        <v>28</v>
      </c>
      <c r="J11646" s="11" t="s">
        <v>28</v>
      </c>
      <c r="K11646" s="11" t="s">
        <v>28</v>
      </c>
      <c r="L11646" s="11" t="s">
        <v>28</v>
      </c>
      <c r="M11646" s="11" t="s">
        <v>28</v>
      </c>
      <c r="N11646" s="8">
        <v>40909</v>
      </c>
      <c r="O11646" s="9" t="s">
        <v>9098</v>
      </c>
      <c r="P11646" s="12" t="s">
        <v>28</v>
      </c>
      <c r="Q11646" s="9" t="s">
        <v>362</v>
      </c>
      <c r="R11646" s="14" t="str">
        <f>HYPERLINK("https://my.pitchbook.com?c=128904-67T","View Company Online")</f>
        <v>View Company Online</v>
      </c>
    </row>
    <row r="11647" spans="1:18" hidden="1" x14ac:dyDescent="0.3">
      <c r="A11647" s="15" t="s">
        <v>32741</v>
      </c>
      <c r="B11647" s="15" t="s">
        <v>27936</v>
      </c>
      <c r="C11647" s="18" t="s">
        <v>28</v>
      </c>
      <c r="D11647" s="15" t="s">
        <v>27937</v>
      </c>
      <c r="E11647" s="18" t="s">
        <v>28</v>
      </c>
      <c r="F11647" s="19" t="s">
        <v>28</v>
      </c>
      <c r="G11647" s="19" t="s">
        <v>28</v>
      </c>
      <c r="H11647" s="19" t="s">
        <v>28</v>
      </c>
      <c r="I11647" s="18" t="s">
        <v>28</v>
      </c>
      <c r="J11647" s="18" t="s">
        <v>28</v>
      </c>
      <c r="K11647" s="18" t="s">
        <v>28</v>
      </c>
      <c r="L11647" s="18" t="s">
        <v>28</v>
      </c>
      <c r="M11647" s="18" t="s">
        <v>28</v>
      </c>
      <c r="N11647" s="17">
        <v>40909</v>
      </c>
      <c r="O11647" s="15" t="s">
        <v>73</v>
      </c>
      <c r="P11647" s="16" t="s">
        <v>1140</v>
      </c>
      <c r="Q11647" s="15" t="s">
        <v>235</v>
      </c>
      <c r="R11647" s="13" t="str">
        <f>HYPERLINK("https://my.pitchbook.com?c=197393-95T","View Company Online")</f>
        <v>View Company Online</v>
      </c>
    </row>
    <row r="11648" spans="1:18" hidden="1" x14ac:dyDescent="0.3">
      <c r="A11648" s="9" t="s">
        <v>32742</v>
      </c>
      <c r="B11648" s="9" t="s">
        <v>31940</v>
      </c>
      <c r="C11648" s="11" t="s">
        <v>28</v>
      </c>
      <c r="D11648" s="9" t="s">
        <v>31941</v>
      </c>
      <c r="E11648" s="11" t="s">
        <v>28</v>
      </c>
      <c r="F11648" s="10" t="s">
        <v>28</v>
      </c>
      <c r="G11648" s="10" t="s">
        <v>28</v>
      </c>
      <c r="H11648" s="10" t="s">
        <v>28</v>
      </c>
      <c r="I11648" s="11" t="s">
        <v>28</v>
      </c>
      <c r="J11648" s="11" t="s">
        <v>28</v>
      </c>
      <c r="K11648" s="11" t="s">
        <v>28</v>
      </c>
      <c r="L11648" s="11" t="s">
        <v>28</v>
      </c>
      <c r="M11648" s="11" t="s">
        <v>28</v>
      </c>
      <c r="N11648" s="8">
        <v>40909</v>
      </c>
      <c r="O11648" s="9" t="s">
        <v>99</v>
      </c>
      <c r="P11648" s="12" t="s">
        <v>32743</v>
      </c>
      <c r="Q11648" s="9" t="s">
        <v>3912</v>
      </c>
      <c r="R11648" s="14" t="str">
        <f>HYPERLINK("https://my.pitchbook.com?c=22107-34T","View Company Online")</f>
        <v>View Company Online</v>
      </c>
    </row>
    <row r="11649" spans="1:18" hidden="1" x14ac:dyDescent="0.3">
      <c r="A11649" s="15" t="s">
        <v>32744</v>
      </c>
      <c r="B11649" s="15" t="s">
        <v>876</v>
      </c>
      <c r="C11649" s="18" t="s">
        <v>28</v>
      </c>
      <c r="D11649" s="15" t="s">
        <v>1829</v>
      </c>
      <c r="E11649" s="18">
        <v>540.77</v>
      </c>
      <c r="F11649" s="19" t="s">
        <v>28</v>
      </c>
      <c r="G11649" s="19">
        <v>350</v>
      </c>
      <c r="H11649" s="19" t="s">
        <v>28</v>
      </c>
      <c r="I11649" s="18">
        <v>546.47</v>
      </c>
      <c r="J11649" s="18" t="s">
        <v>28</v>
      </c>
      <c r="K11649" s="18">
        <v>100.26</v>
      </c>
      <c r="L11649" s="18" t="s">
        <v>28</v>
      </c>
      <c r="M11649" s="18">
        <v>-243.42</v>
      </c>
      <c r="N11649" s="17">
        <v>40909</v>
      </c>
      <c r="O11649" s="15" t="s">
        <v>159</v>
      </c>
      <c r="P11649" s="16" t="s">
        <v>32745</v>
      </c>
      <c r="Q11649" s="15" t="s">
        <v>226</v>
      </c>
      <c r="R11649" s="13" t="str">
        <f>HYPERLINK("https://my.pitchbook.com?c=69562-54T","View Company Online")</f>
        <v>View Company Online</v>
      </c>
    </row>
    <row r="11650" spans="1:18" hidden="1" x14ac:dyDescent="0.3">
      <c r="A11650" s="9" t="s">
        <v>32746</v>
      </c>
      <c r="B11650" s="9" t="s">
        <v>32747</v>
      </c>
      <c r="C11650" s="11" t="s">
        <v>28</v>
      </c>
      <c r="D11650" s="9" t="s">
        <v>32748</v>
      </c>
      <c r="E11650" s="11" t="s">
        <v>28</v>
      </c>
      <c r="F11650" s="10" t="s">
        <v>28</v>
      </c>
      <c r="G11650" s="10" t="s">
        <v>28</v>
      </c>
      <c r="H11650" s="10" t="s">
        <v>28</v>
      </c>
      <c r="I11650" s="11" t="s">
        <v>28</v>
      </c>
      <c r="J11650" s="11" t="s">
        <v>28</v>
      </c>
      <c r="K11650" s="11">
        <v>57.56</v>
      </c>
      <c r="L11650" s="11" t="s">
        <v>28</v>
      </c>
      <c r="M11650" s="11" t="s">
        <v>28</v>
      </c>
      <c r="N11650" s="8">
        <v>40909</v>
      </c>
      <c r="O11650" s="9" t="s">
        <v>30</v>
      </c>
      <c r="P11650" s="12" t="s">
        <v>32735</v>
      </c>
      <c r="Q11650" s="9" t="s">
        <v>900</v>
      </c>
      <c r="R11650" s="14" t="str">
        <f>HYPERLINK("https://my.pitchbook.com?c=63626-86T","View Company Online")</f>
        <v>View Company Online</v>
      </c>
    </row>
    <row r="11651" spans="1:18" hidden="1" x14ac:dyDescent="0.3">
      <c r="A11651" s="15" t="s">
        <v>32749</v>
      </c>
      <c r="B11651" s="15" t="s">
        <v>20198</v>
      </c>
      <c r="C11651" s="18" t="s">
        <v>28</v>
      </c>
      <c r="D11651" s="15" t="s">
        <v>20199</v>
      </c>
      <c r="E11651" s="18" t="s">
        <v>28</v>
      </c>
      <c r="F11651" s="19" t="s">
        <v>28</v>
      </c>
      <c r="G11651" s="19" t="s">
        <v>28</v>
      </c>
      <c r="H11651" s="19" t="s">
        <v>28</v>
      </c>
      <c r="I11651" s="18" t="s">
        <v>28</v>
      </c>
      <c r="J11651" s="18" t="s">
        <v>28</v>
      </c>
      <c r="K11651" s="18" t="s">
        <v>28</v>
      </c>
      <c r="L11651" s="18" t="s">
        <v>28</v>
      </c>
      <c r="M11651" s="18" t="s">
        <v>28</v>
      </c>
      <c r="N11651" s="17">
        <v>40909</v>
      </c>
      <c r="O11651" s="15" t="s">
        <v>52</v>
      </c>
      <c r="P11651" s="16" t="s">
        <v>4500</v>
      </c>
      <c r="Q11651" s="15" t="s">
        <v>37</v>
      </c>
      <c r="R11651" s="13" t="str">
        <f>HYPERLINK("https://my.pitchbook.com?c=126521-74T","View Company Online")</f>
        <v>View Company Online</v>
      </c>
    </row>
    <row r="11652" spans="1:18" hidden="1" x14ac:dyDescent="0.3">
      <c r="A11652" s="9" t="s">
        <v>32750</v>
      </c>
      <c r="B11652" s="9" t="s">
        <v>25853</v>
      </c>
      <c r="C11652" s="11" t="s">
        <v>28</v>
      </c>
      <c r="D11652" s="9" t="s">
        <v>25854</v>
      </c>
      <c r="E11652" s="11" t="s">
        <v>28</v>
      </c>
      <c r="F11652" s="10" t="s">
        <v>28</v>
      </c>
      <c r="G11652" s="10" t="s">
        <v>28</v>
      </c>
      <c r="H11652" s="10" t="s">
        <v>28</v>
      </c>
      <c r="I11652" s="11" t="s">
        <v>28</v>
      </c>
      <c r="J11652" s="11" t="s">
        <v>28</v>
      </c>
      <c r="K11652" s="11" t="s">
        <v>28</v>
      </c>
      <c r="L11652" s="11" t="s">
        <v>28</v>
      </c>
      <c r="M11652" s="11" t="s">
        <v>28</v>
      </c>
      <c r="N11652" s="8">
        <v>40909</v>
      </c>
      <c r="O11652" s="9" t="s">
        <v>73</v>
      </c>
      <c r="P11652" s="12" t="s">
        <v>32751</v>
      </c>
      <c r="Q11652" s="9" t="s">
        <v>75</v>
      </c>
      <c r="R11652" s="14" t="str">
        <f>HYPERLINK("https://my.pitchbook.com?c=96824-71T","View Company Online")</f>
        <v>View Company Online</v>
      </c>
    </row>
    <row r="11653" spans="1:18" hidden="1" x14ac:dyDescent="0.3">
      <c r="A11653" s="15" t="s">
        <v>32752</v>
      </c>
      <c r="B11653" s="15" t="s">
        <v>22005</v>
      </c>
      <c r="C11653" s="18" t="s">
        <v>28</v>
      </c>
      <c r="D11653" s="15" t="s">
        <v>22006</v>
      </c>
      <c r="E11653" s="18" t="s">
        <v>28</v>
      </c>
      <c r="F11653" s="19" t="s">
        <v>28</v>
      </c>
      <c r="G11653" s="19" t="s">
        <v>28</v>
      </c>
      <c r="H11653" s="19" t="s">
        <v>28</v>
      </c>
      <c r="I11653" s="18" t="s">
        <v>28</v>
      </c>
      <c r="J11653" s="18" t="s">
        <v>28</v>
      </c>
      <c r="K11653" s="18" t="s">
        <v>28</v>
      </c>
      <c r="L11653" s="18" t="s">
        <v>28</v>
      </c>
      <c r="M11653" s="18" t="s">
        <v>28</v>
      </c>
      <c r="N11653" s="17">
        <v>40909</v>
      </c>
      <c r="O11653" s="15" t="s">
        <v>30</v>
      </c>
      <c r="P11653" s="16" t="s">
        <v>32753</v>
      </c>
      <c r="Q11653" s="15" t="s">
        <v>64</v>
      </c>
      <c r="R11653" s="13" t="str">
        <f>HYPERLINK("https://my.pitchbook.com?c=114417-10T","View Company Online")</f>
        <v>View Company Online</v>
      </c>
    </row>
    <row r="11654" spans="1:18" hidden="1" x14ac:dyDescent="0.3">
      <c r="A11654" s="9" t="s">
        <v>32754</v>
      </c>
      <c r="B11654" s="9" t="s">
        <v>30176</v>
      </c>
      <c r="C11654" s="11" t="s">
        <v>28</v>
      </c>
      <c r="D11654" s="9" t="s">
        <v>30177</v>
      </c>
      <c r="E11654" s="11" t="s">
        <v>28</v>
      </c>
      <c r="F11654" s="10" t="s">
        <v>28</v>
      </c>
      <c r="G11654" s="10">
        <v>10.87</v>
      </c>
      <c r="H11654" s="10" t="s">
        <v>28</v>
      </c>
      <c r="I11654" s="11" t="s">
        <v>28</v>
      </c>
      <c r="J11654" s="11" t="s">
        <v>28</v>
      </c>
      <c r="K11654" s="11" t="s">
        <v>28</v>
      </c>
      <c r="L11654" s="11" t="s">
        <v>28</v>
      </c>
      <c r="M11654" s="11" t="s">
        <v>28</v>
      </c>
      <c r="N11654" s="8">
        <v>40909</v>
      </c>
      <c r="O11654" s="9" t="s">
        <v>47</v>
      </c>
      <c r="P11654" s="12" t="s">
        <v>3097</v>
      </c>
      <c r="Q11654" s="9" t="s">
        <v>1007</v>
      </c>
      <c r="R11654" s="14" t="str">
        <f>HYPERLINK("https://my.pitchbook.com?c=70145-74T","View Company Online")</f>
        <v>View Company Online</v>
      </c>
    </row>
    <row r="11655" spans="1:18" hidden="1" x14ac:dyDescent="0.3">
      <c r="A11655" s="15" t="s">
        <v>32755</v>
      </c>
      <c r="B11655" s="15" t="s">
        <v>687</v>
      </c>
      <c r="C11655" s="18" t="s">
        <v>28</v>
      </c>
      <c r="D11655" s="15" t="s">
        <v>16429</v>
      </c>
      <c r="E11655" s="18" t="s">
        <v>28</v>
      </c>
      <c r="F11655" s="19" t="s">
        <v>28</v>
      </c>
      <c r="G11655" s="19" t="s">
        <v>28</v>
      </c>
      <c r="H11655" s="19" t="s">
        <v>28</v>
      </c>
      <c r="I11655" s="18" t="s">
        <v>28</v>
      </c>
      <c r="J11655" s="18" t="s">
        <v>28</v>
      </c>
      <c r="K11655" s="18" t="s">
        <v>28</v>
      </c>
      <c r="L11655" s="18" t="s">
        <v>28</v>
      </c>
      <c r="M11655" s="18" t="s">
        <v>28</v>
      </c>
      <c r="N11655" s="17">
        <v>40909</v>
      </c>
      <c r="O11655" s="15" t="s">
        <v>30</v>
      </c>
      <c r="P11655" s="16" t="s">
        <v>32756</v>
      </c>
      <c r="Q11655" s="15" t="s">
        <v>1179</v>
      </c>
      <c r="R11655" s="13" t="str">
        <f>HYPERLINK("https://my.pitchbook.com?c=128890-45T","View Company Online")</f>
        <v>View Company Online</v>
      </c>
    </row>
    <row r="11656" spans="1:18" hidden="1" x14ac:dyDescent="0.3">
      <c r="A11656" s="9" t="s">
        <v>32757</v>
      </c>
      <c r="B11656" s="9" t="s">
        <v>25591</v>
      </c>
      <c r="C11656" s="11" t="s">
        <v>28</v>
      </c>
      <c r="D11656" s="9" t="s">
        <v>25592</v>
      </c>
      <c r="E11656" s="11" t="s">
        <v>28</v>
      </c>
      <c r="F11656" s="10" t="s">
        <v>28</v>
      </c>
      <c r="G11656" s="10">
        <v>9.9499999999999993</v>
      </c>
      <c r="H11656" s="10">
        <v>54.37</v>
      </c>
      <c r="I11656" s="11" t="s">
        <v>28</v>
      </c>
      <c r="J11656" s="11" t="s">
        <v>28</v>
      </c>
      <c r="K11656" s="11" t="s">
        <v>28</v>
      </c>
      <c r="L11656" s="11" t="s">
        <v>28</v>
      </c>
      <c r="M11656" s="11" t="s">
        <v>28</v>
      </c>
      <c r="N11656" s="8">
        <v>40909</v>
      </c>
      <c r="O11656" s="9" t="s">
        <v>73</v>
      </c>
      <c r="P11656" s="12" t="s">
        <v>32758</v>
      </c>
      <c r="Q11656" s="9" t="s">
        <v>9705</v>
      </c>
      <c r="R11656" s="14" t="str">
        <f>HYPERLINK("https://my.pitchbook.com?c=34882-57T","View Company Online")</f>
        <v>View Company Online</v>
      </c>
    </row>
    <row r="11657" spans="1:18" hidden="1" x14ac:dyDescent="0.3">
      <c r="A11657" s="15" t="s">
        <v>32759</v>
      </c>
      <c r="B11657" s="15" t="s">
        <v>2436</v>
      </c>
      <c r="C11657" s="18" t="s">
        <v>28</v>
      </c>
      <c r="D11657" s="15" t="s">
        <v>2437</v>
      </c>
      <c r="E11657" s="18" t="s">
        <v>28</v>
      </c>
      <c r="F11657" s="19" t="s">
        <v>28</v>
      </c>
      <c r="G11657" s="19" t="s">
        <v>28</v>
      </c>
      <c r="H11657" s="19" t="s">
        <v>28</v>
      </c>
      <c r="I11657" s="18" t="s">
        <v>28</v>
      </c>
      <c r="J11657" s="18" t="s">
        <v>28</v>
      </c>
      <c r="K11657" s="18" t="s">
        <v>28</v>
      </c>
      <c r="L11657" s="18" t="s">
        <v>28</v>
      </c>
      <c r="M11657" s="18" t="s">
        <v>28</v>
      </c>
      <c r="N11657" s="17">
        <v>40909</v>
      </c>
      <c r="O11657" s="15" t="s">
        <v>52</v>
      </c>
      <c r="P11657" s="16" t="s">
        <v>9686</v>
      </c>
      <c r="Q11657" s="15" t="s">
        <v>404</v>
      </c>
      <c r="R11657" s="13" t="str">
        <f>HYPERLINK("https://my.pitchbook.com?c=263329-30T","View Company Online")</f>
        <v>View Company Online</v>
      </c>
    </row>
    <row r="11658" spans="1:18" hidden="1" x14ac:dyDescent="0.3">
      <c r="A11658" s="9" t="s">
        <v>32760</v>
      </c>
      <c r="B11658" s="9" t="s">
        <v>32761</v>
      </c>
      <c r="C11658" s="11" t="s">
        <v>28</v>
      </c>
      <c r="D11658" s="9" t="s">
        <v>32762</v>
      </c>
      <c r="E11658" s="11" t="s">
        <v>28</v>
      </c>
      <c r="F11658" s="10" t="s">
        <v>28</v>
      </c>
      <c r="G11658" s="10" t="s">
        <v>28</v>
      </c>
      <c r="H11658" s="10" t="s">
        <v>28</v>
      </c>
      <c r="I11658" s="11" t="s">
        <v>28</v>
      </c>
      <c r="J11658" s="11" t="s">
        <v>28</v>
      </c>
      <c r="K11658" s="11" t="s">
        <v>28</v>
      </c>
      <c r="L11658" s="11" t="s">
        <v>28</v>
      </c>
      <c r="M11658" s="11" t="s">
        <v>28</v>
      </c>
      <c r="N11658" s="8">
        <v>40909</v>
      </c>
      <c r="O11658" s="9" t="s">
        <v>41</v>
      </c>
      <c r="P11658" s="12" t="s">
        <v>32763</v>
      </c>
      <c r="Q11658" s="9" t="s">
        <v>95</v>
      </c>
      <c r="R11658" s="14" t="str">
        <f>HYPERLINK("https://my.pitchbook.com?c=256549-69T","View Company Online")</f>
        <v>View Company Online</v>
      </c>
    </row>
    <row r="11659" spans="1:18" hidden="1" x14ac:dyDescent="0.3">
      <c r="A11659" s="15" t="s">
        <v>32764</v>
      </c>
      <c r="B11659" s="15" t="s">
        <v>32765</v>
      </c>
      <c r="C11659" s="18" t="s">
        <v>28</v>
      </c>
      <c r="D11659" s="15" t="s">
        <v>32766</v>
      </c>
      <c r="E11659" s="18" t="s">
        <v>28</v>
      </c>
      <c r="F11659" s="19" t="s">
        <v>28</v>
      </c>
      <c r="G11659" s="19" t="s">
        <v>28</v>
      </c>
      <c r="H11659" s="19" t="s">
        <v>28</v>
      </c>
      <c r="I11659" s="18" t="s">
        <v>28</v>
      </c>
      <c r="J11659" s="18" t="s">
        <v>28</v>
      </c>
      <c r="K11659" s="18" t="s">
        <v>28</v>
      </c>
      <c r="L11659" s="18" t="s">
        <v>28</v>
      </c>
      <c r="M11659" s="18" t="s">
        <v>28</v>
      </c>
      <c r="N11659" s="17">
        <v>40909</v>
      </c>
      <c r="O11659" s="15" t="s">
        <v>30</v>
      </c>
      <c r="P11659" s="16" t="s">
        <v>3677</v>
      </c>
      <c r="Q11659" s="15" t="s">
        <v>774</v>
      </c>
      <c r="R11659" s="13" t="str">
        <f>HYPERLINK("https://my.pitchbook.com?c=216238-60T","View Company Online")</f>
        <v>View Company Online</v>
      </c>
    </row>
    <row r="11660" spans="1:18" hidden="1" x14ac:dyDescent="0.3">
      <c r="A11660" s="9" t="s">
        <v>32767</v>
      </c>
      <c r="B11660" s="9" t="s">
        <v>4542</v>
      </c>
      <c r="C11660" s="11" t="s">
        <v>28</v>
      </c>
      <c r="D11660" s="9" t="s">
        <v>4543</v>
      </c>
      <c r="E11660" s="11" t="s">
        <v>28</v>
      </c>
      <c r="F11660" s="10" t="s">
        <v>28</v>
      </c>
      <c r="G11660" s="10" t="s">
        <v>28</v>
      </c>
      <c r="H11660" s="10" t="s">
        <v>28</v>
      </c>
      <c r="I11660" s="11" t="s">
        <v>28</v>
      </c>
      <c r="J11660" s="11" t="s">
        <v>28</v>
      </c>
      <c r="K11660" s="11" t="s">
        <v>28</v>
      </c>
      <c r="L11660" s="11" t="s">
        <v>28</v>
      </c>
      <c r="M11660" s="11" t="s">
        <v>28</v>
      </c>
      <c r="N11660" s="8">
        <v>40909</v>
      </c>
      <c r="O11660" s="9" t="s">
        <v>73</v>
      </c>
      <c r="P11660" s="12" t="s">
        <v>22930</v>
      </c>
      <c r="Q11660" s="9" t="s">
        <v>37</v>
      </c>
      <c r="R11660" s="14" t="str">
        <f>HYPERLINK("https://my.pitchbook.com?c=293896-54T","View Company Online")</f>
        <v>View Company Online</v>
      </c>
    </row>
    <row r="11661" spans="1:18" hidden="1" x14ac:dyDescent="0.3">
      <c r="A11661" s="15" t="s">
        <v>32768</v>
      </c>
      <c r="B11661" s="15" t="s">
        <v>13940</v>
      </c>
      <c r="C11661" s="18" t="s">
        <v>28</v>
      </c>
      <c r="D11661" s="15" t="s">
        <v>13941</v>
      </c>
      <c r="E11661" s="18" t="s">
        <v>28</v>
      </c>
      <c r="F11661" s="19" t="s">
        <v>28</v>
      </c>
      <c r="G11661" s="19" t="s">
        <v>28</v>
      </c>
      <c r="H11661" s="19" t="s">
        <v>28</v>
      </c>
      <c r="I11661" s="18" t="s">
        <v>28</v>
      </c>
      <c r="J11661" s="18" t="s">
        <v>28</v>
      </c>
      <c r="K11661" s="18" t="s">
        <v>28</v>
      </c>
      <c r="L11661" s="18" t="s">
        <v>28</v>
      </c>
      <c r="M11661" s="18" t="s">
        <v>28</v>
      </c>
      <c r="N11661" s="17">
        <v>40909</v>
      </c>
      <c r="O11661" s="15" t="s">
        <v>30</v>
      </c>
      <c r="P11661" s="16" t="s">
        <v>12578</v>
      </c>
      <c r="Q11661" s="15" t="s">
        <v>105</v>
      </c>
      <c r="R11661" s="13" t="str">
        <f>HYPERLINK("https://my.pitchbook.com?c=211685-86T","View Company Online")</f>
        <v>View Company Online</v>
      </c>
    </row>
    <row r="11662" spans="1:18" hidden="1" x14ac:dyDescent="0.3">
      <c r="A11662" s="9" t="s">
        <v>32769</v>
      </c>
      <c r="B11662" s="9" t="s">
        <v>32770</v>
      </c>
      <c r="C11662" s="11" t="s">
        <v>28</v>
      </c>
      <c r="D11662" s="9" t="s">
        <v>32771</v>
      </c>
      <c r="E11662" s="11" t="s">
        <v>28</v>
      </c>
      <c r="F11662" s="10" t="s">
        <v>28</v>
      </c>
      <c r="G11662" s="10" t="s">
        <v>28</v>
      </c>
      <c r="H11662" s="10" t="s">
        <v>28</v>
      </c>
      <c r="I11662" s="11" t="s">
        <v>28</v>
      </c>
      <c r="J11662" s="11" t="s">
        <v>28</v>
      </c>
      <c r="K11662" s="11" t="s">
        <v>28</v>
      </c>
      <c r="L11662" s="11" t="s">
        <v>28</v>
      </c>
      <c r="M11662" s="11" t="s">
        <v>28</v>
      </c>
      <c r="N11662" s="8">
        <v>40909</v>
      </c>
      <c r="O11662" s="9" t="s">
        <v>30</v>
      </c>
      <c r="P11662" s="12" t="s">
        <v>28795</v>
      </c>
      <c r="Q11662" s="9" t="s">
        <v>607</v>
      </c>
      <c r="R11662" s="14" t="str">
        <f>HYPERLINK("https://my.pitchbook.com?c=257726-98T","View Company Online")</f>
        <v>View Company Online</v>
      </c>
    </row>
    <row r="11663" spans="1:18" hidden="1" x14ac:dyDescent="0.3">
      <c r="A11663" s="15" t="s">
        <v>32772</v>
      </c>
      <c r="B11663" s="15" t="s">
        <v>12848</v>
      </c>
      <c r="C11663" s="18" t="s">
        <v>28</v>
      </c>
      <c r="D11663" s="15" t="s">
        <v>12849</v>
      </c>
      <c r="E11663" s="18" t="s">
        <v>28</v>
      </c>
      <c r="F11663" s="19" t="s">
        <v>28</v>
      </c>
      <c r="G11663" s="19" t="s">
        <v>28</v>
      </c>
      <c r="H11663" s="19" t="s">
        <v>28</v>
      </c>
      <c r="I11663" s="18" t="s">
        <v>28</v>
      </c>
      <c r="J11663" s="18" t="s">
        <v>28</v>
      </c>
      <c r="K11663" s="18" t="s">
        <v>28</v>
      </c>
      <c r="L11663" s="18" t="s">
        <v>28</v>
      </c>
      <c r="M11663" s="18" t="s">
        <v>28</v>
      </c>
      <c r="N11663" s="17">
        <v>40909</v>
      </c>
      <c r="O11663" s="15" t="s">
        <v>52</v>
      </c>
      <c r="P11663" s="16" t="s">
        <v>32773</v>
      </c>
      <c r="Q11663" s="15" t="s">
        <v>75</v>
      </c>
      <c r="R11663" s="13" t="str">
        <f>HYPERLINK("https://my.pitchbook.com?c=65111-77T","View Company Online")</f>
        <v>View Company Online</v>
      </c>
    </row>
    <row r="11664" spans="1:18" hidden="1" x14ac:dyDescent="0.3">
      <c r="A11664" s="9" t="s">
        <v>32774</v>
      </c>
      <c r="B11664" s="9" t="s">
        <v>31395</v>
      </c>
      <c r="C11664" s="11" t="s">
        <v>28</v>
      </c>
      <c r="D11664" s="9" t="s">
        <v>31396</v>
      </c>
      <c r="E11664" s="11" t="s">
        <v>28</v>
      </c>
      <c r="F11664" s="10" t="s">
        <v>28</v>
      </c>
      <c r="G11664" s="10" t="s">
        <v>28</v>
      </c>
      <c r="H11664" s="10" t="s">
        <v>28</v>
      </c>
      <c r="I11664" s="11" t="s">
        <v>28</v>
      </c>
      <c r="J11664" s="11" t="s">
        <v>28</v>
      </c>
      <c r="K11664" s="11" t="s">
        <v>28</v>
      </c>
      <c r="L11664" s="11" t="s">
        <v>28</v>
      </c>
      <c r="M11664" s="11" t="s">
        <v>28</v>
      </c>
      <c r="N11664" s="8">
        <v>40909</v>
      </c>
      <c r="O11664" s="9" t="s">
        <v>379</v>
      </c>
      <c r="P11664" s="12" t="s">
        <v>28</v>
      </c>
      <c r="Q11664" s="9" t="s">
        <v>386</v>
      </c>
      <c r="R11664" s="14" t="str">
        <f>HYPERLINK("https://my.pitchbook.com?c=62394-94T","View Company Online")</f>
        <v>View Company Online</v>
      </c>
    </row>
    <row r="11665" spans="1:18" hidden="1" x14ac:dyDescent="0.3">
      <c r="A11665" s="15" t="s">
        <v>32775</v>
      </c>
      <c r="B11665" s="15" t="s">
        <v>21365</v>
      </c>
      <c r="C11665" s="18" t="s">
        <v>28</v>
      </c>
      <c r="D11665" s="15" t="s">
        <v>21366</v>
      </c>
      <c r="E11665" s="18" t="s">
        <v>28</v>
      </c>
      <c r="F11665" s="19" t="s">
        <v>28</v>
      </c>
      <c r="G11665" s="19">
        <v>4.1900000000000004</v>
      </c>
      <c r="H11665" s="19" t="s">
        <v>28</v>
      </c>
      <c r="I11665" s="18" t="s">
        <v>28</v>
      </c>
      <c r="J11665" s="18" t="s">
        <v>28</v>
      </c>
      <c r="K11665" s="18" t="s">
        <v>28</v>
      </c>
      <c r="L11665" s="18" t="s">
        <v>28</v>
      </c>
      <c r="M11665" s="18" t="s">
        <v>28</v>
      </c>
      <c r="N11665" s="17">
        <v>40909</v>
      </c>
      <c r="O11665" s="15" t="s">
        <v>73</v>
      </c>
      <c r="P11665" s="16" t="s">
        <v>32776</v>
      </c>
      <c r="Q11665" s="15" t="s">
        <v>1191</v>
      </c>
      <c r="R11665" s="13" t="str">
        <f>HYPERLINK("https://my.pitchbook.com?c=53712-19T","View Company Online")</f>
        <v>View Company Online</v>
      </c>
    </row>
    <row r="11666" spans="1:18" hidden="1" x14ac:dyDescent="0.3">
      <c r="A11666" s="9" t="s">
        <v>32777</v>
      </c>
      <c r="B11666" s="9" t="s">
        <v>18273</v>
      </c>
      <c r="C11666" s="11" t="s">
        <v>28</v>
      </c>
      <c r="D11666" s="9" t="s">
        <v>18274</v>
      </c>
      <c r="E11666" s="11" t="s">
        <v>28</v>
      </c>
      <c r="F11666" s="10" t="s">
        <v>28</v>
      </c>
      <c r="G11666" s="10">
        <v>0.19</v>
      </c>
      <c r="H11666" s="10" t="s">
        <v>28</v>
      </c>
      <c r="I11666" s="11" t="s">
        <v>28</v>
      </c>
      <c r="J11666" s="11" t="s">
        <v>28</v>
      </c>
      <c r="K11666" s="11" t="s">
        <v>28</v>
      </c>
      <c r="L11666" s="11" t="s">
        <v>28</v>
      </c>
      <c r="M11666" s="11" t="s">
        <v>28</v>
      </c>
      <c r="N11666" s="8">
        <v>40909</v>
      </c>
      <c r="O11666" s="9" t="s">
        <v>9098</v>
      </c>
      <c r="P11666" s="12" t="s">
        <v>28</v>
      </c>
      <c r="Q11666" s="9" t="s">
        <v>136</v>
      </c>
      <c r="R11666" s="14" t="str">
        <f>HYPERLINK("https://my.pitchbook.com?c=125721-55T","View Company Online")</f>
        <v>View Company Online</v>
      </c>
    </row>
    <row r="11667" spans="1:18" hidden="1" x14ac:dyDescent="0.3">
      <c r="A11667" s="15" t="s">
        <v>32778</v>
      </c>
      <c r="B11667" s="15" t="s">
        <v>32779</v>
      </c>
      <c r="C11667" s="18" t="s">
        <v>28</v>
      </c>
      <c r="D11667" s="15" t="s">
        <v>32780</v>
      </c>
      <c r="E11667" s="18" t="s">
        <v>28</v>
      </c>
      <c r="F11667" s="19" t="s">
        <v>28</v>
      </c>
      <c r="G11667" s="19" t="s">
        <v>28</v>
      </c>
      <c r="H11667" s="19" t="s">
        <v>28</v>
      </c>
      <c r="I11667" s="18" t="s">
        <v>28</v>
      </c>
      <c r="J11667" s="18" t="s">
        <v>28</v>
      </c>
      <c r="K11667" s="18" t="s">
        <v>28</v>
      </c>
      <c r="L11667" s="18" t="s">
        <v>28</v>
      </c>
      <c r="M11667" s="18" t="s">
        <v>28</v>
      </c>
      <c r="N11667" s="17">
        <v>40909</v>
      </c>
      <c r="O11667" s="15" t="s">
        <v>30</v>
      </c>
      <c r="P11667" s="16" t="s">
        <v>5144</v>
      </c>
      <c r="Q11667" s="15" t="s">
        <v>37</v>
      </c>
      <c r="R11667" s="13" t="str">
        <f>HYPERLINK("https://my.pitchbook.com?c=223459-48T","View Company Online")</f>
        <v>View Company Online</v>
      </c>
    </row>
    <row r="11668" spans="1:18" hidden="1" x14ac:dyDescent="0.3">
      <c r="A11668" s="9" t="s">
        <v>32781</v>
      </c>
      <c r="B11668" s="9" t="s">
        <v>32782</v>
      </c>
      <c r="C11668" s="11" t="s">
        <v>28</v>
      </c>
      <c r="D11668" s="9" t="s">
        <v>32783</v>
      </c>
      <c r="E11668" s="11" t="s">
        <v>28</v>
      </c>
      <c r="F11668" s="10">
        <v>626.66999999999996</v>
      </c>
      <c r="G11668" s="10">
        <v>470</v>
      </c>
      <c r="H11668" s="10">
        <v>626.66999999999996</v>
      </c>
      <c r="I11668" s="11" t="s">
        <v>28</v>
      </c>
      <c r="J11668" s="11" t="s">
        <v>28</v>
      </c>
      <c r="K11668" s="11" t="s">
        <v>28</v>
      </c>
      <c r="L11668" s="11" t="s">
        <v>28</v>
      </c>
      <c r="M11668" s="11" t="s">
        <v>28</v>
      </c>
      <c r="N11668" s="8">
        <v>40909</v>
      </c>
      <c r="O11668" s="9" t="s">
        <v>30</v>
      </c>
      <c r="P11668" s="12" t="s">
        <v>32784</v>
      </c>
      <c r="Q11668" s="9" t="s">
        <v>2939</v>
      </c>
      <c r="R11668" s="14" t="str">
        <f>HYPERLINK("https://my.pitchbook.com?c=70436-80T","View Company Online")</f>
        <v>View Company Online</v>
      </c>
    </row>
    <row r="11669" spans="1:18" hidden="1" x14ac:dyDescent="0.3">
      <c r="A11669" s="15" t="s">
        <v>32785</v>
      </c>
      <c r="B11669" s="15" t="s">
        <v>31725</v>
      </c>
      <c r="C11669" s="18" t="s">
        <v>28</v>
      </c>
      <c r="D11669" s="15" t="s">
        <v>31726</v>
      </c>
      <c r="E11669" s="18" t="s">
        <v>28</v>
      </c>
      <c r="F11669" s="19" t="s">
        <v>28</v>
      </c>
      <c r="G11669" s="19" t="s">
        <v>28</v>
      </c>
      <c r="H11669" s="19" t="s">
        <v>28</v>
      </c>
      <c r="I11669" s="18" t="s">
        <v>28</v>
      </c>
      <c r="J11669" s="18" t="s">
        <v>28</v>
      </c>
      <c r="K11669" s="18" t="s">
        <v>28</v>
      </c>
      <c r="L11669" s="18" t="s">
        <v>28</v>
      </c>
      <c r="M11669" s="18" t="s">
        <v>28</v>
      </c>
      <c r="N11669" s="17">
        <v>40909</v>
      </c>
      <c r="O11669" s="15" t="s">
        <v>52</v>
      </c>
      <c r="P11669" s="16" t="s">
        <v>18449</v>
      </c>
      <c r="Q11669" s="15" t="s">
        <v>37</v>
      </c>
      <c r="R11669" s="13" t="str">
        <f>HYPERLINK("https://my.pitchbook.com?c=80373-61T","View Company Online")</f>
        <v>View Company Online</v>
      </c>
    </row>
    <row r="11670" spans="1:18" hidden="1" x14ac:dyDescent="0.3">
      <c r="A11670" s="9" t="s">
        <v>32786</v>
      </c>
      <c r="B11670" s="9" t="s">
        <v>22645</v>
      </c>
      <c r="C11670" s="11" t="s">
        <v>28</v>
      </c>
      <c r="D11670" s="9" t="s">
        <v>22646</v>
      </c>
      <c r="E11670" s="11" t="s">
        <v>28</v>
      </c>
      <c r="F11670" s="10" t="s">
        <v>28</v>
      </c>
      <c r="G11670" s="10" t="s">
        <v>28</v>
      </c>
      <c r="H11670" s="10" t="s">
        <v>28</v>
      </c>
      <c r="I11670" s="11" t="s">
        <v>28</v>
      </c>
      <c r="J11670" s="11" t="s">
        <v>28</v>
      </c>
      <c r="K11670" s="11" t="s">
        <v>28</v>
      </c>
      <c r="L11670" s="11" t="s">
        <v>28</v>
      </c>
      <c r="M11670" s="11" t="s">
        <v>28</v>
      </c>
      <c r="N11670" s="8">
        <v>40909</v>
      </c>
      <c r="O11670" s="9" t="s">
        <v>41</v>
      </c>
      <c r="P11670" s="12" t="s">
        <v>32787</v>
      </c>
      <c r="Q11670" s="9" t="s">
        <v>22648</v>
      </c>
      <c r="R11670" s="14" t="str">
        <f>HYPERLINK("https://my.pitchbook.com?c=102196-18T","View Company Online")</f>
        <v>View Company Online</v>
      </c>
    </row>
    <row r="11671" spans="1:18" hidden="1" x14ac:dyDescent="0.3">
      <c r="A11671" s="15" t="s">
        <v>32788</v>
      </c>
      <c r="B11671" s="15" t="s">
        <v>32789</v>
      </c>
      <c r="C11671" s="18" t="s">
        <v>28</v>
      </c>
      <c r="D11671" s="15" t="s">
        <v>32790</v>
      </c>
      <c r="E11671" s="18" t="s">
        <v>28</v>
      </c>
      <c r="F11671" s="19" t="s">
        <v>28</v>
      </c>
      <c r="G11671" s="19" t="s">
        <v>28</v>
      </c>
      <c r="H11671" s="19" t="s">
        <v>28</v>
      </c>
      <c r="I11671" s="18" t="s">
        <v>28</v>
      </c>
      <c r="J11671" s="18" t="s">
        <v>28</v>
      </c>
      <c r="K11671" s="18" t="s">
        <v>28</v>
      </c>
      <c r="L11671" s="18" t="s">
        <v>28</v>
      </c>
      <c r="M11671" s="18" t="s">
        <v>28</v>
      </c>
      <c r="N11671" s="17">
        <v>40909</v>
      </c>
      <c r="O11671" s="15" t="s">
        <v>30</v>
      </c>
      <c r="P11671" s="16" t="s">
        <v>31440</v>
      </c>
      <c r="Q11671" s="15" t="s">
        <v>43</v>
      </c>
      <c r="R11671" s="13" t="str">
        <f>HYPERLINK("https://my.pitchbook.com?c=46621-99T","View Company Online")</f>
        <v>View Company Online</v>
      </c>
    </row>
    <row r="11672" spans="1:18" hidden="1" x14ac:dyDescent="0.3">
      <c r="A11672" s="9" t="s">
        <v>32791</v>
      </c>
      <c r="B11672" s="9" t="s">
        <v>32792</v>
      </c>
      <c r="C11672" s="11" t="s">
        <v>28</v>
      </c>
      <c r="D11672" s="9" t="s">
        <v>32793</v>
      </c>
      <c r="E11672" s="11" t="s">
        <v>28</v>
      </c>
      <c r="F11672" s="10" t="s">
        <v>28</v>
      </c>
      <c r="G11672" s="10" t="s">
        <v>28</v>
      </c>
      <c r="H11672" s="10" t="s">
        <v>28</v>
      </c>
      <c r="I11672" s="11" t="s">
        <v>28</v>
      </c>
      <c r="J11672" s="11" t="s">
        <v>28</v>
      </c>
      <c r="K11672" s="11" t="s">
        <v>28</v>
      </c>
      <c r="L11672" s="11" t="s">
        <v>28</v>
      </c>
      <c r="M11672" s="11" t="s">
        <v>28</v>
      </c>
      <c r="N11672" s="8">
        <v>40909</v>
      </c>
      <c r="O11672" s="9" t="s">
        <v>30</v>
      </c>
      <c r="P11672" s="12" t="s">
        <v>32794</v>
      </c>
      <c r="Q11672" s="9" t="s">
        <v>6142</v>
      </c>
      <c r="R11672" s="14" t="str">
        <f>HYPERLINK("https://my.pitchbook.com?c=176235-58T","View Company Online")</f>
        <v>View Company Online</v>
      </c>
    </row>
    <row r="11673" spans="1:18" hidden="1" x14ac:dyDescent="0.3">
      <c r="A11673" s="15" t="s">
        <v>32795</v>
      </c>
      <c r="B11673" s="15" t="s">
        <v>22915</v>
      </c>
      <c r="C11673" s="18" t="s">
        <v>28</v>
      </c>
      <c r="D11673" s="15" t="s">
        <v>22916</v>
      </c>
      <c r="E11673" s="18" t="s">
        <v>28</v>
      </c>
      <c r="F11673" s="19" t="s">
        <v>28</v>
      </c>
      <c r="G11673" s="19" t="s">
        <v>28</v>
      </c>
      <c r="H11673" s="19" t="s">
        <v>28</v>
      </c>
      <c r="I11673" s="18" t="s">
        <v>28</v>
      </c>
      <c r="J11673" s="18" t="s">
        <v>28</v>
      </c>
      <c r="K11673" s="18" t="s">
        <v>28</v>
      </c>
      <c r="L11673" s="18" t="s">
        <v>28</v>
      </c>
      <c r="M11673" s="18" t="s">
        <v>28</v>
      </c>
      <c r="N11673" s="17">
        <v>40909</v>
      </c>
      <c r="O11673" s="15" t="s">
        <v>41</v>
      </c>
      <c r="P11673" s="16" t="s">
        <v>32796</v>
      </c>
      <c r="Q11673" s="15" t="s">
        <v>449</v>
      </c>
      <c r="R11673" s="13" t="str">
        <f>HYPERLINK("https://my.pitchbook.com?c=219824-38T","View Company Online")</f>
        <v>View Company Online</v>
      </c>
    </row>
    <row r="11674" spans="1:18" hidden="1" x14ac:dyDescent="0.3">
      <c r="A11674" s="9" t="s">
        <v>32797</v>
      </c>
      <c r="B11674" s="9" t="s">
        <v>32798</v>
      </c>
      <c r="C11674" s="11" t="s">
        <v>28</v>
      </c>
      <c r="D11674" s="9" t="s">
        <v>32799</v>
      </c>
      <c r="E11674" s="11" t="s">
        <v>28</v>
      </c>
      <c r="F11674" s="10" t="s">
        <v>28</v>
      </c>
      <c r="G11674" s="10" t="s">
        <v>28</v>
      </c>
      <c r="H11674" s="10" t="s">
        <v>28</v>
      </c>
      <c r="I11674" s="11" t="s">
        <v>28</v>
      </c>
      <c r="J11674" s="11" t="s">
        <v>28</v>
      </c>
      <c r="K11674" s="11" t="s">
        <v>28</v>
      </c>
      <c r="L11674" s="11" t="s">
        <v>28</v>
      </c>
      <c r="M11674" s="11" t="s">
        <v>28</v>
      </c>
      <c r="N11674" s="8">
        <v>40909</v>
      </c>
      <c r="O11674" s="9" t="s">
        <v>52</v>
      </c>
      <c r="P11674" s="12" t="s">
        <v>32800</v>
      </c>
      <c r="Q11674" s="9" t="s">
        <v>3912</v>
      </c>
      <c r="R11674" s="14" t="str">
        <f>HYPERLINK("https://my.pitchbook.com?c=129403-18T","View Company Online")</f>
        <v>View Company Online</v>
      </c>
    </row>
    <row r="11675" spans="1:18" hidden="1" x14ac:dyDescent="0.3">
      <c r="A11675" s="15" t="s">
        <v>32801</v>
      </c>
      <c r="B11675" s="15" t="s">
        <v>32802</v>
      </c>
      <c r="C11675" s="18" t="s">
        <v>28</v>
      </c>
      <c r="D11675" s="15" t="s">
        <v>32803</v>
      </c>
      <c r="E11675" s="18" t="s">
        <v>28</v>
      </c>
      <c r="F11675" s="19" t="s">
        <v>28</v>
      </c>
      <c r="G11675" s="19" t="s">
        <v>28</v>
      </c>
      <c r="H11675" s="19" t="s">
        <v>28</v>
      </c>
      <c r="I11675" s="18" t="s">
        <v>28</v>
      </c>
      <c r="J11675" s="18" t="s">
        <v>28</v>
      </c>
      <c r="K11675" s="18" t="s">
        <v>28</v>
      </c>
      <c r="L11675" s="18" t="s">
        <v>28</v>
      </c>
      <c r="M11675" s="18" t="s">
        <v>28</v>
      </c>
      <c r="N11675" s="17">
        <v>40909</v>
      </c>
      <c r="O11675" s="15" t="s">
        <v>30</v>
      </c>
      <c r="P11675" s="16" t="s">
        <v>28795</v>
      </c>
      <c r="Q11675" s="15" t="s">
        <v>607</v>
      </c>
      <c r="R11675" s="13" t="str">
        <f>HYPERLINK("https://my.pitchbook.com?c=257819-95T","View Company Online")</f>
        <v>View Company Online</v>
      </c>
    </row>
    <row r="11676" spans="1:18" hidden="1" x14ac:dyDescent="0.3">
      <c r="A11676" s="9" t="s">
        <v>32804</v>
      </c>
      <c r="B11676" s="9" t="s">
        <v>29170</v>
      </c>
      <c r="C11676" s="11" t="s">
        <v>28</v>
      </c>
      <c r="D11676" s="9" t="s">
        <v>29171</v>
      </c>
      <c r="E11676" s="11" t="s">
        <v>28</v>
      </c>
      <c r="F11676" s="10" t="s">
        <v>28</v>
      </c>
      <c r="G11676" s="10">
        <v>36.43</v>
      </c>
      <c r="H11676" s="10">
        <v>214.19</v>
      </c>
      <c r="I11676" s="11" t="s">
        <v>28</v>
      </c>
      <c r="J11676" s="11" t="s">
        <v>28</v>
      </c>
      <c r="K11676" s="11">
        <v>189.15</v>
      </c>
      <c r="L11676" s="11">
        <v>1.1299999999999999</v>
      </c>
      <c r="M11676" s="11" t="s">
        <v>28</v>
      </c>
      <c r="N11676" s="8">
        <v>40909</v>
      </c>
      <c r="O11676" s="9" t="s">
        <v>93</v>
      </c>
      <c r="P11676" s="12" t="s">
        <v>32805</v>
      </c>
      <c r="Q11676" s="9" t="s">
        <v>5110</v>
      </c>
      <c r="R11676" s="14" t="str">
        <f>HYPERLINK("https://my.pitchbook.com?c=80467-21T","View Company Online")</f>
        <v>View Company Online</v>
      </c>
    </row>
    <row r="11677" spans="1:18" hidden="1" x14ac:dyDescent="0.3">
      <c r="A11677" s="15" t="s">
        <v>32806</v>
      </c>
      <c r="B11677" s="15" t="s">
        <v>32807</v>
      </c>
      <c r="C11677" s="18" t="s">
        <v>28</v>
      </c>
      <c r="D11677" s="15" t="s">
        <v>32808</v>
      </c>
      <c r="E11677" s="18" t="s">
        <v>28</v>
      </c>
      <c r="F11677" s="19" t="s">
        <v>28</v>
      </c>
      <c r="G11677" s="19" t="s">
        <v>28</v>
      </c>
      <c r="H11677" s="19" t="s">
        <v>28</v>
      </c>
      <c r="I11677" s="18" t="s">
        <v>28</v>
      </c>
      <c r="J11677" s="18" t="s">
        <v>28</v>
      </c>
      <c r="K11677" s="18">
        <v>13.9</v>
      </c>
      <c r="L11677" s="18" t="s">
        <v>28</v>
      </c>
      <c r="M11677" s="18" t="s">
        <v>28</v>
      </c>
      <c r="N11677" s="17">
        <v>40909</v>
      </c>
      <c r="O11677" s="15" t="s">
        <v>30</v>
      </c>
      <c r="P11677" s="16" t="s">
        <v>32809</v>
      </c>
      <c r="Q11677" s="15" t="s">
        <v>353</v>
      </c>
      <c r="R11677" s="13" t="str">
        <f>HYPERLINK("https://my.pitchbook.com?c=89729-11T","View Company Online")</f>
        <v>View Company Online</v>
      </c>
    </row>
    <row r="11678" spans="1:18" hidden="1" x14ac:dyDescent="0.3">
      <c r="A11678" s="9" t="s">
        <v>32810</v>
      </c>
      <c r="B11678" s="9" t="s">
        <v>10696</v>
      </c>
      <c r="C11678" s="11" t="s">
        <v>28</v>
      </c>
      <c r="D11678" s="9" t="s">
        <v>10697</v>
      </c>
      <c r="E11678" s="11" t="s">
        <v>28</v>
      </c>
      <c r="F11678" s="10" t="s">
        <v>28</v>
      </c>
      <c r="G11678" s="10">
        <v>7.34</v>
      </c>
      <c r="H11678" s="10" t="s">
        <v>28</v>
      </c>
      <c r="I11678" s="11" t="s">
        <v>28</v>
      </c>
      <c r="J11678" s="11" t="s">
        <v>28</v>
      </c>
      <c r="K11678" s="11" t="s">
        <v>28</v>
      </c>
      <c r="L11678" s="11" t="s">
        <v>28</v>
      </c>
      <c r="M11678" s="11" t="s">
        <v>28</v>
      </c>
      <c r="N11678" s="8">
        <v>40909</v>
      </c>
      <c r="O11678" s="9" t="s">
        <v>73</v>
      </c>
      <c r="P11678" s="12" t="s">
        <v>28</v>
      </c>
      <c r="Q11678" s="9" t="s">
        <v>774</v>
      </c>
      <c r="R11678" s="14" t="str">
        <f>HYPERLINK("https://my.pitchbook.com?c=214706-71T","View Company Online")</f>
        <v>View Company Online</v>
      </c>
    </row>
    <row r="11679" spans="1:18" hidden="1" x14ac:dyDescent="0.3">
      <c r="A11679" s="15" t="s">
        <v>32811</v>
      </c>
      <c r="B11679" s="15" t="s">
        <v>24222</v>
      </c>
      <c r="C11679" s="18" t="s">
        <v>28</v>
      </c>
      <c r="D11679" s="15" t="s">
        <v>24223</v>
      </c>
      <c r="E11679" s="18" t="s">
        <v>28</v>
      </c>
      <c r="F11679" s="19" t="s">
        <v>28</v>
      </c>
      <c r="G11679" s="19" t="s">
        <v>28</v>
      </c>
      <c r="H11679" s="19" t="s">
        <v>28</v>
      </c>
      <c r="I11679" s="18" t="s">
        <v>28</v>
      </c>
      <c r="J11679" s="18" t="s">
        <v>28</v>
      </c>
      <c r="K11679" s="18" t="s">
        <v>28</v>
      </c>
      <c r="L11679" s="18" t="s">
        <v>28</v>
      </c>
      <c r="M11679" s="18" t="s">
        <v>28</v>
      </c>
      <c r="N11679" s="17">
        <v>40909</v>
      </c>
      <c r="O11679" s="15" t="s">
        <v>52</v>
      </c>
      <c r="P11679" s="16" t="s">
        <v>1792</v>
      </c>
      <c r="Q11679" s="15" t="s">
        <v>75</v>
      </c>
      <c r="R11679" s="13" t="str">
        <f>HYPERLINK("https://my.pitchbook.com?c=52353-19T","View Company Online")</f>
        <v>View Company Online</v>
      </c>
    </row>
    <row r="11680" spans="1:18" hidden="1" x14ac:dyDescent="0.3">
      <c r="A11680" s="9" t="s">
        <v>32812</v>
      </c>
      <c r="B11680" s="9" t="s">
        <v>32813</v>
      </c>
      <c r="C11680" s="11" t="s">
        <v>28</v>
      </c>
      <c r="D11680" s="9" t="s">
        <v>32814</v>
      </c>
      <c r="E11680" s="11" t="s">
        <v>28</v>
      </c>
      <c r="F11680" s="10" t="s">
        <v>28</v>
      </c>
      <c r="G11680" s="10" t="s">
        <v>28</v>
      </c>
      <c r="H11680" s="10" t="s">
        <v>28</v>
      </c>
      <c r="I11680" s="11" t="s">
        <v>28</v>
      </c>
      <c r="J11680" s="11" t="s">
        <v>28</v>
      </c>
      <c r="K11680" s="11" t="s">
        <v>28</v>
      </c>
      <c r="L11680" s="11" t="s">
        <v>28</v>
      </c>
      <c r="M11680" s="11" t="s">
        <v>28</v>
      </c>
      <c r="N11680" s="8">
        <v>40909</v>
      </c>
      <c r="O11680" s="9" t="s">
        <v>52</v>
      </c>
      <c r="P11680" s="12" t="s">
        <v>24086</v>
      </c>
      <c r="Q11680" s="9" t="s">
        <v>1793</v>
      </c>
      <c r="R11680" s="14" t="str">
        <f>HYPERLINK("https://my.pitchbook.com?c=158502-52T","View Company Online")</f>
        <v>View Company Online</v>
      </c>
    </row>
    <row r="11681" spans="1:18" hidden="1" x14ac:dyDescent="0.3">
      <c r="A11681" s="15" t="s">
        <v>32815</v>
      </c>
      <c r="B11681" s="15" t="s">
        <v>7338</v>
      </c>
      <c r="C11681" s="18" t="s">
        <v>28</v>
      </c>
      <c r="D11681" s="15" t="s">
        <v>7339</v>
      </c>
      <c r="E11681" s="18" t="s">
        <v>28</v>
      </c>
      <c r="F11681" s="19" t="s">
        <v>28</v>
      </c>
      <c r="G11681" s="19" t="s">
        <v>28</v>
      </c>
      <c r="H11681" s="19" t="s">
        <v>28</v>
      </c>
      <c r="I11681" s="18" t="s">
        <v>28</v>
      </c>
      <c r="J11681" s="18" t="s">
        <v>28</v>
      </c>
      <c r="K11681" s="18" t="s">
        <v>28</v>
      </c>
      <c r="L11681" s="18" t="s">
        <v>28</v>
      </c>
      <c r="M11681" s="18" t="s">
        <v>28</v>
      </c>
      <c r="N11681" s="17">
        <v>40909</v>
      </c>
      <c r="O11681" s="15" t="s">
        <v>73</v>
      </c>
      <c r="P11681" s="16" t="s">
        <v>18237</v>
      </c>
      <c r="Q11681" s="15" t="s">
        <v>136</v>
      </c>
      <c r="R11681" s="13" t="str">
        <f>HYPERLINK("https://my.pitchbook.com?c=179017-21T","View Company Online")</f>
        <v>View Company Online</v>
      </c>
    </row>
    <row r="11682" spans="1:18" hidden="1" x14ac:dyDescent="0.3">
      <c r="A11682" s="9" t="s">
        <v>32816</v>
      </c>
      <c r="B11682" s="9" t="s">
        <v>27736</v>
      </c>
      <c r="C11682" s="11" t="s">
        <v>28</v>
      </c>
      <c r="D11682" s="9" t="s">
        <v>27737</v>
      </c>
      <c r="E11682" s="11" t="s">
        <v>28</v>
      </c>
      <c r="F11682" s="10" t="s">
        <v>28</v>
      </c>
      <c r="G11682" s="10">
        <v>10.87</v>
      </c>
      <c r="H11682" s="10">
        <v>10.87</v>
      </c>
      <c r="I11682" s="11" t="s">
        <v>28</v>
      </c>
      <c r="J11682" s="11" t="s">
        <v>28</v>
      </c>
      <c r="K11682" s="11" t="s">
        <v>28</v>
      </c>
      <c r="L11682" s="11" t="s">
        <v>28</v>
      </c>
      <c r="M11682" s="11" t="s">
        <v>28</v>
      </c>
      <c r="N11682" s="8">
        <v>40909</v>
      </c>
      <c r="O11682" s="9" t="s">
        <v>73</v>
      </c>
      <c r="P11682" s="12" t="s">
        <v>32817</v>
      </c>
      <c r="Q11682" s="9" t="s">
        <v>740</v>
      </c>
      <c r="R11682" s="14" t="str">
        <f>HYPERLINK("https://my.pitchbook.com?c=52784-11T","View Company Online")</f>
        <v>View Company Online</v>
      </c>
    </row>
    <row r="11683" spans="1:18" hidden="1" x14ac:dyDescent="0.3">
      <c r="A11683" s="15" t="s">
        <v>32818</v>
      </c>
      <c r="B11683" s="15" t="s">
        <v>32819</v>
      </c>
      <c r="C11683" s="18" t="s">
        <v>28</v>
      </c>
      <c r="D11683" s="15" t="s">
        <v>32820</v>
      </c>
      <c r="E11683" s="18" t="s">
        <v>28</v>
      </c>
      <c r="F11683" s="19">
        <v>125.06</v>
      </c>
      <c r="G11683" s="19">
        <v>125.06</v>
      </c>
      <c r="H11683" s="19">
        <v>125.06</v>
      </c>
      <c r="I11683" s="18" t="s">
        <v>28</v>
      </c>
      <c r="J11683" s="18" t="s">
        <v>28</v>
      </c>
      <c r="K11683" s="18" t="s">
        <v>28</v>
      </c>
      <c r="L11683" s="18" t="s">
        <v>28</v>
      </c>
      <c r="M11683" s="18" t="s">
        <v>28</v>
      </c>
      <c r="N11683" s="17">
        <v>40909</v>
      </c>
      <c r="O11683" s="15" t="s">
        <v>30</v>
      </c>
      <c r="P11683" s="16" t="s">
        <v>27207</v>
      </c>
      <c r="Q11683" s="15" t="s">
        <v>105</v>
      </c>
      <c r="R11683" s="13" t="str">
        <f>HYPERLINK("https://my.pitchbook.com?c=139111-75T","View Company Online")</f>
        <v>View Company Online</v>
      </c>
    </row>
    <row r="11684" spans="1:18" hidden="1" x14ac:dyDescent="0.3">
      <c r="A11684" s="9" t="s">
        <v>32821</v>
      </c>
      <c r="B11684" s="9" t="s">
        <v>32739</v>
      </c>
      <c r="C11684" s="11" t="s">
        <v>28</v>
      </c>
      <c r="D11684" s="9" t="s">
        <v>32822</v>
      </c>
      <c r="E11684" s="11" t="s">
        <v>28</v>
      </c>
      <c r="F11684" s="10" t="s">
        <v>28</v>
      </c>
      <c r="G11684" s="10" t="s">
        <v>28</v>
      </c>
      <c r="H11684" s="10" t="s">
        <v>28</v>
      </c>
      <c r="I11684" s="11" t="s">
        <v>28</v>
      </c>
      <c r="J11684" s="11" t="s">
        <v>28</v>
      </c>
      <c r="K11684" s="11" t="s">
        <v>28</v>
      </c>
      <c r="L11684" s="11" t="s">
        <v>28</v>
      </c>
      <c r="M11684" s="11" t="s">
        <v>28</v>
      </c>
      <c r="N11684" s="8">
        <v>40909</v>
      </c>
      <c r="O11684" s="9" t="s">
        <v>30</v>
      </c>
      <c r="P11684" s="12" t="s">
        <v>32823</v>
      </c>
      <c r="Q11684" s="9" t="s">
        <v>900</v>
      </c>
      <c r="R11684" s="14" t="str">
        <f>HYPERLINK("https://my.pitchbook.com?c=71187-22T","View Company Online")</f>
        <v>View Company Online</v>
      </c>
    </row>
    <row r="11685" spans="1:18" hidden="1" x14ac:dyDescent="0.3">
      <c r="A11685" s="15" t="s">
        <v>32824</v>
      </c>
      <c r="B11685" s="15" t="s">
        <v>32825</v>
      </c>
      <c r="C11685" s="18" t="s">
        <v>28</v>
      </c>
      <c r="D11685" s="15" t="s">
        <v>32826</v>
      </c>
      <c r="E11685" s="18" t="s">
        <v>28</v>
      </c>
      <c r="F11685" s="19" t="s">
        <v>28</v>
      </c>
      <c r="G11685" s="19" t="s">
        <v>28</v>
      </c>
      <c r="H11685" s="19" t="s">
        <v>28</v>
      </c>
      <c r="I11685" s="18" t="s">
        <v>28</v>
      </c>
      <c r="J11685" s="18" t="s">
        <v>28</v>
      </c>
      <c r="K11685" s="18" t="s">
        <v>28</v>
      </c>
      <c r="L11685" s="18" t="s">
        <v>28</v>
      </c>
      <c r="M11685" s="18" t="s">
        <v>28</v>
      </c>
      <c r="N11685" s="17">
        <v>40909</v>
      </c>
      <c r="O11685" s="15" t="s">
        <v>41</v>
      </c>
      <c r="P11685" s="16" t="s">
        <v>32827</v>
      </c>
      <c r="Q11685" s="15" t="s">
        <v>43</v>
      </c>
      <c r="R11685" s="13" t="str">
        <f>HYPERLINK("https://my.pitchbook.com?c=86700-79T","View Company Online")</f>
        <v>View Company Online</v>
      </c>
    </row>
    <row r="11686" spans="1:18" hidden="1" x14ac:dyDescent="0.3">
      <c r="A11686" s="9" t="s">
        <v>32828</v>
      </c>
      <c r="B11686" s="9" t="s">
        <v>24973</v>
      </c>
      <c r="C11686" s="11" t="s">
        <v>28</v>
      </c>
      <c r="D11686" s="9" t="s">
        <v>24974</v>
      </c>
      <c r="E11686" s="11" t="s">
        <v>28</v>
      </c>
      <c r="F11686" s="10" t="s">
        <v>28</v>
      </c>
      <c r="G11686" s="10" t="s">
        <v>28</v>
      </c>
      <c r="H11686" s="10" t="s">
        <v>28</v>
      </c>
      <c r="I11686" s="11" t="s">
        <v>28</v>
      </c>
      <c r="J11686" s="11" t="s">
        <v>28</v>
      </c>
      <c r="K11686" s="11" t="s">
        <v>28</v>
      </c>
      <c r="L11686" s="11" t="s">
        <v>28</v>
      </c>
      <c r="M11686" s="11" t="s">
        <v>28</v>
      </c>
      <c r="N11686" s="8">
        <v>40909</v>
      </c>
      <c r="O11686" s="9" t="s">
        <v>52</v>
      </c>
      <c r="P11686" s="12" t="s">
        <v>21790</v>
      </c>
      <c r="Q11686" s="9" t="s">
        <v>75</v>
      </c>
      <c r="R11686" s="14" t="str">
        <f>HYPERLINK("https://my.pitchbook.com?c=106418-80T","View Company Online")</f>
        <v>View Company Online</v>
      </c>
    </row>
    <row r="11687" spans="1:18" hidden="1" x14ac:dyDescent="0.3">
      <c r="A11687" s="15" t="s">
        <v>32829</v>
      </c>
      <c r="B11687" s="15" t="s">
        <v>24219</v>
      </c>
      <c r="C11687" s="18" t="s">
        <v>28</v>
      </c>
      <c r="D11687" s="15" t="s">
        <v>24220</v>
      </c>
      <c r="E11687" s="18" t="s">
        <v>28</v>
      </c>
      <c r="F11687" s="19" t="s">
        <v>28</v>
      </c>
      <c r="G11687" s="19">
        <v>100</v>
      </c>
      <c r="H11687" s="19">
        <v>250</v>
      </c>
      <c r="I11687" s="18" t="s">
        <v>28</v>
      </c>
      <c r="J11687" s="18" t="s">
        <v>28</v>
      </c>
      <c r="K11687" s="18" t="s">
        <v>28</v>
      </c>
      <c r="L11687" s="18" t="s">
        <v>28</v>
      </c>
      <c r="M11687" s="18" t="s">
        <v>28</v>
      </c>
      <c r="N11687" s="17">
        <v>40909</v>
      </c>
      <c r="O11687" s="15" t="s">
        <v>93</v>
      </c>
      <c r="P11687" s="16" t="s">
        <v>24889</v>
      </c>
      <c r="Q11687" s="15" t="s">
        <v>299</v>
      </c>
      <c r="R11687" s="13" t="str">
        <f>HYPERLINK("https://my.pitchbook.com?c=98643-61T","View Company Online")</f>
        <v>View Company Online</v>
      </c>
    </row>
    <row r="11688" spans="1:18" hidden="1" x14ac:dyDescent="0.3">
      <c r="A11688" s="9" t="s">
        <v>32830</v>
      </c>
      <c r="B11688" s="9" t="s">
        <v>32831</v>
      </c>
      <c r="C11688" s="11" t="s">
        <v>28</v>
      </c>
      <c r="D11688" s="9" t="s">
        <v>32832</v>
      </c>
      <c r="E11688" s="11" t="s">
        <v>28</v>
      </c>
      <c r="F11688" s="10" t="s">
        <v>28</v>
      </c>
      <c r="G11688" s="10" t="s">
        <v>28</v>
      </c>
      <c r="H11688" s="10" t="s">
        <v>28</v>
      </c>
      <c r="I11688" s="11" t="s">
        <v>28</v>
      </c>
      <c r="J11688" s="11" t="s">
        <v>28</v>
      </c>
      <c r="K11688" s="11" t="s">
        <v>28</v>
      </c>
      <c r="L11688" s="11" t="s">
        <v>28</v>
      </c>
      <c r="M11688" s="11" t="s">
        <v>28</v>
      </c>
      <c r="N11688" s="8">
        <v>40909</v>
      </c>
      <c r="O11688" s="9" t="s">
        <v>93</v>
      </c>
      <c r="P11688" s="12" t="s">
        <v>32833</v>
      </c>
      <c r="Q11688" s="9" t="s">
        <v>362</v>
      </c>
      <c r="R11688" s="14" t="str">
        <f>HYPERLINK("https://my.pitchbook.com?c=215910-55T","View Company Online")</f>
        <v>View Company Online</v>
      </c>
    </row>
    <row r="11689" spans="1:18" hidden="1" x14ac:dyDescent="0.3">
      <c r="A11689" s="15" t="s">
        <v>32834</v>
      </c>
      <c r="B11689" s="15" t="s">
        <v>5108</v>
      </c>
      <c r="C11689" s="18" t="s">
        <v>28</v>
      </c>
      <c r="D11689" s="15" t="s">
        <v>5109</v>
      </c>
      <c r="E11689" s="18">
        <v>33.630000000000003</v>
      </c>
      <c r="F11689" s="19" t="s">
        <v>28</v>
      </c>
      <c r="G11689" s="19" t="s">
        <v>28</v>
      </c>
      <c r="H11689" s="19" t="s">
        <v>28</v>
      </c>
      <c r="I11689" s="18" t="s">
        <v>28</v>
      </c>
      <c r="J11689" s="18" t="s">
        <v>28</v>
      </c>
      <c r="K11689" s="18">
        <v>157.77000000000001</v>
      </c>
      <c r="L11689" s="18" t="s">
        <v>28</v>
      </c>
      <c r="M11689" s="18">
        <v>8.1199999999999992</v>
      </c>
      <c r="N11689" s="17">
        <v>40909</v>
      </c>
      <c r="O11689" s="15" t="s">
        <v>58</v>
      </c>
      <c r="P11689" s="16" t="s">
        <v>32835</v>
      </c>
      <c r="Q11689" s="15" t="s">
        <v>5110</v>
      </c>
      <c r="R11689" s="13" t="str">
        <f>HYPERLINK("https://my.pitchbook.com?c=65943-91T","View Company Online")</f>
        <v>View Company Online</v>
      </c>
    </row>
    <row r="11690" spans="1:18" hidden="1" x14ac:dyDescent="0.3">
      <c r="A11690" s="9" t="s">
        <v>32836</v>
      </c>
      <c r="B11690" s="9" t="s">
        <v>18117</v>
      </c>
      <c r="C11690" s="11" t="s">
        <v>28</v>
      </c>
      <c r="D11690" s="9" t="s">
        <v>18118</v>
      </c>
      <c r="E11690" s="11" t="s">
        <v>28</v>
      </c>
      <c r="F11690" s="10" t="s">
        <v>28</v>
      </c>
      <c r="G11690" s="10">
        <v>70</v>
      </c>
      <c r="H11690" s="10" t="s">
        <v>28</v>
      </c>
      <c r="I11690" s="11" t="s">
        <v>28</v>
      </c>
      <c r="J11690" s="11" t="s">
        <v>28</v>
      </c>
      <c r="K11690" s="11" t="s">
        <v>28</v>
      </c>
      <c r="L11690" s="11" t="s">
        <v>28</v>
      </c>
      <c r="M11690" s="11" t="s">
        <v>28</v>
      </c>
      <c r="N11690" s="8">
        <v>40909</v>
      </c>
      <c r="O11690" s="9" t="s">
        <v>73</v>
      </c>
      <c r="P11690" s="12" t="s">
        <v>28835</v>
      </c>
      <c r="Q11690" s="9" t="s">
        <v>419</v>
      </c>
      <c r="R11690" s="14" t="str">
        <f>HYPERLINK("https://my.pitchbook.com?c=123181-84T","View Company Online")</f>
        <v>View Company Online</v>
      </c>
    </row>
    <row r="11691" spans="1:18" hidden="1" x14ac:dyDescent="0.3">
      <c r="A11691" s="15" t="s">
        <v>32837</v>
      </c>
      <c r="B11691" s="15" t="s">
        <v>32342</v>
      </c>
      <c r="C11691" s="18" t="s">
        <v>28</v>
      </c>
      <c r="D11691" s="15" t="s">
        <v>32343</v>
      </c>
      <c r="E11691" s="18" t="s">
        <v>28</v>
      </c>
      <c r="F11691" s="19" t="s">
        <v>28</v>
      </c>
      <c r="G11691" s="19" t="s">
        <v>28</v>
      </c>
      <c r="H11691" s="19" t="s">
        <v>28</v>
      </c>
      <c r="I11691" s="18" t="s">
        <v>28</v>
      </c>
      <c r="J11691" s="18" t="s">
        <v>28</v>
      </c>
      <c r="K11691" s="18" t="s">
        <v>28</v>
      </c>
      <c r="L11691" s="18" t="s">
        <v>28</v>
      </c>
      <c r="M11691" s="18" t="s">
        <v>28</v>
      </c>
      <c r="N11691" s="17">
        <v>40909</v>
      </c>
      <c r="O11691" s="15" t="s">
        <v>52</v>
      </c>
      <c r="P11691" s="16" t="s">
        <v>32800</v>
      </c>
      <c r="Q11691" s="15" t="s">
        <v>386</v>
      </c>
      <c r="R11691" s="13" t="str">
        <f>HYPERLINK("https://my.pitchbook.com?c=52053-49T","View Company Online")</f>
        <v>View Company Online</v>
      </c>
    </row>
    <row r="11692" spans="1:18" hidden="1" x14ac:dyDescent="0.3">
      <c r="A11692" s="9" t="s">
        <v>32838</v>
      </c>
      <c r="B11692" s="9" t="s">
        <v>23867</v>
      </c>
      <c r="C11692" s="11" t="s">
        <v>28</v>
      </c>
      <c r="D11692" s="9" t="s">
        <v>23868</v>
      </c>
      <c r="E11692" s="11" t="s">
        <v>28</v>
      </c>
      <c r="F11692" s="10" t="s">
        <v>28</v>
      </c>
      <c r="G11692" s="10" t="s">
        <v>28</v>
      </c>
      <c r="H11692" s="10" t="s">
        <v>28</v>
      </c>
      <c r="I11692" s="11" t="s">
        <v>28</v>
      </c>
      <c r="J11692" s="11" t="s">
        <v>28</v>
      </c>
      <c r="K11692" s="11" t="s">
        <v>28</v>
      </c>
      <c r="L11692" s="11" t="s">
        <v>28</v>
      </c>
      <c r="M11692" s="11" t="s">
        <v>28</v>
      </c>
      <c r="N11692" s="8">
        <v>40904</v>
      </c>
      <c r="O11692" s="9" t="s">
        <v>52</v>
      </c>
      <c r="P11692" s="12" t="s">
        <v>9723</v>
      </c>
      <c r="Q11692" s="9" t="s">
        <v>855</v>
      </c>
      <c r="R11692" s="14" t="str">
        <f>HYPERLINK("https://my.pitchbook.com?c=99097-48T","View Company Online")</f>
        <v>View Company Online</v>
      </c>
    </row>
    <row r="11693" spans="1:18" hidden="1" x14ac:dyDescent="0.3">
      <c r="A11693" s="15" t="s">
        <v>32839</v>
      </c>
      <c r="B11693" s="15" t="s">
        <v>32840</v>
      </c>
      <c r="C11693" s="18" t="s">
        <v>28</v>
      </c>
      <c r="D11693" s="15" t="s">
        <v>32841</v>
      </c>
      <c r="E11693" s="18" t="s">
        <v>28</v>
      </c>
      <c r="F11693" s="19" t="s">
        <v>28</v>
      </c>
      <c r="G11693" s="19" t="s">
        <v>28</v>
      </c>
      <c r="H11693" s="19" t="s">
        <v>28</v>
      </c>
      <c r="I11693" s="18" t="s">
        <v>28</v>
      </c>
      <c r="J11693" s="18" t="s">
        <v>28</v>
      </c>
      <c r="K11693" s="18" t="s">
        <v>28</v>
      </c>
      <c r="L11693" s="18" t="s">
        <v>28</v>
      </c>
      <c r="M11693" s="18" t="s">
        <v>28</v>
      </c>
      <c r="N11693" s="17">
        <v>40903</v>
      </c>
      <c r="O11693" s="15" t="s">
        <v>73</v>
      </c>
      <c r="P11693" s="16" t="s">
        <v>32842</v>
      </c>
      <c r="Q11693" s="15" t="s">
        <v>95</v>
      </c>
      <c r="R11693" s="13" t="str">
        <f>HYPERLINK("https://my.pitchbook.com?c=31382-29T","View Company Online")</f>
        <v>View Company Online</v>
      </c>
    </row>
    <row r="11694" spans="1:18" hidden="1" x14ac:dyDescent="0.3">
      <c r="A11694" s="9" t="s">
        <v>32843</v>
      </c>
      <c r="B11694" s="9" t="s">
        <v>32844</v>
      </c>
      <c r="C11694" s="11" t="s">
        <v>28</v>
      </c>
      <c r="D11694" s="9" t="s">
        <v>32845</v>
      </c>
      <c r="E11694" s="11" t="s">
        <v>28</v>
      </c>
      <c r="F11694" s="10" t="s">
        <v>28</v>
      </c>
      <c r="G11694" s="10">
        <v>2.17</v>
      </c>
      <c r="H11694" s="10">
        <v>2.1800000000000002</v>
      </c>
      <c r="I11694" s="11" t="s">
        <v>28</v>
      </c>
      <c r="J11694" s="11" t="s">
        <v>28</v>
      </c>
      <c r="K11694" s="11" t="s">
        <v>28</v>
      </c>
      <c r="L11694" s="11" t="s">
        <v>28</v>
      </c>
      <c r="M11694" s="11" t="s">
        <v>28</v>
      </c>
      <c r="N11694" s="8">
        <v>40900</v>
      </c>
      <c r="O11694" s="9" t="s">
        <v>30</v>
      </c>
      <c r="P11694" s="12" t="s">
        <v>4004</v>
      </c>
      <c r="Q11694" s="9" t="s">
        <v>188</v>
      </c>
      <c r="R11694" s="14" t="str">
        <f>HYPERLINK("https://my.pitchbook.com?c=90216-01T","View Company Online")</f>
        <v>View Company Online</v>
      </c>
    </row>
    <row r="11695" spans="1:18" hidden="1" x14ac:dyDescent="0.3">
      <c r="A11695" s="15" t="s">
        <v>32846</v>
      </c>
      <c r="B11695" s="15" t="s">
        <v>32847</v>
      </c>
      <c r="C11695" s="18" t="s">
        <v>28</v>
      </c>
      <c r="D11695" s="15" t="s">
        <v>32848</v>
      </c>
      <c r="E11695" s="18" t="s">
        <v>28</v>
      </c>
      <c r="F11695" s="19" t="s">
        <v>28</v>
      </c>
      <c r="G11695" s="19" t="s">
        <v>28</v>
      </c>
      <c r="H11695" s="19" t="s">
        <v>28</v>
      </c>
      <c r="I11695" s="18" t="s">
        <v>28</v>
      </c>
      <c r="J11695" s="18" t="s">
        <v>28</v>
      </c>
      <c r="K11695" s="18" t="s">
        <v>28</v>
      </c>
      <c r="L11695" s="18" t="s">
        <v>28</v>
      </c>
      <c r="M11695" s="18" t="s">
        <v>28</v>
      </c>
      <c r="N11695" s="17">
        <v>40900</v>
      </c>
      <c r="O11695" s="15" t="s">
        <v>30</v>
      </c>
      <c r="P11695" s="16" t="s">
        <v>13759</v>
      </c>
      <c r="Q11695" s="15" t="s">
        <v>136</v>
      </c>
      <c r="R11695" s="13" t="str">
        <f>HYPERLINK("https://my.pitchbook.com?c=90521-47T","View Company Online")</f>
        <v>View Company Online</v>
      </c>
    </row>
    <row r="11696" spans="1:18" hidden="1" x14ac:dyDescent="0.3">
      <c r="A11696" s="9" t="s">
        <v>32849</v>
      </c>
      <c r="B11696" s="9" t="s">
        <v>32850</v>
      </c>
      <c r="C11696" s="11" t="s">
        <v>28</v>
      </c>
      <c r="D11696" s="9" t="s">
        <v>32851</v>
      </c>
      <c r="E11696" s="11" t="s">
        <v>28</v>
      </c>
      <c r="F11696" s="10" t="s">
        <v>28</v>
      </c>
      <c r="G11696" s="10" t="s">
        <v>28</v>
      </c>
      <c r="H11696" s="10" t="s">
        <v>28</v>
      </c>
      <c r="I11696" s="11" t="s">
        <v>28</v>
      </c>
      <c r="J11696" s="11" t="s">
        <v>28</v>
      </c>
      <c r="K11696" s="11" t="s">
        <v>28</v>
      </c>
      <c r="L11696" s="11" t="s">
        <v>28</v>
      </c>
      <c r="M11696" s="11" t="s">
        <v>28</v>
      </c>
      <c r="N11696" s="8">
        <v>40900</v>
      </c>
      <c r="O11696" s="9" t="s">
        <v>30</v>
      </c>
      <c r="P11696" s="12" t="s">
        <v>13759</v>
      </c>
      <c r="Q11696" s="9" t="s">
        <v>136</v>
      </c>
      <c r="R11696" s="14" t="str">
        <f>HYPERLINK("https://my.pitchbook.com?c=90594-10T","View Company Online")</f>
        <v>View Company Online</v>
      </c>
    </row>
    <row r="11697" spans="1:18" hidden="1" x14ac:dyDescent="0.3">
      <c r="A11697" s="15" t="s">
        <v>32852</v>
      </c>
      <c r="B11697" s="15" t="s">
        <v>10956</v>
      </c>
      <c r="C11697" s="18" t="s">
        <v>28</v>
      </c>
      <c r="D11697" s="15" t="s">
        <v>10957</v>
      </c>
      <c r="E11697" s="18">
        <v>-170.39</v>
      </c>
      <c r="F11697" s="19" t="s">
        <v>28</v>
      </c>
      <c r="G11697" s="19">
        <v>100</v>
      </c>
      <c r="H11697" s="19">
        <v>3333.33</v>
      </c>
      <c r="I11697" s="18">
        <v>38.67</v>
      </c>
      <c r="J11697" s="18">
        <v>86.19</v>
      </c>
      <c r="K11697" s="18">
        <v>4339.3599999999997</v>
      </c>
      <c r="L11697" s="18">
        <v>0.77</v>
      </c>
      <c r="M11697" s="18">
        <v>-407.35</v>
      </c>
      <c r="N11697" s="17">
        <v>40898</v>
      </c>
      <c r="O11697" s="15" t="s">
        <v>159</v>
      </c>
      <c r="P11697" s="16" t="s">
        <v>32853</v>
      </c>
      <c r="Q11697" s="15" t="s">
        <v>2168</v>
      </c>
      <c r="R11697" s="13" t="str">
        <f>HYPERLINK("https://my.pitchbook.com?c=160687-63T","View Company Online")</f>
        <v>View Company Online</v>
      </c>
    </row>
    <row r="11698" spans="1:18" hidden="1" x14ac:dyDescent="0.3">
      <c r="A11698" s="9" t="s">
        <v>32854</v>
      </c>
      <c r="B11698" s="9" t="s">
        <v>32855</v>
      </c>
      <c r="C11698" s="11" t="s">
        <v>28</v>
      </c>
      <c r="D11698" s="9" t="s">
        <v>32856</v>
      </c>
      <c r="E11698" s="11" t="s">
        <v>28</v>
      </c>
      <c r="F11698" s="10">
        <v>711.98</v>
      </c>
      <c r="G11698" s="10">
        <v>711.98</v>
      </c>
      <c r="H11698" s="10">
        <v>711.98</v>
      </c>
      <c r="I11698" s="11" t="s">
        <v>28</v>
      </c>
      <c r="J11698" s="11" t="s">
        <v>28</v>
      </c>
      <c r="K11698" s="11" t="s">
        <v>28</v>
      </c>
      <c r="L11698" s="11" t="s">
        <v>28</v>
      </c>
      <c r="M11698" s="11" t="s">
        <v>28</v>
      </c>
      <c r="N11698" s="8">
        <v>40892</v>
      </c>
      <c r="O11698" s="9" t="s">
        <v>41</v>
      </c>
      <c r="P11698" s="12" t="s">
        <v>32857</v>
      </c>
      <c r="Q11698" s="9" t="s">
        <v>43</v>
      </c>
      <c r="R11698" s="14" t="str">
        <f>HYPERLINK("https://my.pitchbook.com?c=19995-04T","View Company Online")</f>
        <v>View Company Online</v>
      </c>
    </row>
    <row r="11699" spans="1:18" hidden="1" x14ac:dyDescent="0.3">
      <c r="A11699" s="15" t="s">
        <v>32858</v>
      </c>
      <c r="B11699" s="15" t="s">
        <v>32859</v>
      </c>
      <c r="C11699" s="18" t="s">
        <v>28</v>
      </c>
      <c r="D11699" s="15" t="s">
        <v>32860</v>
      </c>
      <c r="E11699" s="18">
        <v>2.38</v>
      </c>
      <c r="F11699" s="19" t="s">
        <v>28</v>
      </c>
      <c r="G11699" s="19" t="s">
        <v>28</v>
      </c>
      <c r="H11699" s="19" t="s">
        <v>28</v>
      </c>
      <c r="I11699" s="18">
        <v>2.38</v>
      </c>
      <c r="J11699" s="18" t="s">
        <v>28</v>
      </c>
      <c r="K11699" s="18">
        <v>13.11</v>
      </c>
      <c r="L11699" s="18" t="s">
        <v>28</v>
      </c>
      <c r="M11699" s="18" t="s">
        <v>28</v>
      </c>
      <c r="N11699" s="17">
        <v>40891</v>
      </c>
      <c r="O11699" s="15" t="s">
        <v>30</v>
      </c>
      <c r="P11699" s="16" t="s">
        <v>32861</v>
      </c>
      <c r="Q11699" s="15" t="s">
        <v>75</v>
      </c>
      <c r="R11699" s="13" t="str">
        <f>HYPERLINK("https://my.pitchbook.com?c=62568-01T","View Company Online")</f>
        <v>View Company Online</v>
      </c>
    </row>
    <row r="11700" spans="1:18" hidden="1" x14ac:dyDescent="0.3">
      <c r="A11700" s="9" t="s">
        <v>32862</v>
      </c>
      <c r="B11700" s="9" t="s">
        <v>28822</v>
      </c>
      <c r="C11700" s="11" t="s">
        <v>28</v>
      </c>
      <c r="D11700" s="9" t="s">
        <v>28823</v>
      </c>
      <c r="E11700" s="11" t="s">
        <v>28</v>
      </c>
      <c r="F11700" s="10" t="s">
        <v>28</v>
      </c>
      <c r="G11700" s="10" t="s">
        <v>28</v>
      </c>
      <c r="H11700" s="10" t="s">
        <v>28</v>
      </c>
      <c r="I11700" s="11" t="s">
        <v>28</v>
      </c>
      <c r="J11700" s="11" t="s">
        <v>28</v>
      </c>
      <c r="K11700" s="11" t="s">
        <v>28</v>
      </c>
      <c r="L11700" s="11" t="s">
        <v>28</v>
      </c>
      <c r="M11700" s="11" t="s">
        <v>28</v>
      </c>
      <c r="N11700" s="8">
        <v>40890</v>
      </c>
      <c r="O11700" s="9" t="s">
        <v>41</v>
      </c>
      <c r="P11700" s="12" t="s">
        <v>32863</v>
      </c>
      <c r="Q11700" s="9" t="s">
        <v>188</v>
      </c>
      <c r="R11700" s="14" t="str">
        <f>HYPERLINK("https://my.pitchbook.com?c=215226-19T","View Company Online")</f>
        <v>View Company Online</v>
      </c>
    </row>
    <row r="11701" spans="1:18" hidden="1" x14ac:dyDescent="0.3">
      <c r="A11701" s="15" t="s">
        <v>32864</v>
      </c>
      <c r="B11701" s="15" t="s">
        <v>32865</v>
      </c>
      <c r="C11701" s="18" t="s">
        <v>28</v>
      </c>
      <c r="D11701" s="15" t="s">
        <v>32866</v>
      </c>
      <c r="E11701" s="18" t="s">
        <v>28</v>
      </c>
      <c r="F11701" s="19" t="s">
        <v>28</v>
      </c>
      <c r="G11701" s="19">
        <v>5.51</v>
      </c>
      <c r="H11701" s="19">
        <v>5.51</v>
      </c>
      <c r="I11701" s="18" t="s">
        <v>28</v>
      </c>
      <c r="J11701" s="18" t="s">
        <v>28</v>
      </c>
      <c r="K11701" s="18" t="s">
        <v>28</v>
      </c>
      <c r="L11701" s="18" t="s">
        <v>28</v>
      </c>
      <c r="M11701" s="18" t="s">
        <v>28</v>
      </c>
      <c r="N11701" s="17">
        <v>40890</v>
      </c>
      <c r="O11701" s="15" t="s">
        <v>30</v>
      </c>
      <c r="P11701" s="16" t="s">
        <v>4004</v>
      </c>
      <c r="Q11701" s="15" t="s">
        <v>188</v>
      </c>
      <c r="R11701" s="13" t="str">
        <f>HYPERLINK("https://my.pitchbook.com?c=90684-82T","View Company Online")</f>
        <v>View Company Online</v>
      </c>
    </row>
    <row r="11702" spans="1:18" hidden="1" x14ac:dyDescent="0.3">
      <c r="A11702" s="9" t="s">
        <v>32867</v>
      </c>
      <c r="B11702" s="9" t="s">
        <v>32868</v>
      </c>
      <c r="C11702" s="11" t="s">
        <v>28</v>
      </c>
      <c r="D11702" s="9" t="s">
        <v>32869</v>
      </c>
      <c r="E11702" s="11" t="s">
        <v>28</v>
      </c>
      <c r="F11702" s="10" t="s">
        <v>28</v>
      </c>
      <c r="G11702" s="10" t="s">
        <v>28</v>
      </c>
      <c r="H11702" s="10" t="s">
        <v>28</v>
      </c>
      <c r="I11702" s="11" t="s">
        <v>28</v>
      </c>
      <c r="J11702" s="11" t="s">
        <v>28</v>
      </c>
      <c r="K11702" s="11" t="s">
        <v>28</v>
      </c>
      <c r="L11702" s="11" t="s">
        <v>28</v>
      </c>
      <c r="M11702" s="11" t="s">
        <v>28</v>
      </c>
      <c r="N11702" s="8">
        <v>40889</v>
      </c>
      <c r="O11702" s="9" t="s">
        <v>30</v>
      </c>
      <c r="P11702" s="12" t="s">
        <v>27386</v>
      </c>
      <c r="Q11702" s="9" t="s">
        <v>75</v>
      </c>
      <c r="R11702" s="14" t="str">
        <f>HYPERLINK("https://my.pitchbook.com?c=58080-88T","View Company Online")</f>
        <v>View Company Online</v>
      </c>
    </row>
    <row r="11703" spans="1:18" hidden="1" x14ac:dyDescent="0.3">
      <c r="A11703" s="15" t="s">
        <v>32870</v>
      </c>
      <c r="B11703" s="15" t="s">
        <v>23511</v>
      </c>
      <c r="C11703" s="18" t="s">
        <v>28</v>
      </c>
      <c r="D11703" s="15" t="s">
        <v>23512</v>
      </c>
      <c r="E11703" s="18" t="s">
        <v>28</v>
      </c>
      <c r="F11703" s="19">
        <v>1215.01</v>
      </c>
      <c r="G11703" s="19">
        <v>1215.01</v>
      </c>
      <c r="H11703" s="19">
        <v>1215.01</v>
      </c>
      <c r="I11703" s="18" t="s">
        <v>28</v>
      </c>
      <c r="J11703" s="18" t="s">
        <v>28</v>
      </c>
      <c r="K11703" s="18" t="s">
        <v>28</v>
      </c>
      <c r="L11703" s="18" t="s">
        <v>28</v>
      </c>
      <c r="M11703" s="18" t="s">
        <v>28</v>
      </c>
      <c r="N11703" s="17">
        <v>40889</v>
      </c>
      <c r="O11703" s="15" t="s">
        <v>30</v>
      </c>
      <c r="P11703" s="16" t="s">
        <v>63</v>
      </c>
      <c r="Q11703" s="15" t="s">
        <v>1007</v>
      </c>
      <c r="R11703" s="13" t="str">
        <f>HYPERLINK("https://my.pitchbook.com?c=76322-35T","View Company Online")</f>
        <v>View Company Online</v>
      </c>
    </row>
    <row r="11704" spans="1:18" hidden="1" x14ac:dyDescent="0.3">
      <c r="A11704" s="9" t="s">
        <v>32871</v>
      </c>
      <c r="B11704" s="9" t="s">
        <v>32872</v>
      </c>
      <c r="C11704" s="11" t="s">
        <v>28</v>
      </c>
      <c r="D11704" s="9" t="s">
        <v>32873</v>
      </c>
      <c r="E11704" s="11" t="s">
        <v>28</v>
      </c>
      <c r="F11704" s="10" t="s">
        <v>28</v>
      </c>
      <c r="G11704" s="10" t="s">
        <v>28</v>
      </c>
      <c r="H11704" s="10" t="s">
        <v>28</v>
      </c>
      <c r="I11704" s="11" t="s">
        <v>28</v>
      </c>
      <c r="J11704" s="11" t="s">
        <v>28</v>
      </c>
      <c r="K11704" s="11" t="s">
        <v>28</v>
      </c>
      <c r="L11704" s="11" t="s">
        <v>28</v>
      </c>
      <c r="M11704" s="11" t="s">
        <v>28</v>
      </c>
      <c r="N11704" s="8">
        <v>40886</v>
      </c>
      <c r="O11704" s="9" t="s">
        <v>30</v>
      </c>
      <c r="P11704" s="12" t="s">
        <v>3530</v>
      </c>
      <c r="Q11704" s="9" t="s">
        <v>5628</v>
      </c>
      <c r="R11704" s="14" t="str">
        <f>HYPERLINK("https://my.pitchbook.com?c=73502-02T","View Company Online")</f>
        <v>View Company Online</v>
      </c>
    </row>
    <row r="11705" spans="1:18" hidden="1" x14ac:dyDescent="0.3">
      <c r="A11705" s="15" t="s">
        <v>32874</v>
      </c>
      <c r="B11705" s="15" t="s">
        <v>32875</v>
      </c>
      <c r="C11705" s="18" t="s">
        <v>28</v>
      </c>
      <c r="D11705" s="15" t="s">
        <v>32876</v>
      </c>
      <c r="E11705" s="18" t="s">
        <v>28</v>
      </c>
      <c r="F11705" s="19" t="s">
        <v>28</v>
      </c>
      <c r="G11705" s="19">
        <v>7.6</v>
      </c>
      <c r="H11705" s="19">
        <v>19</v>
      </c>
      <c r="I11705" s="18" t="s">
        <v>28</v>
      </c>
      <c r="J11705" s="18" t="s">
        <v>28</v>
      </c>
      <c r="K11705" s="18" t="s">
        <v>28</v>
      </c>
      <c r="L11705" s="18" t="s">
        <v>28</v>
      </c>
      <c r="M11705" s="18" t="s">
        <v>28</v>
      </c>
      <c r="N11705" s="17">
        <v>40886</v>
      </c>
      <c r="O11705" s="15" t="s">
        <v>58</v>
      </c>
      <c r="P11705" s="16" t="s">
        <v>32877</v>
      </c>
      <c r="Q11705" s="15" t="s">
        <v>409</v>
      </c>
      <c r="R11705" s="13" t="str">
        <f>HYPERLINK("https://my.pitchbook.com?c=72544-96T","View Company Online")</f>
        <v>View Company Online</v>
      </c>
    </row>
    <row r="11706" spans="1:18" hidden="1" x14ac:dyDescent="0.3">
      <c r="A11706" s="9" t="s">
        <v>32878</v>
      </c>
      <c r="B11706" s="9" t="s">
        <v>32879</v>
      </c>
      <c r="C11706" s="11" t="s">
        <v>28</v>
      </c>
      <c r="D11706" s="9" t="s">
        <v>32880</v>
      </c>
      <c r="E11706" s="11" t="s">
        <v>28</v>
      </c>
      <c r="F11706" s="10" t="s">
        <v>28</v>
      </c>
      <c r="G11706" s="10" t="s">
        <v>28</v>
      </c>
      <c r="H11706" s="10" t="s">
        <v>28</v>
      </c>
      <c r="I11706" s="11" t="s">
        <v>28</v>
      </c>
      <c r="J11706" s="11" t="s">
        <v>28</v>
      </c>
      <c r="K11706" s="11" t="s">
        <v>28</v>
      </c>
      <c r="L11706" s="11" t="s">
        <v>28</v>
      </c>
      <c r="M11706" s="11" t="s">
        <v>28</v>
      </c>
      <c r="N11706" s="8">
        <v>40885</v>
      </c>
      <c r="O11706" s="9" t="s">
        <v>173</v>
      </c>
      <c r="P11706" s="12" t="s">
        <v>28</v>
      </c>
      <c r="Q11706" s="9" t="s">
        <v>174</v>
      </c>
      <c r="R11706" s="14" t="str">
        <f>HYPERLINK("https://my.pitchbook.com?c=221085-64T","View Company Online")</f>
        <v>View Company Online</v>
      </c>
    </row>
    <row r="11707" spans="1:18" hidden="1" x14ac:dyDescent="0.3">
      <c r="A11707" s="15" t="s">
        <v>32881</v>
      </c>
      <c r="B11707" s="15" t="s">
        <v>32882</v>
      </c>
      <c r="C11707" s="18" t="s">
        <v>28</v>
      </c>
      <c r="D11707" s="15" t="s">
        <v>32883</v>
      </c>
      <c r="E11707" s="18" t="s">
        <v>28</v>
      </c>
      <c r="F11707" s="19" t="s">
        <v>28</v>
      </c>
      <c r="G11707" s="19" t="s">
        <v>28</v>
      </c>
      <c r="H11707" s="19" t="s">
        <v>28</v>
      </c>
      <c r="I11707" s="18" t="s">
        <v>28</v>
      </c>
      <c r="J11707" s="18" t="s">
        <v>28</v>
      </c>
      <c r="K11707" s="18">
        <v>250</v>
      </c>
      <c r="L11707" s="18" t="s">
        <v>28</v>
      </c>
      <c r="M11707" s="18" t="s">
        <v>28</v>
      </c>
      <c r="N11707" s="17">
        <v>40883</v>
      </c>
      <c r="O11707" s="15" t="s">
        <v>30</v>
      </c>
      <c r="P11707" s="16" t="s">
        <v>32884</v>
      </c>
      <c r="Q11707" s="15" t="s">
        <v>85</v>
      </c>
      <c r="R11707" s="13" t="str">
        <f>HYPERLINK("https://my.pitchbook.com?c=70295-95T","View Company Online")</f>
        <v>View Company Online</v>
      </c>
    </row>
    <row r="11708" spans="1:18" hidden="1" x14ac:dyDescent="0.3">
      <c r="A11708" s="9" t="s">
        <v>32885</v>
      </c>
      <c r="B11708" s="9" t="s">
        <v>32886</v>
      </c>
      <c r="C11708" s="11" t="s">
        <v>28</v>
      </c>
      <c r="D11708" s="9" t="s">
        <v>32887</v>
      </c>
      <c r="E11708" s="11">
        <v>-326.08</v>
      </c>
      <c r="F11708" s="10" t="s">
        <v>28</v>
      </c>
      <c r="G11708" s="10">
        <v>72.27</v>
      </c>
      <c r="H11708" s="10" t="s">
        <v>28</v>
      </c>
      <c r="I11708" s="11">
        <v>-320.08999999999997</v>
      </c>
      <c r="J11708" s="11" t="s">
        <v>28</v>
      </c>
      <c r="K11708" s="11">
        <v>6.59</v>
      </c>
      <c r="L11708" s="11" t="s">
        <v>28</v>
      </c>
      <c r="M11708" s="11">
        <v>-328.06</v>
      </c>
      <c r="N11708" s="8">
        <v>40882</v>
      </c>
      <c r="O11708" s="9" t="s">
        <v>159</v>
      </c>
      <c r="P11708" s="12" t="s">
        <v>32888</v>
      </c>
      <c r="Q11708" s="9" t="s">
        <v>69</v>
      </c>
      <c r="R11708" s="14" t="str">
        <f>HYPERLINK("https://my.pitchbook.com?c=82370-44T","View Company Online")</f>
        <v>View Company Online</v>
      </c>
    </row>
    <row r="11709" spans="1:18" hidden="1" x14ac:dyDescent="0.3">
      <c r="A11709" s="15" t="s">
        <v>32889</v>
      </c>
      <c r="B11709" s="15" t="s">
        <v>32890</v>
      </c>
      <c r="C11709" s="18" t="s">
        <v>28</v>
      </c>
      <c r="D11709" s="15" t="s">
        <v>32891</v>
      </c>
      <c r="E11709" s="18" t="s">
        <v>28</v>
      </c>
      <c r="F11709" s="19" t="s">
        <v>28</v>
      </c>
      <c r="G11709" s="19" t="s">
        <v>28</v>
      </c>
      <c r="H11709" s="19" t="s">
        <v>28</v>
      </c>
      <c r="I11709" s="18" t="s">
        <v>28</v>
      </c>
      <c r="J11709" s="18" t="s">
        <v>28</v>
      </c>
      <c r="K11709" s="18" t="s">
        <v>28</v>
      </c>
      <c r="L11709" s="18" t="s">
        <v>28</v>
      </c>
      <c r="M11709" s="18" t="s">
        <v>28</v>
      </c>
      <c r="N11709" s="17">
        <v>40878</v>
      </c>
      <c r="O11709" s="15" t="s">
        <v>30</v>
      </c>
      <c r="P11709" s="16" t="s">
        <v>32892</v>
      </c>
      <c r="Q11709" s="15" t="s">
        <v>404</v>
      </c>
      <c r="R11709" s="13" t="str">
        <f>HYPERLINK("https://my.pitchbook.com?c=82606-42T","View Company Online")</f>
        <v>View Company Online</v>
      </c>
    </row>
    <row r="11710" spans="1:18" hidden="1" x14ac:dyDescent="0.3">
      <c r="A11710" s="9" t="s">
        <v>32893</v>
      </c>
      <c r="B11710" s="9" t="s">
        <v>31337</v>
      </c>
      <c r="C11710" s="11" t="s">
        <v>28</v>
      </c>
      <c r="D11710" s="9" t="s">
        <v>31338</v>
      </c>
      <c r="E11710" s="11" t="s">
        <v>28</v>
      </c>
      <c r="F11710" s="10" t="s">
        <v>28</v>
      </c>
      <c r="G11710" s="10" t="s">
        <v>28</v>
      </c>
      <c r="H11710" s="10" t="s">
        <v>28</v>
      </c>
      <c r="I11710" s="11" t="s">
        <v>28</v>
      </c>
      <c r="J11710" s="11" t="s">
        <v>28</v>
      </c>
      <c r="K11710" s="11" t="s">
        <v>28</v>
      </c>
      <c r="L11710" s="11" t="s">
        <v>28</v>
      </c>
      <c r="M11710" s="11" t="s">
        <v>28</v>
      </c>
      <c r="N11710" s="8">
        <v>40878</v>
      </c>
      <c r="O11710" s="9" t="s">
        <v>30</v>
      </c>
      <c r="P11710" s="12" t="s">
        <v>32894</v>
      </c>
      <c r="Q11710" s="9" t="s">
        <v>22648</v>
      </c>
      <c r="R11710" s="14" t="str">
        <f>HYPERLINK("https://my.pitchbook.com?c=84769-03T","View Company Online")</f>
        <v>View Company Online</v>
      </c>
    </row>
    <row r="11711" spans="1:18" hidden="1" x14ac:dyDescent="0.3">
      <c r="A11711" s="15" t="s">
        <v>32895</v>
      </c>
      <c r="B11711" s="15" t="s">
        <v>32896</v>
      </c>
      <c r="C11711" s="18" t="s">
        <v>28</v>
      </c>
      <c r="D11711" s="15" t="s">
        <v>32897</v>
      </c>
      <c r="E11711" s="18">
        <v>10.4</v>
      </c>
      <c r="F11711" s="19">
        <v>98.6</v>
      </c>
      <c r="G11711" s="19">
        <v>98.6</v>
      </c>
      <c r="H11711" s="19">
        <v>98.6</v>
      </c>
      <c r="I11711" s="18" t="s">
        <v>28</v>
      </c>
      <c r="J11711" s="18" t="s">
        <v>28</v>
      </c>
      <c r="K11711" s="18">
        <v>113.6</v>
      </c>
      <c r="L11711" s="18">
        <v>0.87</v>
      </c>
      <c r="M11711" s="18">
        <v>10.4</v>
      </c>
      <c r="N11711" s="17">
        <v>40878</v>
      </c>
      <c r="O11711" s="15" t="s">
        <v>30</v>
      </c>
      <c r="P11711" s="16" t="s">
        <v>28</v>
      </c>
      <c r="Q11711" s="15" t="s">
        <v>85</v>
      </c>
      <c r="R11711" s="13" t="str">
        <f>HYPERLINK("https://my.pitchbook.com?c=63910-45T","View Company Online")</f>
        <v>View Company Online</v>
      </c>
    </row>
    <row r="11712" spans="1:18" hidden="1" x14ac:dyDescent="0.3">
      <c r="A11712" s="9" t="s">
        <v>32898</v>
      </c>
      <c r="B11712" s="9" t="s">
        <v>32899</v>
      </c>
      <c r="C11712" s="11" t="s">
        <v>28</v>
      </c>
      <c r="D11712" s="9" t="s">
        <v>32900</v>
      </c>
      <c r="E11712" s="11" t="s">
        <v>28</v>
      </c>
      <c r="F11712" s="10">
        <v>149.05000000000001</v>
      </c>
      <c r="G11712" s="10">
        <v>149.05000000000001</v>
      </c>
      <c r="H11712" s="10">
        <v>149.05000000000001</v>
      </c>
      <c r="I11712" s="11" t="s">
        <v>28</v>
      </c>
      <c r="J11712" s="11" t="s">
        <v>28</v>
      </c>
      <c r="K11712" s="11" t="s">
        <v>28</v>
      </c>
      <c r="L11712" s="11" t="s">
        <v>28</v>
      </c>
      <c r="M11712" s="11" t="s">
        <v>28</v>
      </c>
      <c r="N11712" s="8">
        <v>40878</v>
      </c>
      <c r="O11712" s="9" t="s">
        <v>30</v>
      </c>
      <c r="P11712" s="12" t="s">
        <v>32901</v>
      </c>
      <c r="Q11712" s="9" t="s">
        <v>409</v>
      </c>
      <c r="R11712" s="14" t="str">
        <f>HYPERLINK("https://my.pitchbook.com?c=72401-86T","View Company Online")</f>
        <v>View Company Online</v>
      </c>
    </row>
    <row r="11713" spans="1:18" hidden="1" x14ac:dyDescent="0.3">
      <c r="A11713" s="15" t="s">
        <v>32902</v>
      </c>
      <c r="B11713" s="15" t="s">
        <v>32903</v>
      </c>
      <c r="C11713" s="18" t="s">
        <v>28</v>
      </c>
      <c r="D11713" s="15" t="s">
        <v>32904</v>
      </c>
      <c r="E11713" s="18" t="s">
        <v>28</v>
      </c>
      <c r="F11713" s="19" t="s">
        <v>28</v>
      </c>
      <c r="G11713" s="19" t="s">
        <v>28</v>
      </c>
      <c r="H11713" s="19" t="s">
        <v>28</v>
      </c>
      <c r="I11713" s="18" t="s">
        <v>28</v>
      </c>
      <c r="J11713" s="18" t="s">
        <v>28</v>
      </c>
      <c r="K11713" s="18">
        <v>13.9</v>
      </c>
      <c r="L11713" s="18" t="s">
        <v>28</v>
      </c>
      <c r="M11713" s="18" t="s">
        <v>28</v>
      </c>
      <c r="N11713" s="17">
        <v>40878</v>
      </c>
      <c r="O11713" s="15" t="s">
        <v>30</v>
      </c>
      <c r="P11713" s="16" t="s">
        <v>32905</v>
      </c>
      <c r="Q11713" s="15" t="s">
        <v>4670</v>
      </c>
      <c r="R11713" s="13" t="str">
        <f>HYPERLINK("https://my.pitchbook.com?c=75489-58T","View Company Online")</f>
        <v>View Company Online</v>
      </c>
    </row>
    <row r="11714" spans="1:18" hidden="1" x14ac:dyDescent="0.3">
      <c r="A11714" s="9" t="s">
        <v>32906</v>
      </c>
      <c r="B11714" s="9" t="s">
        <v>20298</v>
      </c>
      <c r="C11714" s="11" t="s">
        <v>28</v>
      </c>
      <c r="D11714" s="9" t="s">
        <v>20299</v>
      </c>
      <c r="E11714" s="11" t="s">
        <v>28</v>
      </c>
      <c r="F11714" s="10" t="s">
        <v>28</v>
      </c>
      <c r="G11714" s="10" t="s">
        <v>28</v>
      </c>
      <c r="H11714" s="10" t="s">
        <v>28</v>
      </c>
      <c r="I11714" s="11" t="s">
        <v>28</v>
      </c>
      <c r="J11714" s="11" t="s">
        <v>28</v>
      </c>
      <c r="K11714" s="11" t="s">
        <v>28</v>
      </c>
      <c r="L11714" s="11" t="s">
        <v>28</v>
      </c>
      <c r="M11714" s="11" t="s">
        <v>28</v>
      </c>
      <c r="N11714" s="8">
        <v>40878</v>
      </c>
      <c r="O11714" s="9" t="s">
        <v>73</v>
      </c>
      <c r="P11714" s="12" t="s">
        <v>32907</v>
      </c>
      <c r="Q11714" s="9" t="s">
        <v>386</v>
      </c>
      <c r="R11714" s="14" t="str">
        <f>HYPERLINK("https://my.pitchbook.com?c=19948-24T","View Company Online")</f>
        <v>View Company Online</v>
      </c>
    </row>
    <row r="11715" spans="1:18" hidden="1" x14ac:dyDescent="0.3">
      <c r="A11715" s="15" t="s">
        <v>32908</v>
      </c>
      <c r="B11715" s="15" t="s">
        <v>32909</v>
      </c>
      <c r="C11715" s="18" t="s">
        <v>28</v>
      </c>
      <c r="D11715" s="15" t="s">
        <v>32910</v>
      </c>
      <c r="E11715" s="18" t="s">
        <v>28</v>
      </c>
      <c r="F11715" s="19" t="s">
        <v>28</v>
      </c>
      <c r="G11715" s="19">
        <v>0.03</v>
      </c>
      <c r="H11715" s="19" t="s">
        <v>28</v>
      </c>
      <c r="I11715" s="18" t="s">
        <v>28</v>
      </c>
      <c r="J11715" s="18" t="s">
        <v>28</v>
      </c>
      <c r="K11715" s="18" t="s">
        <v>28</v>
      </c>
      <c r="L11715" s="18" t="s">
        <v>28</v>
      </c>
      <c r="M11715" s="18" t="s">
        <v>28</v>
      </c>
      <c r="N11715" s="17">
        <v>40878</v>
      </c>
      <c r="O11715" s="15" t="s">
        <v>47</v>
      </c>
      <c r="P11715" s="16" t="s">
        <v>32911</v>
      </c>
      <c r="Q11715" s="15" t="s">
        <v>3912</v>
      </c>
      <c r="R11715" s="13" t="str">
        <f>HYPERLINK("https://my.pitchbook.com?c=57902-41T","View Company Online")</f>
        <v>View Company Online</v>
      </c>
    </row>
    <row r="11716" spans="1:18" hidden="1" x14ac:dyDescent="0.3">
      <c r="A11716" s="9" t="s">
        <v>32912</v>
      </c>
      <c r="B11716" s="9" t="s">
        <v>29258</v>
      </c>
      <c r="C11716" s="11" t="s">
        <v>28</v>
      </c>
      <c r="D11716" s="9" t="s">
        <v>29259</v>
      </c>
      <c r="E11716" s="11" t="s">
        <v>28</v>
      </c>
      <c r="F11716" s="10" t="s">
        <v>28</v>
      </c>
      <c r="G11716" s="10" t="s">
        <v>28</v>
      </c>
      <c r="H11716" s="10" t="s">
        <v>28</v>
      </c>
      <c r="I11716" s="11" t="s">
        <v>28</v>
      </c>
      <c r="J11716" s="11" t="s">
        <v>28</v>
      </c>
      <c r="K11716" s="11" t="s">
        <v>28</v>
      </c>
      <c r="L11716" s="11" t="s">
        <v>28</v>
      </c>
      <c r="M11716" s="11" t="s">
        <v>28</v>
      </c>
      <c r="N11716" s="8">
        <v>40878</v>
      </c>
      <c r="O11716" s="9" t="s">
        <v>73</v>
      </c>
      <c r="P11716" s="12" t="s">
        <v>32913</v>
      </c>
      <c r="Q11716" s="9" t="s">
        <v>855</v>
      </c>
      <c r="R11716" s="14" t="str">
        <f>HYPERLINK("https://my.pitchbook.com?c=73160-29T","View Company Online")</f>
        <v>View Company Online</v>
      </c>
    </row>
    <row r="11717" spans="1:18" hidden="1" x14ac:dyDescent="0.3">
      <c r="A11717" s="15" t="s">
        <v>32914</v>
      </c>
      <c r="B11717" s="15" t="s">
        <v>24973</v>
      </c>
      <c r="C11717" s="18" t="s">
        <v>28</v>
      </c>
      <c r="D11717" s="15" t="s">
        <v>24974</v>
      </c>
      <c r="E11717" s="18" t="s">
        <v>28</v>
      </c>
      <c r="F11717" s="19" t="s">
        <v>28</v>
      </c>
      <c r="G11717" s="19">
        <v>2.66</v>
      </c>
      <c r="H11717" s="19" t="s">
        <v>28</v>
      </c>
      <c r="I11717" s="18" t="s">
        <v>28</v>
      </c>
      <c r="J11717" s="18" t="s">
        <v>28</v>
      </c>
      <c r="K11717" s="18" t="s">
        <v>28</v>
      </c>
      <c r="L11717" s="18" t="s">
        <v>28</v>
      </c>
      <c r="M11717" s="18" t="s">
        <v>28</v>
      </c>
      <c r="N11717" s="17">
        <v>40878</v>
      </c>
      <c r="O11717" s="15" t="s">
        <v>99</v>
      </c>
      <c r="P11717" s="16" t="s">
        <v>3430</v>
      </c>
      <c r="Q11717" s="15" t="s">
        <v>75</v>
      </c>
      <c r="R11717" s="13" t="str">
        <f>HYPERLINK("https://my.pitchbook.com?c=210581-74T","View Company Online")</f>
        <v>View Company Online</v>
      </c>
    </row>
    <row r="11718" spans="1:18" hidden="1" x14ac:dyDescent="0.3">
      <c r="A11718" s="9" t="s">
        <v>32915</v>
      </c>
      <c r="B11718" s="9" t="s">
        <v>22239</v>
      </c>
      <c r="C11718" s="11" t="s">
        <v>28</v>
      </c>
      <c r="D11718" s="9" t="s">
        <v>22240</v>
      </c>
      <c r="E11718" s="11" t="s">
        <v>28</v>
      </c>
      <c r="F11718" s="10" t="s">
        <v>28</v>
      </c>
      <c r="G11718" s="10" t="s">
        <v>28</v>
      </c>
      <c r="H11718" s="10" t="s">
        <v>28</v>
      </c>
      <c r="I11718" s="11" t="s">
        <v>28</v>
      </c>
      <c r="J11718" s="11" t="s">
        <v>28</v>
      </c>
      <c r="K11718" s="11" t="s">
        <v>28</v>
      </c>
      <c r="L11718" s="11" t="s">
        <v>28</v>
      </c>
      <c r="M11718" s="11" t="s">
        <v>28</v>
      </c>
      <c r="N11718" s="8">
        <v>40878</v>
      </c>
      <c r="O11718" s="9" t="s">
        <v>79</v>
      </c>
      <c r="P11718" s="12" t="s">
        <v>3430</v>
      </c>
      <c r="Q11718" s="9" t="s">
        <v>75</v>
      </c>
      <c r="R11718" s="14" t="str">
        <f>HYPERLINK("https://my.pitchbook.com?c=210584-80T","View Company Online")</f>
        <v>View Company Online</v>
      </c>
    </row>
    <row r="11719" spans="1:18" hidden="1" x14ac:dyDescent="0.3">
      <c r="A11719" s="15" t="s">
        <v>32916</v>
      </c>
      <c r="B11719" s="15" t="s">
        <v>10355</v>
      </c>
      <c r="C11719" s="18" t="s">
        <v>28</v>
      </c>
      <c r="D11719" s="15" t="s">
        <v>10356</v>
      </c>
      <c r="E11719" s="18" t="s">
        <v>28</v>
      </c>
      <c r="F11719" s="19" t="s">
        <v>28</v>
      </c>
      <c r="G11719" s="19">
        <v>1</v>
      </c>
      <c r="H11719" s="19" t="s">
        <v>28</v>
      </c>
      <c r="I11719" s="18" t="s">
        <v>28</v>
      </c>
      <c r="J11719" s="18" t="s">
        <v>28</v>
      </c>
      <c r="K11719" s="18">
        <v>131.08000000000001</v>
      </c>
      <c r="L11719" s="18" t="s">
        <v>28</v>
      </c>
      <c r="M11719" s="18" t="s">
        <v>28</v>
      </c>
      <c r="N11719" s="17">
        <v>40878</v>
      </c>
      <c r="O11719" s="15" t="s">
        <v>79</v>
      </c>
      <c r="P11719" s="16" t="s">
        <v>32917</v>
      </c>
      <c r="Q11719" s="15" t="s">
        <v>566</v>
      </c>
      <c r="R11719" s="13" t="str">
        <f>HYPERLINK("https://my.pitchbook.com?c=22280-77T","View Company Online")</f>
        <v>View Company Online</v>
      </c>
    </row>
    <row r="11720" spans="1:18" hidden="1" x14ac:dyDescent="0.3">
      <c r="A11720" s="9" t="s">
        <v>32918</v>
      </c>
      <c r="B11720" s="9" t="s">
        <v>9094</v>
      </c>
      <c r="C11720" s="11" t="s">
        <v>28</v>
      </c>
      <c r="D11720" s="9" t="s">
        <v>9095</v>
      </c>
      <c r="E11720" s="11" t="s">
        <v>28</v>
      </c>
      <c r="F11720" s="10">
        <v>353.99</v>
      </c>
      <c r="G11720" s="10">
        <v>177</v>
      </c>
      <c r="H11720" s="10">
        <v>353.99</v>
      </c>
      <c r="I11720" s="11" t="s">
        <v>28</v>
      </c>
      <c r="J11720" s="11" t="s">
        <v>28</v>
      </c>
      <c r="K11720" s="11" t="s">
        <v>28</v>
      </c>
      <c r="L11720" s="11" t="s">
        <v>28</v>
      </c>
      <c r="M11720" s="11" t="s">
        <v>28</v>
      </c>
      <c r="N11720" s="8">
        <v>40877</v>
      </c>
      <c r="O11720" s="9" t="s">
        <v>30</v>
      </c>
      <c r="P11720" s="12" t="s">
        <v>2951</v>
      </c>
      <c r="Q11720" s="9" t="s">
        <v>331</v>
      </c>
      <c r="R11720" s="14" t="str">
        <f>HYPERLINK("https://my.pitchbook.com?c=59701-96T","View Company Online")</f>
        <v>View Company Online</v>
      </c>
    </row>
    <row r="11721" spans="1:18" hidden="1" x14ac:dyDescent="0.3">
      <c r="A11721" s="15" t="s">
        <v>32919</v>
      </c>
      <c r="B11721" s="15" t="s">
        <v>32920</v>
      </c>
      <c r="C11721" s="18" t="s">
        <v>28</v>
      </c>
      <c r="D11721" s="15" t="s">
        <v>32921</v>
      </c>
      <c r="E11721" s="18" t="s">
        <v>28</v>
      </c>
      <c r="F11721" s="19" t="s">
        <v>28</v>
      </c>
      <c r="G11721" s="19" t="s">
        <v>28</v>
      </c>
      <c r="H11721" s="19" t="s">
        <v>28</v>
      </c>
      <c r="I11721" s="18" t="s">
        <v>28</v>
      </c>
      <c r="J11721" s="18" t="s">
        <v>28</v>
      </c>
      <c r="K11721" s="18" t="s">
        <v>28</v>
      </c>
      <c r="L11721" s="18" t="s">
        <v>28</v>
      </c>
      <c r="M11721" s="18" t="s">
        <v>28</v>
      </c>
      <c r="N11721" s="17">
        <v>40875</v>
      </c>
      <c r="O11721" s="15" t="s">
        <v>173</v>
      </c>
      <c r="P11721" s="16" t="s">
        <v>28</v>
      </c>
      <c r="Q11721" s="15" t="s">
        <v>174</v>
      </c>
      <c r="R11721" s="13" t="str">
        <f>HYPERLINK("https://my.pitchbook.com?c=224103-88T","View Company Online")</f>
        <v>View Company Online</v>
      </c>
    </row>
    <row r="11722" spans="1:18" hidden="1" x14ac:dyDescent="0.3">
      <c r="A11722" s="9" t="s">
        <v>32922</v>
      </c>
      <c r="B11722" s="9" t="s">
        <v>32923</v>
      </c>
      <c r="C11722" s="11" t="s">
        <v>28</v>
      </c>
      <c r="D11722" s="9" t="s">
        <v>32924</v>
      </c>
      <c r="E11722" s="11" t="s">
        <v>28</v>
      </c>
      <c r="F11722" s="10">
        <v>367</v>
      </c>
      <c r="G11722" s="10">
        <v>367</v>
      </c>
      <c r="H11722" s="10">
        <v>367</v>
      </c>
      <c r="I11722" s="11" t="s">
        <v>28</v>
      </c>
      <c r="J11722" s="11" t="s">
        <v>28</v>
      </c>
      <c r="K11722" s="11" t="s">
        <v>28</v>
      </c>
      <c r="L11722" s="11" t="s">
        <v>28</v>
      </c>
      <c r="M11722" s="11" t="s">
        <v>28</v>
      </c>
      <c r="N11722" s="8">
        <v>40875</v>
      </c>
      <c r="O11722" s="9" t="s">
        <v>30</v>
      </c>
      <c r="P11722" s="12" t="s">
        <v>2141</v>
      </c>
      <c r="Q11722" s="9" t="s">
        <v>64</v>
      </c>
      <c r="R11722" s="14" t="str">
        <f>HYPERLINK("https://my.pitchbook.com?c=90560-26T","View Company Online")</f>
        <v>View Company Online</v>
      </c>
    </row>
    <row r="11723" spans="1:18" hidden="1" x14ac:dyDescent="0.3">
      <c r="A11723" s="15" t="s">
        <v>32925</v>
      </c>
      <c r="B11723" s="15" t="s">
        <v>32926</v>
      </c>
      <c r="C11723" s="18" t="s">
        <v>28</v>
      </c>
      <c r="D11723" s="15" t="s">
        <v>32927</v>
      </c>
      <c r="E11723" s="18" t="s">
        <v>28</v>
      </c>
      <c r="F11723" s="19" t="s">
        <v>28</v>
      </c>
      <c r="G11723" s="19" t="s">
        <v>28</v>
      </c>
      <c r="H11723" s="19" t="s">
        <v>28</v>
      </c>
      <c r="I11723" s="18" t="s">
        <v>28</v>
      </c>
      <c r="J11723" s="18" t="s">
        <v>28</v>
      </c>
      <c r="K11723" s="18" t="s">
        <v>28</v>
      </c>
      <c r="L11723" s="18" t="s">
        <v>28</v>
      </c>
      <c r="M11723" s="18" t="s">
        <v>28</v>
      </c>
      <c r="N11723" s="17">
        <v>40875</v>
      </c>
      <c r="O11723" s="15" t="s">
        <v>79</v>
      </c>
      <c r="P11723" s="16" t="s">
        <v>32928</v>
      </c>
      <c r="Q11723" s="15" t="s">
        <v>583</v>
      </c>
      <c r="R11723" s="13" t="str">
        <f>HYPERLINK("https://my.pitchbook.com?c=58041-64T","View Company Online")</f>
        <v>View Company Online</v>
      </c>
    </row>
    <row r="11724" spans="1:18" hidden="1" x14ac:dyDescent="0.3">
      <c r="A11724" s="9" t="s">
        <v>32929</v>
      </c>
      <c r="B11724" s="9" t="s">
        <v>19642</v>
      </c>
      <c r="C11724" s="11" t="s">
        <v>28</v>
      </c>
      <c r="D11724" s="9" t="s">
        <v>19643</v>
      </c>
      <c r="E11724" s="11" t="s">
        <v>28</v>
      </c>
      <c r="F11724" s="10">
        <v>147.54</v>
      </c>
      <c r="G11724" s="10">
        <v>75.569999999999993</v>
      </c>
      <c r="H11724" s="10">
        <v>147.53</v>
      </c>
      <c r="I11724" s="11" t="s">
        <v>28</v>
      </c>
      <c r="J11724" s="11" t="s">
        <v>28</v>
      </c>
      <c r="K11724" s="11">
        <v>506.44</v>
      </c>
      <c r="L11724" s="11">
        <v>0.28999999999999998</v>
      </c>
      <c r="M11724" s="11" t="s">
        <v>28</v>
      </c>
      <c r="N11724" s="8">
        <v>40872</v>
      </c>
      <c r="O11724" s="9" t="s">
        <v>41</v>
      </c>
      <c r="P11724" s="12" t="s">
        <v>21400</v>
      </c>
      <c r="Q11724" s="9" t="s">
        <v>5347</v>
      </c>
      <c r="R11724" s="14" t="str">
        <f>HYPERLINK("https://my.pitchbook.com?c=74213-56T","View Company Online")</f>
        <v>View Company Online</v>
      </c>
    </row>
    <row r="11725" spans="1:18" hidden="1" x14ac:dyDescent="0.3">
      <c r="A11725" s="15" t="s">
        <v>32930</v>
      </c>
      <c r="B11725" s="15" t="s">
        <v>32798</v>
      </c>
      <c r="C11725" s="18" t="s">
        <v>28</v>
      </c>
      <c r="D11725" s="15" t="s">
        <v>32799</v>
      </c>
      <c r="E11725" s="18" t="s">
        <v>28</v>
      </c>
      <c r="F11725" s="19" t="s">
        <v>28</v>
      </c>
      <c r="G11725" s="19" t="s">
        <v>28</v>
      </c>
      <c r="H11725" s="19" t="s">
        <v>28</v>
      </c>
      <c r="I11725" s="18" t="s">
        <v>28</v>
      </c>
      <c r="J11725" s="18" t="s">
        <v>28</v>
      </c>
      <c r="K11725" s="18" t="s">
        <v>28</v>
      </c>
      <c r="L11725" s="18" t="s">
        <v>28</v>
      </c>
      <c r="M11725" s="18" t="s">
        <v>28</v>
      </c>
      <c r="N11725" s="17">
        <v>40872</v>
      </c>
      <c r="O11725" s="15" t="s">
        <v>52</v>
      </c>
      <c r="P11725" s="16" t="s">
        <v>24901</v>
      </c>
      <c r="Q11725" s="15" t="s">
        <v>3912</v>
      </c>
      <c r="R11725" s="13" t="str">
        <f>HYPERLINK("https://my.pitchbook.com?c=51581-53T","View Company Online")</f>
        <v>View Company Online</v>
      </c>
    </row>
    <row r="11726" spans="1:18" hidden="1" x14ac:dyDescent="0.3">
      <c r="A11726" s="9" t="s">
        <v>32931</v>
      </c>
      <c r="B11726" s="9" t="s">
        <v>32932</v>
      </c>
      <c r="C11726" s="11" t="s">
        <v>28</v>
      </c>
      <c r="D11726" s="9" t="s">
        <v>32933</v>
      </c>
      <c r="E11726" s="11" t="s">
        <v>28</v>
      </c>
      <c r="F11726" s="10">
        <v>85.15</v>
      </c>
      <c r="G11726" s="10">
        <v>62.71</v>
      </c>
      <c r="H11726" s="10">
        <v>85.15</v>
      </c>
      <c r="I11726" s="11" t="s">
        <v>28</v>
      </c>
      <c r="J11726" s="11" t="s">
        <v>28</v>
      </c>
      <c r="K11726" s="11" t="s">
        <v>28</v>
      </c>
      <c r="L11726" s="11" t="s">
        <v>28</v>
      </c>
      <c r="M11726" s="11" t="s">
        <v>28</v>
      </c>
      <c r="N11726" s="8">
        <v>40872</v>
      </c>
      <c r="O11726" s="9" t="s">
        <v>30</v>
      </c>
      <c r="P11726" s="12" t="s">
        <v>32934</v>
      </c>
      <c r="Q11726" s="9" t="s">
        <v>13990</v>
      </c>
      <c r="R11726" s="14" t="str">
        <f>HYPERLINK("https://my.pitchbook.com?c=75021-67T","View Company Online")</f>
        <v>View Company Online</v>
      </c>
    </row>
    <row r="11727" spans="1:18" hidden="1" x14ac:dyDescent="0.3">
      <c r="A11727" s="15" t="s">
        <v>32935</v>
      </c>
      <c r="B11727" s="15" t="s">
        <v>5653</v>
      </c>
      <c r="C11727" s="18" t="s">
        <v>28</v>
      </c>
      <c r="D11727" s="15" t="s">
        <v>28008</v>
      </c>
      <c r="E11727" s="18" t="s">
        <v>28</v>
      </c>
      <c r="F11727" s="19" t="s">
        <v>28</v>
      </c>
      <c r="G11727" s="19" t="s">
        <v>28</v>
      </c>
      <c r="H11727" s="19" t="s">
        <v>28</v>
      </c>
      <c r="I11727" s="18" t="s">
        <v>28</v>
      </c>
      <c r="J11727" s="18" t="s">
        <v>28</v>
      </c>
      <c r="K11727" s="18" t="s">
        <v>28</v>
      </c>
      <c r="L11727" s="18" t="s">
        <v>28</v>
      </c>
      <c r="M11727" s="18" t="s">
        <v>28</v>
      </c>
      <c r="N11727" s="17">
        <v>40871</v>
      </c>
      <c r="O11727" s="15" t="s">
        <v>58</v>
      </c>
      <c r="P11727" s="16" t="s">
        <v>343</v>
      </c>
      <c r="Q11727" s="15" t="s">
        <v>240</v>
      </c>
      <c r="R11727" s="13" t="str">
        <f>HYPERLINK("https://my.pitchbook.com?c=61543-99T","View Company Online")</f>
        <v>View Company Online</v>
      </c>
    </row>
    <row r="11728" spans="1:18" hidden="1" x14ac:dyDescent="0.3">
      <c r="A11728" s="9" t="s">
        <v>32936</v>
      </c>
      <c r="B11728" s="9" t="s">
        <v>32937</v>
      </c>
      <c r="C11728" s="11" t="s">
        <v>28</v>
      </c>
      <c r="D11728" s="9" t="s">
        <v>32938</v>
      </c>
      <c r="E11728" s="11" t="s">
        <v>28</v>
      </c>
      <c r="F11728" s="10" t="s">
        <v>28</v>
      </c>
      <c r="G11728" s="10" t="s">
        <v>28</v>
      </c>
      <c r="H11728" s="10" t="s">
        <v>28</v>
      </c>
      <c r="I11728" s="11" t="s">
        <v>28</v>
      </c>
      <c r="J11728" s="11" t="s">
        <v>28</v>
      </c>
      <c r="K11728" s="11" t="s">
        <v>28</v>
      </c>
      <c r="L11728" s="11" t="s">
        <v>28</v>
      </c>
      <c r="M11728" s="11" t="s">
        <v>28</v>
      </c>
      <c r="N11728" s="8">
        <v>40870</v>
      </c>
      <c r="O11728" s="9" t="s">
        <v>30</v>
      </c>
      <c r="P11728" s="12" t="s">
        <v>31754</v>
      </c>
      <c r="Q11728" s="9" t="s">
        <v>75</v>
      </c>
      <c r="R11728" s="14" t="str">
        <f>HYPERLINK("https://my.pitchbook.com?c=68819-32T","View Company Online")</f>
        <v>View Company Online</v>
      </c>
    </row>
    <row r="11729" spans="1:18" hidden="1" x14ac:dyDescent="0.3">
      <c r="A11729" s="15" t="s">
        <v>32939</v>
      </c>
      <c r="B11729" s="15" t="s">
        <v>32940</v>
      </c>
      <c r="C11729" s="18" t="s">
        <v>28</v>
      </c>
      <c r="D11729" s="15" t="s">
        <v>32941</v>
      </c>
      <c r="E11729" s="18" t="s">
        <v>28</v>
      </c>
      <c r="F11729" s="19" t="s">
        <v>28</v>
      </c>
      <c r="G11729" s="19" t="s">
        <v>28</v>
      </c>
      <c r="H11729" s="19" t="s">
        <v>28</v>
      </c>
      <c r="I11729" s="18" t="s">
        <v>28</v>
      </c>
      <c r="J11729" s="18" t="s">
        <v>28</v>
      </c>
      <c r="K11729" s="18" t="s">
        <v>28</v>
      </c>
      <c r="L11729" s="18" t="s">
        <v>28</v>
      </c>
      <c r="M11729" s="18" t="s">
        <v>28</v>
      </c>
      <c r="N11729" s="17">
        <v>40868</v>
      </c>
      <c r="O11729" s="15" t="s">
        <v>379</v>
      </c>
      <c r="P11729" s="16" t="s">
        <v>10643</v>
      </c>
      <c r="Q11729" s="15" t="s">
        <v>119</v>
      </c>
      <c r="R11729" s="13" t="str">
        <f>HYPERLINK("https://my.pitchbook.com?c=46629-64T","View Company Online")</f>
        <v>View Company Online</v>
      </c>
    </row>
    <row r="11730" spans="1:18" hidden="1" x14ac:dyDescent="0.3">
      <c r="A11730" s="9" t="s">
        <v>32942</v>
      </c>
      <c r="B11730" s="9" t="s">
        <v>32943</v>
      </c>
      <c r="C11730" s="11" t="s">
        <v>28</v>
      </c>
      <c r="D11730" s="9" t="s">
        <v>32944</v>
      </c>
      <c r="E11730" s="11" t="s">
        <v>28</v>
      </c>
      <c r="F11730" s="10">
        <v>141.94999999999999</v>
      </c>
      <c r="G11730" s="10">
        <v>141.94999999999999</v>
      </c>
      <c r="H11730" s="10">
        <v>141.94999999999999</v>
      </c>
      <c r="I11730" s="11" t="s">
        <v>28</v>
      </c>
      <c r="J11730" s="11" t="s">
        <v>28</v>
      </c>
      <c r="K11730" s="11" t="s">
        <v>28</v>
      </c>
      <c r="L11730" s="11" t="s">
        <v>28</v>
      </c>
      <c r="M11730" s="11" t="s">
        <v>28</v>
      </c>
      <c r="N11730" s="8">
        <v>40868</v>
      </c>
      <c r="O11730" s="9" t="s">
        <v>30</v>
      </c>
      <c r="P11730" s="12" t="s">
        <v>27120</v>
      </c>
      <c r="Q11730" s="9" t="s">
        <v>5347</v>
      </c>
      <c r="R11730" s="14" t="str">
        <f>HYPERLINK("https://my.pitchbook.com?c=90650-98T","View Company Online")</f>
        <v>View Company Online</v>
      </c>
    </row>
    <row r="11731" spans="1:18" hidden="1" x14ac:dyDescent="0.3">
      <c r="A11731" s="15" t="s">
        <v>32945</v>
      </c>
      <c r="B11731" s="15" t="s">
        <v>28423</v>
      </c>
      <c r="C11731" s="18" t="s">
        <v>28</v>
      </c>
      <c r="D11731" s="15" t="s">
        <v>28424</v>
      </c>
      <c r="E11731" s="18" t="s">
        <v>28</v>
      </c>
      <c r="F11731" s="19" t="s">
        <v>28</v>
      </c>
      <c r="G11731" s="19">
        <v>37.549999999999997</v>
      </c>
      <c r="H11731" s="19" t="s">
        <v>28</v>
      </c>
      <c r="I11731" s="18" t="s">
        <v>28</v>
      </c>
      <c r="J11731" s="18" t="s">
        <v>28</v>
      </c>
      <c r="K11731" s="18" t="s">
        <v>28</v>
      </c>
      <c r="L11731" s="18" t="s">
        <v>28</v>
      </c>
      <c r="M11731" s="18" t="s">
        <v>28</v>
      </c>
      <c r="N11731" s="17">
        <v>40867</v>
      </c>
      <c r="O11731" s="15" t="s">
        <v>58</v>
      </c>
      <c r="P11731" s="16" t="s">
        <v>32946</v>
      </c>
      <c r="Q11731" s="15" t="s">
        <v>1982</v>
      </c>
      <c r="R11731" s="13" t="str">
        <f>HYPERLINK("https://my.pitchbook.com?c=73152-28T","View Company Online")</f>
        <v>View Company Online</v>
      </c>
    </row>
    <row r="11732" spans="1:18" hidden="1" x14ac:dyDescent="0.3">
      <c r="A11732" s="9" t="s">
        <v>32947</v>
      </c>
      <c r="B11732" s="9" t="s">
        <v>19005</v>
      </c>
      <c r="C11732" s="11" t="s">
        <v>28</v>
      </c>
      <c r="D11732" s="9" t="s">
        <v>19006</v>
      </c>
      <c r="E11732" s="11" t="s">
        <v>28</v>
      </c>
      <c r="F11732" s="10" t="s">
        <v>28</v>
      </c>
      <c r="G11732" s="10">
        <v>1.83</v>
      </c>
      <c r="H11732" s="10" t="s">
        <v>28</v>
      </c>
      <c r="I11732" s="11" t="s">
        <v>28</v>
      </c>
      <c r="J11732" s="11" t="s">
        <v>28</v>
      </c>
      <c r="K11732" s="11" t="s">
        <v>28</v>
      </c>
      <c r="L11732" s="11" t="s">
        <v>28</v>
      </c>
      <c r="M11732" s="11" t="s">
        <v>28</v>
      </c>
      <c r="N11732" s="8">
        <v>40861</v>
      </c>
      <c r="O11732" s="9" t="s">
        <v>79</v>
      </c>
      <c r="P11732" s="12" t="s">
        <v>32948</v>
      </c>
      <c r="Q11732" s="9" t="s">
        <v>128</v>
      </c>
      <c r="R11732" s="14" t="str">
        <f>HYPERLINK("https://my.pitchbook.com?c=86200-21T","View Company Online")</f>
        <v>View Company Online</v>
      </c>
    </row>
    <row r="11733" spans="1:18" hidden="1" x14ac:dyDescent="0.3">
      <c r="A11733" s="15" t="s">
        <v>32949</v>
      </c>
      <c r="B11733" s="15" t="s">
        <v>32950</v>
      </c>
      <c r="C11733" s="18" t="s">
        <v>28</v>
      </c>
      <c r="D11733" s="15" t="s">
        <v>32951</v>
      </c>
      <c r="E11733" s="18" t="s">
        <v>28</v>
      </c>
      <c r="F11733" s="19" t="s">
        <v>28</v>
      </c>
      <c r="G11733" s="19">
        <v>2735.32</v>
      </c>
      <c r="H11733" s="19">
        <v>9117.74</v>
      </c>
      <c r="I11733" s="18" t="s">
        <v>28</v>
      </c>
      <c r="J11733" s="18" t="s">
        <v>28</v>
      </c>
      <c r="K11733" s="18" t="s">
        <v>28</v>
      </c>
      <c r="L11733" s="18" t="s">
        <v>28</v>
      </c>
      <c r="M11733" s="18" t="s">
        <v>28</v>
      </c>
      <c r="N11733" s="17">
        <v>40861</v>
      </c>
      <c r="O11733" s="15" t="s">
        <v>58</v>
      </c>
      <c r="P11733" s="16" t="s">
        <v>32952</v>
      </c>
      <c r="Q11733" s="15" t="s">
        <v>268</v>
      </c>
      <c r="R11733" s="13" t="str">
        <f>HYPERLINK("https://my.pitchbook.com?c=247686-04T","View Company Online")</f>
        <v>View Company Online</v>
      </c>
    </row>
    <row r="11734" spans="1:18" hidden="1" x14ac:dyDescent="0.3">
      <c r="A11734" s="9" t="s">
        <v>32953</v>
      </c>
      <c r="B11734" s="9" t="s">
        <v>32954</v>
      </c>
      <c r="C11734" s="11" t="s">
        <v>28</v>
      </c>
      <c r="D11734" s="9" t="s">
        <v>32955</v>
      </c>
      <c r="E11734" s="11" t="s">
        <v>28</v>
      </c>
      <c r="F11734" s="10" t="s">
        <v>28</v>
      </c>
      <c r="G11734" s="10" t="s">
        <v>28</v>
      </c>
      <c r="H11734" s="10" t="s">
        <v>28</v>
      </c>
      <c r="I11734" s="11" t="s">
        <v>28</v>
      </c>
      <c r="J11734" s="11" t="s">
        <v>28</v>
      </c>
      <c r="K11734" s="11" t="s">
        <v>28</v>
      </c>
      <c r="L11734" s="11" t="s">
        <v>28</v>
      </c>
      <c r="M11734" s="11" t="s">
        <v>28</v>
      </c>
      <c r="N11734" s="8">
        <v>40861</v>
      </c>
      <c r="O11734" s="9" t="s">
        <v>30</v>
      </c>
      <c r="P11734" s="12" t="s">
        <v>32956</v>
      </c>
      <c r="Q11734" s="9" t="s">
        <v>7913</v>
      </c>
      <c r="R11734" s="14" t="str">
        <f>HYPERLINK("https://my.pitchbook.com?c=92052-91T","View Company Online")</f>
        <v>View Company Online</v>
      </c>
    </row>
    <row r="11735" spans="1:18" hidden="1" x14ac:dyDescent="0.3">
      <c r="A11735" s="15" t="s">
        <v>32957</v>
      </c>
      <c r="B11735" s="15" t="s">
        <v>13644</v>
      </c>
      <c r="C11735" s="18" t="s">
        <v>28</v>
      </c>
      <c r="D11735" s="15" t="s">
        <v>13645</v>
      </c>
      <c r="E11735" s="18" t="s">
        <v>28</v>
      </c>
      <c r="F11735" s="19" t="s">
        <v>28</v>
      </c>
      <c r="G11735" s="19">
        <v>1.56</v>
      </c>
      <c r="H11735" s="19" t="s">
        <v>28</v>
      </c>
      <c r="I11735" s="18" t="s">
        <v>28</v>
      </c>
      <c r="J11735" s="18" t="s">
        <v>28</v>
      </c>
      <c r="K11735" s="18" t="s">
        <v>28</v>
      </c>
      <c r="L11735" s="18" t="s">
        <v>28</v>
      </c>
      <c r="M11735" s="18" t="s">
        <v>28</v>
      </c>
      <c r="N11735" s="17">
        <v>40859</v>
      </c>
      <c r="O11735" s="15" t="s">
        <v>58</v>
      </c>
      <c r="P11735" s="16" t="s">
        <v>28</v>
      </c>
      <c r="Q11735" s="15" t="s">
        <v>245</v>
      </c>
      <c r="R11735" s="13" t="str">
        <f>HYPERLINK("https://my.pitchbook.com?c=258672-97T","View Company Online")</f>
        <v>View Company Online</v>
      </c>
    </row>
    <row r="11736" spans="1:18" hidden="1" x14ac:dyDescent="0.3">
      <c r="A11736" s="9" t="s">
        <v>32958</v>
      </c>
      <c r="B11736" s="9" t="s">
        <v>32959</v>
      </c>
      <c r="C11736" s="11" t="s">
        <v>28</v>
      </c>
      <c r="D11736" s="9" t="s">
        <v>32960</v>
      </c>
      <c r="E11736" s="11" t="s">
        <v>28</v>
      </c>
      <c r="F11736" s="10">
        <v>69.790000000000006</v>
      </c>
      <c r="G11736" s="10">
        <v>69.790000000000006</v>
      </c>
      <c r="H11736" s="10">
        <v>69.790000000000006</v>
      </c>
      <c r="I11736" s="11" t="s">
        <v>28</v>
      </c>
      <c r="J11736" s="11" t="s">
        <v>28</v>
      </c>
      <c r="K11736" s="11" t="s">
        <v>28</v>
      </c>
      <c r="L11736" s="11" t="s">
        <v>28</v>
      </c>
      <c r="M11736" s="11" t="s">
        <v>28</v>
      </c>
      <c r="N11736" s="8">
        <v>40859</v>
      </c>
      <c r="O11736" s="9" t="s">
        <v>30</v>
      </c>
      <c r="P11736" s="12" t="s">
        <v>28</v>
      </c>
      <c r="Q11736" s="9" t="s">
        <v>136</v>
      </c>
      <c r="R11736" s="14" t="str">
        <f>HYPERLINK("https://my.pitchbook.com?c=90500-59T","View Company Online")</f>
        <v>View Company Online</v>
      </c>
    </row>
    <row r="11737" spans="1:18" hidden="1" x14ac:dyDescent="0.3">
      <c r="A11737" s="15" t="s">
        <v>32961</v>
      </c>
      <c r="B11737" s="15" t="s">
        <v>16922</v>
      </c>
      <c r="C11737" s="18" t="s">
        <v>28</v>
      </c>
      <c r="D11737" s="15" t="s">
        <v>17733</v>
      </c>
      <c r="E11737" s="18" t="s">
        <v>28</v>
      </c>
      <c r="F11737" s="19" t="s">
        <v>28</v>
      </c>
      <c r="G11737" s="19" t="s">
        <v>28</v>
      </c>
      <c r="H11737" s="19" t="s">
        <v>28</v>
      </c>
      <c r="I11737" s="18" t="s">
        <v>28</v>
      </c>
      <c r="J11737" s="18" t="s">
        <v>28</v>
      </c>
      <c r="K11737" s="18" t="s">
        <v>28</v>
      </c>
      <c r="L11737" s="18" t="s">
        <v>28</v>
      </c>
      <c r="M11737" s="18" t="s">
        <v>28</v>
      </c>
      <c r="N11737" s="17">
        <v>40858</v>
      </c>
      <c r="O11737" s="15" t="s">
        <v>41</v>
      </c>
      <c r="P11737" s="16" t="s">
        <v>32962</v>
      </c>
      <c r="Q11737" s="15" t="s">
        <v>280</v>
      </c>
      <c r="R11737" s="13" t="str">
        <f>HYPERLINK("https://my.pitchbook.com?c=130923-19T","View Company Online")</f>
        <v>View Company Online</v>
      </c>
    </row>
    <row r="11738" spans="1:18" hidden="1" x14ac:dyDescent="0.3">
      <c r="A11738" s="9" t="s">
        <v>32963</v>
      </c>
      <c r="B11738" s="9" t="s">
        <v>8774</v>
      </c>
      <c r="C11738" s="11" t="s">
        <v>28</v>
      </c>
      <c r="D11738" s="9" t="s">
        <v>8775</v>
      </c>
      <c r="E11738" s="11" t="s">
        <v>28</v>
      </c>
      <c r="F11738" s="10">
        <v>520</v>
      </c>
      <c r="G11738" s="10">
        <v>520</v>
      </c>
      <c r="H11738" s="10">
        <v>520</v>
      </c>
      <c r="I11738" s="11" t="s">
        <v>28</v>
      </c>
      <c r="J11738" s="11" t="s">
        <v>28</v>
      </c>
      <c r="K11738" s="11" t="s">
        <v>28</v>
      </c>
      <c r="L11738" s="11" t="s">
        <v>28</v>
      </c>
      <c r="M11738" s="11" t="s">
        <v>28</v>
      </c>
      <c r="N11738" s="8">
        <v>40857</v>
      </c>
      <c r="O11738" s="9" t="s">
        <v>30</v>
      </c>
      <c r="P11738" s="12" t="s">
        <v>32964</v>
      </c>
      <c r="Q11738" s="9" t="s">
        <v>136</v>
      </c>
      <c r="R11738" s="14" t="str">
        <f>HYPERLINK("https://my.pitchbook.com?c=74745-82T","View Company Online")</f>
        <v>View Company Online</v>
      </c>
    </row>
    <row r="11739" spans="1:18" hidden="1" x14ac:dyDescent="0.3">
      <c r="A11739" s="15" t="s">
        <v>32965</v>
      </c>
      <c r="B11739" s="15" t="s">
        <v>32966</v>
      </c>
      <c r="C11739" s="18" t="s">
        <v>28</v>
      </c>
      <c r="D11739" s="15" t="s">
        <v>32967</v>
      </c>
      <c r="E11739" s="18" t="s">
        <v>28</v>
      </c>
      <c r="F11739" s="19" t="s">
        <v>28</v>
      </c>
      <c r="G11739" s="19" t="s">
        <v>28</v>
      </c>
      <c r="H11739" s="19" t="s">
        <v>28</v>
      </c>
      <c r="I11739" s="18" t="s">
        <v>28</v>
      </c>
      <c r="J11739" s="18" t="s">
        <v>28</v>
      </c>
      <c r="K11739" s="18" t="s">
        <v>28</v>
      </c>
      <c r="L11739" s="18" t="s">
        <v>28</v>
      </c>
      <c r="M11739" s="18" t="s">
        <v>28</v>
      </c>
      <c r="N11739" s="17">
        <v>40855</v>
      </c>
      <c r="O11739" s="15" t="s">
        <v>30</v>
      </c>
      <c r="P11739" s="16" t="s">
        <v>32498</v>
      </c>
      <c r="Q11739" s="15" t="s">
        <v>95</v>
      </c>
      <c r="R11739" s="13" t="str">
        <f>HYPERLINK("https://my.pitchbook.com?c=90513-82T","View Company Online")</f>
        <v>View Company Online</v>
      </c>
    </row>
    <row r="11740" spans="1:18" hidden="1" x14ac:dyDescent="0.3">
      <c r="A11740" s="9" t="s">
        <v>32968</v>
      </c>
      <c r="B11740" s="9" t="s">
        <v>32969</v>
      </c>
      <c r="C11740" s="11" t="s">
        <v>28</v>
      </c>
      <c r="D11740" s="9" t="s">
        <v>32970</v>
      </c>
      <c r="E11740" s="11" t="s">
        <v>28</v>
      </c>
      <c r="F11740" s="10" t="s">
        <v>28</v>
      </c>
      <c r="G11740" s="10" t="s">
        <v>28</v>
      </c>
      <c r="H11740" s="10" t="s">
        <v>28</v>
      </c>
      <c r="I11740" s="11" t="s">
        <v>28</v>
      </c>
      <c r="J11740" s="11" t="s">
        <v>28</v>
      </c>
      <c r="K11740" s="11">
        <v>41.71</v>
      </c>
      <c r="L11740" s="11" t="s">
        <v>28</v>
      </c>
      <c r="M11740" s="11" t="s">
        <v>28</v>
      </c>
      <c r="N11740" s="8">
        <v>40854</v>
      </c>
      <c r="O11740" s="9" t="s">
        <v>30</v>
      </c>
      <c r="P11740" s="12" t="s">
        <v>27100</v>
      </c>
      <c r="Q11740" s="9" t="s">
        <v>4602</v>
      </c>
      <c r="R11740" s="14" t="str">
        <f>HYPERLINK("https://my.pitchbook.com?c=102779-29T","View Company Online")</f>
        <v>View Company Online</v>
      </c>
    </row>
    <row r="11741" spans="1:18" hidden="1" x14ac:dyDescent="0.3">
      <c r="A11741" s="15" t="s">
        <v>32971</v>
      </c>
      <c r="B11741" s="15" t="s">
        <v>32972</v>
      </c>
      <c r="C11741" s="18" t="s">
        <v>28</v>
      </c>
      <c r="D11741" s="15" t="s">
        <v>32973</v>
      </c>
      <c r="E11741" s="18" t="s">
        <v>28</v>
      </c>
      <c r="F11741" s="19" t="s">
        <v>28</v>
      </c>
      <c r="G11741" s="19">
        <v>0.85</v>
      </c>
      <c r="H11741" s="19" t="s">
        <v>28</v>
      </c>
      <c r="I11741" s="18" t="s">
        <v>28</v>
      </c>
      <c r="J11741" s="18" t="s">
        <v>28</v>
      </c>
      <c r="K11741" s="18" t="s">
        <v>28</v>
      </c>
      <c r="L11741" s="18" t="s">
        <v>28</v>
      </c>
      <c r="M11741" s="18" t="s">
        <v>28</v>
      </c>
      <c r="N11741" s="17">
        <v>40851</v>
      </c>
      <c r="O11741" s="15" t="s">
        <v>73</v>
      </c>
      <c r="P11741" s="16" t="s">
        <v>31694</v>
      </c>
      <c r="Q11741" s="15" t="s">
        <v>1853</v>
      </c>
      <c r="R11741" s="13" t="str">
        <f>HYPERLINK("https://my.pitchbook.com?c=91607-32T","View Company Online")</f>
        <v>View Company Online</v>
      </c>
    </row>
    <row r="11742" spans="1:18" hidden="1" x14ac:dyDescent="0.3">
      <c r="A11742" s="9" t="s">
        <v>32974</v>
      </c>
      <c r="B11742" s="9" t="s">
        <v>24658</v>
      </c>
      <c r="C11742" s="11" t="s">
        <v>28</v>
      </c>
      <c r="D11742" s="9" t="s">
        <v>24659</v>
      </c>
      <c r="E11742" s="11" t="s">
        <v>28</v>
      </c>
      <c r="F11742" s="10">
        <v>5074.33</v>
      </c>
      <c r="G11742" s="10">
        <v>2560</v>
      </c>
      <c r="H11742" s="10">
        <v>5074.33</v>
      </c>
      <c r="I11742" s="11" t="s">
        <v>28</v>
      </c>
      <c r="J11742" s="11" t="s">
        <v>28</v>
      </c>
      <c r="K11742" s="11" t="s">
        <v>28</v>
      </c>
      <c r="L11742" s="11" t="s">
        <v>28</v>
      </c>
      <c r="M11742" s="11" t="s">
        <v>28</v>
      </c>
      <c r="N11742" s="8">
        <v>40851</v>
      </c>
      <c r="O11742" s="9" t="s">
        <v>30</v>
      </c>
      <c r="P11742" s="12" t="s">
        <v>32975</v>
      </c>
      <c r="Q11742" s="9" t="s">
        <v>105</v>
      </c>
      <c r="R11742" s="14" t="str">
        <f>HYPERLINK("https://my.pitchbook.com?c=71477-74T","View Company Online")</f>
        <v>View Company Online</v>
      </c>
    </row>
    <row r="11743" spans="1:18" hidden="1" x14ac:dyDescent="0.3">
      <c r="A11743" s="15" t="s">
        <v>32976</v>
      </c>
      <c r="B11743" s="15" t="s">
        <v>32977</v>
      </c>
      <c r="C11743" s="18" t="s">
        <v>28</v>
      </c>
      <c r="D11743" s="15" t="s">
        <v>32978</v>
      </c>
      <c r="E11743" s="18" t="s">
        <v>28</v>
      </c>
      <c r="F11743" s="19">
        <v>458.3</v>
      </c>
      <c r="G11743" s="19">
        <v>458.3</v>
      </c>
      <c r="H11743" s="19">
        <v>458.3</v>
      </c>
      <c r="I11743" s="18" t="s">
        <v>28</v>
      </c>
      <c r="J11743" s="18" t="s">
        <v>28</v>
      </c>
      <c r="K11743" s="18" t="s">
        <v>28</v>
      </c>
      <c r="L11743" s="18" t="s">
        <v>28</v>
      </c>
      <c r="M11743" s="18" t="s">
        <v>28</v>
      </c>
      <c r="N11743" s="17">
        <v>40851</v>
      </c>
      <c r="O11743" s="15" t="s">
        <v>30</v>
      </c>
      <c r="P11743" s="16" t="s">
        <v>32979</v>
      </c>
      <c r="Q11743" s="15" t="s">
        <v>8999</v>
      </c>
      <c r="R11743" s="13" t="str">
        <f>HYPERLINK("https://my.pitchbook.com?c=90450-10T","View Company Online")</f>
        <v>View Company Online</v>
      </c>
    </row>
    <row r="11744" spans="1:18" hidden="1" x14ac:dyDescent="0.3">
      <c r="A11744" s="9" t="s">
        <v>32980</v>
      </c>
      <c r="B11744" s="9" t="s">
        <v>32981</v>
      </c>
      <c r="C11744" s="11" t="s">
        <v>28</v>
      </c>
      <c r="D11744" s="9" t="s">
        <v>32982</v>
      </c>
      <c r="E11744" s="11" t="s">
        <v>28</v>
      </c>
      <c r="F11744" s="10">
        <v>1324.26</v>
      </c>
      <c r="G11744" s="10">
        <v>1324.26</v>
      </c>
      <c r="H11744" s="10">
        <v>1324.26</v>
      </c>
      <c r="I11744" s="11" t="s">
        <v>28</v>
      </c>
      <c r="J11744" s="11" t="s">
        <v>28</v>
      </c>
      <c r="K11744" s="11" t="s">
        <v>28</v>
      </c>
      <c r="L11744" s="11" t="s">
        <v>28</v>
      </c>
      <c r="M11744" s="11" t="s">
        <v>28</v>
      </c>
      <c r="N11744" s="8">
        <v>40851</v>
      </c>
      <c r="O11744" s="9" t="s">
        <v>30</v>
      </c>
      <c r="P11744" s="12" t="s">
        <v>32975</v>
      </c>
      <c r="Q11744" s="9" t="s">
        <v>105</v>
      </c>
      <c r="R11744" s="14" t="str">
        <f>HYPERLINK("https://my.pitchbook.com?c=90522-55T","View Company Online")</f>
        <v>View Company Online</v>
      </c>
    </row>
    <row r="11745" spans="1:18" hidden="1" x14ac:dyDescent="0.3">
      <c r="A11745" s="15" t="s">
        <v>32983</v>
      </c>
      <c r="B11745" s="15" t="s">
        <v>32984</v>
      </c>
      <c r="C11745" s="18" t="s">
        <v>28</v>
      </c>
      <c r="D11745" s="15" t="s">
        <v>32985</v>
      </c>
      <c r="E11745" s="18" t="s">
        <v>28</v>
      </c>
      <c r="F11745" s="19" t="s">
        <v>28</v>
      </c>
      <c r="G11745" s="19" t="s">
        <v>28</v>
      </c>
      <c r="H11745" s="19" t="s">
        <v>28</v>
      </c>
      <c r="I11745" s="18" t="s">
        <v>28</v>
      </c>
      <c r="J11745" s="18" t="s">
        <v>28</v>
      </c>
      <c r="K11745" s="18" t="s">
        <v>28</v>
      </c>
      <c r="L11745" s="18" t="s">
        <v>28</v>
      </c>
      <c r="M11745" s="18" t="s">
        <v>28</v>
      </c>
      <c r="N11745" s="17">
        <v>40850</v>
      </c>
      <c r="O11745" s="15" t="s">
        <v>41</v>
      </c>
      <c r="P11745" s="16" t="s">
        <v>32986</v>
      </c>
      <c r="Q11745" s="15" t="s">
        <v>95</v>
      </c>
      <c r="R11745" s="13" t="str">
        <f>HYPERLINK("https://my.pitchbook.com?c=70692-22T","View Company Online")</f>
        <v>View Company Online</v>
      </c>
    </row>
    <row r="11746" spans="1:18" hidden="1" x14ac:dyDescent="0.3">
      <c r="A11746" s="9" t="s">
        <v>32987</v>
      </c>
      <c r="B11746" s="9" t="s">
        <v>31729</v>
      </c>
      <c r="C11746" s="11" t="s">
        <v>28</v>
      </c>
      <c r="D11746" s="9" t="s">
        <v>31730</v>
      </c>
      <c r="E11746" s="11" t="s">
        <v>28</v>
      </c>
      <c r="F11746" s="10" t="s">
        <v>28</v>
      </c>
      <c r="G11746" s="10">
        <v>3</v>
      </c>
      <c r="H11746" s="10" t="s">
        <v>28</v>
      </c>
      <c r="I11746" s="11" t="s">
        <v>28</v>
      </c>
      <c r="J11746" s="11" t="s">
        <v>28</v>
      </c>
      <c r="K11746" s="11" t="s">
        <v>28</v>
      </c>
      <c r="L11746" s="11" t="s">
        <v>28</v>
      </c>
      <c r="M11746" s="11" t="s">
        <v>28</v>
      </c>
      <c r="N11746" s="8">
        <v>40848</v>
      </c>
      <c r="O11746" s="9" t="s">
        <v>73</v>
      </c>
      <c r="P11746" s="12" t="s">
        <v>32988</v>
      </c>
      <c r="Q11746" s="9" t="s">
        <v>3912</v>
      </c>
      <c r="R11746" s="14" t="str">
        <f>HYPERLINK("https://my.pitchbook.com?c=22495-69T","View Company Online")</f>
        <v>View Company Online</v>
      </c>
    </row>
    <row r="11747" spans="1:18" hidden="1" x14ac:dyDescent="0.3">
      <c r="A11747" s="15" t="s">
        <v>32989</v>
      </c>
      <c r="B11747" s="15" t="s">
        <v>19420</v>
      </c>
      <c r="C11747" s="18" t="s">
        <v>28</v>
      </c>
      <c r="D11747" s="15" t="s">
        <v>19421</v>
      </c>
      <c r="E11747" s="18" t="s">
        <v>28</v>
      </c>
      <c r="F11747" s="19">
        <v>493.39</v>
      </c>
      <c r="G11747" s="19">
        <v>280.24</v>
      </c>
      <c r="H11747" s="19">
        <v>493.39</v>
      </c>
      <c r="I11747" s="18" t="s">
        <v>28</v>
      </c>
      <c r="J11747" s="18" t="s">
        <v>28</v>
      </c>
      <c r="K11747" s="18" t="s">
        <v>28</v>
      </c>
      <c r="L11747" s="18" t="s">
        <v>28</v>
      </c>
      <c r="M11747" s="18" t="s">
        <v>28</v>
      </c>
      <c r="N11747" s="17">
        <v>40848</v>
      </c>
      <c r="O11747" s="15" t="s">
        <v>41</v>
      </c>
      <c r="P11747" s="16" t="s">
        <v>343</v>
      </c>
      <c r="Q11747" s="15" t="s">
        <v>2939</v>
      </c>
      <c r="R11747" s="13" t="str">
        <f>HYPERLINK("https://my.pitchbook.com?c=100633-69T","View Company Online")</f>
        <v>View Company Online</v>
      </c>
    </row>
    <row r="11748" spans="1:18" hidden="1" x14ac:dyDescent="0.3">
      <c r="A11748" s="9" t="s">
        <v>32990</v>
      </c>
      <c r="B11748" s="9" t="s">
        <v>32991</v>
      </c>
      <c r="C11748" s="11" t="s">
        <v>28</v>
      </c>
      <c r="D11748" s="9" t="s">
        <v>32992</v>
      </c>
      <c r="E11748" s="11" t="s">
        <v>28</v>
      </c>
      <c r="F11748" s="10" t="s">
        <v>28</v>
      </c>
      <c r="G11748" s="10">
        <v>1.5</v>
      </c>
      <c r="H11748" s="10" t="s">
        <v>28</v>
      </c>
      <c r="I11748" s="11" t="s">
        <v>28</v>
      </c>
      <c r="J11748" s="11" t="s">
        <v>28</v>
      </c>
      <c r="K11748" s="11" t="s">
        <v>28</v>
      </c>
      <c r="L11748" s="11" t="s">
        <v>28</v>
      </c>
      <c r="M11748" s="11" t="s">
        <v>28</v>
      </c>
      <c r="N11748" s="8">
        <v>40848</v>
      </c>
      <c r="O11748" s="9" t="s">
        <v>73</v>
      </c>
      <c r="P11748" s="12" t="s">
        <v>28</v>
      </c>
      <c r="Q11748" s="9" t="s">
        <v>114</v>
      </c>
      <c r="R11748" s="14" t="str">
        <f>HYPERLINK("https://my.pitchbook.com?c=53424-82T","View Company Online")</f>
        <v>View Company Online</v>
      </c>
    </row>
    <row r="11749" spans="1:18" hidden="1" x14ac:dyDescent="0.3">
      <c r="A11749" s="15" t="s">
        <v>32993</v>
      </c>
      <c r="B11749" s="15" t="s">
        <v>23255</v>
      </c>
      <c r="C11749" s="18" t="s">
        <v>28</v>
      </c>
      <c r="D11749" s="15" t="s">
        <v>23256</v>
      </c>
      <c r="E11749" s="18" t="s">
        <v>28</v>
      </c>
      <c r="F11749" s="19" t="s">
        <v>28</v>
      </c>
      <c r="G11749" s="19" t="s">
        <v>28</v>
      </c>
      <c r="H11749" s="19" t="s">
        <v>28</v>
      </c>
      <c r="I11749" s="18" t="s">
        <v>28</v>
      </c>
      <c r="J11749" s="18" t="s">
        <v>28</v>
      </c>
      <c r="K11749" s="18" t="s">
        <v>28</v>
      </c>
      <c r="L11749" s="18" t="s">
        <v>28</v>
      </c>
      <c r="M11749" s="18" t="s">
        <v>28</v>
      </c>
      <c r="N11749" s="17">
        <v>40848</v>
      </c>
      <c r="O11749" s="15" t="s">
        <v>99</v>
      </c>
      <c r="P11749" s="16" t="s">
        <v>28</v>
      </c>
      <c r="Q11749" s="15" t="s">
        <v>3912</v>
      </c>
      <c r="R11749" s="13" t="str">
        <f>HYPERLINK("https://my.pitchbook.com?c=62864-02T","View Company Online")</f>
        <v>View Company Online</v>
      </c>
    </row>
    <row r="11750" spans="1:18" hidden="1" x14ac:dyDescent="0.3">
      <c r="A11750" s="9" t="s">
        <v>32994</v>
      </c>
      <c r="B11750" s="9" t="s">
        <v>32995</v>
      </c>
      <c r="C11750" s="11" t="s">
        <v>28</v>
      </c>
      <c r="D11750" s="9" t="s">
        <v>32996</v>
      </c>
      <c r="E11750" s="11" t="s">
        <v>28</v>
      </c>
      <c r="F11750" s="10">
        <v>6.6</v>
      </c>
      <c r="G11750" s="10">
        <v>6.6</v>
      </c>
      <c r="H11750" s="10">
        <v>6.6</v>
      </c>
      <c r="I11750" s="11" t="s">
        <v>28</v>
      </c>
      <c r="J11750" s="11" t="s">
        <v>28</v>
      </c>
      <c r="K11750" s="11" t="s">
        <v>28</v>
      </c>
      <c r="L11750" s="11" t="s">
        <v>28</v>
      </c>
      <c r="M11750" s="11" t="s">
        <v>28</v>
      </c>
      <c r="N11750" s="8">
        <v>40848</v>
      </c>
      <c r="O11750" s="9" t="s">
        <v>30</v>
      </c>
      <c r="P11750" s="12" t="s">
        <v>32997</v>
      </c>
      <c r="Q11750" s="9" t="s">
        <v>2097</v>
      </c>
      <c r="R11750" s="14" t="str">
        <f>HYPERLINK("https://my.pitchbook.com?c=102780-91T","View Company Online")</f>
        <v>View Company Online</v>
      </c>
    </row>
    <row r="11751" spans="1:18" hidden="1" x14ac:dyDescent="0.3">
      <c r="A11751" s="15" t="s">
        <v>32998</v>
      </c>
      <c r="B11751" s="15" t="s">
        <v>32999</v>
      </c>
      <c r="C11751" s="18" t="s">
        <v>28</v>
      </c>
      <c r="D11751" s="15" t="s">
        <v>33000</v>
      </c>
      <c r="E11751" s="18" t="s">
        <v>28</v>
      </c>
      <c r="F11751" s="19">
        <v>254.61</v>
      </c>
      <c r="G11751" s="19">
        <v>250.29</v>
      </c>
      <c r="H11751" s="19">
        <v>254.61</v>
      </c>
      <c r="I11751" s="18" t="s">
        <v>28</v>
      </c>
      <c r="J11751" s="18" t="s">
        <v>28</v>
      </c>
      <c r="K11751" s="18" t="s">
        <v>28</v>
      </c>
      <c r="L11751" s="18" t="s">
        <v>28</v>
      </c>
      <c r="M11751" s="18" t="s">
        <v>28</v>
      </c>
      <c r="N11751" s="17">
        <v>40847</v>
      </c>
      <c r="O11751" s="15" t="s">
        <v>30</v>
      </c>
      <c r="P11751" s="16" t="s">
        <v>33001</v>
      </c>
      <c r="Q11751" s="15" t="s">
        <v>692</v>
      </c>
      <c r="R11751" s="13" t="str">
        <f>HYPERLINK("https://my.pitchbook.com?c=57770-92T","View Company Online")</f>
        <v>View Company Online</v>
      </c>
    </row>
    <row r="11752" spans="1:18" hidden="1" x14ac:dyDescent="0.3">
      <c r="A11752" s="9" t="s">
        <v>33002</v>
      </c>
      <c r="B11752" s="9" t="s">
        <v>33003</v>
      </c>
      <c r="C11752" s="11" t="s">
        <v>28</v>
      </c>
      <c r="D11752" s="9" t="s">
        <v>33004</v>
      </c>
      <c r="E11752" s="11" t="s">
        <v>28</v>
      </c>
      <c r="F11752" s="10" t="s">
        <v>28</v>
      </c>
      <c r="G11752" s="10" t="s">
        <v>28</v>
      </c>
      <c r="H11752" s="10" t="s">
        <v>28</v>
      </c>
      <c r="I11752" s="11" t="s">
        <v>28</v>
      </c>
      <c r="J11752" s="11" t="s">
        <v>28</v>
      </c>
      <c r="K11752" s="11" t="s">
        <v>28</v>
      </c>
      <c r="L11752" s="11" t="s">
        <v>28</v>
      </c>
      <c r="M11752" s="11" t="s">
        <v>28</v>
      </c>
      <c r="N11752" s="8">
        <v>40847</v>
      </c>
      <c r="O11752" s="9" t="s">
        <v>173</v>
      </c>
      <c r="P11752" s="12" t="s">
        <v>28</v>
      </c>
      <c r="Q11752" s="9" t="s">
        <v>174</v>
      </c>
      <c r="R11752" s="14" t="str">
        <f>HYPERLINK("https://my.pitchbook.com?c=226103-86T","View Company Online")</f>
        <v>View Company Online</v>
      </c>
    </row>
    <row r="11753" spans="1:18" hidden="1" x14ac:dyDescent="0.3">
      <c r="A11753" s="15" t="s">
        <v>33005</v>
      </c>
      <c r="B11753" s="15" t="s">
        <v>33006</v>
      </c>
      <c r="C11753" s="18" t="s">
        <v>28</v>
      </c>
      <c r="D11753" s="15" t="s">
        <v>33007</v>
      </c>
      <c r="E11753" s="18" t="s">
        <v>28</v>
      </c>
      <c r="F11753" s="19" t="s">
        <v>28</v>
      </c>
      <c r="G11753" s="19" t="s">
        <v>28</v>
      </c>
      <c r="H11753" s="19" t="s">
        <v>28</v>
      </c>
      <c r="I11753" s="18" t="s">
        <v>28</v>
      </c>
      <c r="J11753" s="18" t="s">
        <v>28</v>
      </c>
      <c r="K11753" s="18" t="s">
        <v>28</v>
      </c>
      <c r="L11753" s="18" t="s">
        <v>28</v>
      </c>
      <c r="M11753" s="18" t="s">
        <v>28</v>
      </c>
      <c r="N11753" s="17">
        <v>40846</v>
      </c>
      <c r="O11753" s="15" t="s">
        <v>52</v>
      </c>
      <c r="P11753" s="16" t="s">
        <v>18449</v>
      </c>
      <c r="Q11753" s="15" t="s">
        <v>3912</v>
      </c>
      <c r="R11753" s="13" t="str">
        <f>HYPERLINK("https://my.pitchbook.com?c=52117-30T","View Company Online")</f>
        <v>View Company Online</v>
      </c>
    </row>
    <row r="11754" spans="1:18" hidden="1" x14ac:dyDescent="0.3">
      <c r="A11754" s="9" t="s">
        <v>33008</v>
      </c>
      <c r="B11754" s="9" t="s">
        <v>33009</v>
      </c>
      <c r="C11754" s="11" t="s">
        <v>28</v>
      </c>
      <c r="D11754" s="9" t="s">
        <v>33010</v>
      </c>
      <c r="E11754" s="11" t="s">
        <v>28</v>
      </c>
      <c r="F11754" s="10" t="s">
        <v>28</v>
      </c>
      <c r="G11754" s="10" t="s">
        <v>28</v>
      </c>
      <c r="H11754" s="10" t="s">
        <v>28</v>
      </c>
      <c r="I11754" s="11" t="s">
        <v>28</v>
      </c>
      <c r="J11754" s="11" t="s">
        <v>28</v>
      </c>
      <c r="K11754" s="11" t="s">
        <v>28</v>
      </c>
      <c r="L11754" s="11" t="s">
        <v>28</v>
      </c>
      <c r="M11754" s="11" t="s">
        <v>28</v>
      </c>
      <c r="N11754" s="8">
        <v>40843</v>
      </c>
      <c r="O11754" s="9" t="s">
        <v>41</v>
      </c>
      <c r="P11754" s="12" t="s">
        <v>33011</v>
      </c>
      <c r="Q11754" s="9" t="s">
        <v>959</v>
      </c>
      <c r="R11754" s="14" t="str">
        <f>HYPERLINK("https://my.pitchbook.com?c=73505-17T","View Company Online")</f>
        <v>View Company Online</v>
      </c>
    </row>
    <row r="11755" spans="1:18" hidden="1" x14ac:dyDescent="0.3">
      <c r="A11755" s="15" t="s">
        <v>33012</v>
      </c>
      <c r="B11755" s="15" t="s">
        <v>4866</v>
      </c>
      <c r="C11755" s="18" t="s">
        <v>28</v>
      </c>
      <c r="D11755" s="15" t="s">
        <v>4867</v>
      </c>
      <c r="E11755" s="18" t="s">
        <v>28</v>
      </c>
      <c r="F11755" s="19" t="s">
        <v>28</v>
      </c>
      <c r="G11755" s="19" t="s">
        <v>28</v>
      </c>
      <c r="H11755" s="19" t="s">
        <v>28</v>
      </c>
      <c r="I11755" s="18" t="s">
        <v>28</v>
      </c>
      <c r="J11755" s="18" t="s">
        <v>28</v>
      </c>
      <c r="K11755" s="18">
        <v>137.04</v>
      </c>
      <c r="L11755" s="18" t="s">
        <v>28</v>
      </c>
      <c r="M11755" s="18" t="s">
        <v>28</v>
      </c>
      <c r="N11755" s="17">
        <v>40843</v>
      </c>
      <c r="O11755" s="15" t="s">
        <v>93</v>
      </c>
      <c r="P11755" s="16" t="s">
        <v>33013</v>
      </c>
      <c r="Q11755" s="15" t="s">
        <v>900</v>
      </c>
      <c r="R11755" s="13" t="str">
        <f>HYPERLINK("https://my.pitchbook.com?c=73507-60T","View Company Online")</f>
        <v>View Company Online</v>
      </c>
    </row>
    <row r="11756" spans="1:18" hidden="1" x14ac:dyDescent="0.3">
      <c r="A11756" s="9" t="s">
        <v>33014</v>
      </c>
      <c r="B11756" s="9" t="s">
        <v>33015</v>
      </c>
      <c r="C11756" s="11" t="s">
        <v>28</v>
      </c>
      <c r="D11756" s="9" t="s">
        <v>33016</v>
      </c>
      <c r="E11756" s="11" t="s">
        <v>28</v>
      </c>
      <c r="F11756" s="10">
        <v>10.88</v>
      </c>
      <c r="G11756" s="10">
        <v>7.61</v>
      </c>
      <c r="H11756" s="10">
        <v>10.88</v>
      </c>
      <c r="I11756" s="11" t="s">
        <v>28</v>
      </c>
      <c r="J11756" s="11" t="s">
        <v>28</v>
      </c>
      <c r="K11756" s="11" t="s">
        <v>28</v>
      </c>
      <c r="L11756" s="11" t="s">
        <v>28</v>
      </c>
      <c r="M11756" s="11" t="s">
        <v>28</v>
      </c>
      <c r="N11756" s="8">
        <v>40843</v>
      </c>
      <c r="O11756" s="9" t="s">
        <v>30</v>
      </c>
      <c r="P11756" s="12" t="s">
        <v>33017</v>
      </c>
      <c r="Q11756" s="9" t="s">
        <v>119</v>
      </c>
      <c r="R11756" s="14" t="str">
        <f>HYPERLINK("https://my.pitchbook.com?c=90510-13T","View Company Online")</f>
        <v>View Company Online</v>
      </c>
    </row>
    <row r="11757" spans="1:18" hidden="1" x14ac:dyDescent="0.3">
      <c r="A11757" s="15" t="s">
        <v>33018</v>
      </c>
      <c r="B11757" s="15" t="s">
        <v>33019</v>
      </c>
      <c r="C11757" s="18" t="s">
        <v>28</v>
      </c>
      <c r="D11757" s="15" t="s">
        <v>33020</v>
      </c>
      <c r="E11757" s="18" t="s">
        <v>28</v>
      </c>
      <c r="F11757" s="19" t="s">
        <v>28</v>
      </c>
      <c r="G11757" s="19" t="s">
        <v>28</v>
      </c>
      <c r="H11757" s="19" t="s">
        <v>28</v>
      </c>
      <c r="I11757" s="18" t="s">
        <v>28</v>
      </c>
      <c r="J11757" s="18" t="s">
        <v>28</v>
      </c>
      <c r="K11757" s="18" t="s">
        <v>28</v>
      </c>
      <c r="L11757" s="18" t="s">
        <v>28</v>
      </c>
      <c r="M11757" s="18" t="s">
        <v>28</v>
      </c>
      <c r="N11757" s="17">
        <v>40843</v>
      </c>
      <c r="O11757" s="15" t="s">
        <v>41</v>
      </c>
      <c r="P11757" s="16" t="s">
        <v>14945</v>
      </c>
      <c r="Q11757" s="15" t="s">
        <v>424</v>
      </c>
      <c r="R11757" s="13" t="str">
        <f>HYPERLINK("https://my.pitchbook.com?c=214740-28T","View Company Online")</f>
        <v>View Company Online</v>
      </c>
    </row>
    <row r="11758" spans="1:18" hidden="1" x14ac:dyDescent="0.3">
      <c r="A11758" s="9" t="s">
        <v>33021</v>
      </c>
      <c r="B11758" s="9" t="s">
        <v>33022</v>
      </c>
      <c r="C11758" s="11" t="s">
        <v>28</v>
      </c>
      <c r="D11758" s="9" t="s">
        <v>33023</v>
      </c>
      <c r="E11758" s="11" t="s">
        <v>28</v>
      </c>
      <c r="F11758" s="10" t="s">
        <v>28</v>
      </c>
      <c r="G11758" s="10" t="s">
        <v>28</v>
      </c>
      <c r="H11758" s="10" t="s">
        <v>28</v>
      </c>
      <c r="I11758" s="11" t="s">
        <v>28</v>
      </c>
      <c r="J11758" s="11" t="s">
        <v>28</v>
      </c>
      <c r="K11758" s="11" t="s">
        <v>28</v>
      </c>
      <c r="L11758" s="11" t="s">
        <v>28</v>
      </c>
      <c r="M11758" s="11" t="s">
        <v>28</v>
      </c>
      <c r="N11758" s="8">
        <v>40841</v>
      </c>
      <c r="O11758" s="9" t="s">
        <v>73</v>
      </c>
      <c r="P11758" s="12" t="s">
        <v>33024</v>
      </c>
      <c r="Q11758" s="9" t="s">
        <v>43</v>
      </c>
      <c r="R11758" s="14" t="str">
        <f>HYPERLINK("https://my.pitchbook.com?c=21198-88T","View Company Online")</f>
        <v>View Company Online</v>
      </c>
    </row>
    <row r="11759" spans="1:18" hidden="1" x14ac:dyDescent="0.3">
      <c r="A11759" s="15" t="s">
        <v>33025</v>
      </c>
      <c r="B11759" s="15" t="s">
        <v>33026</v>
      </c>
      <c r="C11759" s="18" t="s">
        <v>28</v>
      </c>
      <c r="D11759" s="15" t="s">
        <v>33027</v>
      </c>
      <c r="E11759" s="18" t="s">
        <v>28</v>
      </c>
      <c r="F11759" s="19">
        <v>22.45</v>
      </c>
      <c r="G11759" s="19">
        <v>13.47</v>
      </c>
      <c r="H11759" s="19">
        <v>22.45</v>
      </c>
      <c r="I11759" s="18" t="s">
        <v>28</v>
      </c>
      <c r="J11759" s="18" t="s">
        <v>28</v>
      </c>
      <c r="K11759" s="18" t="s">
        <v>28</v>
      </c>
      <c r="L11759" s="18" t="s">
        <v>28</v>
      </c>
      <c r="M11759" s="18" t="s">
        <v>28</v>
      </c>
      <c r="N11759" s="17">
        <v>40840</v>
      </c>
      <c r="O11759" s="15" t="s">
        <v>30</v>
      </c>
      <c r="P11759" s="16" t="s">
        <v>33028</v>
      </c>
      <c r="Q11759" s="15" t="s">
        <v>119</v>
      </c>
      <c r="R11759" s="13" t="str">
        <f>HYPERLINK("https://my.pitchbook.com?c=90510-49T","View Company Online")</f>
        <v>View Company Online</v>
      </c>
    </row>
    <row r="11760" spans="1:18" hidden="1" x14ac:dyDescent="0.3">
      <c r="A11760" s="9" t="s">
        <v>33029</v>
      </c>
      <c r="B11760" s="9" t="s">
        <v>30394</v>
      </c>
      <c r="C11760" s="11" t="s">
        <v>28</v>
      </c>
      <c r="D11760" s="9" t="s">
        <v>30395</v>
      </c>
      <c r="E11760" s="11" t="s">
        <v>28</v>
      </c>
      <c r="F11760" s="10">
        <v>24.02</v>
      </c>
      <c r="G11760" s="10">
        <v>14.41</v>
      </c>
      <c r="H11760" s="10">
        <v>24.02</v>
      </c>
      <c r="I11760" s="11" t="s">
        <v>28</v>
      </c>
      <c r="J11760" s="11" t="s">
        <v>28</v>
      </c>
      <c r="K11760" s="11" t="s">
        <v>28</v>
      </c>
      <c r="L11760" s="11" t="s">
        <v>28</v>
      </c>
      <c r="M11760" s="11" t="s">
        <v>28</v>
      </c>
      <c r="N11760" s="8">
        <v>40840</v>
      </c>
      <c r="O11760" s="9" t="s">
        <v>30</v>
      </c>
      <c r="P11760" s="12" t="s">
        <v>29396</v>
      </c>
      <c r="Q11760" s="9" t="s">
        <v>900</v>
      </c>
      <c r="R11760" s="14" t="str">
        <f>HYPERLINK("https://my.pitchbook.com?c=44556-04T","View Company Online")</f>
        <v>View Company Online</v>
      </c>
    </row>
    <row r="11761" spans="1:18" hidden="1" x14ac:dyDescent="0.3">
      <c r="A11761" s="15" t="s">
        <v>33030</v>
      </c>
      <c r="B11761" s="15" t="s">
        <v>29300</v>
      </c>
      <c r="C11761" s="18" t="s">
        <v>28</v>
      </c>
      <c r="D11761" s="15" t="s">
        <v>29301</v>
      </c>
      <c r="E11761" s="18" t="s">
        <v>28</v>
      </c>
      <c r="F11761" s="19" t="s">
        <v>28</v>
      </c>
      <c r="G11761" s="19">
        <v>3</v>
      </c>
      <c r="H11761" s="19" t="s">
        <v>28</v>
      </c>
      <c r="I11761" s="18" t="s">
        <v>28</v>
      </c>
      <c r="J11761" s="18" t="s">
        <v>28</v>
      </c>
      <c r="K11761" s="18" t="s">
        <v>28</v>
      </c>
      <c r="L11761" s="18" t="s">
        <v>28</v>
      </c>
      <c r="M11761" s="18" t="s">
        <v>28</v>
      </c>
      <c r="N11761" s="17">
        <v>40837</v>
      </c>
      <c r="O11761" s="15" t="s">
        <v>73</v>
      </c>
      <c r="P11761" s="16" t="s">
        <v>33031</v>
      </c>
      <c r="Q11761" s="15" t="s">
        <v>740</v>
      </c>
      <c r="R11761" s="13" t="str">
        <f>HYPERLINK("https://my.pitchbook.com?c=20506-87T","View Company Online")</f>
        <v>View Company Online</v>
      </c>
    </row>
    <row r="11762" spans="1:18" hidden="1" x14ac:dyDescent="0.3">
      <c r="A11762" s="9" t="s">
        <v>33032</v>
      </c>
      <c r="B11762" s="9" t="s">
        <v>33033</v>
      </c>
      <c r="C11762" s="11" t="s">
        <v>28</v>
      </c>
      <c r="D11762" s="9" t="s">
        <v>33034</v>
      </c>
      <c r="E11762" s="11" t="s">
        <v>28</v>
      </c>
      <c r="F11762" s="10">
        <v>27.12</v>
      </c>
      <c r="G11762" s="10">
        <v>27.12</v>
      </c>
      <c r="H11762" s="10">
        <v>27.12</v>
      </c>
      <c r="I11762" s="11" t="s">
        <v>28</v>
      </c>
      <c r="J11762" s="11" t="s">
        <v>28</v>
      </c>
      <c r="K11762" s="11" t="s">
        <v>28</v>
      </c>
      <c r="L11762" s="11" t="s">
        <v>28</v>
      </c>
      <c r="M11762" s="11" t="s">
        <v>28</v>
      </c>
      <c r="N11762" s="8">
        <v>40836</v>
      </c>
      <c r="O11762" s="9" t="s">
        <v>30</v>
      </c>
      <c r="P11762" s="12" t="s">
        <v>33035</v>
      </c>
      <c r="Q11762" s="9" t="s">
        <v>4901</v>
      </c>
      <c r="R11762" s="14" t="str">
        <f>HYPERLINK("https://my.pitchbook.com?c=90634-15T","View Company Online")</f>
        <v>View Company Online</v>
      </c>
    </row>
    <row r="11763" spans="1:18" hidden="1" x14ac:dyDescent="0.3">
      <c r="A11763" s="15" t="s">
        <v>33036</v>
      </c>
      <c r="B11763" s="15" t="s">
        <v>33037</v>
      </c>
      <c r="C11763" s="18" t="s">
        <v>28</v>
      </c>
      <c r="D11763" s="15" t="s">
        <v>33038</v>
      </c>
      <c r="E11763" s="18" t="s">
        <v>28</v>
      </c>
      <c r="F11763" s="19" t="s">
        <v>28</v>
      </c>
      <c r="G11763" s="19" t="s">
        <v>28</v>
      </c>
      <c r="H11763" s="19" t="s">
        <v>28</v>
      </c>
      <c r="I11763" s="18" t="s">
        <v>28</v>
      </c>
      <c r="J11763" s="18" t="s">
        <v>28</v>
      </c>
      <c r="K11763" s="18" t="s">
        <v>28</v>
      </c>
      <c r="L11763" s="18" t="s">
        <v>28</v>
      </c>
      <c r="M11763" s="18" t="s">
        <v>28</v>
      </c>
      <c r="N11763" s="17">
        <v>40835</v>
      </c>
      <c r="O11763" s="15" t="s">
        <v>41</v>
      </c>
      <c r="P11763" s="16" t="s">
        <v>33039</v>
      </c>
      <c r="Q11763" s="15" t="s">
        <v>583</v>
      </c>
      <c r="R11763" s="13" t="str">
        <f>HYPERLINK("https://my.pitchbook.com?c=92306-62T","View Company Online")</f>
        <v>View Company Online</v>
      </c>
    </row>
    <row r="11764" spans="1:18" hidden="1" x14ac:dyDescent="0.3">
      <c r="A11764" s="9" t="s">
        <v>33040</v>
      </c>
      <c r="B11764" s="9" t="s">
        <v>33041</v>
      </c>
      <c r="C11764" s="11" t="s">
        <v>28</v>
      </c>
      <c r="D11764" s="9" t="s">
        <v>33042</v>
      </c>
      <c r="E11764" s="11" t="s">
        <v>28</v>
      </c>
      <c r="F11764" s="10" t="s">
        <v>28</v>
      </c>
      <c r="G11764" s="10" t="s">
        <v>28</v>
      </c>
      <c r="H11764" s="10" t="s">
        <v>28</v>
      </c>
      <c r="I11764" s="11" t="s">
        <v>28</v>
      </c>
      <c r="J11764" s="11" t="s">
        <v>28</v>
      </c>
      <c r="K11764" s="11" t="s">
        <v>28</v>
      </c>
      <c r="L11764" s="11" t="s">
        <v>28</v>
      </c>
      <c r="M11764" s="11" t="s">
        <v>28</v>
      </c>
      <c r="N11764" s="8">
        <v>40835</v>
      </c>
      <c r="O11764" s="9" t="s">
        <v>30</v>
      </c>
      <c r="P11764" s="12" t="s">
        <v>33043</v>
      </c>
      <c r="Q11764" s="9" t="s">
        <v>900</v>
      </c>
      <c r="R11764" s="14" t="str">
        <f>HYPERLINK("https://my.pitchbook.com?c=90535-78T","View Company Online")</f>
        <v>View Company Online</v>
      </c>
    </row>
    <row r="11765" spans="1:18" hidden="1" x14ac:dyDescent="0.3">
      <c r="A11765" s="15" t="s">
        <v>33044</v>
      </c>
      <c r="B11765" s="15" t="s">
        <v>7491</v>
      </c>
      <c r="C11765" s="18" t="s">
        <v>28</v>
      </c>
      <c r="D11765" s="15" t="s">
        <v>7492</v>
      </c>
      <c r="E11765" s="18" t="s">
        <v>28</v>
      </c>
      <c r="F11765" s="19" t="s">
        <v>28</v>
      </c>
      <c r="G11765" s="19">
        <v>11.5</v>
      </c>
      <c r="H11765" s="19" t="s">
        <v>28</v>
      </c>
      <c r="I11765" s="18" t="s">
        <v>28</v>
      </c>
      <c r="J11765" s="18" t="s">
        <v>28</v>
      </c>
      <c r="K11765" s="18" t="s">
        <v>28</v>
      </c>
      <c r="L11765" s="18" t="s">
        <v>28</v>
      </c>
      <c r="M11765" s="18" t="s">
        <v>28</v>
      </c>
      <c r="N11765" s="17">
        <v>40835</v>
      </c>
      <c r="O11765" s="15" t="s">
        <v>79</v>
      </c>
      <c r="P11765" s="16" t="s">
        <v>33045</v>
      </c>
      <c r="Q11765" s="15" t="s">
        <v>75</v>
      </c>
      <c r="R11765" s="13" t="str">
        <f>HYPERLINK("https://my.pitchbook.com?c=22499-56T","View Company Online")</f>
        <v>View Company Online</v>
      </c>
    </row>
    <row r="11766" spans="1:18" hidden="1" x14ac:dyDescent="0.3">
      <c r="A11766" s="9" t="s">
        <v>33046</v>
      </c>
      <c r="B11766" s="9" t="s">
        <v>33047</v>
      </c>
      <c r="C11766" s="11" t="s">
        <v>28</v>
      </c>
      <c r="D11766" s="9" t="s">
        <v>33048</v>
      </c>
      <c r="E11766" s="11" t="s">
        <v>28</v>
      </c>
      <c r="F11766" s="10" t="s">
        <v>28</v>
      </c>
      <c r="G11766" s="10" t="s">
        <v>28</v>
      </c>
      <c r="H11766" s="10" t="s">
        <v>28</v>
      </c>
      <c r="I11766" s="11" t="s">
        <v>28</v>
      </c>
      <c r="J11766" s="11" t="s">
        <v>28</v>
      </c>
      <c r="K11766" s="11" t="s">
        <v>28</v>
      </c>
      <c r="L11766" s="11" t="s">
        <v>28</v>
      </c>
      <c r="M11766" s="11" t="s">
        <v>28</v>
      </c>
      <c r="N11766" s="8">
        <v>40833</v>
      </c>
      <c r="O11766" s="9" t="s">
        <v>30</v>
      </c>
      <c r="P11766" s="12" t="s">
        <v>33049</v>
      </c>
      <c r="Q11766" s="9" t="s">
        <v>235</v>
      </c>
      <c r="R11766" s="14" t="str">
        <f>HYPERLINK("https://my.pitchbook.com?c=90540-91T","View Company Online")</f>
        <v>View Company Online</v>
      </c>
    </row>
    <row r="11767" spans="1:18" hidden="1" x14ac:dyDescent="0.3">
      <c r="A11767" s="15" t="s">
        <v>33050</v>
      </c>
      <c r="B11767" s="15" t="s">
        <v>3231</v>
      </c>
      <c r="C11767" s="18" t="s">
        <v>28</v>
      </c>
      <c r="D11767" s="15" t="s">
        <v>3232</v>
      </c>
      <c r="E11767" s="18" t="s">
        <v>28</v>
      </c>
      <c r="F11767" s="19" t="s">
        <v>28</v>
      </c>
      <c r="G11767" s="19">
        <v>1.66</v>
      </c>
      <c r="H11767" s="19" t="s">
        <v>28</v>
      </c>
      <c r="I11767" s="18" t="s">
        <v>28</v>
      </c>
      <c r="J11767" s="18" t="s">
        <v>28</v>
      </c>
      <c r="K11767" s="18" t="s">
        <v>28</v>
      </c>
      <c r="L11767" s="18" t="s">
        <v>28</v>
      </c>
      <c r="M11767" s="18" t="s">
        <v>28</v>
      </c>
      <c r="N11767" s="17">
        <v>40828</v>
      </c>
      <c r="O11767" s="15" t="s">
        <v>93</v>
      </c>
      <c r="P11767" s="16" t="s">
        <v>28</v>
      </c>
      <c r="Q11767" s="15" t="s">
        <v>692</v>
      </c>
      <c r="R11767" s="13" t="str">
        <f>HYPERLINK("https://my.pitchbook.com?c=74698-12T","View Company Online")</f>
        <v>View Company Online</v>
      </c>
    </row>
    <row r="11768" spans="1:18" hidden="1" x14ac:dyDescent="0.3">
      <c r="A11768" s="9" t="s">
        <v>33051</v>
      </c>
      <c r="B11768" s="9" t="s">
        <v>5263</v>
      </c>
      <c r="C11768" s="11" t="s">
        <v>28</v>
      </c>
      <c r="D11768" s="9" t="s">
        <v>5264</v>
      </c>
      <c r="E11768" s="11" t="s">
        <v>28</v>
      </c>
      <c r="F11768" s="10" t="s">
        <v>28</v>
      </c>
      <c r="G11768" s="10">
        <v>2</v>
      </c>
      <c r="H11768" s="10" t="s">
        <v>28</v>
      </c>
      <c r="I11768" s="11" t="s">
        <v>28</v>
      </c>
      <c r="J11768" s="11" t="s">
        <v>28</v>
      </c>
      <c r="K11768" s="11" t="s">
        <v>28</v>
      </c>
      <c r="L11768" s="11" t="s">
        <v>28</v>
      </c>
      <c r="M11768" s="11" t="s">
        <v>28</v>
      </c>
      <c r="N11768" s="8">
        <v>40827</v>
      </c>
      <c r="O11768" s="9" t="s">
        <v>73</v>
      </c>
      <c r="P11768" s="12" t="s">
        <v>33052</v>
      </c>
      <c r="Q11768" s="9" t="s">
        <v>740</v>
      </c>
      <c r="R11768" s="14" t="str">
        <f>HYPERLINK("https://my.pitchbook.com?c=20900-98T","View Company Online")</f>
        <v>View Company Online</v>
      </c>
    </row>
    <row r="11769" spans="1:18" hidden="1" x14ac:dyDescent="0.3">
      <c r="A11769" s="15" t="s">
        <v>33053</v>
      </c>
      <c r="B11769" s="15" t="s">
        <v>22752</v>
      </c>
      <c r="C11769" s="18" t="s">
        <v>28</v>
      </c>
      <c r="D11769" s="15" t="s">
        <v>23133</v>
      </c>
      <c r="E11769" s="18" t="s">
        <v>28</v>
      </c>
      <c r="F11769" s="19" t="s">
        <v>28</v>
      </c>
      <c r="G11769" s="19" t="s">
        <v>28</v>
      </c>
      <c r="H11769" s="19" t="s">
        <v>28</v>
      </c>
      <c r="I11769" s="18" t="s">
        <v>28</v>
      </c>
      <c r="J11769" s="18" t="s">
        <v>28</v>
      </c>
      <c r="K11769" s="18" t="s">
        <v>28</v>
      </c>
      <c r="L11769" s="18" t="s">
        <v>28</v>
      </c>
      <c r="M11769" s="18" t="s">
        <v>28</v>
      </c>
      <c r="N11769" s="17">
        <v>40826</v>
      </c>
      <c r="O11769" s="15" t="s">
        <v>99</v>
      </c>
      <c r="P11769" s="16" t="s">
        <v>24371</v>
      </c>
      <c r="Q11769" s="15" t="s">
        <v>75</v>
      </c>
      <c r="R11769" s="13" t="str">
        <f>HYPERLINK("https://my.pitchbook.com?c=24186-52T","View Company Online")</f>
        <v>View Company Online</v>
      </c>
    </row>
    <row r="11770" spans="1:18" hidden="1" x14ac:dyDescent="0.3">
      <c r="A11770" s="9" t="s">
        <v>33054</v>
      </c>
      <c r="B11770" s="9" t="s">
        <v>33055</v>
      </c>
      <c r="C11770" s="11" t="s">
        <v>28</v>
      </c>
      <c r="D11770" s="9" t="s">
        <v>33056</v>
      </c>
      <c r="E11770" s="11" t="s">
        <v>28</v>
      </c>
      <c r="F11770" s="10" t="s">
        <v>28</v>
      </c>
      <c r="G11770" s="10" t="s">
        <v>28</v>
      </c>
      <c r="H11770" s="10" t="s">
        <v>28</v>
      </c>
      <c r="I11770" s="11" t="s">
        <v>28</v>
      </c>
      <c r="J11770" s="11" t="s">
        <v>28</v>
      </c>
      <c r="K11770" s="11" t="s">
        <v>28</v>
      </c>
      <c r="L11770" s="11" t="s">
        <v>28</v>
      </c>
      <c r="M11770" s="11" t="s">
        <v>28</v>
      </c>
      <c r="N11770" s="8">
        <v>40826</v>
      </c>
      <c r="O11770" s="9" t="s">
        <v>30</v>
      </c>
      <c r="P11770" s="12" t="s">
        <v>33057</v>
      </c>
      <c r="Q11770" s="9" t="s">
        <v>13990</v>
      </c>
      <c r="R11770" s="14" t="str">
        <f>HYPERLINK("https://my.pitchbook.com?c=72499-78T","View Company Online")</f>
        <v>View Company Online</v>
      </c>
    </row>
    <row r="11771" spans="1:18" hidden="1" x14ac:dyDescent="0.3">
      <c r="A11771" s="15" t="s">
        <v>33058</v>
      </c>
      <c r="B11771" s="15" t="s">
        <v>27965</v>
      </c>
      <c r="C11771" s="18" t="s">
        <v>28</v>
      </c>
      <c r="D11771" s="15" t="s">
        <v>27966</v>
      </c>
      <c r="E11771" s="18">
        <v>-3.9</v>
      </c>
      <c r="F11771" s="19" t="s">
        <v>28</v>
      </c>
      <c r="G11771" s="19" t="s">
        <v>28</v>
      </c>
      <c r="H11771" s="19" t="s">
        <v>28</v>
      </c>
      <c r="I11771" s="18">
        <v>-3.68</v>
      </c>
      <c r="J11771" s="18" t="s">
        <v>28</v>
      </c>
      <c r="K11771" s="18">
        <v>28.6</v>
      </c>
      <c r="L11771" s="18" t="s">
        <v>28</v>
      </c>
      <c r="M11771" s="18">
        <v>2.88</v>
      </c>
      <c r="N11771" s="17">
        <v>40822</v>
      </c>
      <c r="O11771" s="15" t="s">
        <v>41</v>
      </c>
      <c r="P11771" s="16" t="s">
        <v>31861</v>
      </c>
      <c r="Q11771" s="15" t="s">
        <v>160</v>
      </c>
      <c r="R11771" s="13" t="str">
        <f>HYPERLINK("https://my.pitchbook.com?c=25924-96T","View Company Online")</f>
        <v>View Company Online</v>
      </c>
    </row>
    <row r="11772" spans="1:18" hidden="1" x14ac:dyDescent="0.3">
      <c r="A11772" s="9" t="s">
        <v>33059</v>
      </c>
      <c r="B11772" s="9" t="s">
        <v>33060</v>
      </c>
      <c r="C11772" s="11" t="s">
        <v>28</v>
      </c>
      <c r="D11772" s="9" t="s">
        <v>33061</v>
      </c>
      <c r="E11772" s="11" t="s">
        <v>28</v>
      </c>
      <c r="F11772" s="10" t="s">
        <v>28</v>
      </c>
      <c r="G11772" s="10">
        <v>2100</v>
      </c>
      <c r="H11772" s="10">
        <v>4117.6400000000003</v>
      </c>
      <c r="I11772" s="11" t="s">
        <v>28</v>
      </c>
      <c r="J11772" s="11" t="s">
        <v>28</v>
      </c>
      <c r="K11772" s="11" t="s">
        <v>28</v>
      </c>
      <c r="L11772" s="11" t="s">
        <v>28</v>
      </c>
      <c r="M11772" s="11" t="s">
        <v>28</v>
      </c>
      <c r="N11772" s="8">
        <v>40821</v>
      </c>
      <c r="O11772" s="9" t="s">
        <v>30</v>
      </c>
      <c r="P11772" s="12" t="s">
        <v>33062</v>
      </c>
      <c r="Q11772" s="9" t="s">
        <v>774</v>
      </c>
      <c r="R11772" s="14" t="str">
        <f>HYPERLINK("https://my.pitchbook.com?c=36202-78T","View Company Online")</f>
        <v>View Company Online</v>
      </c>
    </row>
    <row r="11773" spans="1:18" hidden="1" x14ac:dyDescent="0.3">
      <c r="A11773" s="15" t="s">
        <v>33063</v>
      </c>
      <c r="B11773" s="15" t="s">
        <v>2816</v>
      </c>
      <c r="C11773" s="18" t="s">
        <v>28</v>
      </c>
      <c r="D11773" s="15" t="s">
        <v>2817</v>
      </c>
      <c r="E11773" s="18" t="s">
        <v>28</v>
      </c>
      <c r="F11773" s="19" t="s">
        <v>28</v>
      </c>
      <c r="G11773" s="19" t="s">
        <v>28</v>
      </c>
      <c r="H11773" s="19" t="s">
        <v>28</v>
      </c>
      <c r="I11773" s="18" t="s">
        <v>28</v>
      </c>
      <c r="J11773" s="18" t="s">
        <v>28</v>
      </c>
      <c r="K11773" s="18">
        <v>450</v>
      </c>
      <c r="L11773" s="18" t="s">
        <v>28</v>
      </c>
      <c r="M11773" s="18" t="s">
        <v>28</v>
      </c>
      <c r="N11773" s="17">
        <v>40821</v>
      </c>
      <c r="O11773" s="15" t="s">
        <v>93</v>
      </c>
      <c r="P11773" s="16" t="s">
        <v>26122</v>
      </c>
      <c r="Q11773" s="15" t="s">
        <v>268</v>
      </c>
      <c r="R11773" s="13" t="str">
        <f>HYPERLINK("https://my.pitchbook.com?c=92314-81T","View Company Online")</f>
        <v>View Company Online</v>
      </c>
    </row>
    <row r="11774" spans="1:18" hidden="1" x14ac:dyDescent="0.3">
      <c r="A11774" s="9" t="s">
        <v>33064</v>
      </c>
      <c r="B11774" s="9" t="s">
        <v>33065</v>
      </c>
      <c r="C11774" s="11" t="s">
        <v>28</v>
      </c>
      <c r="D11774" s="9" t="s">
        <v>33066</v>
      </c>
      <c r="E11774" s="11" t="s">
        <v>28</v>
      </c>
      <c r="F11774" s="10" t="s">
        <v>28</v>
      </c>
      <c r="G11774" s="10">
        <v>1670</v>
      </c>
      <c r="H11774" s="10">
        <v>3274.51</v>
      </c>
      <c r="I11774" s="11" t="s">
        <v>28</v>
      </c>
      <c r="J11774" s="11" t="s">
        <v>28</v>
      </c>
      <c r="K11774" s="11" t="s">
        <v>28</v>
      </c>
      <c r="L11774" s="11" t="s">
        <v>28</v>
      </c>
      <c r="M11774" s="11" t="s">
        <v>28</v>
      </c>
      <c r="N11774" s="8">
        <v>40821</v>
      </c>
      <c r="O11774" s="9" t="s">
        <v>30</v>
      </c>
      <c r="P11774" s="12" t="s">
        <v>33067</v>
      </c>
      <c r="Q11774" s="9" t="s">
        <v>774</v>
      </c>
      <c r="R11774" s="14" t="str">
        <f>HYPERLINK("https://my.pitchbook.com?c=74353-42T","View Company Online")</f>
        <v>View Company Online</v>
      </c>
    </row>
    <row r="11775" spans="1:18" hidden="1" x14ac:dyDescent="0.3">
      <c r="A11775" s="15" t="s">
        <v>33068</v>
      </c>
      <c r="B11775" s="15" t="s">
        <v>30282</v>
      </c>
      <c r="C11775" s="18" t="s">
        <v>28</v>
      </c>
      <c r="D11775" s="15" t="s">
        <v>30283</v>
      </c>
      <c r="E11775" s="18" t="s">
        <v>28</v>
      </c>
      <c r="F11775" s="19" t="s">
        <v>28</v>
      </c>
      <c r="G11775" s="19" t="s">
        <v>28</v>
      </c>
      <c r="H11775" s="19" t="s">
        <v>28</v>
      </c>
      <c r="I11775" s="18" t="s">
        <v>28</v>
      </c>
      <c r="J11775" s="18" t="s">
        <v>28</v>
      </c>
      <c r="K11775" s="18" t="s">
        <v>28</v>
      </c>
      <c r="L11775" s="18" t="s">
        <v>28</v>
      </c>
      <c r="M11775" s="18" t="s">
        <v>28</v>
      </c>
      <c r="N11775" s="17">
        <v>40821</v>
      </c>
      <c r="O11775" s="15" t="s">
        <v>93</v>
      </c>
      <c r="P11775" s="16" t="s">
        <v>343</v>
      </c>
      <c r="Q11775" s="15" t="s">
        <v>37</v>
      </c>
      <c r="R11775" s="13" t="str">
        <f>HYPERLINK("https://my.pitchbook.com?c=99337-51T","View Company Online")</f>
        <v>View Company Online</v>
      </c>
    </row>
    <row r="11776" spans="1:18" hidden="1" x14ac:dyDescent="0.3">
      <c r="A11776" s="9" t="s">
        <v>33069</v>
      </c>
      <c r="B11776" s="9" t="s">
        <v>33070</v>
      </c>
      <c r="C11776" s="11" t="s">
        <v>28</v>
      </c>
      <c r="D11776" s="9" t="s">
        <v>33071</v>
      </c>
      <c r="E11776" s="11" t="s">
        <v>28</v>
      </c>
      <c r="F11776" s="10" t="s">
        <v>28</v>
      </c>
      <c r="G11776" s="10">
        <v>1544</v>
      </c>
      <c r="H11776" s="10">
        <v>1544</v>
      </c>
      <c r="I11776" s="11" t="s">
        <v>28</v>
      </c>
      <c r="J11776" s="11" t="s">
        <v>28</v>
      </c>
      <c r="K11776" s="11" t="s">
        <v>28</v>
      </c>
      <c r="L11776" s="11" t="s">
        <v>28</v>
      </c>
      <c r="M11776" s="11" t="s">
        <v>28</v>
      </c>
      <c r="N11776" s="8">
        <v>40821</v>
      </c>
      <c r="O11776" s="9" t="s">
        <v>30</v>
      </c>
      <c r="P11776" s="12" t="s">
        <v>33062</v>
      </c>
      <c r="Q11776" s="9" t="s">
        <v>774</v>
      </c>
      <c r="R11776" s="14" t="str">
        <f>HYPERLINK("https://my.pitchbook.com?c=74796-31T","View Company Online")</f>
        <v>View Company Online</v>
      </c>
    </row>
    <row r="11777" spans="1:18" hidden="1" x14ac:dyDescent="0.3">
      <c r="A11777" s="15" t="s">
        <v>33072</v>
      </c>
      <c r="B11777" s="15" t="s">
        <v>33073</v>
      </c>
      <c r="C11777" s="18" t="s">
        <v>28</v>
      </c>
      <c r="D11777" s="15" t="s">
        <v>33074</v>
      </c>
      <c r="E11777" s="18">
        <v>175.44</v>
      </c>
      <c r="F11777" s="19" t="s">
        <v>28</v>
      </c>
      <c r="G11777" s="19">
        <v>97.74</v>
      </c>
      <c r="H11777" s="19" t="s">
        <v>28</v>
      </c>
      <c r="I11777" s="18">
        <v>288.3</v>
      </c>
      <c r="J11777" s="18" t="s">
        <v>28</v>
      </c>
      <c r="K11777" s="18">
        <v>2010.2</v>
      </c>
      <c r="L11777" s="18" t="s">
        <v>28</v>
      </c>
      <c r="M11777" s="18">
        <v>115.47</v>
      </c>
      <c r="N11777" s="17">
        <v>40820</v>
      </c>
      <c r="O11777" s="15" t="s">
        <v>159</v>
      </c>
      <c r="P11777" s="16" t="s">
        <v>33075</v>
      </c>
      <c r="Q11777" s="15" t="s">
        <v>348</v>
      </c>
      <c r="R11777" s="13" t="str">
        <f>HYPERLINK("https://my.pitchbook.com?c=72686-71T","View Company Online")</f>
        <v>View Company Online</v>
      </c>
    </row>
    <row r="11778" spans="1:18" hidden="1" x14ac:dyDescent="0.3">
      <c r="A11778" s="9" t="s">
        <v>33076</v>
      </c>
      <c r="B11778" s="9" t="s">
        <v>26205</v>
      </c>
      <c r="C11778" s="11" t="s">
        <v>28</v>
      </c>
      <c r="D11778" s="9" t="s">
        <v>26206</v>
      </c>
      <c r="E11778" s="11" t="s">
        <v>28</v>
      </c>
      <c r="F11778" s="10" t="s">
        <v>28</v>
      </c>
      <c r="G11778" s="10">
        <v>1</v>
      </c>
      <c r="H11778" s="10" t="s">
        <v>28</v>
      </c>
      <c r="I11778" s="11" t="s">
        <v>28</v>
      </c>
      <c r="J11778" s="11" t="s">
        <v>28</v>
      </c>
      <c r="K11778" s="11" t="s">
        <v>28</v>
      </c>
      <c r="L11778" s="11" t="s">
        <v>28</v>
      </c>
      <c r="M11778" s="11" t="s">
        <v>28</v>
      </c>
      <c r="N11778" s="8">
        <v>40819</v>
      </c>
      <c r="O11778" s="9" t="s">
        <v>73</v>
      </c>
      <c r="P11778" s="12" t="s">
        <v>1792</v>
      </c>
      <c r="Q11778" s="9" t="s">
        <v>85</v>
      </c>
      <c r="R11778" s="14" t="str">
        <f>HYPERLINK("https://my.pitchbook.com?c=24921-37T","View Company Online")</f>
        <v>View Company Online</v>
      </c>
    </row>
    <row r="11779" spans="1:18" hidden="1" x14ac:dyDescent="0.3">
      <c r="A11779" s="15" t="s">
        <v>33077</v>
      </c>
      <c r="B11779" s="15" t="s">
        <v>33078</v>
      </c>
      <c r="C11779" s="18" t="s">
        <v>28</v>
      </c>
      <c r="D11779" s="15" t="s">
        <v>33079</v>
      </c>
      <c r="E11779" s="18" t="s">
        <v>28</v>
      </c>
      <c r="F11779" s="19">
        <v>24.83</v>
      </c>
      <c r="G11779" s="19">
        <v>24.83</v>
      </c>
      <c r="H11779" s="19">
        <v>24.83</v>
      </c>
      <c r="I11779" s="18" t="s">
        <v>28</v>
      </c>
      <c r="J11779" s="18" t="s">
        <v>28</v>
      </c>
      <c r="K11779" s="18" t="s">
        <v>28</v>
      </c>
      <c r="L11779" s="18" t="s">
        <v>28</v>
      </c>
      <c r="M11779" s="18" t="s">
        <v>28</v>
      </c>
      <c r="N11779" s="17">
        <v>40819</v>
      </c>
      <c r="O11779" s="15" t="s">
        <v>30</v>
      </c>
      <c r="P11779" s="16" t="s">
        <v>33080</v>
      </c>
      <c r="Q11779" s="15" t="s">
        <v>43</v>
      </c>
      <c r="R11779" s="13" t="str">
        <f>HYPERLINK("https://my.pitchbook.com?c=204618-34T","View Company Online")</f>
        <v>View Company Online</v>
      </c>
    </row>
    <row r="11780" spans="1:18" hidden="1" x14ac:dyDescent="0.3">
      <c r="A11780" s="9" t="s">
        <v>33081</v>
      </c>
      <c r="B11780" s="9" t="s">
        <v>27677</v>
      </c>
      <c r="C11780" s="11" t="s">
        <v>28</v>
      </c>
      <c r="D11780" s="9" t="s">
        <v>27678</v>
      </c>
      <c r="E11780" s="11">
        <v>3.59</v>
      </c>
      <c r="F11780" s="10" t="s">
        <v>28</v>
      </c>
      <c r="G11780" s="10" t="s">
        <v>28</v>
      </c>
      <c r="H11780" s="10" t="s">
        <v>28</v>
      </c>
      <c r="I11780" s="11">
        <v>21.89</v>
      </c>
      <c r="J11780" s="11" t="s">
        <v>28</v>
      </c>
      <c r="K11780" s="11">
        <v>85.44</v>
      </c>
      <c r="L11780" s="11" t="s">
        <v>28</v>
      </c>
      <c r="M11780" s="11">
        <v>1.52</v>
      </c>
      <c r="N11780" s="8">
        <v>40819</v>
      </c>
      <c r="O11780" s="9" t="s">
        <v>173</v>
      </c>
      <c r="P11780" s="12" t="s">
        <v>28</v>
      </c>
      <c r="Q11780" s="9" t="s">
        <v>226</v>
      </c>
      <c r="R11780" s="14" t="str">
        <f>HYPERLINK("https://my.pitchbook.com?c=227080-36T","View Company Online")</f>
        <v>View Company Online</v>
      </c>
    </row>
    <row r="11781" spans="1:18" hidden="1" x14ac:dyDescent="0.3">
      <c r="A11781" s="15" t="s">
        <v>33082</v>
      </c>
      <c r="B11781" s="15" t="s">
        <v>33083</v>
      </c>
      <c r="C11781" s="18" t="s">
        <v>28</v>
      </c>
      <c r="D11781" s="15" t="s">
        <v>33084</v>
      </c>
      <c r="E11781" s="18" t="s">
        <v>28</v>
      </c>
      <c r="F11781" s="19" t="s">
        <v>28</v>
      </c>
      <c r="G11781" s="19" t="s">
        <v>28</v>
      </c>
      <c r="H11781" s="19" t="s">
        <v>28</v>
      </c>
      <c r="I11781" s="18" t="s">
        <v>28</v>
      </c>
      <c r="J11781" s="18" t="s">
        <v>28</v>
      </c>
      <c r="K11781" s="18" t="s">
        <v>28</v>
      </c>
      <c r="L11781" s="18" t="s">
        <v>28</v>
      </c>
      <c r="M11781" s="18" t="s">
        <v>28</v>
      </c>
      <c r="N11781" s="17">
        <v>40817</v>
      </c>
      <c r="O11781" s="15" t="s">
        <v>30</v>
      </c>
      <c r="P11781" s="16" t="s">
        <v>33085</v>
      </c>
      <c r="Q11781" s="15" t="s">
        <v>566</v>
      </c>
      <c r="R11781" s="13" t="str">
        <f>HYPERLINK("https://my.pitchbook.com?c=88789-78T","View Company Online")</f>
        <v>View Company Online</v>
      </c>
    </row>
    <row r="11782" spans="1:18" hidden="1" x14ac:dyDescent="0.3">
      <c r="A11782" s="9" t="s">
        <v>33086</v>
      </c>
      <c r="B11782" s="9" t="s">
        <v>33087</v>
      </c>
      <c r="C11782" s="11" t="s">
        <v>28</v>
      </c>
      <c r="D11782" s="9" t="s">
        <v>33088</v>
      </c>
      <c r="E11782" s="11" t="s">
        <v>28</v>
      </c>
      <c r="F11782" s="10" t="s">
        <v>28</v>
      </c>
      <c r="G11782" s="10">
        <v>0.55000000000000004</v>
      </c>
      <c r="H11782" s="10" t="s">
        <v>28</v>
      </c>
      <c r="I11782" s="11" t="s">
        <v>28</v>
      </c>
      <c r="J11782" s="11" t="s">
        <v>28</v>
      </c>
      <c r="K11782" s="11" t="s">
        <v>28</v>
      </c>
      <c r="L11782" s="11" t="s">
        <v>28</v>
      </c>
      <c r="M11782" s="11" t="s">
        <v>28</v>
      </c>
      <c r="N11782" s="8">
        <v>40817</v>
      </c>
      <c r="O11782" s="9" t="s">
        <v>99</v>
      </c>
      <c r="P11782" s="12" t="s">
        <v>28</v>
      </c>
      <c r="Q11782" s="9" t="s">
        <v>114</v>
      </c>
      <c r="R11782" s="14" t="str">
        <f>HYPERLINK("https://my.pitchbook.com?c=55010-98T","View Company Online")</f>
        <v>View Company Online</v>
      </c>
    </row>
    <row r="11783" spans="1:18" hidden="1" x14ac:dyDescent="0.3">
      <c r="A11783" s="15" t="s">
        <v>33089</v>
      </c>
      <c r="B11783" s="15" t="s">
        <v>29632</v>
      </c>
      <c r="C11783" s="18" t="s">
        <v>28</v>
      </c>
      <c r="D11783" s="15" t="s">
        <v>29633</v>
      </c>
      <c r="E11783" s="18">
        <v>4.49</v>
      </c>
      <c r="F11783" s="19" t="s">
        <v>28</v>
      </c>
      <c r="G11783" s="19">
        <v>32.090000000000003</v>
      </c>
      <c r="H11783" s="19" t="s">
        <v>28</v>
      </c>
      <c r="I11783" s="18">
        <v>9.57</v>
      </c>
      <c r="J11783" s="18" t="s">
        <v>28</v>
      </c>
      <c r="K11783" s="18">
        <v>17.61</v>
      </c>
      <c r="L11783" s="18" t="s">
        <v>28</v>
      </c>
      <c r="M11783" s="18">
        <v>-2.8</v>
      </c>
      <c r="N11783" s="17">
        <v>40817</v>
      </c>
      <c r="O11783" s="15" t="s">
        <v>93</v>
      </c>
      <c r="P11783" s="16" t="s">
        <v>25292</v>
      </c>
      <c r="Q11783" s="15" t="s">
        <v>5110</v>
      </c>
      <c r="R11783" s="13" t="str">
        <f>HYPERLINK("https://my.pitchbook.com?c=74561-77T","View Company Online")</f>
        <v>View Company Online</v>
      </c>
    </row>
    <row r="11784" spans="1:18" hidden="1" x14ac:dyDescent="0.3">
      <c r="A11784" s="9" t="s">
        <v>33090</v>
      </c>
      <c r="B11784" s="9" t="s">
        <v>33091</v>
      </c>
      <c r="C11784" s="11" t="s">
        <v>28</v>
      </c>
      <c r="D11784" s="9" t="s">
        <v>33092</v>
      </c>
      <c r="E11784" s="11" t="s">
        <v>28</v>
      </c>
      <c r="F11784" s="10" t="s">
        <v>28</v>
      </c>
      <c r="G11784" s="10" t="s">
        <v>28</v>
      </c>
      <c r="H11784" s="10" t="s">
        <v>28</v>
      </c>
      <c r="I11784" s="11" t="s">
        <v>28</v>
      </c>
      <c r="J11784" s="11" t="s">
        <v>28</v>
      </c>
      <c r="K11784" s="11" t="s">
        <v>28</v>
      </c>
      <c r="L11784" s="11" t="s">
        <v>28</v>
      </c>
      <c r="M11784" s="11" t="s">
        <v>28</v>
      </c>
      <c r="N11784" s="8">
        <v>40817</v>
      </c>
      <c r="O11784" s="9" t="s">
        <v>30</v>
      </c>
      <c r="P11784" s="12" t="s">
        <v>33093</v>
      </c>
      <c r="Q11784" s="9" t="s">
        <v>2916</v>
      </c>
      <c r="R11784" s="14" t="str">
        <f>HYPERLINK("https://my.pitchbook.com?c=242809-03T","View Company Online")</f>
        <v>View Company Online</v>
      </c>
    </row>
    <row r="11785" spans="1:18" hidden="1" x14ac:dyDescent="0.3">
      <c r="A11785" s="15" t="s">
        <v>33094</v>
      </c>
      <c r="B11785" s="15" t="s">
        <v>33095</v>
      </c>
      <c r="C11785" s="18" t="s">
        <v>28</v>
      </c>
      <c r="D11785" s="15" t="s">
        <v>33096</v>
      </c>
      <c r="E11785" s="18" t="s">
        <v>28</v>
      </c>
      <c r="F11785" s="19" t="s">
        <v>28</v>
      </c>
      <c r="G11785" s="19">
        <v>1</v>
      </c>
      <c r="H11785" s="19" t="s">
        <v>28</v>
      </c>
      <c r="I11785" s="18" t="s">
        <v>28</v>
      </c>
      <c r="J11785" s="18" t="s">
        <v>28</v>
      </c>
      <c r="K11785" s="18" t="s">
        <v>28</v>
      </c>
      <c r="L11785" s="18" t="s">
        <v>28</v>
      </c>
      <c r="M11785" s="18" t="s">
        <v>28</v>
      </c>
      <c r="N11785" s="17">
        <v>40817</v>
      </c>
      <c r="O11785" s="15" t="s">
        <v>99</v>
      </c>
      <c r="P11785" s="16" t="s">
        <v>33097</v>
      </c>
      <c r="Q11785" s="15" t="s">
        <v>386</v>
      </c>
      <c r="R11785" s="13" t="str">
        <f>HYPERLINK("https://my.pitchbook.com?c=55538-11T","View Company Online")</f>
        <v>View Company Online</v>
      </c>
    </row>
    <row r="11786" spans="1:18" hidden="1" x14ac:dyDescent="0.3">
      <c r="A11786" s="9" t="s">
        <v>33098</v>
      </c>
      <c r="B11786" s="9" t="s">
        <v>2516</v>
      </c>
      <c r="C11786" s="11" t="s">
        <v>28</v>
      </c>
      <c r="D11786" s="9" t="s">
        <v>2517</v>
      </c>
      <c r="E11786" s="11" t="s">
        <v>28</v>
      </c>
      <c r="F11786" s="10" t="s">
        <v>28</v>
      </c>
      <c r="G11786" s="10">
        <v>0.03</v>
      </c>
      <c r="H11786" s="10" t="s">
        <v>28</v>
      </c>
      <c r="I11786" s="11" t="s">
        <v>28</v>
      </c>
      <c r="J11786" s="11" t="s">
        <v>28</v>
      </c>
      <c r="K11786" s="11" t="s">
        <v>28</v>
      </c>
      <c r="L11786" s="11" t="s">
        <v>28</v>
      </c>
      <c r="M11786" s="11" t="s">
        <v>28</v>
      </c>
      <c r="N11786" s="8">
        <v>40816</v>
      </c>
      <c r="O11786" s="9" t="s">
        <v>52</v>
      </c>
      <c r="P11786" s="12" t="s">
        <v>1792</v>
      </c>
      <c r="Q11786" s="9" t="s">
        <v>75</v>
      </c>
      <c r="R11786" s="14" t="str">
        <f>HYPERLINK("https://my.pitchbook.com?c=67102-75T","View Company Online")</f>
        <v>View Company Online</v>
      </c>
    </row>
    <row r="11787" spans="1:18" hidden="1" x14ac:dyDescent="0.3">
      <c r="A11787" s="15" t="s">
        <v>33099</v>
      </c>
      <c r="B11787" s="15" t="s">
        <v>33100</v>
      </c>
      <c r="C11787" s="18" t="s">
        <v>28</v>
      </c>
      <c r="D11787" s="15" t="s">
        <v>33101</v>
      </c>
      <c r="E11787" s="18" t="s">
        <v>28</v>
      </c>
      <c r="F11787" s="19" t="s">
        <v>28</v>
      </c>
      <c r="G11787" s="19" t="s">
        <v>28</v>
      </c>
      <c r="H11787" s="19" t="s">
        <v>28</v>
      </c>
      <c r="I11787" s="18" t="s">
        <v>28</v>
      </c>
      <c r="J11787" s="18" t="s">
        <v>28</v>
      </c>
      <c r="K11787" s="18" t="s">
        <v>28</v>
      </c>
      <c r="L11787" s="18" t="s">
        <v>28</v>
      </c>
      <c r="M11787" s="18" t="s">
        <v>28</v>
      </c>
      <c r="N11787" s="17">
        <v>40816</v>
      </c>
      <c r="O11787" s="15" t="s">
        <v>30</v>
      </c>
      <c r="P11787" s="16" t="s">
        <v>33102</v>
      </c>
      <c r="Q11787" s="15" t="s">
        <v>8754</v>
      </c>
      <c r="R11787" s="13" t="str">
        <f>HYPERLINK("https://my.pitchbook.com?c=59774-77T","View Company Online")</f>
        <v>View Company Online</v>
      </c>
    </row>
    <row r="11788" spans="1:18" hidden="1" x14ac:dyDescent="0.3">
      <c r="A11788" s="9" t="s">
        <v>33103</v>
      </c>
      <c r="B11788" s="9" t="s">
        <v>33104</v>
      </c>
      <c r="C11788" s="11" t="s">
        <v>28</v>
      </c>
      <c r="D11788" s="9" t="s">
        <v>33105</v>
      </c>
      <c r="E11788" s="11" t="s">
        <v>28</v>
      </c>
      <c r="F11788" s="10" t="s">
        <v>28</v>
      </c>
      <c r="G11788" s="10" t="s">
        <v>28</v>
      </c>
      <c r="H11788" s="10" t="s">
        <v>28</v>
      </c>
      <c r="I11788" s="11" t="s">
        <v>28</v>
      </c>
      <c r="J11788" s="11" t="s">
        <v>28</v>
      </c>
      <c r="K11788" s="11" t="s">
        <v>28</v>
      </c>
      <c r="L11788" s="11" t="s">
        <v>28</v>
      </c>
      <c r="M11788" s="11" t="s">
        <v>28</v>
      </c>
      <c r="N11788" s="8">
        <v>40812</v>
      </c>
      <c r="O11788" s="9" t="s">
        <v>30</v>
      </c>
      <c r="P11788" s="12" t="s">
        <v>27100</v>
      </c>
      <c r="Q11788" s="9" t="s">
        <v>362</v>
      </c>
      <c r="R11788" s="14" t="str">
        <f>HYPERLINK("https://my.pitchbook.com?c=102815-29T","View Company Online")</f>
        <v>View Company Online</v>
      </c>
    </row>
    <row r="11789" spans="1:18" hidden="1" x14ac:dyDescent="0.3">
      <c r="A11789" s="15" t="s">
        <v>33106</v>
      </c>
      <c r="B11789" s="15" t="s">
        <v>33107</v>
      </c>
      <c r="C11789" s="18" t="s">
        <v>28</v>
      </c>
      <c r="D11789" s="15" t="s">
        <v>33108</v>
      </c>
      <c r="E11789" s="18" t="s">
        <v>28</v>
      </c>
      <c r="F11789" s="19">
        <v>347.79</v>
      </c>
      <c r="G11789" s="19">
        <v>177.37</v>
      </c>
      <c r="H11789" s="19">
        <v>347.78</v>
      </c>
      <c r="I11789" s="18" t="s">
        <v>28</v>
      </c>
      <c r="J11789" s="18" t="s">
        <v>28</v>
      </c>
      <c r="K11789" s="18" t="s">
        <v>28</v>
      </c>
      <c r="L11789" s="18" t="s">
        <v>28</v>
      </c>
      <c r="M11789" s="18" t="s">
        <v>28</v>
      </c>
      <c r="N11789" s="17">
        <v>40812</v>
      </c>
      <c r="O11789" s="15" t="s">
        <v>30</v>
      </c>
      <c r="P11789" s="16" t="s">
        <v>33109</v>
      </c>
      <c r="Q11789" s="15" t="s">
        <v>119</v>
      </c>
      <c r="R11789" s="13" t="str">
        <f>HYPERLINK("https://my.pitchbook.com?c=90520-84T","View Company Online")</f>
        <v>View Company Online</v>
      </c>
    </row>
    <row r="11790" spans="1:18" hidden="1" x14ac:dyDescent="0.3">
      <c r="A11790" s="9" t="s">
        <v>33110</v>
      </c>
      <c r="B11790" s="9" t="s">
        <v>33111</v>
      </c>
      <c r="C11790" s="11" t="s">
        <v>28</v>
      </c>
      <c r="D11790" s="9" t="s">
        <v>33112</v>
      </c>
      <c r="E11790" s="11" t="s">
        <v>28</v>
      </c>
      <c r="F11790" s="10" t="s">
        <v>28</v>
      </c>
      <c r="G11790" s="10" t="s">
        <v>28</v>
      </c>
      <c r="H11790" s="10" t="s">
        <v>28</v>
      </c>
      <c r="I11790" s="11" t="s">
        <v>28</v>
      </c>
      <c r="J11790" s="11" t="s">
        <v>28</v>
      </c>
      <c r="K11790" s="11" t="s">
        <v>28</v>
      </c>
      <c r="L11790" s="11" t="s">
        <v>28</v>
      </c>
      <c r="M11790" s="11" t="s">
        <v>28</v>
      </c>
      <c r="N11790" s="8">
        <v>40811</v>
      </c>
      <c r="O11790" s="9" t="s">
        <v>30</v>
      </c>
      <c r="P11790" s="12" t="s">
        <v>33113</v>
      </c>
      <c r="Q11790" s="9" t="s">
        <v>353</v>
      </c>
      <c r="R11790" s="14" t="str">
        <f>HYPERLINK("https://my.pitchbook.com?c=102785-86T","View Company Online")</f>
        <v>View Company Online</v>
      </c>
    </row>
    <row r="11791" spans="1:18" hidden="1" x14ac:dyDescent="0.3">
      <c r="A11791" s="15" t="s">
        <v>33114</v>
      </c>
      <c r="B11791" s="15" t="s">
        <v>28939</v>
      </c>
      <c r="C11791" s="18" t="s">
        <v>28</v>
      </c>
      <c r="D11791" s="15" t="s">
        <v>28940</v>
      </c>
      <c r="E11791" s="18" t="s">
        <v>28</v>
      </c>
      <c r="F11791" s="19" t="s">
        <v>28</v>
      </c>
      <c r="G11791" s="19" t="s">
        <v>28</v>
      </c>
      <c r="H11791" s="19" t="s">
        <v>28</v>
      </c>
      <c r="I11791" s="18" t="s">
        <v>28</v>
      </c>
      <c r="J11791" s="18" t="s">
        <v>28</v>
      </c>
      <c r="K11791" s="18" t="s">
        <v>28</v>
      </c>
      <c r="L11791" s="18" t="s">
        <v>28</v>
      </c>
      <c r="M11791" s="18" t="s">
        <v>28</v>
      </c>
      <c r="N11791" s="17">
        <v>40810</v>
      </c>
      <c r="O11791" s="15" t="s">
        <v>379</v>
      </c>
      <c r="P11791" s="16" t="s">
        <v>611</v>
      </c>
      <c r="Q11791" s="15" t="s">
        <v>419</v>
      </c>
      <c r="R11791" s="13" t="str">
        <f>HYPERLINK("https://my.pitchbook.com?c=55421-56T","View Company Online")</f>
        <v>View Company Online</v>
      </c>
    </row>
    <row r="11792" spans="1:18" hidden="1" x14ac:dyDescent="0.3">
      <c r="A11792" s="9" t="s">
        <v>33115</v>
      </c>
      <c r="B11792" s="9" t="s">
        <v>33116</v>
      </c>
      <c r="C11792" s="11" t="s">
        <v>28</v>
      </c>
      <c r="D11792" s="9" t="s">
        <v>33117</v>
      </c>
      <c r="E11792" s="11" t="s">
        <v>28</v>
      </c>
      <c r="F11792" s="10" t="s">
        <v>28</v>
      </c>
      <c r="G11792" s="10" t="s">
        <v>28</v>
      </c>
      <c r="H11792" s="10" t="s">
        <v>28</v>
      </c>
      <c r="I11792" s="11" t="s">
        <v>28</v>
      </c>
      <c r="J11792" s="11" t="s">
        <v>28</v>
      </c>
      <c r="K11792" s="11" t="s">
        <v>28</v>
      </c>
      <c r="L11792" s="11" t="s">
        <v>28</v>
      </c>
      <c r="M11792" s="11" t="s">
        <v>28</v>
      </c>
      <c r="N11792" s="8">
        <v>40808</v>
      </c>
      <c r="O11792" s="9" t="s">
        <v>30</v>
      </c>
      <c r="P11792" s="12" t="s">
        <v>33118</v>
      </c>
      <c r="Q11792" s="9" t="s">
        <v>5633</v>
      </c>
      <c r="R11792" s="14" t="str">
        <f>HYPERLINK("https://my.pitchbook.com?c=90601-93T","View Company Online")</f>
        <v>View Company Online</v>
      </c>
    </row>
    <row r="11793" spans="1:18" hidden="1" x14ac:dyDescent="0.3">
      <c r="A11793" s="15" t="s">
        <v>33119</v>
      </c>
      <c r="B11793" s="15" t="s">
        <v>33120</v>
      </c>
      <c r="C11793" s="18" t="s">
        <v>28</v>
      </c>
      <c r="D11793" s="15" t="s">
        <v>33121</v>
      </c>
      <c r="E11793" s="18" t="s">
        <v>28</v>
      </c>
      <c r="F11793" s="19" t="s">
        <v>28</v>
      </c>
      <c r="G11793" s="19" t="s">
        <v>28</v>
      </c>
      <c r="H11793" s="19" t="s">
        <v>28</v>
      </c>
      <c r="I11793" s="18" t="s">
        <v>28</v>
      </c>
      <c r="J11793" s="18" t="s">
        <v>28</v>
      </c>
      <c r="K11793" s="18" t="s">
        <v>28</v>
      </c>
      <c r="L11793" s="18" t="s">
        <v>28</v>
      </c>
      <c r="M11793" s="18" t="s">
        <v>28</v>
      </c>
      <c r="N11793" s="17">
        <v>40807</v>
      </c>
      <c r="O11793" s="15" t="s">
        <v>30</v>
      </c>
      <c r="P11793" s="16" t="s">
        <v>28173</v>
      </c>
      <c r="Q11793" s="15" t="s">
        <v>566</v>
      </c>
      <c r="R11793" s="13" t="str">
        <f>HYPERLINK("https://my.pitchbook.com?c=19347-31T","View Company Online")</f>
        <v>View Company Online</v>
      </c>
    </row>
    <row r="11794" spans="1:18" hidden="1" x14ac:dyDescent="0.3">
      <c r="A11794" s="9" t="s">
        <v>33122</v>
      </c>
      <c r="B11794" s="9" t="s">
        <v>33123</v>
      </c>
      <c r="C11794" s="11" t="s">
        <v>28</v>
      </c>
      <c r="D11794" s="9" t="s">
        <v>33124</v>
      </c>
      <c r="E11794" s="11" t="s">
        <v>28</v>
      </c>
      <c r="F11794" s="10">
        <v>5.89</v>
      </c>
      <c r="G11794" s="10">
        <v>5.89</v>
      </c>
      <c r="H11794" s="10">
        <v>5.89</v>
      </c>
      <c r="I11794" s="11" t="s">
        <v>28</v>
      </c>
      <c r="J11794" s="11" t="s">
        <v>28</v>
      </c>
      <c r="K11794" s="11" t="s">
        <v>28</v>
      </c>
      <c r="L11794" s="11" t="s">
        <v>28</v>
      </c>
      <c r="M11794" s="11" t="s">
        <v>28</v>
      </c>
      <c r="N11794" s="8">
        <v>40806</v>
      </c>
      <c r="O11794" s="9" t="s">
        <v>30</v>
      </c>
      <c r="P11794" s="12" t="s">
        <v>33125</v>
      </c>
      <c r="Q11794" s="9" t="s">
        <v>245</v>
      </c>
      <c r="R11794" s="14" t="str">
        <f>HYPERLINK("https://my.pitchbook.com?c=66154-06T","View Company Online")</f>
        <v>View Company Online</v>
      </c>
    </row>
    <row r="11795" spans="1:18" hidden="1" x14ac:dyDescent="0.3">
      <c r="A11795" s="15" t="s">
        <v>33126</v>
      </c>
      <c r="B11795" s="15" t="s">
        <v>26074</v>
      </c>
      <c r="C11795" s="18" t="s">
        <v>28</v>
      </c>
      <c r="D11795" s="15" t="s">
        <v>26075</v>
      </c>
      <c r="E11795" s="18" t="s">
        <v>28</v>
      </c>
      <c r="F11795" s="19" t="s">
        <v>28</v>
      </c>
      <c r="G11795" s="19" t="s">
        <v>28</v>
      </c>
      <c r="H11795" s="19" t="s">
        <v>28</v>
      </c>
      <c r="I11795" s="18" t="s">
        <v>28</v>
      </c>
      <c r="J11795" s="18" t="s">
        <v>28</v>
      </c>
      <c r="K11795" s="18" t="s">
        <v>28</v>
      </c>
      <c r="L11795" s="18" t="s">
        <v>28</v>
      </c>
      <c r="M11795" s="18" t="s">
        <v>28</v>
      </c>
      <c r="N11795" s="17">
        <v>40806</v>
      </c>
      <c r="O11795" s="15" t="s">
        <v>173</v>
      </c>
      <c r="P11795" s="16" t="s">
        <v>28</v>
      </c>
      <c r="Q11795" s="15" t="s">
        <v>240</v>
      </c>
      <c r="R11795" s="13" t="str">
        <f>HYPERLINK("https://my.pitchbook.com?c=226472-41T","View Company Online")</f>
        <v>View Company Online</v>
      </c>
    </row>
    <row r="11796" spans="1:18" hidden="1" x14ac:dyDescent="0.3">
      <c r="A11796" s="9" t="s">
        <v>33127</v>
      </c>
      <c r="B11796" s="9" t="s">
        <v>33128</v>
      </c>
      <c r="C11796" s="11" t="s">
        <v>28</v>
      </c>
      <c r="D11796" s="9" t="s">
        <v>33129</v>
      </c>
      <c r="E11796" s="11" t="s">
        <v>28</v>
      </c>
      <c r="F11796" s="10">
        <v>312.29000000000002</v>
      </c>
      <c r="G11796" s="10">
        <v>312.29000000000002</v>
      </c>
      <c r="H11796" s="10">
        <v>312.29000000000002</v>
      </c>
      <c r="I11796" s="11" t="s">
        <v>28</v>
      </c>
      <c r="J11796" s="11" t="s">
        <v>28</v>
      </c>
      <c r="K11796" s="11" t="s">
        <v>28</v>
      </c>
      <c r="L11796" s="11" t="s">
        <v>28</v>
      </c>
      <c r="M11796" s="11" t="s">
        <v>28</v>
      </c>
      <c r="N11796" s="8">
        <v>40802</v>
      </c>
      <c r="O11796" s="9" t="s">
        <v>30</v>
      </c>
      <c r="P11796" s="12" t="s">
        <v>28</v>
      </c>
      <c r="Q11796" s="9" t="s">
        <v>43</v>
      </c>
      <c r="R11796" s="14" t="str">
        <f>HYPERLINK("https://my.pitchbook.com?c=90208-00T","View Company Online")</f>
        <v>View Company Online</v>
      </c>
    </row>
    <row r="11797" spans="1:18" hidden="1" x14ac:dyDescent="0.3">
      <c r="A11797" s="15" t="s">
        <v>33130</v>
      </c>
      <c r="B11797" s="15" t="s">
        <v>23318</v>
      </c>
      <c r="C11797" s="18" t="s">
        <v>28</v>
      </c>
      <c r="D11797" s="15" t="s">
        <v>23319</v>
      </c>
      <c r="E11797" s="18" t="s">
        <v>28</v>
      </c>
      <c r="F11797" s="19" t="s">
        <v>28</v>
      </c>
      <c r="G11797" s="19" t="s">
        <v>28</v>
      </c>
      <c r="H11797" s="19" t="s">
        <v>28</v>
      </c>
      <c r="I11797" s="18" t="s">
        <v>28</v>
      </c>
      <c r="J11797" s="18" t="s">
        <v>28</v>
      </c>
      <c r="K11797" s="18">
        <v>205.55</v>
      </c>
      <c r="L11797" s="18" t="s">
        <v>28</v>
      </c>
      <c r="M11797" s="18" t="s">
        <v>28</v>
      </c>
      <c r="N11797" s="17">
        <v>40801</v>
      </c>
      <c r="O11797" s="15" t="s">
        <v>173</v>
      </c>
      <c r="P11797" s="16" t="s">
        <v>28</v>
      </c>
      <c r="Q11797" s="15" t="s">
        <v>607</v>
      </c>
      <c r="R11797" s="13" t="str">
        <f>HYPERLINK("https://my.pitchbook.com?c=25942-51T","View Company Online")</f>
        <v>View Company Online</v>
      </c>
    </row>
    <row r="11798" spans="1:18" hidden="1" x14ac:dyDescent="0.3">
      <c r="A11798" s="9" t="s">
        <v>33131</v>
      </c>
      <c r="B11798" s="9" t="s">
        <v>33132</v>
      </c>
      <c r="C11798" s="11" t="s">
        <v>28</v>
      </c>
      <c r="D11798" s="9" t="s">
        <v>33133</v>
      </c>
      <c r="E11798" s="11" t="s">
        <v>28</v>
      </c>
      <c r="F11798" s="10">
        <v>142</v>
      </c>
      <c r="G11798" s="10">
        <v>71</v>
      </c>
      <c r="H11798" s="10">
        <v>142</v>
      </c>
      <c r="I11798" s="11" t="s">
        <v>28</v>
      </c>
      <c r="J11798" s="11" t="s">
        <v>28</v>
      </c>
      <c r="K11798" s="11" t="s">
        <v>28</v>
      </c>
      <c r="L11798" s="11" t="s">
        <v>28</v>
      </c>
      <c r="M11798" s="11" t="s">
        <v>28</v>
      </c>
      <c r="N11798" s="8">
        <v>40800</v>
      </c>
      <c r="O11798" s="9" t="s">
        <v>30</v>
      </c>
      <c r="P11798" s="12" t="s">
        <v>33134</v>
      </c>
      <c r="Q11798" s="9" t="s">
        <v>226</v>
      </c>
      <c r="R11798" s="14" t="str">
        <f>HYPERLINK("https://my.pitchbook.com?c=81454-60T","View Company Online")</f>
        <v>View Company Online</v>
      </c>
    </row>
    <row r="11799" spans="1:18" hidden="1" x14ac:dyDescent="0.3">
      <c r="A11799" s="15" t="s">
        <v>33135</v>
      </c>
      <c r="B11799" s="15" t="s">
        <v>33136</v>
      </c>
      <c r="C11799" s="18" t="s">
        <v>28</v>
      </c>
      <c r="D11799" s="15" t="s">
        <v>33137</v>
      </c>
      <c r="E11799" s="18" t="s">
        <v>28</v>
      </c>
      <c r="F11799" s="19" t="s">
        <v>28</v>
      </c>
      <c r="G11799" s="19" t="s">
        <v>28</v>
      </c>
      <c r="H11799" s="19" t="s">
        <v>28</v>
      </c>
      <c r="I11799" s="18" t="s">
        <v>28</v>
      </c>
      <c r="J11799" s="18" t="s">
        <v>28</v>
      </c>
      <c r="K11799" s="18" t="s">
        <v>28</v>
      </c>
      <c r="L11799" s="18" t="s">
        <v>28</v>
      </c>
      <c r="M11799" s="18" t="s">
        <v>28</v>
      </c>
      <c r="N11799" s="17">
        <v>40797</v>
      </c>
      <c r="O11799" s="15" t="s">
        <v>30</v>
      </c>
      <c r="P11799" s="16" t="s">
        <v>33138</v>
      </c>
      <c r="Q11799" s="15" t="s">
        <v>5347</v>
      </c>
      <c r="R11799" s="13" t="str">
        <f>HYPERLINK("https://my.pitchbook.com?c=90863-20T","View Company Online")</f>
        <v>View Company Online</v>
      </c>
    </row>
    <row r="11800" spans="1:18" hidden="1" x14ac:dyDescent="0.3">
      <c r="A11800" s="9" t="s">
        <v>33139</v>
      </c>
      <c r="B11800" s="9" t="s">
        <v>33140</v>
      </c>
      <c r="C11800" s="11" t="s">
        <v>28</v>
      </c>
      <c r="D11800" s="9" t="s">
        <v>33141</v>
      </c>
      <c r="E11800" s="11" t="s">
        <v>28</v>
      </c>
      <c r="F11800" s="10" t="s">
        <v>28</v>
      </c>
      <c r="G11800" s="10" t="s">
        <v>28</v>
      </c>
      <c r="H11800" s="10" t="s">
        <v>28</v>
      </c>
      <c r="I11800" s="11" t="s">
        <v>28</v>
      </c>
      <c r="J11800" s="11" t="s">
        <v>28</v>
      </c>
      <c r="K11800" s="11" t="s">
        <v>28</v>
      </c>
      <c r="L11800" s="11" t="s">
        <v>28</v>
      </c>
      <c r="M11800" s="11" t="s">
        <v>28</v>
      </c>
      <c r="N11800" s="8">
        <v>40795</v>
      </c>
      <c r="O11800" s="9" t="s">
        <v>30</v>
      </c>
      <c r="P11800" s="12" t="s">
        <v>33142</v>
      </c>
      <c r="Q11800" s="9" t="s">
        <v>245</v>
      </c>
      <c r="R11800" s="14" t="str">
        <f>HYPERLINK("https://my.pitchbook.com?c=90789-67T","View Company Online")</f>
        <v>View Company Online</v>
      </c>
    </row>
    <row r="11801" spans="1:18" hidden="1" x14ac:dyDescent="0.3">
      <c r="A11801" s="15" t="s">
        <v>33143</v>
      </c>
      <c r="B11801" s="15" t="s">
        <v>30781</v>
      </c>
      <c r="C11801" s="18" t="s">
        <v>28</v>
      </c>
      <c r="D11801" s="15" t="s">
        <v>30782</v>
      </c>
      <c r="E11801" s="18" t="s">
        <v>28</v>
      </c>
      <c r="F11801" s="19" t="s">
        <v>28</v>
      </c>
      <c r="G11801" s="19" t="s">
        <v>28</v>
      </c>
      <c r="H11801" s="19" t="s">
        <v>28</v>
      </c>
      <c r="I11801" s="18" t="s">
        <v>28</v>
      </c>
      <c r="J11801" s="18" t="s">
        <v>28</v>
      </c>
      <c r="K11801" s="18" t="s">
        <v>28</v>
      </c>
      <c r="L11801" s="18" t="s">
        <v>28</v>
      </c>
      <c r="M11801" s="18" t="s">
        <v>28</v>
      </c>
      <c r="N11801" s="17">
        <v>40793</v>
      </c>
      <c r="O11801" s="15" t="s">
        <v>73</v>
      </c>
      <c r="P11801" s="16" t="s">
        <v>33144</v>
      </c>
      <c r="Q11801" s="15" t="s">
        <v>409</v>
      </c>
      <c r="R11801" s="13" t="str">
        <f>HYPERLINK("https://my.pitchbook.com?c=19957-33T","View Company Online")</f>
        <v>View Company Online</v>
      </c>
    </row>
    <row r="11802" spans="1:18" hidden="1" x14ac:dyDescent="0.3">
      <c r="A11802" s="9" t="s">
        <v>33145</v>
      </c>
      <c r="B11802" s="9" t="s">
        <v>33146</v>
      </c>
      <c r="C11802" s="11" t="s">
        <v>28</v>
      </c>
      <c r="D11802" s="9" t="s">
        <v>33147</v>
      </c>
      <c r="E11802" s="11" t="s">
        <v>28</v>
      </c>
      <c r="F11802" s="10">
        <v>745.94</v>
      </c>
      <c r="G11802" s="10">
        <v>745.94</v>
      </c>
      <c r="H11802" s="10">
        <v>745.94</v>
      </c>
      <c r="I11802" s="11" t="s">
        <v>28</v>
      </c>
      <c r="J11802" s="11" t="s">
        <v>28</v>
      </c>
      <c r="K11802" s="11" t="s">
        <v>28</v>
      </c>
      <c r="L11802" s="11" t="s">
        <v>28</v>
      </c>
      <c r="M11802" s="11" t="s">
        <v>28</v>
      </c>
      <c r="N11802" s="8">
        <v>40792</v>
      </c>
      <c r="O11802" s="9" t="s">
        <v>30</v>
      </c>
      <c r="P11802" s="12" t="s">
        <v>33148</v>
      </c>
      <c r="Q11802" s="9" t="s">
        <v>353</v>
      </c>
      <c r="R11802" s="14" t="str">
        <f>HYPERLINK("https://my.pitchbook.com?c=73332-64T","View Company Online")</f>
        <v>View Company Online</v>
      </c>
    </row>
    <row r="11803" spans="1:18" hidden="1" x14ac:dyDescent="0.3">
      <c r="A11803" s="15" t="s">
        <v>33149</v>
      </c>
      <c r="B11803" s="15" t="s">
        <v>33150</v>
      </c>
      <c r="C11803" s="18" t="s">
        <v>28</v>
      </c>
      <c r="D11803" s="15" t="s">
        <v>33151</v>
      </c>
      <c r="E11803" s="18" t="s">
        <v>28</v>
      </c>
      <c r="F11803" s="19" t="s">
        <v>28</v>
      </c>
      <c r="G11803" s="19" t="s">
        <v>28</v>
      </c>
      <c r="H11803" s="19" t="s">
        <v>28</v>
      </c>
      <c r="I11803" s="18" t="s">
        <v>28</v>
      </c>
      <c r="J11803" s="18" t="s">
        <v>28</v>
      </c>
      <c r="K11803" s="18" t="s">
        <v>28</v>
      </c>
      <c r="L11803" s="18" t="s">
        <v>28</v>
      </c>
      <c r="M11803" s="18" t="s">
        <v>28</v>
      </c>
      <c r="N11803" s="17">
        <v>40791</v>
      </c>
      <c r="O11803" s="15" t="s">
        <v>30</v>
      </c>
      <c r="P11803" s="16" t="s">
        <v>28</v>
      </c>
      <c r="Q11803" s="15" t="s">
        <v>14987</v>
      </c>
      <c r="R11803" s="13" t="str">
        <f>HYPERLINK("https://my.pitchbook.com?c=105288-94T","View Company Online")</f>
        <v>View Company Online</v>
      </c>
    </row>
    <row r="11804" spans="1:18" hidden="1" x14ac:dyDescent="0.3">
      <c r="A11804" s="9" t="s">
        <v>33152</v>
      </c>
      <c r="B11804" s="9" t="s">
        <v>33153</v>
      </c>
      <c r="C11804" s="11" t="s">
        <v>28</v>
      </c>
      <c r="D11804" s="9" t="s">
        <v>33154</v>
      </c>
      <c r="E11804" s="11" t="s">
        <v>28</v>
      </c>
      <c r="F11804" s="10" t="s">
        <v>28</v>
      </c>
      <c r="G11804" s="10" t="s">
        <v>28</v>
      </c>
      <c r="H11804" s="10" t="s">
        <v>28</v>
      </c>
      <c r="I11804" s="11" t="s">
        <v>28</v>
      </c>
      <c r="J11804" s="11" t="s">
        <v>28</v>
      </c>
      <c r="K11804" s="11" t="s">
        <v>28</v>
      </c>
      <c r="L11804" s="11" t="s">
        <v>28</v>
      </c>
      <c r="M11804" s="11" t="s">
        <v>28</v>
      </c>
      <c r="N11804" s="8">
        <v>40787</v>
      </c>
      <c r="O11804" s="9" t="s">
        <v>41</v>
      </c>
      <c r="P11804" s="12" t="s">
        <v>33155</v>
      </c>
      <c r="Q11804" s="9" t="s">
        <v>280</v>
      </c>
      <c r="R11804" s="14" t="str">
        <f>HYPERLINK("https://my.pitchbook.com?c=19092-79T","View Company Online")</f>
        <v>View Company Online</v>
      </c>
    </row>
    <row r="11805" spans="1:18" hidden="1" x14ac:dyDescent="0.3">
      <c r="A11805" s="15" t="s">
        <v>33156</v>
      </c>
      <c r="B11805" s="15" t="s">
        <v>33157</v>
      </c>
      <c r="C11805" s="18" t="s">
        <v>28</v>
      </c>
      <c r="D11805" s="15" t="s">
        <v>33158</v>
      </c>
      <c r="E11805" s="18" t="s">
        <v>28</v>
      </c>
      <c r="F11805" s="19" t="s">
        <v>28</v>
      </c>
      <c r="G11805" s="19">
        <v>2.5</v>
      </c>
      <c r="H11805" s="19" t="s">
        <v>28</v>
      </c>
      <c r="I11805" s="18" t="s">
        <v>28</v>
      </c>
      <c r="J11805" s="18" t="s">
        <v>28</v>
      </c>
      <c r="K11805" s="18">
        <v>9.5299999999999994</v>
      </c>
      <c r="L11805" s="18" t="s">
        <v>28</v>
      </c>
      <c r="M11805" s="18" t="s">
        <v>28</v>
      </c>
      <c r="N11805" s="17">
        <v>40787</v>
      </c>
      <c r="O11805" s="15" t="s">
        <v>79</v>
      </c>
      <c r="P11805" s="16" t="s">
        <v>33159</v>
      </c>
      <c r="Q11805" s="15" t="s">
        <v>692</v>
      </c>
      <c r="R11805" s="13" t="str">
        <f>HYPERLINK("https://my.pitchbook.com?c=139313-89T","View Company Online")</f>
        <v>View Company Online</v>
      </c>
    </row>
    <row r="11806" spans="1:18" hidden="1" x14ac:dyDescent="0.3">
      <c r="A11806" s="9" t="s">
        <v>33160</v>
      </c>
      <c r="B11806" s="9" t="s">
        <v>22752</v>
      </c>
      <c r="C11806" s="11" t="s">
        <v>28</v>
      </c>
      <c r="D11806" s="9" t="s">
        <v>23133</v>
      </c>
      <c r="E11806" s="11" t="s">
        <v>28</v>
      </c>
      <c r="F11806" s="10" t="s">
        <v>28</v>
      </c>
      <c r="G11806" s="10" t="s">
        <v>28</v>
      </c>
      <c r="H11806" s="10" t="s">
        <v>28</v>
      </c>
      <c r="I11806" s="11" t="s">
        <v>28</v>
      </c>
      <c r="J11806" s="11" t="s">
        <v>28</v>
      </c>
      <c r="K11806" s="11" t="s">
        <v>28</v>
      </c>
      <c r="L11806" s="11" t="s">
        <v>28</v>
      </c>
      <c r="M11806" s="11" t="s">
        <v>28</v>
      </c>
      <c r="N11806" s="8">
        <v>40787</v>
      </c>
      <c r="O11806" s="9" t="s">
        <v>52</v>
      </c>
      <c r="P11806" s="12" t="s">
        <v>24371</v>
      </c>
      <c r="Q11806" s="9" t="s">
        <v>75</v>
      </c>
      <c r="R11806" s="14" t="str">
        <f>HYPERLINK("https://my.pitchbook.com?c=70063-12T","View Company Online")</f>
        <v>View Company Online</v>
      </c>
    </row>
    <row r="11807" spans="1:18" hidden="1" x14ac:dyDescent="0.3">
      <c r="A11807" s="15" t="s">
        <v>33161</v>
      </c>
      <c r="B11807" s="15" t="s">
        <v>33162</v>
      </c>
      <c r="C11807" s="18" t="s">
        <v>28</v>
      </c>
      <c r="D11807" s="15" t="s">
        <v>33163</v>
      </c>
      <c r="E11807" s="18" t="s">
        <v>28</v>
      </c>
      <c r="F11807" s="19">
        <v>51.25</v>
      </c>
      <c r="G11807" s="19">
        <v>51.25</v>
      </c>
      <c r="H11807" s="19">
        <v>51.25</v>
      </c>
      <c r="I11807" s="18" t="s">
        <v>28</v>
      </c>
      <c r="J11807" s="18" t="s">
        <v>28</v>
      </c>
      <c r="K11807" s="18" t="s">
        <v>28</v>
      </c>
      <c r="L11807" s="18" t="s">
        <v>28</v>
      </c>
      <c r="M11807" s="18" t="s">
        <v>28</v>
      </c>
      <c r="N11807" s="17">
        <v>40787</v>
      </c>
      <c r="O11807" s="15" t="s">
        <v>30</v>
      </c>
      <c r="P11807" s="16" t="s">
        <v>33164</v>
      </c>
      <c r="Q11807" s="15" t="s">
        <v>5347</v>
      </c>
      <c r="R11807" s="13" t="str">
        <f>HYPERLINK("https://my.pitchbook.com?c=69832-45T","View Company Online")</f>
        <v>View Company Online</v>
      </c>
    </row>
    <row r="11808" spans="1:18" hidden="1" x14ac:dyDescent="0.3">
      <c r="A11808" s="9" t="s">
        <v>33165</v>
      </c>
      <c r="B11808" s="9" t="s">
        <v>17661</v>
      </c>
      <c r="C11808" s="11" t="s">
        <v>28</v>
      </c>
      <c r="D11808" s="9" t="s">
        <v>17662</v>
      </c>
      <c r="E11808" s="11">
        <v>4.57</v>
      </c>
      <c r="F11808" s="10" t="s">
        <v>28</v>
      </c>
      <c r="G11808" s="10" t="s">
        <v>28</v>
      </c>
      <c r="H11808" s="10" t="s">
        <v>28</v>
      </c>
      <c r="I11808" s="11">
        <v>12.05</v>
      </c>
      <c r="J11808" s="11" t="s">
        <v>28</v>
      </c>
      <c r="K11808" s="11">
        <v>81.709999999999994</v>
      </c>
      <c r="L11808" s="11" t="s">
        <v>28</v>
      </c>
      <c r="M11808" s="11">
        <v>-0.71</v>
      </c>
      <c r="N11808" s="8">
        <v>40787</v>
      </c>
      <c r="O11808" s="9" t="s">
        <v>41</v>
      </c>
      <c r="P11808" s="12" t="s">
        <v>33166</v>
      </c>
      <c r="Q11808" s="9" t="s">
        <v>692</v>
      </c>
      <c r="R11808" s="14" t="str">
        <f>HYPERLINK("https://my.pitchbook.com?c=19098-64T","View Company Online")</f>
        <v>View Company Online</v>
      </c>
    </row>
    <row r="11809" spans="1:18" hidden="1" x14ac:dyDescent="0.3">
      <c r="A11809" s="15" t="s">
        <v>33167</v>
      </c>
      <c r="B11809" s="15" t="s">
        <v>28319</v>
      </c>
      <c r="C11809" s="18" t="s">
        <v>28</v>
      </c>
      <c r="D11809" s="15" t="s">
        <v>28320</v>
      </c>
      <c r="E11809" s="18" t="s">
        <v>28</v>
      </c>
      <c r="F11809" s="19" t="s">
        <v>28</v>
      </c>
      <c r="G11809" s="19" t="s">
        <v>28</v>
      </c>
      <c r="H11809" s="19" t="s">
        <v>28</v>
      </c>
      <c r="I11809" s="18" t="s">
        <v>28</v>
      </c>
      <c r="J11809" s="18" t="s">
        <v>28</v>
      </c>
      <c r="K11809" s="18" t="s">
        <v>28</v>
      </c>
      <c r="L11809" s="18" t="s">
        <v>28</v>
      </c>
      <c r="M11809" s="18" t="s">
        <v>28</v>
      </c>
      <c r="N11809" s="17">
        <v>40787</v>
      </c>
      <c r="O11809" s="15" t="s">
        <v>99</v>
      </c>
      <c r="P11809" s="16" t="s">
        <v>31718</v>
      </c>
      <c r="Q11809" s="15" t="s">
        <v>386</v>
      </c>
      <c r="R11809" s="13" t="str">
        <f>HYPERLINK("https://my.pitchbook.com?c=26803-63T","View Company Online")</f>
        <v>View Company Online</v>
      </c>
    </row>
    <row r="11810" spans="1:18" hidden="1" x14ac:dyDescent="0.3">
      <c r="A11810" s="9" t="s">
        <v>33168</v>
      </c>
      <c r="B11810" s="9" t="s">
        <v>33169</v>
      </c>
      <c r="C11810" s="11" t="s">
        <v>28</v>
      </c>
      <c r="D11810" s="9" t="s">
        <v>33170</v>
      </c>
      <c r="E11810" s="11" t="s">
        <v>28</v>
      </c>
      <c r="F11810" s="10">
        <v>63.07</v>
      </c>
      <c r="G11810" s="10">
        <v>63.07</v>
      </c>
      <c r="H11810" s="10">
        <v>63.07</v>
      </c>
      <c r="I11810" s="11" t="s">
        <v>28</v>
      </c>
      <c r="J11810" s="11" t="s">
        <v>28</v>
      </c>
      <c r="K11810" s="11" t="s">
        <v>28</v>
      </c>
      <c r="L11810" s="11" t="s">
        <v>28</v>
      </c>
      <c r="M11810" s="11" t="s">
        <v>28</v>
      </c>
      <c r="N11810" s="8">
        <v>40787</v>
      </c>
      <c r="O11810" s="9" t="s">
        <v>30</v>
      </c>
      <c r="P11810" s="12" t="s">
        <v>33171</v>
      </c>
      <c r="Q11810" s="9" t="s">
        <v>362</v>
      </c>
      <c r="R11810" s="14" t="str">
        <f>HYPERLINK("https://my.pitchbook.com?c=71413-66T","View Company Online")</f>
        <v>View Company Online</v>
      </c>
    </row>
    <row r="11811" spans="1:18" hidden="1" x14ac:dyDescent="0.3">
      <c r="A11811" s="15" t="s">
        <v>33172</v>
      </c>
      <c r="B11811" s="15" t="s">
        <v>239</v>
      </c>
      <c r="C11811" s="18" t="s">
        <v>28</v>
      </c>
      <c r="D11811" s="15" t="s">
        <v>4519</v>
      </c>
      <c r="E11811" s="18" t="s">
        <v>28</v>
      </c>
      <c r="F11811" s="19" t="s">
        <v>28</v>
      </c>
      <c r="G11811" s="19">
        <v>0.75</v>
      </c>
      <c r="H11811" s="19" t="s">
        <v>28</v>
      </c>
      <c r="I11811" s="18" t="s">
        <v>28</v>
      </c>
      <c r="J11811" s="18" t="s">
        <v>28</v>
      </c>
      <c r="K11811" s="18" t="s">
        <v>28</v>
      </c>
      <c r="L11811" s="18" t="s">
        <v>28</v>
      </c>
      <c r="M11811" s="18" t="s">
        <v>28</v>
      </c>
      <c r="N11811" s="17">
        <v>40787</v>
      </c>
      <c r="O11811" s="15" t="s">
        <v>99</v>
      </c>
      <c r="P11811" s="16" t="s">
        <v>33173</v>
      </c>
      <c r="Q11811" s="15" t="s">
        <v>95</v>
      </c>
      <c r="R11811" s="13" t="str">
        <f>HYPERLINK("https://my.pitchbook.com?c=36919-72T","View Company Online")</f>
        <v>View Company Online</v>
      </c>
    </row>
    <row r="11812" spans="1:18" hidden="1" x14ac:dyDescent="0.3">
      <c r="A11812" s="9" t="s">
        <v>33174</v>
      </c>
      <c r="B11812" s="9" t="s">
        <v>33175</v>
      </c>
      <c r="C11812" s="11" t="s">
        <v>28</v>
      </c>
      <c r="D11812" s="9" t="s">
        <v>33176</v>
      </c>
      <c r="E11812" s="11" t="s">
        <v>28</v>
      </c>
      <c r="F11812" s="10" t="s">
        <v>28</v>
      </c>
      <c r="G11812" s="10" t="s">
        <v>28</v>
      </c>
      <c r="H11812" s="10" t="s">
        <v>28</v>
      </c>
      <c r="I11812" s="11" t="s">
        <v>28</v>
      </c>
      <c r="J11812" s="11" t="s">
        <v>28</v>
      </c>
      <c r="K11812" s="11" t="s">
        <v>28</v>
      </c>
      <c r="L11812" s="11" t="s">
        <v>28</v>
      </c>
      <c r="M11812" s="11" t="s">
        <v>28</v>
      </c>
      <c r="N11812" s="8">
        <v>40787</v>
      </c>
      <c r="O11812" s="9" t="s">
        <v>30</v>
      </c>
      <c r="P11812" s="12" t="s">
        <v>33177</v>
      </c>
      <c r="Q11812" s="9" t="s">
        <v>331</v>
      </c>
      <c r="R11812" s="14" t="str">
        <f>HYPERLINK("https://my.pitchbook.com?c=58261-15T","View Company Online")</f>
        <v>View Company Online</v>
      </c>
    </row>
    <row r="11813" spans="1:18" hidden="1" x14ac:dyDescent="0.3">
      <c r="A11813" s="15" t="s">
        <v>33178</v>
      </c>
      <c r="B11813" s="15" t="s">
        <v>13904</v>
      </c>
      <c r="C11813" s="18" t="s">
        <v>28</v>
      </c>
      <c r="D11813" s="15" t="s">
        <v>13905</v>
      </c>
      <c r="E11813" s="18" t="s">
        <v>28</v>
      </c>
      <c r="F11813" s="19" t="s">
        <v>28</v>
      </c>
      <c r="G11813" s="19">
        <v>3.13</v>
      </c>
      <c r="H11813" s="19" t="s">
        <v>28</v>
      </c>
      <c r="I11813" s="18" t="s">
        <v>28</v>
      </c>
      <c r="J11813" s="18" t="s">
        <v>28</v>
      </c>
      <c r="K11813" s="18" t="s">
        <v>28</v>
      </c>
      <c r="L11813" s="18" t="s">
        <v>28</v>
      </c>
      <c r="M11813" s="18" t="s">
        <v>28</v>
      </c>
      <c r="N11813" s="17">
        <v>40787</v>
      </c>
      <c r="O11813" s="15" t="s">
        <v>79</v>
      </c>
      <c r="P11813" s="16" t="s">
        <v>33179</v>
      </c>
      <c r="Q11813" s="15" t="s">
        <v>583</v>
      </c>
      <c r="R11813" s="13" t="str">
        <f>HYPERLINK("https://my.pitchbook.com?c=56018-98T","View Company Online")</f>
        <v>View Company Online</v>
      </c>
    </row>
    <row r="11814" spans="1:18" hidden="1" x14ac:dyDescent="0.3">
      <c r="A11814" s="9" t="s">
        <v>33180</v>
      </c>
      <c r="B11814" s="9" t="s">
        <v>30005</v>
      </c>
      <c r="C11814" s="11" t="s">
        <v>28</v>
      </c>
      <c r="D11814" s="9" t="s">
        <v>30006</v>
      </c>
      <c r="E11814" s="11" t="s">
        <v>28</v>
      </c>
      <c r="F11814" s="10" t="s">
        <v>28</v>
      </c>
      <c r="G11814" s="10" t="s">
        <v>28</v>
      </c>
      <c r="H11814" s="10" t="s">
        <v>28</v>
      </c>
      <c r="I11814" s="11" t="s">
        <v>28</v>
      </c>
      <c r="J11814" s="11" t="s">
        <v>28</v>
      </c>
      <c r="K11814" s="11" t="s">
        <v>28</v>
      </c>
      <c r="L11814" s="11" t="s">
        <v>28</v>
      </c>
      <c r="M11814" s="11" t="s">
        <v>28</v>
      </c>
      <c r="N11814" s="8">
        <v>40787</v>
      </c>
      <c r="O11814" s="9" t="s">
        <v>47</v>
      </c>
      <c r="P11814" s="12" t="s">
        <v>28</v>
      </c>
      <c r="Q11814" s="9" t="s">
        <v>245</v>
      </c>
      <c r="R11814" s="14" t="str">
        <f>HYPERLINK("https://my.pitchbook.com?c=65101-69T","View Company Online")</f>
        <v>View Company Online</v>
      </c>
    </row>
    <row r="11815" spans="1:18" hidden="1" x14ac:dyDescent="0.3">
      <c r="A11815" s="15" t="s">
        <v>33181</v>
      </c>
      <c r="B11815" s="15" t="s">
        <v>33182</v>
      </c>
      <c r="C11815" s="18" t="s">
        <v>28</v>
      </c>
      <c r="D11815" s="15" t="s">
        <v>33183</v>
      </c>
      <c r="E11815" s="18" t="s">
        <v>28</v>
      </c>
      <c r="F11815" s="19">
        <v>751.47</v>
      </c>
      <c r="G11815" s="19">
        <v>751.47</v>
      </c>
      <c r="H11815" s="19">
        <v>751.47</v>
      </c>
      <c r="I11815" s="18" t="s">
        <v>28</v>
      </c>
      <c r="J11815" s="18" t="s">
        <v>28</v>
      </c>
      <c r="K11815" s="18" t="s">
        <v>28</v>
      </c>
      <c r="L11815" s="18" t="s">
        <v>28</v>
      </c>
      <c r="M11815" s="18" t="s">
        <v>28</v>
      </c>
      <c r="N11815" s="17">
        <v>40787</v>
      </c>
      <c r="O11815" s="15" t="s">
        <v>30</v>
      </c>
      <c r="P11815" s="16" t="s">
        <v>14436</v>
      </c>
      <c r="Q11815" s="15" t="s">
        <v>69</v>
      </c>
      <c r="R11815" s="13" t="str">
        <f>HYPERLINK("https://my.pitchbook.com?c=90754-84T","View Company Online")</f>
        <v>View Company Online</v>
      </c>
    </row>
    <row r="11816" spans="1:18" hidden="1" x14ac:dyDescent="0.3">
      <c r="A11816" s="9" t="s">
        <v>33184</v>
      </c>
      <c r="B11816" s="9" t="s">
        <v>33185</v>
      </c>
      <c r="C11816" s="11" t="s">
        <v>28</v>
      </c>
      <c r="D11816" s="9" t="s">
        <v>33186</v>
      </c>
      <c r="E11816" s="11" t="s">
        <v>28</v>
      </c>
      <c r="F11816" s="10" t="s">
        <v>28</v>
      </c>
      <c r="G11816" s="10" t="s">
        <v>28</v>
      </c>
      <c r="H11816" s="10" t="s">
        <v>28</v>
      </c>
      <c r="I11816" s="11" t="s">
        <v>28</v>
      </c>
      <c r="J11816" s="11" t="s">
        <v>28</v>
      </c>
      <c r="K11816" s="11" t="s">
        <v>28</v>
      </c>
      <c r="L11816" s="11" t="s">
        <v>28</v>
      </c>
      <c r="M11816" s="11" t="s">
        <v>28</v>
      </c>
      <c r="N11816" s="8">
        <v>40787</v>
      </c>
      <c r="O11816" s="9" t="s">
        <v>41</v>
      </c>
      <c r="P11816" s="12" t="s">
        <v>28771</v>
      </c>
      <c r="Q11816" s="9" t="s">
        <v>299</v>
      </c>
      <c r="R11816" s="14" t="str">
        <f>HYPERLINK("https://my.pitchbook.com?c=90756-01T","View Company Online")</f>
        <v>View Company Online</v>
      </c>
    </row>
    <row r="11817" spans="1:18" hidden="1" x14ac:dyDescent="0.3">
      <c r="A11817" s="15" t="s">
        <v>33187</v>
      </c>
      <c r="B11817" s="15" t="s">
        <v>33188</v>
      </c>
      <c r="C11817" s="18" t="s">
        <v>28</v>
      </c>
      <c r="D11817" s="15" t="s">
        <v>33189</v>
      </c>
      <c r="E11817" s="18" t="s">
        <v>28</v>
      </c>
      <c r="F11817" s="19" t="s">
        <v>28</v>
      </c>
      <c r="G11817" s="19" t="s">
        <v>28</v>
      </c>
      <c r="H11817" s="19" t="s">
        <v>28</v>
      </c>
      <c r="I11817" s="18" t="s">
        <v>28</v>
      </c>
      <c r="J11817" s="18" t="s">
        <v>28</v>
      </c>
      <c r="K11817" s="18" t="s">
        <v>28</v>
      </c>
      <c r="L11817" s="18" t="s">
        <v>28</v>
      </c>
      <c r="M11817" s="18" t="s">
        <v>28</v>
      </c>
      <c r="N11817" s="17">
        <v>40786</v>
      </c>
      <c r="O11817" s="15" t="s">
        <v>30</v>
      </c>
      <c r="P11817" s="16" t="s">
        <v>29500</v>
      </c>
      <c r="Q11817" s="15" t="s">
        <v>740</v>
      </c>
      <c r="R11817" s="13" t="str">
        <f>HYPERLINK("https://my.pitchbook.com?c=257778-82T","View Company Online")</f>
        <v>View Company Online</v>
      </c>
    </row>
    <row r="11818" spans="1:18" hidden="1" x14ac:dyDescent="0.3">
      <c r="A11818" s="9" t="s">
        <v>33190</v>
      </c>
      <c r="B11818" s="9" t="s">
        <v>33191</v>
      </c>
      <c r="C11818" s="11" t="s">
        <v>28</v>
      </c>
      <c r="D11818" s="9" t="s">
        <v>33192</v>
      </c>
      <c r="E11818" s="11" t="s">
        <v>28</v>
      </c>
      <c r="F11818" s="10">
        <v>29.14</v>
      </c>
      <c r="G11818" s="10">
        <v>29.14</v>
      </c>
      <c r="H11818" s="10">
        <v>29.14</v>
      </c>
      <c r="I11818" s="11" t="s">
        <v>28</v>
      </c>
      <c r="J11818" s="11" t="s">
        <v>28</v>
      </c>
      <c r="K11818" s="11" t="s">
        <v>28</v>
      </c>
      <c r="L11818" s="11" t="s">
        <v>28</v>
      </c>
      <c r="M11818" s="11" t="s">
        <v>28</v>
      </c>
      <c r="N11818" s="8">
        <v>40786</v>
      </c>
      <c r="O11818" s="9" t="s">
        <v>30</v>
      </c>
      <c r="P11818" s="12" t="s">
        <v>33193</v>
      </c>
      <c r="Q11818" s="9" t="s">
        <v>362</v>
      </c>
      <c r="R11818" s="14" t="str">
        <f>HYPERLINK("https://my.pitchbook.com?c=73186-12T","View Company Online")</f>
        <v>View Company Online</v>
      </c>
    </row>
    <row r="11819" spans="1:18" hidden="1" x14ac:dyDescent="0.3">
      <c r="A11819" s="15" t="s">
        <v>33194</v>
      </c>
      <c r="B11819" s="15" t="s">
        <v>33195</v>
      </c>
      <c r="C11819" s="18" t="s">
        <v>28</v>
      </c>
      <c r="D11819" s="15" t="s">
        <v>33196</v>
      </c>
      <c r="E11819" s="18" t="s">
        <v>28</v>
      </c>
      <c r="F11819" s="19" t="s">
        <v>28</v>
      </c>
      <c r="G11819" s="19" t="s">
        <v>28</v>
      </c>
      <c r="H11819" s="19" t="s">
        <v>28</v>
      </c>
      <c r="I11819" s="18" t="s">
        <v>28</v>
      </c>
      <c r="J11819" s="18" t="s">
        <v>28</v>
      </c>
      <c r="K11819" s="18" t="s">
        <v>28</v>
      </c>
      <c r="L11819" s="18" t="s">
        <v>28</v>
      </c>
      <c r="M11819" s="18" t="s">
        <v>28</v>
      </c>
      <c r="N11819" s="17">
        <v>40785</v>
      </c>
      <c r="O11819" s="15" t="s">
        <v>30</v>
      </c>
      <c r="P11819" s="16" t="s">
        <v>33197</v>
      </c>
      <c r="Q11819" s="15" t="s">
        <v>331</v>
      </c>
      <c r="R11819" s="13" t="str">
        <f>HYPERLINK("https://my.pitchbook.com?c=72603-91T","View Company Online")</f>
        <v>View Company Online</v>
      </c>
    </row>
    <row r="11820" spans="1:18" hidden="1" x14ac:dyDescent="0.3">
      <c r="A11820" s="9" t="s">
        <v>33198</v>
      </c>
      <c r="B11820" s="9" t="s">
        <v>28404</v>
      </c>
      <c r="C11820" s="11" t="s">
        <v>28</v>
      </c>
      <c r="D11820" s="9" t="s">
        <v>28405</v>
      </c>
      <c r="E11820" s="11">
        <v>-13.06</v>
      </c>
      <c r="F11820" s="10" t="s">
        <v>28</v>
      </c>
      <c r="G11820" s="10" t="s">
        <v>28</v>
      </c>
      <c r="H11820" s="10" t="s">
        <v>28</v>
      </c>
      <c r="I11820" s="11">
        <v>-13.06</v>
      </c>
      <c r="J11820" s="11" t="s">
        <v>28</v>
      </c>
      <c r="K11820" s="11">
        <v>2.68</v>
      </c>
      <c r="L11820" s="11" t="s">
        <v>28</v>
      </c>
      <c r="M11820" s="11">
        <v>-17.510000000000002</v>
      </c>
      <c r="N11820" s="8">
        <v>40785</v>
      </c>
      <c r="O11820" s="9" t="s">
        <v>159</v>
      </c>
      <c r="P11820" s="12" t="s">
        <v>33199</v>
      </c>
      <c r="Q11820" s="9" t="s">
        <v>5347</v>
      </c>
      <c r="R11820" s="14" t="str">
        <f>HYPERLINK("https://my.pitchbook.com?c=27923-77T","View Company Online")</f>
        <v>View Company Online</v>
      </c>
    </row>
    <row r="11821" spans="1:18" hidden="1" x14ac:dyDescent="0.3">
      <c r="A11821" s="15" t="s">
        <v>33200</v>
      </c>
      <c r="B11821" s="15" t="s">
        <v>33201</v>
      </c>
      <c r="C11821" s="18" t="s">
        <v>28</v>
      </c>
      <c r="D11821" s="15" t="s">
        <v>33202</v>
      </c>
      <c r="E11821" s="18" t="s">
        <v>28</v>
      </c>
      <c r="F11821" s="19" t="s">
        <v>28</v>
      </c>
      <c r="G11821" s="19" t="s">
        <v>28</v>
      </c>
      <c r="H11821" s="19" t="s">
        <v>28</v>
      </c>
      <c r="I11821" s="18" t="s">
        <v>28</v>
      </c>
      <c r="J11821" s="18" t="s">
        <v>28</v>
      </c>
      <c r="K11821" s="18" t="s">
        <v>28</v>
      </c>
      <c r="L11821" s="18" t="s">
        <v>28</v>
      </c>
      <c r="M11821" s="18" t="s">
        <v>28</v>
      </c>
      <c r="N11821" s="17">
        <v>40780</v>
      </c>
      <c r="O11821" s="15" t="s">
        <v>173</v>
      </c>
      <c r="P11821" s="16" t="s">
        <v>28</v>
      </c>
      <c r="Q11821" s="15" t="s">
        <v>174</v>
      </c>
      <c r="R11821" s="13" t="str">
        <f>HYPERLINK("https://my.pitchbook.com?c=226395-73T","View Company Online")</f>
        <v>View Company Online</v>
      </c>
    </row>
    <row r="11822" spans="1:18" hidden="1" x14ac:dyDescent="0.3">
      <c r="A11822" s="9" t="s">
        <v>33203</v>
      </c>
      <c r="B11822" s="9" t="s">
        <v>33204</v>
      </c>
      <c r="C11822" s="11" t="s">
        <v>28</v>
      </c>
      <c r="D11822" s="9" t="s">
        <v>33205</v>
      </c>
      <c r="E11822" s="11" t="s">
        <v>28</v>
      </c>
      <c r="F11822" s="10">
        <v>13</v>
      </c>
      <c r="G11822" s="10">
        <v>13</v>
      </c>
      <c r="H11822" s="10">
        <v>13</v>
      </c>
      <c r="I11822" s="11" t="s">
        <v>28</v>
      </c>
      <c r="J11822" s="11" t="s">
        <v>28</v>
      </c>
      <c r="K11822" s="11">
        <v>35.75</v>
      </c>
      <c r="L11822" s="11">
        <v>0.36</v>
      </c>
      <c r="M11822" s="11" t="s">
        <v>28</v>
      </c>
      <c r="N11822" s="8">
        <v>40779</v>
      </c>
      <c r="O11822" s="9" t="s">
        <v>30</v>
      </c>
      <c r="P11822" s="12" t="s">
        <v>33206</v>
      </c>
      <c r="Q11822" s="9" t="s">
        <v>19855</v>
      </c>
      <c r="R11822" s="14" t="str">
        <f>HYPERLINK("https://my.pitchbook.com?c=90541-36T","View Company Online")</f>
        <v>View Company Online</v>
      </c>
    </row>
    <row r="11823" spans="1:18" hidden="1" x14ac:dyDescent="0.3">
      <c r="A11823" s="15" t="s">
        <v>33207</v>
      </c>
      <c r="B11823" s="15" t="s">
        <v>33208</v>
      </c>
      <c r="C11823" s="18" t="s">
        <v>28</v>
      </c>
      <c r="D11823" s="15" t="s">
        <v>33209</v>
      </c>
      <c r="E11823" s="18" t="s">
        <v>28</v>
      </c>
      <c r="F11823" s="19" t="s">
        <v>28</v>
      </c>
      <c r="G11823" s="19" t="s">
        <v>28</v>
      </c>
      <c r="H11823" s="19" t="s">
        <v>28</v>
      </c>
      <c r="I11823" s="18" t="s">
        <v>28</v>
      </c>
      <c r="J11823" s="18" t="s">
        <v>28</v>
      </c>
      <c r="K11823" s="18">
        <v>297.89999999999998</v>
      </c>
      <c r="L11823" s="18" t="s">
        <v>28</v>
      </c>
      <c r="M11823" s="18" t="s">
        <v>28</v>
      </c>
      <c r="N11823" s="17">
        <v>40778</v>
      </c>
      <c r="O11823" s="15" t="s">
        <v>93</v>
      </c>
      <c r="P11823" s="16" t="s">
        <v>33210</v>
      </c>
      <c r="Q11823" s="15" t="s">
        <v>85</v>
      </c>
      <c r="R11823" s="13" t="str">
        <f>HYPERLINK("https://my.pitchbook.com?c=111091-06T","View Company Online")</f>
        <v>View Company Online</v>
      </c>
    </row>
    <row r="11824" spans="1:18" hidden="1" x14ac:dyDescent="0.3">
      <c r="A11824" s="9" t="s">
        <v>33211</v>
      </c>
      <c r="B11824" s="9" t="s">
        <v>33212</v>
      </c>
      <c r="C11824" s="11" t="s">
        <v>28</v>
      </c>
      <c r="D11824" s="9" t="s">
        <v>33213</v>
      </c>
      <c r="E11824" s="11" t="s">
        <v>28</v>
      </c>
      <c r="F11824" s="10" t="s">
        <v>28</v>
      </c>
      <c r="G11824" s="10" t="s">
        <v>28</v>
      </c>
      <c r="H11824" s="10" t="s">
        <v>28</v>
      </c>
      <c r="I11824" s="11" t="s">
        <v>28</v>
      </c>
      <c r="J11824" s="11" t="s">
        <v>28</v>
      </c>
      <c r="K11824" s="11" t="s">
        <v>28</v>
      </c>
      <c r="L11824" s="11" t="s">
        <v>28</v>
      </c>
      <c r="M11824" s="11" t="s">
        <v>28</v>
      </c>
      <c r="N11824" s="8">
        <v>40777</v>
      </c>
      <c r="O11824" s="9" t="s">
        <v>30</v>
      </c>
      <c r="P11824" s="12" t="s">
        <v>33214</v>
      </c>
      <c r="Q11824" s="9" t="s">
        <v>14987</v>
      </c>
      <c r="R11824" s="14" t="str">
        <f>HYPERLINK("https://my.pitchbook.com?c=90694-99T","View Company Online")</f>
        <v>View Company Online</v>
      </c>
    </row>
    <row r="11825" spans="1:18" hidden="1" x14ac:dyDescent="0.3">
      <c r="A11825" s="15" t="s">
        <v>33215</v>
      </c>
      <c r="B11825" s="15" t="s">
        <v>33216</v>
      </c>
      <c r="C11825" s="18" t="s">
        <v>28</v>
      </c>
      <c r="D11825" s="15" t="s">
        <v>33217</v>
      </c>
      <c r="E11825" s="18" t="s">
        <v>28</v>
      </c>
      <c r="F11825" s="19">
        <v>0.75</v>
      </c>
      <c r="G11825" s="19">
        <v>0.75</v>
      </c>
      <c r="H11825" s="19">
        <v>0.75</v>
      </c>
      <c r="I11825" s="18" t="s">
        <v>28</v>
      </c>
      <c r="J11825" s="18" t="s">
        <v>28</v>
      </c>
      <c r="K11825" s="18" t="s">
        <v>28</v>
      </c>
      <c r="L11825" s="18" t="s">
        <v>28</v>
      </c>
      <c r="M11825" s="18" t="s">
        <v>28</v>
      </c>
      <c r="N11825" s="17">
        <v>40774</v>
      </c>
      <c r="O11825" s="15" t="s">
        <v>30</v>
      </c>
      <c r="P11825" s="16" t="s">
        <v>33218</v>
      </c>
      <c r="Q11825" s="15" t="s">
        <v>14987</v>
      </c>
      <c r="R11825" s="13" t="str">
        <f>HYPERLINK("https://my.pitchbook.com?c=90268-12T","View Company Online")</f>
        <v>View Company Online</v>
      </c>
    </row>
    <row r="11826" spans="1:18" hidden="1" x14ac:dyDescent="0.3">
      <c r="A11826" s="9" t="s">
        <v>33219</v>
      </c>
      <c r="B11826" s="9" t="s">
        <v>33220</v>
      </c>
      <c r="C11826" s="11" t="s">
        <v>28</v>
      </c>
      <c r="D11826" s="9" t="s">
        <v>33221</v>
      </c>
      <c r="E11826" s="11" t="s">
        <v>28</v>
      </c>
      <c r="F11826" s="10">
        <v>96.33</v>
      </c>
      <c r="G11826" s="10">
        <v>96.33</v>
      </c>
      <c r="H11826" s="10">
        <v>96.33</v>
      </c>
      <c r="I11826" s="11" t="s">
        <v>28</v>
      </c>
      <c r="J11826" s="11" t="s">
        <v>28</v>
      </c>
      <c r="K11826" s="11" t="s">
        <v>28</v>
      </c>
      <c r="L11826" s="11" t="s">
        <v>28</v>
      </c>
      <c r="M11826" s="11" t="s">
        <v>28</v>
      </c>
      <c r="N11826" s="8">
        <v>40774</v>
      </c>
      <c r="O11826" s="9" t="s">
        <v>30</v>
      </c>
      <c r="P11826" s="12" t="s">
        <v>29357</v>
      </c>
      <c r="Q11826" s="9" t="s">
        <v>245</v>
      </c>
      <c r="R11826" s="14" t="str">
        <f>HYPERLINK("https://my.pitchbook.com?c=72681-94T","View Company Online")</f>
        <v>View Company Online</v>
      </c>
    </row>
    <row r="11827" spans="1:18" hidden="1" x14ac:dyDescent="0.3">
      <c r="A11827" s="15" t="s">
        <v>33222</v>
      </c>
      <c r="B11827" s="15" t="s">
        <v>30114</v>
      </c>
      <c r="C11827" s="18" t="s">
        <v>28</v>
      </c>
      <c r="D11827" s="15" t="s">
        <v>30115</v>
      </c>
      <c r="E11827" s="18" t="s">
        <v>28</v>
      </c>
      <c r="F11827" s="19" t="s">
        <v>28</v>
      </c>
      <c r="G11827" s="19" t="s">
        <v>28</v>
      </c>
      <c r="H11827" s="19" t="s">
        <v>28</v>
      </c>
      <c r="I11827" s="18" t="s">
        <v>28</v>
      </c>
      <c r="J11827" s="18" t="s">
        <v>28</v>
      </c>
      <c r="K11827" s="18" t="s">
        <v>28</v>
      </c>
      <c r="L11827" s="18" t="s">
        <v>28</v>
      </c>
      <c r="M11827" s="18" t="s">
        <v>28</v>
      </c>
      <c r="N11827" s="17">
        <v>40772</v>
      </c>
      <c r="O11827" s="15" t="s">
        <v>73</v>
      </c>
      <c r="P11827" s="16" t="s">
        <v>10643</v>
      </c>
      <c r="Q11827" s="15" t="s">
        <v>855</v>
      </c>
      <c r="R11827" s="13" t="str">
        <f>HYPERLINK("https://my.pitchbook.com?c=46627-12T","View Company Online")</f>
        <v>View Company Online</v>
      </c>
    </row>
    <row r="11828" spans="1:18" hidden="1" x14ac:dyDescent="0.3">
      <c r="A11828" s="9" t="s">
        <v>33223</v>
      </c>
      <c r="B11828" s="9" t="s">
        <v>1703</v>
      </c>
      <c r="C11828" s="11" t="s">
        <v>28</v>
      </c>
      <c r="D11828" s="9" t="s">
        <v>1704</v>
      </c>
      <c r="E11828" s="11" t="s">
        <v>28</v>
      </c>
      <c r="F11828" s="10" t="s">
        <v>28</v>
      </c>
      <c r="G11828" s="10" t="s">
        <v>28</v>
      </c>
      <c r="H11828" s="10" t="s">
        <v>28</v>
      </c>
      <c r="I11828" s="11" t="s">
        <v>28</v>
      </c>
      <c r="J11828" s="11" t="s">
        <v>28</v>
      </c>
      <c r="K11828" s="11" t="s">
        <v>28</v>
      </c>
      <c r="L11828" s="11" t="s">
        <v>28</v>
      </c>
      <c r="M11828" s="11" t="s">
        <v>28</v>
      </c>
      <c r="N11828" s="8">
        <v>40770</v>
      </c>
      <c r="O11828" s="9" t="s">
        <v>58</v>
      </c>
      <c r="P11828" s="12" t="s">
        <v>33224</v>
      </c>
      <c r="Q11828" s="9" t="s">
        <v>1179</v>
      </c>
      <c r="R11828" s="14" t="str">
        <f>HYPERLINK("https://my.pitchbook.com?c=90564-94T","View Company Online")</f>
        <v>View Company Online</v>
      </c>
    </row>
    <row r="11829" spans="1:18" hidden="1" x14ac:dyDescent="0.3">
      <c r="A11829" s="15" t="s">
        <v>33225</v>
      </c>
      <c r="B11829" s="15" t="s">
        <v>33226</v>
      </c>
      <c r="C11829" s="18" t="s">
        <v>28</v>
      </c>
      <c r="D11829" s="15" t="s">
        <v>33227</v>
      </c>
      <c r="E11829" s="18" t="s">
        <v>28</v>
      </c>
      <c r="F11829" s="19" t="s">
        <v>28</v>
      </c>
      <c r="G11829" s="19">
        <v>1.43</v>
      </c>
      <c r="H11829" s="19" t="s">
        <v>28</v>
      </c>
      <c r="I11829" s="18" t="s">
        <v>28</v>
      </c>
      <c r="J11829" s="18" t="s">
        <v>28</v>
      </c>
      <c r="K11829" s="18" t="s">
        <v>28</v>
      </c>
      <c r="L11829" s="18" t="s">
        <v>28</v>
      </c>
      <c r="M11829" s="18" t="s">
        <v>28</v>
      </c>
      <c r="N11829" s="17">
        <v>40767</v>
      </c>
      <c r="O11829" s="15" t="s">
        <v>73</v>
      </c>
      <c r="P11829" s="16" t="s">
        <v>1755</v>
      </c>
      <c r="Q11829" s="15" t="s">
        <v>1793</v>
      </c>
      <c r="R11829" s="13" t="str">
        <f>HYPERLINK("https://my.pitchbook.com?c=53314-03T","View Company Online")</f>
        <v>View Company Online</v>
      </c>
    </row>
    <row r="11830" spans="1:18" hidden="1" x14ac:dyDescent="0.3">
      <c r="A11830" s="9" t="s">
        <v>33228</v>
      </c>
      <c r="B11830" s="9" t="s">
        <v>33229</v>
      </c>
      <c r="C11830" s="11" t="s">
        <v>28</v>
      </c>
      <c r="D11830" s="9" t="s">
        <v>33230</v>
      </c>
      <c r="E11830" s="11" t="s">
        <v>28</v>
      </c>
      <c r="F11830" s="10" t="s">
        <v>28</v>
      </c>
      <c r="G11830" s="10" t="s">
        <v>28</v>
      </c>
      <c r="H11830" s="10" t="s">
        <v>28</v>
      </c>
      <c r="I11830" s="11" t="s">
        <v>28</v>
      </c>
      <c r="J11830" s="11" t="s">
        <v>28</v>
      </c>
      <c r="K11830" s="11" t="s">
        <v>28</v>
      </c>
      <c r="L11830" s="11" t="s">
        <v>28</v>
      </c>
      <c r="M11830" s="11" t="s">
        <v>28</v>
      </c>
      <c r="N11830" s="8">
        <v>40765</v>
      </c>
      <c r="O11830" s="9" t="s">
        <v>173</v>
      </c>
      <c r="P11830" s="12" t="s">
        <v>28</v>
      </c>
      <c r="Q11830" s="9" t="s">
        <v>174</v>
      </c>
      <c r="R11830" s="14" t="str">
        <f>HYPERLINK("https://my.pitchbook.com?c=226469-89T","View Company Online")</f>
        <v>View Company Online</v>
      </c>
    </row>
    <row r="11831" spans="1:18" hidden="1" x14ac:dyDescent="0.3">
      <c r="A11831" s="15" t="s">
        <v>33231</v>
      </c>
      <c r="B11831" s="15" t="s">
        <v>33232</v>
      </c>
      <c r="C11831" s="18" t="s">
        <v>28</v>
      </c>
      <c r="D11831" s="15" t="s">
        <v>33233</v>
      </c>
      <c r="E11831" s="18" t="s">
        <v>28</v>
      </c>
      <c r="F11831" s="19" t="s">
        <v>28</v>
      </c>
      <c r="G11831" s="19">
        <v>1.3</v>
      </c>
      <c r="H11831" s="19" t="s">
        <v>28</v>
      </c>
      <c r="I11831" s="18" t="s">
        <v>28</v>
      </c>
      <c r="J11831" s="18" t="s">
        <v>28</v>
      </c>
      <c r="K11831" s="18" t="s">
        <v>28</v>
      </c>
      <c r="L11831" s="18" t="s">
        <v>28</v>
      </c>
      <c r="M11831" s="18" t="s">
        <v>28</v>
      </c>
      <c r="N11831" s="17">
        <v>40764</v>
      </c>
      <c r="O11831" s="15" t="s">
        <v>73</v>
      </c>
      <c r="P11831" s="16" t="s">
        <v>24398</v>
      </c>
      <c r="Q11831" s="15" t="s">
        <v>419</v>
      </c>
      <c r="R11831" s="13" t="str">
        <f>HYPERLINK("https://my.pitchbook.com?c=35804-08T","View Company Online")</f>
        <v>View Company Online</v>
      </c>
    </row>
    <row r="11832" spans="1:18" hidden="1" x14ac:dyDescent="0.3">
      <c r="A11832" s="9" t="s">
        <v>33234</v>
      </c>
      <c r="B11832" s="9" t="s">
        <v>33235</v>
      </c>
      <c r="C11832" s="11" t="s">
        <v>28</v>
      </c>
      <c r="D11832" s="9" t="s">
        <v>33236</v>
      </c>
      <c r="E11832" s="11" t="s">
        <v>28</v>
      </c>
      <c r="F11832" s="10">
        <v>9.75</v>
      </c>
      <c r="G11832" s="10">
        <v>7.32</v>
      </c>
      <c r="H11832" s="10">
        <v>9.75</v>
      </c>
      <c r="I11832" s="11" t="s">
        <v>28</v>
      </c>
      <c r="J11832" s="11" t="s">
        <v>28</v>
      </c>
      <c r="K11832" s="11" t="s">
        <v>28</v>
      </c>
      <c r="L11832" s="11" t="s">
        <v>28</v>
      </c>
      <c r="M11832" s="11" t="s">
        <v>28</v>
      </c>
      <c r="N11832" s="8">
        <v>40764</v>
      </c>
      <c r="O11832" s="9" t="s">
        <v>30</v>
      </c>
      <c r="P11832" s="12" t="s">
        <v>33237</v>
      </c>
      <c r="Q11832" s="9" t="s">
        <v>119</v>
      </c>
      <c r="R11832" s="14" t="str">
        <f>HYPERLINK("https://my.pitchbook.com?c=90755-92T","View Company Online")</f>
        <v>View Company Online</v>
      </c>
    </row>
    <row r="11833" spans="1:18" hidden="1" x14ac:dyDescent="0.3">
      <c r="A11833" s="15" t="s">
        <v>33238</v>
      </c>
      <c r="B11833" s="15" t="s">
        <v>33239</v>
      </c>
      <c r="C11833" s="18" t="s">
        <v>28</v>
      </c>
      <c r="D11833" s="15" t="s">
        <v>33240</v>
      </c>
      <c r="E11833" s="18" t="s">
        <v>28</v>
      </c>
      <c r="F11833" s="19" t="s">
        <v>28</v>
      </c>
      <c r="G11833" s="19" t="s">
        <v>28</v>
      </c>
      <c r="H11833" s="19" t="s">
        <v>28</v>
      </c>
      <c r="I11833" s="18" t="s">
        <v>28</v>
      </c>
      <c r="J11833" s="18" t="s">
        <v>28</v>
      </c>
      <c r="K11833" s="18" t="s">
        <v>28</v>
      </c>
      <c r="L11833" s="18" t="s">
        <v>28</v>
      </c>
      <c r="M11833" s="18" t="s">
        <v>28</v>
      </c>
      <c r="N11833" s="17">
        <v>40758</v>
      </c>
      <c r="O11833" s="15" t="s">
        <v>30</v>
      </c>
      <c r="P11833" s="16" t="s">
        <v>22118</v>
      </c>
      <c r="Q11833" s="15" t="s">
        <v>1035</v>
      </c>
      <c r="R11833" s="13" t="str">
        <f>HYPERLINK("https://my.pitchbook.com?c=90332-83T","View Company Online")</f>
        <v>View Company Online</v>
      </c>
    </row>
    <row r="11834" spans="1:18" hidden="1" x14ac:dyDescent="0.3">
      <c r="A11834" s="9" t="s">
        <v>33241</v>
      </c>
      <c r="B11834" s="9" t="s">
        <v>33242</v>
      </c>
      <c r="C11834" s="11" t="s">
        <v>28</v>
      </c>
      <c r="D11834" s="9" t="s">
        <v>33243</v>
      </c>
      <c r="E11834" s="11" t="s">
        <v>28</v>
      </c>
      <c r="F11834" s="10">
        <v>35.68</v>
      </c>
      <c r="G11834" s="10">
        <v>35.68</v>
      </c>
      <c r="H11834" s="10">
        <v>35.68</v>
      </c>
      <c r="I11834" s="11" t="s">
        <v>28</v>
      </c>
      <c r="J11834" s="11" t="s">
        <v>28</v>
      </c>
      <c r="K11834" s="11" t="s">
        <v>28</v>
      </c>
      <c r="L11834" s="11" t="s">
        <v>28</v>
      </c>
      <c r="M11834" s="11" t="s">
        <v>28</v>
      </c>
      <c r="N11834" s="8">
        <v>40758</v>
      </c>
      <c r="O11834" s="9" t="s">
        <v>30</v>
      </c>
      <c r="P11834" s="12" t="s">
        <v>33244</v>
      </c>
      <c r="Q11834" s="9" t="s">
        <v>105</v>
      </c>
      <c r="R11834" s="14" t="str">
        <f>HYPERLINK("https://my.pitchbook.com?c=75030-04T","View Company Online")</f>
        <v>View Company Online</v>
      </c>
    </row>
    <row r="11835" spans="1:18" hidden="1" x14ac:dyDescent="0.3">
      <c r="A11835" s="15" t="s">
        <v>33245</v>
      </c>
      <c r="B11835" s="15" t="s">
        <v>33246</v>
      </c>
      <c r="C11835" s="18" t="s">
        <v>28</v>
      </c>
      <c r="D11835" s="15" t="s">
        <v>33247</v>
      </c>
      <c r="E11835" s="18" t="s">
        <v>28</v>
      </c>
      <c r="F11835" s="19">
        <v>46.67</v>
      </c>
      <c r="G11835" s="19">
        <v>46.67</v>
      </c>
      <c r="H11835" s="19">
        <v>46.67</v>
      </c>
      <c r="I11835" s="18" t="s">
        <v>28</v>
      </c>
      <c r="J11835" s="18" t="s">
        <v>28</v>
      </c>
      <c r="K11835" s="18" t="s">
        <v>28</v>
      </c>
      <c r="L11835" s="18" t="s">
        <v>28</v>
      </c>
      <c r="M11835" s="18" t="s">
        <v>28</v>
      </c>
      <c r="N11835" s="17">
        <v>40758</v>
      </c>
      <c r="O11835" s="15" t="s">
        <v>30</v>
      </c>
      <c r="P11835" s="16" t="s">
        <v>33248</v>
      </c>
      <c r="Q11835" s="15" t="s">
        <v>362</v>
      </c>
      <c r="R11835" s="13" t="str">
        <f>HYPERLINK("https://my.pitchbook.com?c=98135-65T","View Company Online")</f>
        <v>View Company Online</v>
      </c>
    </row>
    <row r="11836" spans="1:18" hidden="1" x14ac:dyDescent="0.3">
      <c r="A11836" s="9" t="s">
        <v>33249</v>
      </c>
      <c r="B11836" s="9" t="s">
        <v>33250</v>
      </c>
      <c r="C11836" s="11" t="s">
        <v>28</v>
      </c>
      <c r="D11836" s="9" t="s">
        <v>33251</v>
      </c>
      <c r="E11836" s="11" t="s">
        <v>28</v>
      </c>
      <c r="F11836" s="10" t="s">
        <v>28</v>
      </c>
      <c r="G11836" s="10" t="s">
        <v>28</v>
      </c>
      <c r="H11836" s="10" t="s">
        <v>28</v>
      </c>
      <c r="I11836" s="11" t="s">
        <v>28</v>
      </c>
      <c r="J11836" s="11" t="s">
        <v>28</v>
      </c>
      <c r="K11836" s="11" t="s">
        <v>28</v>
      </c>
      <c r="L11836" s="11" t="s">
        <v>28</v>
      </c>
      <c r="M11836" s="11" t="s">
        <v>28</v>
      </c>
      <c r="N11836" s="8">
        <v>40757</v>
      </c>
      <c r="O11836" s="9" t="s">
        <v>30</v>
      </c>
      <c r="P11836" s="12" t="s">
        <v>33252</v>
      </c>
      <c r="Q11836" s="9" t="s">
        <v>880</v>
      </c>
      <c r="R11836" s="14" t="str">
        <f>HYPERLINK("https://my.pitchbook.com?c=90376-75T","View Company Online")</f>
        <v>View Company Online</v>
      </c>
    </row>
    <row r="11837" spans="1:18" hidden="1" x14ac:dyDescent="0.3">
      <c r="A11837" s="15" t="s">
        <v>33253</v>
      </c>
      <c r="B11837" s="15" t="s">
        <v>22084</v>
      </c>
      <c r="C11837" s="18" t="s">
        <v>28</v>
      </c>
      <c r="D11837" s="15" t="s">
        <v>22085</v>
      </c>
      <c r="E11837" s="18" t="s">
        <v>28</v>
      </c>
      <c r="F11837" s="19" t="s">
        <v>28</v>
      </c>
      <c r="G11837" s="19">
        <v>1.6</v>
      </c>
      <c r="H11837" s="19" t="s">
        <v>28</v>
      </c>
      <c r="I11837" s="18" t="s">
        <v>28</v>
      </c>
      <c r="J11837" s="18" t="s">
        <v>28</v>
      </c>
      <c r="K11837" s="18">
        <v>10</v>
      </c>
      <c r="L11837" s="18" t="s">
        <v>28</v>
      </c>
      <c r="M11837" s="18" t="s">
        <v>28</v>
      </c>
      <c r="N11837" s="17">
        <v>40757</v>
      </c>
      <c r="O11837" s="15" t="s">
        <v>73</v>
      </c>
      <c r="P11837" s="16" t="s">
        <v>33254</v>
      </c>
      <c r="Q11837" s="15" t="s">
        <v>566</v>
      </c>
      <c r="R11837" s="13" t="str">
        <f>HYPERLINK("https://my.pitchbook.com?c=36902-89T","View Company Online")</f>
        <v>View Company Online</v>
      </c>
    </row>
    <row r="11838" spans="1:18" hidden="1" x14ac:dyDescent="0.3">
      <c r="A11838" s="9" t="s">
        <v>33255</v>
      </c>
      <c r="B11838" s="9" t="s">
        <v>2368</v>
      </c>
      <c r="C11838" s="11" t="s">
        <v>28</v>
      </c>
      <c r="D11838" s="9" t="s">
        <v>23267</v>
      </c>
      <c r="E11838" s="11">
        <v>-0.33</v>
      </c>
      <c r="F11838" s="10" t="s">
        <v>28</v>
      </c>
      <c r="G11838" s="10">
        <v>230.19</v>
      </c>
      <c r="H11838" s="10">
        <v>1450.49</v>
      </c>
      <c r="I11838" s="11">
        <v>4.28</v>
      </c>
      <c r="J11838" s="11">
        <v>339.08</v>
      </c>
      <c r="K11838" s="11">
        <v>21.87</v>
      </c>
      <c r="L11838" s="11">
        <v>66.31</v>
      </c>
      <c r="M11838" s="11">
        <v>-1.46</v>
      </c>
      <c r="N11838" s="8">
        <v>40756</v>
      </c>
      <c r="O11838" s="9" t="s">
        <v>159</v>
      </c>
      <c r="P11838" s="12" t="s">
        <v>32579</v>
      </c>
      <c r="Q11838" s="9" t="s">
        <v>226</v>
      </c>
      <c r="R11838" s="14" t="str">
        <f>HYPERLINK("https://my.pitchbook.com?c=27856-72T","View Company Online")</f>
        <v>View Company Online</v>
      </c>
    </row>
    <row r="11839" spans="1:18" hidden="1" x14ac:dyDescent="0.3">
      <c r="A11839" s="15" t="s">
        <v>33256</v>
      </c>
      <c r="B11839" s="15" t="s">
        <v>33257</v>
      </c>
      <c r="C11839" s="18" t="s">
        <v>28</v>
      </c>
      <c r="D11839" s="15" t="s">
        <v>33258</v>
      </c>
      <c r="E11839" s="18" t="s">
        <v>28</v>
      </c>
      <c r="F11839" s="19" t="s">
        <v>28</v>
      </c>
      <c r="G11839" s="19" t="s">
        <v>28</v>
      </c>
      <c r="H11839" s="19" t="s">
        <v>28</v>
      </c>
      <c r="I11839" s="18" t="s">
        <v>28</v>
      </c>
      <c r="J11839" s="18" t="s">
        <v>28</v>
      </c>
      <c r="K11839" s="18" t="s">
        <v>28</v>
      </c>
      <c r="L11839" s="18" t="s">
        <v>28</v>
      </c>
      <c r="M11839" s="18" t="s">
        <v>28</v>
      </c>
      <c r="N11839" s="17">
        <v>40756</v>
      </c>
      <c r="O11839" s="15" t="s">
        <v>30</v>
      </c>
      <c r="P11839" s="16" t="s">
        <v>33259</v>
      </c>
      <c r="Q11839" s="15" t="s">
        <v>75</v>
      </c>
      <c r="R11839" s="13" t="str">
        <f>HYPERLINK("https://my.pitchbook.com?c=72732-97T","View Company Online")</f>
        <v>View Company Online</v>
      </c>
    </row>
    <row r="11840" spans="1:18" hidden="1" x14ac:dyDescent="0.3">
      <c r="A11840" s="9" t="s">
        <v>33260</v>
      </c>
      <c r="B11840" s="9" t="s">
        <v>33261</v>
      </c>
      <c r="C11840" s="11" t="s">
        <v>28</v>
      </c>
      <c r="D11840" s="9" t="s">
        <v>33262</v>
      </c>
      <c r="E11840" s="11" t="s">
        <v>28</v>
      </c>
      <c r="F11840" s="10" t="s">
        <v>28</v>
      </c>
      <c r="G11840" s="10" t="s">
        <v>28</v>
      </c>
      <c r="H11840" s="10" t="s">
        <v>28</v>
      </c>
      <c r="I11840" s="11" t="s">
        <v>28</v>
      </c>
      <c r="J11840" s="11" t="s">
        <v>28</v>
      </c>
      <c r="K11840" s="11" t="s">
        <v>28</v>
      </c>
      <c r="L11840" s="11" t="s">
        <v>28</v>
      </c>
      <c r="M11840" s="11" t="s">
        <v>28</v>
      </c>
      <c r="N11840" s="8">
        <v>40756</v>
      </c>
      <c r="O11840" s="9" t="s">
        <v>30</v>
      </c>
      <c r="P11840" s="12" t="s">
        <v>33263</v>
      </c>
      <c r="Q11840" s="9" t="s">
        <v>109</v>
      </c>
      <c r="R11840" s="14" t="str">
        <f>HYPERLINK("https://my.pitchbook.com?c=90710-83T","View Company Online")</f>
        <v>View Company Online</v>
      </c>
    </row>
    <row r="11841" spans="1:18" hidden="1" x14ac:dyDescent="0.3">
      <c r="A11841" s="15" t="s">
        <v>33264</v>
      </c>
      <c r="B11841" s="15" t="s">
        <v>33265</v>
      </c>
      <c r="C11841" s="18" t="s">
        <v>28</v>
      </c>
      <c r="D11841" s="15" t="s">
        <v>33266</v>
      </c>
      <c r="E11841" s="18" t="s">
        <v>28</v>
      </c>
      <c r="F11841" s="19" t="s">
        <v>28</v>
      </c>
      <c r="G11841" s="19" t="s">
        <v>28</v>
      </c>
      <c r="H11841" s="19" t="s">
        <v>28</v>
      </c>
      <c r="I11841" s="18" t="s">
        <v>28</v>
      </c>
      <c r="J11841" s="18" t="s">
        <v>28</v>
      </c>
      <c r="K11841" s="18" t="s">
        <v>28</v>
      </c>
      <c r="L11841" s="18" t="s">
        <v>28</v>
      </c>
      <c r="M11841" s="18" t="s">
        <v>28</v>
      </c>
      <c r="N11841" s="17">
        <v>40756</v>
      </c>
      <c r="O11841" s="15" t="s">
        <v>30</v>
      </c>
      <c r="P11841" s="16" t="s">
        <v>33267</v>
      </c>
      <c r="Q11841" s="15" t="s">
        <v>299</v>
      </c>
      <c r="R11841" s="13" t="str">
        <f>HYPERLINK("https://my.pitchbook.com?c=90753-04T","View Company Online")</f>
        <v>View Company Online</v>
      </c>
    </row>
    <row r="11842" spans="1:18" hidden="1" x14ac:dyDescent="0.3">
      <c r="A11842" s="9" t="s">
        <v>33268</v>
      </c>
      <c r="B11842" s="9" t="s">
        <v>33269</v>
      </c>
      <c r="C11842" s="11" t="s">
        <v>28</v>
      </c>
      <c r="D11842" s="9" t="s">
        <v>33270</v>
      </c>
      <c r="E11842" s="11" t="s">
        <v>28</v>
      </c>
      <c r="F11842" s="10">
        <v>53.05</v>
      </c>
      <c r="G11842" s="10">
        <v>53.05</v>
      </c>
      <c r="H11842" s="10">
        <v>53.05</v>
      </c>
      <c r="I11842" s="11" t="s">
        <v>28</v>
      </c>
      <c r="J11842" s="11" t="s">
        <v>28</v>
      </c>
      <c r="K11842" s="11" t="s">
        <v>28</v>
      </c>
      <c r="L11842" s="11" t="s">
        <v>28</v>
      </c>
      <c r="M11842" s="11" t="s">
        <v>28</v>
      </c>
      <c r="N11842" s="8">
        <v>40755</v>
      </c>
      <c r="O11842" s="9" t="s">
        <v>30</v>
      </c>
      <c r="P11842" s="12" t="s">
        <v>3609</v>
      </c>
      <c r="Q11842" s="9" t="s">
        <v>409</v>
      </c>
      <c r="R11842" s="14" t="str">
        <f>HYPERLINK("https://my.pitchbook.com?c=257375-17T","View Company Online")</f>
        <v>View Company Online</v>
      </c>
    </row>
    <row r="11843" spans="1:18" hidden="1" x14ac:dyDescent="0.3">
      <c r="A11843" s="15" t="s">
        <v>33271</v>
      </c>
      <c r="B11843" s="15" t="s">
        <v>33272</v>
      </c>
      <c r="C11843" s="18" t="s">
        <v>28</v>
      </c>
      <c r="D11843" s="15" t="s">
        <v>33273</v>
      </c>
      <c r="E11843" s="18" t="s">
        <v>28</v>
      </c>
      <c r="F11843" s="19" t="s">
        <v>28</v>
      </c>
      <c r="G11843" s="19" t="s">
        <v>28</v>
      </c>
      <c r="H11843" s="19" t="s">
        <v>28</v>
      </c>
      <c r="I11843" s="18" t="s">
        <v>28</v>
      </c>
      <c r="J11843" s="18" t="s">
        <v>28</v>
      </c>
      <c r="K11843" s="18" t="s">
        <v>28</v>
      </c>
      <c r="L11843" s="18" t="s">
        <v>28</v>
      </c>
      <c r="M11843" s="18" t="s">
        <v>28</v>
      </c>
      <c r="N11843" s="17">
        <v>40755</v>
      </c>
      <c r="O11843" s="15" t="s">
        <v>30</v>
      </c>
      <c r="P11843" s="16" t="s">
        <v>33274</v>
      </c>
      <c r="Q11843" s="15" t="s">
        <v>19855</v>
      </c>
      <c r="R11843" s="13" t="str">
        <f>HYPERLINK("https://my.pitchbook.com?c=73337-05T","View Company Online")</f>
        <v>View Company Online</v>
      </c>
    </row>
    <row r="11844" spans="1:18" hidden="1" x14ac:dyDescent="0.3">
      <c r="A11844" s="9" t="s">
        <v>33275</v>
      </c>
      <c r="B11844" s="9" t="s">
        <v>33276</v>
      </c>
      <c r="C11844" s="11" t="s">
        <v>28</v>
      </c>
      <c r="D11844" s="9" t="s">
        <v>33277</v>
      </c>
      <c r="E11844" s="11" t="s">
        <v>28</v>
      </c>
      <c r="F11844" s="10" t="s">
        <v>28</v>
      </c>
      <c r="G11844" s="10" t="s">
        <v>28</v>
      </c>
      <c r="H11844" s="10" t="s">
        <v>28</v>
      </c>
      <c r="I11844" s="11" t="s">
        <v>28</v>
      </c>
      <c r="J11844" s="11" t="s">
        <v>28</v>
      </c>
      <c r="K11844" s="11" t="s">
        <v>28</v>
      </c>
      <c r="L11844" s="11" t="s">
        <v>28</v>
      </c>
      <c r="M11844" s="11" t="s">
        <v>28</v>
      </c>
      <c r="N11844" s="8">
        <v>40753</v>
      </c>
      <c r="O11844" s="9" t="s">
        <v>173</v>
      </c>
      <c r="P11844" s="12" t="s">
        <v>28</v>
      </c>
      <c r="Q11844" s="9" t="s">
        <v>174</v>
      </c>
      <c r="R11844" s="14" t="str">
        <f>HYPERLINK("https://my.pitchbook.com?c=224106-49T","View Company Online")</f>
        <v>View Company Online</v>
      </c>
    </row>
    <row r="11845" spans="1:18" hidden="1" x14ac:dyDescent="0.3">
      <c r="A11845" s="15" t="s">
        <v>33278</v>
      </c>
      <c r="B11845" s="15" t="s">
        <v>33279</v>
      </c>
      <c r="C11845" s="18" t="s">
        <v>28</v>
      </c>
      <c r="D11845" s="15" t="s">
        <v>33280</v>
      </c>
      <c r="E11845" s="18" t="s">
        <v>28</v>
      </c>
      <c r="F11845" s="19">
        <v>6.13</v>
      </c>
      <c r="G11845" s="19">
        <v>3.13</v>
      </c>
      <c r="H11845" s="19">
        <v>6.13</v>
      </c>
      <c r="I11845" s="18" t="s">
        <v>28</v>
      </c>
      <c r="J11845" s="18" t="s">
        <v>28</v>
      </c>
      <c r="K11845" s="18" t="s">
        <v>28</v>
      </c>
      <c r="L11845" s="18" t="s">
        <v>28</v>
      </c>
      <c r="M11845" s="18" t="s">
        <v>28</v>
      </c>
      <c r="N11845" s="17">
        <v>40753</v>
      </c>
      <c r="O11845" s="15" t="s">
        <v>30</v>
      </c>
      <c r="P11845" s="16" t="s">
        <v>32103</v>
      </c>
      <c r="Q11845" s="15" t="s">
        <v>119</v>
      </c>
      <c r="R11845" s="13" t="str">
        <f>HYPERLINK("https://my.pitchbook.com?c=90509-50T","View Company Online")</f>
        <v>View Company Online</v>
      </c>
    </row>
    <row r="11846" spans="1:18" hidden="1" x14ac:dyDescent="0.3">
      <c r="A11846" s="9" t="s">
        <v>33281</v>
      </c>
      <c r="B11846" s="9" t="s">
        <v>33282</v>
      </c>
      <c r="C11846" s="11" t="s">
        <v>28</v>
      </c>
      <c r="D11846" s="9" t="s">
        <v>33283</v>
      </c>
      <c r="E11846" s="11" t="s">
        <v>28</v>
      </c>
      <c r="F11846" s="10">
        <v>143.07</v>
      </c>
      <c r="G11846" s="10">
        <v>143.07</v>
      </c>
      <c r="H11846" s="10">
        <v>143.07</v>
      </c>
      <c r="I11846" s="11" t="s">
        <v>28</v>
      </c>
      <c r="J11846" s="11" t="s">
        <v>28</v>
      </c>
      <c r="K11846" s="11" t="s">
        <v>28</v>
      </c>
      <c r="L11846" s="11" t="s">
        <v>28</v>
      </c>
      <c r="M11846" s="11" t="s">
        <v>28</v>
      </c>
      <c r="N11846" s="8">
        <v>40753</v>
      </c>
      <c r="O11846" s="9" t="s">
        <v>30</v>
      </c>
      <c r="P11846" s="12" t="s">
        <v>33284</v>
      </c>
      <c r="Q11846" s="9" t="s">
        <v>245</v>
      </c>
      <c r="R11846" s="14" t="str">
        <f>HYPERLINK("https://my.pitchbook.com?c=90603-91T","View Company Online")</f>
        <v>View Company Online</v>
      </c>
    </row>
    <row r="11847" spans="1:18" hidden="1" x14ac:dyDescent="0.3">
      <c r="A11847" s="15" t="s">
        <v>33285</v>
      </c>
      <c r="B11847" s="15" t="s">
        <v>11630</v>
      </c>
      <c r="C11847" s="18" t="s">
        <v>28</v>
      </c>
      <c r="D11847" s="15" t="s">
        <v>20815</v>
      </c>
      <c r="E11847" s="18">
        <v>1150.95</v>
      </c>
      <c r="F11847" s="19" t="s">
        <v>28</v>
      </c>
      <c r="G11847" s="19">
        <v>500</v>
      </c>
      <c r="H11847" s="19" t="s">
        <v>28</v>
      </c>
      <c r="I11847" s="18">
        <v>2208.71</v>
      </c>
      <c r="J11847" s="18" t="s">
        <v>28</v>
      </c>
      <c r="K11847" s="18">
        <v>17650.48</v>
      </c>
      <c r="L11847" s="18" t="s">
        <v>28</v>
      </c>
      <c r="M11847" s="18">
        <v>958.07</v>
      </c>
      <c r="N11847" s="17">
        <v>40752</v>
      </c>
      <c r="O11847" s="15" t="s">
        <v>159</v>
      </c>
      <c r="P11847" s="16" t="s">
        <v>28</v>
      </c>
      <c r="Q11847" s="15" t="s">
        <v>331</v>
      </c>
      <c r="R11847" s="13" t="str">
        <f>HYPERLINK("https://my.pitchbook.com?c=96511-33T","View Company Online")</f>
        <v>View Company Online</v>
      </c>
    </row>
    <row r="11848" spans="1:18" hidden="1" x14ac:dyDescent="0.3">
      <c r="A11848" s="9" t="s">
        <v>33286</v>
      </c>
      <c r="B11848" s="9" t="s">
        <v>33287</v>
      </c>
      <c r="C11848" s="11" t="s">
        <v>28</v>
      </c>
      <c r="D11848" s="9" t="s">
        <v>33288</v>
      </c>
      <c r="E11848" s="11" t="s">
        <v>28</v>
      </c>
      <c r="F11848" s="10" t="s">
        <v>28</v>
      </c>
      <c r="G11848" s="10" t="s">
        <v>28</v>
      </c>
      <c r="H11848" s="10" t="s">
        <v>28</v>
      </c>
      <c r="I11848" s="11" t="s">
        <v>28</v>
      </c>
      <c r="J11848" s="11" t="s">
        <v>28</v>
      </c>
      <c r="K11848" s="11" t="s">
        <v>28</v>
      </c>
      <c r="L11848" s="11" t="s">
        <v>28</v>
      </c>
      <c r="M11848" s="11" t="s">
        <v>28</v>
      </c>
      <c r="N11848" s="8">
        <v>40752</v>
      </c>
      <c r="O11848" s="9" t="s">
        <v>30</v>
      </c>
      <c r="P11848" s="12" t="s">
        <v>33289</v>
      </c>
      <c r="Q11848" s="9" t="s">
        <v>136</v>
      </c>
      <c r="R11848" s="14" t="str">
        <f>HYPERLINK("https://my.pitchbook.com?c=86601-07T","View Company Online")</f>
        <v>View Company Online</v>
      </c>
    </row>
    <row r="11849" spans="1:18" x14ac:dyDescent="0.3">
      <c r="A11849" s="15" t="s">
        <v>33290</v>
      </c>
      <c r="B11849" s="15" t="s">
        <v>10279</v>
      </c>
      <c r="C11849" s="18" t="s">
        <v>28</v>
      </c>
      <c r="D11849" s="15" t="s">
        <v>18134</v>
      </c>
      <c r="E11849" s="18">
        <v>20.09</v>
      </c>
      <c r="F11849" s="19" t="s">
        <v>28</v>
      </c>
      <c r="G11849" s="19">
        <v>82.31</v>
      </c>
      <c r="H11849" s="19">
        <v>403.29</v>
      </c>
      <c r="I11849" s="18">
        <v>32.14</v>
      </c>
      <c r="J11849" s="18">
        <v>12.55</v>
      </c>
      <c r="K11849" s="18">
        <v>109.93</v>
      </c>
      <c r="L11849" s="18">
        <v>3.67</v>
      </c>
      <c r="M11849" s="18">
        <v>12.53</v>
      </c>
      <c r="N11849" s="17">
        <v>40750</v>
      </c>
      <c r="O11849" s="15" t="s">
        <v>93</v>
      </c>
      <c r="P11849" s="16" t="s">
        <v>33291</v>
      </c>
      <c r="Q11849" s="15" t="s">
        <v>75</v>
      </c>
      <c r="R11849" s="13" t="str">
        <f>HYPERLINK("https://my.pitchbook.com?c=18830-35T","View Company Online")</f>
        <v>View Company Online</v>
      </c>
    </row>
    <row r="11850" spans="1:18" hidden="1" x14ac:dyDescent="0.3">
      <c r="A11850" s="9" t="s">
        <v>33292</v>
      </c>
      <c r="B11850" s="9" t="s">
        <v>33293</v>
      </c>
      <c r="C11850" s="11" t="s">
        <v>28</v>
      </c>
      <c r="D11850" s="9" t="s">
        <v>33294</v>
      </c>
      <c r="E11850" s="11" t="s">
        <v>28</v>
      </c>
      <c r="F11850" s="10" t="s">
        <v>28</v>
      </c>
      <c r="G11850" s="10" t="s">
        <v>28</v>
      </c>
      <c r="H11850" s="10" t="s">
        <v>28</v>
      </c>
      <c r="I11850" s="11" t="s">
        <v>28</v>
      </c>
      <c r="J11850" s="11" t="s">
        <v>28</v>
      </c>
      <c r="K11850" s="11" t="s">
        <v>28</v>
      </c>
      <c r="L11850" s="11" t="s">
        <v>28</v>
      </c>
      <c r="M11850" s="11" t="s">
        <v>28</v>
      </c>
      <c r="N11850" s="8">
        <v>40750</v>
      </c>
      <c r="O11850" s="9" t="s">
        <v>173</v>
      </c>
      <c r="P11850" s="12" t="s">
        <v>28</v>
      </c>
      <c r="Q11850" s="9" t="s">
        <v>174</v>
      </c>
      <c r="R11850" s="14" t="str">
        <f>HYPERLINK("https://my.pitchbook.com?c=225913-33T","View Company Online")</f>
        <v>View Company Online</v>
      </c>
    </row>
    <row r="11851" spans="1:18" hidden="1" x14ac:dyDescent="0.3">
      <c r="A11851" s="15" t="s">
        <v>33295</v>
      </c>
      <c r="B11851" s="15" t="s">
        <v>33296</v>
      </c>
      <c r="C11851" s="18" t="s">
        <v>28</v>
      </c>
      <c r="D11851" s="15" t="s">
        <v>33297</v>
      </c>
      <c r="E11851" s="18" t="s">
        <v>28</v>
      </c>
      <c r="F11851" s="19" t="s">
        <v>28</v>
      </c>
      <c r="G11851" s="19" t="s">
        <v>28</v>
      </c>
      <c r="H11851" s="19" t="s">
        <v>28</v>
      </c>
      <c r="I11851" s="18" t="s">
        <v>28</v>
      </c>
      <c r="J11851" s="18" t="s">
        <v>28</v>
      </c>
      <c r="K11851" s="18" t="s">
        <v>28</v>
      </c>
      <c r="L11851" s="18" t="s">
        <v>28</v>
      </c>
      <c r="M11851" s="18" t="s">
        <v>28</v>
      </c>
      <c r="N11851" s="17">
        <v>40750</v>
      </c>
      <c r="O11851" s="15" t="s">
        <v>30</v>
      </c>
      <c r="P11851" s="16" t="s">
        <v>14320</v>
      </c>
      <c r="Q11851" s="15" t="s">
        <v>1341</v>
      </c>
      <c r="R11851" s="13" t="str">
        <f>HYPERLINK("https://my.pitchbook.com?c=257697-46T","View Company Online")</f>
        <v>View Company Online</v>
      </c>
    </row>
    <row r="11852" spans="1:18" hidden="1" x14ac:dyDescent="0.3">
      <c r="A11852" s="9" t="s">
        <v>33298</v>
      </c>
      <c r="B11852" s="9" t="s">
        <v>33299</v>
      </c>
      <c r="C11852" s="11" t="s">
        <v>28</v>
      </c>
      <c r="D11852" s="9" t="s">
        <v>33300</v>
      </c>
      <c r="E11852" s="11" t="s">
        <v>28</v>
      </c>
      <c r="F11852" s="10" t="s">
        <v>28</v>
      </c>
      <c r="G11852" s="10" t="s">
        <v>28</v>
      </c>
      <c r="H11852" s="10" t="s">
        <v>28</v>
      </c>
      <c r="I11852" s="11" t="s">
        <v>28</v>
      </c>
      <c r="J11852" s="11" t="s">
        <v>28</v>
      </c>
      <c r="K11852" s="11" t="s">
        <v>28</v>
      </c>
      <c r="L11852" s="11" t="s">
        <v>28</v>
      </c>
      <c r="M11852" s="11" t="s">
        <v>28</v>
      </c>
      <c r="N11852" s="8">
        <v>40750</v>
      </c>
      <c r="O11852" s="9" t="s">
        <v>30</v>
      </c>
      <c r="P11852" s="12" t="s">
        <v>16073</v>
      </c>
      <c r="Q11852" s="9" t="s">
        <v>119</v>
      </c>
      <c r="R11852" s="14" t="str">
        <f>HYPERLINK("https://my.pitchbook.com?c=90482-23T","View Company Online")</f>
        <v>View Company Online</v>
      </c>
    </row>
    <row r="11853" spans="1:18" hidden="1" x14ac:dyDescent="0.3">
      <c r="A11853" s="15" t="s">
        <v>33301</v>
      </c>
      <c r="B11853" s="15" t="s">
        <v>12054</v>
      </c>
      <c r="C11853" s="18" t="s">
        <v>28</v>
      </c>
      <c r="D11853" s="15" t="s">
        <v>22208</v>
      </c>
      <c r="E11853" s="18">
        <v>34.700000000000003</v>
      </c>
      <c r="F11853" s="19" t="s">
        <v>28</v>
      </c>
      <c r="G11853" s="19">
        <v>236.45</v>
      </c>
      <c r="H11853" s="19" t="s">
        <v>28</v>
      </c>
      <c r="I11853" s="18">
        <v>51.29</v>
      </c>
      <c r="J11853" s="18" t="s">
        <v>28</v>
      </c>
      <c r="K11853" s="18">
        <v>398.78</v>
      </c>
      <c r="L11853" s="18" t="s">
        <v>28</v>
      </c>
      <c r="M11853" s="18">
        <v>9.69</v>
      </c>
      <c r="N11853" s="17">
        <v>40750</v>
      </c>
      <c r="O11853" s="15" t="s">
        <v>173</v>
      </c>
      <c r="P11853" s="16" t="s">
        <v>28</v>
      </c>
      <c r="Q11853" s="15" t="s">
        <v>43</v>
      </c>
      <c r="R11853" s="13" t="str">
        <f>HYPERLINK("https://my.pitchbook.com?c=32401-90T","View Company Online")</f>
        <v>View Company Online</v>
      </c>
    </row>
    <row r="11854" spans="1:18" hidden="1" x14ac:dyDescent="0.3">
      <c r="A11854" s="9" t="s">
        <v>33302</v>
      </c>
      <c r="B11854" s="9" t="s">
        <v>33303</v>
      </c>
      <c r="C11854" s="11" t="s">
        <v>28</v>
      </c>
      <c r="D11854" s="9" t="s">
        <v>33304</v>
      </c>
      <c r="E11854" s="11" t="s">
        <v>28</v>
      </c>
      <c r="F11854" s="10">
        <v>294.12</v>
      </c>
      <c r="G11854" s="10">
        <v>150</v>
      </c>
      <c r="H11854" s="10">
        <v>294.12</v>
      </c>
      <c r="I11854" s="11" t="s">
        <v>28</v>
      </c>
      <c r="J11854" s="11" t="s">
        <v>28</v>
      </c>
      <c r="K11854" s="11" t="s">
        <v>28</v>
      </c>
      <c r="L11854" s="11" t="s">
        <v>28</v>
      </c>
      <c r="M11854" s="11" t="s">
        <v>28</v>
      </c>
      <c r="N11854" s="8">
        <v>40750</v>
      </c>
      <c r="O11854" s="9" t="s">
        <v>30</v>
      </c>
      <c r="P11854" s="12" t="s">
        <v>33305</v>
      </c>
      <c r="Q11854" s="9" t="s">
        <v>1007</v>
      </c>
      <c r="R11854" s="14" t="str">
        <f>HYPERLINK("https://my.pitchbook.com?c=47167-39T","View Company Online")</f>
        <v>View Company Online</v>
      </c>
    </row>
    <row r="11855" spans="1:18" hidden="1" x14ac:dyDescent="0.3">
      <c r="A11855" s="15" t="s">
        <v>33306</v>
      </c>
      <c r="B11855" s="15" t="s">
        <v>33307</v>
      </c>
      <c r="C11855" s="18" t="s">
        <v>28</v>
      </c>
      <c r="D11855" s="15" t="s">
        <v>33308</v>
      </c>
      <c r="E11855" s="18" t="s">
        <v>28</v>
      </c>
      <c r="F11855" s="19" t="s">
        <v>28</v>
      </c>
      <c r="G11855" s="19" t="s">
        <v>28</v>
      </c>
      <c r="H11855" s="19" t="s">
        <v>28</v>
      </c>
      <c r="I11855" s="18" t="s">
        <v>28</v>
      </c>
      <c r="J11855" s="18" t="s">
        <v>28</v>
      </c>
      <c r="K11855" s="18">
        <v>107.25</v>
      </c>
      <c r="L11855" s="18" t="s">
        <v>28</v>
      </c>
      <c r="M11855" s="18" t="s">
        <v>28</v>
      </c>
      <c r="N11855" s="17">
        <v>40746</v>
      </c>
      <c r="O11855" s="15" t="s">
        <v>30</v>
      </c>
      <c r="P11855" s="16" t="s">
        <v>33309</v>
      </c>
      <c r="Q11855" s="15" t="s">
        <v>900</v>
      </c>
      <c r="R11855" s="13" t="str">
        <f>HYPERLINK("https://my.pitchbook.com?c=72736-12T","View Company Online")</f>
        <v>View Company Online</v>
      </c>
    </row>
    <row r="11856" spans="1:18" hidden="1" x14ac:dyDescent="0.3">
      <c r="A11856" s="9" t="s">
        <v>33310</v>
      </c>
      <c r="B11856" s="9" t="s">
        <v>22693</v>
      </c>
      <c r="C11856" s="11" t="s">
        <v>28</v>
      </c>
      <c r="D11856" s="9" t="s">
        <v>22694</v>
      </c>
      <c r="E11856" s="11" t="s">
        <v>28</v>
      </c>
      <c r="F11856" s="10" t="s">
        <v>28</v>
      </c>
      <c r="G11856" s="10" t="s">
        <v>28</v>
      </c>
      <c r="H11856" s="10" t="s">
        <v>28</v>
      </c>
      <c r="I11856" s="11" t="s">
        <v>28</v>
      </c>
      <c r="J11856" s="11" t="s">
        <v>28</v>
      </c>
      <c r="K11856" s="11" t="s">
        <v>28</v>
      </c>
      <c r="L11856" s="11" t="s">
        <v>28</v>
      </c>
      <c r="M11856" s="11" t="s">
        <v>28</v>
      </c>
      <c r="N11856" s="8">
        <v>40745</v>
      </c>
      <c r="O11856" s="9" t="s">
        <v>30</v>
      </c>
      <c r="P11856" s="12" t="s">
        <v>32835</v>
      </c>
      <c r="Q11856" s="9" t="s">
        <v>54</v>
      </c>
      <c r="R11856" s="14" t="str">
        <f>HYPERLINK("https://my.pitchbook.com?c=107977-24T","View Company Online")</f>
        <v>View Company Online</v>
      </c>
    </row>
    <row r="11857" spans="1:18" hidden="1" x14ac:dyDescent="0.3">
      <c r="A11857" s="15" t="s">
        <v>33311</v>
      </c>
      <c r="B11857" s="15" t="s">
        <v>30385</v>
      </c>
      <c r="C11857" s="18" t="s">
        <v>28</v>
      </c>
      <c r="D11857" s="15" t="s">
        <v>30386</v>
      </c>
      <c r="E11857" s="18">
        <v>0.83</v>
      </c>
      <c r="F11857" s="19" t="s">
        <v>28</v>
      </c>
      <c r="G11857" s="19" t="s">
        <v>28</v>
      </c>
      <c r="H11857" s="19" t="s">
        <v>28</v>
      </c>
      <c r="I11857" s="18" t="s">
        <v>28</v>
      </c>
      <c r="J11857" s="18" t="s">
        <v>28</v>
      </c>
      <c r="K11857" s="18">
        <v>35.119999999999997</v>
      </c>
      <c r="L11857" s="18" t="s">
        <v>28</v>
      </c>
      <c r="M11857" s="18">
        <v>0.55000000000000004</v>
      </c>
      <c r="N11857" s="17">
        <v>40745</v>
      </c>
      <c r="O11857" s="15" t="s">
        <v>30</v>
      </c>
      <c r="P11857" s="16" t="s">
        <v>2281</v>
      </c>
      <c r="Q11857" s="15" t="s">
        <v>136</v>
      </c>
      <c r="R11857" s="13" t="str">
        <f>HYPERLINK("https://my.pitchbook.com?c=90445-33T","View Company Online")</f>
        <v>View Company Online</v>
      </c>
    </row>
    <row r="11858" spans="1:18" hidden="1" x14ac:dyDescent="0.3">
      <c r="A11858" s="9" t="s">
        <v>33312</v>
      </c>
      <c r="B11858" s="9" t="s">
        <v>33313</v>
      </c>
      <c r="C11858" s="11" t="s">
        <v>28</v>
      </c>
      <c r="D11858" s="9" t="s">
        <v>33314</v>
      </c>
      <c r="E11858" s="11" t="s">
        <v>28</v>
      </c>
      <c r="F11858" s="10">
        <v>2535.91</v>
      </c>
      <c r="G11858" s="10">
        <v>2535.91</v>
      </c>
      <c r="H11858" s="10">
        <v>2535.91</v>
      </c>
      <c r="I11858" s="11" t="s">
        <v>28</v>
      </c>
      <c r="J11858" s="11" t="s">
        <v>28</v>
      </c>
      <c r="K11858" s="11" t="s">
        <v>28</v>
      </c>
      <c r="L11858" s="11" t="s">
        <v>28</v>
      </c>
      <c r="M11858" s="11" t="s">
        <v>28</v>
      </c>
      <c r="N11858" s="8">
        <v>40745</v>
      </c>
      <c r="O11858" s="9" t="s">
        <v>30</v>
      </c>
      <c r="P11858" s="12" t="s">
        <v>33315</v>
      </c>
      <c r="Q11858" s="9" t="s">
        <v>268</v>
      </c>
      <c r="R11858" s="14" t="str">
        <f>HYPERLINK("https://my.pitchbook.com?c=73496-80T","View Company Online")</f>
        <v>View Company Online</v>
      </c>
    </row>
    <row r="11859" spans="1:18" hidden="1" x14ac:dyDescent="0.3">
      <c r="A11859" s="15" t="s">
        <v>33316</v>
      </c>
      <c r="B11859" s="15" t="s">
        <v>33317</v>
      </c>
      <c r="C11859" s="18" t="s">
        <v>28</v>
      </c>
      <c r="D11859" s="15" t="s">
        <v>33318</v>
      </c>
      <c r="E11859" s="18" t="s">
        <v>28</v>
      </c>
      <c r="F11859" s="19" t="s">
        <v>28</v>
      </c>
      <c r="G11859" s="19">
        <v>22.85</v>
      </c>
      <c r="H11859" s="19">
        <v>22.85</v>
      </c>
      <c r="I11859" s="18" t="s">
        <v>28</v>
      </c>
      <c r="J11859" s="18" t="s">
        <v>28</v>
      </c>
      <c r="K11859" s="18" t="s">
        <v>28</v>
      </c>
      <c r="L11859" s="18" t="s">
        <v>28</v>
      </c>
      <c r="M11859" s="18" t="s">
        <v>28</v>
      </c>
      <c r="N11859" s="17">
        <v>40743</v>
      </c>
      <c r="O11859" s="15" t="s">
        <v>30</v>
      </c>
      <c r="P11859" s="16" t="s">
        <v>4004</v>
      </c>
      <c r="Q11859" s="15" t="s">
        <v>188</v>
      </c>
      <c r="R11859" s="13" t="str">
        <f>HYPERLINK("https://my.pitchbook.com?c=90446-68T","View Company Online")</f>
        <v>View Company Online</v>
      </c>
    </row>
    <row r="11860" spans="1:18" hidden="1" x14ac:dyDescent="0.3">
      <c r="A11860" s="9" t="s">
        <v>33319</v>
      </c>
      <c r="B11860" s="9" t="s">
        <v>33320</v>
      </c>
      <c r="C11860" s="11" t="s">
        <v>28</v>
      </c>
      <c r="D11860" s="9" t="s">
        <v>33321</v>
      </c>
      <c r="E11860" s="11" t="s">
        <v>28</v>
      </c>
      <c r="F11860" s="10" t="s">
        <v>28</v>
      </c>
      <c r="G11860" s="10" t="s">
        <v>28</v>
      </c>
      <c r="H11860" s="10" t="s">
        <v>28</v>
      </c>
      <c r="I11860" s="11" t="s">
        <v>28</v>
      </c>
      <c r="J11860" s="11" t="s">
        <v>28</v>
      </c>
      <c r="K11860" s="11" t="s">
        <v>28</v>
      </c>
      <c r="L11860" s="11" t="s">
        <v>28</v>
      </c>
      <c r="M11860" s="11" t="s">
        <v>28</v>
      </c>
      <c r="N11860" s="8">
        <v>40742</v>
      </c>
      <c r="O11860" s="9" t="s">
        <v>30</v>
      </c>
      <c r="P11860" s="12" t="s">
        <v>33322</v>
      </c>
      <c r="Q11860" s="9" t="s">
        <v>19850</v>
      </c>
      <c r="R11860" s="14" t="str">
        <f>HYPERLINK("https://my.pitchbook.com?c=90854-47T","View Company Online")</f>
        <v>View Company Online</v>
      </c>
    </row>
    <row r="11861" spans="1:18" x14ac:dyDescent="0.3">
      <c r="A11861" s="15" t="s">
        <v>33323</v>
      </c>
      <c r="B11861" s="15" t="s">
        <v>33324</v>
      </c>
      <c r="C11861" s="18">
        <v>9.6199999999999992</v>
      </c>
      <c r="D11861" s="15" t="s">
        <v>33325</v>
      </c>
      <c r="E11861" s="18" t="s">
        <v>28</v>
      </c>
      <c r="F11861" s="19">
        <v>19.62</v>
      </c>
      <c r="G11861" s="19">
        <v>19.62</v>
      </c>
      <c r="H11861" s="19">
        <v>19.62</v>
      </c>
      <c r="I11861" s="18">
        <v>2.04</v>
      </c>
      <c r="J11861" s="18">
        <v>9.6199999999999992</v>
      </c>
      <c r="K11861" s="18" t="s">
        <v>28</v>
      </c>
      <c r="L11861" s="18" t="s">
        <v>28</v>
      </c>
      <c r="M11861" s="18" t="s">
        <v>28</v>
      </c>
      <c r="N11861" s="17">
        <v>40742</v>
      </c>
      <c r="O11861" s="15" t="s">
        <v>30</v>
      </c>
      <c r="P11861" s="16" t="s">
        <v>28795</v>
      </c>
      <c r="Q11861" s="15" t="s">
        <v>607</v>
      </c>
      <c r="R11861" s="13" t="str">
        <f>HYPERLINK("https://my.pitchbook.com?c=90451-81T","View Company Online")</f>
        <v>View Company Online</v>
      </c>
    </row>
    <row r="11862" spans="1:18" hidden="1" x14ac:dyDescent="0.3">
      <c r="A11862" s="9" t="s">
        <v>33326</v>
      </c>
      <c r="B11862" s="9" t="s">
        <v>3369</v>
      </c>
      <c r="C11862" s="11" t="s">
        <v>28</v>
      </c>
      <c r="D11862" s="9" t="s">
        <v>3370</v>
      </c>
      <c r="E11862" s="11" t="s">
        <v>28</v>
      </c>
      <c r="F11862" s="10" t="s">
        <v>28</v>
      </c>
      <c r="G11862" s="10" t="s">
        <v>28</v>
      </c>
      <c r="H11862" s="10" t="s">
        <v>28</v>
      </c>
      <c r="I11862" s="11" t="s">
        <v>28</v>
      </c>
      <c r="J11862" s="11" t="s">
        <v>28</v>
      </c>
      <c r="K11862" s="11" t="s">
        <v>28</v>
      </c>
      <c r="L11862" s="11" t="s">
        <v>28</v>
      </c>
      <c r="M11862" s="11" t="s">
        <v>28</v>
      </c>
      <c r="N11862" s="8">
        <v>40738</v>
      </c>
      <c r="O11862" s="9" t="s">
        <v>41</v>
      </c>
      <c r="P11862" s="12" t="s">
        <v>33327</v>
      </c>
      <c r="Q11862" s="9" t="s">
        <v>169</v>
      </c>
      <c r="R11862" s="14" t="str">
        <f>HYPERLINK("https://my.pitchbook.com?c=25933-42T","View Company Online")</f>
        <v>View Company Online</v>
      </c>
    </row>
    <row r="11863" spans="1:18" hidden="1" x14ac:dyDescent="0.3">
      <c r="A11863" s="15" t="s">
        <v>33328</v>
      </c>
      <c r="B11863" s="15" t="s">
        <v>33329</v>
      </c>
      <c r="C11863" s="18" t="s">
        <v>28</v>
      </c>
      <c r="D11863" s="15" t="s">
        <v>33330</v>
      </c>
      <c r="E11863" s="18" t="s">
        <v>28</v>
      </c>
      <c r="F11863" s="19">
        <v>34.89</v>
      </c>
      <c r="G11863" s="19">
        <v>34.89</v>
      </c>
      <c r="H11863" s="19">
        <v>34.89</v>
      </c>
      <c r="I11863" s="18" t="s">
        <v>28</v>
      </c>
      <c r="J11863" s="18" t="s">
        <v>28</v>
      </c>
      <c r="K11863" s="18" t="s">
        <v>28</v>
      </c>
      <c r="L11863" s="18" t="s">
        <v>28</v>
      </c>
      <c r="M11863" s="18" t="s">
        <v>28</v>
      </c>
      <c r="N11863" s="17">
        <v>40736</v>
      </c>
      <c r="O11863" s="15" t="s">
        <v>30</v>
      </c>
      <c r="P11863" s="16" t="s">
        <v>33331</v>
      </c>
      <c r="Q11863" s="15" t="s">
        <v>424</v>
      </c>
      <c r="R11863" s="13" t="str">
        <f>HYPERLINK("https://my.pitchbook.com?c=90853-03T","View Company Online")</f>
        <v>View Company Online</v>
      </c>
    </row>
    <row r="11864" spans="1:18" hidden="1" x14ac:dyDescent="0.3">
      <c r="A11864" s="9" t="s">
        <v>33332</v>
      </c>
      <c r="B11864" s="9" t="s">
        <v>33333</v>
      </c>
      <c r="C11864" s="11" t="s">
        <v>28</v>
      </c>
      <c r="D11864" s="9" t="s">
        <v>33334</v>
      </c>
      <c r="E11864" s="11" t="s">
        <v>28</v>
      </c>
      <c r="F11864" s="10" t="s">
        <v>28</v>
      </c>
      <c r="G11864" s="10" t="s">
        <v>28</v>
      </c>
      <c r="H11864" s="10" t="s">
        <v>28</v>
      </c>
      <c r="I11864" s="11" t="s">
        <v>28</v>
      </c>
      <c r="J11864" s="11" t="s">
        <v>28</v>
      </c>
      <c r="K11864" s="11" t="s">
        <v>28</v>
      </c>
      <c r="L11864" s="11" t="s">
        <v>28</v>
      </c>
      <c r="M11864" s="11" t="s">
        <v>28</v>
      </c>
      <c r="N11864" s="8">
        <v>40736</v>
      </c>
      <c r="O11864" s="9" t="s">
        <v>30</v>
      </c>
      <c r="P11864" s="12" t="s">
        <v>33335</v>
      </c>
      <c r="Q11864" s="9" t="s">
        <v>1982</v>
      </c>
      <c r="R11864" s="14" t="str">
        <f>HYPERLINK("https://my.pitchbook.com?c=97097-32T","View Company Online")</f>
        <v>View Company Online</v>
      </c>
    </row>
    <row r="11865" spans="1:18" hidden="1" x14ac:dyDescent="0.3">
      <c r="A11865" s="15" t="s">
        <v>33336</v>
      </c>
      <c r="B11865" s="15" t="s">
        <v>33337</v>
      </c>
      <c r="C11865" s="18" t="s">
        <v>28</v>
      </c>
      <c r="D11865" s="15" t="s">
        <v>33338</v>
      </c>
      <c r="E11865" s="18" t="s">
        <v>28</v>
      </c>
      <c r="F11865" s="19">
        <v>71.86</v>
      </c>
      <c r="G11865" s="19">
        <v>71.86</v>
      </c>
      <c r="H11865" s="19">
        <v>71.86</v>
      </c>
      <c r="I11865" s="18" t="s">
        <v>28</v>
      </c>
      <c r="J11865" s="18" t="s">
        <v>28</v>
      </c>
      <c r="K11865" s="18" t="s">
        <v>28</v>
      </c>
      <c r="L11865" s="18" t="s">
        <v>28</v>
      </c>
      <c r="M11865" s="18" t="s">
        <v>28</v>
      </c>
      <c r="N11865" s="17">
        <v>40735</v>
      </c>
      <c r="O11865" s="15" t="s">
        <v>30</v>
      </c>
      <c r="P11865" s="16" t="s">
        <v>33339</v>
      </c>
      <c r="Q11865" s="15" t="s">
        <v>15521</v>
      </c>
      <c r="R11865" s="13" t="str">
        <f>HYPERLINK("https://my.pitchbook.com?c=90534-07T","View Company Online")</f>
        <v>View Company Online</v>
      </c>
    </row>
    <row r="11866" spans="1:18" hidden="1" x14ac:dyDescent="0.3">
      <c r="A11866" s="9" t="s">
        <v>33340</v>
      </c>
      <c r="B11866" s="9" t="s">
        <v>25402</v>
      </c>
      <c r="C11866" s="11" t="s">
        <v>28</v>
      </c>
      <c r="D11866" s="9" t="s">
        <v>25403</v>
      </c>
      <c r="E11866" s="11" t="s">
        <v>28</v>
      </c>
      <c r="F11866" s="10" t="s">
        <v>28</v>
      </c>
      <c r="G11866" s="10">
        <v>0.75</v>
      </c>
      <c r="H11866" s="10">
        <v>6.21</v>
      </c>
      <c r="I11866" s="11" t="s">
        <v>28</v>
      </c>
      <c r="J11866" s="11" t="s">
        <v>28</v>
      </c>
      <c r="K11866" s="11" t="s">
        <v>28</v>
      </c>
      <c r="L11866" s="11" t="s">
        <v>28</v>
      </c>
      <c r="M11866" s="11" t="s">
        <v>28</v>
      </c>
      <c r="N11866" s="8">
        <v>40735</v>
      </c>
      <c r="O11866" s="9" t="s">
        <v>73</v>
      </c>
      <c r="P11866" s="12" t="s">
        <v>33341</v>
      </c>
      <c r="Q11866" s="9" t="s">
        <v>119</v>
      </c>
      <c r="R11866" s="14" t="str">
        <f>HYPERLINK("https://my.pitchbook.com?c=20909-17T","View Company Online")</f>
        <v>View Company Online</v>
      </c>
    </row>
    <row r="11867" spans="1:18" hidden="1" x14ac:dyDescent="0.3">
      <c r="A11867" s="15" t="s">
        <v>33342</v>
      </c>
      <c r="B11867" s="15" t="s">
        <v>33343</v>
      </c>
      <c r="C11867" s="18" t="s">
        <v>28</v>
      </c>
      <c r="D11867" s="15" t="s">
        <v>33344</v>
      </c>
      <c r="E11867" s="18" t="s">
        <v>28</v>
      </c>
      <c r="F11867" s="19" t="s">
        <v>28</v>
      </c>
      <c r="G11867" s="19" t="s">
        <v>28</v>
      </c>
      <c r="H11867" s="19" t="s">
        <v>28</v>
      </c>
      <c r="I11867" s="18" t="s">
        <v>28</v>
      </c>
      <c r="J11867" s="18" t="s">
        <v>28</v>
      </c>
      <c r="K11867" s="18">
        <v>364.22</v>
      </c>
      <c r="L11867" s="18" t="s">
        <v>28</v>
      </c>
      <c r="M11867" s="18" t="s">
        <v>28</v>
      </c>
      <c r="N11867" s="17">
        <v>40728</v>
      </c>
      <c r="O11867" s="15" t="s">
        <v>41</v>
      </c>
      <c r="P11867" s="16" t="s">
        <v>33345</v>
      </c>
      <c r="Q11867" s="15" t="s">
        <v>362</v>
      </c>
      <c r="R11867" s="13" t="str">
        <f>HYPERLINK("https://my.pitchbook.com?c=75009-25T","View Company Online")</f>
        <v>View Company Online</v>
      </c>
    </row>
    <row r="11868" spans="1:18" hidden="1" x14ac:dyDescent="0.3">
      <c r="A11868" s="9" t="s">
        <v>33346</v>
      </c>
      <c r="B11868" s="9" t="s">
        <v>33347</v>
      </c>
      <c r="C11868" s="11" t="s">
        <v>28</v>
      </c>
      <c r="D11868" s="9" t="s">
        <v>33348</v>
      </c>
      <c r="E11868" s="11" t="s">
        <v>28</v>
      </c>
      <c r="F11868" s="10">
        <v>9.6</v>
      </c>
      <c r="G11868" s="10">
        <v>4.8</v>
      </c>
      <c r="H11868" s="10">
        <v>9.6</v>
      </c>
      <c r="I11868" s="11" t="s">
        <v>28</v>
      </c>
      <c r="J11868" s="11" t="s">
        <v>28</v>
      </c>
      <c r="K11868" s="11" t="s">
        <v>28</v>
      </c>
      <c r="L11868" s="11" t="s">
        <v>28</v>
      </c>
      <c r="M11868" s="11" t="s">
        <v>28</v>
      </c>
      <c r="N11868" s="8">
        <v>40725</v>
      </c>
      <c r="O11868" s="9" t="s">
        <v>30</v>
      </c>
      <c r="P11868" s="12" t="s">
        <v>33349</v>
      </c>
      <c r="Q11868" s="9" t="s">
        <v>5347</v>
      </c>
      <c r="R11868" s="14" t="str">
        <f>HYPERLINK("https://my.pitchbook.com?c=102817-90T","View Company Online")</f>
        <v>View Company Online</v>
      </c>
    </row>
    <row r="11869" spans="1:18" hidden="1" x14ac:dyDescent="0.3">
      <c r="A11869" s="15" t="s">
        <v>33350</v>
      </c>
      <c r="B11869" s="15" t="s">
        <v>33351</v>
      </c>
      <c r="C11869" s="18" t="s">
        <v>28</v>
      </c>
      <c r="D11869" s="15" t="s">
        <v>33352</v>
      </c>
      <c r="E11869" s="18" t="s">
        <v>28</v>
      </c>
      <c r="F11869" s="19" t="s">
        <v>28</v>
      </c>
      <c r="G11869" s="19" t="s">
        <v>28</v>
      </c>
      <c r="H11869" s="19" t="s">
        <v>28</v>
      </c>
      <c r="I11869" s="18" t="s">
        <v>28</v>
      </c>
      <c r="J11869" s="18" t="s">
        <v>28</v>
      </c>
      <c r="K11869" s="18" t="s">
        <v>28</v>
      </c>
      <c r="L11869" s="18" t="s">
        <v>28</v>
      </c>
      <c r="M11869" s="18" t="s">
        <v>28</v>
      </c>
      <c r="N11869" s="17">
        <v>40725</v>
      </c>
      <c r="O11869" s="15" t="s">
        <v>30</v>
      </c>
      <c r="P11869" s="16" t="s">
        <v>21227</v>
      </c>
      <c r="Q11869" s="15" t="s">
        <v>43</v>
      </c>
      <c r="R11869" s="13" t="str">
        <f>HYPERLINK("https://my.pitchbook.com?c=256438-90T","View Company Online")</f>
        <v>View Company Online</v>
      </c>
    </row>
    <row r="11870" spans="1:18" hidden="1" x14ac:dyDescent="0.3">
      <c r="A11870" s="9" t="s">
        <v>33353</v>
      </c>
      <c r="B11870" s="9" t="s">
        <v>33354</v>
      </c>
      <c r="C11870" s="11" t="s">
        <v>28</v>
      </c>
      <c r="D11870" s="9" t="s">
        <v>33355</v>
      </c>
      <c r="E11870" s="11" t="s">
        <v>28</v>
      </c>
      <c r="F11870" s="10" t="s">
        <v>28</v>
      </c>
      <c r="G11870" s="10" t="s">
        <v>28</v>
      </c>
      <c r="H11870" s="10" t="s">
        <v>28</v>
      </c>
      <c r="I11870" s="11" t="s">
        <v>28</v>
      </c>
      <c r="J11870" s="11" t="s">
        <v>28</v>
      </c>
      <c r="K11870" s="11" t="s">
        <v>28</v>
      </c>
      <c r="L11870" s="11" t="s">
        <v>28</v>
      </c>
      <c r="M11870" s="11" t="s">
        <v>28</v>
      </c>
      <c r="N11870" s="8">
        <v>40725</v>
      </c>
      <c r="O11870" s="9" t="s">
        <v>30</v>
      </c>
      <c r="P11870" s="12" t="s">
        <v>21227</v>
      </c>
      <c r="Q11870" s="9" t="s">
        <v>43</v>
      </c>
      <c r="R11870" s="14" t="str">
        <f>HYPERLINK("https://my.pitchbook.com?c=256446-28T","View Company Online")</f>
        <v>View Company Online</v>
      </c>
    </row>
    <row r="11871" spans="1:18" hidden="1" x14ac:dyDescent="0.3">
      <c r="A11871" s="15" t="s">
        <v>33356</v>
      </c>
      <c r="B11871" s="15" t="s">
        <v>32048</v>
      </c>
      <c r="C11871" s="18" t="s">
        <v>28</v>
      </c>
      <c r="D11871" s="15" t="s">
        <v>33357</v>
      </c>
      <c r="E11871" s="18">
        <v>29.15</v>
      </c>
      <c r="F11871" s="19" t="s">
        <v>28</v>
      </c>
      <c r="G11871" s="19">
        <v>224</v>
      </c>
      <c r="H11871" s="19" t="s">
        <v>28</v>
      </c>
      <c r="I11871" s="18">
        <v>30.58</v>
      </c>
      <c r="J11871" s="18" t="s">
        <v>28</v>
      </c>
      <c r="K11871" s="18">
        <v>123.31</v>
      </c>
      <c r="L11871" s="18" t="s">
        <v>28</v>
      </c>
      <c r="M11871" s="18">
        <v>20.170000000000002</v>
      </c>
      <c r="N11871" s="17">
        <v>40725</v>
      </c>
      <c r="O11871" s="15" t="s">
        <v>173</v>
      </c>
      <c r="P11871" s="16" t="s">
        <v>28</v>
      </c>
      <c r="Q11871" s="15" t="s">
        <v>409</v>
      </c>
      <c r="R11871" s="13" t="str">
        <f>HYPERLINK("https://my.pitchbook.com?c=37581-85T","View Company Online")</f>
        <v>View Company Online</v>
      </c>
    </row>
    <row r="11872" spans="1:18" hidden="1" x14ac:dyDescent="0.3">
      <c r="A11872" s="9" t="s">
        <v>33358</v>
      </c>
      <c r="B11872" s="9" t="s">
        <v>33359</v>
      </c>
      <c r="C11872" s="11" t="s">
        <v>28</v>
      </c>
      <c r="D11872" s="9" t="s">
        <v>33360</v>
      </c>
      <c r="E11872" s="11" t="s">
        <v>28</v>
      </c>
      <c r="F11872" s="10">
        <v>28.1</v>
      </c>
      <c r="G11872" s="10">
        <v>28.1</v>
      </c>
      <c r="H11872" s="10">
        <v>28.1</v>
      </c>
      <c r="I11872" s="11" t="s">
        <v>28</v>
      </c>
      <c r="J11872" s="11" t="s">
        <v>28</v>
      </c>
      <c r="K11872" s="11" t="s">
        <v>28</v>
      </c>
      <c r="L11872" s="11" t="s">
        <v>28</v>
      </c>
      <c r="M11872" s="11" t="s">
        <v>28</v>
      </c>
      <c r="N11872" s="8">
        <v>40725</v>
      </c>
      <c r="O11872" s="9" t="s">
        <v>30</v>
      </c>
      <c r="P11872" s="12" t="s">
        <v>10956</v>
      </c>
      <c r="Q11872" s="9" t="s">
        <v>2168</v>
      </c>
      <c r="R11872" s="14" t="str">
        <f>HYPERLINK("https://my.pitchbook.com?c=134682-58T","View Company Online")</f>
        <v>View Company Online</v>
      </c>
    </row>
    <row r="11873" spans="1:18" hidden="1" x14ac:dyDescent="0.3">
      <c r="A11873" s="15" t="s">
        <v>33361</v>
      </c>
      <c r="B11873" s="15" t="s">
        <v>33362</v>
      </c>
      <c r="C11873" s="18" t="s">
        <v>28</v>
      </c>
      <c r="D11873" s="15" t="s">
        <v>33363</v>
      </c>
      <c r="E11873" s="18" t="s">
        <v>28</v>
      </c>
      <c r="F11873" s="19" t="s">
        <v>28</v>
      </c>
      <c r="G11873" s="19" t="s">
        <v>28</v>
      </c>
      <c r="H11873" s="19" t="s">
        <v>28</v>
      </c>
      <c r="I11873" s="18" t="s">
        <v>28</v>
      </c>
      <c r="J11873" s="18" t="s">
        <v>28</v>
      </c>
      <c r="K11873" s="18" t="s">
        <v>28</v>
      </c>
      <c r="L11873" s="18" t="s">
        <v>28</v>
      </c>
      <c r="M11873" s="18" t="s">
        <v>28</v>
      </c>
      <c r="N11873" s="17">
        <v>40724</v>
      </c>
      <c r="O11873" s="15" t="s">
        <v>30</v>
      </c>
      <c r="P11873" s="16" t="s">
        <v>33364</v>
      </c>
      <c r="Q11873" s="15" t="s">
        <v>692</v>
      </c>
      <c r="R11873" s="13" t="str">
        <f>HYPERLINK("https://my.pitchbook.com?c=90233-20T","View Company Online")</f>
        <v>View Company Online</v>
      </c>
    </row>
    <row r="11874" spans="1:18" hidden="1" x14ac:dyDescent="0.3">
      <c r="A11874" s="9" t="s">
        <v>33365</v>
      </c>
      <c r="B11874" s="9" t="s">
        <v>782</v>
      </c>
      <c r="C11874" s="11" t="s">
        <v>28</v>
      </c>
      <c r="D11874" s="9" t="s">
        <v>28110</v>
      </c>
      <c r="E11874" s="11" t="s">
        <v>28</v>
      </c>
      <c r="F11874" s="10" t="s">
        <v>28</v>
      </c>
      <c r="G11874" s="10" t="s">
        <v>28</v>
      </c>
      <c r="H11874" s="10" t="s">
        <v>28</v>
      </c>
      <c r="I11874" s="11" t="s">
        <v>28</v>
      </c>
      <c r="J11874" s="11" t="s">
        <v>28</v>
      </c>
      <c r="K11874" s="11" t="s">
        <v>28</v>
      </c>
      <c r="L11874" s="11" t="s">
        <v>28</v>
      </c>
      <c r="M11874" s="11" t="s">
        <v>28</v>
      </c>
      <c r="N11874" s="8">
        <v>40724</v>
      </c>
      <c r="O11874" s="9" t="s">
        <v>30</v>
      </c>
      <c r="P11874" s="12" t="s">
        <v>33366</v>
      </c>
      <c r="Q11874" s="9" t="s">
        <v>5347</v>
      </c>
      <c r="R11874" s="14" t="str">
        <f>HYPERLINK("https://my.pitchbook.com?c=79843-96T","View Company Online")</f>
        <v>View Company Online</v>
      </c>
    </row>
    <row r="11875" spans="1:18" hidden="1" x14ac:dyDescent="0.3">
      <c r="A11875" s="15" t="s">
        <v>33367</v>
      </c>
      <c r="B11875" s="15" t="s">
        <v>32369</v>
      </c>
      <c r="C11875" s="18" t="s">
        <v>28</v>
      </c>
      <c r="D11875" s="15" t="s">
        <v>32370</v>
      </c>
      <c r="E11875" s="18" t="s">
        <v>28</v>
      </c>
      <c r="F11875" s="19" t="s">
        <v>28</v>
      </c>
      <c r="G11875" s="19">
        <v>5.27</v>
      </c>
      <c r="H11875" s="19" t="s">
        <v>28</v>
      </c>
      <c r="I11875" s="18" t="s">
        <v>28</v>
      </c>
      <c r="J11875" s="18" t="s">
        <v>28</v>
      </c>
      <c r="K11875" s="18">
        <v>162.85</v>
      </c>
      <c r="L11875" s="18" t="s">
        <v>28</v>
      </c>
      <c r="M11875" s="18">
        <v>6.67</v>
      </c>
      <c r="N11875" s="17">
        <v>40723</v>
      </c>
      <c r="O11875" s="15" t="s">
        <v>58</v>
      </c>
      <c r="P11875" s="16" t="s">
        <v>33368</v>
      </c>
      <c r="Q11875" s="15" t="s">
        <v>290</v>
      </c>
      <c r="R11875" s="13" t="str">
        <f>HYPERLINK("https://my.pitchbook.com?c=76956-94T","View Company Online")</f>
        <v>View Company Online</v>
      </c>
    </row>
    <row r="11876" spans="1:18" hidden="1" x14ac:dyDescent="0.3">
      <c r="A11876" s="9" t="s">
        <v>33369</v>
      </c>
      <c r="B11876" s="9" t="s">
        <v>14320</v>
      </c>
      <c r="C11876" s="11" t="s">
        <v>28</v>
      </c>
      <c r="D11876" s="9" t="s">
        <v>17920</v>
      </c>
      <c r="E11876" s="11">
        <v>-26.28</v>
      </c>
      <c r="F11876" s="10" t="s">
        <v>28</v>
      </c>
      <c r="G11876" s="10">
        <v>592.41999999999996</v>
      </c>
      <c r="H11876" s="10" t="s">
        <v>28</v>
      </c>
      <c r="I11876" s="11" t="s">
        <v>28</v>
      </c>
      <c r="J11876" s="11" t="s">
        <v>28</v>
      </c>
      <c r="K11876" s="11">
        <v>286.86</v>
      </c>
      <c r="L11876" s="11" t="s">
        <v>28</v>
      </c>
      <c r="M11876" s="11">
        <v>-42.67</v>
      </c>
      <c r="N11876" s="8">
        <v>40723</v>
      </c>
      <c r="O11876" s="9" t="s">
        <v>173</v>
      </c>
      <c r="P11876" s="12" t="s">
        <v>28</v>
      </c>
      <c r="Q11876" s="9" t="s">
        <v>188</v>
      </c>
      <c r="R11876" s="14" t="str">
        <f>HYPERLINK("https://my.pitchbook.com?c=22962-61T","View Company Online")</f>
        <v>View Company Online</v>
      </c>
    </row>
    <row r="11877" spans="1:18" hidden="1" x14ac:dyDescent="0.3">
      <c r="A11877" s="15" t="s">
        <v>33370</v>
      </c>
      <c r="B11877" s="15" t="s">
        <v>33371</v>
      </c>
      <c r="C11877" s="18" t="s">
        <v>28</v>
      </c>
      <c r="D11877" s="15" t="s">
        <v>33372</v>
      </c>
      <c r="E11877" s="18">
        <v>-15.07</v>
      </c>
      <c r="F11877" s="19" t="s">
        <v>28</v>
      </c>
      <c r="G11877" s="19" t="s">
        <v>28</v>
      </c>
      <c r="H11877" s="19" t="s">
        <v>28</v>
      </c>
      <c r="I11877" s="18">
        <v>-9.17</v>
      </c>
      <c r="J11877" s="18" t="s">
        <v>28</v>
      </c>
      <c r="K11877" s="18">
        <v>185.17</v>
      </c>
      <c r="L11877" s="18" t="s">
        <v>28</v>
      </c>
      <c r="M11877" s="18">
        <v>-14.59</v>
      </c>
      <c r="N11877" s="17">
        <v>40721</v>
      </c>
      <c r="O11877" s="15" t="s">
        <v>173</v>
      </c>
      <c r="P11877" s="16" t="s">
        <v>28</v>
      </c>
      <c r="Q11877" s="15" t="s">
        <v>409</v>
      </c>
      <c r="R11877" s="13" t="str">
        <f>HYPERLINK("https://my.pitchbook.com?c=220791-52T","View Company Online")</f>
        <v>View Company Online</v>
      </c>
    </row>
    <row r="11878" spans="1:18" hidden="1" x14ac:dyDescent="0.3">
      <c r="A11878" s="9" t="s">
        <v>33373</v>
      </c>
      <c r="B11878" s="9" t="s">
        <v>33374</v>
      </c>
      <c r="C11878" s="11" t="s">
        <v>28</v>
      </c>
      <c r="D11878" s="9" t="s">
        <v>33375</v>
      </c>
      <c r="E11878" s="11" t="s">
        <v>28</v>
      </c>
      <c r="F11878" s="10" t="s">
        <v>28</v>
      </c>
      <c r="G11878" s="10" t="s">
        <v>28</v>
      </c>
      <c r="H11878" s="10" t="s">
        <v>28</v>
      </c>
      <c r="I11878" s="11" t="s">
        <v>28</v>
      </c>
      <c r="J11878" s="11" t="s">
        <v>28</v>
      </c>
      <c r="K11878" s="11" t="s">
        <v>28</v>
      </c>
      <c r="L11878" s="11" t="s">
        <v>28</v>
      </c>
      <c r="M11878" s="11" t="s">
        <v>28</v>
      </c>
      <c r="N11878" s="8">
        <v>40721</v>
      </c>
      <c r="O11878" s="9" t="s">
        <v>173</v>
      </c>
      <c r="P11878" s="12" t="s">
        <v>28</v>
      </c>
      <c r="Q11878" s="9" t="s">
        <v>174</v>
      </c>
      <c r="R11878" s="14" t="str">
        <f>HYPERLINK("https://my.pitchbook.com?c=224052-04T","View Company Online")</f>
        <v>View Company Online</v>
      </c>
    </row>
    <row r="11879" spans="1:18" hidden="1" x14ac:dyDescent="0.3">
      <c r="A11879" s="15" t="s">
        <v>33376</v>
      </c>
      <c r="B11879" s="15" t="s">
        <v>33377</v>
      </c>
      <c r="C11879" s="18" t="s">
        <v>28</v>
      </c>
      <c r="D11879" s="15" t="s">
        <v>33378</v>
      </c>
      <c r="E11879" s="18" t="s">
        <v>28</v>
      </c>
      <c r="F11879" s="19">
        <v>22.69</v>
      </c>
      <c r="G11879" s="19">
        <v>11.57</v>
      </c>
      <c r="H11879" s="19">
        <v>22.69</v>
      </c>
      <c r="I11879" s="18" t="s">
        <v>28</v>
      </c>
      <c r="J11879" s="18" t="s">
        <v>28</v>
      </c>
      <c r="K11879" s="18" t="s">
        <v>28</v>
      </c>
      <c r="L11879" s="18" t="s">
        <v>28</v>
      </c>
      <c r="M11879" s="18" t="s">
        <v>28</v>
      </c>
      <c r="N11879" s="17">
        <v>40718</v>
      </c>
      <c r="O11879" s="15" t="s">
        <v>30</v>
      </c>
      <c r="P11879" s="16" t="s">
        <v>16073</v>
      </c>
      <c r="Q11879" s="15" t="s">
        <v>119</v>
      </c>
      <c r="R11879" s="13" t="str">
        <f>HYPERLINK("https://my.pitchbook.com?c=91488-79T","View Company Online")</f>
        <v>View Company Online</v>
      </c>
    </row>
    <row r="11880" spans="1:18" hidden="1" x14ac:dyDescent="0.3">
      <c r="A11880" s="9" t="s">
        <v>33379</v>
      </c>
      <c r="B11880" s="9" t="s">
        <v>25031</v>
      </c>
      <c r="C11880" s="11" t="s">
        <v>28</v>
      </c>
      <c r="D11880" s="9" t="s">
        <v>25032</v>
      </c>
      <c r="E11880" s="11" t="s">
        <v>28</v>
      </c>
      <c r="F11880" s="10" t="s">
        <v>28</v>
      </c>
      <c r="G11880" s="10" t="s">
        <v>28</v>
      </c>
      <c r="H11880" s="10" t="s">
        <v>28</v>
      </c>
      <c r="I11880" s="11" t="s">
        <v>28</v>
      </c>
      <c r="J11880" s="11" t="s">
        <v>28</v>
      </c>
      <c r="K11880" s="11" t="s">
        <v>28</v>
      </c>
      <c r="L11880" s="11" t="s">
        <v>28</v>
      </c>
      <c r="M11880" s="11" t="s">
        <v>28</v>
      </c>
      <c r="N11880" s="8">
        <v>40716</v>
      </c>
      <c r="O11880" s="9" t="s">
        <v>73</v>
      </c>
      <c r="P11880" s="12" t="s">
        <v>33380</v>
      </c>
      <c r="Q11880" s="9" t="s">
        <v>740</v>
      </c>
      <c r="R11880" s="14" t="str">
        <f>HYPERLINK("https://my.pitchbook.com?c=31516-30T","View Company Online")</f>
        <v>View Company Online</v>
      </c>
    </row>
    <row r="11881" spans="1:18" hidden="1" x14ac:dyDescent="0.3">
      <c r="A11881" s="15" t="s">
        <v>33381</v>
      </c>
      <c r="B11881" s="15" t="s">
        <v>33382</v>
      </c>
      <c r="C11881" s="18" t="s">
        <v>28</v>
      </c>
      <c r="D11881" s="15" t="s">
        <v>33383</v>
      </c>
      <c r="E11881" s="18">
        <v>-0.02</v>
      </c>
      <c r="F11881" s="19" t="s">
        <v>28</v>
      </c>
      <c r="G11881" s="19" t="s">
        <v>28</v>
      </c>
      <c r="H11881" s="19" t="s">
        <v>28</v>
      </c>
      <c r="I11881" s="18">
        <v>-0.02</v>
      </c>
      <c r="J11881" s="18" t="s">
        <v>28</v>
      </c>
      <c r="K11881" s="18">
        <v>0</v>
      </c>
      <c r="L11881" s="18" t="s">
        <v>28</v>
      </c>
      <c r="M11881" s="18">
        <v>-0.02</v>
      </c>
      <c r="N11881" s="17">
        <v>40714</v>
      </c>
      <c r="O11881" s="15" t="s">
        <v>173</v>
      </c>
      <c r="P11881" s="16" t="s">
        <v>28</v>
      </c>
      <c r="Q11881" s="15" t="s">
        <v>1336</v>
      </c>
      <c r="R11881" s="13" t="str">
        <f>HYPERLINK("https://my.pitchbook.com?c=216200-08T","View Company Online")</f>
        <v>View Company Online</v>
      </c>
    </row>
    <row r="11882" spans="1:18" hidden="1" x14ac:dyDescent="0.3">
      <c r="A11882" s="9" t="s">
        <v>33384</v>
      </c>
      <c r="B11882" s="9" t="s">
        <v>33385</v>
      </c>
      <c r="C11882" s="11" t="s">
        <v>28</v>
      </c>
      <c r="D11882" s="9" t="s">
        <v>33386</v>
      </c>
      <c r="E11882" s="11" t="s">
        <v>28</v>
      </c>
      <c r="F11882" s="10" t="s">
        <v>28</v>
      </c>
      <c r="G11882" s="10">
        <v>0.75</v>
      </c>
      <c r="H11882" s="10" t="s">
        <v>28</v>
      </c>
      <c r="I11882" s="11" t="s">
        <v>28</v>
      </c>
      <c r="J11882" s="11" t="s">
        <v>28</v>
      </c>
      <c r="K11882" s="11" t="s">
        <v>28</v>
      </c>
      <c r="L11882" s="11" t="s">
        <v>28</v>
      </c>
      <c r="M11882" s="11" t="s">
        <v>28</v>
      </c>
      <c r="N11882" s="8">
        <v>40710</v>
      </c>
      <c r="O11882" s="9" t="s">
        <v>73</v>
      </c>
      <c r="P11882" s="12" t="s">
        <v>31694</v>
      </c>
      <c r="Q11882" s="9" t="s">
        <v>880</v>
      </c>
      <c r="R11882" s="14" t="str">
        <f>HYPERLINK("https://my.pitchbook.com?c=86198-50T","View Company Online")</f>
        <v>View Company Online</v>
      </c>
    </row>
    <row r="11883" spans="1:18" hidden="1" x14ac:dyDescent="0.3">
      <c r="A11883" s="15" t="s">
        <v>33387</v>
      </c>
      <c r="B11883" s="15" t="s">
        <v>33388</v>
      </c>
      <c r="C11883" s="18" t="s">
        <v>28</v>
      </c>
      <c r="D11883" s="15" t="s">
        <v>33389</v>
      </c>
      <c r="E11883" s="18" t="s">
        <v>28</v>
      </c>
      <c r="F11883" s="19" t="s">
        <v>28</v>
      </c>
      <c r="G11883" s="19" t="s">
        <v>28</v>
      </c>
      <c r="H11883" s="19" t="s">
        <v>28</v>
      </c>
      <c r="I11883" s="18" t="s">
        <v>28</v>
      </c>
      <c r="J11883" s="18" t="s">
        <v>28</v>
      </c>
      <c r="K11883" s="18" t="s">
        <v>28</v>
      </c>
      <c r="L11883" s="18" t="s">
        <v>28</v>
      </c>
      <c r="M11883" s="18" t="s">
        <v>28</v>
      </c>
      <c r="N11883" s="17">
        <v>40709</v>
      </c>
      <c r="O11883" s="15" t="s">
        <v>30</v>
      </c>
      <c r="P11883" s="16" t="s">
        <v>33390</v>
      </c>
      <c r="Q11883" s="15" t="s">
        <v>240</v>
      </c>
      <c r="R11883" s="13" t="str">
        <f>HYPERLINK("https://my.pitchbook.com?c=95495-14T","View Company Online")</f>
        <v>View Company Online</v>
      </c>
    </row>
    <row r="11884" spans="1:18" hidden="1" x14ac:dyDescent="0.3">
      <c r="A11884" s="9" t="s">
        <v>33391</v>
      </c>
      <c r="B11884" s="9" t="s">
        <v>33392</v>
      </c>
      <c r="C11884" s="11" t="s">
        <v>28</v>
      </c>
      <c r="D11884" s="9" t="s">
        <v>33393</v>
      </c>
      <c r="E11884" s="11" t="s">
        <v>28</v>
      </c>
      <c r="F11884" s="10">
        <v>37</v>
      </c>
      <c r="G11884" s="10">
        <v>37</v>
      </c>
      <c r="H11884" s="10">
        <v>37</v>
      </c>
      <c r="I11884" s="11" t="s">
        <v>28</v>
      </c>
      <c r="J11884" s="11" t="s">
        <v>28</v>
      </c>
      <c r="K11884" s="11" t="s">
        <v>28</v>
      </c>
      <c r="L11884" s="11" t="s">
        <v>28</v>
      </c>
      <c r="M11884" s="11" t="s">
        <v>28</v>
      </c>
      <c r="N11884" s="8">
        <v>40709</v>
      </c>
      <c r="O11884" s="9" t="s">
        <v>30</v>
      </c>
      <c r="P11884" s="12" t="s">
        <v>29725</v>
      </c>
      <c r="Q11884" s="9" t="s">
        <v>1007</v>
      </c>
      <c r="R11884" s="14" t="str">
        <f>HYPERLINK("https://my.pitchbook.com?c=102819-16T","View Company Online")</f>
        <v>View Company Online</v>
      </c>
    </row>
    <row r="11885" spans="1:18" hidden="1" x14ac:dyDescent="0.3">
      <c r="A11885" s="15" t="s">
        <v>33394</v>
      </c>
      <c r="B11885" s="15" t="s">
        <v>33395</v>
      </c>
      <c r="C11885" s="18" t="s">
        <v>28</v>
      </c>
      <c r="D11885" s="15" t="s">
        <v>33396</v>
      </c>
      <c r="E11885" s="18" t="s">
        <v>28</v>
      </c>
      <c r="F11885" s="19">
        <v>21.78</v>
      </c>
      <c r="G11885" s="19">
        <v>21.78</v>
      </c>
      <c r="H11885" s="19">
        <v>21.78</v>
      </c>
      <c r="I11885" s="18" t="s">
        <v>28</v>
      </c>
      <c r="J11885" s="18" t="s">
        <v>28</v>
      </c>
      <c r="K11885" s="18" t="s">
        <v>28</v>
      </c>
      <c r="L11885" s="18" t="s">
        <v>28</v>
      </c>
      <c r="M11885" s="18" t="s">
        <v>28</v>
      </c>
      <c r="N11885" s="17">
        <v>40709</v>
      </c>
      <c r="O11885" s="15" t="s">
        <v>30</v>
      </c>
      <c r="P11885" s="16" t="s">
        <v>33397</v>
      </c>
      <c r="Q11885" s="15" t="s">
        <v>15521</v>
      </c>
      <c r="R11885" s="13" t="str">
        <f>HYPERLINK("https://my.pitchbook.com?c=90594-01T","View Company Online")</f>
        <v>View Company Online</v>
      </c>
    </row>
    <row r="11886" spans="1:18" hidden="1" x14ac:dyDescent="0.3">
      <c r="A11886" s="9" t="s">
        <v>33398</v>
      </c>
      <c r="B11886" s="9" t="s">
        <v>33399</v>
      </c>
      <c r="C11886" s="11" t="s">
        <v>28</v>
      </c>
      <c r="D11886" s="9" t="s">
        <v>33400</v>
      </c>
      <c r="E11886" s="11" t="s">
        <v>28</v>
      </c>
      <c r="F11886" s="10" t="s">
        <v>28</v>
      </c>
      <c r="G11886" s="10" t="s">
        <v>28</v>
      </c>
      <c r="H11886" s="10" t="s">
        <v>28</v>
      </c>
      <c r="I11886" s="11" t="s">
        <v>28</v>
      </c>
      <c r="J11886" s="11" t="s">
        <v>28</v>
      </c>
      <c r="K11886" s="11" t="s">
        <v>28</v>
      </c>
      <c r="L11886" s="11" t="s">
        <v>28</v>
      </c>
      <c r="M11886" s="11" t="s">
        <v>28</v>
      </c>
      <c r="N11886" s="8">
        <v>40707</v>
      </c>
      <c r="O11886" s="9" t="s">
        <v>173</v>
      </c>
      <c r="P11886" s="12" t="s">
        <v>28</v>
      </c>
      <c r="Q11886" s="9" t="s">
        <v>174</v>
      </c>
      <c r="R11886" s="14" t="str">
        <f>HYPERLINK("https://my.pitchbook.com?c=221306-86T","View Company Online")</f>
        <v>View Company Online</v>
      </c>
    </row>
    <row r="11887" spans="1:18" hidden="1" x14ac:dyDescent="0.3">
      <c r="A11887" s="15" t="s">
        <v>33401</v>
      </c>
      <c r="B11887" s="15" t="s">
        <v>30534</v>
      </c>
      <c r="C11887" s="18" t="s">
        <v>28</v>
      </c>
      <c r="D11887" s="15" t="s">
        <v>30535</v>
      </c>
      <c r="E11887" s="18" t="s">
        <v>28</v>
      </c>
      <c r="F11887" s="19" t="s">
        <v>28</v>
      </c>
      <c r="G11887" s="19" t="s">
        <v>28</v>
      </c>
      <c r="H11887" s="19" t="s">
        <v>28</v>
      </c>
      <c r="I11887" s="18" t="s">
        <v>28</v>
      </c>
      <c r="J11887" s="18" t="s">
        <v>28</v>
      </c>
      <c r="K11887" s="18" t="s">
        <v>28</v>
      </c>
      <c r="L11887" s="18" t="s">
        <v>28</v>
      </c>
      <c r="M11887" s="18" t="s">
        <v>28</v>
      </c>
      <c r="N11887" s="17">
        <v>40707</v>
      </c>
      <c r="O11887" s="15" t="s">
        <v>73</v>
      </c>
      <c r="P11887" s="16" t="s">
        <v>33159</v>
      </c>
      <c r="Q11887" s="15" t="s">
        <v>54</v>
      </c>
      <c r="R11887" s="13" t="str">
        <f>HYPERLINK("https://my.pitchbook.com?c=94438-90T","View Company Online")</f>
        <v>View Company Online</v>
      </c>
    </row>
    <row r="11888" spans="1:18" hidden="1" x14ac:dyDescent="0.3">
      <c r="A11888" s="9" t="s">
        <v>33402</v>
      </c>
      <c r="B11888" s="9" t="s">
        <v>33403</v>
      </c>
      <c r="C11888" s="11" t="s">
        <v>28</v>
      </c>
      <c r="D11888" s="9" t="s">
        <v>33404</v>
      </c>
      <c r="E11888" s="11" t="s">
        <v>28</v>
      </c>
      <c r="F11888" s="10">
        <v>4.87</v>
      </c>
      <c r="G11888" s="10">
        <v>2.4900000000000002</v>
      </c>
      <c r="H11888" s="10">
        <v>4.87</v>
      </c>
      <c r="I11888" s="11" t="s">
        <v>28</v>
      </c>
      <c r="J11888" s="11" t="s">
        <v>28</v>
      </c>
      <c r="K11888" s="11" t="s">
        <v>28</v>
      </c>
      <c r="L11888" s="11" t="s">
        <v>28</v>
      </c>
      <c r="M11888" s="11" t="s">
        <v>28</v>
      </c>
      <c r="N11888" s="8">
        <v>40705</v>
      </c>
      <c r="O11888" s="9" t="s">
        <v>30</v>
      </c>
      <c r="P11888" s="12" t="s">
        <v>20670</v>
      </c>
      <c r="Q11888" s="9" t="s">
        <v>245</v>
      </c>
      <c r="R11888" s="14" t="str">
        <f>HYPERLINK("https://my.pitchbook.com?c=74095-30T","View Company Online")</f>
        <v>View Company Online</v>
      </c>
    </row>
    <row r="11889" spans="1:18" hidden="1" x14ac:dyDescent="0.3">
      <c r="A11889" s="15" t="s">
        <v>33405</v>
      </c>
      <c r="B11889" s="15" t="s">
        <v>8877</v>
      </c>
      <c r="C11889" s="18" t="s">
        <v>28</v>
      </c>
      <c r="D11889" s="15" t="s">
        <v>8878</v>
      </c>
      <c r="E11889" s="18" t="s">
        <v>28</v>
      </c>
      <c r="F11889" s="19" t="s">
        <v>28</v>
      </c>
      <c r="G11889" s="19">
        <v>1.86</v>
      </c>
      <c r="H11889" s="19" t="s">
        <v>28</v>
      </c>
      <c r="I11889" s="18" t="s">
        <v>28</v>
      </c>
      <c r="J11889" s="18" t="s">
        <v>28</v>
      </c>
      <c r="K11889" s="18" t="s">
        <v>28</v>
      </c>
      <c r="L11889" s="18" t="s">
        <v>28</v>
      </c>
      <c r="M11889" s="18" t="s">
        <v>28</v>
      </c>
      <c r="N11889" s="17">
        <v>40704</v>
      </c>
      <c r="O11889" s="15" t="s">
        <v>79</v>
      </c>
      <c r="P11889" s="16" t="s">
        <v>33406</v>
      </c>
      <c r="Q11889" s="15" t="s">
        <v>75</v>
      </c>
      <c r="R11889" s="13" t="str">
        <f>HYPERLINK("https://my.pitchbook.com?c=24927-31T","View Company Online")</f>
        <v>View Company Online</v>
      </c>
    </row>
    <row r="11890" spans="1:18" hidden="1" x14ac:dyDescent="0.3">
      <c r="A11890" s="9" t="s">
        <v>33407</v>
      </c>
      <c r="B11890" s="9" t="s">
        <v>31766</v>
      </c>
      <c r="C11890" s="11" t="s">
        <v>28</v>
      </c>
      <c r="D11890" s="9" t="s">
        <v>32166</v>
      </c>
      <c r="E11890" s="11" t="s">
        <v>28</v>
      </c>
      <c r="F11890" s="10" t="s">
        <v>28</v>
      </c>
      <c r="G11890" s="10" t="s">
        <v>28</v>
      </c>
      <c r="H11890" s="10" t="s">
        <v>28</v>
      </c>
      <c r="I11890" s="11" t="s">
        <v>28</v>
      </c>
      <c r="J11890" s="11" t="s">
        <v>28</v>
      </c>
      <c r="K11890" s="11" t="s">
        <v>28</v>
      </c>
      <c r="L11890" s="11" t="s">
        <v>28</v>
      </c>
      <c r="M11890" s="11" t="s">
        <v>28</v>
      </c>
      <c r="N11890" s="8">
        <v>40703</v>
      </c>
      <c r="O11890" s="9" t="s">
        <v>41</v>
      </c>
      <c r="P11890" s="12" t="s">
        <v>33408</v>
      </c>
      <c r="Q11890" s="9" t="s">
        <v>37</v>
      </c>
      <c r="R11890" s="14" t="str">
        <f>HYPERLINK("https://my.pitchbook.com?c=19213-03T","View Company Online")</f>
        <v>View Company Online</v>
      </c>
    </row>
    <row r="11891" spans="1:18" hidden="1" x14ac:dyDescent="0.3">
      <c r="A11891" s="15" t="s">
        <v>33409</v>
      </c>
      <c r="B11891" s="15" t="s">
        <v>33410</v>
      </c>
      <c r="C11891" s="18" t="s">
        <v>28</v>
      </c>
      <c r="D11891" s="15" t="s">
        <v>33411</v>
      </c>
      <c r="E11891" s="18" t="s">
        <v>28</v>
      </c>
      <c r="F11891" s="19" t="s">
        <v>28</v>
      </c>
      <c r="G11891" s="19" t="s">
        <v>28</v>
      </c>
      <c r="H11891" s="19" t="s">
        <v>28</v>
      </c>
      <c r="I11891" s="18" t="s">
        <v>28</v>
      </c>
      <c r="J11891" s="18" t="s">
        <v>28</v>
      </c>
      <c r="K11891" s="18" t="s">
        <v>28</v>
      </c>
      <c r="L11891" s="18" t="s">
        <v>28</v>
      </c>
      <c r="M11891" s="18" t="s">
        <v>28</v>
      </c>
      <c r="N11891" s="17">
        <v>40701</v>
      </c>
      <c r="O11891" s="15" t="s">
        <v>30</v>
      </c>
      <c r="P11891" s="16" t="s">
        <v>33412</v>
      </c>
      <c r="Q11891" s="15" t="s">
        <v>285</v>
      </c>
      <c r="R11891" s="13" t="str">
        <f>HYPERLINK("https://my.pitchbook.com?c=37578-43T","View Company Online")</f>
        <v>View Company Online</v>
      </c>
    </row>
    <row r="11892" spans="1:18" hidden="1" x14ac:dyDescent="0.3">
      <c r="A11892" s="9" t="s">
        <v>33413</v>
      </c>
      <c r="B11892" s="9" t="s">
        <v>33414</v>
      </c>
      <c r="C11892" s="11" t="s">
        <v>28</v>
      </c>
      <c r="D11892" s="9" t="s">
        <v>33415</v>
      </c>
      <c r="E11892" s="11" t="s">
        <v>28</v>
      </c>
      <c r="F11892" s="10" t="s">
        <v>28</v>
      </c>
      <c r="G11892" s="10" t="s">
        <v>28</v>
      </c>
      <c r="H11892" s="10" t="s">
        <v>28</v>
      </c>
      <c r="I11892" s="11" t="s">
        <v>28</v>
      </c>
      <c r="J11892" s="11" t="s">
        <v>28</v>
      </c>
      <c r="K11892" s="11" t="s">
        <v>28</v>
      </c>
      <c r="L11892" s="11" t="s">
        <v>28</v>
      </c>
      <c r="M11892" s="11" t="s">
        <v>28</v>
      </c>
      <c r="N11892" s="8">
        <v>40701</v>
      </c>
      <c r="O11892" s="9" t="s">
        <v>30</v>
      </c>
      <c r="P11892" s="12" t="s">
        <v>33416</v>
      </c>
      <c r="Q11892" s="9" t="s">
        <v>75</v>
      </c>
      <c r="R11892" s="14" t="str">
        <f>HYPERLINK("https://my.pitchbook.com?c=73940-05T","View Company Online")</f>
        <v>View Company Online</v>
      </c>
    </row>
    <row r="11893" spans="1:18" hidden="1" x14ac:dyDescent="0.3">
      <c r="A11893" s="15" t="s">
        <v>33417</v>
      </c>
      <c r="B11893" s="15" t="s">
        <v>28208</v>
      </c>
      <c r="C11893" s="18" t="s">
        <v>28</v>
      </c>
      <c r="D11893" s="15" t="s">
        <v>28209</v>
      </c>
      <c r="E11893" s="18" t="s">
        <v>28</v>
      </c>
      <c r="F11893" s="19" t="s">
        <v>28</v>
      </c>
      <c r="G11893" s="19">
        <v>1.5</v>
      </c>
      <c r="H11893" s="19" t="s">
        <v>28</v>
      </c>
      <c r="I11893" s="18" t="s">
        <v>28</v>
      </c>
      <c r="J11893" s="18" t="s">
        <v>28</v>
      </c>
      <c r="K11893" s="18" t="s">
        <v>28</v>
      </c>
      <c r="L11893" s="18" t="s">
        <v>28</v>
      </c>
      <c r="M11893" s="18" t="s">
        <v>28</v>
      </c>
      <c r="N11893" s="17">
        <v>40701</v>
      </c>
      <c r="O11893" s="15" t="s">
        <v>379</v>
      </c>
      <c r="P11893" s="16" t="s">
        <v>28</v>
      </c>
      <c r="Q11893" s="15" t="s">
        <v>855</v>
      </c>
      <c r="R11893" s="13" t="str">
        <f>HYPERLINK("https://my.pitchbook.com?c=50690-53T","View Company Online")</f>
        <v>View Company Online</v>
      </c>
    </row>
    <row r="11894" spans="1:18" hidden="1" x14ac:dyDescent="0.3">
      <c r="A11894" s="9" t="s">
        <v>33418</v>
      </c>
      <c r="B11894" s="9" t="s">
        <v>33419</v>
      </c>
      <c r="C11894" s="11" t="s">
        <v>28</v>
      </c>
      <c r="D11894" s="9" t="s">
        <v>33420</v>
      </c>
      <c r="E11894" s="11" t="s">
        <v>28</v>
      </c>
      <c r="F11894" s="10" t="s">
        <v>28</v>
      </c>
      <c r="G11894" s="10" t="s">
        <v>28</v>
      </c>
      <c r="H11894" s="10" t="s">
        <v>28</v>
      </c>
      <c r="I11894" s="11" t="s">
        <v>28</v>
      </c>
      <c r="J11894" s="11" t="s">
        <v>28</v>
      </c>
      <c r="K11894" s="11" t="s">
        <v>28</v>
      </c>
      <c r="L11894" s="11" t="s">
        <v>28</v>
      </c>
      <c r="M11894" s="11" t="s">
        <v>28</v>
      </c>
      <c r="N11894" s="8">
        <v>40701</v>
      </c>
      <c r="O11894" s="9" t="s">
        <v>173</v>
      </c>
      <c r="P11894" s="12" t="s">
        <v>28</v>
      </c>
      <c r="Q11894" s="9" t="s">
        <v>174</v>
      </c>
      <c r="R11894" s="14" t="str">
        <f>HYPERLINK("https://my.pitchbook.com?c=224696-98T","View Company Online")</f>
        <v>View Company Online</v>
      </c>
    </row>
    <row r="11895" spans="1:18" hidden="1" x14ac:dyDescent="0.3">
      <c r="A11895" s="15" t="s">
        <v>33421</v>
      </c>
      <c r="B11895" s="15" t="s">
        <v>33422</v>
      </c>
      <c r="C11895" s="18" t="s">
        <v>28</v>
      </c>
      <c r="D11895" s="15" t="s">
        <v>32135</v>
      </c>
      <c r="E11895" s="18" t="s">
        <v>28</v>
      </c>
      <c r="F11895" s="19" t="s">
        <v>28</v>
      </c>
      <c r="G11895" s="19" t="s">
        <v>28</v>
      </c>
      <c r="H11895" s="19" t="s">
        <v>28</v>
      </c>
      <c r="I11895" s="18" t="s">
        <v>28</v>
      </c>
      <c r="J11895" s="18" t="s">
        <v>28</v>
      </c>
      <c r="K11895" s="18" t="s">
        <v>28</v>
      </c>
      <c r="L11895" s="18" t="s">
        <v>28</v>
      </c>
      <c r="M11895" s="18" t="s">
        <v>28</v>
      </c>
      <c r="N11895" s="17">
        <v>40700</v>
      </c>
      <c r="O11895" s="15" t="s">
        <v>30</v>
      </c>
      <c r="P11895" s="16" t="s">
        <v>33423</v>
      </c>
      <c r="Q11895" s="15" t="s">
        <v>114</v>
      </c>
      <c r="R11895" s="13" t="str">
        <f>HYPERLINK("https://my.pitchbook.com?c=91727-74T","View Company Online")</f>
        <v>View Company Online</v>
      </c>
    </row>
    <row r="11896" spans="1:18" hidden="1" x14ac:dyDescent="0.3">
      <c r="A11896" s="9" t="s">
        <v>33424</v>
      </c>
      <c r="B11896" s="9" t="s">
        <v>33425</v>
      </c>
      <c r="C11896" s="11" t="s">
        <v>28</v>
      </c>
      <c r="D11896" s="9" t="s">
        <v>33426</v>
      </c>
      <c r="E11896" s="11" t="s">
        <v>28</v>
      </c>
      <c r="F11896" s="10" t="s">
        <v>28</v>
      </c>
      <c r="G11896" s="10" t="s">
        <v>28</v>
      </c>
      <c r="H11896" s="10" t="s">
        <v>28</v>
      </c>
      <c r="I11896" s="11" t="s">
        <v>28</v>
      </c>
      <c r="J11896" s="11" t="s">
        <v>28</v>
      </c>
      <c r="K11896" s="11" t="s">
        <v>28</v>
      </c>
      <c r="L11896" s="11" t="s">
        <v>28</v>
      </c>
      <c r="M11896" s="11" t="s">
        <v>28</v>
      </c>
      <c r="N11896" s="8">
        <v>40700</v>
      </c>
      <c r="O11896" s="9" t="s">
        <v>30</v>
      </c>
      <c r="P11896" s="12" t="s">
        <v>33427</v>
      </c>
      <c r="Q11896" s="9" t="s">
        <v>245</v>
      </c>
      <c r="R11896" s="14" t="str">
        <f>HYPERLINK("https://my.pitchbook.com?c=72766-09T","View Company Online")</f>
        <v>View Company Online</v>
      </c>
    </row>
    <row r="11897" spans="1:18" hidden="1" x14ac:dyDescent="0.3">
      <c r="A11897" s="15" t="s">
        <v>33428</v>
      </c>
      <c r="B11897" s="15" t="s">
        <v>33429</v>
      </c>
      <c r="C11897" s="18" t="s">
        <v>28</v>
      </c>
      <c r="D11897" s="15" t="s">
        <v>33430</v>
      </c>
      <c r="E11897" s="18" t="s">
        <v>28</v>
      </c>
      <c r="F11897" s="19" t="s">
        <v>28</v>
      </c>
      <c r="G11897" s="19" t="s">
        <v>28</v>
      </c>
      <c r="H11897" s="19" t="s">
        <v>28</v>
      </c>
      <c r="I11897" s="18" t="s">
        <v>28</v>
      </c>
      <c r="J11897" s="18" t="s">
        <v>28</v>
      </c>
      <c r="K11897" s="18" t="s">
        <v>28</v>
      </c>
      <c r="L11897" s="18" t="s">
        <v>28</v>
      </c>
      <c r="M11897" s="18" t="s">
        <v>28</v>
      </c>
      <c r="N11897" s="17">
        <v>40697</v>
      </c>
      <c r="O11897" s="15" t="s">
        <v>173</v>
      </c>
      <c r="P11897" s="16" t="s">
        <v>28</v>
      </c>
      <c r="Q11897" s="15" t="s">
        <v>174</v>
      </c>
      <c r="R11897" s="13" t="str">
        <f>HYPERLINK("https://my.pitchbook.com?c=224104-06T","View Company Online")</f>
        <v>View Company Online</v>
      </c>
    </row>
    <row r="11898" spans="1:18" hidden="1" x14ac:dyDescent="0.3">
      <c r="A11898" s="9" t="s">
        <v>33431</v>
      </c>
      <c r="B11898" s="9" t="s">
        <v>23434</v>
      </c>
      <c r="C11898" s="11" t="s">
        <v>28</v>
      </c>
      <c r="D11898" s="9" t="s">
        <v>23435</v>
      </c>
      <c r="E11898" s="11" t="s">
        <v>28</v>
      </c>
      <c r="F11898" s="10" t="s">
        <v>28</v>
      </c>
      <c r="G11898" s="10" t="s">
        <v>28</v>
      </c>
      <c r="H11898" s="10" t="s">
        <v>28</v>
      </c>
      <c r="I11898" s="11" t="s">
        <v>28</v>
      </c>
      <c r="J11898" s="11" t="s">
        <v>28</v>
      </c>
      <c r="K11898" s="11" t="s">
        <v>28</v>
      </c>
      <c r="L11898" s="11" t="s">
        <v>28</v>
      </c>
      <c r="M11898" s="11" t="s">
        <v>28</v>
      </c>
      <c r="N11898" s="8">
        <v>40695</v>
      </c>
      <c r="O11898" s="9" t="s">
        <v>41</v>
      </c>
      <c r="P11898" s="12" t="s">
        <v>2216</v>
      </c>
      <c r="Q11898" s="9" t="s">
        <v>1007</v>
      </c>
      <c r="R11898" s="14" t="str">
        <f>HYPERLINK("https://my.pitchbook.com?c=28619-29T","View Company Online")</f>
        <v>View Company Online</v>
      </c>
    </row>
    <row r="11899" spans="1:18" hidden="1" x14ac:dyDescent="0.3">
      <c r="A11899" s="15" t="s">
        <v>33432</v>
      </c>
      <c r="B11899" s="15" t="s">
        <v>33433</v>
      </c>
      <c r="C11899" s="18" t="s">
        <v>28</v>
      </c>
      <c r="D11899" s="15" t="s">
        <v>33434</v>
      </c>
      <c r="E11899" s="18" t="s">
        <v>28</v>
      </c>
      <c r="F11899" s="19" t="s">
        <v>28</v>
      </c>
      <c r="G11899" s="19" t="s">
        <v>28</v>
      </c>
      <c r="H11899" s="19" t="s">
        <v>28</v>
      </c>
      <c r="I11899" s="18" t="s">
        <v>28</v>
      </c>
      <c r="J11899" s="18" t="s">
        <v>28</v>
      </c>
      <c r="K11899" s="18" t="s">
        <v>28</v>
      </c>
      <c r="L11899" s="18" t="s">
        <v>28</v>
      </c>
      <c r="M11899" s="18" t="s">
        <v>28</v>
      </c>
      <c r="N11899" s="17">
        <v>40695</v>
      </c>
      <c r="O11899" s="15" t="s">
        <v>379</v>
      </c>
      <c r="P11899" s="16" t="s">
        <v>10643</v>
      </c>
      <c r="Q11899" s="15" t="s">
        <v>136</v>
      </c>
      <c r="R11899" s="13" t="str">
        <f>HYPERLINK("https://my.pitchbook.com?c=46618-21T","View Company Online")</f>
        <v>View Company Online</v>
      </c>
    </row>
    <row r="11900" spans="1:18" hidden="1" x14ac:dyDescent="0.3">
      <c r="A11900" s="9" t="s">
        <v>33435</v>
      </c>
      <c r="B11900" s="9" t="s">
        <v>19420</v>
      </c>
      <c r="C11900" s="11" t="s">
        <v>28</v>
      </c>
      <c r="D11900" s="9" t="s">
        <v>19421</v>
      </c>
      <c r="E11900" s="11" t="s">
        <v>28</v>
      </c>
      <c r="F11900" s="10" t="s">
        <v>28</v>
      </c>
      <c r="G11900" s="10" t="s">
        <v>28</v>
      </c>
      <c r="H11900" s="10" t="s">
        <v>28</v>
      </c>
      <c r="I11900" s="11" t="s">
        <v>28</v>
      </c>
      <c r="J11900" s="11" t="s">
        <v>28</v>
      </c>
      <c r="K11900" s="11" t="s">
        <v>28</v>
      </c>
      <c r="L11900" s="11" t="s">
        <v>28</v>
      </c>
      <c r="M11900" s="11" t="s">
        <v>28</v>
      </c>
      <c r="N11900" s="8">
        <v>40695</v>
      </c>
      <c r="O11900" s="9" t="s">
        <v>1285</v>
      </c>
      <c r="P11900" s="12" t="s">
        <v>28</v>
      </c>
      <c r="Q11900" s="9" t="s">
        <v>2939</v>
      </c>
      <c r="R11900" s="14" t="str">
        <f>HYPERLINK("https://my.pitchbook.com?c=92256-85T","View Company Online")</f>
        <v>View Company Online</v>
      </c>
    </row>
    <row r="11901" spans="1:18" hidden="1" x14ac:dyDescent="0.3">
      <c r="A11901" s="15" t="s">
        <v>33436</v>
      </c>
      <c r="B11901" s="15" t="s">
        <v>20298</v>
      </c>
      <c r="C11901" s="18" t="s">
        <v>28</v>
      </c>
      <c r="D11901" s="15" t="s">
        <v>20299</v>
      </c>
      <c r="E11901" s="18" t="s">
        <v>28</v>
      </c>
      <c r="F11901" s="19" t="s">
        <v>28</v>
      </c>
      <c r="G11901" s="19" t="s">
        <v>28</v>
      </c>
      <c r="H11901" s="19" t="s">
        <v>28</v>
      </c>
      <c r="I11901" s="18" t="s">
        <v>28</v>
      </c>
      <c r="J11901" s="18" t="s">
        <v>28</v>
      </c>
      <c r="K11901" s="18" t="s">
        <v>28</v>
      </c>
      <c r="L11901" s="18" t="s">
        <v>28</v>
      </c>
      <c r="M11901" s="18" t="s">
        <v>28</v>
      </c>
      <c r="N11901" s="17">
        <v>40695</v>
      </c>
      <c r="O11901" s="15" t="s">
        <v>379</v>
      </c>
      <c r="P11901" s="16" t="s">
        <v>28</v>
      </c>
      <c r="Q11901" s="15" t="s">
        <v>386</v>
      </c>
      <c r="R11901" s="13" t="str">
        <f>HYPERLINK("https://my.pitchbook.com?c=19948-15T","View Company Online")</f>
        <v>View Company Online</v>
      </c>
    </row>
    <row r="11902" spans="1:18" hidden="1" x14ac:dyDescent="0.3">
      <c r="A11902" s="9" t="s">
        <v>33437</v>
      </c>
      <c r="B11902" s="9" t="s">
        <v>33438</v>
      </c>
      <c r="C11902" s="11" t="s">
        <v>28</v>
      </c>
      <c r="D11902" s="9" t="s">
        <v>33439</v>
      </c>
      <c r="E11902" s="11" t="s">
        <v>28</v>
      </c>
      <c r="F11902" s="10" t="s">
        <v>28</v>
      </c>
      <c r="G11902" s="10" t="s">
        <v>28</v>
      </c>
      <c r="H11902" s="10" t="s">
        <v>28</v>
      </c>
      <c r="I11902" s="11" t="s">
        <v>28</v>
      </c>
      <c r="J11902" s="11" t="s">
        <v>28</v>
      </c>
      <c r="K11902" s="11" t="s">
        <v>28</v>
      </c>
      <c r="L11902" s="11" t="s">
        <v>28</v>
      </c>
      <c r="M11902" s="11" t="s">
        <v>28</v>
      </c>
      <c r="N11902" s="8">
        <v>40695</v>
      </c>
      <c r="O11902" s="9" t="s">
        <v>1285</v>
      </c>
      <c r="P11902" s="12" t="s">
        <v>28</v>
      </c>
      <c r="Q11902" s="9" t="s">
        <v>2706</v>
      </c>
      <c r="R11902" s="14" t="str">
        <f>HYPERLINK("https://my.pitchbook.com?c=102174-04T","View Company Online")</f>
        <v>View Company Online</v>
      </c>
    </row>
    <row r="11903" spans="1:18" hidden="1" x14ac:dyDescent="0.3">
      <c r="A11903" s="15" t="s">
        <v>33440</v>
      </c>
      <c r="B11903" s="15" t="s">
        <v>33441</v>
      </c>
      <c r="C11903" s="18" t="s">
        <v>28</v>
      </c>
      <c r="D11903" s="15" t="s">
        <v>33442</v>
      </c>
      <c r="E11903" s="18" t="s">
        <v>28</v>
      </c>
      <c r="F11903" s="19" t="s">
        <v>28</v>
      </c>
      <c r="G11903" s="19" t="s">
        <v>28</v>
      </c>
      <c r="H11903" s="19" t="s">
        <v>28</v>
      </c>
      <c r="I11903" s="18" t="s">
        <v>28</v>
      </c>
      <c r="J11903" s="18" t="s">
        <v>28</v>
      </c>
      <c r="K11903" s="18" t="s">
        <v>28</v>
      </c>
      <c r="L11903" s="18" t="s">
        <v>28</v>
      </c>
      <c r="M11903" s="18" t="s">
        <v>28</v>
      </c>
      <c r="N11903" s="17">
        <v>40695</v>
      </c>
      <c r="O11903" s="15" t="s">
        <v>30</v>
      </c>
      <c r="P11903" s="16" t="s">
        <v>33438</v>
      </c>
      <c r="Q11903" s="15" t="s">
        <v>8610</v>
      </c>
      <c r="R11903" s="13" t="str">
        <f>HYPERLINK("https://my.pitchbook.com?c=178745-59T","View Company Online")</f>
        <v>View Company Online</v>
      </c>
    </row>
    <row r="11904" spans="1:18" hidden="1" x14ac:dyDescent="0.3">
      <c r="A11904" s="9" t="s">
        <v>33443</v>
      </c>
      <c r="B11904" s="9" t="s">
        <v>2992</v>
      </c>
      <c r="C11904" s="11" t="s">
        <v>28</v>
      </c>
      <c r="D11904" s="9" t="s">
        <v>33444</v>
      </c>
      <c r="E11904" s="11" t="s">
        <v>28</v>
      </c>
      <c r="F11904" s="10" t="s">
        <v>28</v>
      </c>
      <c r="G11904" s="10" t="s">
        <v>28</v>
      </c>
      <c r="H11904" s="10" t="s">
        <v>28</v>
      </c>
      <c r="I11904" s="11" t="s">
        <v>28</v>
      </c>
      <c r="J11904" s="11" t="s">
        <v>28</v>
      </c>
      <c r="K11904" s="11">
        <v>58.01</v>
      </c>
      <c r="L11904" s="11" t="s">
        <v>28</v>
      </c>
      <c r="M11904" s="11" t="s">
        <v>28</v>
      </c>
      <c r="N11904" s="8">
        <v>40690</v>
      </c>
      <c r="O11904" s="9" t="s">
        <v>41</v>
      </c>
      <c r="P11904" s="12" t="s">
        <v>33445</v>
      </c>
      <c r="Q11904" s="9" t="s">
        <v>37</v>
      </c>
      <c r="R11904" s="14" t="str">
        <f>HYPERLINK("https://my.pitchbook.com?c=61693-39T","View Company Online")</f>
        <v>View Company Online</v>
      </c>
    </row>
    <row r="11905" spans="1:18" hidden="1" x14ac:dyDescent="0.3">
      <c r="A11905" s="15" t="s">
        <v>33446</v>
      </c>
      <c r="B11905" s="15" t="s">
        <v>20837</v>
      </c>
      <c r="C11905" s="18" t="s">
        <v>28</v>
      </c>
      <c r="D11905" s="15" t="s">
        <v>20838</v>
      </c>
      <c r="E11905" s="18" t="s">
        <v>28</v>
      </c>
      <c r="F11905" s="19" t="s">
        <v>28</v>
      </c>
      <c r="G11905" s="19" t="s">
        <v>28</v>
      </c>
      <c r="H11905" s="19" t="s">
        <v>28</v>
      </c>
      <c r="I11905" s="18" t="s">
        <v>28</v>
      </c>
      <c r="J11905" s="18" t="s">
        <v>28</v>
      </c>
      <c r="K11905" s="18" t="s">
        <v>28</v>
      </c>
      <c r="L11905" s="18" t="s">
        <v>28</v>
      </c>
      <c r="M11905" s="18" t="s">
        <v>28</v>
      </c>
      <c r="N11905" s="17">
        <v>40689</v>
      </c>
      <c r="O11905" s="15" t="s">
        <v>41</v>
      </c>
      <c r="P11905" s="16" t="s">
        <v>32099</v>
      </c>
      <c r="Q11905" s="15" t="s">
        <v>75</v>
      </c>
      <c r="R11905" s="13" t="str">
        <f>HYPERLINK("https://my.pitchbook.com?c=39210-85T","View Company Online")</f>
        <v>View Company Online</v>
      </c>
    </row>
    <row r="11906" spans="1:18" hidden="1" x14ac:dyDescent="0.3">
      <c r="A11906" s="9" t="s">
        <v>33447</v>
      </c>
      <c r="B11906" s="9" t="s">
        <v>10355</v>
      </c>
      <c r="C11906" s="11" t="s">
        <v>28</v>
      </c>
      <c r="D11906" s="9" t="s">
        <v>10356</v>
      </c>
      <c r="E11906" s="11" t="s">
        <v>28</v>
      </c>
      <c r="F11906" s="10" t="s">
        <v>28</v>
      </c>
      <c r="G11906" s="10">
        <v>19</v>
      </c>
      <c r="H11906" s="10" t="s">
        <v>28</v>
      </c>
      <c r="I11906" s="11" t="s">
        <v>28</v>
      </c>
      <c r="J11906" s="11" t="s">
        <v>28</v>
      </c>
      <c r="K11906" s="11">
        <v>31.07</v>
      </c>
      <c r="L11906" s="11" t="s">
        <v>28</v>
      </c>
      <c r="M11906" s="11" t="s">
        <v>28</v>
      </c>
      <c r="N11906" s="8">
        <v>40689</v>
      </c>
      <c r="O11906" s="9" t="s">
        <v>73</v>
      </c>
      <c r="P11906" s="12" t="s">
        <v>33448</v>
      </c>
      <c r="Q11906" s="9" t="s">
        <v>566</v>
      </c>
      <c r="R11906" s="14" t="str">
        <f>HYPERLINK("https://my.pitchbook.com?c=22285-18T","View Company Online")</f>
        <v>View Company Online</v>
      </c>
    </row>
    <row r="11907" spans="1:18" hidden="1" x14ac:dyDescent="0.3">
      <c r="A11907" s="15" t="s">
        <v>33449</v>
      </c>
      <c r="B11907" s="15" t="s">
        <v>14174</v>
      </c>
      <c r="C11907" s="18" t="s">
        <v>28</v>
      </c>
      <c r="D11907" s="15" t="s">
        <v>14175</v>
      </c>
      <c r="E11907" s="18" t="s">
        <v>28</v>
      </c>
      <c r="F11907" s="19" t="s">
        <v>28</v>
      </c>
      <c r="G11907" s="19" t="s">
        <v>28</v>
      </c>
      <c r="H11907" s="19" t="s">
        <v>28</v>
      </c>
      <c r="I11907" s="18" t="s">
        <v>28</v>
      </c>
      <c r="J11907" s="18" t="s">
        <v>28</v>
      </c>
      <c r="K11907" s="18" t="s">
        <v>28</v>
      </c>
      <c r="L11907" s="18" t="s">
        <v>28</v>
      </c>
      <c r="M11907" s="18" t="s">
        <v>28</v>
      </c>
      <c r="N11907" s="17">
        <v>40688</v>
      </c>
      <c r="O11907" s="15" t="s">
        <v>41</v>
      </c>
      <c r="P11907" s="16" t="s">
        <v>33450</v>
      </c>
      <c r="Q11907" s="15" t="s">
        <v>2916</v>
      </c>
      <c r="R11907" s="13" t="str">
        <f>HYPERLINK("https://my.pitchbook.com?c=32402-62T","View Company Online")</f>
        <v>View Company Online</v>
      </c>
    </row>
    <row r="11908" spans="1:18" hidden="1" x14ac:dyDescent="0.3">
      <c r="A11908" s="9" t="s">
        <v>33451</v>
      </c>
      <c r="B11908" s="9" t="s">
        <v>33452</v>
      </c>
      <c r="C11908" s="11" t="s">
        <v>28</v>
      </c>
      <c r="D11908" s="9" t="s">
        <v>33453</v>
      </c>
      <c r="E11908" s="11">
        <v>-0.03</v>
      </c>
      <c r="F11908" s="10" t="s">
        <v>28</v>
      </c>
      <c r="G11908" s="10" t="s">
        <v>28</v>
      </c>
      <c r="H11908" s="10" t="s">
        <v>28</v>
      </c>
      <c r="I11908" s="11">
        <v>-0.03</v>
      </c>
      <c r="J11908" s="11" t="s">
        <v>28</v>
      </c>
      <c r="K11908" s="11">
        <v>0</v>
      </c>
      <c r="L11908" s="11" t="s">
        <v>28</v>
      </c>
      <c r="M11908" s="11">
        <v>-0.05</v>
      </c>
      <c r="N11908" s="8">
        <v>40687</v>
      </c>
      <c r="O11908" s="9" t="s">
        <v>173</v>
      </c>
      <c r="P11908" s="12" t="s">
        <v>28</v>
      </c>
      <c r="Q11908" s="9" t="s">
        <v>1336</v>
      </c>
      <c r="R11908" s="14" t="str">
        <f>HYPERLINK("https://my.pitchbook.com?c=228236-77T","View Company Online")</f>
        <v>View Company Online</v>
      </c>
    </row>
    <row r="11909" spans="1:18" hidden="1" x14ac:dyDescent="0.3">
      <c r="A11909" s="15" t="s">
        <v>33454</v>
      </c>
      <c r="B11909" s="15" t="s">
        <v>33455</v>
      </c>
      <c r="C11909" s="18" t="s">
        <v>28</v>
      </c>
      <c r="D11909" s="15" t="s">
        <v>33456</v>
      </c>
      <c r="E11909" s="18" t="s">
        <v>28</v>
      </c>
      <c r="F11909" s="19">
        <v>24.97</v>
      </c>
      <c r="G11909" s="19">
        <v>24.97</v>
      </c>
      <c r="H11909" s="19">
        <v>24.97</v>
      </c>
      <c r="I11909" s="18" t="s">
        <v>28</v>
      </c>
      <c r="J11909" s="18" t="s">
        <v>28</v>
      </c>
      <c r="K11909" s="18" t="s">
        <v>28</v>
      </c>
      <c r="L11909" s="18" t="s">
        <v>28</v>
      </c>
      <c r="M11909" s="18" t="s">
        <v>28</v>
      </c>
      <c r="N11909" s="17">
        <v>40686</v>
      </c>
      <c r="O11909" s="15" t="s">
        <v>30</v>
      </c>
      <c r="P11909" s="16" t="s">
        <v>13966</v>
      </c>
      <c r="Q11909" s="15" t="s">
        <v>37</v>
      </c>
      <c r="R11909" s="13" t="str">
        <f>HYPERLINK("https://my.pitchbook.com?c=210064-69T","View Company Online")</f>
        <v>View Company Online</v>
      </c>
    </row>
    <row r="11910" spans="1:18" hidden="1" x14ac:dyDescent="0.3">
      <c r="A11910" s="9" t="s">
        <v>33457</v>
      </c>
      <c r="B11910" s="9" t="s">
        <v>33458</v>
      </c>
      <c r="C11910" s="11" t="s">
        <v>28</v>
      </c>
      <c r="D11910" s="9" t="s">
        <v>33459</v>
      </c>
      <c r="E11910" s="11" t="s">
        <v>28</v>
      </c>
      <c r="F11910" s="10" t="s">
        <v>28</v>
      </c>
      <c r="G11910" s="10" t="s">
        <v>28</v>
      </c>
      <c r="H11910" s="10" t="s">
        <v>28</v>
      </c>
      <c r="I11910" s="11" t="s">
        <v>28</v>
      </c>
      <c r="J11910" s="11" t="s">
        <v>28</v>
      </c>
      <c r="K11910" s="11" t="s">
        <v>28</v>
      </c>
      <c r="L11910" s="11" t="s">
        <v>28</v>
      </c>
      <c r="M11910" s="11" t="s">
        <v>28</v>
      </c>
      <c r="N11910" s="8">
        <v>40686</v>
      </c>
      <c r="O11910" s="9" t="s">
        <v>30</v>
      </c>
      <c r="P11910" s="12" t="s">
        <v>8776</v>
      </c>
      <c r="Q11910" s="9" t="s">
        <v>136</v>
      </c>
      <c r="R11910" s="14" t="str">
        <f>HYPERLINK("https://my.pitchbook.com?c=40570-39T","View Company Online")</f>
        <v>View Company Online</v>
      </c>
    </row>
    <row r="11911" spans="1:18" hidden="1" x14ac:dyDescent="0.3">
      <c r="A11911" s="15" t="s">
        <v>33460</v>
      </c>
      <c r="B11911" s="15" t="s">
        <v>33461</v>
      </c>
      <c r="C11911" s="18" t="s">
        <v>28</v>
      </c>
      <c r="D11911" s="15" t="s">
        <v>33462</v>
      </c>
      <c r="E11911" s="18" t="s">
        <v>28</v>
      </c>
      <c r="F11911" s="19" t="s">
        <v>28</v>
      </c>
      <c r="G11911" s="19" t="s">
        <v>28</v>
      </c>
      <c r="H11911" s="19" t="s">
        <v>28</v>
      </c>
      <c r="I11911" s="18" t="s">
        <v>28</v>
      </c>
      <c r="J11911" s="18" t="s">
        <v>28</v>
      </c>
      <c r="K11911" s="18" t="s">
        <v>28</v>
      </c>
      <c r="L11911" s="18" t="s">
        <v>28</v>
      </c>
      <c r="M11911" s="18" t="s">
        <v>28</v>
      </c>
      <c r="N11911" s="17">
        <v>40686</v>
      </c>
      <c r="O11911" s="15" t="s">
        <v>58</v>
      </c>
      <c r="P11911" s="16" t="s">
        <v>33463</v>
      </c>
      <c r="Q11911" s="15" t="s">
        <v>54</v>
      </c>
      <c r="R11911" s="13" t="str">
        <f>HYPERLINK("https://my.pitchbook.com?c=99957-97T","View Company Online")</f>
        <v>View Company Online</v>
      </c>
    </row>
    <row r="11912" spans="1:18" hidden="1" x14ac:dyDescent="0.3">
      <c r="A11912" s="9" t="s">
        <v>33464</v>
      </c>
      <c r="B11912" s="9" t="s">
        <v>33465</v>
      </c>
      <c r="C11912" s="11" t="s">
        <v>28</v>
      </c>
      <c r="D11912" s="9" t="s">
        <v>33466</v>
      </c>
      <c r="E11912" s="11" t="s">
        <v>28</v>
      </c>
      <c r="F11912" s="10">
        <v>4291.28</v>
      </c>
      <c r="G11912" s="10">
        <v>3960</v>
      </c>
      <c r="H11912" s="10">
        <v>4291.28</v>
      </c>
      <c r="I11912" s="11" t="s">
        <v>28</v>
      </c>
      <c r="J11912" s="11" t="s">
        <v>28</v>
      </c>
      <c r="K11912" s="11" t="s">
        <v>28</v>
      </c>
      <c r="L11912" s="11" t="s">
        <v>28</v>
      </c>
      <c r="M11912" s="11" t="s">
        <v>28</v>
      </c>
      <c r="N11912" s="8">
        <v>40686</v>
      </c>
      <c r="O11912" s="9" t="s">
        <v>30</v>
      </c>
      <c r="P11912" s="12" t="s">
        <v>30730</v>
      </c>
      <c r="Q11912" s="9" t="s">
        <v>13990</v>
      </c>
      <c r="R11912" s="14" t="str">
        <f>HYPERLINK("https://my.pitchbook.com?c=90095-41T","View Company Online")</f>
        <v>View Company Online</v>
      </c>
    </row>
    <row r="11913" spans="1:18" hidden="1" x14ac:dyDescent="0.3">
      <c r="A11913" s="15" t="s">
        <v>33467</v>
      </c>
      <c r="B11913" s="15" t="s">
        <v>33468</v>
      </c>
      <c r="C11913" s="18" t="s">
        <v>28</v>
      </c>
      <c r="D11913" s="15" t="s">
        <v>33469</v>
      </c>
      <c r="E11913" s="18" t="s">
        <v>28</v>
      </c>
      <c r="F11913" s="19" t="s">
        <v>28</v>
      </c>
      <c r="G11913" s="19" t="s">
        <v>28</v>
      </c>
      <c r="H11913" s="19" t="s">
        <v>28</v>
      </c>
      <c r="I11913" s="18" t="s">
        <v>28</v>
      </c>
      <c r="J11913" s="18" t="s">
        <v>28</v>
      </c>
      <c r="K11913" s="18" t="s">
        <v>28</v>
      </c>
      <c r="L11913" s="18" t="s">
        <v>28</v>
      </c>
      <c r="M11913" s="18" t="s">
        <v>28</v>
      </c>
      <c r="N11913" s="17">
        <v>40686</v>
      </c>
      <c r="O11913" s="15" t="s">
        <v>30</v>
      </c>
      <c r="P11913" s="16" t="s">
        <v>33470</v>
      </c>
      <c r="Q11913" s="15" t="s">
        <v>280</v>
      </c>
      <c r="R11913" s="13" t="str">
        <f>HYPERLINK("https://my.pitchbook.com?c=110760-58T","View Company Online")</f>
        <v>View Company Online</v>
      </c>
    </row>
    <row r="11914" spans="1:18" hidden="1" x14ac:dyDescent="0.3">
      <c r="A11914" s="9" t="s">
        <v>33471</v>
      </c>
      <c r="B11914" s="9" t="s">
        <v>33472</v>
      </c>
      <c r="C11914" s="11" t="s">
        <v>28</v>
      </c>
      <c r="D11914" s="9" t="s">
        <v>33473</v>
      </c>
      <c r="E11914" s="11" t="s">
        <v>28</v>
      </c>
      <c r="F11914" s="10">
        <v>52</v>
      </c>
      <c r="G11914" s="10">
        <v>52</v>
      </c>
      <c r="H11914" s="10">
        <v>52</v>
      </c>
      <c r="I11914" s="11" t="s">
        <v>28</v>
      </c>
      <c r="J11914" s="11" t="s">
        <v>28</v>
      </c>
      <c r="K11914" s="11" t="s">
        <v>28</v>
      </c>
      <c r="L11914" s="11" t="s">
        <v>28</v>
      </c>
      <c r="M11914" s="11" t="s">
        <v>28</v>
      </c>
      <c r="N11914" s="8">
        <v>40682</v>
      </c>
      <c r="O11914" s="9" t="s">
        <v>30</v>
      </c>
      <c r="P11914" s="12" t="s">
        <v>33474</v>
      </c>
      <c r="Q11914" s="9" t="s">
        <v>268</v>
      </c>
      <c r="R11914" s="14" t="str">
        <f>HYPERLINK("https://my.pitchbook.com?c=78216-76T","View Company Online")</f>
        <v>View Company Online</v>
      </c>
    </row>
    <row r="11915" spans="1:18" hidden="1" x14ac:dyDescent="0.3">
      <c r="A11915" s="15" t="s">
        <v>33475</v>
      </c>
      <c r="B11915" s="15" t="s">
        <v>33476</v>
      </c>
      <c r="C11915" s="18" t="s">
        <v>28</v>
      </c>
      <c r="D11915" s="15" t="s">
        <v>33477</v>
      </c>
      <c r="E11915" s="18" t="s">
        <v>28</v>
      </c>
      <c r="F11915" s="19" t="s">
        <v>28</v>
      </c>
      <c r="G11915" s="19" t="s">
        <v>28</v>
      </c>
      <c r="H11915" s="19" t="s">
        <v>28</v>
      </c>
      <c r="I11915" s="18" t="s">
        <v>28</v>
      </c>
      <c r="J11915" s="18" t="s">
        <v>28</v>
      </c>
      <c r="K11915" s="18" t="s">
        <v>28</v>
      </c>
      <c r="L11915" s="18" t="s">
        <v>28</v>
      </c>
      <c r="M11915" s="18" t="s">
        <v>28</v>
      </c>
      <c r="N11915" s="17">
        <v>40680</v>
      </c>
      <c r="O11915" s="15" t="s">
        <v>30</v>
      </c>
      <c r="P11915" s="16" t="s">
        <v>33478</v>
      </c>
      <c r="Q11915" s="15" t="s">
        <v>37</v>
      </c>
      <c r="R11915" s="13" t="str">
        <f>HYPERLINK("https://my.pitchbook.com?c=33690-97T","View Company Online")</f>
        <v>View Company Online</v>
      </c>
    </row>
    <row r="11916" spans="1:18" hidden="1" x14ac:dyDescent="0.3">
      <c r="A11916" s="9" t="s">
        <v>33479</v>
      </c>
      <c r="B11916" s="9" t="s">
        <v>32431</v>
      </c>
      <c r="C11916" s="11" t="s">
        <v>28</v>
      </c>
      <c r="D11916" s="9" t="s">
        <v>32432</v>
      </c>
      <c r="E11916" s="11" t="s">
        <v>28</v>
      </c>
      <c r="F11916" s="10" t="s">
        <v>28</v>
      </c>
      <c r="G11916" s="10" t="s">
        <v>28</v>
      </c>
      <c r="H11916" s="10" t="s">
        <v>28</v>
      </c>
      <c r="I11916" s="11" t="s">
        <v>28</v>
      </c>
      <c r="J11916" s="11" t="s">
        <v>28</v>
      </c>
      <c r="K11916" s="11" t="s">
        <v>28</v>
      </c>
      <c r="L11916" s="11" t="s">
        <v>28</v>
      </c>
      <c r="M11916" s="11" t="s">
        <v>28</v>
      </c>
      <c r="N11916" s="8">
        <v>40680</v>
      </c>
      <c r="O11916" s="9" t="s">
        <v>30</v>
      </c>
      <c r="P11916" s="12" t="s">
        <v>33480</v>
      </c>
      <c r="Q11916" s="9" t="s">
        <v>449</v>
      </c>
      <c r="R11916" s="14" t="str">
        <f>HYPERLINK("https://my.pitchbook.com?c=90602-74T","View Company Online")</f>
        <v>View Company Online</v>
      </c>
    </row>
    <row r="11917" spans="1:18" hidden="1" x14ac:dyDescent="0.3">
      <c r="A11917" s="15" t="s">
        <v>33481</v>
      </c>
      <c r="B11917" s="15" t="s">
        <v>33482</v>
      </c>
      <c r="C11917" s="18" t="s">
        <v>28</v>
      </c>
      <c r="D11917" s="15" t="s">
        <v>33483</v>
      </c>
      <c r="E11917" s="18" t="s">
        <v>28</v>
      </c>
      <c r="F11917" s="19" t="s">
        <v>28</v>
      </c>
      <c r="G11917" s="19" t="s">
        <v>28</v>
      </c>
      <c r="H11917" s="19" t="s">
        <v>28</v>
      </c>
      <c r="I11917" s="18" t="s">
        <v>28</v>
      </c>
      <c r="J11917" s="18" t="s">
        <v>28</v>
      </c>
      <c r="K11917" s="18" t="s">
        <v>28</v>
      </c>
      <c r="L11917" s="18" t="s">
        <v>28</v>
      </c>
      <c r="M11917" s="18" t="s">
        <v>28</v>
      </c>
      <c r="N11917" s="17">
        <v>40677</v>
      </c>
      <c r="O11917" s="15" t="s">
        <v>173</v>
      </c>
      <c r="P11917" s="16" t="s">
        <v>28</v>
      </c>
      <c r="Q11917" s="15" t="s">
        <v>174</v>
      </c>
      <c r="R11917" s="13" t="str">
        <f>HYPERLINK("https://my.pitchbook.com?c=224073-73T","View Company Online")</f>
        <v>View Company Online</v>
      </c>
    </row>
    <row r="11918" spans="1:18" hidden="1" x14ac:dyDescent="0.3">
      <c r="A11918" s="9" t="s">
        <v>33484</v>
      </c>
      <c r="B11918" s="9" t="s">
        <v>33485</v>
      </c>
      <c r="C11918" s="11" t="s">
        <v>28</v>
      </c>
      <c r="D11918" s="9" t="s">
        <v>33486</v>
      </c>
      <c r="E11918" s="11" t="s">
        <v>28</v>
      </c>
      <c r="F11918" s="10" t="s">
        <v>28</v>
      </c>
      <c r="G11918" s="10">
        <v>142.13999999999999</v>
      </c>
      <c r="H11918" s="10">
        <v>278.70999999999998</v>
      </c>
      <c r="I11918" s="11" t="s">
        <v>28</v>
      </c>
      <c r="J11918" s="11" t="s">
        <v>28</v>
      </c>
      <c r="K11918" s="11" t="s">
        <v>28</v>
      </c>
      <c r="L11918" s="11" t="s">
        <v>28</v>
      </c>
      <c r="M11918" s="11" t="s">
        <v>28</v>
      </c>
      <c r="N11918" s="8">
        <v>40676</v>
      </c>
      <c r="O11918" s="9" t="s">
        <v>30</v>
      </c>
      <c r="P11918" s="12" t="s">
        <v>22688</v>
      </c>
      <c r="Q11918" s="9" t="s">
        <v>774</v>
      </c>
      <c r="R11918" s="14" t="str">
        <f>HYPERLINK("https://my.pitchbook.com?c=212354-65T","View Company Online")</f>
        <v>View Company Online</v>
      </c>
    </row>
    <row r="11919" spans="1:18" hidden="1" x14ac:dyDescent="0.3">
      <c r="A11919" s="15" t="s">
        <v>33487</v>
      </c>
      <c r="B11919" s="15" t="s">
        <v>26208</v>
      </c>
      <c r="C11919" s="18" t="s">
        <v>28</v>
      </c>
      <c r="D11919" s="15" t="s">
        <v>26209</v>
      </c>
      <c r="E11919" s="18" t="s">
        <v>28</v>
      </c>
      <c r="F11919" s="19" t="s">
        <v>28</v>
      </c>
      <c r="G11919" s="19">
        <v>5.82</v>
      </c>
      <c r="H11919" s="19" t="s">
        <v>28</v>
      </c>
      <c r="I11919" s="18" t="s">
        <v>28</v>
      </c>
      <c r="J11919" s="18" t="s">
        <v>28</v>
      </c>
      <c r="K11919" s="18" t="s">
        <v>28</v>
      </c>
      <c r="L11919" s="18" t="s">
        <v>28</v>
      </c>
      <c r="M11919" s="18" t="s">
        <v>28</v>
      </c>
      <c r="N11919" s="17">
        <v>40675</v>
      </c>
      <c r="O11919" s="15" t="s">
        <v>79</v>
      </c>
      <c r="P11919" s="16" t="s">
        <v>27850</v>
      </c>
      <c r="Q11919" s="15" t="s">
        <v>136</v>
      </c>
      <c r="R11919" s="13" t="str">
        <f>HYPERLINK("https://my.pitchbook.com?c=31408-66T","View Company Online")</f>
        <v>View Company Online</v>
      </c>
    </row>
    <row r="11920" spans="1:18" hidden="1" x14ac:dyDescent="0.3">
      <c r="A11920" s="9" t="s">
        <v>33488</v>
      </c>
      <c r="B11920" s="9" t="s">
        <v>33489</v>
      </c>
      <c r="C11920" s="11" t="s">
        <v>28</v>
      </c>
      <c r="D11920" s="9" t="s">
        <v>33490</v>
      </c>
      <c r="E11920" s="11" t="s">
        <v>28</v>
      </c>
      <c r="F11920" s="10">
        <v>460.7</v>
      </c>
      <c r="G11920" s="10">
        <v>249.12</v>
      </c>
      <c r="H11920" s="10">
        <v>460.7</v>
      </c>
      <c r="I11920" s="11" t="s">
        <v>28</v>
      </c>
      <c r="J11920" s="11" t="s">
        <v>28</v>
      </c>
      <c r="K11920" s="11" t="s">
        <v>28</v>
      </c>
      <c r="L11920" s="11" t="s">
        <v>28</v>
      </c>
      <c r="M11920" s="11" t="s">
        <v>28</v>
      </c>
      <c r="N11920" s="8">
        <v>40675</v>
      </c>
      <c r="O11920" s="9" t="s">
        <v>41</v>
      </c>
      <c r="P11920" s="12" t="s">
        <v>33491</v>
      </c>
      <c r="Q11920" s="9" t="s">
        <v>226</v>
      </c>
      <c r="R11920" s="14" t="str">
        <f>HYPERLINK("https://my.pitchbook.com?c=64408-96T","View Company Online")</f>
        <v>View Company Online</v>
      </c>
    </row>
    <row r="11921" spans="1:18" hidden="1" x14ac:dyDescent="0.3">
      <c r="A11921" s="15" t="s">
        <v>33492</v>
      </c>
      <c r="B11921" s="15" t="s">
        <v>33493</v>
      </c>
      <c r="C11921" s="18" t="s">
        <v>28</v>
      </c>
      <c r="D11921" s="15" t="s">
        <v>33494</v>
      </c>
      <c r="E11921" s="18" t="s">
        <v>28</v>
      </c>
      <c r="F11921" s="19">
        <v>49.01</v>
      </c>
      <c r="G11921" s="19">
        <v>25</v>
      </c>
      <c r="H11921" s="19">
        <v>49.01</v>
      </c>
      <c r="I11921" s="18" t="s">
        <v>28</v>
      </c>
      <c r="J11921" s="18" t="s">
        <v>28</v>
      </c>
      <c r="K11921" s="18">
        <v>150</v>
      </c>
      <c r="L11921" s="18">
        <v>0.33</v>
      </c>
      <c r="M11921" s="18" t="s">
        <v>28</v>
      </c>
      <c r="N11921" s="17">
        <v>40674</v>
      </c>
      <c r="O11921" s="15" t="s">
        <v>30</v>
      </c>
      <c r="P11921" s="16" t="s">
        <v>33495</v>
      </c>
      <c r="Q11921" s="15" t="s">
        <v>900</v>
      </c>
      <c r="R11921" s="13" t="str">
        <f>HYPERLINK("https://my.pitchbook.com?c=73510-48T","View Company Online")</f>
        <v>View Company Online</v>
      </c>
    </row>
    <row r="11922" spans="1:18" hidden="1" x14ac:dyDescent="0.3">
      <c r="A11922" s="9" t="s">
        <v>33496</v>
      </c>
      <c r="B11922" s="9" t="s">
        <v>33497</v>
      </c>
      <c r="C11922" s="11" t="s">
        <v>28</v>
      </c>
      <c r="D11922" s="9" t="s">
        <v>33498</v>
      </c>
      <c r="E11922" s="11" t="s">
        <v>28</v>
      </c>
      <c r="F11922" s="10" t="s">
        <v>28</v>
      </c>
      <c r="G11922" s="10" t="s">
        <v>28</v>
      </c>
      <c r="H11922" s="10" t="s">
        <v>28</v>
      </c>
      <c r="I11922" s="11" t="s">
        <v>28</v>
      </c>
      <c r="J11922" s="11" t="s">
        <v>28</v>
      </c>
      <c r="K11922" s="11">
        <v>93.2</v>
      </c>
      <c r="L11922" s="11" t="s">
        <v>28</v>
      </c>
      <c r="M11922" s="11" t="s">
        <v>28</v>
      </c>
      <c r="N11922" s="8">
        <v>40674</v>
      </c>
      <c r="O11922" s="9" t="s">
        <v>41</v>
      </c>
      <c r="P11922" s="12" t="s">
        <v>33499</v>
      </c>
      <c r="Q11922" s="9" t="s">
        <v>381</v>
      </c>
      <c r="R11922" s="14" t="str">
        <f>HYPERLINK("https://my.pitchbook.com?c=50391-82T","View Company Online")</f>
        <v>View Company Online</v>
      </c>
    </row>
    <row r="11923" spans="1:18" hidden="1" x14ac:dyDescent="0.3">
      <c r="A11923" s="15" t="s">
        <v>33500</v>
      </c>
      <c r="B11923" s="15" t="s">
        <v>33501</v>
      </c>
      <c r="C11923" s="18" t="s">
        <v>28</v>
      </c>
      <c r="D11923" s="15" t="s">
        <v>33502</v>
      </c>
      <c r="E11923" s="18" t="s">
        <v>28</v>
      </c>
      <c r="F11923" s="19" t="s">
        <v>28</v>
      </c>
      <c r="G11923" s="19">
        <v>49</v>
      </c>
      <c r="H11923" s="19">
        <v>196</v>
      </c>
      <c r="I11923" s="18" t="s">
        <v>28</v>
      </c>
      <c r="J11923" s="18" t="s">
        <v>28</v>
      </c>
      <c r="K11923" s="18" t="s">
        <v>28</v>
      </c>
      <c r="L11923" s="18" t="s">
        <v>28</v>
      </c>
      <c r="M11923" s="18" t="s">
        <v>28</v>
      </c>
      <c r="N11923" s="17">
        <v>40674</v>
      </c>
      <c r="O11923" s="15" t="s">
        <v>58</v>
      </c>
      <c r="P11923" s="16" t="s">
        <v>33503</v>
      </c>
      <c r="Q11923" s="15" t="s">
        <v>64</v>
      </c>
      <c r="R11923" s="13" t="str">
        <f>HYPERLINK("https://my.pitchbook.com?c=73339-93T","View Company Online")</f>
        <v>View Company Online</v>
      </c>
    </row>
    <row r="11924" spans="1:18" hidden="1" x14ac:dyDescent="0.3">
      <c r="A11924" s="9" t="s">
        <v>33504</v>
      </c>
      <c r="B11924" s="9" t="s">
        <v>30977</v>
      </c>
      <c r="C11924" s="11" t="s">
        <v>28</v>
      </c>
      <c r="D11924" s="9" t="s">
        <v>30978</v>
      </c>
      <c r="E11924" s="11" t="s">
        <v>28</v>
      </c>
      <c r="F11924" s="10" t="s">
        <v>28</v>
      </c>
      <c r="G11924" s="10">
        <v>37.79</v>
      </c>
      <c r="H11924" s="10" t="s">
        <v>28</v>
      </c>
      <c r="I11924" s="11" t="s">
        <v>28</v>
      </c>
      <c r="J11924" s="11" t="s">
        <v>28</v>
      </c>
      <c r="K11924" s="11" t="s">
        <v>28</v>
      </c>
      <c r="L11924" s="11" t="s">
        <v>28</v>
      </c>
      <c r="M11924" s="11">
        <v>33.89</v>
      </c>
      <c r="N11924" s="8">
        <v>40673</v>
      </c>
      <c r="O11924" s="9" t="s">
        <v>93</v>
      </c>
      <c r="P11924" s="12" t="s">
        <v>33505</v>
      </c>
      <c r="Q11924" s="9" t="s">
        <v>75</v>
      </c>
      <c r="R11924" s="14" t="str">
        <f>HYPERLINK("https://my.pitchbook.com?c=40078-45T","View Company Online")</f>
        <v>View Company Online</v>
      </c>
    </row>
    <row r="11925" spans="1:18" hidden="1" x14ac:dyDescent="0.3">
      <c r="A11925" s="15" t="s">
        <v>33506</v>
      </c>
      <c r="B11925" s="15" t="s">
        <v>33507</v>
      </c>
      <c r="C11925" s="18" t="s">
        <v>28</v>
      </c>
      <c r="D11925" s="15" t="s">
        <v>33508</v>
      </c>
      <c r="E11925" s="18" t="s">
        <v>28</v>
      </c>
      <c r="F11925" s="19">
        <v>273.10000000000002</v>
      </c>
      <c r="G11925" s="19">
        <v>161.4</v>
      </c>
      <c r="H11925" s="19">
        <v>273.10000000000002</v>
      </c>
      <c r="I11925" s="18" t="s">
        <v>28</v>
      </c>
      <c r="J11925" s="18" t="s">
        <v>28</v>
      </c>
      <c r="K11925" s="18" t="s">
        <v>28</v>
      </c>
      <c r="L11925" s="18" t="s">
        <v>28</v>
      </c>
      <c r="M11925" s="18" t="s">
        <v>28</v>
      </c>
      <c r="N11925" s="17">
        <v>40672</v>
      </c>
      <c r="O11925" s="15" t="s">
        <v>30</v>
      </c>
      <c r="P11925" s="16" t="s">
        <v>2951</v>
      </c>
      <c r="Q11925" s="15" t="s">
        <v>900</v>
      </c>
      <c r="R11925" s="13" t="str">
        <f>HYPERLINK("https://my.pitchbook.com?c=52618-15T","View Company Online")</f>
        <v>View Company Online</v>
      </c>
    </row>
    <row r="11926" spans="1:18" hidden="1" x14ac:dyDescent="0.3">
      <c r="A11926" s="9" t="s">
        <v>33509</v>
      </c>
      <c r="B11926" s="9" t="s">
        <v>18971</v>
      </c>
      <c r="C11926" s="11" t="s">
        <v>28</v>
      </c>
      <c r="D11926" s="9" t="s">
        <v>23891</v>
      </c>
      <c r="E11926" s="11" t="s">
        <v>28</v>
      </c>
      <c r="F11926" s="10" t="s">
        <v>28</v>
      </c>
      <c r="G11926" s="10" t="s">
        <v>28</v>
      </c>
      <c r="H11926" s="10" t="s">
        <v>28</v>
      </c>
      <c r="I11926" s="11" t="s">
        <v>28</v>
      </c>
      <c r="J11926" s="11" t="s">
        <v>28</v>
      </c>
      <c r="K11926" s="11" t="s">
        <v>28</v>
      </c>
      <c r="L11926" s="11" t="s">
        <v>28</v>
      </c>
      <c r="M11926" s="11" t="s">
        <v>28</v>
      </c>
      <c r="N11926" s="8">
        <v>40669</v>
      </c>
      <c r="O11926" s="9" t="s">
        <v>73</v>
      </c>
      <c r="P11926" s="12" t="s">
        <v>33510</v>
      </c>
      <c r="Q11926" s="9" t="s">
        <v>386</v>
      </c>
      <c r="R11926" s="14" t="str">
        <f>HYPERLINK("https://my.pitchbook.com?c=18427-69T","View Company Online")</f>
        <v>View Company Online</v>
      </c>
    </row>
    <row r="11927" spans="1:18" hidden="1" x14ac:dyDescent="0.3">
      <c r="A11927" s="15" t="s">
        <v>33511</v>
      </c>
      <c r="B11927" s="15" t="s">
        <v>33083</v>
      </c>
      <c r="C11927" s="18" t="s">
        <v>28</v>
      </c>
      <c r="D11927" s="15" t="s">
        <v>33084</v>
      </c>
      <c r="E11927" s="18" t="s">
        <v>28</v>
      </c>
      <c r="F11927" s="19" t="s">
        <v>28</v>
      </c>
      <c r="G11927" s="19">
        <v>17</v>
      </c>
      <c r="H11927" s="19">
        <v>42.5</v>
      </c>
      <c r="I11927" s="18" t="s">
        <v>28</v>
      </c>
      <c r="J11927" s="18" t="s">
        <v>28</v>
      </c>
      <c r="K11927" s="18" t="s">
        <v>28</v>
      </c>
      <c r="L11927" s="18" t="s">
        <v>28</v>
      </c>
      <c r="M11927" s="18" t="s">
        <v>28</v>
      </c>
      <c r="N11927" s="17">
        <v>40667</v>
      </c>
      <c r="O11927" s="15" t="s">
        <v>73</v>
      </c>
      <c r="P11927" s="16" t="s">
        <v>33512</v>
      </c>
      <c r="Q11927" s="15" t="s">
        <v>566</v>
      </c>
      <c r="R11927" s="13" t="str">
        <f>HYPERLINK("https://my.pitchbook.com?c=24513-67T","View Company Online")</f>
        <v>View Company Online</v>
      </c>
    </row>
    <row r="11928" spans="1:18" hidden="1" x14ac:dyDescent="0.3">
      <c r="A11928" s="9" t="s">
        <v>33513</v>
      </c>
      <c r="B11928" s="9" t="s">
        <v>3609</v>
      </c>
      <c r="C11928" s="11" t="s">
        <v>28</v>
      </c>
      <c r="D11928" s="9" t="s">
        <v>3610</v>
      </c>
      <c r="E11928" s="11">
        <v>63.43</v>
      </c>
      <c r="F11928" s="10" t="s">
        <v>28</v>
      </c>
      <c r="G11928" s="10">
        <v>505.89</v>
      </c>
      <c r="H11928" s="10">
        <v>1998.33</v>
      </c>
      <c r="I11928" s="11">
        <v>105.94</v>
      </c>
      <c r="J11928" s="11">
        <v>18.86</v>
      </c>
      <c r="K11928" s="11">
        <v>3035.12</v>
      </c>
      <c r="L11928" s="11">
        <v>0.66</v>
      </c>
      <c r="M11928" s="11">
        <v>41.25</v>
      </c>
      <c r="N11928" s="8">
        <v>40665</v>
      </c>
      <c r="O11928" s="9" t="s">
        <v>173</v>
      </c>
      <c r="P11928" s="12" t="s">
        <v>28</v>
      </c>
      <c r="Q11928" s="9" t="s">
        <v>109</v>
      </c>
      <c r="R11928" s="14" t="str">
        <f>HYPERLINK("https://my.pitchbook.com?c=16626-07T","View Company Online")</f>
        <v>View Company Online</v>
      </c>
    </row>
    <row r="11929" spans="1:18" hidden="1" x14ac:dyDescent="0.3">
      <c r="A11929" s="15" t="s">
        <v>33514</v>
      </c>
      <c r="B11929" s="15" t="s">
        <v>33515</v>
      </c>
      <c r="C11929" s="18" t="s">
        <v>28</v>
      </c>
      <c r="D11929" s="15" t="s">
        <v>33516</v>
      </c>
      <c r="E11929" s="18" t="s">
        <v>28</v>
      </c>
      <c r="F11929" s="19" t="s">
        <v>28</v>
      </c>
      <c r="G11929" s="19" t="s">
        <v>28</v>
      </c>
      <c r="H11929" s="19" t="s">
        <v>28</v>
      </c>
      <c r="I11929" s="18" t="s">
        <v>28</v>
      </c>
      <c r="J11929" s="18" t="s">
        <v>28</v>
      </c>
      <c r="K11929" s="18" t="s">
        <v>28</v>
      </c>
      <c r="L11929" s="18" t="s">
        <v>28</v>
      </c>
      <c r="M11929" s="18" t="s">
        <v>28</v>
      </c>
      <c r="N11929" s="17">
        <v>40664</v>
      </c>
      <c r="O11929" s="15" t="s">
        <v>30</v>
      </c>
      <c r="P11929" s="16" t="s">
        <v>15861</v>
      </c>
      <c r="Q11929" s="15" t="s">
        <v>381</v>
      </c>
      <c r="R11929" s="13" t="str">
        <f>HYPERLINK("https://my.pitchbook.com?c=108314-38T","View Company Online")</f>
        <v>View Company Online</v>
      </c>
    </row>
    <row r="11930" spans="1:18" hidden="1" x14ac:dyDescent="0.3">
      <c r="A11930" s="9" t="s">
        <v>33517</v>
      </c>
      <c r="B11930" s="9" t="s">
        <v>12124</v>
      </c>
      <c r="C11930" s="11" t="s">
        <v>28</v>
      </c>
      <c r="D11930" s="9" t="s">
        <v>15803</v>
      </c>
      <c r="E11930" s="11" t="s">
        <v>28</v>
      </c>
      <c r="F11930" s="10" t="s">
        <v>28</v>
      </c>
      <c r="G11930" s="10" t="s">
        <v>28</v>
      </c>
      <c r="H11930" s="10" t="s">
        <v>28</v>
      </c>
      <c r="I11930" s="11" t="s">
        <v>28</v>
      </c>
      <c r="J11930" s="11" t="s">
        <v>28</v>
      </c>
      <c r="K11930" s="11">
        <v>330.1</v>
      </c>
      <c r="L11930" s="11" t="s">
        <v>28</v>
      </c>
      <c r="M11930" s="11">
        <v>-75.87</v>
      </c>
      <c r="N11930" s="8">
        <v>40664</v>
      </c>
      <c r="O11930" s="9" t="s">
        <v>41</v>
      </c>
      <c r="P11930" s="12" t="s">
        <v>33518</v>
      </c>
      <c r="Q11930" s="9" t="s">
        <v>59</v>
      </c>
      <c r="R11930" s="14" t="str">
        <f>HYPERLINK("https://my.pitchbook.com?c=187477-84T","View Company Online")</f>
        <v>View Company Online</v>
      </c>
    </row>
    <row r="11931" spans="1:18" hidden="1" x14ac:dyDescent="0.3">
      <c r="A11931" s="15" t="s">
        <v>33519</v>
      </c>
      <c r="B11931" s="15" t="s">
        <v>30743</v>
      </c>
      <c r="C11931" s="18" t="s">
        <v>28</v>
      </c>
      <c r="D11931" s="15" t="s">
        <v>30744</v>
      </c>
      <c r="E11931" s="18" t="s">
        <v>28</v>
      </c>
      <c r="F11931" s="19">
        <v>700</v>
      </c>
      <c r="G11931" s="19">
        <v>700</v>
      </c>
      <c r="H11931" s="19">
        <v>700</v>
      </c>
      <c r="I11931" s="18" t="s">
        <v>28</v>
      </c>
      <c r="J11931" s="18" t="s">
        <v>28</v>
      </c>
      <c r="K11931" s="18" t="s">
        <v>28</v>
      </c>
      <c r="L11931" s="18" t="s">
        <v>28</v>
      </c>
      <c r="M11931" s="18" t="s">
        <v>28</v>
      </c>
      <c r="N11931" s="17">
        <v>40664</v>
      </c>
      <c r="O11931" s="15" t="s">
        <v>41</v>
      </c>
      <c r="P11931" s="16" t="s">
        <v>33520</v>
      </c>
      <c r="Q11931" s="15" t="s">
        <v>268</v>
      </c>
      <c r="R11931" s="13" t="str">
        <f>HYPERLINK("https://my.pitchbook.com?c=18593-56T","View Company Online")</f>
        <v>View Company Online</v>
      </c>
    </row>
    <row r="11932" spans="1:18" hidden="1" x14ac:dyDescent="0.3">
      <c r="A11932" s="9" t="s">
        <v>33521</v>
      </c>
      <c r="B11932" s="9" t="s">
        <v>33522</v>
      </c>
      <c r="C11932" s="11" t="s">
        <v>28</v>
      </c>
      <c r="D11932" s="9" t="s">
        <v>33523</v>
      </c>
      <c r="E11932" s="11" t="s">
        <v>28</v>
      </c>
      <c r="F11932" s="10" t="s">
        <v>28</v>
      </c>
      <c r="G11932" s="10" t="s">
        <v>28</v>
      </c>
      <c r="H11932" s="10" t="s">
        <v>28</v>
      </c>
      <c r="I11932" s="11" t="s">
        <v>28</v>
      </c>
      <c r="J11932" s="11" t="s">
        <v>28</v>
      </c>
      <c r="K11932" s="11" t="s">
        <v>28</v>
      </c>
      <c r="L11932" s="11" t="s">
        <v>28</v>
      </c>
      <c r="M11932" s="11" t="s">
        <v>28</v>
      </c>
      <c r="N11932" s="8">
        <v>40664</v>
      </c>
      <c r="O11932" s="9" t="s">
        <v>73</v>
      </c>
      <c r="P11932" s="12" t="s">
        <v>33524</v>
      </c>
      <c r="Q11932" s="9" t="s">
        <v>855</v>
      </c>
      <c r="R11932" s="14" t="str">
        <f>HYPERLINK("https://my.pitchbook.com?c=57523-60T","View Company Online")</f>
        <v>View Company Online</v>
      </c>
    </row>
    <row r="11933" spans="1:18" hidden="1" x14ac:dyDescent="0.3">
      <c r="A11933" s="15" t="s">
        <v>33525</v>
      </c>
      <c r="B11933" s="15" t="s">
        <v>14867</v>
      </c>
      <c r="C11933" s="18" t="s">
        <v>28</v>
      </c>
      <c r="D11933" s="15" t="s">
        <v>14868</v>
      </c>
      <c r="E11933" s="18" t="s">
        <v>28</v>
      </c>
      <c r="F11933" s="19" t="s">
        <v>28</v>
      </c>
      <c r="G11933" s="19" t="s">
        <v>28</v>
      </c>
      <c r="H11933" s="19" t="s">
        <v>28</v>
      </c>
      <c r="I11933" s="18" t="s">
        <v>28</v>
      </c>
      <c r="J11933" s="18" t="s">
        <v>28</v>
      </c>
      <c r="K11933" s="18" t="s">
        <v>28</v>
      </c>
      <c r="L11933" s="18" t="s">
        <v>28</v>
      </c>
      <c r="M11933" s="18" t="s">
        <v>28</v>
      </c>
      <c r="N11933" s="17">
        <v>40664</v>
      </c>
      <c r="O11933" s="15" t="s">
        <v>52</v>
      </c>
      <c r="P11933" s="16" t="s">
        <v>9723</v>
      </c>
      <c r="Q11933" s="15" t="s">
        <v>583</v>
      </c>
      <c r="R11933" s="13" t="str">
        <f>HYPERLINK("https://my.pitchbook.com?c=77421-16T","View Company Online")</f>
        <v>View Company Online</v>
      </c>
    </row>
    <row r="11934" spans="1:18" hidden="1" x14ac:dyDescent="0.3">
      <c r="A11934" s="9" t="s">
        <v>33526</v>
      </c>
      <c r="B11934" s="9" t="s">
        <v>29660</v>
      </c>
      <c r="C11934" s="11" t="s">
        <v>28</v>
      </c>
      <c r="D11934" s="9" t="s">
        <v>29661</v>
      </c>
      <c r="E11934" s="11" t="s">
        <v>28</v>
      </c>
      <c r="F11934" s="10" t="s">
        <v>28</v>
      </c>
      <c r="G11934" s="10" t="s">
        <v>28</v>
      </c>
      <c r="H11934" s="10" t="s">
        <v>28</v>
      </c>
      <c r="I11934" s="11" t="s">
        <v>28</v>
      </c>
      <c r="J11934" s="11" t="s">
        <v>28</v>
      </c>
      <c r="K11934" s="11" t="s">
        <v>28</v>
      </c>
      <c r="L11934" s="11" t="s">
        <v>28</v>
      </c>
      <c r="M11934" s="11" t="s">
        <v>28</v>
      </c>
      <c r="N11934" s="8">
        <v>40664</v>
      </c>
      <c r="O11934" s="9" t="s">
        <v>58</v>
      </c>
      <c r="P11934" s="12" t="s">
        <v>29662</v>
      </c>
      <c r="Q11934" s="9" t="s">
        <v>240</v>
      </c>
      <c r="R11934" s="14" t="str">
        <f>HYPERLINK("https://my.pitchbook.com?c=36116-47T","View Company Online")</f>
        <v>View Company Online</v>
      </c>
    </row>
    <row r="11935" spans="1:18" hidden="1" x14ac:dyDescent="0.3">
      <c r="A11935" s="15" t="s">
        <v>33527</v>
      </c>
      <c r="B11935" s="15" t="s">
        <v>28532</v>
      </c>
      <c r="C11935" s="18" t="s">
        <v>28</v>
      </c>
      <c r="D11935" s="15" t="s">
        <v>28533</v>
      </c>
      <c r="E11935" s="18" t="s">
        <v>28</v>
      </c>
      <c r="F11935" s="19" t="s">
        <v>28</v>
      </c>
      <c r="G11935" s="19">
        <v>100</v>
      </c>
      <c r="H11935" s="19" t="s">
        <v>28</v>
      </c>
      <c r="I11935" s="18" t="s">
        <v>28</v>
      </c>
      <c r="J11935" s="18" t="s">
        <v>28</v>
      </c>
      <c r="K11935" s="18" t="s">
        <v>28</v>
      </c>
      <c r="L11935" s="18" t="s">
        <v>28</v>
      </c>
      <c r="M11935" s="18" t="s">
        <v>28</v>
      </c>
      <c r="N11935" s="17">
        <v>40664</v>
      </c>
      <c r="O11935" s="15" t="s">
        <v>93</v>
      </c>
      <c r="P11935" s="16" t="s">
        <v>33528</v>
      </c>
      <c r="Q11935" s="15" t="s">
        <v>64</v>
      </c>
      <c r="R11935" s="13" t="str">
        <f>HYPERLINK("https://my.pitchbook.com?c=22184-83T","View Company Online")</f>
        <v>View Company Online</v>
      </c>
    </row>
    <row r="11936" spans="1:18" hidden="1" x14ac:dyDescent="0.3">
      <c r="A11936" s="9" t="s">
        <v>33529</v>
      </c>
      <c r="B11936" s="9" t="s">
        <v>33530</v>
      </c>
      <c r="C11936" s="11" t="s">
        <v>28</v>
      </c>
      <c r="D11936" s="9" t="s">
        <v>33531</v>
      </c>
      <c r="E11936" s="11" t="s">
        <v>28</v>
      </c>
      <c r="F11936" s="10">
        <v>485</v>
      </c>
      <c r="G11936" s="10">
        <v>485</v>
      </c>
      <c r="H11936" s="10">
        <v>485</v>
      </c>
      <c r="I11936" s="11" t="s">
        <v>28</v>
      </c>
      <c r="J11936" s="11" t="s">
        <v>28</v>
      </c>
      <c r="K11936" s="11" t="s">
        <v>28</v>
      </c>
      <c r="L11936" s="11" t="s">
        <v>28</v>
      </c>
      <c r="M11936" s="11" t="s">
        <v>28</v>
      </c>
      <c r="N11936" s="8">
        <v>40664</v>
      </c>
      <c r="O11936" s="9" t="s">
        <v>41</v>
      </c>
      <c r="P11936" s="12" t="s">
        <v>33532</v>
      </c>
      <c r="Q11936" s="9" t="s">
        <v>10419</v>
      </c>
      <c r="R11936" s="14" t="str">
        <f>HYPERLINK("https://my.pitchbook.com?c=97300-81T","View Company Online")</f>
        <v>View Company Online</v>
      </c>
    </row>
    <row r="11937" spans="1:18" hidden="1" x14ac:dyDescent="0.3">
      <c r="A11937" s="15" t="s">
        <v>33533</v>
      </c>
      <c r="B11937" s="15" t="s">
        <v>33534</v>
      </c>
      <c r="C11937" s="18" t="s">
        <v>28</v>
      </c>
      <c r="D11937" s="15" t="s">
        <v>33535</v>
      </c>
      <c r="E11937" s="18" t="s">
        <v>28</v>
      </c>
      <c r="F11937" s="19" t="s">
        <v>28</v>
      </c>
      <c r="G11937" s="19">
        <v>125.46</v>
      </c>
      <c r="H11937" s="19" t="s">
        <v>28</v>
      </c>
      <c r="I11937" s="18" t="s">
        <v>28</v>
      </c>
      <c r="J11937" s="18" t="s">
        <v>28</v>
      </c>
      <c r="K11937" s="18" t="s">
        <v>28</v>
      </c>
      <c r="L11937" s="18" t="s">
        <v>28</v>
      </c>
      <c r="M11937" s="18" t="s">
        <v>28</v>
      </c>
      <c r="N11937" s="17">
        <v>40664</v>
      </c>
      <c r="O11937" s="15" t="s">
        <v>93</v>
      </c>
      <c r="P11937" s="16" t="s">
        <v>1833</v>
      </c>
      <c r="Q11937" s="15" t="s">
        <v>43</v>
      </c>
      <c r="R11937" s="13" t="str">
        <f>HYPERLINK("https://my.pitchbook.com?c=280201-78T","View Company Online")</f>
        <v>View Company Online</v>
      </c>
    </row>
    <row r="11938" spans="1:18" hidden="1" x14ac:dyDescent="0.3">
      <c r="A11938" s="9" t="s">
        <v>33536</v>
      </c>
      <c r="B11938" s="9" t="s">
        <v>23790</v>
      </c>
      <c r="C11938" s="11" t="s">
        <v>28</v>
      </c>
      <c r="D11938" s="9" t="s">
        <v>23791</v>
      </c>
      <c r="E11938" s="11" t="s">
        <v>28</v>
      </c>
      <c r="F11938" s="10">
        <v>156.54</v>
      </c>
      <c r="G11938" s="10">
        <v>148.72</v>
      </c>
      <c r="H11938" s="10">
        <v>156.54</v>
      </c>
      <c r="I11938" s="11" t="s">
        <v>28</v>
      </c>
      <c r="J11938" s="11" t="s">
        <v>28</v>
      </c>
      <c r="K11938" s="11" t="s">
        <v>28</v>
      </c>
      <c r="L11938" s="11" t="s">
        <v>28</v>
      </c>
      <c r="M11938" s="11" t="s">
        <v>28</v>
      </c>
      <c r="N11938" s="8">
        <v>40662</v>
      </c>
      <c r="O11938" s="9" t="s">
        <v>30</v>
      </c>
      <c r="P11938" s="12" t="s">
        <v>7572</v>
      </c>
      <c r="Q11938" s="9" t="s">
        <v>1068</v>
      </c>
      <c r="R11938" s="14" t="str">
        <f>HYPERLINK("https://my.pitchbook.com?c=218474-74T","View Company Online")</f>
        <v>View Company Online</v>
      </c>
    </row>
    <row r="11939" spans="1:18" hidden="1" x14ac:dyDescent="0.3">
      <c r="A11939" s="15" t="s">
        <v>33537</v>
      </c>
      <c r="B11939" s="15" t="s">
        <v>33538</v>
      </c>
      <c r="C11939" s="18" t="s">
        <v>28</v>
      </c>
      <c r="D11939" s="15" t="s">
        <v>33539</v>
      </c>
      <c r="E11939" s="18" t="s">
        <v>28</v>
      </c>
      <c r="F11939" s="19">
        <v>819.27</v>
      </c>
      <c r="G11939" s="19">
        <v>680</v>
      </c>
      <c r="H11939" s="19">
        <v>819.27</v>
      </c>
      <c r="I11939" s="18" t="s">
        <v>28</v>
      </c>
      <c r="J11939" s="18" t="s">
        <v>28</v>
      </c>
      <c r="K11939" s="18" t="s">
        <v>28</v>
      </c>
      <c r="L11939" s="18" t="s">
        <v>28</v>
      </c>
      <c r="M11939" s="18" t="s">
        <v>28</v>
      </c>
      <c r="N11939" s="17">
        <v>40661</v>
      </c>
      <c r="O11939" s="15" t="s">
        <v>30</v>
      </c>
      <c r="P11939" s="16" t="s">
        <v>1002</v>
      </c>
      <c r="Q11939" s="15" t="s">
        <v>331</v>
      </c>
      <c r="R11939" s="13" t="str">
        <f>HYPERLINK("https://my.pitchbook.com?c=23546-71T","View Company Online")</f>
        <v>View Company Online</v>
      </c>
    </row>
    <row r="11940" spans="1:18" x14ac:dyDescent="0.3">
      <c r="A11940" s="9" t="s">
        <v>33540</v>
      </c>
      <c r="B11940" s="9" t="s">
        <v>24297</v>
      </c>
      <c r="C11940" s="11">
        <v>5.16</v>
      </c>
      <c r="D11940" s="9" t="s">
        <v>24298</v>
      </c>
      <c r="E11940" s="11">
        <v>386.17</v>
      </c>
      <c r="F11940" s="10">
        <v>2361.3200000000002</v>
      </c>
      <c r="G11940" s="10">
        <v>2499.94</v>
      </c>
      <c r="H11940" s="10">
        <v>2507.46</v>
      </c>
      <c r="I11940" s="11">
        <v>457.7</v>
      </c>
      <c r="J11940" s="11">
        <v>5.48</v>
      </c>
      <c r="K11940" s="11">
        <v>1988.62</v>
      </c>
      <c r="L11940" s="11">
        <v>1.26</v>
      </c>
      <c r="M11940" s="11">
        <v>268.95999999999998</v>
      </c>
      <c r="N11940" s="8">
        <v>40661</v>
      </c>
      <c r="O11940" s="9" t="s">
        <v>30</v>
      </c>
      <c r="P11940" s="12" t="s">
        <v>25017</v>
      </c>
      <c r="Q11940" s="9" t="s">
        <v>348</v>
      </c>
      <c r="R11940" s="14" t="str">
        <f>HYPERLINK("https://my.pitchbook.com?c=73179-73T","View Company Online")</f>
        <v>View Company Online</v>
      </c>
    </row>
    <row r="11941" spans="1:18" hidden="1" x14ac:dyDescent="0.3">
      <c r="A11941" s="15" t="s">
        <v>33541</v>
      </c>
      <c r="B11941" s="15" t="s">
        <v>25402</v>
      </c>
      <c r="C11941" s="18" t="s">
        <v>28</v>
      </c>
      <c r="D11941" s="15" t="s">
        <v>25403</v>
      </c>
      <c r="E11941" s="18" t="s">
        <v>28</v>
      </c>
      <c r="F11941" s="19" t="s">
        <v>28</v>
      </c>
      <c r="G11941" s="19">
        <v>0.51</v>
      </c>
      <c r="H11941" s="19">
        <v>2.58</v>
      </c>
      <c r="I11941" s="18" t="s">
        <v>28</v>
      </c>
      <c r="J11941" s="18" t="s">
        <v>28</v>
      </c>
      <c r="K11941" s="18" t="s">
        <v>28</v>
      </c>
      <c r="L11941" s="18" t="s">
        <v>28</v>
      </c>
      <c r="M11941" s="18" t="s">
        <v>28</v>
      </c>
      <c r="N11941" s="17">
        <v>40661</v>
      </c>
      <c r="O11941" s="15" t="s">
        <v>73</v>
      </c>
      <c r="P11941" s="16" t="s">
        <v>33542</v>
      </c>
      <c r="Q11941" s="15" t="s">
        <v>119</v>
      </c>
      <c r="R11941" s="13" t="str">
        <f>HYPERLINK("https://my.pitchbook.com?c=20909-08T","View Company Online")</f>
        <v>View Company Online</v>
      </c>
    </row>
    <row r="11942" spans="1:18" hidden="1" x14ac:dyDescent="0.3">
      <c r="A11942" s="9" t="s">
        <v>33543</v>
      </c>
      <c r="B11942" s="9" t="s">
        <v>33544</v>
      </c>
      <c r="C11942" s="11" t="s">
        <v>28</v>
      </c>
      <c r="D11942" s="9" t="s">
        <v>33545</v>
      </c>
      <c r="E11942" s="11" t="s">
        <v>28</v>
      </c>
      <c r="F11942" s="10" t="s">
        <v>28</v>
      </c>
      <c r="G11942" s="10" t="s">
        <v>28</v>
      </c>
      <c r="H11942" s="10" t="s">
        <v>28</v>
      </c>
      <c r="I11942" s="11" t="s">
        <v>28</v>
      </c>
      <c r="J11942" s="11" t="s">
        <v>28</v>
      </c>
      <c r="K11942" s="11" t="s">
        <v>28</v>
      </c>
      <c r="L11942" s="11" t="s">
        <v>28</v>
      </c>
      <c r="M11942" s="11" t="s">
        <v>28</v>
      </c>
      <c r="N11942" s="8">
        <v>40653</v>
      </c>
      <c r="O11942" s="9" t="s">
        <v>1285</v>
      </c>
      <c r="P11942" s="12" t="s">
        <v>28</v>
      </c>
      <c r="Q11942" s="9" t="s">
        <v>183</v>
      </c>
      <c r="R11942" s="14" t="str">
        <f>HYPERLINK("https://my.pitchbook.com?c=110927-98T","View Company Online")</f>
        <v>View Company Online</v>
      </c>
    </row>
    <row r="11943" spans="1:18" hidden="1" x14ac:dyDescent="0.3">
      <c r="A11943" s="15" t="s">
        <v>33546</v>
      </c>
      <c r="B11943" s="15" t="s">
        <v>33547</v>
      </c>
      <c r="C11943" s="18" t="s">
        <v>28</v>
      </c>
      <c r="D11943" s="15" t="s">
        <v>33548</v>
      </c>
      <c r="E11943" s="18" t="s">
        <v>28</v>
      </c>
      <c r="F11943" s="19" t="s">
        <v>28</v>
      </c>
      <c r="G11943" s="19">
        <v>0.93</v>
      </c>
      <c r="H11943" s="19" t="s">
        <v>28</v>
      </c>
      <c r="I11943" s="18" t="s">
        <v>28</v>
      </c>
      <c r="J11943" s="18" t="s">
        <v>28</v>
      </c>
      <c r="K11943" s="18" t="s">
        <v>28</v>
      </c>
      <c r="L11943" s="18" t="s">
        <v>28</v>
      </c>
      <c r="M11943" s="18" t="s">
        <v>28</v>
      </c>
      <c r="N11943" s="17">
        <v>40653</v>
      </c>
      <c r="O11943" s="15" t="s">
        <v>73</v>
      </c>
      <c r="P11943" s="16" t="s">
        <v>31694</v>
      </c>
      <c r="Q11943" s="15" t="s">
        <v>4710</v>
      </c>
      <c r="R11943" s="13" t="str">
        <f>HYPERLINK("https://my.pitchbook.com?c=86194-27T","View Company Online")</f>
        <v>View Company Online</v>
      </c>
    </row>
    <row r="11944" spans="1:18" hidden="1" x14ac:dyDescent="0.3">
      <c r="A11944" s="9" t="s">
        <v>33549</v>
      </c>
      <c r="B11944" s="9" t="s">
        <v>33550</v>
      </c>
      <c r="C11944" s="11" t="s">
        <v>28</v>
      </c>
      <c r="D11944" s="9" t="s">
        <v>33551</v>
      </c>
      <c r="E11944" s="11" t="s">
        <v>28</v>
      </c>
      <c r="F11944" s="10">
        <v>246.3</v>
      </c>
      <c r="G11944" s="10">
        <v>27.09</v>
      </c>
      <c r="H11944" s="10">
        <v>246.3</v>
      </c>
      <c r="I11944" s="11" t="s">
        <v>28</v>
      </c>
      <c r="J11944" s="11" t="s">
        <v>28</v>
      </c>
      <c r="K11944" s="11" t="s">
        <v>28</v>
      </c>
      <c r="L11944" s="11" t="s">
        <v>28</v>
      </c>
      <c r="M11944" s="11" t="s">
        <v>28</v>
      </c>
      <c r="N11944" s="8">
        <v>40651</v>
      </c>
      <c r="O11944" s="9" t="s">
        <v>30</v>
      </c>
      <c r="P11944" s="12" t="s">
        <v>33552</v>
      </c>
      <c r="Q11944" s="9" t="s">
        <v>2097</v>
      </c>
      <c r="R11944" s="14" t="str">
        <f>HYPERLINK("https://my.pitchbook.com?c=86998-69T","View Company Online")</f>
        <v>View Company Online</v>
      </c>
    </row>
    <row r="11945" spans="1:18" hidden="1" x14ac:dyDescent="0.3">
      <c r="A11945" s="15" t="s">
        <v>33553</v>
      </c>
      <c r="B11945" s="15" t="s">
        <v>33554</v>
      </c>
      <c r="C11945" s="18" t="s">
        <v>28</v>
      </c>
      <c r="D11945" s="15" t="s">
        <v>33555</v>
      </c>
      <c r="E11945" s="18" t="s">
        <v>28</v>
      </c>
      <c r="F11945" s="19">
        <v>36.200000000000003</v>
      </c>
      <c r="G11945" s="19">
        <v>36.200000000000003</v>
      </c>
      <c r="H11945" s="19">
        <v>36.200000000000003</v>
      </c>
      <c r="I11945" s="18" t="s">
        <v>28</v>
      </c>
      <c r="J11945" s="18" t="s">
        <v>28</v>
      </c>
      <c r="K11945" s="18">
        <v>139.06</v>
      </c>
      <c r="L11945" s="18">
        <v>0.26</v>
      </c>
      <c r="M11945" s="18" t="s">
        <v>28</v>
      </c>
      <c r="N11945" s="17">
        <v>40648</v>
      </c>
      <c r="O11945" s="15" t="s">
        <v>30</v>
      </c>
      <c r="P11945" s="16" t="s">
        <v>28393</v>
      </c>
      <c r="Q11945" s="15" t="s">
        <v>900</v>
      </c>
      <c r="R11945" s="13" t="str">
        <f>HYPERLINK("https://my.pitchbook.com?c=102824-74T","View Company Online")</f>
        <v>View Company Online</v>
      </c>
    </row>
    <row r="11946" spans="1:18" hidden="1" x14ac:dyDescent="0.3">
      <c r="A11946" s="9" t="s">
        <v>33556</v>
      </c>
      <c r="B11946" s="9" t="s">
        <v>5722</v>
      </c>
      <c r="C11946" s="11" t="s">
        <v>28</v>
      </c>
      <c r="D11946" s="9" t="s">
        <v>5723</v>
      </c>
      <c r="E11946" s="11">
        <v>153.74</v>
      </c>
      <c r="F11946" s="10" t="s">
        <v>28</v>
      </c>
      <c r="G11946" s="10" t="s">
        <v>28</v>
      </c>
      <c r="H11946" s="10" t="s">
        <v>28</v>
      </c>
      <c r="I11946" s="11">
        <v>156.65</v>
      </c>
      <c r="J11946" s="11" t="s">
        <v>28</v>
      </c>
      <c r="K11946" s="11">
        <v>276.41000000000003</v>
      </c>
      <c r="L11946" s="11" t="s">
        <v>28</v>
      </c>
      <c r="M11946" s="11">
        <v>42.32</v>
      </c>
      <c r="N11946" s="8">
        <v>40648</v>
      </c>
      <c r="O11946" s="9" t="s">
        <v>30</v>
      </c>
      <c r="P11946" s="12" t="s">
        <v>28</v>
      </c>
      <c r="Q11946" s="9" t="s">
        <v>566</v>
      </c>
      <c r="R11946" s="14" t="str">
        <f>HYPERLINK("https://my.pitchbook.com?c=18346-42T","View Company Online")</f>
        <v>View Company Online</v>
      </c>
    </row>
    <row r="11947" spans="1:18" hidden="1" x14ac:dyDescent="0.3">
      <c r="A11947" s="15" t="s">
        <v>33557</v>
      </c>
      <c r="B11947" s="15" t="s">
        <v>17492</v>
      </c>
      <c r="C11947" s="18" t="s">
        <v>28</v>
      </c>
      <c r="D11947" s="15" t="s">
        <v>33558</v>
      </c>
      <c r="E11947" s="18">
        <v>28.38</v>
      </c>
      <c r="F11947" s="19" t="s">
        <v>28</v>
      </c>
      <c r="G11947" s="19">
        <v>286.2</v>
      </c>
      <c r="H11947" s="19">
        <v>675.61</v>
      </c>
      <c r="I11947" s="18">
        <v>28.38</v>
      </c>
      <c r="J11947" s="18">
        <v>23.81</v>
      </c>
      <c r="K11947" s="18">
        <v>281.33999999999997</v>
      </c>
      <c r="L11947" s="18">
        <v>2.4</v>
      </c>
      <c r="M11947" s="18">
        <v>16.47</v>
      </c>
      <c r="N11947" s="17">
        <v>40646</v>
      </c>
      <c r="O11947" s="15" t="s">
        <v>173</v>
      </c>
      <c r="P11947" s="16" t="s">
        <v>28</v>
      </c>
      <c r="Q11947" s="15" t="s">
        <v>449</v>
      </c>
      <c r="R11947" s="13" t="str">
        <f>HYPERLINK("https://my.pitchbook.com?c=215003-71T","View Company Online")</f>
        <v>View Company Online</v>
      </c>
    </row>
    <row r="11948" spans="1:18" hidden="1" x14ac:dyDescent="0.3">
      <c r="A11948" s="9" t="s">
        <v>33559</v>
      </c>
      <c r="B11948" s="9" t="s">
        <v>33560</v>
      </c>
      <c r="C11948" s="11" t="s">
        <v>28</v>
      </c>
      <c r="D11948" s="9" t="s">
        <v>33561</v>
      </c>
      <c r="E11948" s="11" t="s">
        <v>28</v>
      </c>
      <c r="F11948" s="10">
        <v>6.33</v>
      </c>
      <c r="G11948" s="10">
        <v>6.33</v>
      </c>
      <c r="H11948" s="10">
        <v>6.33</v>
      </c>
      <c r="I11948" s="11" t="s">
        <v>28</v>
      </c>
      <c r="J11948" s="11" t="s">
        <v>28</v>
      </c>
      <c r="K11948" s="11" t="s">
        <v>28</v>
      </c>
      <c r="L11948" s="11" t="s">
        <v>28</v>
      </c>
      <c r="M11948" s="11" t="s">
        <v>28</v>
      </c>
      <c r="N11948" s="8">
        <v>40646</v>
      </c>
      <c r="O11948" s="9" t="s">
        <v>30</v>
      </c>
      <c r="P11948" s="12" t="s">
        <v>33562</v>
      </c>
      <c r="Q11948" s="9" t="s">
        <v>2043</v>
      </c>
      <c r="R11948" s="14" t="str">
        <f>HYPERLINK("https://my.pitchbook.com?c=70831-45T","View Company Online")</f>
        <v>View Company Online</v>
      </c>
    </row>
    <row r="11949" spans="1:18" hidden="1" x14ac:dyDescent="0.3">
      <c r="A11949" s="15" t="s">
        <v>33563</v>
      </c>
      <c r="B11949" s="15" t="s">
        <v>33564</v>
      </c>
      <c r="C11949" s="18" t="s">
        <v>28</v>
      </c>
      <c r="D11949" s="15" t="s">
        <v>33565</v>
      </c>
      <c r="E11949" s="18" t="s">
        <v>28</v>
      </c>
      <c r="F11949" s="19" t="s">
        <v>28</v>
      </c>
      <c r="G11949" s="19" t="s">
        <v>28</v>
      </c>
      <c r="H11949" s="19" t="s">
        <v>28</v>
      </c>
      <c r="I11949" s="18" t="s">
        <v>28</v>
      </c>
      <c r="J11949" s="18" t="s">
        <v>28</v>
      </c>
      <c r="K11949" s="18" t="s">
        <v>28</v>
      </c>
      <c r="L11949" s="18" t="s">
        <v>28</v>
      </c>
      <c r="M11949" s="18" t="s">
        <v>28</v>
      </c>
      <c r="N11949" s="17">
        <v>40646</v>
      </c>
      <c r="O11949" s="15" t="s">
        <v>30</v>
      </c>
      <c r="P11949" s="16" t="s">
        <v>33566</v>
      </c>
      <c r="Q11949" s="15" t="s">
        <v>5760</v>
      </c>
      <c r="R11949" s="13" t="str">
        <f>HYPERLINK("https://my.pitchbook.com?c=68832-46T","View Company Online")</f>
        <v>View Company Online</v>
      </c>
    </row>
    <row r="11950" spans="1:18" hidden="1" x14ac:dyDescent="0.3">
      <c r="A11950" s="9" t="s">
        <v>33567</v>
      </c>
      <c r="B11950" s="9" t="s">
        <v>33568</v>
      </c>
      <c r="C11950" s="11" t="s">
        <v>28</v>
      </c>
      <c r="D11950" s="9" t="s">
        <v>33569</v>
      </c>
      <c r="E11950" s="11" t="s">
        <v>28</v>
      </c>
      <c r="F11950" s="10" t="s">
        <v>28</v>
      </c>
      <c r="G11950" s="10" t="s">
        <v>28</v>
      </c>
      <c r="H11950" s="10" t="s">
        <v>28</v>
      </c>
      <c r="I11950" s="11" t="s">
        <v>28</v>
      </c>
      <c r="J11950" s="11" t="s">
        <v>28</v>
      </c>
      <c r="K11950" s="11">
        <v>12.99</v>
      </c>
      <c r="L11950" s="11" t="s">
        <v>28</v>
      </c>
      <c r="M11950" s="11" t="s">
        <v>28</v>
      </c>
      <c r="N11950" s="8">
        <v>40645</v>
      </c>
      <c r="O11950" s="9" t="s">
        <v>30</v>
      </c>
      <c r="P11950" s="12" t="s">
        <v>33570</v>
      </c>
      <c r="Q11950" s="9" t="s">
        <v>12903</v>
      </c>
      <c r="R11950" s="14" t="str">
        <f>HYPERLINK("https://my.pitchbook.com?c=90452-17T","View Company Online")</f>
        <v>View Company Online</v>
      </c>
    </row>
    <row r="11951" spans="1:18" hidden="1" x14ac:dyDescent="0.3">
      <c r="A11951" s="15" t="s">
        <v>33571</v>
      </c>
      <c r="B11951" s="15" t="s">
        <v>33572</v>
      </c>
      <c r="C11951" s="18" t="s">
        <v>28</v>
      </c>
      <c r="D11951" s="15" t="s">
        <v>33573</v>
      </c>
      <c r="E11951" s="18" t="s">
        <v>28</v>
      </c>
      <c r="F11951" s="19" t="s">
        <v>28</v>
      </c>
      <c r="G11951" s="19" t="s">
        <v>28</v>
      </c>
      <c r="H11951" s="19" t="s">
        <v>28</v>
      </c>
      <c r="I11951" s="18" t="s">
        <v>28</v>
      </c>
      <c r="J11951" s="18" t="s">
        <v>28</v>
      </c>
      <c r="K11951" s="18" t="s">
        <v>28</v>
      </c>
      <c r="L11951" s="18" t="s">
        <v>28</v>
      </c>
      <c r="M11951" s="18" t="s">
        <v>28</v>
      </c>
      <c r="N11951" s="17">
        <v>40644</v>
      </c>
      <c r="O11951" s="15" t="s">
        <v>30</v>
      </c>
      <c r="P11951" s="16" t="s">
        <v>19168</v>
      </c>
      <c r="Q11951" s="15" t="s">
        <v>105</v>
      </c>
      <c r="R11951" s="13" t="str">
        <f>HYPERLINK("https://my.pitchbook.com?c=216398-08T","View Company Online")</f>
        <v>View Company Online</v>
      </c>
    </row>
    <row r="11952" spans="1:18" hidden="1" x14ac:dyDescent="0.3">
      <c r="A11952" s="9" t="s">
        <v>33574</v>
      </c>
      <c r="B11952" s="9" t="s">
        <v>12725</v>
      </c>
      <c r="C11952" s="11" t="s">
        <v>28</v>
      </c>
      <c r="D11952" s="9" t="s">
        <v>12726</v>
      </c>
      <c r="E11952" s="11" t="s">
        <v>28</v>
      </c>
      <c r="F11952" s="10" t="s">
        <v>28</v>
      </c>
      <c r="G11952" s="10" t="s">
        <v>28</v>
      </c>
      <c r="H11952" s="10" t="s">
        <v>28</v>
      </c>
      <c r="I11952" s="11" t="s">
        <v>28</v>
      </c>
      <c r="J11952" s="11" t="s">
        <v>28</v>
      </c>
      <c r="K11952" s="11" t="s">
        <v>28</v>
      </c>
      <c r="L11952" s="11" t="s">
        <v>28</v>
      </c>
      <c r="M11952" s="11" t="s">
        <v>28</v>
      </c>
      <c r="N11952" s="8">
        <v>40644</v>
      </c>
      <c r="O11952" s="9" t="s">
        <v>79</v>
      </c>
      <c r="P11952" s="12" t="s">
        <v>33575</v>
      </c>
      <c r="Q11952" s="9" t="s">
        <v>740</v>
      </c>
      <c r="R11952" s="14" t="str">
        <f>HYPERLINK("https://my.pitchbook.com?c=34625-17T","View Company Online")</f>
        <v>View Company Online</v>
      </c>
    </row>
    <row r="11953" spans="1:18" hidden="1" x14ac:dyDescent="0.3">
      <c r="A11953" s="15" t="s">
        <v>33576</v>
      </c>
      <c r="B11953" s="15" t="s">
        <v>2679</v>
      </c>
      <c r="C11953" s="18" t="s">
        <v>28</v>
      </c>
      <c r="D11953" s="15" t="s">
        <v>17437</v>
      </c>
      <c r="E11953" s="18" t="s">
        <v>28</v>
      </c>
      <c r="F11953" s="19" t="s">
        <v>28</v>
      </c>
      <c r="G11953" s="19">
        <v>0.2</v>
      </c>
      <c r="H11953" s="19" t="s">
        <v>28</v>
      </c>
      <c r="I11953" s="18" t="s">
        <v>28</v>
      </c>
      <c r="J11953" s="18" t="s">
        <v>28</v>
      </c>
      <c r="K11953" s="18" t="s">
        <v>28</v>
      </c>
      <c r="L11953" s="18" t="s">
        <v>28</v>
      </c>
      <c r="M11953" s="18" t="s">
        <v>28</v>
      </c>
      <c r="N11953" s="17">
        <v>40643</v>
      </c>
      <c r="O11953" s="15" t="s">
        <v>379</v>
      </c>
      <c r="P11953" s="16" t="s">
        <v>28</v>
      </c>
      <c r="Q11953" s="15" t="s">
        <v>37</v>
      </c>
      <c r="R11953" s="13" t="str">
        <f>HYPERLINK("https://my.pitchbook.com?c=40330-63T","View Company Online")</f>
        <v>View Company Online</v>
      </c>
    </row>
    <row r="11954" spans="1:18" hidden="1" x14ac:dyDescent="0.3">
      <c r="A11954" s="9" t="s">
        <v>33577</v>
      </c>
      <c r="B11954" s="9" t="s">
        <v>33578</v>
      </c>
      <c r="C11954" s="11" t="s">
        <v>28</v>
      </c>
      <c r="D11954" s="9" t="s">
        <v>33579</v>
      </c>
      <c r="E11954" s="11" t="s">
        <v>28</v>
      </c>
      <c r="F11954" s="10" t="s">
        <v>28</v>
      </c>
      <c r="G11954" s="10">
        <v>40</v>
      </c>
      <c r="H11954" s="10">
        <v>40</v>
      </c>
      <c r="I11954" s="11" t="s">
        <v>28</v>
      </c>
      <c r="J11954" s="11" t="s">
        <v>28</v>
      </c>
      <c r="K11954" s="11" t="s">
        <v>28</v>
      </c>
      <c r="L11954" s="11" t="s">
        <v>28</v>
      </c>
      <c r="M11954" s="11" t="s">
        <v>28</v>
      </c>
      <c r="N11954" s="8">
        <v>40640</v>
      </c>
      <c r="O11954" s="9" t="s">
        <v>30</v>
      </c>
      <c r="P11954" s="12" t="s">
        <v>33580</v>
      </c>
      <c r="Q11954" s="9" t="s">
        <v>1341</v>
      </c>
      <c r="R11954" s="14" t="str">
        <f>HYPERLINK("https://my.pitchbook.com?c=77225-14T","View Company Online")</f>
        <v>View Company Online</v>
      </c>
    </row>
    <row r="11955" spans="1:18" hidden="1" x14ac:dyDescent="0.3">
      <c r="A11955" s="15" t="s">
        <v>33581</v>
      </c>
      <c r="B11955" s="15" t="s">
        <v>1032</v>
      </c>
      <c r="C11955" s="18" t="s">
        <v>28</v>
      </c>
      <c r="D11955" s="15" t="s">
        <v>1033</v>
      </c>
      <c r="E11955" s="18" t="s">
        <v>28</v>
      </c>
      <c r="F11955" s="19" t="s">
        <v>28</v>
      </c>
      <c r="G11955" s="19">
        <v>18</v>
      </c>
      <c r="H11955" s="19" t="s">
        <v>28</v>
      </c>
      <c r="I11955" s="18" t="s">
        <v>28</v>
      </c>
      <c r="J11955" s="18" t="s">
        <v>28</v>
      </c>
      <c r="K11955" s="18" t="s">
        <v>28</v>
      </c>
      <c r="L11955" s="18" t="s">
        <v>28</v>
      </c>
      <c r="M11955" s="18" t="s">
        <v>28</v>
      </c>
      <c r="N11955" s="17">
        <v>40638</v>
      </c>
      <c r="O11955" s="15" t="s">
        <v>73</v>
      </c>
      <c r="P11955" s="16" t="s">
        <v>33582</v>
      </c>
      <c r="Q11955" s="15" t="s">
        <v>1035</v>
      </c>
      <c r="R11955" s="13" t="str">
        <f>HYPERLINK("https://my.pitchbook.com?c=20646-28T","View Company Online")</f>
        <v>View Company Online</v>
      </c>
    </row>
    <row r="11956" spans="1:18" hidden="1" x14ac:dyDescent="0.3">
      <c r="A11956" s="9" t="s">
        <v>33583</v>
      </c>
      <c r="B11956" s="9" t="s">
        <v>33584</v>
      </c>
      <c r="C11956" s="11" t="s">
        <v>28</v>
      </c>
      <c r="D11956" s="9" t="s">
        <v>33585</v>
      </c>
      <c r="E11956" s="11" t="s">
        <v>28</v>
      </c>
      <c r="F11956" s="10" t="s">
        <v>28</v>
      </c>
      <c r="G11956" s="10" t="s">
        <v>28</v>
      </c>
      <c r="H11956" s="10" t="s">
        <v>28</v>
      </c>
      <c r="I11956" s="11" t="s">
        <v>28</v>
      </c>
      <c r="J11956" s="11" t="s">
        <v>28</v>
      </c>
      <c r="K11956" s="11" t="s">
        <v>28</v>
      </c>
      <c r="L11956" s="11" t="s">
        <v>28</v>
      </c>
      <c r="M11956" s="11" t="s">
        <v>28</v>
      </c>
      <c r="N11956" s="8">
        <v>40637</v>
      </c>
      <c r="O11956" s="9" t="s">
        <v>30</v>
      </c>
      <c r="P11956" s="12" t="s">
        <v>28</v>
      </c>
      <c r="Q11956" s="9" t="s">
        <v>4670</v>
      </c>
      <c r="R11956" s="14" t="str">
        <f>HYPERLINK("https://my.pitchbook.com?c=188208-73T","View Company Online")</f>
        <v>View Company Online</v>
      </c>
    </row>
    <row r="11957" spans="1:18" hidden="1" x14ac:dyDescent="0.3">
      <c r="A11957" s="15" t="s">
        <v>33586</v>
      </c>
      <c r="B11957" s="15" t="s">
        <v>33587</v>
      </c>
      <c r="C11957" s="18" t="s">
        <v>28</v>
      </c>
      <c r="D11957" s="15" t="s">
        <v>33588</v>
      </c>
      <c r="E11957" s="18" t="s">
        <v>28</v>
      </c>
      <c r="F11957" s="19">
        <v>15.06</v>
      </c>
      <c r="G11957" s="19">
        <v>15.06</v>
      </c>
      <c r="H11957" s="19">
        <v>15.06</v>
      </c>
      <c r="I11957" s="18" t="s">
        <v>28</v>
      </c>
      <c r="J11957" s="18" t="s">
        <v>28</v>
      </c>
      <c r="K11957" s="18">
        <v>31.07</v>
      </c>
      <c r="L11957" s="18">
        <v>0.48</v>
      </c>
      <c r="M11957" s="18" t="s">
        <v>28</v>
      </c>
      <c r="N11957" s="17">
        <v>40634</v>
      </c>
      <c r="O11957" s="15" t="s">
        <v>30</v>
      </c>
      <c r="P11957" s="16" t="s">
        <v>33589</v>
      </c>
      <c r="Q11957" s="15" t="s">
        <v>331</v>
      </c>
      <c r="R11957" s="13" t="str">
        <f>HYPERLINK("https://my.pitchbook.com?c=90263-35T","View Company Online")</f>
        <v>View Company Online</v>
      </c>
    </row>
    <row r="11958" spans="1:18" hidden="1" x14ac:dyDescent="0.3">
      <c r="A11958" s="9" t="s">
        <v>33590</v>
      </c>
      <c r="B11958" s="9" t="s">
        <v>15150</v>
      </c>
      <c r="C11958" s="11" t="s">
        <v>28</v>
      </c>
      <c r="D11958" s="9" t="s">
        <v>15151</v>
      </c>
      <c r="E11958" s="11" t="s">
        <v>28</v>
      </c>
      <c r="F11958" s="10">
        <v>28.7</v>
      </c>
      <c r="G11958" s="10">
        <v>28.7</v>
      </c>
      <c r="H11958" s="10">
        <v>28.7</v>
      </c>
      <c r="I11958" s="11" t="s">
        <v>28</v>
      </c>
      <c r="J11958" s="11" t="s">
        <v>28</v>
      </c>
      <c r="K11958" s="11" t="s">
        <v>28</v>
      </c>
      <c r="L11958" s="11" t="s">
        <v>28</v>
      </c>
      <c r="M11958" s="11" t="s">
        <v>28</v>
      </c>
      <c r="N11958" s="8">
        <v>40634</v>
      </c>
      <c r="O11958" s="9" t="s">
        <v>30</v>
      </c>
      <c r="P11958" s="12" t="s">
        <v>33591</v>
      </c>
      <c r="Q11958" s="9" t="s">
        <v>10313</v>
      </c>
      <c r="R11958" s="14" t="str">
        <f>HYPERLINK("https://my.pitchbook.com?c=52482-07T","View Company Online")</f>
        <v>View Company Online</v>
      </c>
    </row>
    <row r="11959" spans="1:18" hidden="1" x14ac:dyDescent="0.3">
      <c r="A11959" s="15" t="s">
        <v>33592</v>
      </c>
      <c r="B11959" s="15" t="s">
        <v>33593</v>
      </c>
      <c r="C11959" s="18" t="s">
        <v>28</v>
      </c>
      <c r="D11959" s="15" t="s">
        <v>33594</v>
      </c>
      <c r="E11959" s="18" t="s">
        <v>28</v>
      </c>
      <c r="F11959" s="19" t="s">
        <v>28</v>
      </c>
      <c r="G11959" s="19" t="s">
        <v>28</v>
      </c>
      <c r="H11959" s="19" t="s">
        <v>28</v>
      </c>
      <c r="I11959" s="18" t="s">
        <v>28</v>
      </c>
      <c r="J11959" s="18" t="s">
        <v>28</v>
      </c>
      <c r="K11959" s="18" t="s">
        <v>28</v>
      </c>
      <c r="L11959" s="18" t="s">
        <v>28</v>
      </c>
      <c r="M11959" s="18" t="s">
        <v>28</v>
      </c>
      <c r="N11959" s="17">
        <v>40634</v>
      </c>
      <c r="O11959" s="15" t="s">
        <v>30</v>
      </c>
      <c r="P11959" s="16" t="s">
        <v>28074</v>
      </c>
      <c r="Q11959" s="15" t="s">
        <v>5347</v>
      </c>
      <c r="R11959" s="13" t="str">
        <f>HYPERLINK("https://my.pitchbook.com?c=91754-56T","View Company Online")</f>
        <v>View Company Online</v>
      </c>
    </row>
    <row r="11960" spans="1:18" hidden="1" x14ac:dyDescent="0.3">
      <c r="A11960" s="9" t="s">
        <v>33595</v>
      </c>
      <c r="B11960" s="9" t="s">
        <v>33596</v>
      </c>
      <c r="C11960" s="11" t="s">
        <v>28</v>
      </c>
      <c r="D11960" s="9" t="s">
        <v>33597</v>
      </c>
      <c r="E11960" s="11" t="s">
        <v>28</v>
      </c>
      <c r="F11960" s="10">
        <v>616.87</v>
      </c>
      <c r="G11960" s="10">
        <v>493.5</v>
      </c>
      <c r="H11960" s="10">
        <v>616.87</v>
      </c>
      <c r="I11960" s="11" t="s">
        <v>28</v>
      </c>
      <c r="J11960" s="11" t="s">
        <v>28</v>
      </c>
      <c r="K11960" s="11">
        <v>325</v>
      </c>
      <c r="L11960" s="11">
        <v>1.9</v>
      </c>
      <c r="M11960" s="11" t="s">
        <v>28</v>
      </c>
      <c r="N11960" s="8">
        <v>40634</v>
      </c>
      <c r="O11960" s="9" t="s">
        <v>30</v>
      </c>
      <c r="P11960" s="12" t="s">
        <v>33598</v>
      </c>
      <c r="Q11960" s="9" t="s">
        <v>136</v>
      </c>
      <c r="R11960" s="14" t="str">
        <f>HYPERLINK("https://my.pitchbook.com?c=90379-09T","View Company Online")</f>
        <v>View Company Online</v>
      </c>
    </row>
    <row r="11961" spans="1:18" hidden="1" x14ac:dyDescent="0.3">
      <c r="A11961" s="15" t="s">
        <v>33599</v>
      </c>
      <c r="B11961" s="15" t="s">
        <v>22143</v>
      </c>
      <c r="C11961" s="18" t="s">
        <v>28</v>
      </c>
      <c r="D11961" s="15" t="s">
        <v>22144</v>
      </c>
      <c r="E11961" s="18" t="s">
        <v>28</v>
      </c>
      <c r="F11961" s="19" t="s">
        <v>28</v>
      </c>
      <c r="G11961" s="19" t="s">
        <v>28</v>
      </c>
      <c r="H11961" s="19" t="s">
        <v>28</v>
      </c>
      <c r="I11961" s="18" t="s">
        <v>28</v>
      </c>
      <c r="J11961" s="18" t="s">
        <v>28</v>
      </c>
      <c r="K11961" s="18" t="s">
        <v>28</v>
      </c>
      <c r="L11961" s="18" t="s">
        <v>28</v>
      </c>
      <c r="M11961" s="18" t="s">
        <v>28</v>
      </c>
      <c r="N11961" s="17">
        <v>40634</v>
      </c>
      <c r="O11961" s="15" t="s">
        <v>93</v>
      </c>
      <c r="P11961" s="16" t="s">
        <v>1612</v>
      </c>
      <c r="Q11961" s="15" t="s">
        <v>114</v>
      </c>
      <c r="R11961" s="13" t="str">
        <f>HYPERLINK("https://my.pitchbook.com?c=92022-76T","View Company Online")</f>
        <v>View Company Online</v>
      </c>
    </row>
    <row r="11962" spans="1:18" hidden="1" x14ac:dyDescent="0.3">
      <c r="A11962" s="9" t="s">
        <v>33600</v>
      </c>
      <c r="B11962" s="9" t="s">
        <v>30312</v>
      </c>
      <c r="C11962" s="11" t="s">
        <v>28</v>
      </c>
      <c r="D11962" s="9" t="s">
        <v>30313</v>
      </c>
      <c r="E11962" s="11" t="s">
        <v>28</v>
      </c>
      <c r="F11962" s="10" t="s">
        <v>28</v>
      </c>
      <c r="G11962" s="10">
        <v>0.3</v>
      </c>
      <c r="H11962" s="10" t="s">
        <v>28</v>
      </c>
      <c r="I11962" s="11" t="s">
        <v>28</v>
      </c>
      <c r="J11962" s="11" t="s">
        <v>28</v>
      </c>
      <c r="K11962" s="11" t="s">
        <v>28</v>
      </c>
      <c r="L11962" s="11" t="s">
        <v>28</v>
      </c>
      <c r="M11962" s="11" t="s">
        <v>28</v>
      </c>
      <c r="N11962" s="8">
        <v>40634</v>
      </c>
      <c r="O11962" s="9" t="s">
        <v>379</v>
      </c>
      <c r="P11962" s="12" t="s">
        <v>33601</v>
      </c>
      <c r="Q11962" s="9" t="s">
        <v>386</v>
      </c>
      <c r="R11962" s="14" t="str">
        <f>HYPERLINK("https://my.pitchbook.com?c=33956-20T","View Company Online")</f>
        <v>View Company Online</v>
      </c>
    </row>
    <row r="11963" spans="1:18" hidden="1" x14ac:dyDescent="0.3">
      <c r="A11963" s="15" t="s">
        <v>33602</v>
      </c>
      <c r="B11963" s="15" t="s">
        <v>33603</v>
      </c>
      <c r="C11963" s="18" t="s">
        <v>28</v>
      </c>
      <c r="D11963" s="15" t="s">
        <v>33604</v>
      </c>
      <c r="E11963" s="18" t="s">
        <v>28</v>
      </c>
      <c r="F11963" s="19">
        <v>48.12</v>
      </c>
      <c r="G11963" s="19">
        <v>48.12</v>
      </c>
      <c r="H11963" s="19">
        <v>48.12</v>
      </c>
      <c r="I11963" s="18" t="s">
        <v>28</v>
      </c>
      <c r="J11963" s="18" t="s">
        <v>28</v>
      </c>
      <c r="K11963" s="18" t="s">
        <v>28</v>
      </c>
      <c r="L11963" s="18" t="s">
        <v>28</v>
      </c>
      <c r="M11963" s="18" t="s">
        <v>28</v>
      </c>
      <c r="N11963" s="17">
        <v>40630</v>
      </c>
      <c r="O11963" s="15" t="s">
        <v>30</v>
      </c>
      <c r="P11963" s="16" t="s">
        <v>33605</v>
      </c>
      <c r="Q11963" s="15" t="s">
        <v>2916</v>
      </c>
      <c r="R11963" s="13" t="str">
        <f>HYPERLINK("https://my.pitchbook.com?c=195190-57T","View Company Online")</f>
        <v>View Company Online</v>
      </c>
    </row>
    <row r="11964" spans="1:18" hidden="1" x14ac:dyDescent="0.3">
      <c r="A11964" s="9" t="s">
        <v>33606</v>
      </c>
      <c r="B11964" s="9" t="s">
        <v>33607</v>
      </c>
      <c r="C11964" s="11" t="s">
        <v>28</v>
      </c>
      <c r="D11964" s="9" t="s">
        <v>33608</v>
      </c>
      <c r="E11964" s="11" t="s">
        <v>28</v>
      </c>
      <c r="F11964" s="10" t="s">
        <v>28</v>
      </c>
      <c r="G11964" s="10" t="s">
        <v>28</v>
      </c>
      <c r="H11964" s="10" t="s">
        <v>28</v>
      </c>
      <c r="I11964" s="11" t="s">
        <v>28</v>
      </c>
      <c r="J11964" s="11" t="s">
        <v>28</v>
      </c>
      <c r="K11964" s="11" t="s">
        <v>28</v>
      </c>
      <c r="L11964" s="11" t="s">
        <v>28</v>
      </c>
      <c r="M11964" s="11" t="s">
        <v>28</v>
      </c>
      <c r="N11964" s="8">
        <v>40627</v>
      </c>
      <c r="O11964" s="9" t="s">
        <v>30</v>
      </c>
      <c r="P11964" s="12" t="s">
        <v>618</v>
      </c>
      <c r="Q11964" s="9" t="s">
        <v>263</v>
      </c>
      <c r="R11964" s="14" t="str">
        <f>HYPERLINK("https://my.pitchbook.com?c=294621-94T","View Company Online")</f>
        <v>View Company Online</v>
      </c>
    </row>
    <row r="11965" spans="1:18" hidden="1" x14ac:dyDescent="0.3">
      <c r="A11965" s="15" t="s">
        <v>33609</v>
      </c>
      <c r="B11965" s="15" t="s">
        <v>3467</v>
      </c>
      <c r="C11965" s="18" t="s">
        <v>28</v>
      </c>
      <c r="D11965" s="15" t="s">
        <v>3468</v>
      </c>
      <c r="E11965" s="18" t="s">
        <v>28</v>
      </c>
      <c r="F11965" s="19" t="s">
        <v>28</v>
      </c>
      <c r="G11965" s="19">
        <v>120.71</v>
      </c>
      <c r="H11965" s="19">
        <v>229.14</v>
      </c>
      <c r="I11965" s="18" t="s">
        <v>28</v>
      </c>
      <c r="J11965" s="18" t="s">
        <v>28</v>
      </c>
      <c r="K11965" s="18">
        <v>89.2</v>
      </c>
      <c r="L11965" s="18">
        <v>2.57</v>
      </c>
      <c r="M11965" s="18">
        <v>16.39</v>
      </c>
      <c r="N11965" s="17">
        <v>40626</v>
      </c>
      <c r="O11965" s="15" t="s">
        <v>41</v>
      </c>
      <c r="P11965" s="16" t="s">
        <v>33610</v>
      </c>
      <c r="Q11965" s="15" t="s">
        <v>59</v>
      </c>
      <c r="R11965" s="13" t="str">
        <f>HYPERLINK("https://my.pitchbook.com?c=18251-47T","View Company Online")</f>
        <v>View Company Online</v>
      </c>
    </row>
    <row r="11966" spans="1:18" hidden="1" x14ac:dyDescent="0.3">
      <c r="A11966" s="9" t="s">
        <v>33611</v>
      </c>
      <c r="B11966" s="9" t="s">
        <v>33612</v>
      </c>
      <c r="C11966" s="11" t="s">
        <v>28</v>
      </c>
      <c r="D11966" s="9" t="s">
        <v>33613</v>
      </c>
      <c r="E11966" s="11" t="s">
        <v>28</v>
      </c>
      <c r="F11966" s="10" t="s">
        <v>28</v>
      </c>
      <c r="G11966" s="10" t="s">
        <v>28</v>
      </c>
      <c r="H11966" s="10" t="s">
        <v>28</v>
      </c>
      <c r="I11966" s="11" t="s">
        <v>28</v>
      </c>
      <c r="J11966" s="11" t="s">
        <v>28</v>
      </c>
      <c r="K11966" s="11" t="s">
        <v>28</v>
      </c>
      <c r="L11966" s="11" t="s">
        <v>28</v>
      </c>
      <c r="M11966" s="11" t="s">
        <v>28</v>
      </c>
      <c r="N11966" s="8">
        <v>40626</v>
      </c>
      <c r="O11966" s="9" t="s">
        <v>173</v>
      </c>
      <c r="P11966" s="12" t="s">
        <v>28</v>
      </c>
      <c r="Q11966" s="9" t="s">
        <v>174</v>
      </c>
      <c r="R11966" s="14" t="str">
        <f>HYPERLINK("https://my.pitchbook.com?c=223866-19T","View Company Online")</f>
        <v>View Company Online</v>
      </c>
    </row>
    <row r="11967" spans="1:18" hidden="1" x14ac:dyDescent="0.3">
      <c r="A11967" s="15" t="s">
        <v>33614</v>
      </c>
      <c r="B11967" s="15" t="s">
        <v>29170</v>
      </c>
      <c r="C11967" s="18" t="s">
        <v>28</v>
      </c>
      <c r="D11967" s="15" t="s">
        <v>29171</v>
      </c>
      <c r="E11967" s="18" t="s">
        <v>28</v>
      </c>
      <c r="F11967" s="19">
        <v>180.16</v>
      </c>
      <c r="G11967" s="19">
        <v>100.89</v>
      </c>
      <c r="H11967" s="19">
        <v>180.16</v>
      </c>
      <c r="I11967" s="18" t="s">
        <v>28</v>
      </c>
      <c r="J11967" s="18" t="s">
        <v>28</v>
      </c>
      <c r="K11967" s="18">
        <v>112.97</v>
      </c>
      <c r="L11967" s="18">
        <v>1.59</v>
      </c>
      <c r="M11967" s="18" t="s">
        <v>28</v>
      </c>
      <c r="N11967" s="17">
        <v>40626</v>
      </c>
      <c r="O11967" s="15" t="s">
        <v>41</v>
      </c>
      <c r="P11967" s="16" t="s">
        <v>27764</v>
      </c>
      <c r="Q11967" s="15" t="s">
        <v>5110</v>
      </c>
      <c r="R11967" s="13" t="str">
        <f>HYPERLINK("https://my.pitchbook.com?c=80466-13T","View Company Online")</f>
        <v>View Company Online</v>
      </c>
    </row>
    <row r="11968" spans="1:18" hidden="1" x14ac:dyDescent="0.3">
      <c r="A11968" s="9" t="s">
        <v>33615</v>
      </c>
      <c r="B11968" s="9" t="s">
        <v>33616</v>
      </c>
      <c r="C11968" s="11" t="s">
        <v>28</v>
      </c>
      <c r="D11968" s="9" t="s">
        <v>33617</v>
      </c>
      <c r="E11968" s="11" t="s">
        <v>28</v>
      </c>
      <c r="F11968" s="10">
        <v>113.44</v>
      </c>
      <c r="G11968" s="10">
        <v>113.44</v>
      </c>
      <c r="H11968" s="10">
        <v>113.44</v>
      </c>
      <c r="I11968" s="11" t="s">
        <v>28</v>
      </c>
      <c r="J11968" s="11" t="s">
        <v>28</v>
      </c>
      <c r="K11968" s="11">
        <v>59.88</v>
      </c>
      <c r="L11968" s="11">
        <v>1.89</v>
      </c>
      <c r="M11968" s="11" t="s">
        <v>28</v>
      </c>
      <c r="N11968" s="8">
        <v>40624</v>
      </c>
      <c r="O11968" s="9" t="s">
        <v>30</v>
      </c>
      <c r="P11968" s="12" t="s">
        <v>33618</v>
      </c>
      <c r="Q11968" s="9" t="s">
        <v>1051</v>
      </c>
      <c r="R11968" s="14" t="str">
        <f>HYPERLINK("https://my.pitchbook.com?c=65456-11T","View Company Online")</f>
        <v>View Company Online</v>
      </c>
    </row>
    <row r="11969" spans="1:18" hidden="1" x14ac:dyDescent="0.3">
      <c r="A11969" s="15" t="s">
        <v>33619</v>
      </c>
      <c r="B11969" s="15" t="s">
        <v>33620</v>
      </c>
      <c r="C11969" s="18" t="s">
        <v>28</v>
      </c>
      <c r="D11969" s="15" t="s">
        <v>33621</v>
      </c>
      <c r="E11969" s="18" t="s">
        <v>28</v>
      </c>
      <c r="F11969" s="19" t="s">
        <v>28</v>
      </c>
      <c r="G11969" s="19" t="s">
        <v>28</v>
      </c>
      <c r="H11969" s="19" t="s">
        <v>28</v>
      </c>
      <c r="I11969" s="18" t="s">
        <v>28</v>
      </c>
      <c r="J11969" s="18" t="s">
        <v>28</v>
      </c>
      <c r="K11969" s="18" t="s">
        <v>28</v>
      </c>
      <c r="L11969" s="18" t="s">
        <v>28</v>
      </c>
      <c r="M11969" s="18" t="s">
        <v>28</v>
      </c>
      <c r="N11969" s="17">
        <v>40618</v>
      </c>
      <c r="O11969" s="15" t="s">
        <v>30</v>
      </c>
      <c r="P11969" s="16" t="s">
        <v>33622</v>
      </c>
      <c r="Q11969" s="15" t="s">
        <v>136</v>
      </c>
      <c r="R11969" s="13" t="str">
        <f>HYPERLINK("https://my.pitchbook.com?c=102824-02T","View Company Online")</f>
        <v>View Company Online</v>
      </c>
    </row>
    <row r="11970" spans="1:18" hidden="1" x14ac:dyDescent="0.3">
      <c r="A11970" s="9" t="s">
        <v>33623</v>
      </c>
      <c r="B11970" s="9" t="s">
        <v>1387</v>
      </c>
      <c r="C11970" s="11" t="s">
        <v>28</v>
      </c>
      <c r="D11970" s="9" t="s">
        <v>1388</v>
      </c>
      <c r="E11970" s="11">
        <v>35.700000000000003</v>
      </c>
      <c r="F11970" s="10" t="s">
        <v>28</v>
      </c>
      <c r="G11970" s="10">
        <v>247.32</v>
      </c>
      <c r="H11970" s="10" t="s">
        <v>28</v>
      </c>
      <c r="I11970" s="11">
        <v>67.75</v>
      </c>
      <c r="J11970" s="11" t="s">
        <v>28</v>
      </c>
      <c r="K11970" s="11">
        <v>423.48</v>
      </c>
      <c r="L11970" s="11" t="s">
        <v>28</v>
      </c>
      <c r="M11970" s="11">
        <v>4.45</v>
      </c>
      <c r="N11970" s="8">
        <v>40616</v>
      </c>
      <c r="O11970" s="9" t="s">
        <v>173</v>
      </c>
      <c r="P11970" s="12" t="s">
        <v>28</v>
      </c>
      <c r="Q11970" s="9" t="s">
        <v>169</v>
      </c>
      <c r="R11970" s="14" t="str">
        <f>HYPERLINK("https://my.pitchbook.com?c=30861-64T","View Company Online")</f>
        <v>View Company Online</v>
      </c>
    </row>
    <row r="11971" spans="1:18" hidden="1" x14ac:dyDescent="0.3">
      <c r="A11971" s="15" t="s">
        <v>33624</v>
      </c>
      <c r="B11971" s="15" t="s">
        <v>14144</v>
      </c>
      <c r="C11971" s="18" t="s">
        <v>28</v>
      </c>
      <c r="D11971" s="15" t="s">
        <v>16710</v>
      </c>
      <c r="E11971" s="18" t="s">
        <v>28</v>
      </c>
      <c r="F11971" s="19" t="s">
        <v>28</v>
      </c>
      <c r="G11971" s="19" t="s">
        <v>28</v>
      </c>
      <c r="H11971" s="19" t="s">
        <v>28</v>
      </c>
      <c r="I11971" s="18" t="s">
        <v>28</v>
      </c>
      <c r="J11971" s="18" t="s">
        <v>28</v>
      </c>
      <c r="K11971" s="18" t="s">
        <v>28</v>
      </c>
      <c r="L11971" s="18" t="s">
        <v>28</v>
      </c>
      <c r="M11971" s="18" t="s">
        <v>28</v>
      </c>
      <c r="N11971" s="17">
        <v>40613</v>
      </c>
      <c r="O11971" s="15" t="s">
        <v>93</v>
      </c>
      <c r="P11971" s="16" t="s">
        <v>33625</v>
      </c>
      <c r="Q11971" s="15" t="s">
        <v>900</v>
      </c>
      <c r="R11971" s="13" t="str">
        <f>HYPERLINK("https://my.pitchbook.com?c=30314-89T","View Company Online")</f>
        <v>View Company Online</v>
      </c>
    </row>
    <row r="11972" spans="1:18" hidden="1" x14ac:dyDescent="0.3">
      <c r="A11972" s="9" t="s">
        <v>33626</v>
      </c>
      <c r="B11972" s="9" t="s">
        <v>33627</v>
      </c>
      <c r="C11972" s="11" t="s">
        <v>28</v>
      </c>
      <c r="D11972" s="9" t="s">
        <v>33628</v>
      </c>
      <c r="E11972" s="11" t="s">
        <v>28</v>
      </c>
      <c r="F11972" s="10">
        <v>191.75</v>
      </c>
      <c r="G11972" s="10">
        <v>191.75</v>
      </c>
      <c r="H11972" s="10">
        <v>191.75</v>
      </c>
      <c r="I11972" s="11" t="s">
        <v>28</v>
      </c>
      <c r="J11972" s="11" t="s">
        <v>28</v>
      </c>
      <c r="K11972" s="11" t="s">
        <v>28</v>
      </c>
      <c r="L11972" s="11" t="s">
        <v>28</v>
      </c>
      <c r="M11972" s="11" t="s">
        <v>28</v>
      </c>
      <c r="N11972" s="8">
        <v>40612</v>
      </c>
      <c r="O11972" s="9" t="s">
        <v>30</v>
      </c>
      <c r="P11972" s="12" t="s">
        <v>14436</v>
      </c>
      <c r="Q11972" s="9" t="s">
        <v>69</v>
      </c>
      <c r="R11972" s="14" t="str">
        <f>HYPERLINK("https://my.pitchbook.com?c=109207-90T","View Company Online")</f>
        <v>View Company Online</v>
      </c>
    </row>
    <row r="11973" spans="1:18" hidden="1" x14ac:dyDescent="0.3">
      <c r="A11973" s="15" t="s">
        <v>33629</v>
      </c>
      <c r="B11973" s="15" t="s">
        <v>33630</v>
      </c>
      <c r="C11973" s="18" t="s">
        <v>28</v>
      </c>
      <c r="D11973" s="15" t="s">
        <v>33631</v>
      </c>
      <c r="E11973" s="18" t="s">
        <v>28</v>
      </c>
      <c r="F11973" s="19" t="s">
        <v>28</v>
      </c>
      <c r="G11973" s="19" t="s">
        <v>28</v>
      </c>
      <c r="H11973" s="19" t="s">
        <v>28</v>
      </c>
      <c r="I11973" s="18" t="s">
        <v>28</v>
      </c>
      <c r="J11973" s="18" t="s">
        <v>28</v>
      </c>
      <c r="K11973" s="18" t="s">
        <v>28</v>
      </c>
      <c r="L11973" s="18" t="s">
        <v>28</v>
      </c>
      <c r="M11973" s="18" t="s">
        <v>28</v>
      </c>
      <c r="N11973" s="17">
        <v>40606</v>
      </c>
      <c r="O11973" s="15" t="s">
        <v>30</v>
      </c>
      <c r="P11973" s="16" t="s">
        <v>33632</v>
      </c>
      <c r="Q11973" s="15" t="s">
        <v>245</v>
      </c>
      <c r="R11973" s="13" t="str">
        <f>HYPERLINK("https://my.pitchbook.com?c=73521-37T","View Company Online")</f>
        <v>View Company Online</v>
      </c>
    </row>
    <row r="11974" spans="1:18" hidden="1" x14ac:dyDescent="0.3">
      <c r="A11974" s="9" t="s">
        <v>33633</v>
      </c>
      <c r="B11974" s="9" t="s">
        <v>33634</v>
      </c>
      <c r="C11974" s="11" t="s">
        <v>28</v>
      </c>
      <c r="D11974" s="9" t="s">
        <v>33635</v>
      </c>
      <c r="E11974" s="11" t="s">
        <v>28</v>
      </c>
      <c r="F11974" s="10">
        <v>357.72</v>
      </c>
      <c r="G11974" s="10">
        <v>357.72</v>
      </c>
      <c r="H11974" s="10">
        <v>357.72</v>
      </c>
      <c r="I11974" s="11" t="s">
        <v>28</v>
      </c>
      <c r="J11974" s="11" t="s">
        <v>28</v>
      </c>
      <c r="K11974" s="11" t="s">
        <v>28</v>
      </c>
      <c r="L11974" s="11" t="s">
        <v>28</v>
      </c>
      <c r="M11974" s="11" t="s">
        <v>28</v>
      </c>
      <c r="N11974" s="8">
        <v>40606</v>
      </c>
      <c r="O11974" s="9" t="s">
        <v>30</v>
      </c>
      <c r="P11974" s="12" t="s">
        <v>33636</v>
      </c>
      <c r="Q11974" s="9" t="s">
        <v>136</v>
      </c>
      <c r="R11974" s="14" t="str">
        <f>HYPERLINK("https://my.pitchbook.com?c=74826-46T","View Company Online")</f>
        <v>View Company Online</v>
      </c>
    </row>
    <row r="11975" spans="1:18" hidden="1" x14ac:dyDescent="0.3">
      <c r="A11975" s="15" t="s">
        <v>33637</v>
      </c>
      <c r="B11975" s="15" t="s">
        <v>3424</v>
      </c>
      <c r="C11975" s="18" t="s">
        <v>28</v>
      </c>
      <c r="D11975" s="15" t="s">
        <v>3425</v>
      </c>
      <c r="E11975" s="18" t="s">
        <v>28</v>
      </c>
      <c r="F11975" s="19" t="s">
        <v>28</v>
      </c>
      <c r="G11975" s="19" t="s">
        <v>28</v>
      </c>
      <c r="H11975" s="19" t="s">
        <v>28</v>
      </c>
      <c r="I11975" s="18" t="s">
        <v>28</v>
      </c>
      <c r="J11975" s="18" t="s">
        <v>28</v>
      </c>
      <c r="K11975" s="18" t="s">
        <v>28</v>
      </c>
      <c r="L11975" s="18" t="s">
        <v>28</v>
      </c>
      <c r="M11975" s="18" t="s">
        <v>28</v>
      </c>
      <c r="N11975" s="17">
        <v>40604</v>
      </c>
      <c r="O11975" s="15" t="s">
        <v>41</v>
      </c>
      <c r="P11975" s="16" t="s">
        <v>33638</v>
      </c>
      <c r="Q11975" s="15" t="s">
        <v>226</v>
      </c>
      <c r="R11975" s="13" t="str">
        <f>HYPERLINK("https://my.pitchbook.com?c=28160-65T","View Company Online")</f>
        <v>View Company Online</v>
      </c>
    </row>
    <row r="11976" spans="1:18" hidden="1" x14ac:dyDescent="0.3">
      <c r="A11976" s="9" t="s">
        <v>33639</v>
      </c>
      <c r="B11976" s="9" t="s">
        <v>33640</v>
      </c>
      <c r="C11976" s="11" t="s">
        <v>28</v>
      </c>
      <c r="D11976" s="9" t="s">
        <v>33641</v>
      </c>
      <c r="E11976" s="11" t="s">
        <v>28</v>
      </c>
      <c r="F11976" s="10" t="s">
        <v>28</v>
      </c>
      <c r="G11976" s="10" t="s">
        <v>28</v>
      </c>
      <c r="H11976" s="10" t="s">
        <v>28</v>
      </c>
      <c r="I11976" s="11" t="s">
        <v>28</v>
      </c>
      <c r="J11976" s="11" t="s">
        <v>28</v>
      </c>
      <c r="K11976" s="11" t="s">
        <v>28</v>
      </c>
      <c r="L11976" s="11" t="s">
        <v>28</v>
      </c>
      <c r="M11976" s="11" t="s">
        <v>28</v>
      </c>
      <c r="N11976" s="8">
        <v>40603</v>
      </c>
      <c r="O11976" s="9" t="s">
        <v>30</v>
      </c>
      <c r="P11976" s="12" t="s">
        <v>33642</v>
      </c>
      <c r="Q11976" s="9" t="s">
        <v>5347</v>
      </c>
      <c r="R11976" s="14" t="str">
        <f>HYPERLINK("https://my.pitchbook.com?c=36911-71T","View Company Online")</f>
        <v>View Company Online</v>
      </c>
    </row>
    <row r="11977" spans="1:18" hidden="1" x14ac:dyDescent="0.3">
      <c r="A11977" s="15" t="s">
        <v>33643</v>
      </c>
      <c r="B11977" s="15" t="s">
        <v>33644</v>
      </c>
      <c r="C11977" s="18" t="s">
        <v>28</v>
      </c>
      <c r="D11977" s="15" t="s">
        <v>33645</v>
      </c>
      <c r="E11977" s="18" t="s">
        <v>28</v>
      </c>
      <c r="F11977" s="19">
        <v>53.58</v>
      </c>
      <c r="G11977" s="19">
        <v>53.58</v>
      </c>
      <c r="H11977" s="19">
        <v>53.58</v>
      </c>
      <c r="I11977" s="18" t="s">
        <v>28</v>
      </c>
      <c r="J11977" s="18" t="s">
        <v>28</v>
      </c>
      <c r="K11977" s="18" t="s">
        <v>28</v>
      </c>
      <c r="L11977" s="18" t="s">
        <v>28</v>
      </c>
      <c r="M11977" s="18" t="s">
        <v>28</v>
      </c>
      <c r="N11977" s="17">
        <v>40602</v>
      </c>
      <c r="O11977" s="15" t="s">
        <v>30</v>
      </c>
      <c r="P11977" s="16" t="s">
        <v>33646</v>
      </c>
      <c r="Q11977" s="15" t="s">
        <v>119</v>
      </c>
      <c r="R11977" s="13" t="str">
        <f>HYPERLINK("https://my.pitchbook.com?c=101177-29T","View Company Online")</f>
        <v>View Company Online</v>
      </c>
    </row>
    <row r="11978" spans="1:18" hidden="1" x14ac:dyDescent="0.3">
      <c r="A11978" s="9" t="s">
        <v>33647</v>
      </c>
      <c r="B11978" s="9" t="s">
        <v>33648</v>
      </c>
      <c r="C11978" s="11" t="s">
        <v>28</v>
      </c>
      <c r="D11978" s="9" t="s">
        <v>33649</v>
      </c>
      <c r="E11978" s="11" t="s">
        <v>28</v>
      </c>
      <c r="F11978" s="10">
        <v>473.76</v>
      </c>
      <c r="G11978" s="10">
        <v>284.5</v>
      </c>
      <c r="H11978" s="10">
        <v>473.76</v>
      </c>
      <c r="I11978" s="11" t="s">
        <v>28</v>
      </c>
      <c r="J11978" s="11" t="s">
        <v>28</v>
      </c>
      <c r="K11978" s="11" t="s">
        <v>28</v>
      </c>
      <c r="L11978" s="11" t="s">
        <v>28</v>
      </c>
      <c r="M11978" s="11" t="s">
        <v>28</v>
      </c>
      <c r="N11978" s="8">
        <v>40601</v>
      </c>
      <c r="O11978" s="9" t="s">
        <v>30</v>
      </c>
      <c r="P11978" s="12" t="s">
        <v>11630</v>
      </c>
      <c r="Q11978" s="9" t="s">
        <v>331</v>
      </c>
      <c r="R11978" s="14" t="str">
        <f>HYPERLINK("https://my.pitchbook.com?c=127961-74T","View Company Online")</f>
        <v>View Company Online</v>
      </c>
    </row>
    <row r="11979" spans="1:18" hidden="1" x14ac:dyDescent="0.3">
      <c r="A11979" s="15" t="s">
        <v>33650</v>
      </c>
      <c r="B11979" s="15" t="s">
        <v>12275</v>
      </c>
      <c r="C11979" s="18" t="s">
        <v>28</v>
      </c>
      <c r="D11979" s="15" t="s">
        <v>12276</v>
      </c>
      <c r="E11979" s="18" t="s">
        <v>28</v>
      </c>
      <c r="F11979" s="19">
        <v>38.619999999999997</v>
      </c>
      <c r="G11979" s="19">
        <v>38.619999999999997</v>
      </c>
      <c r="H11979" s="19">
        <v>38.619999999999997</v>
      </c>
      <c r="I11979" s="18" t="s">
        <v>28</v>
      </c>
      <c r="J11979" s="18" t="s">
        <v>28</v>
      </c>
      <c r="K11979" s="18" t="s">
        <v>28</v>
      </c>
      <c r="L11979" s="18" t="s">
        <v>28</v>
      </c>
      <c r="M11979" s="18" t="s">
        <v>28</v>
      </c>
      <c r="N11979" s="17">
        <v>40599</v>
      </c>
      <c r="O11979" s="15" t="s">
        <v>41</v>
      </c>
      <c r="P11979" s="16" t="s">
        <v>33651</v>
      </c>
      <c r="Q11979" s="15" t="s">
        <v>607</v>
      </c>
      <c r="R11979" s="13" t="str">
        <f>HYPERLINK("https://my.pitchbook.com?c=110692-54T","View Company Online")</f>
        <v>View Company Online</v>
      </c>
    </row>
    <row r="11980" spans="1:18" hidden="1" x14ac:dyDescent="0.3">
      <c r="A11980" s="9" t="s">
        <v>33652</v>
      </c>
      <c r="B11980" s="9" t="s">
        <v>33653</v>
      </c>
      <c r="C11980" s="11" t="s">
        <v>28</v>
      </c>
      <c r="D11980" s="9" t="s">
        <v>33654</v>
      </c>
      <c r="E11980" s="11" t="s">
        <v>28</v>
      </c>
      <c r="F11980" s="10" t="s">
        <v>28</v>
      </c>
      <c r="G11980" s="10" t="s">
        <v>28</v>
      </c>
      <c r="H11980" s="10" t="s">
        <v>28</v>
      </c>
      <c r="I11980" s="11" t="s">
        <v>28</v>
      </c>
      <c r="J11980" s="11" t="s">
        <v>28</v>
      </c>
      <c r="K11980" s="11" t="s">
        <v>28</v>
      </c>
      <c r="L11980" s="11" t="s">
        <v>28</v>
      </c>
      <c r="M11980" s="11" t="s">
        <v>28</v>
      </c>
      <c r="N11980" s="8">
        <v>40597</v>
      </c>
      <c r="O11980" s="9" t="s">
        <v>30</v>
      </c>
      <c r="P11980" s="12" t="s">
        <v>11630</v>
      </c>
      <c r="Q11980" s="9" t="s">
        <v>8035</v>
      </c>
      <c r="R11980" s="14" t="str">
        <f>HYPERLINK("https://my.pitchbook.com?c=91686-16T","View Company Online")</f>
        <v>View Company Online</v>
      </c>
    </row>
    <row r="11981" spans="1:18" hidden="1" x14ac:dyDescent="0.3">
      <c r="A11981" s="15" t="s">
        <v>33655</v>
      </c>
      <c r="B11981" s="15" t="s">
        <v>33656</v>
      </c>
      <c r="C11981" s="18" t="s">
        <v>28</v>
      </c>
      <c r="D11981" s="15" t="s">
        <v>33657</v>
      </c>
      <c r="E11981" s="18" t="s">
        <v>28</v>
      </c>
      <c r="F11981" s="19" t="s">
        <v>28</v>
      </c>
      <c r="G11981" s="19" t="s">
        <v>28</v>
      </c>
      <c r="H11981" s="19" t="s">
        <v>28</v>
      </c>
      <c r="I11981" s="18" t="s">
        <v>28</v>
      </c>
      <c r="J11981" s="18" t="s">
        <v>28</v>
      </c>
      <c r="K11981" s="18">
        <v>34</v>
      </c>
      <c r="L11981" s="18" t="s">
        <v>28</v>
      </c>
      <c r="M11981" s="18" t="s">
        <v>28</v>
      </c>
      <c r="N11981" s="17">
        <v>40596</v>
      </c>
      <c r="O11981" s="15" t="s">
        <v>30</v>
      </c>
      <c r="P11981" s="16" t="s">
        <v>33658</v>
      </c>
      <c r="Q11981" s="15" t="s">
        <v>331</v>
      </c>
      <c r="R11981" s="13" t="str">
        <f>HYPERLINK("https://my.pitchbook.com?c=72908-38T","View Company Online")</f>
        <v>View Company Online</v>
      </c>
    </row>
    <row r="11982" spans="1:18" hidden="1" x14ac:dyDescent="0.3">
      <c r="A11982" s="9" t="s">
        <v>33659</v>
      </c>
      <c r="B11982" s="9" t="s">
        <v>33660</v>
      </c>
      <c r="C11982" s="11" t="s">
        <v>28</v>
      </c>
      <c r="D11982" s="9" t="s">
        <v>33661</v>
      </c>
      <c r="E11982" s="11" t="s">
        <v>28</v>
      </c>
      <c r="F11982" s="10" t="s">
        <v>28</v>
      </c>
      <c r="G11982" s="10" t="s">
        <v>28</v>
      </c>
      <c r="H11982" s="10" t="s">
        <v>28</v>
      </c>
      <c r="I11982" s="11" t="s">
        <v>28</v>
      </c>
      <c r="J11982" s="11" t="s">
        <v>28</v>
      </c>
      <c r="K11982" s="11" t="s">
        <v>28</v>
      </c>
      <c r="L11982" s="11" t="s">
        <v>28</v>
      </c>
      <c r="M11982" s="11" t="s">
        <v>28</v>
      </c>
      <c r="N11982" s="8">
        <v>40590</v>
      </c>
      <c r="O11982" s="9" t="s">
        <v>30</v>
      </c>
      <c r="P11982" s="12" t="s">
        <v>25951</v>
      </c>
      <c r="Q11982" s="9" t="s">
        <v>109</v>
      </c>
      <c r="R11982" s="14" t="str">
        <f>HYPERLINK("https://my.pitchbook.com?c=92067-58T","View Company Online")</f>
        <v>View Company Online</v>
      </c>
    </row>
    <row r="11983" spans="1:18" hidden="1" x14ac:dyDescent="0.3">
      <c r="A11983" s="15" t="s">
        <v>33662</v>
      </c>
      <c r="B11983" s="15" t="s">
        <v>33663</v>
      </c>
      <c r="C11983" s="18" t="s">
        <v>28</v>
      </c>
      <c r="D11983" s="15" t="s">
        <v>33664</v>
      </c>
      <c r="E11983" s="18" t="s">
        <v>28</v>
      </c>
      <c r="F11983" s="19">
        <v>156.6</v>
      </c>
      <c r="G11983" s="19">
        <v>83</v>
      </c>
      <c r="H11983" s="19">
        <v>156.6</v>
      </c>
      <c r="I11983" s="18" t="s">
        <v>28</v>
      </c>
      <c r="J11983" s="18" t="s">
        <v>28</v>
      </c>
      <c r="K11983" s="18">
        <v>100</v>
      </c>
      <c r="L11983" s="18">
        <v>1.57</v>
      </c>
      <c r="M11983" s="18" t="s">
        <v>28</v>
      </c>
      <c r="N11983" s="17">
        <v>40589</v>
      </c>
      <c r="O11983" s="15" t="s">
        <v>30</v>
      </c>
      <c r="P11983" s="16" t="s">
        <v>33665</v>
      </c>
      <c r="Q11983" s="15" t="s">
        <v>880</v>
      </c>
      <c r="R11983" s="13" t="str">
        <f>HYPERLINK("https://my.pitchbook.com?c=18054-10T","View Company Online")</f>
        <v>View Company Online</v>
      </c>
    </row>
    <row r="11984" spans="1:18" hidden="1" x14ac:dyDescent="0.3">
      <c r="A11984" s="9" t="s">
        <v>33666</v>
      </c>
      <c r="B11984" s="9" t="s">
        <v>33663</v>
      </c>
      <c r="C11984" s="11" t="s">
        <v>28</v>
      </c>
      <c r="D11984" s="9" t="s">
        <v>33664</v>
      </c>
      <c r="E11984" s="11" t="s">
        <v>28</v>
      </c>
      <c r="F11984" s="10" t="s">
        <v>28</v>
      </c>
      <c r="G11984" s="10">
        <v>44</v>
      </c>
      <c r="H11984" s="10" t="s">
        <v>28</v>
      </c>
      <c r="I11984" s="11" t="s">
        <v>28</v>
      </c>
      <c r="J11984" s="11" t="s">
        <v>28</v>
      </c>
      <c r="K11984" s="11">
        <v>100</v>
      </c>
      <c r="L11984" s="11" t="s">
        <v>28</v>
      </c>
      <c r="M11984" s="11" t="s">
        <v>28</v>
      </c>
      <c r="N11984" s="8">
        <v>40589</v>
      </c>
      <c r="O11984" s="9" t="s">
        <v>93</v>
      </c>
      <c r="P11984" s="12" t="s">
        <v>25072</v>
      </c>
      <c r="Q11984" s="9" t="s">
        <v>880</v>
      </c>
      <c r="R11984" s="14" t="str">
        <f>HYPERLINK("https://my.pitchbook.com?c=74569-42T","View Company Online")</f>
        <v>View Company Online</v>
      </c>
    </row>
    <row r="11985" spans="1:18" hidden="1" x14ac:dyDescent="0.3">
      <c r="A11985" s="15" t="s">
        <v>33667</v>
      </c>
      <c r="B11985" s="15" t="s">
        <v>14595</v>
      </c>
      <c r="C11985" s="18" t="s">
        <v>28</v>
      </c>
      <c r="D11985" s="15" t="s">
        <v>14596</v>
      </c>
      <c r="E11985" s="18" t="s">
        <v>28</v>
      </c>
      <c r="F11985" s="19" t="s">
        <v>28</v>
      </c>
      <c r="G11985" s="19" t="s">
        <v>28</v>
      </c>
      <c r="H11985" s="19" t="s">
        <v>28</v>
      </c>
      <c r="I11985" s="18" t="s">
        <v>28</v>
      </c>
      <c r="J11985" s="18" t="s">
        <v>28</v>
      </c>
      <c r="K11985" s="18" t="s">
        <v>28</v>
      </c>
      <c r="L11985" s="18" t="s">
        <v>28</v>
      </c>
      <c r="M11985" s="18" t="s">
        <v>28</v>
      </c>
      <c r="N11985" s="17">
        <v>40588</v>
      </c>
      <c r="O11985" s="15" t="s">
        <v>173</v>
      </c>
      <c r="P11985" s="16" t="s">
        <v>28</v>
      </c>
      <c r="Q11985" s="15" t="s">
        <v>226</v>
      </c>
      <c r="R11985" s="13" t="str">
        <f>HYPERLINK("https://my.pitchbook.com?c=224279-29T","View Company Online")</f>
        <v>View Company Online</v>
      </c>
    </row>
    <row r="11986" spans="1:18" hidden="1" x14ac:dyDescent="0.3">
      <c r="A11986" s="9" t="s">
        <v>33668</v>
      </c>
      <c r="B11986" s="9" t="s">
        <v>33669</v>
      </c>
      <c r="C11986" s="11" t="s">
        <v>28</v>
      </c>
      <c r="D11986" s="9" t="s">
        <v>33670</v>
      </c>
      <c r="E11986" s="11" t="s">
        <v>28</v>
      </c>
      <c r="F11986" s="10" t="s">
        <v>28</v>
      </c>
      <c r="G11986" s="10" t="s">
        <v>28</v>
      </c>
      <c r="H11986" s="10" t="s">
        <v>28</v>
      </c>
      <c r="I11986" s="11" t="s">
        <v>28</v>
      </c>
      <c r="J11986" s="11" t="s">
        <v>28</v>
      </c>
      <c r="K11986" s="11" t="s">
        <v>28</v>
      </c>
      <c r="L11986" s="11" t="s">
        <v>28</v>
      </c>
      <c r="M11986" s="11" t="s">
        <v>28</v>
      </c>
      <c r="N11986" s="8">
        <v>40585</v>
      </c>
      <c r="O11986" s="9" t="s">
        <v>173</v>
      </c>
      <c r="P11986" s="12" t="s">
        <v>28</v>
      </c>
      <c r="Q11986" s="9" t="s">
        <v>240</v>
      </c>
      <c r="R11986" s="14" t="str">
        <f>HYPERLINK("https://my.pitchbook.com?c=221203-63T","View Company Online")</f>
        <v>View Company Online</v>
      </c>
    </row>
    <row r="11987" spans="1:18" hidden="1" x14ac:dyDescent="0.3">
      <c r="A11987" s="15" t="s">
        <v>33671</v>
      </c>
      <c r="B11987" s="15" t="s">
        <v>6808</v>
      </c>
      <c r="C11987" s="18" t="s">
        <v>28</v>
      </c>
      <c r="D11987" s="15" t="s">
        <v>33672</v>
      </c>
      <c r="E11987" s="18">
        <v>1668.8</v>
      </c>
      <c r="F11987" s="19" t="s">
        <v>28</v>
      </c>
      <c r="G11987" s="19" t="s">
        <v>28</v>
      </c>
      <c r="H11987" s="19" t="s">
        <v>28</v>
      </c>
      <c r="I11987" s="18">
        <v>3239.88</v>
      </c>
      <c r="J11987" s="18" t="s">
        <v>28</v>
      </c>
      <c r="K11987" s="18">
        <v>10227.290000000001</v>
      </c>
      <c r="L11987" s="18" t="s">
        <v>28</v>
      </c>
      <c r="M11987" s="18">
        <v>1069.75</v>
      </c>
      <c r="N11987" s="17">
        <v>40585</v>
      </c>
      <c r="O11987" s="15" t="s">
        <v>30</v>
      </c>
      <c r="P11987" s="16" t="s">
        <v>9077</v>
      </c>
      <c r="Q11987" s="15" t="s">
        <v>692</v>
      </c>
      <c r="R11987" s="13" t="str">
        <f>HYPERLINK("https://my.pitchbook.com?c=91774-45T","View Company Online")</f>
        <v>View Company Online</v>
      </c>
    </row>
    <row r="11988" spans="1:18" hidden="1" x14ac:dyDescent="0.3">
      <c r="A11988" s="9" t="s">
        <v>33673</v>
      </c>
      <c r="B11988" s="9" t="s">
        <v>1723</v>
      </c>
      <c r="C11988" s="11" t="s">
        <v>28</v>
      </c>
      <c r="D11988" s="9" t="s">
        <v>1724</v>
      </c>
      <c r="E11988" s="11">
        <v>20.29</v>
      </c>
      <c r="F11988" s="10" t="s">
        <v>28</v>
      </c>
      <c r="G11988" s="10" t="s">
        <v>28</v>
      </c>
      <c r="H11988" s="10" t="s">
        <v>28</v>
      </c>
      <c r="I11988" s="11">
        <v>37.15</v>
      </c>
      <c r="J11988" s="11" t="s">
        <v>28</v>
      </c>
      <c r="K11988" s="11">
        <v>80.349999999999994</v>
      </c>
      <c r="L11988" s="11" t="s">
        <v>28</v>
      </c>
      <c r="M11988" s="11">
        <v>54</v>
      </c>
      <c r="N11988" s="8">
        <v>40583</v>
      </c>
      <c r="O11988" s="9" t="s">
        <v>173</v>
      </c>
      <c r="P11988" s="12" t="s">
        <v>28</v>
      </c>
      <c r="Q11988" s="9" t="s">
        <v>268</v>
      </c>
      <c r="R11988" s="14" t="str">
        <f>HYPERLINK("https://my.pitchbook.com?c=223771-78T","View Company Online")</f>
        <v>View Company Online</v>
      </c>
    </row>
    <row r="11989" spans="1:18" hidden="1" x14ac:dyDescent="0.3">
      <c r="A11989" s="15" t="s">
        <v>33674</v>
      </c>
      <c r="B11989" s="15" t="s">
        <v>7574</v>
      </c>
      <c r="C11989" s="18" t="s">
        <v>28</v>
      </c>
      <c r="D11989" s="15" t="s">
        <v>20523</v>
      </c>
      <c r="E11989" s="18">
        <v>156.76</v>
      </c>
      <c r="F11989" s="19" t="s">
        <v>28</v>
      </c>
      <c r="G11989" s="19">
        <v>255.88</v>
      </c>
      <c r="H11989" s="19" t="s">
        <v>28</v>
      </c>
      <c r="I11989" s="18">
        <v>157.44999999999999</v>
      </c>
      <c r="J11989" s="18" t="s">
        <v>28</v>
      </c>
      <c r="K11989" s="18">
        <v>104.5</v>
      </c>
      <c r="L11989" s="18" t="s">
        <v>28</v>
      </c>
      <c r="M11989" s="18">
        <v>120.18</v>
      </c>
      <c r="N11989" s="17">
        <v>40577</v>
      </c>
      <c r="O11989" s="15" t="s">
        <v>173</v>
      </c>
      <c r="P11989" s="16" t="s">
        <v>28</v>
      </c>
      <c r="Q11989" s="15" t="s">
        <v>119</v>
      </c>
      <c r="R11989" s="13" t="str">
        <f>HYPERLINK("https://my.pitchbook.com?c=119599-57T","View Company Online")</f>
        <v>View Company Online</v>
      </c>
    </row>
    <row r="11990" spans="1:18" hidden="1" x14ac:dyDescent="0.3">
      <c r="A11990" s="9" t="s">
        <v>33675</v>
      </c>
      <c r="B11990" s="9" t="s">
        <v>33676</v>
      </c>
      <c r="C11990" s="11" t="s">
        <v>28</v>
      </c>
      <c r="D11990" s="9" t="s">
        <v>33677</v>
      </c>
      <c r="E11990" s="11" t="s">
        <v>28</v>
      </c>
      <c r="F11990" s="10">
        <v>32.43</v>
      </c>
      <c r="G11990" s="10">
        <v>32.43</v>
      </c>
      <c r="H11990" s="10">
        <v>32.43</v>
      </c>
      <c r="I11990" s="11" t="s">
        <v>28</v>
      </c>
      <c r="J11990" s="11" t="s">
        <v>28</v>
      </c>
      <c r="K11990" s="11" t="s">
        <v>28</v>
      </c>
      <c r="L11990" s="11" t="s">
        <v>28</v>
      </c>
      <c r="M11990" s="11" t="s">
        <v>28</v>
      </c>
      <c r="N11990" s="8">
        <v>40577</v>
      </c>
      <c r="O11990" s="9" t="s">
        <v>30</v>
      </c>
      <c r="P11990" s="12" t="s">
        <v>32161</v>
      </c>
      <c r="Q11990" s="9" t="s">
        <v>136</v>
      </c>
      <c r="R11990" s="14" t="str">
        <f>HYPERLINK("https://my.pitchbook.com?c=73512-55T","View Company Online")</f>
        <v>View Company Online</v>
      </c>
    </row>
    <row r="11991" spans="1:18" hidden="1" x14ac:dyDescent="0.3">
      <c r="A11991" s="15" t="s">
        <v>33678</v>
      </c>
      <c r="B11991" s="15" t="s">
        <v>3492</v>
      </c>
      <c r="C11991" s="18" t="s">
        <v>28</v>
      </c>
      <c r="D11991" s="15" t="s">
        <v>33679</v>
      </c>
      <c r="E11991" s="18">
        <v>50.44</v>
      </c>
      <c r="F11991" s="19" t="s">
        <v>28</v>
      </c>
      <c r="G11991" s="19">
        <v>333.88</v>
      </c>
      <c r="H11991" s="19" t="s">
        <v>28</v>
      </c>
      <c r="I11991" s="18">
        <v>51.94</v>
      </c>
      <c r="J11991" s="18" t="s">
        <v>28</v>
      </c>
      <c r="K11991" s="18">
        <v>322.83</v>
      </c>
      <c r="L11991" s="18" t="s">
        <v>28</v>
      </c>
      <c r="M11991" s="18">
        <v>36.450000000000003</v>
      </c>
      <c r="N11991" s="17">
        <v>40576</v>
      </c>
      <c r="O11991" s="15" t="s">
        <v>173</v>
      </c>
      <c r="P11991" s="16" t="s">
        <v>28</v>
      </c>
      <c r="Q11991" s="15" t="s">
        <v>5132</v>
      </c>
      <c r="R11991" s="13" t="str">
        <f>HYPERLINK("https://my.pitchbook.com?c=122121-28T","View Company Online")</f>
        <v>View Company Online</v>
      </c>
    </row>
    <row r="11992" spans="1:18" hidden="1" x14ac:dyDescent="0.3">
      <c r="A11992" s="9" t="s">
        <v>33680</v>
      </c>
      <c r="B11992" s="9" t="s">
        <v>17469</v>
      </c>
      <c r="C11992" s="11" t="s">
        <v>28</v>
      </c>
      <c r="D11992" s="9" t="s">
        <v>17470</v>
      </c>
      <c r="E11992" s="11" t="s">
        <v>28</v>
      </c>
      <c r="F11992" s="10">
        <v>247.85</v>
      </c>
      <c r="G11992" s="10">
        <v>173.5</v>
      </c>
      <c r="H11992" s="10">
        <v>247.85</v>
      </c>
      <c r="I11992" s="11" t="s">
        <v>28</v>
      </c>
      <c r="J11992" s="11" t="s">
        <v>28</v>
      </c>
      <c r="K11992" s="11" t="s">
        <v>28</v>
      </c>
      <c r="L11992" s="11" t="s">
        <v>28</v>
      </c>
      <c r="M11992" s="11" t="s">
        <v>28</v>
      </c>
      <c r="N11992" s="8">
        <v>40576</v>
      </c>
      <c r="O11992" s="9" t="s">
        <v>30</v>
      </c>
      <c r="P11992" s="12" t="s">
        <v>63</v>
      </c>
      <c r="Q11992" s="9" t="s">
        <v>69</v>
      </c>
      <c r="R11992" s="14" t="str">
        <f>HYPERLINK("https://my.pitchbook.com?c=117484-48T","View Company Online")</f>
        <v>View Company Online</v>
      </c>
    </row>
    <row r="11993" spans="1:18" hidden="1" x14ac:dyDescent="0.3">
      <c r="A11993" s="15" t="s">
        <v>33681</v>
      </c>
      <c r="B11993" s="15" t="s">
        <v>33682</v>
      </c>
      <c r="C11993" s="18" t="s">
        <v>28</v>
      </c>
      <c r="D11993" s="15" t="s">
        <v>33683</v>
      </c>
      <c r="E11993" s="18" t="s">
        <v>28</v>
      </c>
      <c r="F11993" s="19" t="s">
        <v>28</v>
      </c>
      <c r="G11993" s="19" t="s">
        <v>28</v>
      </c>
      <c r="H11993" s="19" t="s">
        <v>28</v>
      </c>
      <c r="I11993" s="18" t="s">
        <v>28</v>
      </c>
      <c r="J11993" s="18" t="s">
        <v>28</v>
      </c>
      <c r="K11993" s="18" t="s">
        <v>28</v>
      </c>
      <c r="L11993" s="18" t="s">
        <v>28</v>
      </c>
      <c r="M11993" s="18" t="s">
        <v>28</v>
      </c>
      <c r="N11993" s="17">
        <v>40575</v>
      </c>
      <c r="O11993" s="15" t="s">
        <v>30</v>
      </c>
      <c r="P11993" s="16" t="s">
        <v>33684</v>
      </c>
      <c r="Q11993" s="15" t="s">
        <v>470</v>
      </c>
      <c r="R11993" s="13" t="str">
        <f>HYPERLINK("https://my.pitchbook.com?c=79985-26T","View Company Online")</f>
        <v>View Company Online</v>
      </c>
    </row>
    <row r="11994" spans="1:18" hidden="1" x14ac:dyDescent="0.3">
      <c r="A11994" s="9" t="s">
        <v>33685</v>
      </c>
      <c r="B11994" s="9" t="s">
        <v>21146</v>
      </c>
      <c r="C11994" s="11" t="s">
        <v>28</v>
      </c>
      <c r="D11994" s="9" t="s">
        <v>21147</v>
      </c>
      <c r="E11994" s="11" t="s">
        <v>28</v>
      </c>
      <c r="F11994" s="10">
        <v>97.55</v>
      </c>
      <c r="G11994" s="10">
        <v>97.55</v>
      </c>
      <c r="H11994" s="10">
        <v>97.55</v>
      </c>
      <c r="I11994" s="11" t="s">
        <v>28</v>
      </c>
      <c r="J11994" s="11" t="s">
        <v>28</v>
      </c>
      <c r="K11994" s="11" t="s">
        <v>28</v>
      </c>
      <c r="L11994" s="11" t="s">
        <v>28</v>
      </c>
      <c r="M11994" s="11" t="s">
        <v>28</v>
      </c>
      <c r="N11994" s="8">
        <v>40575</v>
      </c>
      <c r="O11994" s="9" t="s">
        <v>41</v>
      </c>
      <c r="P11994" s="12" t="s">
        <v>33686</v>
      </c>
      <c r="Q11994" s="9" t="s">
        <v>75</v>
      </c>
      <c r="R11994" s="14" t="str">
        <f>HYPERLINK("https://my.pitchbook.com?c=18012-16T","View Company Online")</f>
        <v>View Company Online</v>
      </c>
    </row>
    <row r="11995" spans="1:18" hidden="1" x14ac:dyDescent="0.3">
      <c r="A11995" s="15" t="s">
        <v>33687</v>
      </c>
      <c r="B11995" s="15" t="s">
        <v>26727</v>
      </c>
      <c r="C11995" s="18" t="s">
        <v>28</v>
      </c>
      <c r="D11995" s="15" t="s">
        <v>26728</v>
      </c>
      <c r="E11995" s="18" t="s">
        <v>28</v>
      </c>
      <c r="F11995" s="19" t="s">
        <v>28</v>
      </c>
      <c r="G11995" s="19">
        <v>0.15</v>
      </c>
      <c r="H11995" s="19" t="s">
        <v>28</v>
      </c>
      <c r="I11995" s="18" t="s">
        <v>28</v>
      </c>
      <c r="J11995" s="18" t="s">
        <v>28</v>
      </c>
      <c r="K11995" s="18" t="s">
        <v>28</v>
      </c>
      <c r="L11995" s="18" t="s">
        <v>28</v>
      </c>
      <c r="M11995" s="18" t="s">
        <v>28</v>
      </c>
      <c r="N11995" s="17">
        <v>40575</v>
      </c>
      <c r="O11995" s="15" t="s">
        <v>9098</v>
      </c>
      <c r="P11995" s="16" t="s">
        <v>28</v>
      </c>
      <c r="Q11995" s="15" t="s">
        <v>419</v>
      </c>
      <c r="R11995" s="13" t="str">
        <f>HYPERLINK("https://my.pitchbook.com?c=65866-78T","View Company Online")</f>
        <v>View Company Online</v>
      </c>
    </row>
    <row r="11996" spans="1:18" hidden="1" x14ac:dyDescent="0.3">
      <c r="A11996" s="9" t="s">
        <v>33688</v>
      </c>
      <c r="B11996" s="9" t="s">
        <v>33689</v>
      </c>
      <c r="C11996" s="11" t="s">
        <v>28</v>
      </c>
      <c r="D11996" s="9" t="s">
        <v>33690</v>
      </c>
      <c r="E11996" s="11" t="s">
        <v>28</v>
      </c>
      <c r="F11996" s="10" t="s">
        <v>28</v>
      </c>
      <c r="G11996" s="10" t="s">
        <v>28</v>
      </c>
      <c r="H11996" s="10" t="s">
        <v>28</v>
      </c>
      <c r="I11996" s="11" t="s">
        <v>28</v>
      </c>
      <c r="J11996" s="11" t="s">
        <v>28</v>
      </c>
      <c r="K11996" s="11" t="s">
        <v>28</v>
      </c>
      <c r="L11996" s="11" t="s">
        <v>28</v>
      </c>
      <c r="M11996" s="11" t="s">
        <v>28</v>
      </c>
      <c r="N11996" s="8">
        <v>40575</v>
      </c>
      <c r="O11996" s="9" t="s">
        <v>30</v>
      </c>
      <c r="P11996" s="12" t="s">
        <v>33691</v>
      </c>
      <c r="Q11996" s="9" t="s">
        <v>1982</v>
      </c>
      <c r="R11996" s="14" t="str">
        <f>HYPERLINK("https://my.pitchbook.com?c=92376-37T","View Company Online")</f>
        <v>View Company Online</v>
      </c>
    </row>
    <row r="11997" spans="1:18" hidden="1" x14ac:dyDescent="0.3">
      <c r="A11997" s="15" t="s">
        <v>33692</v>
      </c>
      <c r="B11997" s="15" t="s">
        <v>33693</v>
      </c>
      <c r="C11997" s="18" t="s">
        <v>28</v>
      </c>
      <c r="D11997" s="15" t="s">
        <v>33694</v>
      </c>
      <c r="E11997" s="18" t="s">
        <v>28</v>
      </c>
      <c r="F11997" s="19">
        <v>56.05</v>
      </c>
      <c r="G11997" s="19">
        <v>56.05</v>
      </c>
      <c r="H11997" s="19">
        <v>56.05</v>
      </c>
      <c r="I11997" s="18" t="s">
        <v>28</v>
      </c>
      <c r="J11997" s="18" t="s">
        <v>28</v>
      </c>
      <c r="K11997" s="18" t="s">
        <v>28</v>
      </c>
      <c r="L11997" s="18" t="s">
        <v>28</v>
      </c>
      <c r="M11997" s="18" t="s">
        <v>28</v>
      </c>
      <c r="N11997" s="17">
        <v>40569</v>
      </c>
      <c r="O11997" s="15" t="s">
        <v>30</v>
      </c>
      <c r="P11997" s="16" t="s">
        <v>33695</v>
      </c>
      <c r="Q11997" s="15" t="s">
        <v>119</v>
      </c>
      <c r="R11997" s="13" t="str">
        <f>HYPERLINK("https://my.pitchbook.com?c=68824-81T","View Company Online")</f>
        <v>View Company Online</v>
      </c>
    </row>
    <row r="11998" spans="1:18" hidden="1" x14ac:dyDescent="0.3">
      <c r="A11998" s="9" t="s">
        <v>33696</v>
      </c>
      <c r="B11998" s="9" t="s">
        <v>27078</v>
      </c>
      <c r="C11998" s="11" t="s">
        <v>28</v>
      </c>
      <c r="D11998" s="9" t="s">
        <v>27079</v>
      </c>
      <c r="E11998" s="11" t="s">
        <v>28</v>
      </c>
      <c r="F11998" s="10" t="s">
        <v>28</v>
      </c>
      <c r="G11998" s="10">
        <v>6.61</v>
      </c>
      <c r="H11998" s="10">
        <v>88.09</v>
      </c>
      <c r="I11998" s="11" t="s">
        <v>28</v>
      </c>
      <c r="J11998" s="11" t="s">
        <v>28</v>
      </c>
      <c r="K11998" s="11" t="s">
        <v>28</v>
      </c>
      <c r="L11998" s="11" t="s">
        <v>28</v>
      </c>
      <c r="M11998" s="11" t="s">
        <v>28</v>
      </c>
      <c r="N11998" s="8">
        <v>40569</v>
      </c>
      <c r="O11998" s="9" t="s">
        <v>58</v>
      </c>
      <c r="P11998" s="12" t="s">
        <v>33697</v>
      </c>
      <c r="Q11998" s="9" t="s">
        <v>5347</v>
      </c>
      <c r="R11998" s="14" t="str">
        <f>HYPERLINK("https://my.pitchbook.com?c=63880-39T","View Company Online")</f>
        <v>View Company Online</v>
      </c>
    </row>
    <row r="11999" spans="1:18" hidden="1" x14ac:dyDescent="0.3">
      <c r="A11999" s="15" t="s">
        <v>33698</v>
      </c>
      <c r="B11999" s="15" t="s">
        <v>33699</v>
      </c>
      <c r="C11999" s="18" t="s">
        <v>28</v>
      </c>
      <c r="D11999" s="15" t="s">
        <v>33700</v>
      </c>
      <c r="E11999" s="18">
        <v>-7.38</v>
      </c>
      <c r="F11999" s="19" t="s">
        <v>28</v>
      </c>
      <c r="G11999" s="19" t="s">
        <v>28</v>
      </c>
      <c r="H11999" s="19" t="s">
        <v>28</v>
      </c>
      <c r="I11999" s="18">
        <v>-7.31</v>
      </c>
      <c r="J11999" s="18" t="s">
        <v>28</v>
      </c>
      <c r="K11999" s="18">
        <v>0</v>
      </c>
      <c r="L11999" s="18" t="s">
        <v>28</v>
      </c>
      <c r="M11999" s="18">
        <v>-7.83</v>
      </c>
      <c r="N11999" s="17">
        <v>40567</v>
      </c>
      <c r="O11999" s="15" t="s">
        <v>173</v>
      </c>
      <c r="P11999" s="16" t="s">
        <v>28</v>
      </c>
      <c r="Q11999" s="15" t="s">
        <v>692</v>
      </c>
      <c r="R11999" s="13" t="str">
        <f>HYPERLINK("https://my.pitchbook.com?c=232490-44T","View Company Online")</f>
        <v>View Company Online</v>
      </c>
    </row>
    <row r="12000" spans="1:18" hidden="1" x14ac:dyDescent="0.3">
      <c r="A12000" s="9" t="s">
        <v>33701</v>
      </c>
      <c r="B12000" s="9" t="s">
        <v>29846</v>
      </c>
      <c r="C12000" s="11" t="s">
        <v>28</v>
      </c>
      <c r="D12000" s="9" t="s">
        <v>29847</v>
      </c>
      <c r="E12000" s="11" t="s">
        <v>28</v>
      </c>
      <c r="F12000" s="10" t="s">
        <v>28</v>
      </c>
      <c r="G12000" s="10">
        <v>0.16</v>
      </c>
      <c r="H12000" s="10" t="s">
        <v>28</v>
      </c>
      <c r="I12000" s="11" t="s">
        <v>28</v>
      </c>
      <c r="J12000" s="11" t="s">
        <v>28</v>
      </c>
      <c r="K12000" s="11" t="s">
        <v>28</v>
      </c>
      <c r="L12000" s="11" t="s">
        <v>28</v>
      </c>
      <c r="M12000" s="11" t="s">
        <v>28</v>
      </c>
      <c r="N12000" s="8">
        <v>40566</v>
      </c>
      <c r="O12000" s="9" t="s">
        <v>47</v>
      </c>
      <c r="P12000" s="12" t="s">
        <v>9077</v>
      </c>
      <c r="Q12000" s="9" t="s">
        <v>75</v>
      </c>
      <c r="R12000" s="14" t="str">
        <f>HYPERLINK("https://my.pitchbook.com?c=55187-83T","View Company Online")</f>
        <v>View Company Online</v>
      </c>
    </row>
    <row r="12001" spans="1:18" hidden="1" x14ac:dyDescent="0.3">
      <c r="A12001" s="15" t="s">
        <v>33702</v>
      </c>
      <c r="B12001" s="15" t="s">
        <v>33703</v>
      </c>
      <c r="C12001" s="18" t="s">
        <v>28</v>
      </c>
      <c r="D12001" s="15" t="s">
        <v>33704</v>
      </c>
      <c r="E12001" s="18" t="s">
        <v>28</v>
      </c>
      <c r="F12001" s="19" t="s">
        <v>28</v>
      </c>
      <c r="G12001" s="19" t="s">
        <v>28</v>
      </c>
      <c r="H12001" s="19" t="s">
        <v>28</v>
      </c>
      <c r="I12001" s="18" t="s">
        <v>28</v>
      </c>
      <c r="J12001" s="18" t="s">
        <v>28</v>
      </c>
      <c r="K12001" s="18">
        <v>145.69</v>
      </c>
      <c r="L12001" s="18" t="s">
        <v>28</v>
      </c>
      <c r="M12001" s="18" t="s">
        <v>28</v>
      </c>
      <c r="N12001" s="17">
        <v>40563</v>
      </c>
      <c r="O12001" s="15" t="s">
        <v>30</v>
      </c>
      <c r="P12001" s="16" t="s">
        <v>33705</v>
      </c>
      <c r="Q12001" s="15" t="s">
        <v>900</v>
      </c>
      <c r="R12001" s="13" t="str">
        <f>HYPERLINK("https://my.pitchbook.com?c=69901-12T","View Company Online")</f>
        <v>View Company Online</v>
      </c>
    </row>
    <row r="12002" spans="1:18" hidden="1" x14ac:dyDescent="0.3">
      <c r="A12002" s="9" t="s">
        <v>33706</v>
      </c>
      <c r="B12002" s="9" t="s">
        <v>33707</v>
      </c>
      <c r="C12002" s="11" t="s">
        <v>28</v>
      </c>
      <c r="D12002" s="9" t="s">
        <v>33708</v>
      </c>
      <c r="E12002" s="11" t="s">
        <v>28</v>
      </c>
      <c r="F12002" s="10" t="s">
        <v>28</v>
      </c>
      <c r="G12002" s="10" t="s">
        <v>28</v>
      </c>
      <c r="H12002" s="10" t="s">
        <v>28</v>
      </c>
      <c r="I12002" s="11" t="s">
        <v>28</v>
      </c>
      <c r="J12002" s="11" t="s">
        <v>28</v>
      </c>
      <c r="K12002" s="11" t="s">
        <v>28</v>
      </c>
      <c r="L12002" s="11" t="s">
        <v>28</v>
      </c>
      <c r="M12002" s="11" t="s">
        <v>28</v>
      </c>
      <c r="N12002" s="8">
        <v>40562</v>
      </c>
      <c r="O12002" s="9" t="s">
        <v>30</v>
      </c>
      <c r="P12002" s="12" t="s">
        <v>33709</v>
      </c>
      <c r="Q12002" s="9" t="s">
        <v>15521</v>
      </c>
      <c r="R12002" s="14" t="str">
        <f>HYPERLINK("https://my.pitchbook.com?c=90545-86T","View Company Online")</f>
        <v>View Company Online</v>
      </c>
    </row>
    <row r="12003" spans="1:18" hidden="1" x14ac:dyDescent="0.3">
      <c r="A12003" s="15" t="s">
        <v>33710</v>
      </c>
      <c r="B12003" s="15" t="s">
        <v>24240</v>
      </c>
      <c r="C12003" s="18" t="s">
        <v>28</v>
      </c>
      <c r="D12003" s="15" t="s">
        <v>24241</v>
      </c>
      <c r="E12003" s="18" t="s">
        <v>28</v>
      </c>
      <c r="F12003" s="19">
        <v>1000</v>
      </c>
      <c r="G12003" s="19">
        <v>500</v>
      </c>
      <c r="H12003" s="19">
        <v>1000</v>
      </c>
      <c r="I12003" s="18" t="s">
        <v>28</v>
      </c>
      <c r="J12003" s="18" t="s">
        <v>28</v>
      </c>
      <c r="K12003" s="18" t="s">
        <v>28</v>
      </c>
      <c r="L12003" s="18" t="s">
        <v>28</v>
      </c>
      <c r="M12003" s="18" t="s">
        <v>28</v>
      </c>
      <c r="N12003" s="17">
        <v>40557</v>
      </c>
      <c r="O12003" s="15" t="s">
        <v>41</v>
      </c>
      <c r="P12003" s="16" t="s">
        <v>33711</v>
      </c>
      <c r="Q12003" s="15" t="s">
        <v>24243</v>
      </c>
      <c r="R12003" s="13" t="str">
        <f>HYPERLINK("https://my.pitchbook.com?c=17903-80T","View Company Online")</f>
        <v>View Company Online</v>
      </c>
    </row>
    <row r="12004" spans="1:18" hidden="1" x14ac:dyDescent="0.3">
      <c r="A12004" s="9" t="s">
        <v>33712</v>
      </c>
      <c r="B12004" s="9" t="s">
        <v>33713</v>
      </c>
      <c r="C12004" s="11" t="s">
        <v>28</v>
      </c>
      <c r="D12004" s="9" t="s">
        <v>33714</v>
      </c>
      <c r="E12004" s="11">
        <v>128.1</v>
      </c>
      <c r="F12004" s="10" t="s">
        <v>28</v>
      </c>
      <c r="G12004" s="10" t="s">
        <v>28</v>
      </c>
      <c r="H12004" s="10" t="s">
        <v>28</v>
      </c>
      <c r="I12004" s="11">
        <v>931.93</v>
      </c>
      <c r="J12004" s="11" t="s">
        <v>28</v>
      </c>
      <c r="K12004" s="11">
        <v>3879.91</v>
      </c>
      <c r="L12004" s="11" t="s">
        <v>28</v>
      </c>
      <c r="M12004" s="11">
        <v>-31.62</v>
      </c>
      <c r="N12004" s="8">
        <v>40556</v>
      </c>
      <c r="O12004" s="9" t="s">
        <v>58</v>
      </c>
      <c r="P12004" s="12" t="s">
        <v>25180</v>
      </c>
      <c r="Q12004" s="9" t="s">
        <v>160</v>
      </c>
      <c r="R12004" s="14" t="str">
        <f>HYPERLINK("https://my.pitchbook.com?c=219125-17T","View Company Online")</f>
        <v>View Company Online</v>
      </c>
    </row>
    <row r="12005" spans="1:18" hidden="1" x14ac:dyDescent="0.3">
      <c r="A12005" s="15" t="s">
        <v>33715</v>
      </c>
      <c r="B12005" s="15" t="s">
        <v>2141</v>
      </c>
      <c r="C12005" s="18" t="s">
        <v>28</v>
      </c>
      <c r="D12005" s="15" t="s">
        <v>33716</v>
      </c>
      <c r="E12005" s="18">
        <v>1114.8499999999999</v>
      </c>
      <c r="F12005" s="19" t="s">
        <v>28</v>
      </c>
      <c r="G12005" s="19" t="s">
        <v>28</v>
      </c>
      <c r="H12005" s="19" t="s">
        <v>28</v>
      </c>
      <c r="I12005" s="18">
        <v>1579.65</v>
      </c>
      <c r="J12005" s="18" t="s">
        <v>28</v>
      </c>
      <c r="K12005" s="18">
        <v>7321.94</v>
      </c>
      <c r="L12005" s="18" t="s">
        <v>28</v>
      </c>
      <c r="M12005" s="18">
        <v>894.54</v>
      </c>
      <c r="N12005" s="17">
        <v>40556</v>
      </c>
      <c r="O12005" s="15" t="s">
        <v>159</v>
      </c>
      <c r="P12005" s="16" t="s">
        <v>33717</v>
      </c>
      <c r="Q12005" s="15" t="s">
        <v>64</v>
      </c>
      <c r="R12005" s="13" t="str">
        <f>HYPERLINK("https://my.pitchbook.com?c=68897-53T","View Company Online")</f>
        <v>View Company Online</v>
      </c>
    </row>
    <row r="12006" spans="1:18" hidden="1" x14ac:dyDescent="0.3">
      <c r="A12006" s="9" t="s">
        <v>33718</v>
      </c>
      <c r="B12006" s="9" t="s">
        <v>18971</v>
      </c>
      <c r="C12006" s="11" t="s">
        <v>28</v>
      </c>
      <c r="D12006" s="9" t="s">
        <v>23891</v>
      </c>
      <c r="E12006" s="11" t="s">
        <v>28</v>
      </c>
      <c r="F12006" s="10" t="s">
        <v>28</v>
      </c>
      <c r="G12006" s="10">
        <v>7.87</v>
      </c>
      <c r="H12006" s="10" t="s">
        <v>28</v>
      </c>
      <c r="I12006" s="11" t="s">
        <v>28</v>
      </c>
      <c r="J12006" s="11" t="s">
        <v>28</v>
      </c>
      <c r="K12006" s="11" t="s">
        <v>28</v>
      </c>
      <c r="L12006" s="11" t="s">
        <v>28</v>
      </c>
      <c r="M12006" s="11" t="s">
        <v>28</v>
      </c>
      <c r="N12006" s="8">
        <v>40555</v>
      </c>
      <c r="O12006" s="9" t="s">
        <v>73</v>
      </c>
      <c r="P12006" s="12" t="s">
        <v>33719</v>
      </c>
      <c r="Q12006" s="9" t="s">
        <v>386</v>
      </c>
      <c r="R12006" s="14" t="str">
        <f>HYPERLINK("https://my.pitchbook.com?c=18427-60T","View Company Online")</f>
        <v>View Company Online</v>
      </c>
    </row>
    <row r="12007" spans="1:18" hidden="1" x14ac:dyDescent="0.3">
      <c r="A12007" s="15" t="s">
        <v>33720</v>
      </c>
      <c r="B12007" s="15" t="s">
        <v>22299</v>
      </c>
      <c r="C12007" s="18" t="s">
        <v>28</v>
      </c>
      <c r="D12007" s="15" t="s">
        <v>22300</v>
      </c>
      <c r="E12007" s="18" t="s">
        <v>28</v>
      </c>
      <c r="F12007" s="19" t="s">
        <v>28</v>
      </c>
      <c r="G12007" s="19" t="s">
        <v>28</v>
      </c>
      <c r="H12007" s="19" t="s">
        <v>28</v>
      </c>
      <c r="I12007" s="18" t="s">
        <v>28</v>
      </c>
      <c r="J12007" s="18" t="s">
        <v>28</v>
      </c>
      <c r="K12007" s="18" t="s">
        <v>28</v>
      </c>
      <c r="L12007" s="18" t="s">
        <v>28</v>
      </c>
      <c r="M12007" s="18" t="s">
        <v>28</v>
      </c>
      <c r="N12007" s="17">
        <v>40554</v>
      </c>
      <c r="O12007" s="15" t="s">
        <v>93</v>
      </c>
      <c r="P12007" s="16" t="s">
        <v>28764</v>
      </c>
      <c r="Q12007" s="15" t="s">
        <v>880</v>
      </c>
      <c r="R12007" s="13" t="str">
        <f>HYPERLINK("https://my.pitchbook.com?c=40062-88T","View Company Online")</f>
        <v>View Company Online</v>
      </c>
    </row>
    <row r="12008" spans="1:18" hidden="1" x14ac:dyDescent="0.3">
      <c r="A12008" s="9" t="s">
        <v>33721</v>
      </c>
      <c r="B12008" s="9" t="s">
        <v>33722</v>
      </c>
      <c r="C12008" s="11" t="s">
        <v>28</v>
      </c>
      <c r="D12008" s="9" t="s">
        <v>33723</v>
      </c>
      <c r="E12008" s="11" t="s">
        <v>28</v>
      </c>
      <c r="F12008" s="10" t="s">
        <v>28</v>
      </c>
      <c r="G12008" s="10" t="s">
        <v>28</v>
      </c>
      <c r="H12008" s="10" t="s">
        <v>28</v>
      </c>
      <c r="I12008" s="11" t="s">
        <v>28</v>
      </c>
      <c r="J12008" s="11" t="s">
        <v>28</v>
      </c>
      <c r="K12008" s="11">
        <v>29.9</v>
      </c>
      <c r="L12008" s="11" t="s">
        <v>28</v>
      </c>
      <c r="M12008" s="11" t="s">
        <v>28</v>
      </c>
      <c r="N12008" s="8">
        <v>40553</v>
      </c>
      <c r="O12008" s="9" t="s">
        <v>30</v>
      </c>
      <c r="P12008" s="12" t="s">
        <v>33724</v>
      </c>
      <c r="Q12008" s="9" t="s">
        <v>1341</v>
      </c>
      <c r="R12008" s="14" t="str">
        <f>HYPERLINK("https://my.pitchbook.com?c=57775-06T","View Company Online")</f>
        <v>View Company Online</v>
      </c>
    </row>
    <row r="12009" spans="1:18" hidden="1" x14ac:dyDescent="0.3">
      <c r="A12009" s="15" t="s">
        <v>33725</v>
      </c>
      <c r="B12009" s="15" t="s">
        <v>33726</v>
      </c>
      <c r="C12009" s="18" t="s">
        <v>28</v>
      </c>
      <c r="D12009" s="15" t="s">
        <v>33727</v>
      </c>
      <c r="E12009" s="18" t="s">
        <v>28</v>
      </c>
      <c r="F12009" s="19" t="s">
        <v>28</v>
      </c>
      <c r="G12009" s="19" t="s">
        <v>28</v>
      </c>
      <c r="H12009" s="19" t="s">
        <v>28</v>
      </c>
      <c r="I12009" s="18" t="s">
        <v>28</v>
      </c>
      <c r="J12009" s="18" t="s">
        <v>28</v>
      </c>
      <c r="K12009" s="18" t="s">
        <v>28</v>
      </c>
      <c r="L12009" s="18" t="s">
        <v>28</v>
      </c>
      <c r="M12009" s="18" t="s">
        <v>28</v>
      </c>
      <c r="N12009" s="17">
        <v>40550</v>
      </c>
      <c r="O12009" s="15" t="s">
        <v>173</v>
      </c>
      <c r="P12009" s="16" t="s">
        <v>28</v>
      </c>
      <c r="Q12009" s="15" t="s">
        <v>174</v>
      </c>
      <c r="R12009" s="13" t="str">
        <f>HYPERLINK("https://my.pitchbook.com?c=224085-70T","View Company Online")</f>
        <v>View Company Online</v>
      </c>
    </row>
    <row r="12010" spans="1:18" hidden="1" x14ac:dyDescent="0.3">
      <c r="A12010" s="9" t="s">
        <v>33728</v>
      </c>
      <c r="B12010" s="9" t="s">
        <v>33729</v>
      </c>
      <c r="C12010" s="11" t="s">
        <v>28</v>
      </c>
      <c r="D12010" s="9" t="s">
        <v>33730</v>
      </c>
      <c r="E12010" s="11" t="s">
        <v>28</v>
      </c>
      <c r="F12010" s="10" t="s">
        <v>28</v>
      </c>
      <c r="G12010" s="10" t="s">
        <v>28</v>
      </c>
      <c r="H12010" s="10" t="s">
        <v>28</v>
      </c>
      <c r="I12010" s="11" t="s">
        <v>28</v>
      </c>
      <c r="J12010" s="11" t="s">
        <v>28</v>
      </c>
      <c r="K12010" s="11">
        <v>2</v>
      </c>
      <c r="L12010" s="11" t="s">
        <v>28</v>
      </c>
      <c r="M12010" s="11" t="s">
        <v>28</v>
      </c>
      <c r="N12010" s="8">
        <v>40548</v>
      </c>
      <c r="O12010" s="9" t="s">
        <v>30</v>
      </c>
      <c r="P12010" s="12" t="s">
        <v>33731</v>
      </c>
      <c r="Q12010" s="9" t="s">
        <v>517</v>
      </c>
      <c r="R12010" s="14" t="str">
        <f>HYPERLINK("https://my.pitchbook.com?c=90888-76T","View Company Online")</f>
        <v>View Company Online</v>
      </c>
    </row>
    <row r="12011" spans="1:18" hidden="1" x14ac:dyDescent="0.3">
      <c r="A12011" s="15" t="s">
        <v>33732</v>
      </c>
      <c r="B12011" s="15" t="s">
        <v>33733</v>
      </c>
      <c r="C12011" s="18" t="s">
        <v>28</v>
      </c>
      <c r="D12011" s="15" t="s">
        <v>33734</v>
      </c>
      <c r="E12011" s="18" t="s">
        <v>28</v>
      </c>
      <c r="F12011" s="19">
        <v>21.8</v>
      </c>
      <c r="G12011" s="19">
        <v>21.8</v>
      </c>
      <c r="H12011" s="19">
        <v>21.8</v>
      </c>
      <c r="I12011" s="18" t="s">
        <v>28</v>
      </c>
      <c r="J12011" s="18" t="s">
        <v>28</v>
      </c>
      <c r="K12011" s="18">
        <v>34</v>
      </c>
      <c r="L12011" s="18">
        <v>0.64</v>
      </c>
      <c r="M12011" s="18" t="s">
        <v>28</v>
      </c>
      <c r="N12011" s="17">
        <v>40546</v>
      </c>
      <c r="O12011" s="15" t="s">
        <v>30</v>
      </c>
      <c r="P12011" s="16" t="s">
        <v>33735</v>
      </c>
      <c r="Q12011" s="15" t="s">
        <v>8035</v>
      </c>
      <c r="R12011" s="13" t="str">
        <f>HYPERLINK("https://my.pitchbook.com?c=98031-16T","View Company Online")</f>
        <v>View Company Online</v>
      </c>
    </row>
    <row r="12012" spans="1:18" hidden="1" x14ac:dyDescent="0.3">
      <c r="A12012" s="9" t="s">
        <v>33736</v>
      </c>
      <c r="B12012" s="9" t="s">
        <v>33737</v>
      </c>
      <c r="C12012" s="11" t="s">
        <v>28</v>
      </c>
      <c r="D12012" s="9" t="s">
        <v>33738</v>
      </c>
      <c r="E12012" s="11" t="s">
        <v>28</v>
      </c>
      <c r="F12012" s="10" t="s">
        <v>28</v>
      </c>
      <c r="G12012" s="10" t="s">
        <v>28</v>
      </c>
      <c r="H12012" s="10" t="s">
        <v>28</v>
      </c>
      <c r="I12012" s="11" t="s">
        <v>28</v>
      </c>
      <c r="J12012" s="11" t="s">
        <v>28</v>
      </c>
      <c r="K12012" s="11" t="s">
        <v>28</v>
      </c>
      <c r="L12012" s="11" t="s">
        <v>28</v>
      </c>
      <c r="M12012" s="11" t="s">
        <v>28</v>
      </c>
      <c r="N12012" s="8">
        <v>40544</v>
      </c>
      <c r="O12012" s="9" t="s">
        <v>30</v>
      </c>
      <c r="P12012" s="12" t="s">
        <v>15861</v>
      </c>
      <c r="Q12012" s="9" t="s">
        <v>1179</v>
      </c>
      <c r="R12012" s="14" t="str">
        <f>HYPERLINK("https://my.pitchbook.com?c=108326-35T","View Company Online")</f>
        <v>View Company Online</v>
      </c>
    </row>
    <row r="12013" spans="1:18" hidden="1" x14ac:dyDescent="0.3">
      <c r="A12013" s="15" t="s">
        <v>33739</v>
      </c>
      <c r="B12013" s="15" t="s">
        <v>26215</v>
      </c>
      <c r="C12013" s="18" t="s">
        <v>28</v>
      </c>
      <c r="D12013" s="15" t="s">
        <v>26216</v>
      </c>
      <c r="E12013" s="18" t="s">
        <v>28</v>
      </c>
      <c r="F12013" s="19" t="s">
        <v>28</v>
      </c>
      <c r="G12013" s="19" t="s">
        <v>28</v>
      </c>
      <c r="H12013" s="19" t="s">
        <v>28</v>
      </c>
      <c r="I12013" s="18" t="s">
        <v>28</v>
      </c>
      <c r="J12013" s="18" t="s">
        <v>28</v>
      </c>
      <c r="K12013" s="18" t="s">
        <v>28</v>
      </c>
      <c r="L12013" s="18" t="s">
        <v>28</v>
      </c>
      <c r="M12013" s="18" t="s">
        <v>28</v>
      </c>
      <c r="N12013" s="17">
        <v>40544</v>
      </c>
      <c r="O12013" s="15" t="s">
        <v>379</v>
      </c>
      <c r="P12013" s="16" t="s">
        <v>33740</v>
      </c>
      <c r="Q12013" s="15" t="s">
        <v>3912</v>
      </c>
      <c r="R12013" s="13" t="str">
        <f>HYPERLINK("https://my.pitchbook.com?c=36903-43T","View Company Online")</f>
        <v>View Company Online</v>
      </c>
    </row>
    <row r="12014" spans="1:18" hidden="1" x14ac:dyDescent="0.3">
      <c r="A12014" s="9" t="s">
        <v>33741</v>
      </c>
      <c r="B12014" s="9" t="s">
        <v>33742</v>
      </c>
      <c r="C12014" s="11" t="s">
        <v>28</v>
      </c>
      <c r="D12014" s="9" t="s">
        <v>33743</v>
      </c>
      <c r="E12014" s="11" t="s">
        <v>28</v>
      </c>
      <c r="F12014" s="10" t="s">
        <v>28</v>
      </c>
      <c r="G12014" s="10" t="s">
        <v>28</v>
      </c>
      <c r="H12014" s="10" t="s">
        <v>28</v>
      </c>
      <c r="I12014" s="11" t="s">
        <v>28</v>
      </c>
      <c r="J12014" s="11" t="s">
        <v>28</v>
      </c>
      <c r="K12014" s="11" t="s">
        <v>28</v>
      </c>
      <c r="L12014" s="11" t="s">
        <v>28</v>
      </c>
      <c r="M12014" s="11" t="s">
        <v>28</v>
      </c>
      <c r="N12014" s="8">
        <v>40544</v>
      </c>
      <c r="O12014" s="9" t="s">
        <v>52</v>
      </c>
      <c r="P12014" s="12" t="s">
        <v>9723</v>
      </c>
      <c r="Q12014" s="9" t="s">
        <v>1336</v>
      </c>
      <c r="R12014" s="14" t="str">
        <f>HYPERLINK("https://my.pitchbook.com?c=99086-50T","View Company Online")</f>
        <v>View Company Online</v>
      </c>
    </row>
    <row r="12015" spans="1:18" hidden="1" x14ac:dyDescent="0.3">
      <c r="A12015" s="15" t="s">
        <v>33744</v>
      </c>
      <c r="B12015" s="15" t="s">
        <v>20236</v>
      </c>
      <c r="C12015" s="18" t="s">
        <v>28</v>
      </c>
      <c r="D12015" s="15" t="s">
        <v>20237</v>
      </c>
      <c r="E12015" s="18" t="s">
        <v>28</v>
      </c>
      <c r="F12015" s="19" t="s">
        <v>28</v>
      </c>
      <c r="G12015" s="19">
        <v>5</v>
      </c>
      <c r="H12015" s="19" t="s">
        <v>28</v>
      </c>
      <c r="I12015" s="18" t="s">
        <v>28</v>
      </c>
      <c r="J12015" s="18" t="s">
        <v>28</v>
      </c>
      <c r="K12015" s="18" t="s">
        <v>28</v>
      </c>
      <c r="L12015" s="18" t="s">
        <v>28</v>
      </c>
      <c r="M12015" s="18" t="s">
        <v>28</v>
      </c>
      <c r="N12015" s="17">
        <v>40544</v>
      </c>
      <c r="O12015" s="15" t="s">
        <v>73</v>
      </c>
      <c r="P12015" s="16" t="s">
        <v>30826</v>
      </c>
      <c r="Q12015" s="15" t="s">
        <v>362</v>
      </c>
      <c r="R12015" s="13" t="str">
        <f>HYPERLINK("https://my.pitchbook.com?c=31511-71T","View Company Online")</f>
        <v>View Company Online</v>
      </c>
    </row>
    <row r="12016" spans="1:18" hidden="1" x14ac:dyDescent="0.3">
      <c r="A12016" s="9" t="s">
        <v>33745</v>
      </c>
      <c r="B12016" s="9" t="s">
        <v>33746</v>
      </c>
      <c r="C12016" s="11" t="s">
        <v>28</v>
      </c>
      <c r="D12016" s="9" t="s">
        <v>33747</v>
      </c>
      <c r="E12016" s="11" t="s">
        <v>28</v>
      </c>
      <c r="F12016" s="10" t="s">
        <v>28</v>
      </c>
      <c r="G12016" s="10" t="s">
        <v>28</v>
      </c>
      <c r="H12016" s="10" t="s">
        <v>28</v>
      </c>
      <c r="I12016" s="11" t="s">
        <v>28</v>
      </c>
      <c r="J12016" s="11" t="s">
        <v>28</v>
      </c>
      <c r="K12016" s="11" t="s">
        <v>28</v>
      </c>
      <c r="L12016" s="11" t="s">
        <v>28</v>
      </c>
      <c r="M12016" s="11" t="s">
        <v>28</v>
      </c>
      <c r="N12016" s="8">
        <v>40544</v>
      </c>
      <c r="O12016" s="9" t="s">
        <v>73</v>
      </c>
      <c r="P12016" s="12" t="s">
        <v>31365</v>
      </c>
      <c r="Q12016" s="9" t="s">
        <v>740</v>
      </c>
      <c r="R12016" s="14" t="str">
        <f>HYPERLINK("https://my.pitchbook.com?c=126598-51T","View Company Online")</f>
        <v>View Company Online</v>
      </c>
    </row>
    <row r="12017" spans="1:18" hidden="1" x14ac:dyDescent="0.3">
      <c r="A12017" s="15" t="s">
        <v>33748</v>
      </c>
      <c r="B12017" s="15" t="s">
        <v>33749</v>
      </c>
      <c r="C12017" s="18" t="s">
        <v>28</v>
      </c>
      <c r="D12017" s="15" t="s">
        <v>33750</v>
      </c>
      <c r="E12017" s="18" t="s">
        <v>28</v>
      </c>
      <c r="F12017" s="19" t="s">
        <v>28</v>
      </c>
      <c r="G12017" s="19" t="s">
        <v>28</v>
      </c>
      <c r="H12017" s="19" t="s">
        <v>28</v>
      </c>
      <c r="I12017" s="18" t="s">
        <v>28</v>
      </c>
      <c r="J12017" s="18" t="s">
        <v>28</v>
      </c>
      <c r="K12017" s="18" t="s">
        <v>28</v>
      </c>
      <c r="L12017" s="18" t="s">
        <v>28</v>
      </c>
      <c r="M12017" s="18" t="s">
        <v>28</v>
      </c>
      <c r="N12017" s="17">
        <v>40544</v>
      </c>
      <c r="O12017" s="15" t="s">
        <v>908</v>
      </c>
      <c r="P12017" s="16" t="s">
        <v>28</v>
      </c>
      <c r="Q12017" s="15" t="s">
        <v>1007</v>
      </c>
      <c r="R12017" s="13" t="str">
        <f>HYPERLINK("https://my.pitchbook.com?c=74411-38T","View Company Online")</f>
        <v>View Company Online</v>
      </c>
    </row>
    <row r="12018" spans="1:18" hidden="1" x14ac:dyDescent="0.3">
      <c r="A12018" s="9" t="s">
        <v>33751</v>
      </c>
      <c r="B12018" s="9" t="s">
        <v>21714</v>
      </c>
      <c r="C12018" s="11" t="s">
        <v>28</v>
      </c>
      <c r="D12018" s="9" t="s">
        <v>29452</v>
      </c>
      <c r="E12018" s="11" t="s">
        <v>28</v>
      </c>
      <c r="F12018" s="10" t="s">
        <v>28</v>
      </c>
      <c r="G12018" s="10" t="s">
        <v>28</v>
      </c>
      <c r="H12018" s="10" t="s">
        <v>28</v>
      </c>
      <c r="I12018" s="11" t="s">
        <v>28</v>
      </c>
      <c r="J12018" s="11" t="s">
        <v>28</v>
      </c>
      <c r="K12018" s="11" t="s">
        <v>28</v>
      </c>
      <c r="L12018" s="11" t="s">
        <v>28</v>
      </c>
      <c r="M12018" s="11" t="s">
        <v>28</v>
      </c>
      <c r="N12018" s="8">
        <v>40544</v>
      </c>
      <c r="O12018" s="9" t="s">
        <v>93</v>
      </c>
      <c r="P12018" s="12" t="s">
        <v>33752</v>
      </c>
      <c r="Q12018" s="9" t="s">
        <v>37</v>
      </c>
      <c r="R12018" s="14" t="str">
        <f>HYPERLINK("https://my.pitchbook.com?c=117773-56T","View Company Online")</f>
        <v>View Company Online</v>
      </c>
    </row>
    <row r="12019" spans="1:18" hidden="1" x14ac:dyDescent="0.3">
      <c r="A12019" s="15" t="s">
        <v>33753</v>
      </c>
      <c r="B12019" s="15" t="s">
        <v>16062</v>
      </c>
      <c r="C12019" s="18" t="s">
        <v>28</v>
      </c>
      <c r="D12019" s="15" t="s">
        <v>16063</v>
      </c>
      <c r="E12019" s="18" t="s">
        <v>28</v>
      </c>
      <c r="F12019" s="19" t="s">
        <v>28</v>
      </c>
      <c r="G12019" s="19" t="s">
        <v>28</v>
      </c>
      <c r="H12019" s="19" t="s">
        <v>28</v>
      </c>
      <c r="I12019" s="18" t="s">
        <v>28</v>
      </c>
      <c r="J12019" s="18" t="s">
        <v>28</v>
      </c>
      <c r="K12019" s="18" t="s">
        <v>28</v>
      </c>
      <c r="L12019" s="18" t="s">
        <v>28</v>
      </c>
      <c r="M12019" s="18" t="s">
        <v>28</v>
      </c>
      <c r="N12019" s="17">
        <v>40544</v>
      </c>
      <c r="O12019" s="15" t="s">
        <v>52</v>
      </c>
      <c r="P12019" s="16" t="s">
        <v>9723</v>
      </c>
      <c r="Q12019" s="15" t="s">
        <v>3973</v>
      </c>
      <c r="R12019" s="13" t="str">
        <f>HYPERLINK("https://my.pitchbook.com?c=99094-78T","View Company Online")</f>
        <v>View Company Online</v>
      </c>
    </row>
    <row r="12020" spans="1:18" hidden="1" x14ac:dyDescent="0.3">
      <c r="A12020" s="9" t="s">
        <v>33754</v>
      </c>
      <c r="B12020" s="9" t="s">
        <v>6831</v>
      </c>
      <c r="C12020" s="11" t="s">
        <v>28</v>
      </c>
      <c r="D12020" s="9" t="s">
        <v>6832</v>
      </c>
      <c r="E12020" s="11" t="s">
        <v>28</v>
      </c>
      <c r="F12020" s="10" t="s">
        <v>28</v>
      </c>
      <c r="G12020" s="10" t="s">
        <v>28</v>
      </c>
      <c r="H12020" s="10" t="s">
        <v>28</v>
      </c>
      <c r="I12020" s="11" t="s">
        <v>28</v>
      </c>
      <c r="J12020" s="11" t="s">
        <v>28</v>
      </c>
      <c r="K12020" s="11" t="s">
        <v>28</v>
      </c>
      <c r="L12020" s="11" t="s">
        <v>28</v>
      </c>
      <c r="M12020" s="11" t="s">
        <v>28</v>
      </c>
      <c r="N12020" s="8">
        <v>40544</v>
      </c>
      <c r="O12020" s="9" t="s">
        <v>41</v>
      </c>
      <c r="P12020" s="12" t="s">
        <v>22561</v>
      </c>
      <c r="Q12020" s="9" t="s">
        <v>5347</v>
      </c>
      <c r="R12020" s="14" t="str">
        <f>HYPERLINK("https://my.pitchbook.com?c=44225-38T","View Company Online")</f>
        <v>View Company Online</v>
      </c>
    </row>
    <row r="12021" spans="1:18" hidden="1" x14ac:dyDescent="0.3">
      <c r="A12021" s="15" t="s">
        <v>33755</v>
      </c>
      <c r="B12021" s="15" t="s">
        <v>29710</v>
      </c>
      <c r="C12021" s="18" t="s">
        <v>28</v>
      </c>
      <c r="D12021" s="15" t="s">
        <v>30628</v>
      </c>
      <c r="E12021" s="18">
        <v>-5.85</v>
      </c>
      <c r="F12021" s="19" t="s">
        <v>28</v>
      </c>
      <c r="G12021" s="19" t="s">
        <v>28</v>
      </c>
      <c r="H12021" s="19" t="s">
        <v>28</v>
      </c>
      <c r="I12021" s="18">
        <v>4.6100000000000003</v>
      </c>
      <c r="J12021" s="18" t="s">
        <v>28</v>
      </c>
      <c r="K12021" s="18">
        <v>58.84</v>
      </c>
      <c r="L12021" s="18" t="s">
        <v>28</v>
      </c>
      <c r="M12021" s="18">
        <v>-8.8800000000000008</v>
      </c>
      <c r="N12021" s="17">
        <v>40544</v>
      </c>
      <c r="O12021" s="15" t="s">
        <v>30</v>
      </c>
      <c r="P12021" s="16" t="s">
        <v>25140</v>
      </c>
      <c r="Q12021" s="15" t="s">
        <v>226</v>
      </c>
      <c r="R12021" s="13" t="str">
        <f>HYPERLINK("https://my.pitchbook.com?c=287630-47T","View Company Online")</f>
        <v>View Company Online</v>
      </c>
    </row>
    <row r="12022" spans="1:18" hidden="1" x14ac:dyDescent="0.3">
      <c r="A12022" s="9" t="s">
        <v>33756</v>
      </c>
      <c r="B12022" s="9" t="s">
        <v>14643</v>
      </c>
      <c r="C12022" s="11" t="s">
        <v>28</v>
      </c>
      <c r="D12022" s="9" t="s">
        <v>16376</v>
      </c>
      <c r="E12022" s="11" t="s">
        <v>28</v>
      </c>
      <c r="F12022" s="10" t="s">
        <v>28</v>
      </c>
      <c r="G12022" s="10">
        <v>102</v>
      </c>
      <c r="H12022" s="10" t="s">
        <v>28</v>
      </c>
      <c r="I12022" s="11" t="s">
        <v>28</v>
      </c>
      <c r="J12022" s="11" t="s">
        <v>28</v>
      </c>
      <c r="K12022" s="11" t="s">
        <v>28</v>
      </c>
      <c r="L12022" s="11" t="s">
        <v>28</v>
      </c>
      <c r="M12022" s="11" t="s">
        <v>28</v>
      </c>
      <c r="N12022" s="8">
        <v>40544</v>
      </c>
      <c r="O12022" s="9" t="s">
        <v>93</v>
      </c>
      <c r="P12022" s="12" t="s">
        <v>32648</v>
      </c>
      <c r="Q12022" s="9" t="s">
        <v>43</v>
      </c>
      <c r="R12022" s="14" t="str">
        <f>HYPERLINK("https://my.pitchbook.com?c=48215-44T","View Company Online")</f>
        <v>View Company Online</v>
      </c>
    </row>
    <row r="12023" spans="1:18" hidden="1" x14ac:dyDescent="0.3">
      <c r="A12023" s="15" t="s">
        <v>33757</v>
      </c>
      <c r="B12023" s="15" t="s">
        <v>33758</v>
      </c>
      <c r="C12023" s="18" t="s">
        <v>28</v>
      </c>
      <c r="D12023" s="15" t="s">
        <v>33759</v>
      </c>
      <c r="E12023" s="18" t="s">
        <v>28</v>
      </c>
      <c r="F12023" s="19" t="s">
        <v>28</v>
      </c>
      <c r="G12023" s="19" t="s">
        <v>28</v>
      </c>
      <c r="H12023" s="19" t="s">
        <v>28</v>
      </c>
      <c r="I12023" s="18" t="s">
        <v>28</v>
      </c>
      <c r="J12023" s="18" t="s">
        <v>28</v>
      </c>
      <c r="K12023" s="18" t="s">
        <v>28</v>
      </c>
      <c r="L12023" s="18" t="s">
        <v>28</v>
      </c>
      <c r="M12023" s="18" t="s">
        <v>28</v>
      </c>
      <c r="N12023" s="17">
        <v>40544</v>
      </c>
      <c r="O12023" s="15" t="s">
        <v>73</v>
      </c>
      <c r="P12023" s="16" t="s">
        <v>33760</v>
      </c>
      <c r="Q12023" s="15" t="s">
        <v>740</v>
      </c>
      <c r="R12023" s="13" t="str">
        <f>HYPERLINK("https://my.pitchbook.com?c=44741-44T","View Company Online")</f>
        <v>View Company Online</v>
      </c>
    </row>
    <row r="12024" spans="1:18" hidden="1" x14ac:dyDescent="0.3">
      <c r="A12024" s="9" t="s">
        <v>33761</v>
      </c>
      <c r="B12024" s="9" t="s">
        <v>28482</v>
      </c>
      <c r="C12024" s="11" t="s">
        <v>28</v>
      </c>
      <c r="D12024" s="9" t="s">
        <v>28483</v>
      </c>
      <c r="E12024" s="11" t="s">
        <v>28</v>
      </c>
      <c r="F12024" s="10" t="s">
        <v>28</v>
      </c>
      <c r="G12024" s="10">
        <v>39.68</v>
      </c>
      <c r="H12024" s="10">
        <v>107.24</v>
      </c>
      <c r="I12024" s="11" t="s">
        <v>28</v>
      </c>
      <c r="J12024" s="11" t="s">
        <v>28</v>
      </c>
      <c r="K12024" s="11" t="s">
        <v>28</v>
      </c>
      <c r="L12024" s="11" t="s">
        <v>28</v>
      </c>
      <c r="M12024" s="11" t="s">
        <v>28</v>
      </c>
      <c r="N12024" s="8">
        <v>40544</v>
      </c>
      <c r="O12024" s="9" t="s">
        <v>58</v>
      </c>
      <c r="P12024" s="12" t="s">
        <v>33762</v>
      </c>
      <c r="Q12024" s="9" t="s">
        <v>136</v>
      </c>
      <c r="R12024" s="14" t="str">
        <f>HYPERLINK("https://my.pitchbook.com?c=207108-28T","View Company Online")</f>
        <v>View Company Online</v>
      </c>
    </row>
    <row r="12025" spans="1:18" hidden="1" x14ac:dyDescent="0.3">
      <c r="A12025" s="15" t="s">
        <v>33763</v>
      </c>
      <c r="B12025" s="15" t="s">
        <v>33764</v>
      </c>
      <c r="C12025" s="18" t="s">
        <v>28</v>
      </c>
      <c r="D12025" s="15" t="s">
        <v>33765</v>
      </c>
      <c r="E12025" s="18" t="s">
        <v>28</v>
      </c>
      <c r="F12025" s="19" t="s">
        <v>28</v>
      </c>
      <c r="G12025" s="19" t="s">
        <v>28</v>
      </c>
      <c r="H12025" s="19" t="s">
        <v>28</v>
      </c>
      <c r="I12025" s="18" t="s">
        <v>28</v>
      </c>
      <c r="J12025" s="18" t="s">
        <v>28</v>
      </c>
      <c r="K12025" s="18" t="s">
        <v>28</v>
      </c>
      <c r="L12025" s="18" t="s">
        <v>28</v>
      </c>
      <c r="M12025" s="18" t="s">
        <v>28</v>
      </c>
      <c r="N12025" s="17">
        <v>40544</v>
      </c>
      <c r="O12025" s="15" t="s">
        <v>30</v>
      </c>
      <c r="P12025" s="16" t="s">
        <v>893</v>
      </c>
      <c r="Q12025" s="15" t="s">
        <v>331</v>
      </c>
      <c r="R12025" s="13" t="str">
        <f>HYPERLINK("https://my.pitchbook.com?c=277226-92T","View Company Online")</f>
        <v>View Company Online</v>
      </c>
    </row>
    <row r="12026" spans="1:18" hidden="1" x14ac:dyDescent="0.3">
      <c r="A12026" s="9" t="s">
        <v>33766</v>
      </c>
      <c r="B12026" s="9" t="s">
        <v>33767</v>
      </c>
      <c r="C12026" s="11" t="s">
        <v>28</v>
      </c>
      <c r="D12026" s="9" t="s">
        <v>33768</v>
      </c>
      <c r="E12026" s="11" t="s">
        <v>28</v>
      </c>
      <c r="F12026" s="10" t="s">
        <v>28</v>
      </c>
      <c r="G12026" s="10" t="s">
        <v>28</v>
      </c>
      <c r="H12026" s="10" t="s">
        <v>28</v>
      </c>
      <c r="I12026" s="11" t="s">
        <v>28</v>
      </c>
      <c r="J12026" s="11" t="s">
        <v>28</v>
      </c>
      <c r="K12026" s="11" t="s">
        <v>28</v>
      </c>
      <c r="L12026" s="11" t="s">
        <v>28</v>
      </c>
      <c r="M12026" s="11" t="s">
        <v>28</v>
      </c>
      <c r="N12026" s="8">
        <v>40544</v>
      </c>
      <c r="O12026" s="9" t="s">
        <v>52</v>
      </c>
      <c r="P12026" s="12" t="s">
        <v>32329</v>
      </c>
      <c r="Q12026" s="9" t="s">
        <v>3912</v>
      </c>
      <c r="R12026" s="14" t="str">
        <f>HYPERLINK("https://my.pitchbook.com?c=51397-12T","View Company Online")</f>
        <v>View Company Online</v>
      </c>
    </row>
    <row r="12027" spans="1:18" hidden="1" x14ac:dyDescent="0.3">
      <c r="A12027" s="15" t="s">
        <v>33769</v>
      </c>
      <c r="B12027" s="15" t="s">
        <v>17247</v>
      </c>
      <c r="C12027" s="18" t="s">
        <v>28</v>
      </c>
      <c r="D12027" s="15" t="s">
        <v>17248</v>
      </c>
      <c r="E12027" s="18" t="s">
        <v>28</v>
      </c>
      <c r="F12027" s="19" t="s">
        <v>28</v>
      </c>
      <c r="G12027" s="19" t="s">
        <v>28</v>
      </c>
      <c r="H12027" s="19" t="s">
        <v>28</v>
      </c>
      <c r="I12027" s="18" t="s">
        <v>28</v>
      </c>
      <c r="J12027" s="18" t="s">
        <v>28</v>
      </c>
      <c r="K12027" s="18" t="s">
        <v>28</v>
      </c>
      <c r="L12027" s="18" t="s">
        <v>28</v>
      </c>
      <c r="M12027" s="18" t="s">
        <v>28</v>
      </c>
      <c r="N12027" s="17">
        <v>40544</v>
      </c>
      <c r="O12027" s="15" t="s">
        <v>52</v>
      </c>
      <c r="P12027" s="16" t="s">
        <v>9723</v>
      </c>
      <c r="Q12027" s="15" t="s">
        <v>658</v>
      </c>
      <c r="R12027" s="13" t="str">
        <f>HYPERLINK("https://my.pitchbook.com?c=99089-92T","View Company Online")</f>
        <v>View Company Online</v>
      </c>
    </row>
    <row r="12028" spans="1:18" hidden="1" x14ac:dyDescent="0.3">
      <c r="A12028" s="9" t="s">
        <v>33770</v>
      </c>
      <c r="B12028" s="9" t="s">
        <v>33771</v>
      </c>
      <c r="C12028" s="11" t="s">
        <v>28</v>
      </c>
      <c r="D12028" s="9" t="s">
        <v>33772</v>
      </c>
      <c r="E12028" s="11" t="s">
        <v>28</v>
      </c>
      <c r="F12028" s="10" t="s">
        <v>28</v>
      </c>
      <c r="G12028" s="10" t="s">
        <v>28</v>
      </c>
      <c r="H12028" s="10" t="s">
        <v>28</v>
      </c>
      <c r="I12028" s="11" t="s">
        <v>28</v>
      </c>
      <c r="J12028" s="11" t="s">
        <v>28</v>
      </c>
      <c r="K12028" s="11" t="s">
        <v>28</v>
      </c>
      <c r="L12028" s="11" t="s">
        <v>28</v>
      </c>
      <c r="M12028" s="11" t="s">
        <v>28</v>
      </c>
      <c r="N12028" s="8">
        <v>40544</v>
      </c>
      <c r="O12028" s="9" t="s">
        <v>30</v>
      </c>
      <c r="P12028" s="12" t="s">
        <v>30367</v>
      </c>
      <c r="Q12028" s="9" t="s">
        <v>409</v>
      </c>
      <c r="R12028" s="14" t="str">
        <f>HYPERLINK("https://my.pitchbook.com?c=218420-20T","View Company Online")</f>
        <v>View Company Online</v>
      </c>
    </row>
    <row r="12029" spans="1:18" hidden="1" x14ac:dyDescent="0.3">
      <c r="A12029" s="15" t="s">
        <v>33773</v>
      </c>
      <c r="B12029" s="15" t="s">
        <v>33774</v>
      </c>
      <c r="C12029" s="18" t="s">
        <v>28</v>
      </c>
      <c r="D12029" s="15" t="s">
        <v>33775</v>
      </c>
      <c r="E12029" s="18" t="s">
        <v>28</v>
      </c>
      <c r="F12029" s="19" t="s">
        <v>28</v>
      </c>
      <c r="G12029" s="19" t="s">
        <v>28</v>
      </c>
      <c r="H12029" s="19" t="s">
        <v>28</v>
      </c>
      <c r="I12029" s="18" t="s">
        <v>28</v>
      </c>
      <c r="J12029" s="18" t="s">
        <v>28</v>
      </c>
      <c r="K12029" s="18" t="s">
        <v>28</v>
      </c>
      <c r="L12029" s="18" t="s">
        <v>28</v>
      </c>
      <c r="M12029" s="18" t="s">
        <v>28</v>
      </c>
      <c r="N12029" s="17">
        <v>40544</v>
      </c>
      <c r="O12029" s="15" t="s">
        <v>30</v>
      </c>
      <c r="P12029" s="16" t="s">
        <v>27386</v>
      </c>
      <c r="Q12029" s="15" t="s">
        <v>419</v>
      </c>
      <c r="R12029" s="13" t="str">
        <f>HYPERLINK("https://my.pitchbook.com?c=216357-76T","View Company Online")</f>
        <v>View Company Online</v>
      </c>
    </row>
    <row r="12030" spans="1:18" hidden="1" x14ac:dyDescent="0.3">
      <c r="A12030" s="9" t="s">
        <v>33776</v>
      </c>
      <c r="B12030" s="9" t="s">
        <v>33777</v>
      </c>
      <c r="C12030" s="11" t="s">
        <v>28</v>
      </c>
      <c r="D12030" s="9" t="s">
        <v>33778</v>
      </c>
      <c r="E12030" s="11" t="s">
        <v>28</v>
      </c>
      <c r="F12030" s="10" t="s">
        <v>28</v>
      </c>
      <c r="G12030" s="10" t="s">
        <v>28</v>
      </c>
      <c r="H12030" s="10" t="s">
        <v>28</v>
      </c>
      <c r="I12030" s="11" t="s">
        <v>28</v>
      </c>
      <c r="J12030" s="11" t="s">
        <v>28</v>
      </c>
      <c r="K12030" s="11" t="s">
        <v>28</v>
      </c>
      <c r="L12030" s="11" t="s">
        <v>28</v>
      </c>
      <c r="M12030" s="11" t="s">
        <v>28</v>
      </c>
      <c r="N12030" s="8">
        <v>40544</v>
      </c>
      <c r="O12030" s="9" t="s">
        <v>30</v>
      </c>
      <c r="P12030" s="12" t="s">
        <v>9174</v>
      </c>
      <c r="Q12030" s="9" t="s">
        <v>424</v>
      </c>
      <c r="R12030" s="14" t="str">
        <f>HYPERLINK("https://my.pitchbook.com?c=256989-34T","View Company Online")</f>
        <v>View Company Online</v>
      </c>
    </row>
    <row r="12031" spans="1:18" hidden="1" x14ac:dyDescent="0.3">
      <c r="A12031" s="15" t="s">
        <v>33779</v>
      </c>
      <c r="B12031" s="15" t="s">
        <v>28313</v>
      </c>
      <c r="C12031" s="18" t="s">
        <v>28</v>
      </c>
      <c r="D12031" s="15" t="s">
        <v>28314</v>
      </c>
      <c r="E12031" s="18" t="s">
        <v>28</v>
      </c>
      <c r="F12031" s="19">
        <v>6.45</v>
      </c>
      <c r="G12031" s="19">
        <v>6.45</v>
      </c>
      <c r="H12031" s="19">
        <v>6.45</v>
      </c>
      <c r="I12031" s="18" t="s">
        <v>28</v>
      </c>
      <c r="J12031" s="18" t="s">
        <v>28</v>
      </c>
      <c r="K12031" s="18" t="s">
        <v>28</v>
      </c>
      <c r="L12031" s="18" t="s">
        <v>28</v>
      </c>
      <c r="M12031" s="18" t="s">
        <v>28</v>
      </c>
      <c r="N12031" s="17">
        <v>40544</v>
      </c>
      <c r="O12031" s="15" t="s">
        <v>30</v>
      </c>
      <c r="P12031" s="16" t="s">
        <v>33780</v>
      </c>
      <c r="Q12031" s="15" t="s">
        <v>517</v>
      </c>
      <c r="R12031" s="13" t="str">
        <f>HYPERLINK("https://my.pitchbook.com?c=66732-04T","View Company Online")</f>
        <v>View Company Online</v>
      </c>
    </row>
    <row r="12032" spans="1:18" hidden="1" x14ac:dyDescent="0.3">
      <c r="A12032" s="9" t="s">
        <v>33781</v>
      </c>
      <c r="B12032" s="9" t="s">
        <v>33782</v>
      </c>
      <c r="C12032" s="11" t="s">
        <v>28</v>
      </c>
      <c r="D12032" s="9" t="s">
        <v>33783</v>
      </c>
      <c r="E12032" s="11" t="s">
        <v>28</v>
      </c>
      <c r="F12032" s="10" t="s">
        <v>28</v>
      </c>
      <c r="G12032" s="10" t="s">
        <v>28</v>
      </c>
      <c r="H12032" s="10" t="s">
        <v>28</v>
      </c>
      <c r="I12032" s="11" t="s">
        <v>28</v>
      </c>
      <c r="J12032" s="11" t="s">
        <v>28</v>
      </c>
      <c r="K12032" s="11" t="s">
        <v>28</v>
      </c>
      <c r="L12032" s="11" t="s">
        <v>28</v>
      </c>
      <c r="M12032" s="11" t="s">
        <v>28</v>
      </c>
      <c r="N12032" s="8">
        <v>40544</v>
      </c>
      <c r="O12032" s="9" t="s">
        <v>58</v>
      </c>
      <c r="P12032" s="12" t="s">
        <v>33784</v>
      </c>
      <c r="Q12032" s="9" t="s">
        <v>3912</v>
      </c>
      <c r="R12032" s="14" t="str">
        <f>HYPERLINK("https://my.pitchbook.com?c=58309-66T","View Company Online")</f>
        <v>View Company Online</v>
      </c>
    </row>
    <row r="12033" spans="1:18" hidden="1" x14ac:dyDescent="0.3">
      <c r="A12033" s="15" t="s">
        <v>33785</v>
      </c>
      <c r="B12033" s="15" t="s">
        <v>10389</v>
      </c>
      <c r="C12033" s="18" t="s">
        <v>28</v>
      </c>
      <c r="D12033" s="15" t="s">
        <v>10390</v>
      </c>
      <c r="E12033" s="18" t="s">
        <v>28</v>
      </c>
      <c r="F12033" s="19" t="s">
        <v>28</v>
      </c>
      <c r="G12033" s="19">
        <v>50</v>
      </c>
      <c r="H12033" s="19" t="s">
        <v>28</v>
      </c>
      <c r="I12033" s="18" t="s">
        <v>28</v>
      </c>
      <c r="J12033" s="18" t="s">
        <v>28</v>
      </c>
      <c r="K12033" s="18" t="s">
        <v>28</v>
      </c>
      <c r="L12033" s="18" t="s">
        <v>28</v>
      </c>
      <c r="M12033" s="18" t="s">
        <v>28</v>
      </c>
      <c r="N12033" s="17">
        <v>40544</v>
      </c>
      <c r="O12033" s="15" t="s">
        <v>73</v>
      </c>
      <c r="P12033" s="16" t="s">
        <v>33786</v>
      </c>
      <c r="Q12033" s="15" t="s">
        <v>740</v>
      </c>
      <c r="R12033" s="13" t="str">
        <f>HYPERLINK("https://my.pitchbook.com?c=27015-04T","View Company Online")</f>
        <v>View Company Online</v>
      </c>
    </row>
    <row r="12034" spans="1:18" hidden="1" x14ac:dyDescent="0.3">
      <c r="A12034" s="9" t="s">
        <v>33787</v>
      </c>
      <c r="B12034" s="9" t="s">
        <v>25955</v>
      </c>
      <c r="C12034" s="11" t="s">
        <v>28</v>
      </c>
      <c r="D12034" s="9" t="s">
        <v>25956</v>
      </c>
      <c r="E12034" s="11" t="s">
        <v>28</v>
      </c>
      <c r="F12034" s="10" t="s">
        <v>28</v>
      </c>
      <c r="G12034" s="10" t="s">
        <v>28</v>
      </c>
      <c r="H12034" s="10" t="s">
        <v>28</v>
      </c>
      <c r="I12034" s="11" t="s">
        <v>28</v>
      </c>
      <c r="J12034" s="11" t="s">
        <v>28</v>
      </c>
      <c r="K12034" s="11" t="s">
        <v>28</v>
      </c>
      <c r="L12034" s="11" t="s">
        <v>28</v>
      </c>
      <c r="M12034" s="11" t="s">
        <v>28</v>
      </c>
      <c r="N12034" s="8">
        <v>40544</v>
      </c>
      <c r="O12034" s="9" t="s">
        <v>93</v>
      </c>
      <c r="P12034" s="12" t="s">
        <v>33788</v>
      </c>
      <c r="Q12034" s="9" t="s">
        <v>2168</v>
      </c>
      <c r="R12034" s="14" t="str">
        <f>HYPERLINK("https://my.pitchbook.com?c=76692-79T","View Company Online")</f>
        <v>View Company Online</v>
      </c>
    </row>
    <row r="12035" spans="1:18" hidden="1" x14ac:dyDescent="0.3">
      <c r="A12035" s="15" t="s">
        <v>33789</v>
      </c>
      <c r="B12035" s="15" t="s">
        <v>33790</v>
      </c>
      <c r="C12035" s="18" t="s">
        <v>28</v>
      </c>
      <c r="D12035" s="15" t="s">
        <v>33791</v>
      </c>
      <c r="E12035" s="18" t="s">
        <v>28</v>
      </c>
      <c r="F12035" s="19" t="s">
        <v>28</v>
      </c>
      <c r="G12035" s="19" t="s">
        <v>28</v>
      </c>
      <c r="H12035" s="19" t="s">
        <v>28</v>
      </c>
      <c r="I12035" s="18" t="s">
        <v>28</v>
      </c>
      <c r="J12035" s="18" t="s">
        <v>28</v>
      </c>
      <c r="K12035" s="18" t="s">
        <v>28</v>
      </c>
      <c r="L12035" s="18" t="s">
        <v>28</v>
      </c>
      <c r="M12035" s="18" t="s">
        <v>28</v>
      </c>
      <c r="N12035" s="17">
        <v>40544</v>
      </c>
      <c r="O12035" s="15" t="s">
        <v>41</v>
      </c>
      <c r="P12035" s="16" t="s">
        <v>33792</v>
      </c>
      <c r="Q12035" s="15" t="s">
        <v>583</v>
      </c>
      <c r="R12035" s="13" t="str">
        <f>HYPERLINK("https://my.pitchbook.com?c=256307-68T","View Company Online")</f>
        <v>View Company Online</v>
      </c>
    </row>
    <row r="12036" spans="1:18" hidden="1" x14ac:dyDescent="0.3">
      <c r="A12036" s="9" t="s">
        <v>33793</v>
      </c>
      <c r="B12036" s="9" t="s">
        <v>514</v>
      </c>
      <c r="C12036" s="11" t="s">
        <v>28</v>
      </c>
      <c r="D12036" s="9" t="s">
        <v>515</v>
      </c>
      <c r="E12036" s="11" t="s">
        <v>28</v>
      </c>
      <c r="F12036" s="10" t="s">
        <v>28</v>
      </c>
      <c r="G12036" s="10" t="s">
        <v>28</v>
      </c>
      <c r="H12036" s="10" t="s">
        <v>28</v>
      </c>
      <c r="I12036" s="11" t="s">
        <v>28</v>
      </c>
      <c r="J12036" s="11" t="s">
        <v>28</v>
      </c>
      <c r="K12036" s="11" t="s">
        <v>28</v>
      </c>
      <c r="L12036" s="11" t="s">
        <v>28</v>
      </c>
      <c r="M12036" s="11" t="s">
        <v>28</v>
      </c>
      <c r="N12036" s="8">
        <v>40544</v>
      </c>
      <c r="O12036" s="9" t="s">
        <v>30</v>
      </c>
      <c r="P12036" s="12" t="s">
        <v>33794</v>
      </c>
      <c r="Q12036" s="9" t="s">
        <v>517</v>
      </c>
      <c r="R12036" s="14" t="str">
        <f>HYPERLINK("https://my.pitchbook.com?c=277244-38T","View Company Online")</f>
        <v>View Company Online</v>
      </c>
    </row>
    <row r="12037" spans="1:18" hidden="1" x14ac:dyDescent="0.3">
      <c r="A12037" s="15" t="s">
        <v>33795</v>
      </c>
      <c r="B12037" s="15" t="s">
        <v>33796</v>
      </c>
      <c r="C12037" s="18" t="s">
        <v>28</v>
      </c>
      <c r="D12037" s="15" t="s">
        <v>33797</v>
      </c>
      <c r="E12037" s="18" t="s">
        <v>28</v>
      </c>
      <c r="F12037" s="19" t="s">
        <v>28</v>
      </c>
      <c r="G12037" s="19" t="s">
        <v>28</v>
      </c>
      <c r="H12037" s="19" t="s">
        <v>28</v>
      </c>
      <c r="I12037" s="18" t="s">
        <v>28</v>
      </c>
      <c r="J12037" s="18" t="s">
        <v>28</v>
      </c>
      <c r="K12037" s="18" t="s">
        <v>28</v>
      </c>
      <c r="L12037" s="18" t="s">
        <v>28</v>
      </c>
      <c r="M12037" s="18" t="s">
        <v>28</v>
      </c>
      <c r="N12037" s="17">
        <v>40544</v>
      </c>
      <c r="O12037" s="15" t="s">
        <v>30</v>
      </c>
      <c r="P12037" s="16" t="s">
        <v>33798</v>
      </c>
      <c r="Q12037" s="15" t="s">
        <v>136</v>
      </c>
      <c r="R12037" s="13" t="str">
        <f>HYPERLINK("https://my.pitchbook.com?c=218590-84T","View Company Online")</f>
        <v>View Company Online</v>
      </c>
    </row>
    <row r="12038" spans="1:18" hidden="1" x14ac:dyDescent="0.3">
      <c r="A12038" s="9" t="s">
        <v>33799</v>
      </c>
      <c r="B12038" s="9" t="s">
        <v>30531</v>
      </c>
      <c r="C12038" s="11" t="s">
        <v>28</v>
      </c>
      <c r="D12038" s="9" t="s">
        <v>30532</v>
      </c>
      <c r="E12038" s="11" t="s">
        <v>28</v>
      </c>
      <c r="F12038" s="10">
        <v>332</v>
      </c>
      <c r="G12038" s="10">
        <v>332</v>
      </c>
      <c r="H12038" s="10">
        <v>332</v>
      </c>
      <c r="I12038" s="11" t="s">
        <v>28</v>
      </c>
      <c r="J12038" s="11" t="s">
        <v>28</v>
      </c>
      <c r="K12038" s="11" t="s">
        <v>28</v>
      </c>
      <c r="L12038" s="11" t="s">
        <v>28</v>
      </c>
      <c r="M12038" s="11" t="s">
        <v>28</v>
      </c>
      <c r="N12038" s="8">
        <v>40544</v>
      </c>
      <c r="O12038" s="9" t="s">
        <v>30</v>
      </c>
      <c r="P12038" s="12" t="s">
        <v>9598</v>
      </c>
      <c r="Q12038" s="9" t="s">
        <v>213</v>
      </c>
      <c r="R12038" s="14" t="str">
        <f>HYPERLINK("https://my.pitchbook.com?c=133111-18T","View Company Online")</f>
        <v>View Company Online</v>
      </c>
    </row>
    <row r="12039" spans="1:18" hidden="1" x14ac:dyDescent="0.3">
      <c r="A12039" s="15" t="s">
        <v>33800</v>
      </c>
      <c r="B12039" s="15" t="s">
        <v>31358</v>
      </c>
      <c r="C12039" s="18" t="s">
        <v>28</v>
      </c>
      <c r="D12039" s="15" t="s">
        <v>31359</v>
      </c>
      <c r="E12039" s="18" t="s">
        <v>28</v>
      </c>
      <c r="F12039" s="19" t="s">
        <v>28</v>
      </c>
      <c r="G12039" s="19" t="s">
        <v>28</v>
      </c>
      <c r="H12039" s="19" t="s">
        <v>28</v>
      </c>
      <c r="I12039" s="18" t="s">
        <v>28</v>
      </c>
      <c r="J12039" s="18" t="s">
        <v>28</v>
      </c>
      <c r="K12039" s="18" t="s">
        <v>28</v>
      </c>
      <c r="L12039" s="18" t="s">
        <v>28</v>
      </c>
      <c r="M12039" s="18" t="s">
        <v>28</v>
      </c>
      <c r="N12039" s="17">
        <v>40544</v>
      </c>
      <c r="O12039" s="15" t="s">
        <v>52</v>
      </c>
      <c r="P12039" s="16" t="s">
        <v>33801</v>
      </c>
      <c r="Q12039" s="15" t="s">
        <v>583</v>
      </c>
      <c r="R12039" s="13" t="str">
        <f>HYPERLINK("https://my.pitchbook.com?c=65574-46T","View Company Online")</f>
        <v>View Company Online</v>
      </c>
    </row>
    <row r="12040" spans="1:18" hidden="1" x14ac:dyDescent="0.3">
      <c r="A12040" s="9" t="s">
        <v>33802</v>
      </c>
      <c r="B12040" s="9" t="s">
        <v>33803</v>
      </c>
      <c r="C12040" s="11" t="s">
        <v>28</v>
      </c>
      <c r="D12040" s="9" t="s">
        <v>33804</v>
      </c>
      <c r="E12040" s="11" t="s">
        <v>28</v>
      </c>
      <c r="F12040" s="10" t="s">
        <v>28</v>
      </c>
      <c r="G12040" s="10" t="s">
        <v>28</v>
      </c>
      <c r="H12040" s="10" t="s">
        <v>28</v>
      </c>
      <c r="I12040" s="11" t="s">
        <v>28</v>
      </c>
      <c r="J12040" s="11" t="s">
        <v>28</v>
      </c>
      <c r="K12040" s="11" t="s">
        <v>28</v>
      </c>
      <c r="L12040" s="11" t="s">
        <v>28</v>
      </c>
      <c r="M12040" s="11" t="s">
        <v>28</v>
      </c>
      <c r="N12040" s="8">
        <v>40544</v>
      </c>
      <c r="O12040" s="9" t="s">
        <v>30</v>
      </c>
      <c r="P12040" s="12" t="s">
        <v>28</v>
      </c>
      <c r="Q12040" s="9" t="s">
        <v>245</v>
      </c>
      <c r="R12040" s="14" t="str">
        <f>HYPERLINK("https://my.pitchbook.com?c=278541-73T","View Company Online")</f>
        <v>View Company Online</v>
      </c>
    </row>
    <row r="12041" spans="1:18" hidden="1" x14ac:dyDescent="0.3">
      <c r="A12041" s="15" t="s">
        <v>33805</v>
      </c>
      <c r="B12041" s="15" t="s">
        <v>30513</v>
      </c>
      <c r="C12041" s="18" t="s">
        <v>28</v>
      </c>
      <c r="D12041" s="15" t="s">
        <v>30514</v>
      </c>
      <c r="E12041" s="18" t="s">
        <v>28</v>
      </c>
      <c r="F12041" s="19" t="s">
        <v>28</v>
      </c>
      <c r="G12041" s="19" t="s">
        <v>28</v>
      </c>
      <c r="H12041" s="19" t="s">
        <v>28</v>
      </c>
      <c r="I12041" s="18" t="s">
        <v>28</v>
      </c>
      <c r="J12041" s="18" t="s">
        <v>28</v>
      </c>
      <c r="K12041" s="18" t="s">
        <v>28</v>
      </c>
      <c r="L12041" s="18" t="s">
        <v>28</v>
      </c>
      <c r="M12041" s="18" t="s">
        <v>28</v>
      </c>
      <c r="N12041" s="17">
        <v>40544</v>
      </c>
      <c r="O12041" s="15" t="s">
        <v>1285</v>
      </c>
      <c r="P12041" s="16" t="s">
        <v>33806</v>
      </c>
      <c r="Q12041" s="15" t="s">
        <v>105</v>
      </c>
      <c r="R12041" s="13" t="str">
        <f>HYPERLINK("https://my.pitchbook.com?c=28099-90T","View Company Online")</f>
        <v>View Company Online</v>
      </c>
    </row>
    <row r="12042" spans="1:18" hidden="1" x14ac:dyDescent="0.3">
      <c r="A12042" s="9" t="s">
        <v>33807</v>
      </c>
      <c r="B12042" s="9" t="s">
        <v>33808</v>
      </c>
      <c r="C12042" s="11" t="s">
        <v>28</v>
      </c>
      <c r="D12042" s="9" t="s">
        <v>33809</v>
      </c>
      <c r="E12042" s="11" t="s">
        <v>28</v>
      </c>
      <c r="F12042" s="10" t="s">
        <v>28</v>
      </c>
      <c r="G12042" s="10" t="s">
        <v>28</v>
      </c>
      <c r="H12042" s="10" t="s">
        <v>28</v>
      </c>
      <c r="I12042" s="11" t="s">
        <v>28</v>
      </c>
      <c r="J12042" s="11" t="s">
        <v>28</v>
      </c>
      <c r="K12042" s="11" t="s">
        <v>28</v>
      </c>
      <c r="L12042" s="11" t="s">
        <v>28</v>
      </c>
      <c r="M12042" s="11" t="s">
        <v>28</v>
      </c>
      <c r="N12042" s="8">
        <v>40544</v>
      </c>
      <c r="O12042" s="9" t="s">
        <v>30</v>
      </c>
      <c r="P12042" s="12" t="s">
        <v>30334</v>
      </c>
      <c r="Q12042" s="9" t="s">
        <v>75</v>
      </c>
      <c r="R12042" s="14" t="str">
        <f>HYPERLINK("https://my.pitchbook.com?c=155350-09T","View Company Online")</f>
        <v>View Company Online</v>
      </c>
    </row>
    <row r="12043" spans="1:18" hidden="1" x14ac:dyDescent="0.3">
      <c r="A12043" s="15" t="s">
        <v>33810</v>
      </c>
      <c r="B12043" s="15" t="s">
        <v>33811</v>
      </c>
      <c r="C12043" s="18" t="s">
        <v>28</v>
      </c>
      <c r="D12043" s="15" t="s">
        <v>33812</v>
      </c>
      <c r="E12043" s="18" t="s">
        <v>28</v>
      </c>
      <c r="F12043" s="19" t="s">
        <v>28</v>
      </c>
      <c r="G12043" s="19" t="s">
        <v>28</v>
      </c>
      <c r="H12043" s="19" t="s">
        <v>28</v>
      </c>
      <c r="I12043" s="18" t="s">
        <v>28</v>
      </c>
      <c r="J12043" s="18" t="s">
        <v>28</v>
      </c>
      <c r="K12043" s="18" t="s">
        <v>28</v>
      </c>
      <c r="L12043" s="18" t="s">
        <v>28</v>
      </c>
      <c r="M12043" s="18" t="s">
        <v>28</v>
      </c>
      <c r="N12043" s="17">
        <v>40544</v>
      </c>
      <c r="O12043" s="15" t="s">
        <v>30</v>
      </c>
      <c r="P12043" s="16" t="s">
        <v>33813</v>
      </c>
      <c r="Q12043" s="15" t="s">
        <v>470</v>
      </c>
      <c r="R12043" s="13" t="str">
        <f>HYPERLINK("https://my.pitchbook.com?c=73508-68T","View Company Online")</f>
        <v>View Company Online</v>
      </c>
    </row>
    <row r="12044" spans="1:18" hidden="1" x14ac:dyDescent="0.3">
      <c r="A12044" s="9" t="s">
        <v>33814</v>
      </c>
      <c r="B12044" s="9" t="s">
        <v>33815</v>
      </c>
      <c r="C12044" s="11" t="s">
        <v>28</v>
      </c>
      <c r="D12044" s="9" t="s">
        <v>33816</v>
      </c>
      <c r="E12044" s="11" t="s">
        <v>28</v>
      </c>
      <c r="F12044" s="10" t="s">
        <v>28</v>
      </c>
      <c r="G12044" s="10" t="s">
        <v>28</v>
      </c>
      <c r="H12044" s="10" t="s">
        <v>28</v>
      </c>
      <c r="I12044" s="11" t="s">
        <v>28</v>
      </c>
      <c r="J12044" s="11" t="s">
        <v>28</v>
      </c>
      <c r="K12044" s="11" t="s">
        <v>28</v>
      </c>
      <c r="L12044" s="11" t="s">
        <v>28</v>
      </c>
      <c r="M12044" s="11" t="s">
        <v>28</v>
      </c>
      <c r="N12044" s="8">
        <v>40544</v>
      </c>
      <c r="O12044" s="9" t="s">
        <v>30</v>
      </c>
      <c r="P12044" s="12" t="s">
        <v>13759</v>
      </c>
      <c r="Q12044" s="9" t="s">
        <v>136</v>
      </c>
      <c r="R12044" s="14" t="str">
        <f>HYPERLINK("https://my.pitchbook.com?c=98799-67T","View Company Online")</f>
        <v>View Company Online</v>
      </c>
    </row>
    <row r="12045" spans="1:18" hidden="1" x14ac:dyDescent="0.3">
      <c r="A12045" s="15" t="s">
        <v>33817</v>
      </c>
      <c r="B12045" s="15" t="s">
        <v>694</v>
      </c>
      <c r="C12045" s="18" t="s">
        <v>28</v>
      </c>
      <c r="D12045" s="15" t="s">
        <v>695</v>
      </c>
      <c r="E12045" s="18" t="s">
        <v>28</v>
      </c>
      <c r="F12045" s="19" t="s">
        <v>28</v>
      </c>
      <c r="G12045" s="19" t="s">
        <v>28</v>
      </c>
      <c r="H12045" s="19" t="s">
        <v>28</v>
      </c>
      <c r="I12045" s="18" t="s">
        <v>28</v>
      </c>
      <c r="J12045" s="18" t="s">
        <v>28</v>
      </c>
      <c r="K12045" s="18" t="s">
        <v>28</v>
      </c>
      <c r="L12045" s="18" t="s">
        <v>28</v>
      </c>
      <c r="M12045" s="18" t="s">
        <v>28</v>
      </c>
      <c r="N12045" s="17">
        <v>40544</v>
      </c>
      <c r="O12045" s="15" t="s">
        <v>93</v>
      </c>
      <c r="P12045" s="16" t="s">
        <v>33818</v>
      </c>
      <c r="Q12045" s="15" t="s">
        <v>696</v>
      </c>
      <c r="R12045" s="13" t="str">
        <f>HYPERLINK("https://my.pitchbook.com?c=37559-89T","View Company Online")</f>
        <v>View Company Online</v>
      </c>
    </row>
    <row r="12046" spans="1:18" hidden="1" x14ac:dyDescent="0.3">
      <c r="A12046" s="9" t="s">
        <v>33819</v>
      </c>
      <c r="B12046" s="9" t="s">
        <v>8839</v>
      </c>
      <c r="C12046" s="11" t="s">
        <v>28</v>
      </c>
      <c r="D12046" s="9" t="s">
        <v>8840</v>
      </c>
      <c r="E12046" s="11" t="s">
        <v>28</v>
      </c>
      <c r="F12046" s="10" t="s">
        <v>28</v>
      </c>
      <c r="G12046" s="10" t="s">
        <v>28</v>
      </c>
      <c r="H12046" s="10" t="s">
        <v>28</v>
      </c>
      <c r="I12046" s="11" t="s">
        <v>28</v>
      </c>
      <c r="J12046" s="11" t="s">
        <v>28</v>
      </c>
      <c r="K12046" s="11" t="s">
        <v>28</v>
      </c>
      <c r="L12046" s="11" t="s">
        <v>28</v>
      </c>
      <c r="M12046" s="11" t="s">
        <v>28</v>
      </c>
      <c r="N12046" s="8">
        <v>40544</v>
      </c>
      <c r="O12046" s="9" t="s">
        <v>99</v>
      </c>
      <c r="P12046" s="12" t="s">
        <v>33820</v>
      </c>
      <c r="Q12046" s="9" t="s">
        <v>386</v>
      </c>
      <c r="R12046" s="14" t="str">
        <f>HYPERLINK("https://my.pitchbook.com?c=172357-75T","View Company Online")</f>
        <v>View Company Online</v>
      </c>
    </row>
    <row r="12047" spans="1:18" hidden="1" x14ac:dyDescent="0.3">
      <c r="A12047" s="15" t="s">
        <v>33821</v>
      </c>
      <c r="B12047" s="15" t="s">
        <v>33822</v>
      </c>
      <c r="C12047" s="18" t="s">
        <v>28</v>
      </c>
      <c r="D12047" s="15" t="s">
        <v>33823</v>
      </c>
      <c r="E12047" s="18" t="s">
        <v>28</v>
      </c>
      <c r="F12047" s="19" t="s">
        <v>28</v>
      </c>
      <c r="G12047" s="19" t="s">
        <v>28</v>
      </c>
      <c r="H12047" s="19" t="s">
        <v>28</v>
      </c>
      <c r="I12047" s="18" t="s">
        <v>28</v>
      </c>
      <c r="J12047" s="18" t="s">
        <v>28</v>
      </c>
      <c r="K12047" s="18">
        <v>1.99</v>
      </c>
      <c r="L12047" s="18" t="s">
        <v>28</v>
      </c>
      <c r="M12047" s="18" t="s">
        <v>28</v>
      </c>
      <c r="N12047" s="17">
        <v>40544</v>
      </c>
      <c r="O12047" s="15" t="s">
        <v>30</v>
      </c>
      <c r="P12047" s="16" t="s">
        <v>33824</v>
      </c>
      <c r="Q12047" s="15" t="s">
        <v>136</v>
      </c>
      <c r="R12047" s="13" t="str">
        <f>HYPERLINK("https://my.pitchbook.com?c=90628-75T","View Company Online")</f>
        <v>View Company Online</v>
      </c>
    </row>
    <row r="12048" spans="1:18" hidden="1" x14ac:dyDescent="0.3">
      <c r="A12048" s="9" t="s">
        <v>33825</v>
      </c>
      <c r="B12048" s="9" t="s">
        <v>33826</v>
      </c>
      <c r="C12048" s="11" t="s">
        <v>28</v>
      </c>
      <c r="D12048" s="9" t="s">
        <v>33827</v>
      </c>
      <c r="E12048" s="11" t="s">
        <v>28</v>
      </c>
      <c r="F12048" s="10" t="s">
        <v>28</v>
      </c>
      <c r="G12048" s="10" t="s">
        <v>28</v>
      </c>
      <c r="H12048" s="10" t="s">
        <v>28</v>
      </c>
      <c r="I12048" s="11" t="s">
        <v>28</v>
      </c>
      <c r="J12048" s="11" t="s">
        <v>28</v>
      </c>
      <c r="K12048" s="11" t="s">
        <v>28</v>
      </c>
      <c r="L12048" s="11" t="s">
        <v>28</v>
      </c>
      <c r="M12048" s="11" t="s">
        <v>28</v>
      </c>
      <c r="N12048" s="8">
        <v>40544</v>
      </c>
      <c r="O12048" s="9" t="s">
        <v>30</v>
      </c>
      <c r="P12048" s="12" t="s">
        <v>33828</v>
      </c>
      <c r="Q12048" s="9" t="s">
        <v>353</v>
      </c>
      <c r="R12048" s="14" t="str">
        <f>HYPERLINK("https://my.pitchbook.com?c=102168-01T","View Company Online")</f>
        <v>View Company Online</v>
      </c>
    </row>
    <row r="12049" spans="1:18" hidden="1" x14ac:dyDescent="0.3">
      <c r="A12049" s="15" t="s">
        <v>33829</v>
      </c>
      <c r="B12049" s="15" t="s">
        <v>33830</v>
      </c>
      <c r="C12049" s="18" t="s">
        <v>28</v>
      </c>
      <c r="D12049" s="15" t="s">
        <v>33831</v>
      </c>
      <c r="E12049" s="18" t="s">
        <v>28</v>
      </c>
      <c r="F12049" s="19" t="s">
        <v>28</v>
      </c>
      <c r="G12049" s="19" t="s">
        <v>28</v>
      </c>
      <c r="H12049" s="19" t="s">
        <v>28</v>
      </c>
      <c r="I12049" s="18" t="s">
        <v>28</v>
      </c>
      <c r="J12049" s="18" t="s">
        <v>28</v>
      </c>
      <c r="K12049" s="18" t="s">
        <v>28</v>
      </c>
      <c r="L12049" s="18" t="s">
        <v>28</v>
      </c>
      <c r="M12049" s="18" t="s">
        <v>28</v>
      </c>
      <c r="N12049" s="17">
        <v>40544</v>
      </c>
      <c r="O12049" s="15" t="s">
        <v>30</v>
      </c>
      <c r="P12049" s="16" t="s">
        <v>9050</v>
      </c>
      <c r="Q12049" s="15" t="s">
        <v>95</v>
      </c>
      <c r="R12049" s="13" t="str">
        <f>HYPERLINK("https://my.pitchbook.com?c=211725-91T","View Company Online")</f>
        <v>View Company Online</v>
      </c>
    </row>
    <row r="12050" spans="1:18" hidden="1" x14ac:dyDescent="0.3">
      <c r="A12050" s="9" t="s">
        <v>33832</v>
      </c>
      <c r="B12050" s="9" t="s">
        <v>33833</v>
      </c>
      <c r="C12050" s="11" t="s">
        <v>28</v>
      </c>
      <c r="D12050" s="9" t="s">
        <v>33834</v>
      </c>
      <c r="E12050" s="11" t="s">
        <v>28</v>
      </c>
      <c r="F12050" s="10" t="s">
        <v>28</v>
      </c>
      <c r="G12050" s="10" t="s">
        <v>28</v>
      </c>
      <c r="H12050" s="10" t="s">
        <v>28</v>
      </c>
      <c r="I12050" s="11" t="s">
        <v>28</v>
      </c>
      <c r="J12050" s="11" t="s">
        <v>28</v>
      </c>
      <c r="K12050" s="11" t="s">
        <v>28</v>
      </c>
      <c r="L12050" s="11" t="s">
        <v>28</v>
      </c>
      <c r="M12050" s="11" t="s">
        <v>28</v>
      </c>
      <c r="N12050" s="8">
        <v>40544</v>
      </c>
      <c r="O12050" s="9" t="s">
        <v>30</v>
      </c>
      <c r="P12050" s="12" t="s">
        <v>20357</v>
      </c>
      <c r="Q12050" s="9" t="s">
        <v>1734</v>
      </c>
      <c r="R12050" s="14" t="str">
        <f>HYPERLINK("https://my.pitchbook.com?c=257462-92T","View Company Online")</f>
        <v>View Company Online</v>
      </c>
    </row>
    <row r="12051" spans="1:18" hidden="1" x14ac:dyDescent="0.3">
      <c r="A12051" s="15" t="s">
        <v>33835</v>
      </c>
      <c r="B12051" s="15" t="s">
        <v>33836</v>
      </c>
      <c r="C12051" s="18" t="s">
        <v>28</v>
      </c>
      <c r="D12051" s="15" t="s">
        <v>33837</v>
      </c>
      <c r="E12051" s="18" t="s">
        <v>28</v>
      </c>
      <c r="F12051" s="19" t="s">
        <v>28</v>
      </c>
      <c r="G12051" s="19" t="s">
        <v>28</v>
      </c>
      <c r="H12051" s="19" t="s">
        <v>28</v>
      </c>
      <c r="I12051" s="18" t="s">
        <v>28</v>
      </c>
      <c r="J12051" s="18" t="s">
        <v>28</v>
      </c>
      <c r="K12051" s="18" t="s">
        <v>28</v>
      </c>
      <c r="L12051" s="18" t="s">
        <v>28</v>
      </c>
      <c r="M12051" s="18" t="s">
        <v>28</v>
      </c>
      <c r="N12051" s="17">
        <v>40544</v>
      </c>
      <c r="O12051" s="15" t="s">
        <v>73</v>
      </c>
      <c r="P12051" s="16" t="s">
        <v>33838</v>
      </c>
      <c r="Q12051" s="15" t="s">
        <v>855</v>
      </c>
      <c r="R12051" s="13" t="str">
        <f>HYPERLINK("https://my.pitchbook.com?c=126600-04T","View Company Online")</f>
        <v>View Company Online</v>
      </c>
    </row>
    <row r="12052" spans="1:18" hidden="1" x14ac:dyDescent="0.3">
      <c r="A12052" s="9" t="s">
        <v>33839</v>
      </c>
      <c r="B12052" s="9" t="s">
        <v>33840</v>
      </c>
      <c r="C12052" s="11" t="s">
        <v>28</v>
      </c>
      <c r="D12052" s="9" t="s">
        <v>33841</v>
      </c>
      <c r="E12052" s="11" t="s">
        <v>28</v>
      </c>
      <c r="F12052" s="10" t="s">
        <v>28</v>
      </c>
      <c r="G12052" s="10" t="s">
        <v>28</v>
      </c>
      <c r="H12052" s="10" t="s">
        <v>28</v>
      </c>
      <c r="I12052" s="11" t="s">
        <v>28</v>
      </c>
      <c r="J12052" s="11" t="s">
        <v>28</v>
      </c>
      <c r="K12052" s="11" t="s">
        <v>28</v>
      </c>
      <c r="L12052" s="11" t="s">
        <v>28</v>
      </c>
      <c r="M12052" s="11" t="s">
        <v>28</v>
      </c>
      <c r="N12052" s="8">
        <v>40544</v>
      </c>
      <c r="O12052" s="9" t="s">
        <v>30</v>
      </c>
      <c r="P12052" s="12" t="s">
        <v>33842</v>
      </c>
      <c r="Q12052" s="9" t="s">
        <v>658</v>
      </c>
      <c r="R12052" s="14" t="str">
        <f>HYPERLINK("https://my.pitchbook.com?c=297282-97T","View Company Online")</f>
        <v>View Company Online</v>
      </c>
    </row>
    <row r="12053" spans="1:18" hidden="1" x14ac:dyDescent="0.3">
      <c r="A12053" s="15" t="s">
        <v>33843</v>
      </c>
      <c r="B12053" s="15" t="s">
        <v>29258</v>
      </c>
      <c r="C12053" s="18" t="s">
        <v>28</v>
      </c>
      <c r="D12053" s="15" t="s">
        <v>29259</v>
      </c>
      <c r="E12053" s="18" t="s">
        <v>28</v>
      </c>
      <c r="F12053" s="19" t="s">
        <v>28</v>
      </c>
      <c r="G12053" s="19" t="s">
        <v>28</v>
      </c>
      <c r="H12053" s="19" t="s">
        <v>28</v>
      </c>
      <c r="I12053" s="18" t="s">
        <v>28</v>
      </c>
      <c r="J12053" s="18" t="s">
        <v>28</v>
      </c>
      <c r="K12053" s="18" t="s">
        <v>28</v>
      </c>
      <c r="L12053" s="18" t="s">
        <v>28</v>
      </c>
      <c r="M12053" s="18" t="s">
        <v>28</v>
      </c>
      <c r="N12053" s="17">
        <v>40544</v>
      </c>
      <c r="O12053" s="15" t="s">
        <v>52</v>
      </c>
      <c r="P12053" s="16" t="s">
        <v>9723</v>
      </c>
      <c r="Q12053" s="15" t="s">
        <v>855</v>
      </c>
      <c r="R12053" s="13" t="str">
        <f>HYPERLINK("https://my.pitchbook.com?c=73160-11T","View Company Online")</f>
        <v>View Company Online</v>
      </c>
    </row>
    <row r="12054" spans="1:18" hidden="1" x14ac:dyDescent="0.3">
      <c r="A12054" s="9" t="s">
        <v>33844</v>
      </c>
      <c r="B12054" s="9" t="s">
        <v>17259</v>
      </c>
      <c r="C12054" s="11" t="s">
        <v>28</v>
      </c>
      <c r="D12054" s="9" t="s">
        <v>17928</v>
      </c>
      <c r="E12054" s="11" t="s">
        <v>28</v>
      </c>
      <c r="F12054" s="10" t="s">
        <v>28</v>
      </c>
      <c r="G12054" s="10" t="s">
        <v>28</v>
      </c>
      <c r="H12054" s="10" t="s">
        <v>28</v>
      </c>
      <c r="I12054" s="11" t="s">
        <v>28</v>
      </c>
      <c r="J12054" s="11" t="s">
        <v>28</v>
      </c>
      <c r="K12054" s="11" t="s">
        <v>28</v>
      </c>
      <c r="L12054" s="11" t="s">
        <v>28</v>
      </c>
      <c r="M12054" s="11" t="s">
        <v>28</v>
      </c>
      <c r="N12054" s="8">
        <v>40544</v>
      </c>
      <c r="O12054" s="9" t="s">
        <v>93</v>
      </c>
      <c r="P12054" s="12" t="s">
        <v>33845</v>
      </c>
      <c r="Q12054" s="9" t="s">
        <v>226</v>
      </c>
      <c r="R12054" s="14" t="str">
        <f>HYPERLINK("https://my.pitchbook.com?c=73497-16T","View Company Online")</f>
        <v>View Company Online</v>
      </c>
    </row>
    <row r="12055" spans="1:18" hidden="1" x14ac:dyDescent="0.3">
      <c r="A12055" s="15" t="s">
        <v>33846</v>
      </c>
      <c r="B12055" s="15" t="s">
        <v>33847</v>
      </c>
      <c r="C12055" s="18" t="s">
        <v>28</v>
      </c>
      <c r="D12055" s="15" t="s">
        <v>33848</v>
      </c>
      <c r="E12055" s="18" t="s">
        <v>28</v>
      </c>
      <c r="F12055" s="19" t="s">
        <v>28</v>
      </c>
      <c r="G12055" s="19" t="s">
        <v>28</v>
      </c>
      <c r="H12055" s="19" t="s">
        <v>28</v>
      </c>
      <c r="I12055" s="18" t="s">
        <v>28</v>
      </c>
      <c r="J12055" s="18" t="s">
        <v>28</v>
      </c>
      <c r="K12055" s="18" t="s">
        <v>28</v>
      </c>
      <c r="L12055" s="18" t="s">
        <v>28</v>
      </c>
      <c r="M12055" s="18" t="s">
        <v>28</v>
      </c>
      <c r="N12055" s="17">
        <v>40544</v>
      </c>
      <c r="O12055" s="15" t="s">
        <v>30</v>
      </c>
      <c r="P12055" s="16" t="s">
        <v>33849</v>
      </c>
      <c r="Q12055" s="15" t="s">
        <v>1007</v>
      </c>
      <c r="R12055" s="13" t="str">
        <f>HYPERLINK("https://my.pitchbook.com?c=47167-21T","View Company Online")</f>
        <v>View Company Online</v>
      </c>
    </row>
    <row r="12056" spans="1:18" hidden="1" x14ac:dyDescent="0.3">
      <c r="A12056" s="9" t="s">
        <v>33850</v>
      </c>
      <c r="B12056" s="9" t="s">
        <v>10696</v>
      </c>
      <c r="C12056" s="11" t="s">
        <v>28</v>
      </c>
      <c r="D12056" s="9" t="s">
        <v>10697</v>
      </c>
      <c r="E12056" s="11" t="s">
        <v>28</v>
      </c>
      <c r="F12056" s="10" t="s">
        <v>28</v>
      </c>
      <c r="G12056" s="10">
        <v>1.17</v>
      </c>
      <c r="H12056" s="10" t="s">
        <v>28</v>
      </c>
      <c r="I12056" s="11" t="s">
        <v>28</v>
      </c>
      <c r="J12056" s="11" t="s">
        <v>28</v>
      </c>
      <c r="K12056" s="11" t="s">
        <v>28</v>
      </c>
      <c r="L12056" s="11" t="s">
        <v>28</v>
      </c>
      <c r="M12056" s="11" t="s">
        <v>28</v>
      </c>
      <c r="N12056" s="8">
        <v>40544</v>
      </c>
      <c r="O12056" s="9" t="s">
        <v>99</v>
      </c>
      <c r="P12056" s="12" t="s">
        <v>28</v>
      </c>
      <c r="Q12056" s="9" t="s">
        <v>774</v>
      </c>
      <c r="R12056" s="14" t="str">
        <f>HYPERLINK("https://my.pitchbook.com?c=214706-44T","View Company Online")</f>
        <v>View Company Online</v>
      </c>
    </row>
    <row r="12057" spans="1:18" hidden="1" x14ac:dyDescent="0.3">
      <c r="A12057" s="15" t="s">
        <v>33851</v>
      </c>
      <c r="B12057" s="15" t="s">
        <v>23325</v>
      </c>
      <c r="C12057" s="18" t="s">
        <v>28</v>
      </c>
      <c r="D12057" s="15" t="s">
        <v>23326</v>
      </c>
      <c r="E12057" s="18" t="s">
        <v>28</v>
      </c>
      <c r="F12057" s="19" t="s">
        <v>28</v>
      </c>
      <c r="G12057" s="19" t="s">
        <v>28</v>
      </c>
      <c r="H12057" s="19" t="s">
        <v>28</v>
      </c>
      <c r="I12057" s="18" t="s">
        <v>28</v>
      </c>
      <c r="J12057" s="18" t="s">
        <v>28</v>
      </c>
      <c r="K12057" s="18" t="s">
        <v>28</v>
      </c>
      <c r="L12057" s="18" t="s">
        <v>28</v>
      </c>
      <c r="M12057" s="18" t="s">
        <v>28</v>
      </c>
      <c r="N12057" s="17">
        <v>40544</v>
      </c>
      <c r="O12057" s="15" t="s">
        <v>52</v>
      </c>
      <c r="P12057" s="16" t="s">
        <v>9723</v>
      </c>
      <c r="Q12057" s="15" t="s">
        <v>740</v>
      </c>
      <c r="R12057" s="13" t="str">
        <f>HYPERLINK("https://my.pitchbook.com?c=99097-57T","View Company Online")</f>
        <v>View Company Online</v>
      </c>
    </row>
    <row r="12058" spans="1:18" hidden="1" x14ac:dyDescent="0.3">
      <c r="A12058" s="9" t="s">
        <v>33852</v>
      </c>
      <c r="B12058" s="9" t="s">
        <v>23325</v>
      </c>
      <c r="C12058" s="11" t="s">
        <v>28</v>
      </c>
      <c r="D12058" s="9" t="s">
        <v>23326</v>
      </c>
      <c r="E12058" s="11" t="s">
        <v>28</v>
      </c>
      <c r="F12058" s="10" t="s">
        <v>28</v>
      </c>
      <c r="G12058" s="10" t="s">
        <v>28</v>
      </c>
      <c r="H12058" s="10" t="s">
        <v>28</v>
      </c>
      <c r="I12058" s="11" t="s">
        <v>28</v>
      </c>
      <c r="J12058" s="11" t="s">
        <v>28</v>
      </c>
      <c r="K12058" s="11" t="s">
        <v>28</v>
      </c>
      <c r="L12058" s="11" t="s">
        <v>28</v>
      </c>
      <c r="M12058" s="11" t="s">
        <v>28</v>
      </c>
      <c r="N12058" s="8">
        <v>40544</v>
      </c>
      <c r="O12058" s="9" t="s">
        <v>52</v>
      </c>
      <c r="P12058" s="12" t="s">
        <v>4500</v>
      </c>
      <c r="Q12058" s="9" t="s">
        <v>740</v>
      </c>
      <c r="R12058" s="14" t="str">
        <f>HYPERLINK("https://my.pitchbook.com?c=251161-30T","View Company Online")</f>
        <v>View Company Online</v>
      </c>
    </row>
    <row r="12059" spans="1:18" hidden="1" x14ac:dyDescent="0.3">
      <c r="A12059" s="15" t="s">
        <v>33853</v>
      </c>
      <c r="B12059" s="15" t="s">
        <v>5142</v>
      </c>
      <c r="C12059" s="18" t="s">
        <v>28</v>
      </c>
      <c r="D12059" s="15" t="s">
        <v>5143</v>
      </c>
      <c r="E12059" s="18" t="s">
        <v>28</v>
      </c>
      <c r="F12059" s="19" t="s">
        <v>28</v>
      </c>
      <c r="G12059" s="19" t="s">
        <v>28</v>
      </c>
      <c r="H12059" s="19" t="s">
        <v>28</v>
      </c>
      <c r="I12059" s="18" t="s">
        <v>28</v>
      </c>
      <c r="J12059" s="18" t="s">
        <v>28</v>
      </c>
      <c r="K12059" s="18" t="s">
        <v>28</v>
      </c>
      <c r="L12059" s="18" t="s">
        <v>28</v>
      </c>
      <c r="M12059" s="18" t="s">
        <v>28</v>
      </c>
      <c r="N12059" s="17">
        <v>40544</v>
      </c>
      <c r="O12059" s="15" t="s">
        <v>73</v>
      </c>
      <c r="P12059" s="16" t="s">
        <v>32153</v>
      </c>
      <c r="Q12059" s="15" t="s">
        <v>583</v>
      </c>
      <c r="R12059" s="13" t="str">
        <f>HYPERLINK("https://my.pitchbook.com?c=66701-71T","View Company Online")</f>
        <v>View Company Online</v>
      </c>
    </row>
    <row r="12060" spans="1:18" hidden="1" x14ac:dyDescent="0.3">
      <c r="A12060" s="9" t="s">
        <v>33854</v>
      </c>
      <c r="B12060" s="9" t="s">
        <v>29293</v>
      </c>
      <c r="C12060" s="11" t="s">
        <v>28</v>
      </c>
      <c r="D12060" s="9" t="s">
        <v>29294</v>
      </c>
      <c r="E12060" s="11" t="s">
        <v>28</v>
      </c>
      <c r="F12060" s="10" t="s">
        <v>28</v>
      </c>
      <c r="G12060" s="10" t="s">
        <v>28</v>
      </c>
      <c r="H12060" s="10" t="s">
        <v>28</v>
      </c>
      <c r="I12060" s="11" t="s">
        <v>28</v>
      </c>
      <c r="J12060" s="11" t="s">
        <v>28</v>
      </c>
      <c r="K12060" s="11" t="s">
        <v>28</v>
      </c>
      <c r="L12060" s="11" t="s">
        <v>28</v>
      </c>
      <c r="M12060" s="11" t="s">
        <v>28</v>
      </c>
      <c r="N12060" s="8">
        <v>40544</v>
      </c>
      <c r="O12060" s="9" t="s">
        <v>73</v>
      </c>
      <c r="P12060" s="12" t="s">
        <v>33855</v>
      </c>
      <c r="Q12060" s="9" t="s">
        <v>740</v>
      </c>
      <c r="R12060" s="14" t="str">
        <f>HYPERLINK("https://my.pitchbook.com?c=22113-10T","View Company Online")</f>
        <v>View Company Online</v>
      </c>
    </row>
    <row r="12061" spans="1:18" hidden="1" x14ac:dyDescent="0.3">
      <c r="A12061" s="15" t="s">
        <v>33856</v>
      </c>
      <c r="B12061" s="15" t="s">
        <v>33857</v>
      </c>
      <c r="C12061" s="18" t="s">
        <v>28</v>
      </c>
      <c r="D12061" s="15" t="s">
        <v>33858</v>
      </c>
      <c r="E12061" s="18" t="s">
        <v>28</v>
      </c>
      <c r="F12061" s="19" t="s">
        <v>28</v>
      </c>
      <c r="G12061" s="19" t="s">
        <v>28</v>
      </c>
      <c r="H12061" s="19" t="s">
        <v>28</v>
      </c>
      <c r="I12061" s="18" t="s">
        <v>28</v>
      </c>
      <c r="J12061" s="18" t="s">
        <v>28</v>
      </c>
      <c r="K12061" s="18" t="s">
        <v>28</v>
      </c>
      <c r="L12061" s="18" t="s">
        <v>28</v>
      </c>
      <c r="M12061" s="18" t="s">
        <v>28</v>
      </c>
      <c r="N12061" s="17">
        <v>40544</v>
      </c>
      <c r="O12061" s="15" t="s">
        <v>52</v>
      </c>
      <c r="P12061" s="16" t="s">
        <v>9723</v>
      </c>
      <c r="Q12061" s="15" t="s">
        <v>959</v>
      </c>
      <c r="R12061" s="13" t="str">
        <f>HYPERLINK("https://my.pitchbook.com?c=99419-68T","View Company Online")</f>
        <v>View Company Online</v>
      </c>
    </row>
    <row r="12062" spans="1:18" hidden="1" x14ac:dyDescent="0.3">
      <c r="A12062" s="9" t="s">
        <v>33859</v>
      </c>
      <c r="B12062" s="9" t="s">
        <v>33860</v>
      </c>
      <c r="C12062" s="11" t="s">
        <v>28</v>
      </c>
      <c r="D12062" s="9" t="s">
        <v>33861</v>
      </c>
      <c r="E12062" s="11" t="s">
        <v>28</v>
      </c>
      <c r="F12062" s="10" t="s">
        <v>28</v>
      </c>
      <c r="G12062" s="10" t="s">
        <v>28</v>
      </c>
      <c r="H12062" s="10" t="s">
        <v>28</v>
      </c>
      <c r="I12062" s="11" t="s">
        <v>28</v>
      </c>
      <c r="J12062" s="11" t="s">
        <v>28</v>
      </c>
      <c r="K12062" s="11" t="s">
        <v>28</v>
      </c>
      <c r="L12062" s="11" t="s">
        <v>28</v>
      </c>
      <c r="M12062" s="11" t="s">
        <v>28</v>
      </c>
      <c r="N12062" s="8">
        <v>40544</v>
      </c>
      <c r="O12062" s="9" t="s">
        <v>30</v>
      </c>
      <c r="P12062" s="12" t="s">
        <v>33862</v>
      </c>
      <c r="Q12062" s="9" t="s">
        <v>75</v>
      </c>
      <c r="R12062" s="14" t="str">
        <f>HYPERLINK("https://my.pitchbook.com?c=298350-37T","View Company Online")</f>
        <v>View Company Online</v>
      </c>
    </row>
    <row r="12063" spans="1:18" hidden="1" x14ac:dyDescent="0.3">
      <c r="A12063" s="15" t="s">
        <v>33863</v>
      </c>
      <c r="B12063" s="15" t="s">
        <v>33864</v>
      </c>
      <c r="C12063" s="18" t="s">
        <v>28</v>
      </c>
      <c r="D12063" s="15" t="s">
        <v>33865</v>
      </c>
      <c r="E12063" s="18" t="s">
        <v>28</v>
      </c>
      <c r="F12063" s="19" t="s">
        <v>28</v>
      </c>
      <c r="G12063" s="19" t="s">
        <v>28</v>
      </c>
      <c r="H12063" s="19" t="s">
        <v>28</v>
      </c>
      <c r="I12063" s="18" t="s">
        <v>28</v>
      </c>
      <c r="J12063" s="18" t="s">
        <v>28</v>
      </c>
      <c r="K12063" s="18" t="s">
        <v>28</v>
      </c>
      <c r="L12063" s="18" t="s">
        <v>28</v>
      </c>
      <c r="M12063" s="18" t="s">
        <v>28</v>
      </c>
      <c r="N12063" s="17">
        <v>40544</v>
      </c>
      <c r="O12063" s="15" t="s">
        <v>52</v>
      </c>
      <c r="P12063" s="16" t="s">
        <v>1792</v>
      </c>
      <c r="Q12063" s="15" t="s">
        <v>386</v>
      </c>
      <c r="R12063" s="13" t="str">
        <f>HYPERLINK("https://my.pitchbook.com?c=156979-18T","View Company Online")</f>
        <v>View Company Online</v>
      </c>
    </row>
    <row r="12064" spans="1:18" hidden="1" x14ac:dyDescent="0.3">
      <c r="A12064" s="9" t="s">
        <v>33866</v>
      </c>
      <c r="B12064" s="9" t="s">
        <v>33867</v>
      </c>
      <c r="C12064" s="11" t="s">
        <v>28</v>
      </c>
      <c r="D12064" s="9" t="s">
        <v>33868</v>
      </c>
      <c r="E12064" s="11" t="s">
        <v>28</v>
      </c>
      <c r="F12064" s="10" t="s">
        <v>28</v>
      </c>
      <c r="G12064" s="10" t="s">
        <v>28</v>
      </c>
      <c r="H12064" s="10" t="s">
        <v>28</v>
      </c>
      <c r="I12064" s="11" t="s">
        <v>28</v>
      </c>
      <c r="J12064" s="11" t="s">
        <v>28</v>
      </c>
      <c r="K12064" s="11" t="s">
        <v>28</v>
      </c>
      <c r="L12064" s="11" t="s">
        <v>28</v>
      </c>
      <c r="M12064" s="11" t="s">
        <v>28</v>
      </c>
      <c r="N12064" s="8">
        <v>40542</v>
      </c>
      <c r="O12064" s="9" t="s">
        <v>30</v>
      </c>
      <c r="P12064" s="12" t="s">
        <v>33869</v>
      </c>
      <c r="Q12064" s="9" t="s">
        <v>1191</v>
      </c>
      <c r="R12064" s="14" t="str">
        <f>HYPERLINK("https://my.pitchbook.com?c=91685-62T","View Company Online")</f>
        <v>View Company Online</v>
      </c>
    </row>
    <row r="12065" spans="1:18" hidden="1" x14ac:dyDescent="0.3">
      <c r="A12065" s="15" t="s">
        <v>33870</v>
      </c>
      <c r="B12065" s="15" t="s">
        <v>33871</v>
      </c>
      <c r="C12065" s="18" t="s">
        <v>28</v>
      </c>
      <c r="D12065" s="15" t="s">
        <v>33872</v>
      </c>
      <c r="E12065" s="18" t="s">
        <v>28</v>
      </c>
      <c r="F12065" s="19" t="s">
        <v>28</v>
      </c>
      <c r="G12065" s="19" t="s">
        <v>28</v>
      </c>
      <c r="H12065" s="19" t="s">
        <v>28</v>
      </c>
      <c r="I12065" s="18" t="s">
        <v>28</v>
      </c>
      <c r="J12065" s="18" t="s">
        <v>28</v>
      </c>
      <c r="K12065" s="18" t="s">
        <v>28</v>
      </c>
      <c r="L12065" s="18" t="s">
        <v>28</v>
      </c>
      <c r="M12065" s="18" t="s">
        <v>28</v>
      </c>
      <c r="N12065" s="17">
        <v>40540</v>
      </c>
      <c r="O12065" s="15" t="s">
        <v>30</v>
      </c>
      <c r="P12065" s="16" t="s">
        <v>32646</v>
      </c>
      <c r="Q12065" s="15" t="s">
        <v>32</v>
      </c>
      <c r="R12065" s="13" t="str">
        <f>HYPERLINK("https://my.pitchbook.com?c=234363-25T","View Company Online")</f>
        <v>View Company Online</v>
      </c>
    </row>
    <row r="12066" spans="1:18" hidden="1" x14ac:dyDescent="0.3">
      <c r="A12066" s="9" t="s">
        <v>33873</v>
      </c>
      <c r="B12066" s="9" t="s">
        <v>27250</v>
      </c>
      <c r="C12066" s="11" t="s">
        <v>28</v>
      </c>
      <c r="D12066" s="9" t="s">
        <v>27251</v>
      </c>
      <c r="E12066" s="11" t="s">
        <v>28</v>
      </c>
      <c r="F12066" s="10">
        <v>12.03</v>
      </c>
      <c r="G12066" s="10">
        <v>6.59</v>
      </c>
      <c r="H12066" s="10">
        <v>12.03</v>
      </c>
      <c r="I12066" s="11" t="s">
        <v>28</v>
      </c>
      <c r="J12066" s="11" t="s">
        <v>28</v>
      </c>
      <c r="K12066" s="11" t="s">
        <v>28</v>
      </c>
      <c r="L12066" s="11" t="s">
        <v>28</v>
      </c>
      <c r="M12066" s="11" t="s">
        <v>28</v>
      </c>
      <c r="N12066" s="8">
        <v>40540</v>
      </c>
      <c r="O12066" s="9" t="s">
        <v>41</v>
      </c>
      <c r="P12066" s="12" t="s">
        <v>31703</v>
      </c>
      <c r="Q12066" s="9" t="s">
        <v>449</v>
      </c>
      <c r="R12066" s="14" t="str">
        <f>HYPERLINK("https://my.pitchbook.com?c=30924-82T","View Company Online")</f>
        <v>View Company Online</v>
      </c>
    </row>
    <row r="12067" spans="1:18" hidden="1" x14ac:dyDescent="0.3">
      <c r="A12067" s="15" t="s">
        <v>33874</v>
      </c>
      <c r="B12067" s="15" t="s">
        <v>33875</v>
      </c>
      <c r="C12067" s="18" t="s">
        <v>28</v>
      </c>
      <c r="D12067" s="15" t="s">
        <v>33876</v>
      </c>
      <c r="E12067" s="18" t="s">
        <v>28</v>
      </c>
      <c r="F12067" s="19" t="s">
        <v>28</v>
      </c>
      <c r="G12067" s="19" t="s">
        <v>28</v>
      </c>
      <c r="H12067" s="19" t="s">
        <v>28</v>
      </c>
      <c r="I12067" s="18" t="s">
        <v>28</v>
      </c>
      <c r="J12067" s="18" t="s">
        <v>28</v>
      </c>
      <c r="K12067" s="18" t="s">
        <v>28</v>
      </c>
      <c r="L12067" s="18" t="s">
        <v>28</v>
      </c>
      <c r="M12067" s="18" t="s">
        <v>28</v>
      </c>
      <c r="N12067" s="17">
        <v>40535</v>
      </c>
      <c r="O12067" s="15" t="s">
        <v>30</v>
      </c>
      <c r="P12067" s="16" t="s">
        <v>33877</v>
      </c>
      <c r="Q12067" s="15" t="s">
        <v>136</v>
      </c>
      <c r="R12067" s="13" t="str">
        <f>HYPERLINK("https://my.pitchbook.com?c=153679-33T","View Company Online")</f>
        <v>View Company Online</v>
      </c>
    </row>
    <row r="12068" spans="1:18" hidden="1" x14ac:dyDescent="0.3">
      <c r="A12068" s="9" t="s">
        <v>33878</v>
      </c>
      <c r="B12068" s="9" t="s">
        <v>33879</v>
      </c>
      <c r="C12068" s="11" t="s">
        <v>28</v>
      </c>
      <c r="D12068" s="9" t="s">
        <v>33880</v>
      </c>
      <c r="E12068" s="11" t="s">
        <v>28</v>
      </c>
      <c r="F12068" s="10" t="s">
        <v>28</v>
      </c>
      <c r="G12068" s="10" t="s">
        <v>28</v>
      </c>
      <c r="H12068" s="10" t="s">
        <v>28</v>
      </c>
      <c r="I12068" s="11" t="s">
        <v>28</v>
      </c>
      <c r="J12068" s="11" t="s">
        <v>28</v>
      </c>
      <c r="K12068" s="11" t="s">
        <v>28</v>
      </c>
      <c r="L12068" s="11" t="s">
        <v>28</v>
      </c>
      <c r="M12068" s="11" t="s">
        <v>28</v>
      </c>
      <c r="N12068" s="8">
        <v>40534</v>
      </c>
      <c r="O12068" s="9" t="s">
        <v>30</v>
      </c>
      <c r="P12068" s="12" t="s">
        <v>33881</v>
      </c>
      <c r="Q12068" s="9" t="s">
        <v>1088</v>
      </c>
      <c r="R12068" s="14" t="str">
        <f>HYPERLINK("https://my.pitchbook.com?c=18039-52T","View Company Online")</f>
        <v>View Company Online</v>
      </c>
    </row>
    <row r="12069" spans="1:18" hidden="1" x14ac:dyDescent="0.3">
      <c r="A12069" s="15" t="s">
        <v>33882</v>
      </c>
      <c r="B12069" s="15" t="s">
        <v>33883</v>
      </c>
      <c r="C12069" s="18" t="s">
        <v>28</v>
      </c>
      <c r="D12069" s="15" t="s">
        <v>33884</v>
      </c>
      <c r="E12069" s="18" t="s">
        <v>28</v>
      </c>
      <c r="F12069" s="19" t="s">
        <v>28</v>
      </c>
      <c r="G12069" s="19">
        <v>33</v>
      </c>
      <c r="H12069" s="19">
        <v>194.12</v>
      </c>
      <c r="I12069" s="18" t="s">
        <v>28</v>
      </c>
      <c r="J12069" s="18" t="s">
        <v>28</v>
      </c>
      <c r="K12069" s="18" t="s">
        <v>28</v>
      </c>
      <c r="L12069" s="18" t="s">
        <v>28</v>
      </c>
      <c r="M12069" s="18" t="s">
        <v>28</v>
      </c>
      <c r="N12069" s="17">
        <v>40534</v>
      </c>
      <c r="O12069" s="15" t="s">
        <v>93</v>
      </c>
      <c r="P12069" s="16" t="s">
        <v>33885</v>
      </c>
      <c r="Q12069" s="15" t="s">
        <v>69</v>
      </c>
      <c r="R12069" s="13" t="str">
        <f>HYPERLINK("https://my.pitchbook.com?c=111090-97T","View Company Online")</f>
        <v>View Company Online</v>
      </c>
    </row>
    <row r="12070" spans="1:18" hidden="1" x14ac:dyDescent="0.3">
      <c r="A12070" s="9" t="s">
        <v>33886</v>
      </c>
      <c r="B12070" s="9" t="s">
        <v>33887</v>
      </c>
      <c r="C12070" s="11" t="s">
        <v>28</v>
      </c>
      <c r="D12070" s="9" t="s">
        <v>33888</v>
      </c>
      <c r="E12070" s="11" t="s">
        <v>28</v>
      </c>
      <c r="F12070" s="10" t="s">
        <v>28</v>
      </c>
      <c r="G12070" s="10" t="s">
        <v>28</v>
      </c>
      <c r="H12070" s="10" t="s">
        <v>28</v>
      </c>
      <c r="I12070" s="11" t="s">
        <v>28</v>
      </c>
      <c r="J12070" s="11" t="s">
        <v>28</v>
      </c>
      <c r="K12070" s="11" t="s">
        <v>28</v>
      </c>
      <c r="L12070" s="11" t="s">
        <v>28</v>
      </c>
      <c r="M12070" s="11" t="s">
        <v>28</v>
      </c>
      <c r="N12070" s="8">
        <v>40534</v>
      </c>
      <c r="O12070" s="9" t="s">
        <v>173</v>
      </c>
      <c r="P12070" s="12" t="s">
        <v>28</v>
      </c>
      <c r="Q12070" s="9" t="s">
        <v>174</v>
      </c>
      <c r="R12070" s="14" t="str">
        <f>HYPERLINK("https://my.pitchbook.com?c=224036-65T","View Company Online")</f>
        <v>View Company Online</v>
      </c>
    </row>
    <row r="12071" spans="1:18" hidden="1" x14ac:dyDescent="0.3">
      <c r="A12071" s="15" t="s">
        <v>33889</v>
      </c>
      <c r="B12071" s="15" t="s">
        <v>33890</v>
      </c>
      <c r="C12071" s="18" t="s">
        <v>28</v>
      </c>
      <c r="D12071" s="15" t="s">
        <v>33891</v>
      </c>
      <c r="E12071" s="18" t="s">
        <v>28</v>
      </c>
      <c r="F12071" s="19">
        <v>8.9</v>
      </c>
      <c r="G12071" s="19">
        <v>8.9</v>
      </c>
      <c r="H12071" s="19">
        <v>8.9</v>
      </c>
      <c r="I12071" s="18" t="s">
        <v>28</v>
      </c>
      <c r="J12071" s="18" t="s">
        <v>28</v>
      </c>
      <c r="K12071" s="18">
        <v>12</v>
      </c>
      <c r="L12071" s="18">
        <v>0.74</v>
      </c>
      <c r="M12071" s="18" t="s">
        <v>28</v>
      </c>
      <c r="N12071" s="17">
        <v>40534</v>
      </c>
      <c r="O12071" s="15" t="s">
        <v>41</v>
      </c>
      <c r="P12071" s="16" t="s">
        <v>33892</v>
      </c>
      <c r="Q12071" s="15" t="s">
        <v>353</v>
      </c>
      <c r="R12071" s="13" t="str">
        <f>HYPERLINK("https://my.pitchbook.com?c=18032-68T","View Company Online")</f>
        <v>View Company Online</v>
      </c>
    </row>
    <row r="12072" spans="1:18" hidden="1" x14ac:dyDescent="0.3">
      <c r="A12072" s="9" t="s">
        <v>33893</v>
      </c>
      <c r="B12072" s="9" t="s">
        <v>33894</v>
      </c>
      <c r="C12072" s="11" t="s">
        <v>28</v>
      </c>
      <c r="D12072" s="9" t="s">
        <v>33895</v>
      </c>
      <c r="E12072" s="11" t="s">
        <v>28</v>
      </c>
      <c r="F12072" s="10">
        <v>17.7</v>
      </c>
      <c r="G12072" s="10">
        <v>9.0299999999999994</v>
      </c>
      <c r="H12072" s="10">
        <v>17.7</v>
      </c>
      <c r="I12072" s="11" t="s">
        <v>28</v>
      </c>
      <c r="J12072" s="11" t="s">
        <v>28</v>
      </c>
      <c r="K12072" s="11" t="s">
        <v>28</v>
      </c>
      <c r="L12072" s="11" t="s">
        <v>28</v>
      </c>
      <c r="M12072" s="11" t="s">
        <v>28</v>
      </c>
      <c r="N12072" s="8">
        <v>40532</v>
      </c>
      <c r="O12072" s="9" t="s">
        <v>30</v>
      </c>
      <c r="P12072" s="12" t="s">
        <v>33109</v>
      </c>
      <c r="Q12072" s="9" t="s">
        <v>119</v>
      </c>
      <c r="R12072" s="14" t="str">
        <f>HYPERLINK("https://my.pitchbook.com?c=91687-69T","View Company Online")</f>
        <v>View Company Online</v>
      </c>
    </row>
    <row r="12073" spans="1:18" hidden="1" x14ac:dyDescent="0.3">
      <c r="A12073" s="15" t="s">
        <v>33896</v>
      </c>
      <c r="B12073" s="15" t="s">
        <v>33897</v>
      </c>
      <c r="C12073" s="18" t="s">
        <v>28</v>
      </c>
      <c r="D12073" s="15" t="s">
        <v>33898</v>
      </c>
      <c r="E12073" s="18" t="s">
        <v>28</v>
      </c>
      <c r="F12073" s="19" t="s">
        <v>28</v>
      </c>
      <c r="G12073" s="19">
        <v>1</v>
      </c>
      <c r="H12073" s="19">
        <v>10</v>
      </c>
      <c r="I12073" s="18" t="s">
        <v>28</v>
      </c>
      <c r="J12073" s="18" t="s">
        <v>28</v>
      </c>
      <c r="K12073" s="18" t="s">
        <v>28</v>
      </c>
      <c r="L12073" s="18" t="s">
        <v>28</v>
      </c>
      <c r="M12073" s="18" t="s">
        <v>28</v>
      </c>
      <c r="N12073" s="17">
        <v>40530</v>
      </c>
      <c r="O12073" s="15" t="s">
        <v>58</v>
      </c>
      <c r="P12073" s="16" t="s">
        <v>33899</v>
      </c>
      <c r="Q12073" s="15" t="s">
        <v>470</v>
      </c>
      <c r="R12073" s="13" t="str">
        <f>HYPERLINK("https://my.pitchbook.com?c=54919-00T","View Company Online")</f>
        <v>View Company Online</v>
      </c>
    </row>
    <row r="12074" spans="1:18" hidden="1" x14ac:dyDescent="0.3">
      <c r="A12074" s="9" t="s">
        <v>33900</v>
      </c>
      <c r="B12074" s="9" t="s">
        <v>33901</v>
      </c>
      <c r="C12074" s="11" t="s">
        <v>28</v>
      </c>
      <c r="D12074" s="9" t="s">
        <v>33902</v>
      </c>
      <c r="E12074" s="11" t="s">
        <v>28</v>
      </c>
      <c r="F12074" s="10" t="s">
        <v>28</v>
      </c>
      <c r="G12074" s="10" t="s">
        <v>28</v>
      </c>
      <c r="H12074" s="10" t="s">
        <v>28</v>
      </c>
      <c r="I12074" s="11" t="s">
        <v>28</v>
      </c>
      <c r="J12074" s="11" t="s">
        <v>28</v>
      </c>
      <c r="K12074" s="11" t="s">
        <v>28</v>
      </c>
      <c r="L12074" s="11" t="s">
        <v>28</v>
      </c>
      <c r="M12074" s="11" t="s">
        <v>28</v>
      </c>
      <c r="N12074" s="8">
        <v>40529</v>
      </c>
      <c r="O12074" s="9" t="s">
        <v>30</v>
      </c>
      <c r="P12074" s="12" t="s">
        <v>33903</v>
      </c>
      <c r="Q12074" s="9" t="s">
        <v>1088</v>
      </c>
      <c r="R12074" s="14" t="str">
        <f>HYPERLINK("https://my.pitchbook.com?c=102865-24T","View Company Online")</f>
        <v>View Company Online</v>
      </c>
    </row>
    <row r="12075" spans="1:18" hidden="1" x14ac:dyDescent="0.3">
      <c r="A12075" s="15" t="s">
        <v>33904</v>
      </c>
      <c r="B12075" s="15" t="s">
        <v>33905</v>
      </c>
      <c r="C12075" s="18" t="s">
        <v>28</v>
      </c>
      <c r="D12075" s="15" t="s">
        <v>33906</v>
      </c>
      <c r="E12075" s="18" t="s">
        <v>28</v>
      </c>
      <c r="F12075" s="19" t="s">
        <v>28</v>
      </c>
      <c r="G12075" s="19" t="s">
        <v>28</v>
      </c>
      <c r="H12075" s="19" t="s">
        <v>28</v>
      </c>
      <c r="I12075" s="18" t="s">
        <v>28</v>
      </c>
      <c r="J12075" s="18" t="s">
        <v>28</v>
      </c>
      <c r="K12075" s="18" t="s">
        <v>28</v>
      </c>
      <c r="L12075" s="18" t="s">
        <v>28</v>
      </c>
      <c r="M12075" s="18" t="s">
        <v>28</v>
      </c>
      <c r="N12075" s="17">
        <v>40528</v>
      </c>
      <c r="O12075" s="15" t="s">
        <v>30</v>
      </c>
      <c r="P12075" s="16" t="s">
        <v>33907</v>
      </c>
      <c r="Q12075" s="15" t="s">
        <v>353</v>
      </c>
      <c r="R12075" s="13" t="str">
        <f>HYPERLINK("https://my.pitchbook.com?c=76242-25T","View Company Online")</f>
        <v>View Company Online</v>
      </c>
    </row>
    <row r="12076" spans="1:18" hidden="1" x14ac:dyDescent="0.3">
      <c r="A12076" s="9" t="s">
        <v>33908</v>
      </c>
      <c r="B12076" s="9" t="s">
        <v>33909</v>
      </c>
      <c r="C12076" s="11" t="s">
        <v>28</v>
      </c>
      <c r="D12076" s="9" t="s">
        <v>33910</v>
      </c>
      <c r="E12076" s="11" t="s">
        <v>28</v>
      </c>
      <c r="F12076" s="10" t="s">
        <v>28</v>
      </c>
      <c r="G12076" s="10">
        <v>0.04</v>
      </c>
      <c r="H12076" s="10" t="s">
        <v>28</v>
      </c>
      <c r="I12076" s="11" t="s">
        <v>28</v>
      </c>
      <c r="J12076" s="11" t="s">
        <v>28</v>
      </c>
      <c r="K12076" s="11" t="s">
        <v>28</v>
      </c>
      <c r="L12076" s="11" t="s">
        <v>28</v>
      </c>
      <c r="M12076" s="11" t="s">
        <v>28</v>
      </c>
      <c r="N12076" s="8">
        <v>40526</v>
      </c>
      <c r="O12076" s="9" t="s">
        <v>52</v>
      </c>
      <c r="P12076" s="12" t="s">
        <v>1792</v>
      </c>
      <c r="Q12076" s="9" t="s">
        <v>583</v>
      </c>
      <c r="R12076" s="14" t="str">
        <f>HYPERLINK("https://my.pitchbook.com?c=40598-38T","View Company Online")</f>
        <v>View Company Online</v>
      </c>
    </row>
    <row r="12077" spans="1:18" hidden="1" x14ac:dyDescent="0.3">
      <c r="A12077" s="15" t="s">
        <v>33911</v>
      </c>
      <c r="B12077" s="15" t="s">
        <v>33912</v>
      </c>
      <c r="C12077" s="18" t="s">
        <v>28</v>
      </c>
      <c r="D12077" s="15" t="s">
        <v>33913</v>
      </c>
      <c r="E12077" s="18" t="s">
        <v>28</v>
      </c>
      <c r="F12077" s="19">
        <v>104.71</v>
      </c>
      <c r="G12077" s="19">
        <v>79.58</v>
      </c>
      <c r="H12077" s="19">
        <v>104.71</v>
      </c>
      <c r="I12077" s="18" t="s">
        <v>28</v>
      </c>
      <c r="J12077" s="18" t="s">
        <v>28</v>
      </c>
      <c r="K12077" s="18" t="s">
        <v>28</v>
      </c>
      <c r="L12077" s="18" t="s">
        <v>28</v>
      </c>
      <c r="M12077" s="18" t="s">
        <v>28</v>
      </c>
      <c r="N12077" s="17">
        <v>40522</v>
      </c>
      <c r="O12077" s="15" t="s">
        <v>30</v>
      </c>
      <c r="P12077" s="16" t="s">
        <v>33914</v>
      </c>
      <c r="Q12077" s="15" t="s">
        <v>226</v>
      </c>
      <c r="R12077" s="13" t="str">
        <f>HYPERLINK("https://my.pitchbook.com?c=91697-14T","View Company Online")</f>
        <v>View Company Online</v>
      </c>
    </row>
    <row r="12078" spans="1:18" hidden="1" x14ac:dyDescent="0.3">
      <c r="A12078" s="9" t="s">
        <v>33915</v>
      </c>
      <c r="B12078" s="9" t="s">
        <v>33916</v>
      </c>
      <c r="C12078" s="11" t="s">
        <v>28</v>
      </c>
      <c r="D12078" s="9" t="s">
        <v>33917</v>
      </c>
      <c r="E12078" s="11" t="s">
        <v>28</v>
      </c>
      <c r="F12078" s="10">
        <v>46.54</v>
      </c>
      <c r="G12078" s="10">
        <v>25.6</v>
      </c>
      <c r="H12078" s="10">
        <v>46.54</v>
      </c>
      <c r="I12078" s="11" t="s">
        <v>28</v>
      </c>
      <c r="J12078" s="11" t="s">
        <v>28</v>
      </c>
      <c r="K12078" s="11" t="s">
        <v>28</v>
      </c>
      <c r="L12078" s="11" t="s">
        <v>28</v>
      </c>
      <c r="M12078" s="11" t="s">
        <v>28</v>
      </c>
      <c r="N12078" s="8">
        <v>40522</v>
      </c>
      <c r="O12078" s="9" t="s">
        <v>30</v>
      </c>
      <c r="P12078" s="12" t="s">
        <v>33109</v>
      </c>
      <c r="Q12078" s="9" t="s">
        <v>119</v>
      </c>
      <c r="R12078" s="14" t="str">
        <f>HYPERLINK("https://my.pitchbook.com?c=91605-88T","View Company Online")</f>
        <v>View Company Online</v>
      </c>
    </row>
    <row r="12079" spans="1:18" hidden="1" x14ac:dyDescent="0.3">
      <c r="A12079" s="15" t="s">
        <v>33918</v>
      </c>
      <c r="B12079" s="15" t="s">
        <v>30278</v>
      </c>
      <c r="C12079" s="18" t="s">
        <v>28</v>
      </c>
      <c r="D12079" s="15" t="s">
        <v>30279</v>
      </c>
      <c r="E12079" s="18" t="s">
        <v>28</v>
      </c>
      <c r="F12079" s="19" t="s">
        <v>28</v>
      </c>
      <c r="G12079" s="19" t="s">
        <v>28</v>
      </c>
      <c r="H12079" s="19" t="s">
        <v>28</v>
      </c>
      <c r="I12079" s="18" t="s">
        <v>28</v>
      </c>
      <c r="J12079" s="18" t="s">
        <v>28</v>
      </c>
      <c r="K12079" s="18" t="s">
        <v>28</v>
      </c>
      <c r="L12079" s="18" t="s">
        <v>28</v>
      </c>
      <c r="M12079" s="18" t="s">
        <v>28</v>
      </c>
      <c r="N12079" s="17">
        <v>40522</v>
      </c>
      <c r="O12079" s="15" t="s">
        <v>93</v>
      </c>
      <c r="P12079" s="16" t="s">
        <v>28</v>
      </c>
      <c r="Q12079" s="15" t="s">
        <v>226</v>
      </c>
      <c r="R12079" s="13" t="str">
        <f>HYPERLINK("https://my.pitchbook.com?c=28548-01T","View Company Online")</f>
        <v>View Company Online</v>
      </c>
    </row>
    <row r="12080" spans="1:18" hidden="1" x14ac:dyDescent="0.3">
      <c r="A12080" s="9" t="s">
        <v>33919</v>
      </c>
      <c r="B12080" s="9" t="s">
        <v>33920</v>
      </c>
      <c r="C12080" s="11" t="s">
        <v>28</v>
      </c>
      <c r="D12080" s="9" t="s">
        <v>33921</v>
      </c>
      <c r="E12080" s="11" t="s">
        <v>28</v>
      </c>
      <c r="F12080" s="10">
        <v>466.07</v>
      </c>
      <c r="G12080" s="10">
        <v>466.07</v>
      </c>
      <c r="H12080" s="10">
        <v>466.07</v>
      </c>
      <c r="I12080" s="11" t="s">
        <v>28</v>
      </c>
      <c r="J12080" s="11" t="s">
        <v>28</v>
      </c>
      <c r="K12080" s="11" t="s">
        <v>28</v>
      </c>
      <c r="L12080" s="11" t="s">
        <v>28</v>
      </c>
      <c r="M12080" s="11" t="s">
        <v>28</v>
      </c>
      <c r="N12080" s="8">
        <v>40521</v>
      </c>
      <c r="O12080" s="9" t="s">
        <v>30</v>
      </c>
      <c r="P12080" s="12" t="s">
        <v>7572</v>
      </c>
      <c r="Q12080" s="9" t="s">
        <v>409</v>
      </c>
      <c r="R12080" s="14" t="str">
        <f>HYPERLINK("https://my.pitchbook.com?c=91415-98T","View Company Online")</f>
        <v>View Company Online</v>
      </c>
    </row>
    <row r="12081" spans="1:18" hidden="1" x14ac:dyDescent="0.3">
      <c r="A12081" s="15" t="s">
        <v>33922</v>
      </c>
      <c r="B12081" s="15" t="s">
        <v>15350</v>
      </c>
      <c r="C12081" s="18" t="s">
        <v>28</v>
      </c>
      <c r="D12081" s="15" t="s">
        <v>15351</v>
      </c>
      <c r="E12081" s="18" t="s">
        <v>28</v>
      </c>
      <c r="F12081" s="19" t="s">
        <v>28</v>
      </c>
      <c r="G12081" s="19" t="s">
        <v>28</v>
      </c>
      <c r="H12081" s="19" t="s">
        <v>28</v>
      </c>
      <c r="I12081" s="18" t="s">
        <v>28</v>
      </c>
      <c r="J12081" s="18" t="s">
        <v>28</v>
      </c>
      <c r="K12081" s="18" t="s">
        <v>28</v>
      </c>
      <c r="L12081" s="18" t="s">
        <v>28</v>
      </c>
      <c r="M12081" s="18" t="s">
        <v>28</v>
      </c>
      <c r="N12081" s="17">
        <v>40519</v>
      </c>
      <c r="O12081" s="15" t="s">
        <v>41</v>
      </c>
      <c r="P12081" s="16" t="s">
        <v>33923</v>
      </c>
      <c r="Q12081" s="15" t="s">
        <v>43</v>
      </c>
      <c r="R12081" s="13" t="str">
        <f>HYPERLINK("https://my.pitchbook.com?c=75092-68T","View Company Online")</f>
        <v>View Company Online</v>
      </c>
    </row>
    <row r="12082" spans="1:18" hidden="1" x14ac:dyDescent="0.3">
      <c r="A12082" s="9" t="s">
        <v>33924</v>
      </c>
      <c r="B12082" s="9" t="s">
        <v>343</v>
      </c>
      <c r="C12082" s="11" t="s">
        <v>28</v>
      </c>
      <c r="D12082" s="9" t="s">
        <v>16532</v>
      </c>
      <c r="E12082" s="11" t="s">
        <v>28</v>
      </c>
      <c r="F12082" s="10" t="s">
        <v>28</v>
      </c>
      <c r="G12082" s="10">
        <v>1800</v>
      </c>
      <c r="H12082" s="10">
        <v>9651.5</v>
      </c>
      <c r="I12082" s="11" t="s">
        <v>28</v>
      </c>
      <c r="J12082" s="11" t="s">
        <v>28</v>
      </c>
      <c r="K12082" s="11">
        <v>1185.33</v>
      </c>
      <c r="L12082" s="11">
        <v>8.14</v>
      </c>
      <c r="M12082" s="11">
        <v>460.67</v>
      </c>
      <c r="N12082" s="8">
        <v>40518</v>
      </c>
      <c r="O12082" s="9" t="s">
        <v>93</v>
      </c>
      <c r="P12082" s="12" t="s">
        <v>33925</v>
      </c>
      <c r="Q12082" s="9" t="s">
        <v>7449</v>
      </c>
      <c r="R12082" s="14" t="str">
        <f>HYPERLINK("https://my.pitchbook.com?c=17720-83T","View Company Online")</f>
        <v>View Company Online</v>
      </c>
    </row>
    <row r="12083" spans="1:18" hidden="1" x14ac:dyDescent="0.3">
      <c r="A12083" s="15" t="s">
        <v>33926</v>
      </c>
      <c r="B12083" s="15" t="s">
        <v>3774</v>
      </c>
      <c r="C12083" s="18" t="s">
        <v>28</v>
      </c>
      <c r="D12083" s="15" t="s">
        <v>3775</v>
      </c>
      <c r="E12083" s="18" t="s">
        <v>28</v>
      </c>
      <c r="F12083" s="19" t="s">
        <v>28</v>
      </c>
      <c r="G12083" s="19" t="s">
        <v>28</v>
      </c>
      <c r="H12083" s="19" t="s">
        <v>28</v>
      </c>
      <c r="I12083" s="18" t="s">
        <v>28</v>
      </c>
      <c r="J12083" s="18" t="s">
        <v>28</v>
      </c>
      <c r="K12083" s="18" t="s">
        <v>28</v>
      </c>
      <c r="L12083" s="18" t="s">
        <v>28</v>
      </c>
      <c r="M12083" s="18" t="s">
        <v>28</v>
      </c>
      <c r="N12083" s="17">
        <v>40518</v>
      </c>
      <c r="O12083" s="15" t="s">
        <v>30</v>
      </c>
      <c r="P12083" s="16" t="s">
        <v>33927</v>
      </c>
      <c r="Q12083" s="15" t="s">
        <v>362</v>
      </c>
      <c r="R12083" s="13" t="str">
        <f>HYPERLINK("https://my.pitchbook.com?c=248951-08T","View Company Online")</f>
        <v>View Company Online</v>
      </c>
    </row>
    <row r="12084" spans="1:18" hidden="1" x14ac:dyDescent="0.3">
      <c r="A12084" s="9" t="s">
        <v>33928</v>
      </c>
      <c r="B12084" s="9" t="s">
        <v>33782</v>
      </c>
      <c r="C12084" s="11" t="s">
        <v>28</v>
      </c>
      <c r="D12084" s="9" t="s">
        <v>33783</v>
      </c>
      <c r="E12084" s="11" t="s">
        <v>28</v>
      </c>
      <c r="F12084" s="10" t="s">
        <v>28</v>
      </c>
      <c r="G12084" s="10">
        <v>0.11</v>
      </c>
      <c r="H12084" s="10" t="s">
        <v>28</v>
      </c>
      <c r="I12084" s="11" t="s">
        <v>28</v>
      </c>
      <c r="J12084" s="11" t="s">
        <v>28</v>
      </c>
      <c r="K12084" s="11" t="s">
        <v>28</v>
      </c>
      <c r="L12084" s="11" t="s">
        <v>28</v>
      </c>
      <c r="M12084" s="11" t="s">
        <v>28</v>
      </c>
      <c r="N12084" s="8">
        <v>40515</v>
      </c>
      <c r="O12084" s="9" t="s">
        <v>99</v>
      </c>
      <c r="P12084" s="12" t="s">
        <v>28</v>
      </c>
      <c r="Q12084" s="9" t="s">
        <v>3912</v>
      </c>
      <c r="R12084" s="14" t="str">
        <f>HYPERLINK("https://my.pitchbook.com?c=58309-21T","View Company Online")</f>
        <v>View Company Online</v>
      </c>
    </row>
    <row r="12085" spans="1:18" hidden="1" x14ac:dyDescent="0.3">
      <c r="A12085" s="15" t="s">
        <v>33929</v>
      </c>
      <c r="B12085" s="15" t="s">
        <v>33930</v>
      </c>
      <c r="C12085" s="18" t="s">
        <v>28</v>
      </c>
      <c r="D12085" s="15" t="s">
        <v>33931</v>
      </c>
      <c r="E12085" s="18" t="s">
        <v>28</v>
      </c>
      <c r="F12085" s="19">
        <v>180</v>
      </c>
      <c r="G12085" s="19">
        <v>180</v>
      </c>
      <c r="H12085" s="19">
        <v>180</v>
      </c>
      <c r="I12085" s="18" t="s">
        <v>28</v>
      </c>
      <c r="J12085" s="18" t="s">
        <v>28</v>
      </c>
      <c r="K12085" s="18" t="s">
        <v>28</v>
      </c>
      <c r="L12085" s="18" t="s">
        <v>28</v>
      </c>
      <c r="M12085" s="18" t="s">
        <v>28</v>
      </c>
      <c r="N12085" s="17">
        <v>40513</v>
      </c>
      <c r="O12085" s="15" t="s">
        <v>41</v>
      </c>
      <c r="P12085" s="16" t="s">
        <v>33932</v>
      </c>
      <c r="Q12085" s="15" t="s">
        <v>5347</v>
      </c>
      <c r="R12085" s="13" t="str">
        <f>HYPERLINK("https://my.pitchbook.com?c=86675-50T","View Company Online")</f>
        <v>View Company Online</v>
      </c>
    </row>
    <row r="12086" spans="1:18" hidden="1" x14ac:dyDescent="0.3">
      <c r="A12086" s="9" t="s">
        <v>33933</v>
      </c>
      <c r="B12086" s="9" t="s">
        <v>33934</v>
      </c>
      <c r="C12086" s="11" t="s">
        <v>28</v>
      </c>
      <c r="D12086" s="9" t="s">
        <v>33935</v>
      </c>
      <c r="E12086" s="11" t="s">
        <v>28</v>
      </c>
      <c r="F12086" s="10">
        <v>11.92</v>
      </c>
      <c r="G12086" s="10">
        <v>11.92</v>
      </c>
      <c r="H12086" s="10">
        <v>11.92</v>
      </c>
      <c r="I12086" s="11" t="s">
        <v>28</v>
      </c>
      <c r="J12086" s="11" t="s">
        <v>28</v>
      </c>
      <c r="K12086" s="11" t="s">
        <v>28</v>
      </c>
      <c r="L12086" s="11" t="s">
        <v>28</v>
      </c>
      <c r="M12086" s="11" t="s">
        <v>28</v>
      </c>
      <c r="N12086" s="8">
        <v>40513</v>
      </c>
      <c r="O12086" s="9" t="s">
        <v>30</v>
      </c>
      <c r="P12086" s="12" t="s">
        <v>22734</v>
      </c>
      <c r="Q12086" s="9" t="s">
        <v>22648</v>
      </c>
      <c r="R12086" s="14" t="str">
        <f>HYPERLINK("https://my.pitchbook.com?c=91410-67T","View Company Online")</f>
        <v>View Company Online</v>
      </c>
    </row>
    <row r="12087" spans="1:18" hidden="1" x14ac:dyDescent="0.3">
      <c r="A12087" s="15" t="s">
        <v>33936</v>
      </c>
      <c r="B12087" s="15" t="s">
        <v>1444</v>
      </c>
      <c r="C12087" s="18" t="s">
        <v>28</v>
      </c>
      <c r="D12087" s="15" t="s">
        <v>1445</v>
      </c>
      <c r="E12087" s="18" t="s">
        <v>28</v>
      </c>
      <c r="F12087" s="19">
        <v>1000</v>
      </c>
      <c r="G12087" s="19">
        <v>1000</v>
      </c>
      <c r="H12087" s="19">
        <v>1000</v>
      </c>
      <c r="I12087" s="18" t="s">
        <v>28</v>
      </c>
      <c r="J12087" s="18" t="s">
        <v>28</v>
      </c>
      <c r="K12087" s="18" t="s">
        <v>28</v>
      </c>
      <c r="L12087" s="18" t="s">
        <v>28</v>
      </c>
      <c r="M12087" s="18" t="s">
        <v>28</v>
      </c>
      <c r="N12087" s="17">
        <v>40513</v>
      </c>
      <c r="O12087" s="15" t="s">
        <v>41</v>
      </c>
      <c r="P12087" s="16" t="s">
        <v>33937</v>
      </c>
      <c r="Q12087" s="15" t="s">
        <v>245</v>
      </c>
      <c r="R12087" s="13" t="str">
        <f>HYPERLINK("https://my.pitchbook.com?c=32388-22T","View Company Online")</f>
        <v>View Company Online</v>
      </c>
    </row>
    <row r="12088" spans="1:18" hidden="1" x14ac:dyDescent="0.3">
      <c r="A12088" s="9" t="s">
        <v>33938</v>
      </c>
      <c r="B12088" s="9" t="s">
        <v>33939</v>
      </c>
      <c r="C12088" s="11" t="s">
        <v>28</v>
      </c>
      <c r="D12088" s="9" t="s">
        <v>33940</v>
      </c>
      <c r="E12088" s="11" t="s">
        <v>28</v>
      </c>
      <c r="F12088" s="10">
        <v>58.16</v>
      </c>
      <c r="G12088" s="10">
        <v>58.16</v>
      </c>
      <c r="H12088" s="10">
        <v>58.16</v>
      </c>
      <c r="I12088" s="11" t="s">
        <v>28</v>
      </c>
      <c r="J12088" s="11" t="s">
        <v>28</v>
      </c>
      <c r="K12088" s="11" t="s">
        <v>28</v>
      </c>
      <c r="L12088" s="11" t="s">
        <v>28</v>
      </c>
      <c r="M12088" s="11" t="s">
        <v>28</v>
      </c>
      <c r="N12088" s="8">
        <v>40512</v>
      </c>
      <c r="O12088" s="9" t="s">
        <v>30</v>
      </c>
      <c r="P12088" s="12" t="s">
        <v>33941</v>
      </c>
      <c r="Q12088" s="9" t="s">
        <v>105</v>
      </c>
      <c r="R12088" s="14" t="str">
        <f>HYPERLINK("https://my.pitchbook.com?c=74675-08T","View Company Online")</f>
        <v>View Company Online</v>
      </c>
    </row>
    <row r="12089" spans="1:18" hidden="1" x14ac:dyDescent="0.3">
      <c r="A12089" s="15" t="s">
        <v>33942</v>
      </c>
      <c r="B12089" s="15" t="s">
        <v>13253</v>
      </c>
      <c r="C12089" s="18" t="s">
        <v>28</v>
      </c>
      <c r="D12089" s="15" t="s">
        <v>13254</v>
      </c>
      <c r="E12089" s="18">
        <v>3.92</v>
      </c>
      <c r="F12089" s="19" t="s">
        <v>28</v>
      </c>
      <c r="G12089" s="19" t="s">
        <v>28</v>
      </c>
      <c r="H12089" s="19" t="s">
        <v>28</v>
      </c>
      <c r="I12089" s="18" t="s">
        <v>28</v>
      </c>
      <c r="J12089" s="18" t="s">
        <v>28</v>
      </c>
      <c r="K12089" s="18">
        <v>39.369999999999997</v>
      </c>
      <c r="L12089" s="18" t="s">
        <v>28</v>
      </c>
      <c r="M12089" s="18">
        <v>-3.16</v>
      </c>
      <c r="N12089" s="17">
        <v>40512</v>
      </c>
      <c r="O12089" s="15" t="s">
        <v>41</v>
      </c>
      <c r="P12089" s="16" t="s">
        <v>33943</v>
      </c>
      <c r="Q12089" s="15" t="s">
        <v>136</v>
      </c>
      <c r="R12089" s="13" t="str">
        <f>HYPERLINK("https://my.pitchbook.com?c=22222-54T","View Company Online")</f>
        <v>View Company Online</v>
      </c>
    </row>
    <row r="12090" spans="1:18" hidden="1" x14ac:dyDescent="0.3">
      <c r="A12090" s="9" t="s">
        <v>33944</v>
      </c>
      <c r="B12090" s="9" t="s">
        <v>26122</v>
      </c>
      <c r="C12090" s="11" t="s">
        <v>28</v>
      </c>
      <c r="D12090" s="9" t="s">
        <v>26479</v>
      </c>
      <c r="E12090" s="11" t="s">
        <v>28</v>
      </c>
      <c r="F12090" s="10">
        <v>1586.21</v>
      </c>
      <c r="G12090" s="10">
        <v>872.41</v>
      </c>
      <c r="H12090" s="10">
        <v>1586.21</v>
      </c>
      <c r="I12090" s="11" t="s">
        <v>28</v>
      </c>
      <c r="J12090" s="11" t="s">
        <v>28</v>
      </c>
      <c r="K12090" s="11" t="s">
        <v>28</v>
      </c>
      <c r="L12090" s="11" t="s">
        <v>28</v>
      </c>
      <c r="M12090" s="11" t="s">
        <v>28</v>
      </c>
      <c r="N12090" s="8">
        <v>40512</v>
      </c>
      <c r="O12090" s="9" t="s">
        <v>30</v>
      </c>
      <c r="P12090" s="12" t="s">
        <v>31341</v>
      </c>
      <c r="Q12090" s="9" t="s">
        <v>240</v>
      </c>
      <c r="R12090" s="14" t="str">
        <f>HYPERLINK("https://my.pitchbook.com?c=66672-37T","View Company Online")</f>
        <v>View Company Online</v>
      </c>
    </row>
    <row r="12091" spans="1:18" hidden="1" x14ac:dyDescent="0.3">
      <c r="A12091" s="15" t="s">
        <v>33945</v>
      </c>
      <c r="B12091" s="15" t="s">
        <v>29742</v>
      </c>
      <c r="C12091" s="18" t="s">
        <v>28</v>
      </c>
      <c r="D12091" s="15" t="s">
        <v>29743</v>
      </c>
      <c r="E12091" s="18" t="s">
        <v>28</v>
      </c>
      <c r="F12091" s="19" t="s">
        <v>28</v>
      </c>
      <c r="G12091" s="19">
        <v>30</v>
      </c>
      <c r="H12091" s="19">
        <v>300</v>
      </c>
      <c r="I12091" s="18" t="s">
        <v>28</v>
      </c>
      <c r="J12091" s="18" t="s">
        <v>28</v>
      </c>
      <c r="K12091" s="18" t="s">
        <v>28</v>
      </c>
      <c r="L12091" s="18" t="s">
        <v>28</v>
      </c>
      <c r="M12091" s="18" t="s">
        <v>28</v>
      </c>
      <c r="N12091" s="17">
        <v>40511</v>
      </c>
      <c r="O12091" s="15" t="s">
        <v>79</v>
      </c>
      <c r="P12091" s="16" t="s">
        <v>33946</v>
      </c>
      <c r="Q12091" s="15" t="s">
        <v>419</v>
      </c>
      <c r="R12091" s="13" t="str">
        <f>HYPERLINK("https://my.pitchbook.com?c=19511-02T","View Company Online")</f>
        <v>View Company Online</v>
      </c>
    </row>
    <row r="12092" spans="1:18" hidden="1" x14ac:dyDescent="0.3">
      <c r="A12092" s="9" t="s">
        <v>33947</v>
      </c>
      <c r="B12092" s="9" t="s">
        <v>33948</v>
      </c>
      <c r="C12092" s="11" t="s">
        <v>28</v>
      </c>
      <c r="D12092" s="9" t="s">
        <v>33949</v>
      </c>
      <c r="E12092" s="11" t="s">
        <v>28</v>
      </c>
      <c r="F12092" s="10" t="s">
        <v>28</v>
      </c>
      <c r="G12092" s="10" t="s">
        <v>28</v>
      </c>
      <c r="H12092" s="10" t="s">
        <v>28</v>
      </c>
      <c r="I12092" s="11" t="s">
        <v>28</v>
      </c>
      <c r="J12092" s="11" t="s">
        <v>28</v>
      </c>
      <c r="K12092" s="11" t="s">
        <v>28</v>
      </c>
      <c r="L12092" s="11" t="s">
        <v>28</v>
      </c>
      <c r="M12092" s="11" t="s">
        <v>28</v>
      </c>
      <c r="N12092" s="8">
        <v>40507</v>
      </c>
      <c r="O12092" s="9" t="s">
        <v>30</v>
      </c>
      <c r="P12092" s="12" t="s">
        <v>33950</v>
      </c>
      <c r="Q12092" s="9" t="s">
        <v>362</v>
      </c>
      <c r="R12092" s="14" t="str">
        <f>HYPERLINK("https://my.pitchbook.com?c=74298-70T","View Company Online")</f>
        <v>View Company Online</v>
      </c>
    </row>
    <row r="12093" spans="1:18" hidden="1" x14ac:dyDescent="0.3">
      <c r="A12093" s="15" t="s">
        <v>33951</v>
      </c>
      <c r="B12093" s="15" t="s">
        <v>33952</v>
      </c>
      <c r="C12093" s="18" t="s">
        <v>28</v>
      </c>
      <c r="D12093" s="15" t="s">
        <v>33953</v>
      </c>
      <c r="E12093" s="18" t="s">
        <v>28</v>
      </c>
      <c r="F12093" s="19" t="s">
        <v>28</v>
      </c>
      <c r="G12093" s="19" t="s">
        <v>28</v>
      </c>
      <c r="H12093" s="19" t="s">
        <v>28</v>
      </c>
      <c r="I12093" s="18" t="s">
        <v>28</v>
      </c>
      <c r="J12093" s="18" t="s">
        <v>28</v>
      </c>
      <c r="K12093" s="18" t="s">
        <v>28</v>
      </c>
      <c r="L12093" s="18" t="s">
        <v>28</v>
      </c>
      <c r="M12093" s="18" t="s">
        <v>28</v>
      </c>
      <c r="N12093" s="17">
        <v>40507</v>
      </c>
      <c r="O12093" s="15" t="s">
        <v>30</v>
      </c>
      <c r="P12093" s="16" t="s">
        <v>33950</v>
      </c>
      <c r="Q12093" s="15" t="s">
        <v>362</v>
      </c>
      <c r="R12093" s="13" t="str">
        <f>HYPERLINK("https://my.pitchbook.com?c=74267-47T","View Company Online")</f>
        <v>View Company Online</v>
      </c>
    </row>
    <row r="12094" spans="1:18" x14ac:dyDescent="0.3">
      <c r="A12094" s="9" t="s">
        <v>33954</v>
      </c>
      <c r="B12094" s="9" t="s">
        <v>421</v>
      </c>
      <c r="C12094" s="11" t="s">
        <v>28</v>
      </c>
      <c r="D12094" s="9" t="s">
        <v>422</v>
      </c>
      <c r="E12094" s="11">
        <v>16.59</v>
      </c>
      <c r="F12094" s="10" t="s">
        <v>28</v>
      </c>
      <c r="G12094" s="10">
        <v>58</v>
      </c>
      <c r="H12094" s="10">
        <v>290</v>
      </c>
      <c r="I12094" s="11">
        <v>18.3</v>
      </c>
      <c r="J12094" s="11">
        <v>15.84</v>
      </c>
      <c r="K12094" s="11">
        <v>15.64</v>
      </c>
      <c r="L12094" s="11">
        <v>18.54</v>
      </c>
      <c r="M12094" s="11">
        <v>3.18</v>
      </c>
      <c r="N12094" s="8">
        <v>40507</v>
      </c>
      <c r="O12094" s="9" t="s">
        <v>93</v>
      </c>
      <c r="P12094" s="12" t="s">
        <v>32648</v>
      </c>
      <c r="Q12094" s="9" t="s">
        <v>424</v>
      </c>
      <c r="R12094" s="14" t="str">
        <f>HYPERLINK("https://my.pitchbook.com?c=23044-33T","View Company Online")</f>
        <v>View Company Online</v>
      </c>
    </row>
    <row r="12095" spans="1:18" hidden="1" x14ac:dyDescent="0.3">
      <c r="A12095" s="15" t="s">
        <v>33955</v>
      </c>
      <c r="B12095" s="15" t="s">
        <v>14415</v>
      </c>
      <c r="C12095" s="18" t="s">
        <v>28</v>
      </c>
      <c r="D12095" s="15" t="s">
        <v>14416</v>
      </c>
      <c r="E12095" s="18" t="s">
        <v>28</v>
      </c>
      <c r="F12095" s="19" t="s">
        <v>28</v>
      </c>
      <c r="G12095" s="19">
        <v>0.01</v>
      </c>
      <c r="H12095" s="19" t="s">
        <v>28</v>
      </c>
      <c r="I12095" s="18" t="s">
        <v>28</v>
      </c>
      <c r="J12095" s="18" t="s">
        <v>28</v>
      </c>
      <c r="K12095" s="18" t="s">
        <v>28</v>
      </c>
      <c r="L12095" s="18" t="s">
        <v>28</v>
      </c>
      <c r="M12095" s="18" t="s">
        <v>28</v>
      </c>
      <c r="N12095" s="17">
        <v>40507</v>
      </c>
      <c r="O12095" s="15" t="s">
        <v>8420</v>
      </c>
      <c r="P12095" s="16" t="s">
        <v>28</v>
      </c>
      <c r="Q12095" s="15" t="s">
        <v>616</v>
      </c>
      <c r="R12095" s="13" t="str">
        <f>HYPERLINK("https://my.pitchbook.com?c=92911-15T","View Company Online")</f>
        <v>View Company Online</v>
      </c>
    </row>
    <row r="12096" spans="1:18" hidden="1" x14ac:dyDescent="0.3">
      <c r="A12096" s="9" t="s">
        <v>33956</v>
      </c>
      <c r="B12096" s="9" t="s">
        <v>33957</v>
      </c>
      <c r="C12096" s="11" t="s">
        <v>28</v>
      </c>
      <c r="D12096" s="9" t="s">
        <v>33958</v>
      </c>
      <c r="E12096" s="11" t="s">
        <v>28</v>
      </c>
      <c r="F12096" s="10">
        <v>3.45</v>
      </c>
      <c r="G12096" s="10">
        <v>3.45</v>
      </c>
      <c r="H12096" s="10">
        <v>3.45</v>
      </c>
      <c r="I12096" s="11" t="s">
        <v>28</v>
      </c>
      <c r="J12096" s="11" t="s">
        <v>28</v>
      </c>
      <c r="K12096" s="11">
        <v>2.99</v>
      </c>
      <c r="L12096" s="11">
        <v>1.1499999999999999</v>
      </c>
      <c r="M12096" s="11" t="s">
        <v>28</v>
      </c>
      <c r="N12096" s="8">
        <v>40506</v>
      </c>
      <c r="O12096" s="9" t="s">
        <v>30</v>
      </c>
      <c r="P12096" s="12" t="s">
        <v>4262</v>
      </c>
      <c r="Q12096" s="9" t="s">
        <v>235</v>
      </c>
      <c r="R12096" s="14" t="str">
        <f>HYPERLINK("https://my.pitchbook.com?c=91609-93T","View Company Online")</f>
        <v>View Company Online</v>
      </c>
    </row>
    <row r="12097" spans="1:18" hidden="1" x14ac:dyDescent="0.3">
      <c r="A12097" s="15" t="s">
        <v>33959</v>
      </c>
      <c r="B12097" s="15" t="s">
        <v>29601</v>
      </c>
      <c r="C12097" s="18" t="s">
        <v>28</v>
      </c>
      <c r="D12097" s="15" t="s">
        <v>29602</v>
      </c>
      <c r="E12097" s="18" t="s">
        <v>28</v>
      </c>
      <c r="F12097" s="19" t="s">
        <v>28</v>
      </c>
      <c r="G12097" s="19" t="s">
        <v>28</v>
      </c>
      <c r="H12097" s="19" t="s">
        <v>28</v>
      </c>
      <c r="I12097" s="18" t="s">
        <v>28</v>
      </c>
      <c r="J12097" s="18" t="s">
        <v>28</v>
      </c>
      <c r="K12097" s="18" t="s">
        <v>28</v>
      </c>
      <c r="L12097" s="18" t="s">
        <v>28</v>
      </c>
      <c r="M12097" s="18" t="s">
        <v>28</v>
      </c>
      <c r="N12097" s="17">
        <v>40504</v>
      </c>
      <c r="O12097" s="15" t="s">
        <v>30</v>
      </c>
      <c r="P12097" s="16" t="s">
        <v>29603</v>
      </c>
      <c r="Q12097" s="15" t="s">
        <v>353</v>
      </c>
      <c r="R12097" s="13" t="str">
        <f>HYPERLINK("https://my.pitchbook.com?c=73554-40T","View Company Online")</f>
        <v>View Company Online</v>
      </c>
    </row>
    <row r="12098" spans="1:18" hidden="1" x14ac:dyDescent="0.3">
      <c r="A12098" s="9" t="s">
        <v>33960</v>
      </c>
      <c r="B12098" s="9" t="s">
        <v>33961</v>
      </c>
      <c r="C12098" s="11" t="s">
        <v>28</v>
      </c>
      <c r="D12098" s="9" t="s">
        <v>33962</v>
      </c>
      <c r="E12098" s="11" t="s">
        <v>28</v>
      </c>
      <c r="F12098" s="10">
        <v>12.72</v>
      </c>
      <c r="G12098" s="10">
        <v>12.72</v>
      </c>
      <c r="H12098" s="10">
        <v>12.72</v>
      </c>
      <c r="I12098" s="11" t="s">
        <v>28</v>
      </c>
      <c r="J12098" s="11" t="s">
        <v>28</v>
      </c>
      <c r="K12098" s="11" t="s">
        <v>28</v>
      </c>
      <c r="L12098" s="11" t="s">
        <v>28</v>
      </c>
      <c r="M12098" s="11" t="s">
        <v>28</v>
      </c>
      <c r="N12098" s="8">
        <v>40501</v>
      </c>
      <c r="O12098" s="9" t="s">
        <v>30</v>
      </c>
      <c r="P12098" s="12" t="s">
        <v>33963</v>
      </c>
      <c r="Q12098" s="9" t="s">
        <v>669</v>
      </c>
      <c r="R12098" s="14" t="str">
        <f>HYPERLINK("https://my.pitchbook.com?c=88927-66T","View Company Online")</f>
        <v>View Company Online</v>
      </c>
    </row>
    <row r="12099" spans="1:18" hidden="1" x14ac:dyDescent="0.3">
      <c r="A12099" s="15" t="s">
        <v>33964</v>
      </c>
      <c r="B12099" s="15" t="s">
        <v>10355</v>
      </c>
      <c r="C12099" s="18" t="s">
        <v>28</v>
      </c>
      <c r="D12099" s="15" t="s">
        <v>10356</v>
      </c>
      <c r="E12099" s="18" t="s">
        <v>28</v>
      </c>
      <c r="F12099" s="19" t="s">
        <v>28</v>
      </c>
      <c r="G12099" s="19" t="s">
        <v>28</v>
      </c>
      <c r="H12099" s="19" t="s">
        <v>28</v>
      </c>
      <c r="I12099" s="18" t="s">
        <v>28</v>
      </c>
      <c r="J12099" s="18" t="s">
        <v>28</v>
      </c>
      <c r="K12099" s="18">
        <v>31.07</v>
      </c>
      <c r="L12099" s="18" t="s">
        <v>28</v>
      </c>
      <c r="M12099" s="18" t="s">
        <v>28</v>
      </c>
      <c r="N12099" s="17">
        <v>40499</v>
      </c>
      <c r="O12099" s="15" t="s">
        <v>73</v>
      </c>
      <c r="P12099" s="16" t="s">
        <v>33965</v>
      </c>
      <c r="Q12099" s="15" t="s">
        <v>566</v>
      </c>
      <c r="R12099" s="13" t="str">
        <f>HYPERLINK("https://my.pitchbook.com?c=22285-00T","View Company Online")</f>
        <v>View Company Online</v>
      </c>
    </row>
    <row r="12100" spans="1:18" hidden="1" x14ac:dyDescent="0.3">
      <c r="A12100" s="9" t="s">
        <v>33966</v>
      </c>
      <c r="B12100" s="9" t="s">
        <v>33967</v>
      </c>
      <c r="C12100" s="11" t="s">
        <v>28</v>
      </c>
      <c r="D12100" s="9" t="s">
        <v>33968</v>
      </c>
      <c r="E12100" s="11" t="s">
        <v>28</v>
      </c>
      <c r="F12100" s="10" t="s">
        <v>28</v>
      </c>
      <c r="G12100" s="10" t="s">
        <v>28</v>
      </c>
      <c r="H12100" s="10" t="s">
        <v>28</v>
      </c>
      <c r="I12100" s="11" t="s">
        <v>28</v>
      </c>
      <c r="J12100" s="11" t="s">
        <v>28</v>
      </c>
      <c r="K12100" s="11" t="s">
        <v>28</v>
      </c>
      <c r="L12100" s="11" t="s">
        <v>28</v>
      </c>
      <c r="M12100" s="11" t="s">
        <v>28</v>
      </c>
      <c r="N12100" s="8">
        <v>40498</v>
      </c>
      <c r="O12100" s="9" t="s">
        <v>173</v>
      </c>
      <c r="P12100" s="12" t="s">
        <v>28</v>
      </c>
      <c r="Q12100" s="9" t="s">
        <v>174</v>
      </c>
      <c r="R12100" s="14" t="str">
        <f>HYPERLINK("https://my.pitchbook.com?c=224024-50T","View Company Online")</f>
        <v>View Company Online</v>
      </c>
    </row>
    <row r="12101" spans="1:18" hidden="1" x14ac:dyDescent="0.3">
      <c r="A12101" s="15" t="s">
        <v>33969</v>
      </c>
      <c r="B12101" s="15" t="s">
        <v>33970</v>
      </c>
      <c r="C12101" s="18" t="s">
        <v>28</v>
      </c>
      <c r="D12101" s="15" t="s">
        <v>33971</v>
      </c>
      <c r="E12101" s="18" t="s">
        <v>28</v>
      </c>
      <c r="F12101" s="19">
        <v>53</v>
      </c>
      <c r="G12101" s="19">
        <v>53</v>
      </c>
      <c r="H12101" s="19">
        <v>53</v>
      </c>
      <c r="I12101" s="18" t="s">
        <v>28</v>
      </c>
      <c r="J12101" s="18" t="s">
        <v>28</v>
      </c>
      <c r="K12101" s="18" t="s">
        <v>28</v>
      </c>
      <c r="L12101" s="18" t="s">
        <v>28</v>
      </c>
      <c r="M12101" s="18" t="s">
        <v>28</v>
      </c>
      <c r="N12101" s="17">
        <v>40494</v>
      </c>
      <c r="O12101" s="15" t="s">
        <v>41</v>
      </c>
      <c r="P12101" s="16" t="s">
        <v>32648</v>
      </c>
      <c r="Q12101" s="15" t="s">
        <v>381</v>
      </c>
      <c r="R12101" s="13" t="str">
        <f>HYPERLINK("https://my.pitchbook.com?c=58866-40T","View Company Online")</f>
        <v>View Company Online</v>
      </c>
    </row>
    <row r="12102" spans="1:18" hidden="1" x14ac:dyDescent="0.3">
      <c r="A12102" s="9" t="s">
        <v>33972</v>
      </c>
      <c r="B12102" s="9" t="s">
        <v>20921</v>
      </c>
      <c r="C12102" s="11" t="s">
        <v>28</v>
      </c>
      <c r="D12102" s="9" t="s">
        <v>20922</v>
      </c>
      <c r="E12102" s="11">
        <v>9.25</v>
      </c>
      <c r="F12102" s="10" t="s">
        <v>28</v>
      </c>
      <c r="G12102" s="10" t="s">
        <v>28</v>
      </c>
      <c r="H12102" s="10" t="s">
        <v>28</v>
      </c>
      <c r="I12102" s="11">
        <v>26.74</v>
      </c>
      <c r="J12102" s="11" t="s">
        <v>28</v>
      </c>
      <c r="K12102" s="11">
        <v>169.46</v>
      </c>
      <c r="L12102" s="11" t="s">
        <v>28</v>
      </c>
      <c r="M12102" s="11">
        <v>-11.13</v>
      </c>
      <c r="N12102" s="8">
        <v>40494</v>
      </c>
      <c r="O12102" s="9" t="s">
        <v>30</v>
      </c>
      <c r="P12102" s="12" t="s">
        <v>33973</v>
      </c>
      <c r="Q12102" s="9" t="s">
        <v>6878</v>
      </c>
      <c r="R12102" s="14" t="str">
        <f>HYPERLINK("https://my.pitchbook.com?c=81253-36T","View Company Online")</f>
        <v>View Company Online</v>
      </c>
    </row>
    <row r="12103" spans="1:18" hidden="1" x14ac:dyDescent="0.3">
      <c r="A12103" s="15" t="s">
        <v>33974</v>
      </c>
      <c r="B12103" s="15" t="s">
        <v>33975</v>
      </c>
      <c r="C12103" s="18" t="s">
        <v>28</v>
      </c>
      <c r="D12103" s="15" t="s">
        <v>33976</v>
      </c>
      <c r="E12103" s="18" t="s">
        <v>28</v>
      </c>
      <c r="F12103" s="19" t="s">
        <v>28</v>
      </c>
      <c r="G12103" s="19" t="s">
        <v>28</v>
      </c>
      <c r="H12103" s="19" t="s">
        <v>28</v>
      </c>
      <c r="I12103" s="18" t="s">
        <v>28</v>
      </c>
      <c r="J12103" s="18" t="s">
        <v>28</v>
      </c>
      <c r="K12103" s="18" t="s">
        <v>28</v>
      </c>
      <c r="L12103" s="18" t="s">
        <v>28</v>
      </c>
      <c r="M12103" s="18" t="s">
        <v>28</v>
      </c>
      <c r="N12103" s="17">
        <v>40493</v>
      </c>
      <c r="O12103" s="15" t="s">
        <v>30</v>
      </c>
      <c r="P12103" s="16" t="s">
        <v>33950</v>
      </c>
      <c r="Q12103" s="15" t="s">
        <v>362</v>
      </c>
      <c r="R12103" s="13" t="str">
        <f>HYPERLINK("https://my.pitchbook.com?c=74270-26T","View Company Online")</f>
        <v>View Company Online</v>
      </c>
    </row>
    <row r="12104" spans="1:18" hidden="1" x14ac:dyDescent="0.3">
      <c r="A12104" s="9" t="s">
        <v>33977</v>
      </c>
      <c r="B12104" s="9" t="s">
        <v>33978</v>
      </c>
      <c r="C12104" s="11" t="s">
        <v>28</v>
      </c>
      <c r="D12104" s="9" t="s">
        <v>33979</v>
      </c>
      <c r="E12104" s="11" t="s">
        <v>28</v>
      </c>
      <c r="F12104" s="10" t="s">
        <v>28</v>
      </c>
      <c r="G12104" s="10" t="s">
        <v>28</v>
      </c>
      <c r="H12104" s="10" t="s">
        <v>28</v>
      </c>
      <c r="I12104" s="11" t="s">
        <v>28</v>
      </c>
      <c r="J12104" s="11" t="s">
        <v>28</v>
      </c>
      <c r="K12104" s="11" t="s">
        <v>28</v>
      </c>
      <c r="L12104" s="11" t="s">
        <v>28</v>
      </c>
      <c r="M12104" s="11" t="s">
        <v>28</v>
      </c>
      <c r="N12104" s="8">
        <v>40492</v>
      </c>
      <c r="O12104" s="9" t="s">
        <v>30</v>
      </c>
      <c r="P12104" s="12" t="s">
        <v>29220</v>
      </c>
      <c r="Q12104" s="9" t="s">
        <v>213</v>
      </c>
      <c r="R12104" s="14" t="str">
        <f>HYPERLINK("https://my.pitchbook.com?c=91490-14T","View Company Online")</f>
        <v>View Company Online</v>
      </c>
    </row>
    <row r="12105" spans="1:18" hidden="1" x14ac:dyDescent="0.3">
      <c r="A12105" s="15" t="s">
        <v>33980</v>
      </c>
      <c r="B12105" s="15" t="s">
        <v>33981</v>
      </c>
      <c r="C12105" s="18" t="s">
        <v>28</v>
      </c>
      <c r="D12105" s="15" t="s">
        <v>33982</v>
      </c>
      <c r="E12105" s="18" t="s">
        <v>28</v>
      </c>
      <c r="F12105" s="19" t="s">
        <v>28</v>
      </c>
      <c r="G12105" s="19" t="s">
        <v>28</v>
      </c>
      <c r="H12105" s="19" t="s">
        <v>28</v>
      </c>
      <c r="I12105" s="18" t="s">
        <v>28</v>
      </c>
      <c r="J12105" s="18" t="s">
        <v>28</v>
      </c>
      <c r="K12105" s="18" t="s">
        <v>28</v>
      </c>
      <c r="L12105" s="18" t="s">
        <v>28</v>
      </c>
      <c r="M12105" s="18" t="s">
        <v>28</v>
      </c>
      <c r="N12105" s="17">
        <v>40491</v>
      </c>
      <c r="O12105" s="15" t="s">
        <v>30</v>
      </c>
      <c r="P12105" s="16" t="s">
        <v>14702</v>
      </c>
      <c r="Q12105" s="15" t="s">
        <v>240</v>
      </c>
      <c r="R12105" s="13" t="str">
        <f>HYPERLINK("https://my.pitchbook.com?c=91604-89T","View Company Online")</f>
        <v>View Company Online</v>
      </c>
    </row>
    <row r="12106" spans="1:18" hidden="1" x14ac:dyDescent="0.3">
      <c r="A12106" s="9" t="s">
        <v>33983</v>
      </c>
      <c r="B12106" s="9" t="s">
        <v>33984</v>
      </c>
      <c r="C12106" s="11" t="s">
        <v>28</v>
      </c>
      <c r="D12106" s="9" t="s">
        <v>33985</v>
      </c>
      <c r="E12106" s="11" t="s">
        <v>28</v>
      </c>
      <c r="F12106" s="10" t="s">
        <v>28</v>
      </c>
      <c r="G12106" s="10" t="s">
        <v>28</v>
      </c>
      <c r="H12106" s="10" t="s">
        <v>28</v>
      </c>
      <c r="I12106" s="11" t="s">
        <v>28</v>
      </c>
      <c r="J12106" s="11" t="s">
        <v>28</v>
      </c>
      <c r="K12106" s="11" t="s">
        <v>28</v>
      </c>
      <c r="L12106" s="11" t="s">
        <v>28</v>
      </c>
      <c r="M12106" s="11" t="s">
        <v>28</v>
      </c>
      <c r="N12106" s="8">
        <v>40485</v>
      </c>
      <c r="O12106" s="9" t="s">
        <v>30</v>
      </c>
      <c r="P12106" s="12" t="s">
        <v>33986</v>
      </c>
      <c r="Q12106" s="9" t="s">
        <v>2706</v>
      </c>
      <c r="R12106" s="14" t="str">
        <f>HYPERLINK("https://my.pitchbook.com?c=74744-92T","View Company Online")</f>
        <v>View Company Online</v>
      </c>
    </row>
    <row r="12107" spans="1:18" hidden="1" x14ac:dyDescent="0.3">
      <c r="A12107" s="15" t="s">
        <v>33987</v>
      </c>
      <c r="B12107" s="15" t="s">
        <v>4004</v>
      </c>
      <c r="C12107" s="18" t="s">
        <v>28</v>
      </c>
      <c r="D12107" s="15" t="s">
        <v>4005</v>
      </c>
      <c r="E12107" s="18">
        <v>8.42</v>
      </c>
      <c r="F12107" s="19" t="s">
        <v>28</v>
      </c>
      <c r="G12107" s="19" t="s">
        <v>28</v>
      </c>
      <c r="H12107" s="19" t="s">
        <v>28</v>
      </c>
      <c r="I12107" s="18">
        <v>8.44</v>
      </c>
      <c r="J12107" s="18" t="s">
        <v>28</v>
      </c>
      <c r="K12107" s="18">
        <v>8.0500000000000007</v>
      </c>
      <c r="L12107" s="18" t="s">
        <v>28</v>
      </c>
      <c r="M12107" s="18">
        <v>7.38</v>
      </c>
      <c r="N12107" s="17">
        <v>40483</v>
      </c>
      <c r="O12107" s="15" t="s">
        <v>173</v>
      </c>
      <c r="P12107" s="16" t="s">
        <v>28</v>
      </c>
      <c r="Q12107" s="15" t="s">
        <v>188</v>
      </c>
      <c r="R12107" s="13" t="str">
        <f>HYPERLINK("https://my.pitchbook.com?c=178618-87T","View Company Online")</f>
        <v>View Company Online</v>
      </c>
    </row>
    <row r="12108" spans="1:18" hidden="1" x14ac:dyDescent="0.3">
      <c r="A12108" s="9" t="s">
        <v>33988</v>
      </c>
      <c r="B12108" s="9" t="s">
        <v>33989</v>
      </c>
      <c r="C12108" s="11" t="s">
        <v>28</v>
      </c>
      <c r="D12108" s="9" t="s">
        <v>33990</v>
      </c>
      <c r="E12108" s="11" t="s">
        <v>28</v>
      </c>
      <c r="F12108" s="10" t="s">
        <v>28</v>
      </c>
      <c r="G12108" s="10" t="s">
        <v>28</v>
      </c>
      <c r="H12108" s="10" t="s">
        <v>28</v>
      </c>
      <c r="I12108" s="11" t="s">
        <v>28</v>
      </c>
      <c r="J12108" s="11" t="s">
        <v>28</v>
      </c>
      <c r="K12108" s="11" t="s">
        <v>28</v>
      </c>
      <c r="L12108" s="11" t="s">
        <v>28</v>
      </c>
      <c r="M12108" s="11" t="s">
        <v>28</v>
      </c>
      <c r="N12108" s="8">
        <v>40483</v>
      </c>
      <c r="O12108" s="9" t="s">
        <v>30</v>
      </c>
      <c r="P12108" s="12" t="s">
        <v>28</v>
      </c>
      <c r="Q12108" s="9" t="s">
        <v>85</v>
      </c>
      <c r="R12108" s="14" t="str">
        <f>HYPERLINK("https://my.pitchbook.com?c=75061-54T","View Company Online")</f>
        <v>View Company Online</v>
      </c>
    </row>
    <row r="12109" spans="1:18" hidden="1" x14ac:dyDescent="0.3">
      <c r="A12109" s="15" t="s">
        <v>33991</v>
      </c>
      <c r="B12109" s="15" t="s">
        <v>16358</v>
      </c>
      <c r="C12109" s="18" t="s">
        <v>28</v>
      </c>
      <c r="D12109" s="15" t="s">
        <v>16359</v>
      </c>
      <c r="E12109" s="18" t="s">
        <v>28</v>
      </c>
      <c r="F12109" s="19" t="s">
        <v>28</v>
      </c>
      <c r="G12109" s="19">
        <v>15</v>
      </c>
      <c r="H12109" s="19" t="s">
        <v>28</v>
      </c>
      <c r="I12109" s="18" t="s">
        <v>28</v>
      </c>
      <c r="J12109" s="18" t="s">
        <v>28</v>
      </c>
      <c r="K12109" s="18" t="s">
        <v>28</v>
      </c>
      <c r="L12109" s="18" t="s">
        <v>28</v>
      </c>
      <c r="M12109" s="18" t="s">
        <v>28</v>
      </c>
      <c r="N12109" s="17">
        <v>40483</v>
      </c>
      <c r="O12109" s="15" t="s">
        <v>73</v>
      </c>
      <c r="P12109" s="16" t="s">
        <v>33992</v>
      </c>
      <c r="Q12109" s="15" t="s">
        <v>414</v>
      </c>
      <c r="R12109" s="13" t="str">
        <f>HYPERLINK("https://my.pitchbook.com?c=45169-48T","View Company Online")</f>
        <v>View Company Online</v>
      </c>
    </row>
    <row r="12110" spans="1:18" hidden="1" x14ac:dyDescent="0.3">
      <c r="A12110" s="9" t="s">
        <v>33993</v>
      </c>
      <c r="B12110" s="9" t="s">
        <v>33994</v>
      </c>
      <c r="C12110" s="11" t="s">
        <v>28</v>
      </c>
      <c r="D12110" s="9" t="s">
        <v>33995</v>
      </c>
      <c r="E12110" s="11" t="s">
        <v>28</v>
      </c>
      <c r="F12110" s="10" t="s">
        <v>28</v>
      </c>
      <c r="G12110" s="10" t="s">
        <v>28</v>
      </c>
      <c r="H12110" s="10" t="s">
        <v>28</v>
      </c>
      <c r="I12110" s="11" t="s">
        <v>28</v>
      </c>
      <c r="J12110" s="11" t="s">
        <v>28</v>
      </c>
      <c r="K12110" s="11" t="s">
        <v>28</v>
      </c>
      <c r="L12110" s="11" t="s">
        <v>28</v>
      </c>
      <c r="M12110" s="11" t="s">
        <v>28</v>
      </c>
      <c r="N12110" s="8">
        <v>40483</v>
      </c>
      <c r="O12110" s="9" t="s">
        <v>30</v>
      </c>
      <c r="P12110" s="12" t="s">
        <v>33996</v>
      </c>
      <c r="Q12110" s="9" t="s">
        <v>2097</v>
      </c>
      <c r="R12110" s="14" t="str">
        <f>HYPERLINK("https://my.pitchbook.com?c=77815-90T","View Company Online")</f>
        <v>View Company Online</v>
      </c>
    </row>
    <row r="12111" spans="1:18" hidden="1" x14ac:dyDescent="0.3">
      <c r="A12111" s="15" t="s">
        <v>33997</v>
      </c>
      <c r="B12111" s="15" t="s">
        <v>31584</v>
      </c>
      <c r="C12111" s="18" t="s">
        <v>28</v>
      </c>
      <c r="D12111" s="15" t="s">
        <v>31585</v>
      </c>
      <c r="E12111" s="18" t="s">
        <v>28</v>
      </c>
      <c r="F12111" s="19" t="s">
        <v>28</v>
      </c>
      <c r="G12111" s="19">
        <v>0.78</v>
      </c>
      <c r="H12111" s="19" t="s">
        <v>28</v>
      </c>
      <c r="I12111" s="18" t="s">
        <v>28</v>
      </c>
      <c r="J12111" s="18" t="s">
        <v>28</v>
      </c>
      <c r="K12111" s="18" t="s">
        <v>28</v>
      </c>
      <c r="L12111" s="18" t="s">
        <v>28</v>
      </c>
      <c r="M12111" s="18" t="s">
        <v>28</v>
      </c>
      <c r="N12111" s="17">
        <v>40478</v>
      </c>
      <c r="O12111" s="15" t="s">
        <v>73</v>
      </c>
      <c r="P12111" s="16" t="s">
        <v>1755</v>
      </c>
      <c r="Q12111" s="15" t="s">
        <v>37</v>
      </c>
      <c r="R12111" s="13" t="str">
        <f>HYPERLINK("https://my.pitchbook.com?c=55933-03T","View Company Online")</f>
        <v>View Company Online</v>
      </c>
    </row>
    <row r="12112" spans="1:18" hidden="1" x14ac:dyDescent="0.3">
      <c r="A12112" s="9" t="s">
        <v>33998</v>
      </c>
      <c r="B12112" s="9" t="s">
        <v>33999</v>
      </c>
      <c r="C12112" s="11" t="s">
        <v>28</v>
      </c>
      <c r="D12112" s="9" t="s">
        <v>34000</v>
      </c>
      <c r="E12112" s="11" t="s">
        <v>28</v>
      </c>
      <c r="F12112" s="10" t="s">
        <v>28</v>
      </c>
      <c r="G12112" s="10">
        <v>4.1100000000000003</v>
      </c>
      <c r="H12112" s="10" t="s">
        <v>28</v>
      </c>
      <c r="I12112" s="11" t="s">
        <v>28</v>
      </c>
      <c r="J12112" s="11" t="s">
        <v>28</v>
      </c>
      <c r="K12112" s="11" t="s">
        <v>28</v>
      </c>
      <c r="L12112" s="11" t="s">
        <v>28</v>
      </c>
      <c r="M12112" s="11" t="s">
        <v>28</v>
      </c>
      <c r="N12112" s="8">
        <v>40477</v>
      </c>
      <c r="O12112" s="9" t="s">
        <v>73</v>
      </c>
      <c r="P12112" s="12" t="s">
        <v>11495</v>
      </c>
      <c r="Q12112" s="9" t="s">
        <v>362</v>
      </c>
      <c r="R12112" s="14" t="str">
        <f>HYPERLINK("https://my.pitchbook.com?c=94440-61T","View Company Online")</f>
        <v>View Company Online</v>
      </c>
    </row>
    <row r="12113" spans="1:18" hidden="1" x14ac:dyDescent="0.3">
      <c r="A12113" s="15" t="s">
        <v>34001</v>
      </c>
      <c r="B12113" s="15" t="s">
        <v>34002</v>
      </c>
      <c r="C12113" s="18" t="s">
        <v>28</v>
      </c>
      <c r="D12113" s="15" t="s">
        <v>34003</v>
      </c>
      <c r="E12113" s="18">
        <v>10.89</v>
      </c>
      <c r="F12113" s="19" t="s">
        <v>28</v>
      </c>
      <c r="G12113" s="19" t="s">
        <v>28</v>
      </c>
      <c r="H12113" s="19" t="s">
        <v>28</v>
      </c>
      <c r="I12113" s="18" t="s">
        <v>28</v>
      </c>
      <c r="J12113" s="18" t="s">
        <v>28</v>
      </c>
      <c r="K12113" s="18">
        <v>17.95</v>
      </c>
      <c r="L12113" s="18" t="s">
        <v>28</v>
      </c>
      <c r="M12113" s="18">
        <v>10.75</v>
      </c>
      <c r="N12113" s="17">
        <v>40476</v>
      </c>
      <c r="O12113" s="15" t="s">
        <v>173</v>
      </c>
      <c r="P12113" s="16" t="s">
        <v>28</v>
      </c>
      <c r="Q12113" s="15" t="s">
        <v>226</v>
      </c>
      <c r="R12113" s="13" t="str">
        <f>HYPERLINK("https://my.pitchbook.com?c=221091-94T","View Company Online")</f>
        <v>View Company Online</v>
      </c>
    </row>
    <row r="12114" spans="1:18" hidden="1" x14ac:dyDescent="0.3">
      <c r="A12114" s="9" t="s">
        <v>34004</v>
      </c>
      <c r="B12114" s="9" t="s">
        <v>7578</v>
      </c>
      <c r="C12114" s="11" t="s">
        <v>28</v>
      </c>
      <c r="D12114" s="9" t="s">
        <v>16406</v>
      </c>
      <c r="E12114" s="11">
        <v>-108.73</v>
      </c>
      <c r="F12114" s="10" t="s">
        <v>28</v>
      </c>
      <c r="G12114" s="10">
        <v>1534.2</v>
      </c>
      <c r="H12114" s="10" t="s">
        <v>28</v>
      </c>
      <c r="I12114" s="11">
        <v>-107.66</v>
      </c>
      <c r="J12114" s="11" t="s">
        <v>28</v>
      </c>
      <c r="K12114" s="11">
        <v>8.81</v>
      </c>
      <c r="L12114" s="11" t="s">
        <v>28</v>
      </c>
      <c r="M12114" s="11">
        <v>-80.42</v>
      </c>
      <c r="N12114" s="8">
        <v>40476</v>
      </c>
      <c r="O12114" s="9" t="s">
        <v>173</v>
      </c>
      <c r="P12114" s="12" t="s">
        <v>28</v>
      </c>
      <c r="Q12114" s="9" t="s">
        <v>268</v>
      </c>
      <c r="R12114" s="14" t="str">
        <f>HYPERLINK("https://my.pitchbook.com?c=69399-37T","View Company Online")</f>
        <v>View Company Online</v>
      </c>
    </row>
    <row r="12115" spans="1:18" hidden="1" x14ac:dyDescent="0.3">
      <c r="A12115" s="15" t="s">
        <v>34005</v>
      </c>
      <c r="B12115" s="15" t="s">
        <v>34006</v>
      </c>
      <c r="C12115" s="18" t="s">
        <v>28</v>
      </c>
      <c r="D12115" s="15" t="s">
        <v>34007</v>
      </c>
      <c r="E12115" s="18" t="s">
        <v>28</v>
      </c>
      <c r="F12115" s="19" t="s">
        <v>28</v>
      </c>
      <c r="G12115" s="19" t="s">
        <v>28</v>
      </c>
      <c r="H12115" s="19" t="s">
        <v>28</v>
      </c>
      <c r="I12115" s="18" t="s">
        <v>28</v>
      </c>
      <c r="J12115" s="18" t="s">
        <v>28</v>
      </c>
      <c r="K12115" s="18" t="s">
        <v>28</v>
      </c>
      <c r="L12115" s="18" t="s">
        <v>28</v>
      </c>
      <c r="M12115" s="18" t="s">
        <v>28</v>
      </c>
      <c r="N12115" s="17">
        <v>40472</v>
      </c>
      <c r="O12115" s="15" t="s">
        <v>173</v>
      </c>
      <c r="P12115" s="16" t="s">
        <v>28</v>
      </c>
      <c r="Q12115" s="15" t="s">
        <v>174</v>
      </c>
      <c r="R12115" s="13" t="str">
        <f>HYPERLINK("https://my.pitchbook.com?c=224808-31T","View Company Online")</f>
        <v>View Company Online</v>
      </c>
    </row>
    <row r="12116" spans="1:18" hidden="1" x14ac:dyDescent="0.3">
      <c r="A12116" s="9" t="s">
        <v>34008</v>
      </c>
      <c r="B12116" s="9" t="s">
        <v>34009</v>
      </c>
      <c r="C12116" s="11" t="s">
        <v>28</v>
      </c>
      <c r="D12116" s="9" t="s">
        <v>34010</v>
      </c>
      <c r="E12116" s="11" t="s">
        <v>28</v>
      </c>
      <c r="F12116" s="10" t="s">
        <v>28</v>
      </c>
      <c r="G12116" s="10" t="s">
        <v>28</v>
      </c>
      <c r="H12116" s="10" t="s">
        <v>28</v>
      </c>
      <c r="I12116" s="11" t="s">
        <v>28</v>
      </c>
      <c r="J12116" s="11" t="s">
        <v>28</v>
      </c>
      <c r="K12116" s="11" t="s">
        <v>28</v>
      </c>
      <c r="L12116" s="11" t="s">
        <v>28</v>
      </c>
      <c r="M12116" s="11" t="s">
        <v>28</v>
      </c>
      <c r="N12116" s="8">
        <v>40470</v>
      </c>
      <c r="O12116" s="9" t="s">
        <v>30</v>
      </c>
      <c r="P12116" s="12" t="s">
        <v>34011</v>
      </c>
      <c r="Q12116" s="9" t="s">
        <v>64</v>
      </c>
      <c r="R12116" s="14" t="str">
        <f>HYPERLINK("https://my.pitchbook.com?c=91623-79T","View Company Online")</f>
        <v>View Company Online</v>
      </c>
    </row>
    <row r="12117" spans="1:18" hidden="1" x14ac:dyDescent="0.3">
      <c r="A12117" s="15" t="s">
        <v>34012</v>
      </c>
      <c r="B12117" s="15" t="s">
        <v>2816</v>
      </c>
      <c r="C12117" s="18" t="s">
        <v>28</v>
      </c>
      <c r="D12117" s="15" t="s">
        <v>2817</v>
      </c>
      <c r="E12117" s="18" t="s">
        <v>28</v>
      </c>
      <c r="F12117" s="19" t="s">
        <v>28</v>
      </c>
      <c r="G12117" s="19">
        <v>400</v>
      </c>
      <c r="H12117" s="19">
        <v>2797.2</v>
      </c>
      <c r="I12117" s="18" t="s">
        <v>28</v>
      </c>
      <c r="J12117" s="18" t="s">
        <v>28</v>
      </c>
      <c r="K12117" s="18" t="s">
        <v>28</v>
      </c>
      <c r="L12117" s="18" t="s">
        <v>28</v>
      </c>
      <c r="M12117" s="18" t="s">
        <v>28</v>
      </c>
      <c r="N12117" s="17">
        <v>40470</v>
      </c>
      <c r="O12117" s="15" t="s">
        <v>93</v>
      </c>
      <c r="P12117" s="16" t="s">
        <v>17150</v>
      </c>
      <c r="Q12117" s="15" t="s">
        <v>268</v>
      </c>
      <c r="R12117" s="13" t="str">
        <f>HYPERLINK("https://my.pitchbook.com?c=92311-30T","View Company Online")</f>
        <v>View Company Online</v>
      </c>
    </row>
    <row r="12118" spans="1:18" hidden="1" x14ac:dyDescent="0.3">
      <c r="A12118" s="9" t="s">
        <v>34013</v>
      </c>
      <c r="B12118" s="9" t="s">
        <v>34014</v>
      </c>
      <c r="C12118" s="11" t="s">
        <v>28</v>
      </c>
      <c r="D12118" s="9" t="s">
        <v>34015</v>
      </c>
      <c r="E12118" s="11" t="s">
        <v>28</v>
      </c>
      <c r="F12118" s="10">
        <v>192.42</v>
      </c>
      <c r="G12118" s="10">
        <v>192.42</v>
      </c>
      <c r="H12118" s="10">
        <v>192.42</v>
      </c>
      <c r="I12118" s="11" t="s">
        <v>28</v>
      </c>
      <c r="J12118" s="11" t="s">
        <v>28</v>
      </c>
      <c r="K12118" s="11" t="s">
        <v>28</v>
      </c>
      <c r="L12118" s="11" t="s">
        <v>28</v>
      </c>
      <c r="M12118" s="11" t="s">
        <v>28</v>
      </c>
      <c r="N12118" s="8">
        <v>40470</v>
      </c>
      <c r="O12118" s="9" t="s">
        <v>30</v>
      </c>
      <c r="P12118" s="12" t="s">
        <v>18982</v>
      </c>
      <c r="Q12118" s="9" t="s">
        <v>183</v>
      </c>
      <c r="R12118" s="14" t="str">
        <f>HYPERLINK("https://my.pitchbook.com?c=92086-12T","View Company Online")</f>
        <v>View Company Online</v>
      </c>
    </row>
    <row r="12119" spans="1:18" hidden="1" x14ac:dyDescent="0.3">
      <c r="A12119" s="15" t="s">
        <v>34016</v>
      </c>
      <c r="B12119" s="15" t="s">
        <v>34017</v>
      </c>
      <c r="C12119" s="18" t="s">
        <v>28</v>
      </c>
      <c r="D12119" s="15" t="s">
        <v>34018</v>
      </c>
      <c r="E12119" s="18" t="s">
        <v>28</v>
      </c>
      <c r="F12119" s="19">
        <v>788.1</v>
      </c>
      <c r="G12119" s="19">
        <v>788.1</v>
      </c>
      <c r="H12119" s="19">
        <v>788.1</v>
      </c>
      <c r="I12119" s="18" t="s">
        <v>28</v>
      </c>
      <c r="J12119" s="18" t="s">
        <v>28</v>
      </c>
      <c r="K12119" s="18" t="s">
        <v>28</v>
      </c>
      <c r="L12119" s="18" t="s">
        <v>28</v>
      </c>
      <c r="M12119" s="18" t="s">
        <v>28</v>
      </c>
      <c r="N12119" s="17">
        <v>40466</v>
      </c>
      <c r="O12119" s="15" t="s">
        <v>30</v>
      </c>
      <c r="P12119" s="16" t="s">
        <v>34019</v>
      </c>
      <c r="Q12119" s="15" t="s">
        <v>109</v>
      </c>
      <c r="R12119" s="13" t="str">
        <f>HYPERLINK("https://my.pitchbook.com?c=73512-28T","View Company Online")</f>
        <v>View Company Online</v>
      </c>
    </row>
    <row r="12120" spans="1:18" hidden="1" x14ac:dyDescent="0.3">
      <c r="A12120" s="9" t="s">
        <v>34020</v>
      </c>
      <c r="B12120" s="9" t="s">
        <v>6362</v>
      </c>
      <c r="C12120" s="11" t="s">
        <v>28</v>
      </c>
      <c r="D12120" s="9" t="s">
        <v>6363</v>
      </c>
      <c r="E12120" s="11" t="s">
        <v>28</v>
      </c>
      <c r="F12120" s="10" t="s">
        <v>28</v>
      </c>
      <c r="G12120" s="10">
        <v>30</v>
      </c>
      <c r="H12120" s="10" t="s">
        <v>28</v>
      </c>
      <c r="I12120" s="11" t="s">
        <v>28</v>
      </c>
      <c r="J12120" s="11" t="s">
        <v>28</v>
      </c>
      <c r="K12120" s="11" t="s">
        <v>28</v>
      </c>
      <c r="L12120" s="11" t="s">
        <v>28</v>
      </c>
      <c r="M12120" s="11" t="s">
        <v>28</v>
      </c>
      <c r="N12120" s="8">
        <v>40464</v>
      </c>
      <c r="O12120" s="9" t="s">
        <v>58</v>
      </c>
      <c r="P12120" s="12" t="s">
        <v>28</v>
      </c>
      <c r="Q12120" s="9" t="s">
        <v>114</v>
      </c>
      <c r="R12120" s="14" t="str">
        <f>HYPERLINK("https://my.pitchbook.com?c=102352-60T","View Company Online")</f>
        <v>View Company Online</v>
      </c>
    </row>
    <row r="12121" spans="1:18" hidden="1" x14ac:dyDescent="0.3">
      <c r="A12121" s="15" t="s">
        <v>34021</v>
      </c>
      <c r="B12121" s="15" t="s">
        <v>33550</v>
      </c>
      <c r="C12121" s="18" t="s">
        <v>28</v>
      </c>
      <c r="D12121" s="15" t="s">
        <v>33551</v>
      </c>
      <c r="E12121" s="18" t="s">
        <v>28</v>
      </c>
      <c r="F12121" s="19" t="s">
        <v>28</v>
      </c>
      <c r="G12121" s="19">
        <v>113.68</v>
      </c>
      <c r="H12121" s="19">
        <v>231.98</v>
      </c>
      <c r="I12121" s="18" t="s">
        <v>28</v>
      </c>
      <c r="J12121" s="18" t="s">
        <v>28</v>
      </c>
      <c r="K12121" s="18" t="s">
        <v>28</v>
      </c>
      <c r="L12121" s="18" t="s">
        <v>28</v>
      </c>
      <c r="M12121" s="18" t="s">
        <v>28</v>
      </c>
      <c r="N12121" s="17">
        <v>40460</v>
      </c>
      <c r="O12121" s="15" t="s">
        <v>58</v>
      </c>
      <c r="P12121" s="16" t="s">
        <v>33552</v>
      </c>
      <c r="Q12121" s="15" t="s">
        <v>2097</v>
      </c>
      <c r="R12121" s="13" t="str">
        <f>HYPERLINK("https://my.pitchbook.com?c=86998-60T","View Company Online")</f>
        <v>View Company Online</v>
      </c>
    </row>
    <row r="12122" spans="1:18" hidden="1" x14ac:dyDescent="0.3">
      <c r="A12122" s="9" t="s">
        <v>34022</v>
      </c>
      <c r="B12122" s="9" t="s">
        <v>34023</v>
      </c>
      <c r="C12122" s="11" t="s">
        <v>28</v>
      </c>
      <c r="D12122" s="9" t="s">
        <v>34024</v>
      </c>
      <c r="E12122" s="11" t="s">
        <v>28</v>
      </c>
      <c r="F12122" s="10" t="s">
        <v>28</v>
      </c>
      <c r="G12122" s="10" t="s">
        <v>28</v>
      </c>
      <c r="H12122" s="10" t="s">
        <v>28</v>
      </c>
      <c r="I12122" s="11" t="s">
        <v>28</v>
      </c>
      <c r="J12122" s="11" t="s">
        <v>28</v>
      </c>
      <c r="K12122" s="11" t="s">
        <v>28</v>
      </c>
      <c r="L12122" s="11" t="s">
        <v>28</v>
      </c>
      <c r="M12122" s="11" t="s">
        <v>28</v>
      </c>
      <c r="N12122" s="8">
        <v>40459</v>
      </c>
      <c r="O12122" s="9" t="s">
        <v>30</v>
      </c>
      <c r="P12122" s="12" t="s">
        <v>34025</v>
      </c>
      <c r="Q12122" s="9" t="s">
        <v>1088</v>
      </c>
      <c r="R12122" s="14" t="str">
        <f>HYPERLINK("https://my.pitchbook.com?c=78163-75T","View Company Online")</f>
        <v>View Company Online</v>
      </c>
    </row>
    <row r="12123" spans="1:18" hidden="1" x14ac:dyDescent="0.3">
      <c r="A12123" s="15" t="s">
        <v>34026</v>
      </c>
      <c r="B12123" s="15" t="s">
        <v>34027</v>
      </c>
      <c r="C12123" s="18" t="s">
        <v>28</v>
      </c>
      <c r="D12123" s="15" t="s">
        <v>34028</v>
      </c>
      <c r="E12123" s="18" t="s">
        <v>28</v>
      </c>
      <c r="F12123" s="19" t="s">
        <v>28</v>
      </c>
      <c r="G12123" s="19" t="s">
        <v>28</v>
      </c>
      <c r="H12123" s="19" t="s">
        <v>28</v>
      </c>
      <c r="I12123" s="18" t="s">
        <v>28</v>
      </c>
      <c r="J12123" s="18" t="s">
        <v>28</v>
      </c>
      <c r="K12123" s="18" t="s">
        <v>28</v>
      </c>
      <c r="L12123" s="18" t="s">
        <v>28</v>
      </c>
      <c r="M12123" s="18" t="s">
        <v>28</v>
      </c>
      <c r="N12123" s="17">
        <v>40458</v>
      </c>
      <c r="O12123" s="15" t="s">
        <v>173</v>
      </c>
      <c r="P12123" s="16" t="s">
        <v>28</v>
      </c>
      <c r="Q12123" s="15" t="s">
        <v>174</v>
      </c>
      <c r="R12123" s="13" t="str">
        <f>HYPERLINK("https://my.pitchbook.com?c=223336-45T","View Company Online")</f>
        <v>View Company Online</v>
      </c>
    </row>
    <row r="12124" spans="1:18" hidden="1" x14ac:dyDescent="0.3">
      <c r="A12124" s="9" t="s">
        <v>34029</v>
      </c>
      <c r="B12124" s="9" t="s">
        <v>32201</v>
      </c>
      <c r="C12124" s="11" t="s">
        <v>28</v>
      </c>
      <c r="D12124" s="9" t="s">
        <v>32202</v>
      </c>
      <c r="E12124" s="11" t="s">
        <v>28</v>
      </c>
      <c r="F12124" s="10">
        <v>529.4</v>
      </c>
      <c r="G12124" s="10">
        <v>296.79000000000002</v>
      </c>
      <c r="H12124" s="10">
        <v>529.4</v>
      </c>
      <c r="I12124" s="11" t="s">
        <v>28</v>
      </c>
      <c r="J12124" s="11" t="s">
        <v>28</v>
      </c>
      <c r="K12124" s="11">
        <v>564.86</v>
      </c>
      <c r="L12124" s="11">
        <v>0.94</v>
      </c>
      <c r="M12124" s="11" t="s">
        <v>28</v>
      </c>
      <c r="N12124" s="8">
        <v>40457</v>
      </c>
      <c r="O12124" s="9" t="s">
        <v>30</v>
      </c>
      <c r="P12124" s="12" t="s">
        <v>34030</v>
      </c>
      <c r="Q12124" s="9" t="s">
        <v>245</v>
      </c>
      <c r="R12124" s="14" t="str">
        <f>HYPERLINK("https://my.pitchbook.com?c=65961-10T","View Company Online")</f>
        <v>View Company Online</v>
      </c>
    </row>
    <row r="12125" spans="1:18" hidden="1" x14ac:dyDescent="0.3">
      <c r="A12125" s="15" t="s">
        <v>34031</v>
      </c>
      <c r="B12125" s="15" t="s">
        <v>34032</v>
      </c>
      <c r="C12125" s="18" t="s">
        <v>28</v>
      </c>
      <c r="D12125" s="15" t="s">
        <v>34033</v>
      </c>
      <c r="E12125" s="18" t="s">
        <v>28</v>
      </c>
      <c r="F12125" s="19">
        <v>69.94</v>
      </c>
      <c r="G12125" s="19">
        <v>34.97</v>
      </c>
      <c r="H12125" s="19">
        <v>69.94</v>
      </c>
      <c r="I12125" s="18" t="s">
        <v>28</v>
      </c>
      <c r="J12125" s="18" t="s">
        <v>28</v>
      </c>
      <c r="K12125" s="18" t="s">
        <v>28</v>
      </c>
      <c r="L12125" s="18" t="s">
        <v>28</v>
      </c>
      <c r="M12125" s="18" t="s">
        <v>28</v>
      </c>
      <c r="N12125" s="17">
        <v>40456</v>
      </c>
      <c r="O12125" s="15" t="s">
        <v>30</v>
      </c>
      <c r="P12125" s="16" t="s">
        <v>34034</v>
      </c>
      <c r="Q12125" s="15" t="s">
        <v>331</v>
      </c>
      <c r="R12125" s="13" t="str">
        <f>HYPERLINK("https://my.pitchbook.com?c=91791-46T","View Company Online")</f>
        <v>View Company Online</v>
      </c>
    </row>
    <row r="12126" spans="1:18" hidden="1" x14ac:dyDescent="0.3">
      <c r="A12126" s="9" t="s">
        <v>34035</v>
      </c>
      <c r="B12126" s="9" t="s">
        <v>34036</v>
      </c>
      <c r="C12126" s="11" t="s">
        <v>28</v>
      </c>
      <c r="D12126" s="9" t="s">
        <v>34037</v>
      </c>
      <c r="E12126" s="11" t="s">
        <v>28</v>
      </c>
      <c r="F12126" s="10">
        <v>40</v>
      </c>
      <c r="G12126" s="10">
        <v>20</v>
      </c>
      <c r="H12126" s="10">
        <v>40</v>
      </c>
      <c r="I12126" s="11" t="s">
        <v>28</v>
      </c>
      <c r="J12126" s="11" t="s">
        <v>28</v>
      </c>
      <c r="K12126" s="11" t="s">
        <v>28</v>
      </c>
      <c r="L12126" s="11" t="s">
        <v>28</v>
      </c>
      <c r="M12126" s="11" t="s">
        <v>28</v>
      </c>
      <c r="N12126" s="8">
        <v>40455</v>
      </c>
      <c r="O12126" s="9" t="s">
        <v>30</v>
      </c>
      <c r="P12126" s="12" t="s">
        <v>34038</v>
      </c>
      <c r="Q12126" s="9" t="s">
        <v>114</v>
      </c>
      <c r="R12126" s="14" t="str">
        <f>HYPERLINK("https://my.pitchbook.com?c=34929-37T","View Company Online")</f>
        <v>View Company Online</v>
      </c>
    </row>
    <row r="12127" spans="1:18" hidden="1" x14ac:dyDescent="0.3">
      <c r="A12127" s="15" t="s">
        <v>34039</v>
      </c>
      <c r="B12127" s="15" t="s">
        <v>24384</v>
      </c>
      <c r="C12127" s="18" t="s">
        <v>28</v>
      </c>
      <c r="D12127" s="15" t="s">
        <v>24385</v>
      </c>
      <c r="E12127" s="18" t="s">
        <v>28</v>
      </c>
      <c r="F12127" s="19" t="s">
        <v>28</v>
      </c>
      <c r="G12127" s="19" t="s">
        <v>28</v>
      </c>
      <c r="H12127" s="19" t="s">
        <v>28</v>
      </c>
      <c r="I12127" s="18" t="s">
        <v>28</v>
      </c>
      <c r="J12127" s="18" t="s">
        <v>28</v>
      </c>
      <c r="K12127" s="18" t="s">
        <v>28</v>
      </c>
      <c r="L12127" s="18" t="s">
        <v>28</v>
      </c>
      <c r="M12127" s="18" t="s">
        <v>28</v>
      </c>
      <c r="N12127" s="17">
        <v>40452</v>
      </c>
      <c r="O12127" s="15" t="s">
        <v>73</v>
      </c>
      <c r="P12127" s="16" t="s">
        <v>28</v>
      </c>
      <c r="Q12127" s="15" t="s">
        <v>386</v>
      </c>
      <c r="R12127" s="13" t="str">
        <f>HYPERLINK("https://my.pitchbook.com?c=59347-90T","View Company Online")</f>
        <v>View Company Online</v>
      </c>
    </row>
    <row r="12128" spans="1:18" hidden="1" x14ac:dyDescent="0.3">
      <c r="A12128" s="9" t="s">
        <v>34040</v>
      </c>
      <c r="B12128" s="9" t="s">
        <v>34041</v>
      </c>
      <c r="C12128" s="11" t="s">
        <v>28</v>
      </c>
      <c r="D12128" s="9" t="s">
        <v>34042</v>
      </c>
      <c r="E12128" s="11" t="s">
        <v>28</v>
      </c>
      <c r="F12128" s="10">
        <v>3.3</v>
      </c>
      <c r="G12128" s="10">
        <v>3.3</v>
      </c>
      <c r="H12128" s="10">
        <v>3.3</v>
      </c>
      <c r="I12128" s="11" t="s">
        <v>28</v>
      </c>
      <c r="J12128" s="11" t="s">
        <v>28</v>
      </c>
      <c r="K12128" s="11" t="s">
        <v>28</v>
      </c>
      <c r="L12128" s="11" t="s">
        <v>28</v>
      </c>
      <c r="M12128" s="11" t="s">
        <v>28</v>
      </c>
      <c r="N12128" s="8">
        <v>40452</v>
      </c>
      <c r="O12128" s="9" t="s">
        <v>30</v>
      </c>
      <c r="P12128" s="12" t="s">
        <v>34043</v>
      </c>
      <c r="Q12128" s="9" t="s">
        <v>331</v>
      </c>
      <c r="R12128" s="14" t="str">
        <f>HYPERLINK("https://my.pitchbook.com?c=73973-17T","View Company Online")</f>
        <v>View Company Online</v>
      </c>
    </row>
    <row r="12129" spans="1:18" hidden="1" x14ac:dyDescent="0.3">
      <c r="A12129" s="15" t="s">
        <v>34044</v>
      </c>
      <c r="B12129" s="15" t="s">
        <v>20083</v>
      </c>
      <c r="C12129" s="18" t="s">
        <v>28</v>
      </c>
      <c r="D12129" s="15" t="s">
        <v>20084</v>
      </c>
      <c r="E12129" s="18" t="s">
        <v>28</v>
      </c>
      <c r="F12129" s="19" t="s">
        <v>28</v>
      </c>
      <c r="G12129" s="19" t="s">
        <v>28</v>
      </c>
      <c r="H12129" s="19" t="s">
        <v>28</v>
      </c>
      <c r="I12129" s="18" t="s">
        <v>28</v>
      </c>
      <c r="J12129" s="18" t="s">
        <v>28</v>
      </c>
      <c r="K12129" s="18" t="s">
        <v>28</v>
      </c>
      <c r="L12129" s="18" t="s">
        <v>28</v>
      </c>
      <c r="M12129" s="18" t="s">
        <v>28</v>
      </c>
      <c r="N12129" s="17">
        <v>40452</v>
      </c>
      <c r="O12129" s="15" t="s">
        <v>93</v>
      </c>
      <c r="P12129" s="16" t="s">
        <v>34045</v>
      </c>
      <c r="Q12129" s="15" t="s">
        <v>1336</v>
      </c>
      <c r="R12129" s="13" t="str">
        <f>HYPERLINK("https://my.pitchbook.com?c=28622-80T","View Company Online")</f>
        <v>View Company Online</v>
      </c>
    </row>
    <row r="12130" spans="1:18" hidden="1" x14ac:dyDescent="0.3">
      <c r="A12130" s="9" t="s">
        <v>34046</v>
      </c>
      <c r="B12130" s="9" t="s">
        <v>34047</v>
      </c>
      <c r="C12130" s="11" t="s">
        <v>28</v>
      </c>
      <c r="D12130" s="9" t="s">
        <v>34048</v>
      </c>
      <c r="E12130" s="11" t="s">
        <v>28</v>
      </c>
      <c r="F12130" s="10" t="s">
        <v>28</v>
      </c>
      <c r="G12130" s="10">
        <v>25</v>
      </c>
      <c r="H12130" s="10" t="s">
        <v>28</v>
      </c>
      <c r="I12130" s="11" t="s">
        <v>28</v>
      </c>
      <c r="J12130" s="11" t="s">
        <v>28</v>
      </c>
      <c r="K12130" s="11" t="s">
        <v>28</v>
      </c>
      <c r="L12130" s="11" t="s">
        <v>28</v>
      </c>
      <c r="M12130" s="11" t="s">
        <v>28</v>
      </c>
      <c r="N12130" s="8">
        <v>40452</v>
      </c>
      <c r="O12130" s="9" t="s">
        <v>93</v>
      </c>
      <c r="P12130" s="12" t="s">
        <v>26074</v>
      </c>
      <c r="Q12130" s="9" t="s">
        <v>669</v>
      </c>
      <c r="R12130" s="14" t="str">
        <f>HYPERLINK("https://my.pitchbook.com?c=24538-33T","View Company Online")</f>
        <v>View Company Online</v>
      </c>
    </row>
    <row r="12131" spans="1:18" hidden="1" x14ac:dyDescent="0.3">
      <c r="A12131" s="15" t="s">
        <v>34049</v>
      </c>
      <c r="B12131" s="15" t="s">
        <v>34050</v>
      </c>
      <c r="C12131" s="18" t="s">
        <v>28</v>
      </c>
      <c r="D12131" s="15" t="s">
        <v>34051</v>
      </c>
      <c r="E12131" s="18" t="s">
        <v>28</v>
      </c>
      <c r="F12131" s="19" t="s">
        <v>28</v>
      </c>
      <c r="G12131" s="19" t="s">
        <v>28</v>
      </c>
      <c r="H12131" s="19" t="s">
        <v>28</v>
      </c>
      <c r="I12131" s="18" t="s">
        <v>28</v>
      </c>
      <c r="J12131" s="18" t="s">
        <v>28</v>
      </c>
      <c r="K12131" s="18" t="s">
        <v>28</v>
      </c>
      <c r="L12131" s="18" t="s">
        <v>28</v>
      </c>
      <c r="M12131" s="18" t="s">
        <v>28</v>
      </c>
      <c r="N12131" s="17">
        <v>40452</v>
      </c>
      <c r="O12131" s="15" t="s">
        <v>41</v>
      </c>
      <c r="P12131" s="16" t="s">
        <v>34052</v>
      </c>
      <c r="Q12131" s="15" t="s">
        <v>128</v>
      </c>
      <c r="R12131" s="13" t="str">
        <f>HYPERLINK("https://my.pitchbook.com?c=82680-58T","View Company Online")</f>
        <v>View Company Online</v>
      </c>
    </row>
    <row r="12132" spans="1:18" hidden="1" x14ac:dyDescent="0.3">
      <c r="A12132" s="9" t="s">
        <v>34053</v>
      </c>
      <c r="B12132" s="9" t="s">
        <v>34054</v>
      </c>
      <c r="C12132" s="11" t="s">
        <v>28</v>
      </c>
      <c r="D12132" s="9" t="s">
        <v>34055</v>
      </c>
      <c r="E12132" s="11" t="s">
        <v>28</v>
      </c>
      <c r="F12132" s="10" t="s">
        <v>28</v>
      </c>
      <c r="G12132" s="10" t="s">
        <v>28</v>
      </c>
      <c r="H12132" s="10" t="s">
        <v>28</v>
      </c>
      <c r="I12132" s="11" t="s">
        <v>28</v>
      </c>
      <c r="J12132" s="11" t="s">
        <v>28</v>
      </c>
      <c r="K12132" s="11" t="s">
        <v>28</v>
      </c>
      <c r="L12132" s="11" t="s">
        <v>28</v>
      </c>
      <c r="M12132" s="11" t="s">
        <v>28</v>
      </c>
      <c r="N12132" s="8">
        <v>40451</v>
      </c>
      <c r="O12132" s="9" t="s">
        <v>30</v>
      </c>
      <c r="P12132" s="12" t="s">
        <v>34056</v>
      </c>
      <c r="Q12132" s="9" t="s">
        <v>85</v>
      </c>
      <c r="R12132" s="14" t="str">
        <f>HYPERLINK("https://my.pitchbook.com?c=73836-64T","View Company Online")</f>
        <v>View Company Online</v>
      </c>
    </row>
    <row r="12133" spans="1:18" hidden="1" x14ac:dyDescent="0.3">
      <c r="A12133" s="15" t="s">
        <v>34057</v>
      </c>
      <c r="B12133" s="15" t="s">
        <v>2216</v>
      </c>
      <c r="C12133" s="18" t="s">
        <v>28</v>
      </c>
      <c r="D12133" s="15" t="s">
        <v>16571</v>
      </c>
      <c r="E12133" s="18" t="s">
        <v>28</v>
      </c>
      <c r="F12133" s="19" t="s">
        <v>28</v>
      </c>
      <c r="G12133" s="19">
        <v>200</v>
      </c>
      <c r="H12133" s="19">
        <v>500</v>
      </c>
      <c r="I12133" s="18" t="s">
        <v>28</v>
      </c>
      <c r="J12133" s="18" t="s">
        <v>28</v>
      </c>
      <c r="K12133" s="18" t="s">
        <v>28</v>
      </c>
      <c r="L12133" s="18" t="s">
        <v>28</v>
      </c>
      <c r="M12133" s="18" t="s">
        <v>28</v>
      </c>
      <c r="N12133" s="17">
        <v>40451</v>
      </c>
      <c r="O12133" s="15" t="s">
        <v>23305</v>
      </c>
      <c r="P12133" s="16" t="s">
        <v>34058</v>
      </c>
      <c r="Q12133" s="15" t="s">
        <v>240</v>
      </c>
      <c r="R12133" s="13" t="str">
        <f>HYPERLINK("https://my.pitchbook.com?c=117098-92T","View Company Online")</f>
        <v>View Company Online</v>
      </c>
    </row>
    <row r="12134" spans="1:18" hidden="1" x14ac:dyDescent="0.3">
      <c r="A12134" s="9" t="s">
        <v>34059</v>
      </c>
      <c r="B12134" s="9" t="s">
        <v>2330</v>
      </c>
      <c r="C12134" s="11" t="s">
        <v>28</v>
      </c>
      <c r="D12134" s="9" t="s">
        <v>24423</v>
      </c>
      <c r="E12134" s="11">
        <v>39.29</v>
      </c>
      <c r="F12134" s="10" t="s">
        <v>28</v>
      </c>
      <c r="G12134" s="10">
        <v>393.95</v>
      </c>
      <c r="H12134" s="10" t="s">
        <v>28</v>
      </c>
      <c r="I12134" s="11">
        <v>61.94</v>
      </c>
      <c r="J12134" s="11" t="s">
        <v>28</v>
      </c>
      <c r="K12134" s="11">
        <v>567.6</v>
      </c>
      <c r="L12134" s="11" t="s">
        <v>28</v>
      </c>
      <c r="M12134" s="11">
        <v>35.380000000000003</v>
      </c>
      <c r="N12134" s="8">
        <v>40451</v>
      </c>
      <c r="O12134" s="9" t="s">
        <v>423</v>
      </c>
      <c r="P12134" s="12" t="s">
        <v>28</v>
      </c>
      <c r="Q12134" s="9" t="s">
        <v>43</v>
      </c>
      <c r="R12134" s="14" t="str">
        <f>HYPERLINK("https://my.pitchbook.com?c=74598-94T","View Company Online")</f>
        <v>View Company Online</v>
      </c>
    </row>
    <row r="12135" spans="1:18" hidden="1" x14ac:dyDescent="0.3">
      <c r="A12135" s="15" t="s">
        <v>34060</v>
      </c>
      <c r="B12135" s="15" t="s">
        <v>34061</v>
      </c>
      <c r="C12135" s="18" t="s">
        <v>28</v>
      </c>
      <c r="D12135" s="15" t="s">
        <v>34062</v>
      </c>
      <c r="E12135" s="18" t="s">
        <v>28</v>
      </c>
      <c r="F12135" s="19" t="s">
        <v>28</v>
      </c>
      <c r="G12135" s="19" t="s">
        <v>28</v>
      </c>
      <c r="H12135" s="19" t="s">
        <v>28</v>
      </c>
      <c r="I12135" s="18" t="s">
        <v>28</v>
      </c>
      <c r="J12135" s="18" t="s">
        <v>28</v>
      </c>
      <c r="K12135" s="18" t="s">
        <v>28</v>
      </c>
      <c r="L12135" s="18" t="s">
        <v>28</v>
      </c>
      <c r="M12135" s="18" t="s">
        <v>28</v>
      </c>
      <c r="N12135" s="17">
        <v>40449</v>
      </c>
      <c r="O12135" s="15" t="s">
        <v>173</v>
      </c>
      <c r="P12135" s="16" t="s">
        <v>28</v>
      </c>
      <c r="Q12135" s="15" t="s">
        <v>174</v>
      </c>
      <c r="R12135" s="13" t="str">
        <f>HYPERLINK("https://my.pitchbook.com?c=226394-92T","View Company Online")</f>
        <v>View Company Online</v>
      </c>
    </row>
    <row r="12136" spans="1:18" hidden="1" x14ac:dyDescent="0.3">
      <c r="A12136" s="9" t="s">
        <v>34063</v>
      </c>
      <c r="B12136" s="9" t="s">
        <v>25402</v>
      </c>
      <c r="C12136" s="11" t="s">
        <v>28</v>
      </c>
      <c r="D12136" s="9" t="s">
        <v>25403</v>
      </c>
      <c r="E12136" s="11" t="s">
        <v>28</v>
      </c>
      <c r="F12136" s="10" t="s">
        <v>28</v>
      </c>
      <c r="G12136" s="10">
        <v>0.54</v>
      </c>
      <c r="H12136" s="10" t="s">
        <v>28</v>
      </c>
      <c r="I12136" s="11" t="s">
        <v>28</v>
      </c>
      <c r="J12136" s="11" t="s">
        <v>28</v>
      </c>
      <c r="K12136" s="11" t="s">
        <v>28</v>
      </c>
      <c r="L12136" s="11" t="s">
        <v>28</v>
      </c>
      <c r="M12136" s="11" t="s">
        <v>28</v>
      </c>
      <c r="N12136" s="8">
        <v>40445</v>
      </c>
      <c r="O12136" s="9" t="s">
        <v>52</v>
      </c>
      <c r="P12136" s="12" t="s">
        <v>34064</v>
      </c>
      <c r="Q12136" s="9" t="s">
        <v>119</v>
      </c>
      <c r="R12136" s="14" t="str">
        <f>HYPERLINK("https://my.pitchbook.com?c=60206-86T","View Company Online")</f>
        <v>View Company Online</v>
      </c>
    </row>
    <row r="12137" spans="1:18" hidden="1" x14ac:dyDescent="0.3">
      <c r="A12137" s="15" t="s">
        <v>34065</v>
      </c>
      <c r="B12137" s="15" t="s">
        <v>17259</v>
      </c>
      <c r="C12137" s="18" t="s">
        <v>28</v>
      </c>
      <c r="D12137" s="15" t="s">
        <v>17928</v>
      </c>
      <c r="E12137" s="18" t="s">
        <v>28</v>
      </c>
      <c r="F12137" s="19" t="s">
        <v>28</v>
      </c>
      <c r="G12137" s="19">
        <v>199.25</v>
      </c>
      <c r="H12137" s="19" t="s">
        <v>28</v>
      </c>
      <c r="I12137" s="18" t="s">
        <v>28</v>
      </c>
      <c r="J12137" s="18" t="s">
        <v>28</v>
      </c>
      <c r="K12137" s="18" t="s">
        <v>28</v>
      </c>
      <c r="L12137" s="18" t="s">
        <v>28</v>
      </c>
      <c r="M12137" s="18" t="s">
        <v>28</v>
      </c>
      <c r="N12137" s="17">
        <v>40443</v>
      </c>
      <c r="O12137" s="15" t="s">
        <v>93</v>
      </c>
      <c r="P12137" s="16" t="s">
        <v>34066</v>
      </c>
      <c r="Q12137" s="15" t="s">
        <v>226</v>
      </c>
      <c r="R12137" s="13" t="str">
        <f>HYPERLINK("https://my.pitchbook.com?c=17314-75T","View Company Online")</f>
        <v>View Company Online</v>
      </c>
    </row>
    <row r="12138" spans="1:18" hidden="1" x14ac:dyDescent="0.3">
      <c r="A12138" s="9" t="s">
        <v>34067</v>
      </c>
      <c r="B12138" s="9" t="s">
        <v>6531</v>
      </c>
      <c r="C12138" s="11" t="s">
        <v>28</v>
      </c>
      <c r="D12138" s="9" t="s">
        <v>6532</v>
      </c>
      <c r="E12138" s="11" t="s">
        <v>28</v>
      </c>
      <c r="F12138" s="10" t="s">
        <v>28</v>
      </c>
      <c r="G12138" s="10" t="s">
        <v>28</v>
      </c>
      <c r="H12138" s="10" t="s">
        <v>28</v>
      </c>
      <c r="I12138" s="11" t="s">
        <v>28</v>
      </c>
      <c r="J12138" s="11" t="s">
        <v>28</v>
      </c>
      <c r="K12138" s="11" t="s">
        <v>28</v>
      </c>
      <c r="L12138" s="11" t="s">
        <v>28</v>
      </c>
      <c r="M12138" s="11" t="s">
        <v>28</v>
      </c>
      <c r="N12138" s="8">
        <v>40441</v>
      </c>
      <c r="O12138" s="9" t="s">
        <v>93</v>
      </c>
      <c r="P12138" s="12" t="s">
        <v>34068</v>
      </c>
      <c r="Q12138" s="9" t="s">
        <v>880</v>
      </c>
      <c r="R12138" s="14" t="str">
        <f>HYPERLINK("https://my.pitchbook.com?c=17293-87T","View Company Online")</f>
        <v>View Company Online</v>
      </c>
    </row>
    <row r="12139" spans="1:18" hidden="1" x14ac:dyDescent="0.3">
      <c r="A12139" s="15" t="s">
        <v>34069</v>
      </c>
      <c r="B12139" s="15" t="s">
        <v>34070</v>
      </c>
      <c r="C12139" s="18" t="s">
        <v>28</v>
      </c>
      <c r="D12139" s="15" t="s">
        <v>34071</v>
      </c>
      <c r="E12139" s="18" t="s">
        <v>28</v>
      </c>
      <c r="F12139" s="19" t="s">
        <v>28</v>
      </c>
      <c r="G12139" s="19" t="s">
        <v>28</v>
      </c>
      <c r="H12139" s="19" t="s">
        <v>28</v>
      </c>
      <c r="I12139" s="18" t="s">
        <v>28</v>
      </c>
      <c r="J12139" s="18" t="s">
        <v>28</v>
      </c>
      <c r="K12139" s="18" t="s">
        <v>28</v>
      </c>
      <c r="L12139" s="18" t="s">
        <v>28</v>
      </c>
      <c r="M12139" s="18" t="s">
        <v>28</v>
      </c>
      <c r="N12139" s="17">
        <v>40438</v>
      </c>
      <c r="O12139" s="15" t="s">
        <v>30</v>
      </c>
      <c r="P12139" s="16" t="s">
        <v>30730</v>
      </c>
      <c r="Q12139" s="15" t="s">
        <v>470</v>
      </c>
      <c r="R12139" s="13" t="str">
        <f>HYPERLINK("https://my.pitchbook.com?c=90541-99T","View Company Online")</f>
        <v>View Company Online</v>
      </c>
    </row>
    <row r="12140" spans="1:18" hidden="1" x14ac:dyDescent="0.3">
      <c r="A12140" s="9" t="s">
        <v>34072</v>
      </c>
      <c r="B12140" s="9" t="s">
        <v>34073</v>
      </c>
      <c r="C12140" s="11" t="s">
        <v>28</v>
      </c>
      <c r="D12140" s="9" t="s">
        <v>34074</v>
      </c>
      <c r="E12140" s="11" t="s">
        <v>28</v>
      </c>
      <c r="F12140" s="10" t="s">
        <v>28</v>
      </c>
      <c r="G12140" s="10" t="s">
        <v>28</v>
      </c>
      <c r="H12140" s="10" t="s">
        <v>28</v>
      </c>
      <c r="I12140" s="11" t="s">
        <v>28</v>
      </c>
      <c r="J12140" s="11" t="s">
        <v>28</v>
      </c>
      <c r="K12140" s="11" t="s">
        <v>28</v>
      </c>
      <c r="L12140" s="11" t="s">
        <v>28</v>
      </c>
      <c r="M12140" s="11" t="s">
        <v>28</v>
      </c>
      <c r="N12140" s="8">
        <v>40434</v>
      </c>
      <c r="O12140" s="9" t="s">
        <v>30</v>
      </c>
      <c r="P12140" s="12" t="s">
        <v>34075</v>
      </c>
      <c r="Q12140" s="9" t="s">
        <v>5628</v>
      </c>
      <c r="R12140" s="14" t="str">
        <f>HYPERLINK("https://my.pitchbook.com?c=90689-86T","View Company Online")</f>
        <v>View Company Online</v>
      </c>
    </row>
    <row r="12141" spans="1:18" hidden="1" x14ac:dyDescent="0.3">
      <c r="A12141" s="15" t="s">
        <v>34076</v>
      </c>
      <c r="B12141" s="15" t="s">
        <v>34077</v>
      </c>
      <c r="C12141" s="18" t="s">
        <v>28</v>
      </c>
      <c r="D12141" s="15" t="s">
        <v>34078</v>
      </c>
      <c r="E12141" s="18" t="s">
        <v>28</v>
      </c>
      <c r="F12141" s="19" t="s">
        <v>28</v>
      </c>
      <c r="G12141" s="19" t="s">
        <v>28</v>
      </c>
      <c r="H12141" s="19" t="s">
        <v>28</v>
      </c>
      <c r="I12141" s="18" t="s">
        <v>28</v>
      </c>
      <c r="J12141" s="18" t="s">
        <v>28</v>
      </c>
      <c r="K12141" s="18" t="s">
        <v>28</v>
      </c>
      <c r="L12141" s="18" t="s">
        <v>28</v>
      </c>
      <c r="M12141" s="18" t="s">
        <v>28</v>
      </c>
      <c r="N12141" s="17">
        <v>40434</v>
      </c>
      <c r="O12141" s="15" t="s">
        <v>30</v>
      </c>
      <c r="P12141" s="16" t="s">
        <v>34079</v>
      </c>
      <c r="Q12141" s="15" t="s">
        <v>307</v>
      </c>
      <c r="R12141" s="13" t="str">
        <f>HYPERLINK("https://my.pitchbook.com?c=74003-77T","View Company Online")</f>
        <v>View Company Online</v>
      </c>
    </row>
    <row r="12142" spans="1:18" hidden="1" x14ac:dyDescent="0.3">
      <c r="A12142" s="9" t="s">
        <v>34080</v>
      </c>
      <c r="B12142" s="9" t="s">
        <v>4578</v>
      </c>
      <c r="C12142" s="11" t="s">
        <v>28</v>
      </c>
      <c r="D12142" s="9" t="s">
        <v>4579</v>
      </c>
      <c r="E12142" s="11" t="s">
        <v>28</v>
      </c>
      <c r="F12142" s="10" t="s">
        <v>28</v>
      </c>
      <c r="G12142" s="10" t="s">
        <v>28</v>
      </c>
      <c r="H12142" s="10" t="s">
        <v>28</v>
      </c>
      <c r="I12142" s="11" t="s">
        <v>28</v>
      </c>
      <c r="J12142" s="11" t="s">
        <v>28</v>
      </c>
      <c r="K12142" s="11">
        <v>279.7</v>
      </c>
      <c r="L12142" s="11" t="s">
        <v>28</v>
      </c>
      <c r="M12142" s="11" t="s">
        <v>28</v>
      </c>
      <c r="N12142" s="8">
        <v>40427</v>
      </c>
      <c r="O12142" s="9" t="s">
        <v>93</v>
      </c>
      <c r="P12142" s="12" t="s">
        <v>34081</v>
      </c>
      <c r="Q12142" s="9" t="s">
        <v>409</v>
      </c>
      <c r="R12142" s="14" t="str">
        <f>HYPERLINK("https://my.pitchbook.com?c=32406-49T","View Company Online")</f>
        <v>View Company Online</v>
      </c>
    </row>
    <row r="12143" spans="1:18" hidden="1" x14ac:dyDescent="0.3">
      <c r="A12143" s="15" t="s">
        <v>34082</v>
      </c>
      <c r="B12143" s="15" t="s">
        <v>34083</v>
      </c>
      <c r="C12143" s="18" t="s">
        <v>28</v>
      </c>
      <c r="D12143" s="15" t="s">
        <v>34084</v>
      </c>
      <c r="E12143" s="18" t="s">
        <v>28</v>
      </c>
      <c r="F12143" s="19" t="s">
        <v>28</v>
      </c>
      <c r="G12143" s="19" t="s">
        <v>28</v>
      </c>
      <c r="H12143" s="19" t="s">
        <v>28</v>
      </c>
      <c r="I12143" s="18" t="s">
        <v>28</v>
      </c>
      <c r="J12143" s="18" t="s">
        <v>28</v>
      </c>
      <c r="K12143" s="18" t="s">
        <v>28</v>
      </c>
      <c r="L12143" s="18" t="s">
        <v>28</v>
      </c>
      <c r="M12143" s="18" t="s">
        <v>28</v>
      </c>
      <c r="N12143" s="17">
        <v>40423</v>
      </c>
      <c r="O12143" s="15" t="s">
        <v>30</v>
      </c>
      <c r="P12143" s="16" t="s">
        <v>34085</v>
      </c>
      <c r="Q12143" s="15" t="s">
        <v>299</v>
      </c>
      <c r="R12143" s="13" t="str">
        <f>HYPERLINK("https://my.pitchbook.com?c=74708-56T","View Company Online")</f>
        <v>View Company Online</v>
      </c>
    </row>
    <row r="12144" spans="1:18" hidden="1" x14ac:dyDescent="0.3">
      <c r="A12144" s="9" t="s">
        <v>34086</v>
      </c>
      <c r="B12144" s="9" t="s">
        <v>34087</v>
      </c>
      <c r="C12144" s="11" t="s">
        <v>28</v>
      </c>
      <c r="D12144" s="9" t="s">
        <v>34088</v>
      </c>
      <c r="E12144" s="11">
        <v>-6.18</v>
      </c>
      <c r="F12144" s="10" t="s">
        <v>28</v>
      </c>
      <c r="G12144" s="10" t="s">
        <v>28</v>
      </c>
      <c r="H12144" s="10" t="s">
        <v>28</v>
      </c>
      <c r="I12144" s="11">
        <v>-6.18</v>
      </c>
      <c r="J12144" s="11" t="s">
        <v>28</v>
      </c>
      <c r="K12144" s="11">
        <v>22.96</v>
      </c>
      <c r="L12144" s="11" t="s">
        <v>28</v>
      </c>
      <c r="M12144" s="11">
        <v>-4.01</v>
      </c>
      <c r="N12144" s="8">
        <v>40423</v>
      </c>
      <c r="O12144" s="9" t="s">
        <v>173</v>
      </c>
      <c r="P12144" s="12" t="s">
        <v>28</v>
      </c>
      <c r="Q12144" s="9" t="s">
        <v>1007</v>
      </c>
      <c r="R12144" s="14" t="str">
        <f>HYPERLINK("https://my.pitchbook.com?c=225728-38T","View Company Online")</f>
        <v>View Company Online</v>
      </c>
    </row>
    <row r="12145" spans="1:18" hidden="1" x14ac:dyDescent="0.3">
      <c r="A12145" s="15" t="s">
        <v>34089</v>
      </c>
      <c r="B12145" s="15" t="s">
        <v>34090</v>
      </c>
      <c r="C12145" s="18" t="s">
        <v>28</v>
      </c>
      <c r="D12145" s="15" t="s">
        <v>34091</v>
      </c>
      <c r="E12145" s="18" t="s">
        <v>28</v>
      </c>
      <c r="F12145" s="19">
        <v>572</v>
      </c>
      <c r="G12145" s="19">
        <v>572</v>
      </c>
      <c r="H12145" s="19">
        <v>572</v>
      </c>
      <c r="I12145" s="18" t="s">
        <v>28</v>
      </c>
      <c r="J12145" s="18" t="s">
        <v>28</v>
      </c>
      <c r="K12145" s="18" t="s">
        <v>28</v>
      </c>
      <c r="L12145" s="18" t="s">
        <v>28</v>
      </c>
      <c r="M12145" s="18" t="s">
        <v>28</v>
      </c>
      <c r="N12145" s="17">
        <v>40422</v>
      </c>
      <c r="O12145" s="15" t="s">
        <v>30</v>
      </c>
      <c r="P12145" s="16" t="s">
        <v>34092</v>
      </c>
      <c r="Q12145" s="15" t="s">
        <v>3048</v>
      </c>
      <c r="R12145" s="13" t="str">
        <f>HYPERLINK("https://my.pitchbook.com?c=74302-84T","View Company Online")</f>
        <v>View Company Online</v>
      </c>
    </row>
    <row r="12146" spans="1:18" hidden="1" x14ac:dyDescent="0.3">
      <c r="A12146" s="9" t="s">
        <v>34093</v>
      </c>
      <c r="B12146" s="9" t="s">
        <v>2261</v>
      </c>
      <c r="C12146" s="11" t="s">
        <v>28</v>
      </c>
      <c r="D12146" s="9" t="s">
        <v>2262</v>
      </c>
      <c r="E12146" s="11" t="s">
        <v>28</v>
      </c>
      <c r="F12146" s="10" t="s">
        <v>28</v>
      </c>
      <c r="G12146" s="10">
        <v>58</v>
      </c>
      <c r="H12146" s="10">
        <v>175.75</v>
      </c>
      <c r="I12146" s="11" t="s">
        <v>28</v>
      </c>
      <c r="J12146" s="11" t="s">
        <v>28</v>
      </c>
      <c r="K12146" s="11" t="s">
        <v>28</v>
      </c>
      <c r="L12146" s="11" t="s">
        <v>28</v>
      </c>
      <c r="M12146" s="11" t="s">
        <v>28</v>
      </c>
      <c r="N12146" s="8">
        <v>40422</v>
      </c>
      <c r="O12146" s="9" t="s">
        <v>93</v>
      </c>
      <c r="P12146" s="12" t="s">
        <v>34094</v>
      </c>
      <c r="Q12146" s="9" t="s">
        <v>109</v>
      </c>
      <c r="R12146" s="14" t="str">
        <f>HYPERLINK("https://my.pitchbook.com?c=35057-44T","View Company Online")</f>
        <v>View Company Online</v>
      </c>
    </row>
    <row r="12147" spans="1:18" hidden="1" x14ac:dyDescent="0.3">
      <c r="A12147" s="15" t="s">
        <v>34095</v>
      </c>
      <c r="B12147" s="15" t="s">
        <v>13688</v>
      </c>
      <c r="C12147" s="18" t="s">
        <v>28</v>
      </c>
      <c r="D12147" s="15" t="s">
        <v>13689</v>
      </c>
      <c r="E12147" s="18" t="s">
        <v>28</v>
      </c>
      <c r="F12147" s="19">
        <v>450.33</v>
      </c>
      <c r="G12147" s="19">
        <v>450.33</v>
      </c>
      <c r="H12147" s="19">
        <v>450.33</v>
      </c>
      <c r="I12147" s="18" t="s">
        <v>28</v>
      </c>
      <c r="J12147" s="18" t="s">
        <v>28</v>
      </c>
      <c r="K12147" s="18">
        <v>90.38</v>
      </c>
      <c r="L12147" s="18">
        <v>4.9800000000000004</v>
      </c>
      <c r="M12147" s="18" t="s">
        <v>28</v>
      </c>
      <c r="N12147" s="17">
        <v>40422</v>
      </c>
      <c r="O12147" s="15" t="s">
        <v>30</v>
      </c>
      <c r="P12147" s="16" t="s">
        <v>34096</v>
      </c>
      <c r="Q12147" s="15" t="s">
        <v>43</v>
      </c>
      <c r="R12147" s="13" t="str">
        <f>HYPERLINK("https://my.pitchbook.com?c=74045-26T","View Company Online")</f>
        <v>View Company Online</v>
      </c>
    </row>
    <row r="12148" spans="1:18" hidden="1" x14ac:dyDescent="0.3">
      <c r="A12148" s="9" t="s">
        <v>34097</v>
      </c>
      <c r="B12148" s="9" t="s">
        <v>32473</v>
      </c>
      <c r="C12148" s="11" t="s">
        <v>28</v>
      </c>
      <c r="D12148" s="9" t="s">
        <v>32474</v>
      </c>
      <c r="E12148" s="11">
        <v>-8.1</v>
      </c>
      <c r="F12148" s="10" t="s">
        <v>28</v>
      </c>
      <c r="G12148" s="10" t="s">
        <v>28</v>
      </c>
      <c r="H12148" s="10" t="s">
        <v>28</v>
      </c>
      <c r="I12148" s="11">
        <v>-5.69</v>
      </c>
      <c r="J12148" s="11" t="s">
        <v>28</v>
      </c>
      <c r="K12148" s="11">
        <v>19.46</v>
      </c>
      <c r="L12148" s="11" t="s">
        <v>28</v>
      </c>
      <c r="M12148" s="11">
        <v>-11.67</v>
      </c>
      <c r="N12148" s="8">
        <v>40422</v>
      </c>
      <c r="O12148" s="9" t="s">
        <v>974</v>
      </c>
      <c r="P12148" s="12" t="s">
        <v>34098</v>
      </c>
      <c r="Q12148" s="9" t="s">
        <v>69</v>
      </c>
      <c r="R12148" s="14" t="str">
        <f>HYPERLINK("https://my.pitchbook.com?c=92380-51T","View Company Online")</f>
        <v>View Company Online</v>
      </c>
    </row>
    <row r="12149" spans="1:18" hidden="1" x14ac:dyDescent="0.3">
      <c r="A12149" s="15" t="s">
        <v>34099</v>
      </c>
      <c r="B12149" s="15" t="s">
        <v>34098</v>
      </c>
      <c r="C12149" s="18" t="s">
        <v>28</v>
      </c>
      <c r="D12149" s="15" t="s">
        <v>34100</v>
      </c>
      <c r="E12149" s="18" t="s">
        <v>28</v>
      </c>
      <c r="F12149" s="19" t="s">
        <v>28</v>
      </c>
      <c r="G12149" s="19" t="s">
        <v>28</v>
      </c>
      <c r="H12149" s="19" t="s">
        <v>28</v>
      </c>
      <c r="I12149" s="18" t="s">
        <v>28</v>
      </c>
      <c r="J12149" s="18" t="s">
        <v>28</v>
      </c>
      <c r="K12149" s="18" t="s">
        <v>28</v>
      </c>
      <c r="L12149" s="18" t="s">
        <v>28</v>
      </c>
      <c r="M12149" s="18" t="s">
        <v>28</v>
      </c>
      <c r="N12149" s="17">
        <v>40422</v>
      </c>
      <c r="O12149" s="15" t="s">
        <v>30</v>
      </c>
      <c r="P12149" s="16" t="s">
        <v>32473</v>
      </c>
      <c r="Q12149" s="15" t="s">
        <v>4710</v>
      </c>
      <c r="R12149" s="13" t="str">
        <f>HYPERLINK("https://my.pitchbook.com?c=92373-76T","View Company Online")</f>
        <v>View Company Online</v>
      </c>
    </row>
    <row r="12150" spans="1:18" hidden="1" x14ac:dyDescent="0.3">
      <c r="A12150" s="9" t="s">
        <v>34101</v>
      </c>
      <c r="B12150" s="9" t="s">
        <v>34102</v>
      </c>
      <c r="C12150" s="11" t="s">
        <v>28</v>
      </c>
      <c r="D12150" s="9" t="s">
        <v>34103</v>
      </c>
      <c r="E12150" s="11" t="s">
        <v>28</v>
      </c>
      <c r="F12150" s="10" t="s">
        <v>28</v>
      </c>
      <c r="G12150" s="10" t="s">
        <v>28</v>
      </c>
      <c r="H12150" s="10" t="s">
        <v>28</v>
      </c>
      <c r="I12150" s="11" t="s">
        <v>28</v>
      </c>
      <c r="J12150" s="11" t="s">
        <v>28</v>
      </c>
      <c r="K12150" s="11" t="s">
        <v>28</v>
      </c>
      <c r="L12150" s="11" t="s">
        <v>28</v>
      </c>
      <c r="M12150" s="11" t="s">
        <v>28</v>
      </c>
      <c r="N12150" s="8">
        <v>40422</v>
      </c>
      <c r="O12150" s="9" t="s">
        <v>93</v>
      </c>
      <c r="P12150" s="12" t="s">
        <v>34104</v>
      </c>
      <c r="Q12150" s="9" t="s">
        <v>136</v>
      </c>
      <c r="R12150" s="14" t="str">
        <f>HYPERLINK("https://my.pitchbook.com?c=32387-77T","View Company Online")</f>
        <v>View Company Online</v>
      </c>
    </row>
    <row r="12151" spans="1:18" hidden="1" x14ac:dyDescent="0.3">
      <c r="A12151" s="15" t="s">
        <v>34105</v>
      </c>
      <c r="B12151" s="15" t="s">
        <v>34106</v>
      </c>
      <c r="C12151" s="18" t="s">
        <v>28</v>
      </c>
      <c r="D12151" s="15" t="s">
        <v>34107</v>
      </c>
      <c r="E12151" s="18" t="s">
        <v>28</v>
      </c>
      <c r="F12151" s="19" t="s">
        <v>28</v>
      </c>
      <c r="G12151" s="19" t="s">
        <v>28</v>
      </c>
      <c r="H12151" s="19" t="s">
        <v>28</v>
      </c>
      <c r="I12151" s="18" t="s">
        <v>28</v>
      </c>
      <c r="J12151" s="18" t="s">
        <v>28</v>
      </c>
      <c r="K12151" s="18" t="s">
        <v>28</v>
      </c>
      <c r="L12151" s="18" t="s">
        <v>28</v>
      </c>
      <c r="M12151" s="18" t="s">
        <v>28</v>
      </c>
      <c r="N12151" s="17">
        <v>40421</v>
      </c>
      <c r="O12151" s="15" t="s">
        <v>30</v>
      </c>
      <c r="P12151" s="16" t="s">
        <v>29489</v>
      </c>
      <c r="Q12151" s="15" t="s">
        <v>900</v>
      </c>
      <c r="R12151" s="13" t="str">
        <f>HYPERLINK("https://my.pitchbook.com?c=102881-17T","View Company Online")</f>
        <v>View Company Online</v>
      </c>
    </row>
    <row r="12152" spans="1:18" hidden="1" x14ac:dyDescent="0.3">
      <c r="A12152" s="9" t="s">
        <v>34108</v>
      </c>
      <c r="B12152" s="9" t="s">
        <v>34109</v>
      </c>
      <c r="C12152" s="11" t="s">
        <v>28</v>
      </c>
      <c r="D12152" s="9" t="s">
        <v>34110</v>
      </c>
      <c r="E12152" s="11" t="s">
        <v>28</v>
      </c>
      <c r="F12152" s="10" t="s">
        <v>28</v>
      </c>
      <c r="G12152" s="10" t="s">
        <v>28</v>
      </c>
      <c r="H12152" s="10" t="s">
        <v>28</v>
      </c>
      <c r="I12152" s="11" t="s">
        <v>28</v>
      </c>
      <c r="J12152" s="11" t="s">
        <v>28</v>
      </c>
      <c r="K12152" s="11">
        <v>15.6</v>
      </c>
      <c r="L12152" s="11" t="s">
        <v>28</v>
      </c>
      <c r="M12152" s="11" t="s">
        <v>28</v>
      </c>
      <c r="N12152" s="8">
        <v>40421</v>
      </c>
      <c r="O12152" s="9" t="s">
        <v>30</v>
      </c>
      <c r="P12152" s="12" t="s">
        <v>31779</v>
      </c>
      <c r="Q12152" s="9" t="s">
        <v>249</v>
      </c>
      <c r="R12152" s="14" t="str">
        <f>HYPERLINK("https://my.pitchbook.com?c=66154-15T","View Company Online")</f>
        <v>View Company Online</v>
      </c>
    </row>
    <row r="12153" spans="1:18" x14ac:dyDescent="0.3">
      <c r="A12153" s="15" t="s">
        <v>34111</v>
      </c>
      <c r="B12153" s="15" t="s">
        <v>14320</v>
      </c>
      <c r="C12153" s="18" t="s">
        <v>28</v>
      </c>
      <c r="D12153" s="15" t="s">
        <v>17920</v>
      </c>
      <c r="E12153" s="18">
        <v>2.5299999999999998</v>
      </c>
      <c r="F12153" s="19" t="s">
        <v>28</v>
      </c>
      <c r="G12153" s="19">
        <v>671.68</v>
      </c>
      <c r="H12153" s="19">
        <v>959.55</v>
      </c>
      <c r="I12153" s="18">
        <v>22.16</v>
      </c>
      <c r="J12153" s="18">
        <v>43.3</v>
      </c>
      <c r="K12153" s="18">
        <v>100.6</v>
      </c>
      <c r="L12153" s="18">
        <v>9.5399999999999991</v>
      </c>
      <c r="M12153" s="18">
        <v>-9.81</v>
      </c>
      <c r="N12153" s="17">
        <v>40421</v>
      </c>
      <c r="O12153" s="15" t="s">
        <v>41</v>
      </c>
      <c r="P12153" s="16" t="s">
        <v>26091</v>
      </c>
      <c r="Q12153" s="15" t="s">
        <v>188</v>
      </c>
      <c r="R12153" s="13" t="str">
        <f>HYPERLINK("https://my.pitchbook.com?c=17864-74T","View Company Online")</f>
        <v>View Company Online</v>
      </c>
    </row>
    <row r="12154" spans="1:18" hidden="1" x14ac:dyDescent="0.3">
      <c r="A12154" s="9" t="s">
        <v>34112</v>
      </c>
      <c r="B12154" s="9" t="s">
        <v>26100</v>
      </c>
      <c r="C12154" s="11" t="s">
        <v>28</v>
      </c>
      <c r="D12154" s="9" t="s">
        <v>26101</v>
      </c>
      <c r="E12154" s="11" t="s">
        <v>28</v>
      </c>
      <c r="F12154" s="10">
        <v>307.39999999999998</v>
      </c>
      <c r="G12154" s="10">
        <v>156.78</v>
      </c>
      <c r="H12154" s="10">
        <v>307.39999999999998</v>
      </c>
      <c r="I12154" s="11" t="s">
        <v>28</v>
      </c>
      <c r="J12154" s="11" t="s">
        <v>28</v>
      </c>
      <c r="K12154" s="11" t="s">
        <v>28</v>
      </c>
      <c r="L12154" s="11" t="s">
        <v>28</v>
      </c>
      <c r="M12154" s="11" t="s">
        <v>28</v>
      </c>
      <c r="N12154" s="8">
        <v>40419</v>
      </c>
      <c r="O12154" s="9" t="s">
        <v>41</v>
      </c>
      <c r="P12154" s="12" t="s">
        <v>25434</v>
      </c>
      <c r="Q12154" s="9" t="s">
        <v>607</v>
      </c>
      <c r="R12154" s="14" t="str">
        <f>HYPERLINK("https://my.pitchbook.com?c=17208-73T","View Company Online")</f>
        <v>View Company Online</v>
      </c>
    </row>
    <row r="12155" spans="1:18" hidden="1" x14ac:dyDescent="0.3">
      <c r="A12155" s="15" t="s">
        <v>34113</v>
      </c>
      <c r="B12155" s="15" t="s">
        <v>34114</v>
      </c>
      <c r="C12155" s="18" t="s">
        <v>28</v>
      </c>
      <c r="D12155" s="15" t="s">
        <v>34115</v>
      </c>
      <c r="E12155" s="18" t="s">
        <v>28</v>
      </c>
      <c r="F12155" s="19">
        <v>17.329999999999998</v>
      </c>
      <c r="G12155" s="19">
        <v>8.66</v>
      </c>
      <c r="H12155" s="19">
        <v>17.329999999999998</v>
      </c>
      <c r="I12155" s="18" t="s">
        <v>28</v>
      </c>
      <c r="J12155" s="18" t="s">
        <v>28</v>
      </c>
      <c r="K12155" s="18" t="s">
        <v>28</v>
      </c>
      <c r="L12155" s="18" t="s">
        <v>28</v>
      </c>
      <c r="M12155" s="18" t="s">
        <v>28</v>
      </c>
      <c r="N12155" s="17">
        <v>40417</v>
      </c>
      <c r="O12155" s="15" t="s">
        <v>30</v>
      </c>
      <c r="P12155" s="16" t="s">
        <v>34116</v>
      </c>
      <c r="Q12155" s="15" t="s">
        <v>136</v>
      </c>
      <c r="R12155" s="13" t="str">
        <f>HYPERLINK("https://my.pitchbook.com?c=90322-84T","View Company Online")</f>
        <v>View Company Online</v>
      </c>
    </row>
    <row r="12156" spans="1:18" hidden="1" x14ac:dyDescent="0.3">
      <c r="A12156" s="9" t="s">
        <v>34117</v>
      </c>
      <c r="B12156" s="9" t="s">
        <v>26208</v>
      </c>
      <c r="C12156" s="11" t="s">
        <v>28</v>
      </c>
      <c r="D12156" s="9" t="s">
        <v>26209</v>
      </c>
      <c r="E12156" s="11" t="s">
        <v>28</v>
      </c>
      <c r="F12156" s="10" t="s">
        <v>28</v>
      </c>
      <c r="G12156" s="10">
        <v>0.6</v>
      </c>
      <c r="H12156" s="10">
        <v>3.57</v>
      </c>
      <c r="I12156" s="11" t="s">
        <v>28</v>
      </c>
      <c r="J12156" s="11" t="s">
        <v>28</v>
      </c>
      <c r="K12156" s="11" t="s">
        <v>28</v>
      </c>
      <c r="L12156" s="11" t="s">
        <v>28</v>
      </c>
      <c r="M12156" s="11" t="s">
        <v>28</v>
      </c>
      <c r="N12156" s="8">
        <v>40416</v>
      </c>
      <c r="O12156" s="9" t="s">
        <v>79</v>
      </c>
      <c r="P12156" s="12" t="s">
        <v>28</v>
      </c>
      <c r="Q12156" s="9" t="s">
        <v>136</v>
      </c>
      <c r="R12156" s="14" t="str">
        <f>HYPERLINK("https://my.pitchbook.com?c=188337-16T","View Company Online")</f>
        <v>View Company Online</v>
      </c>
    </row>
    <row r="12157" spans="1:18" hidden="1" x14ac:dyDescent="0.3">
      <c r="A12157" s="15" t="s">
        <v>34118</v>
      </c>
      <c r="B12157" s="15" t="s">
        <v>34119</v>
      </c>
      <c r="C12157" s="18" t="s">
        <v>28</v>
      </c>
      <c r="D12157" s="15" t="s">
        <v>34120</v>
      </c>
      <c r="E12157" s="18" t="s">
        <v>28</v>
      </c>
      <c r="F12157" s="19" t="s">
        <v>28</v>
      </c>
      <c r="G12157" s="19" t="s">
        <v>28</v>
      </c>
      <c r="H12157" s="19" t="s">
        <v>28</v>
      </c>
      <c r="I12157" s="18" t="s">
        <v>28</v>
      </c>
      <c r="J12157" s="18" t="s">
        <v>28</v>
      </c>
      <c r="K12157" s="18" t="s">
        <v>28</v>
      </c>
      <c r="L12157" s="18" t="s">
        <v>28</v>
      </c>
      <c r="M12157" s="18" t="s">
        <v>28</v>
      </c>
      <c r="N12157" s="17">
        <v>40415</v>
      </c>
      <c r="O12157" s="15" t="s">
        <v>30</v>
      </c>
      <c r="P12157" s="16" t="s">
        <v>34121</v>
      </c>
      <c r="Q12157" s="15" t="s">
        <v>299</v>
      </c>
      <c r="R12157" s="13" t="str">
        <f>HYPERLINK("https://my.pitchbook.com?c=68823-19T","View Company Online")</f>
        <v>View Company Online</v>
      </c>
    </row>
    <row r="12158" spans="1:18" hidden="1" x14ac:dyDescent="0.3">
      <c r="A12158" s="9" t="s">
        <v>34122</v>
      </c>
      <c r="B12158" s="9" t="s">
        <v>33489</v>
      </c>
      <c r="C12158" s="11" t="s">
        <v>28</v>
      </c>
      <c r="D12158" s="9" t="s">
        <v>33490</v>
      </c>
      <c r="E12158" s="11" t="s">
        <v>28</v>
      </c>
      <c r="F12158" s="10" t="s">
        <v>28</v>
      </c>
      <c r="G12158" s="10" t="s">
        <v>28</v>
      </c>
      <c r="H12158" s="10" t="s">
        <v>28</v>
      </c>
      <c r="I12158" s="11" t="s">
        <v>28</v>
      </c>
      <c r="J12158" s="11" t="s">
        <v>28</v>
      </c>
      <c r="K12158" s="11" t="s">
        <v>28</v>
      </c>
      <c r="L12158" s="11" t="s">
        <v>28</v>
      </c>
      <c r="M12158" s="11" t="s">
        <v>28</v>
      </c>
      <c r="N12158" s="8">
        <v>40415</v>
      </c>
      <c r="O12158" s="9" t="s">
        <v>173</v>
      </c>
      <c r="P12158" s="12" t="s">
        <v>28</v>
      </c>
      <c r="Q12158" s="9" t="s">
        <v>226</v>
      </c>
      <c r="R12158" s="14" t="str">
        <f>HYPERLINK("https://my.pitchbook.com?c=64408-24T","View Company Online")</f>
        <v>View Company Online</v>
      </c>
    </row>
    <row r="12159" spans="1:18" hidden="1" x14ac:dyDescent="0.3">
      <c r="A12159" s="15" t="s">
        <v>34123</v>
      </c>
      <c r="B12159" s="15" t="s">
        <v>977</v>
      </c>
      <c r="C12159" s="18" t="s">
        <v>28</v>
      </c>
      <c r="D12159" s="15" t="s">
        <v>978</v>
      </c>
      <c r="E12159" s="18" t="s">
        <v>28</v>
      </c>
      <c r="F12159" s="19" t="s">
        <v>28</v>
      </c>
      <c r="G12159" s="19" t="s">
        <v>28</v>
      </c>
      <c r="H12159" s="19" t="s">
        <v>28</v>
      </c>
      <c r="I12159" s="18" t="s">
        <v>28</v>
      </c>
      <c r="J12159" s="18" t="s">
        <v>28</v>
      </c>
      <c r="K12159" s="18" t="s">
        <v>28</v>
      </c>
      <c r="L12159" s="18" t="s">
        <v>28</v>
      </c>
      <c r="M12159" s="18" t="s">
        <v>28</v>
      </c>
      <c r="N12159" s="17">
        <v>40409</v>
      </c>
      <c r="O12159" s="15" t="s">
        <v>30</v>
      </c>
      <c r="P12159" s="16" t="s">
        <v>34124</v>
      </c>
      <c r="Q12159" s="15" t="s">
        <v>105</v>
      </c>
      <c r="R12159" s="13" t="str">
        <f>HYPERLINK("https://my.pitchbook.com?c=54596-26T","View Company Online")</f>
        <v>View Company Online</v>
      </c>
    </row>
    <row r="12160" spans="1:18" hidden="1" x14ac:dyDescent="0.3">
      <c r="A12160" s="9" t="s">
        <v>34125</v>
      </c>
      <c r="B12160" s="9" t="s">
        <v>34126</v>
      </c>
      <c r="C12160" s="11" t="s">
        <v>28</v>
      </c>
      <c r="D12160" s="9" t="s">
        <v>34127</v>
      </c>
      <c r="E12160" s="11" t="s">
        <v>28</v>
      </c>
      <c r="F12160" s="10">
        <v>56.07</v>
      </c>
      <c r="G12160" s="10">
        <v>56.07</v>
      </c>
      <c r="H12160" s="10">
        <v>56.07</v>
      </c>
      <c r="I12160" s="11" t="s">
        <v>28</v>
      </c>
      <c r="J12160" s="11" t="s">
        <v>28</v>
      </c>
      <c r="K12160" s="11" t="s">
        <v>28</v>
      </c>
      <c r="L12160" s="11" t="s">
        <v>28</v>
      </c>
      <c r="M12160" s="11" t="s">
        <v>28</v>
      </c>
      <c r="N12160" s="8">
        <v>40408</v>
      </c>
      <c r="O12160" s="9" t="s">
        <v>41</v>
      </c>
      <c r="P12160" s="12" t="s">
        <v>343</v>
      </c>
      <c r="Q12160" s="9" t="s">
        <v>1238</v>
      </c>
      <c r="R12160" s="14" t="str">
        <f>HYPERLINK("https://my.pitchbook.com?c=110904-94T","View Company Online")</f>
        <v>View Company Online</v>
      </c>
    </row>
    <row r="12161" spans="1:18" hidden="1" x14ac:dyDescent="0.3">
      <c r="A12161" s="15" t="s">
        <v>34128</v>
      </c>
      <c r="B12161" s="15" t="s">
        <v>34129</v>
      </c>
      <c r="C12161" s="18" t="s">
        <v>28</v>
      </c>
      <c r="D12161" s="15" t="s">
        <v>34130</v>
      </c>
      <c r="E12161" s="18" t="s">
        <v>28</v>
      </c>
      <c r="F12161" s="19" t="s">
        <v>28</v>
      </c>
      <c r="G12161" s="19" t="s">
        <v>28</v>
      </c>
      <c r="H12161" s="19" t="s">
        <v>28</v>
      </c>
      <c r="I12161" s="18" t="s">
        <v>28</v>
      </c>
      <c r="J12161" s="18" t="s">
        <v>28</v>
      </c>
      <c r="K12161" s="18" t="s">
        <v>28</v>
      </c>
      <c r="L12161" s="18" t="s">
        <v>28</v>
      </c>
      <c r="M12161" s="18" t="s">
        <v>28</v>
      </c>
      <c r="N12161" s="17">
        <v>40407</v>
      </c>
      <c r="O12161" s="15" t="s">
        <v>30</v>
      </c>
      <c r="P12161" s="16" t="s">
        <v>34131</v>
      </c>
      <c r="Q12161" s="15" t="s">
        <v>8035</v>
      </c>
      <c r="R12161" s="13" t="str">
        <f>HYPERLINK("https://my.pitchbook.com?c=77937-04T","View Company Online")</f>
        <v>View Company Online</v>
      </c>
    </row>
    <row r="12162" spans="1:18" hidden="1" x14ac:dyDescent="0.3">
      <c r="A12162" s="9" t="s">
        <v>34132</v>
      </c>
      <c r="B12162" s="9" t="s">
        <v>31956</v>
      </c>
      <c r="C12162" s="11" t="s">
        <v>28</v>
      </c>
      <c r="D12162" s="9" t="s">
        <v>31957</v>
      </c>
      <c r="E12162" s="11">
        <v>172.62</v>
      </c>
      <c r="F12162" s="10" t="s">
        <v>28</v>
      </c>
      <c r="G12162" s="10" t="s">
        <v>28</v>
      </c>
      <c r="H12162" s="10" t="s">
        <v>28</v>
      </c>
      <c r="I12162" s="11">
        <v>400.75</v>
      </c>
      <c r="J12162" s="11" t="s">
        <v>28</v>
      </c>
      <c r="K12162" s="11">
        <v>2690.88</v>
      </c>
      <c r="L12162" s="11" t="s">
        <v>28</v>
      </c>
      <c r="M12162" s="11">
        <v>170.4</v>
      </c>
      <c r="N12162" s="8">
        <v>40403</v>
      </c>
      <c r="O12162" s="9" t="s">
        <v>173</v>
      </c>
      <c r="P12162" s="12" t="s">
        <v>28</v>
      </c>
      <c r="Q12162" s="9" t="s">
        <v>136</v>
      </c>
      <c r="R12162" s="14" t="str">
        <f>HYPERLINK("https://my.pitchbook.com?c=159934-87T","View Company Online")</f>
        <v>View Company Online</v>
      </c>
    </row>
    <row r="12163" spans="1:18" hidden="1" x14ac:dyDescent="0.3">
      <c r="A12163" s="15" t="s">
        <v>34133</v>
      </c>
      <c r="B12163" s="15" t="s">
        <v>34134</v>
      </c>
      <c r="C12163" s="18" t="s">
        <v>28</v>
      </c>
      <c r="D12163" s="15" t="s">
        <v>34135</v>
      </c>
      <c r="E12163" s="18" t="s">
        <v>28</v>
      </c>
      <c r="F12163" s="19" t="s">
        <v>28</v>
      </c>
      <c r="G12163" s="19" t="s">
        <v>28</v>
      </c>
      <c r="H12163" s="19" t="s">
        <v>28</v>
      </c>
      <c r="I12163" s="18" t="s">
        <v>28</v>
      </c>
      <c r="J12163" s="18" t="s">
        <v>28</v>
      </c>
      <c r="K12163" s="18" t="s">
        <v>28</v>
      </c>
      <c r="L12163" s="18" t="s">
        <v>28</v>
      </c>
      <c r="M12163" s="18" t="s">
        <v>28</v>
      </c>
      <c r="N12163" s="17">
        <v>40402</v>
      </c>
      <c r="O12163" s="15" t="s">
        <v>30</v>
      </c>
      <c r="P12163" s="16" t="s">
        <v>34136</v>
      </c>
      <c r="Q12163" s="15" t="s">
        <v>1007</v>
      </c>
      <c r="R12163" s="13" t="str">
        <f>HYPERLINK("https://my.pitchbook.com?c=36355-69T","View Company Online")</f>
        <v>View Company Online</v>
      </c>
    </row>
    <row r="12164" spans="1:18" hidden="1" x14ac:dyDescent="0.3">
      <c r="A12164" s="9" t="s">
        <v>34137</v>
      </c>
      <c r="B12164" s="9" t="s">
        <v>25834</v>
      </c>
      <c r="C12164" s="11" t="s">
        <v>28</v>
      </c>
      <c r="D12164" s="9" t="s">
        <v>25835</v>
      </c>
      <c r="E12164" s="11" t="s">
        <v>28</v>
      </c>
      <c r="F12164" s="10" t="s">
        <v>28</v>
      </c>
      <c r="G12164" s="10" t="s">
        <v>28</v>
      </c>
      <c r="H12164" s="10" t="s">
        <v>28</v>
      </c>
      <c r="I12164" s="11" t="s">
        <v>28</v>
      </c>
      <c r="J12164" s="11" t="s">
        <v>28</v>
      </c>
      <c r="K12164" s="11" t="s">
        <v>28</v>
      </c>
      <c r="L12164" s="11" t="s">
        <v>28</v>
      </c>
      <c r="M12164" s="11" t="s">
        <v>28</v>
      </c>
      <c r="N12164" s="8">
        <v>40395</v>
      </c>
      <c r="O12164" s="9" t="s">
        <v>41</v>
      </c>
      <c r="P12164" s="12" t="s">
        <v>34138</v>
      </c>
      <c r="Q12164" s="9" t="s">
        <v>4087</v>
      </c>
      <c r="R12164" s="14" t="str">
        <f>HYPERLINK("https://my.pitchbook.com?c=28621-45T","View Company Online")</f>
        <v>View Company Online</v>
      </c>
    </row>
    <row r="12165" spans="1:18" hidden="1" x14ac:dyDescent="0.3">
      <c r="A12165" s="15" t="s">
        <v>34139</v>
      </c>
      <c r="B12165" s="15" t="s">
        <v>34140</v>
      </c>
      <c r="C12165" s="18" t="s">
        <v>28</v>
      </c>
      <c r="D12165" s="15" t="s">
        <v>34141</v>
      </c>
      <c r="E12165" s="18" t="s">
        <v>28</v>
      </c>
      <c r="F12165" s="19" t="s">
        <v>28</v>
      </c>
      <c r="G12165" s="19" t="s">
        <v>28</v>
      </c>
      <c r="H12165" s="19" t="s">
        <v>28</v>
      </c>
      <c r="I12165" s="18" t="s">
        <v>28</v>
      </c>
      <c r="J12165" s="18" t="s">
        <v>28</v>
      </c>
      <c r="K12165" s="18" t="s">
        <v>28</v>
      </c>
      <c r="L12165" s="18" t="s">
        <v>28</v>
      </c>
      <c r="M12165" s="18" t="s">
        <v>28</v>
      </c>
      <c r="N12165" s="17">
        <v>40395</v>
      </c>
      <c r="O12165" s="15" t="s">
        <v>30</v>
      </c>
      <c r="P12165" s="16" t="s">
        <v>34142</v>
      </c>
      <c r="Q12165" s="15" t="s">
        <v>245</v>
      </c>
      <c r="R12165" s="13" t="str">
        <f>HYPERLINK("https://my.pitchbook.com?c=71990-56T","View Company Online")</f>
        <v>View Company Online</v>
      </c>
    </row>
    <row r="12166" spans="1:18" hidden="1" x14ac:dyDescent="0.3">
      <c r="A12166" s="9" t="s">
        <v>34143</v>
      </c>
      <c r="B12166" s="9" t="s">
        <v>34144</v>
      </c>
      <c r="C12166" s="11" t="s">
        <v>28</v>
      </c>
      <c r="D12166" s="9" t="s">
        <v>34145</v>
      </c>
      <c r="E12166" s="11" t="s">
        <v>28</v>
      </c>
      <c r="F12166" s="10" t="s">
        <v>28</v>
      </c>
      <c r="G12166" s="10">
        <v>49.96</v>
      </c>
      <c r="H12166" s="10" t="s">
        <v>28</v>
      </c>
      <c r="I12166" s="11" t="s">
        <v>28</v>
      </c>
      <c r="J12166" s="11" t="s">
        <v>28</v>
      </c>
      <c r="K12166" s="11" t="s">
        <v>28</v>
      </c>
      <c r="L12166" s="11" t="s">
        <v>28</v>
      </c>
      <c r="M12166" s="11" t="s">
        <v>28</v>
      </c>
      <c r="N12166" s="8">
        <v>40394</v>
      </c>
      <c r="O12166" s="9" t="s">
        <v>173</v>
      </c>
      <c r="P12166" s="12" t="s">
        <v>28</v>
      </c>
      <c r="Q12166" s="9" t="s">
        <v>174</v>
      </c>
      <c r="R12166" s="14" t="str">
        <f>HYPERLINK("https://my.pitchbook.com?c=222865-30T","View Company Online")</f>
        <v>View Company Online</v>
      </c>
    </row>
    <row r="12167" spans="1:18" hidden="1" x14ac:dyDescent="0.3">
      <c r="A12167" s="15" t="s">
        <v>34146</v>
      </c>
      <c r="B12167" s="15" t="s">
        <v>34147</v>
      </c>
      <c r="C12167" s="18" t="s">
        <v>28</v>
      </c>
      <c r="D12167" s="15" t="s">
        <v>34148</v>
      </c>
      <c r="E12167" s="18" t="s">
        <v>28</v>
      </c>
      <c r="F12167" s="19" t="s">
        <v>28</v>
      </c>
      <c r="G12167" s="19" t="s">
        <v>28</v>
      </c>
      <c r="H12167" s="19" t="s">
        <v>28</v>
      </c>
      <c r="I12167" s="18" t="s">
        <v>28</v>
      </c>
      <c r="J12167" s="18" t="s">
        <v>28</v>
      </c>
      <c r="K12167" s="18" t="s">
        <v>28</v>
      </c>
      <c r="L12167" s="18" t="s">
        <v>28</v>
      </c>
      <c r="M12167" s="18" t="s">
        <v>28</v>
      </c>
      <c r="N12167" s="17">
        <v>40394</v>
      </c>
      <c r="O12167" s="15" t="s">
        <v>173</v>
      </c>
      <c r="P12167" s="16" t="s">
        <v>28</v>
      </c>
      <c r="Q12167" s="15" t="s">
        <v>174</v>
      </c>
      <c r="R12167" s="13" t="str">
        <f>HYPERLINK("https://my.pitchbook.com?c=227427-31T","View Company Online")</f>
        <v>View Company Online</v>
      </c>
    </row>
    <row r="12168" spans="1:18" hidden="1" x14ac:dyDescent="0.3">
      <c r="A12168" s="9" t="s">
        <v>34149</v>
      </c>
      <c r="B12168" s="9" t="s">
        <v>14290</v>
      </c>
      <c r="C12168" s="11" t="s">
        <v>28</v>
      </c>
      <c r="D12168" s="9" t="s">
        <v>14291</v>
      </c>
      <c r="E12168" s="11" t="s">
        <v>28</v>
      </c>
      <c r="F12168" s="10">
        <v>56.74</v>
      </c>
      <c r="G12168" s="10">
        <v>28.43</v>
      </c>
      <c r="H12168" s="10">
        <v>56.74</v>
      </c>
      <c r="I12168" s="11" t="s">
        <v>28</v>
      </c>
      <c r="J12168" s="11" t="s">
        <v>28</v>
      </c>
      <c r="K12168" s="11" t="s">
        <v>28</v>
      </c>
      <c r="L12168" s="11" t="s">
        <v>28</v>
      </c>
      <c r="M12168" s="11" t="s">
        <v>28</v>
      </c>
      <c r="N12168" s="8">
        <v>40392</v>
      </c>
      <c r="O12168" s="9" t="s">
        <v>30</v>
      </c>
      <c r="P12168" s="12" t="s">
        <v>34150</v>
      </c>
      <c r="Q12168" s="9" t="s">
        <v>37</v>
      </c>
      <c r="R12168" s="14" t="str">
        <f>HYPERLINK("https://my.pitchbook.com?c=73771-66T","View Company Online")</f>
        <v>View Company Online</v>
      </c>
    </row>
    <row r="12169" spans="1:18" hidden="1" x14ac:dyDescent="0.3">
      <c r="A12169" s="15" t="s">
        <v>34151</v>
      </c>
      <c r="B12169" s="15" t="s">
        <v>34152</v>
      </c>
      <c r="C12169" s="18" t="s">
        <v>28</v>
      </c>
      <c r="D12169" s="15" t="s">
        <v>34153</v>
      </c>
      <c r="E12169" s="18" t="s">
        <v>28</v>
      </c>
      <c r="F12169" s="19">
        <v>24.13</v>
      </c>
      <c r="G12169" s="19">
        <v>24.13</v>
      </c>
      <c r="H12169" s="19">
        <v>24.13</v>
      </c>
      <c r="I12169" s="18" t="s">
        <v>28</v>
      </c>
      <c r="J12169" s="18" t="s">
        <v>28</v>
      </c>
      <c r="K12169" s="18" t="s">
        <v>28</v>
      </c>
      <c r="L12169" s="18" t="s">
        <v>28</v>
      </c>
      <c r="M12169" s="18" t="s">
        <v>28</v>
      </c>
      <c r="N12169" s="17">
        <v>40392</v>
      </c>
      <c r="O12169" s="15" t="s">
        <v>30</v>
      </c>
      <c r="P12169" s="16" t="s">
        <v>4262</v>
      </c>
      <c r="Q12169" s="15" t="s">
        <v>75</v>
      </c>
      <c r="R12169" s="13" t="str">
        <f>HYPERLINK("https://my.pitchbook.com?c=169896-79T","View Company Online")</f>
        <v>View Company Online</v>
      </c>
    </row>
    <row r="12170" spans="1:18" hidden="1" x14ac:dyDescent="0.3">
      <c r="A12170" s="9" t="s">
        <v>34154</v>
      </c>
      <c r="B12170" s="9" t="s">
        <v>34155</v>
      </c>
      <c r="C12170" s="11" t="s">
        <v>28</v>
      </c>
      <c r="D12170" s="9" t="s">
        <v>34156</v>
      </c>
      <c r="E12170" s="11" t="s">
        <v>28</v>
      </c>
      <c r="F12170" s="10" t="s">
        <v>28</v>
      </c>
      <c r="G12170" s="10" t="s">
        <v>28</v>
      </c>
      <c r="H12170" s="10" t="s">
        <v>28</v>
      </c>
      <c r="I12170" s="11" t="s">
        <v>28</v>
      </c>
      <c r="J12170" s="11" t="s">
        <v>28</v>
      </c>
      <c r="K12170" s="11" t="s">
        <v>28</v>
      </c>
      <c r="L12170" s="11" t="s">
        <v>28</v>
      </c>
      <c r="M12170" s="11" t="s">
        <v>28</v>
      </c>
      <c r="N12170" s="8">
        <v>40391</v>
      </c>
      <c r="O12170" s="9" t="s">
        <v>93</v>
      </c>
      <c r="P12170" s="12" t="s">
        <v>34157</v>
      </c>
      <c r="Q12170" s="9" t="s">
        <v>136</v>
      </c>
      <c r="R12170" s="14" t="str">
        <f>HYPERLINK("https://my.pitchbook.com?c=18338-86T","View Company Online")</f>
        <v>View Company Online</v>
      </c>
    </row>
    <row r="12171" spans="1:18" hidden="1" x14ac:dyDescent="0.3">
      <c r="A12171" s="15" t="s">
        <v>34158</v>
      </c>
      <c r="B12171" s="15" t="s">
        <v>24256</v>
      </c>
      <c r="C12171" s="18" t="s">
        <v>28</v>
      </c>
      <c r="D12171" s="15" t="s">
        <v>24257</v>
      </c>
      <c r="E12171" s="18" t="s">
        <v>28</v>
      </c>
      <c r="F12171" s="19" t="s">
        <v>28</v>
      </c>
      <c r="G12171" s="19" t="s">
        <v>28</v>
      </c>
      <c r="H12171" s="19" t="s">
        <v>28</v>
      </c>
      <c r="I12171" s="18" t="s">
        <v>28</v>
      </c>
      <c r="J12171" s="18" t="s">
        <v>28</v>
      </c>
      <c r="K12171" s="18" t="s">
        <v>28</v>
      </c>
      <c r="L12171" s="18" t="s">
        <v>28</v>
      </c>
      <c r="M12171" s="18" t="s">
        <v>28</v>
      </c>
      <c r="N12171" s="17">
        <v>40391</v>
      </c>
      <c r="O12171" s="15" t="s">
        <v>93</v>
      </c>
      <c r="P12171" s="16" t="s">
        <v>34157</v>
      </c>
      <c r="Q12171" s="15" t="s">
        <v>136</v>
      </c>
      <c r="R12171" s="13" t="str">
        <f>HYPERLINK("https://my.pitchbook.com?c=89398-90T","View Company Online")</f>
        <v>View Company Online</v>
      </c>
    </row>
    <row r="12172" spans="1:18" hidden="1" x14ac:dyDescent="0.3">
      <c r="A12172" s="9" t="s">
        <v>34159</v>
      </c>
      <c r="B12172" s="9" t="s">
        <v>34160</v>
      </c>
      <c r="C12172" s="11" t="s">
        <v>28</v>
      </c>
      <c r="D12172" s="9" t="s">
        <v>34161</v>
      </c>
      <c r="E12172" s="11" t="s">
        <v>28</v>
      </c>
      <c r="F12172" s="10">
        <v>47.08</v>
      </c>
      <c r="G12172" s="10">
        <v>23.54</v>
      </c>
      <c r="H12172" s="10">
        <v>47.08</v>
      </c>
      <c r="I12172" s="11" t="s">
        <v>28</v>
      </c>
      <c r="J12172" s="11" t="s">
        <v>28</v>
      </c>
      <c r="K12172" s="11" t="s">
        <v>28</v>
      </c>
      <c r="L12172" s="11" t="s">
        <v>28</v>
      </c>
      <c r="M12172" s="11" t="s">
        <v>28</v>
      </c>
      <c r="N12172" s="8">
        <v>40389</v>
      </c>
      <c r="O12172" s="9" t="s">
        <v>30</v>
      </c>
      <c r="P12172" s="12" t="s">
        <v>34162</v>
      </c>
      <c r="Q12172" s="9" t="s">
        <v>1088</v>
      </c>
      <c r="R12172" s="14" t="str">
        <f>HYPERLINK("https://my.pitchbook.com?c=91508-32T","View Company Online")</f>
        <v>View Company Online</v>
      </c>
    </row>
    <row r="12173" spans="1:18" hidden="1" x14ac:dyDescent="0.3">
      <c r="A12173" s="15" t="s">
        <v>34163</v>
      </c>
      <c r="B12173" s="15" t="s">
        <v>34164</v>
      </c>
      <c r="C12173" s="18" t="s">
        <v>28</v>
      </c>
      <c r="D12173" s="15" t="s">
        <v>34165</v>
      </c>
      <c r="E12173" s="18" t="s">
        <v>28</v>
      </c>
      <c r="F12173" s="19">
        <v>81.2</v>
      </c>
      <c r="G12173" s="19">
        <v>70</v>
      </c>
      <c r="H12173" s="19">
        <v>81.2</v>
      </c>
      <c r="I12173" s="18" t="s">
        <v>28</v>
      </c>
      <c r="J12173" s="18" t="s">
        <v>28</v>
      </c>
      <c r="K12173" s="18" t="s">
        <v>28</v>
      </c>
      <c r="L12173" s="18" t="s">
        <v>28</v>
      </c>
      <c r="M12173" s="18" t="s">
        <v>28</v>
      </c>
      <c r="N12173" s="17">
        <v>40385</v>
      </c>
      <c r="O12173" s="15" t="s">
        <v>30</v>
      </c>
      <c r="P12173" s="16" t="s">
        <v>19996</v>
      </c>
      <c r="Q12173" s="15" t="s">
        <v>470</v>
      </c>
      <c r="R12173" s="13" t="str">
        <f>HYPERLINK("https://my.pitchbook.com?c=74755-18T","View Company Online")</f>
        <v>View Company Online</v>
      </c>
    </row>
    <row r="12174" spans="1:18" hidden="1" x14ac:dyDescent="0.3">
      <c r="A12174" s="9" t="s">
        <v>34166</v>
      </c>
      <c r="B12174" s="9" t="s">
        <v>25257</v>
      </c>
      <c r="C12174" s="11" t="s">
        <v>28</v>
      </c>
      <c r="D12174" s="9" t="s">
        <v>25258</v>
      </c>
      <c r="E12174" s="11" t="s">
        <v>28</v>
      </c>
      <c r="F12174" s="10" t="s">
        <v>28</v>
      </c>
      <c r="G12174" s="10" t="s">
        <v>28</v>
      </c>
      <c r="H12174" s="10" t="s">
        <v>28</v>
      </c>
      <c r="I12174" s="11" t="s">
        <v>28</v>
      </c>
      <c r="J12174" s="11" t="s">
        <v>28</v>
      </c>
      <c r="K12174" s="11" t="s">
        <v>28</v>
      </c>
      <c r="L12174" s="11" t="s">
        <v>28</v>
      </c>
      <c r="M12174" s="11" t="s">
        <v>28</v>
      </c>
      <c r="N12174" s="8">
        <v>40384</v>
      </c>
      <c r="O12174" s="9" t="s">
        <v>30</v>
      </c>
      <c r="P12174" s="12" t="s">
        <v>34167</v>
      </c>
      <c r="Q12174" s="9" t="s">
        <v>409</v>
      </c>
      <c r="R12174" s="14" t="str">
        <f>HYPERLINK("https://my.pitchbook.com?c=75684-25T","View Company Online")</f>
        <v>View Company Online</v>
      </c>
    </row>
    <row r="12175" spans="1:18" hidden="1" x14ac:dyDescent="0.3">
      <c r="A12175" s="15" t="s">
        <v>34168</v>
      </c>
      <c r="B12175" s="15" t="s">
        <v>34169</v>
      </c>
      <c r="C12175" s="18" t="s">
        <v>28</v>
      </c>
      <c r="D12175" s="15" t="s">
        <v>34170</v>
      </c>
      <c r="E12175" s="18" t="s">
        <v>28</v>
      </c>
      <c r="F12175" s="19" t="s">
        <v>28</v>
      </c>
      <c r="G12175" s="19" t="s">
        <v>28</v>
      </c>
      <c r="H12175" s="19" t="s">
        <v>28</v>
      </c>
      <c r="I12175" s="18" t="s">
        <v>28</v>
      </c>
      <c r="J12175" s="18" t="s">
        <v>28</v>
      </c>
      <c r="K12175" s="18" t="s">
        <v>28</v>
      </c>
      <c r="L12175" s="18" t="s">
        <v>28</v>
      </c>
      <c r="M12175" s="18" t="s">
        <v>28</v>
      </c>
      <c r="N12175" s="17">
        <v>40382</v>
      </c>
      <c r="O12175" s="15" t="s">
        <v>41</v>
      </c>
      <c r="P12175" s="16" t="s">
        <v>34171</v>
      </c>
      <c r="Q12175" s="15" t="s">
        <v>109</v>
      </c>
      <c r="R12175" s="13" t="str">
        <f>HYPERLINK("https://my.pitchbook.com?c=35921-98T","View Company Online")</f>
        <v>View Company Online</v>
      </c>
    </row>
    <row r="12176" spans="1:18" hidden="1" x14ac:dyDescent="0.3">
      <c r="A12176" s="9" t="s">
        <v>34172</v>
      </c>
      <c r="B12176" s="9" t="s">
        <v>11110</v>
      </c>
      <c r="C12176" s="11" t="s">
        <v>28</v>
      </c>
      <c r="D12176" s="9" t="s">
        <v>11111</v>
      </c>
      <c r="E12176" s="11" t="s">
        <v>28</v>
      </c>
      <c r="F12176" s="10" t="s">
        <v>28</v>
      </c>
      <c r="G12176" s="10">
        <v>14.02</v>
      </c>
      <c r="H12176" s="10">
        <v>50.49</v>
      </c>
      <c r="I12176" s="11" t="s">
        <v>28</v>
      </c>
      <c r="J12176" s="11" t="s">
        <v>28</v>
      </c>
      <c r="K12176" s="11" t="s">
        <v>28</v>
      </c>
      <c r="L12176" s="11" t="s">
        <v>28</v>
      </c>
      <c r="M12176" s="11" t="s">
        <v>28</v>
      </c>
      <c r="N12176" s="8">
        <v>40379</v>
      </c>
      <c r="O12176" s="9" t="s">
        <v>93</v>
      </c>
      <c r="P12176" s="12" t="s">
        <v>34173</v>
      </c>
      <c r="Q12176" s="9" t="s">
        <v>11113</v>
      </c>
      <c r="R12176" s="14" t="str">
        <f>HYPERLINK("https://my.pitchbook.com?c=32398-03T","View Company Online")</f>
        <v>View Company Online</v>
      </c>
    </row>
    <row r="12177" spans="1:18" hidden="1" x14ac:dyDescent="0.3">
      <c r="A12177" s="15" t="s">
        <v>34174</v>
      </c>
      <c r="B12177" s="15" t="s">
        <v>2368</v>
      </c>
      <c r="C12177" s="18" t="s">
        <v>28</v>
      </c>
      <c r="D12177" s="15" t="s">
        <v>23267</v>
      </c>
      <c r="E12177" s="18">
        <v>1.67</v>
      </c>
      <c r="F12177" s="19" t="s">
        <v>28</v>
      </c>
      <c r="G12177" s="19">
        <v>83.77</v>
      </c>
      <c r="H12177" s="19" t="s">
        <v>28</v>
      </c>
      <c r="I12177" s="18">
        <v>5.32</v>
      </c>
      <c r="J12177" s="18" t="s">
        <v>28</v>
      </c>
      <c r="K12177" s="18">
        <v>18.3</v>
      </c>
      <c r="L12177" s="18" t="s">
        <v>28</v>
      </c>
      <c r="M12177" s="18">
        <v>0.87</v>
      </c>
      <c r="N12177" s="17">
        <v>40372</v>
      </c>
      <c r="O12177" s="15" t="s">
        <v>173</v>
      </c>
      <c r="P12177" s="16" t="s">
        <v>28</v>
      </c>
      <c r="Q12177" s="15" t="s">
        <v>226</v>
      </c>
      <c r="R12177" s="13" t="str">
        <f>HYPERLINK("https://my.pitchbook.com?c=27856-63T","View Company Online")</f>
        <v>View Company Online</v>
      </c>
    </row>
    <row r="12178" spans="1:18" hidden="1" x14ac:dyDescent="0.3">
      <c r="A12178" s="9" t="s">
        <v>34175</v>
      </c>
      <c r="B12178" s="9" t="s">
        <v>34176</v>
      </c>
      <c r="C12178" s="11" t="s">
        <v>28</v>
      </c>
      <c r="D12178" s="9" t="s">
        <v>34177</v>
      </c>
      <c r="E12178" s="11" t="s">
        <v>28</v>
      </c>
      <c r="F12178" s="10">
        <v>94.87</v>
      </c>
      <c r="G12178" s="10">
        <v>94.87</v>
      </c>
      <c r="H12178" s="10">
        <v>94.87</v>
      </c>
      <c r="I12178" s="11" t="s">
        <v>28</v>
      </c>
      <c r="J12178" s="11" t="s">
        <v>28</v>
      </c>
      <c r="K12178" s="11" t="s">
        <v>28</v>
      </c>
      <c r="L12178" s="11" t="s">
        <v>28</v>
      </c>
      <c r="M12178" s="11" t="s">
        <v>28</v>
      </c>
      <c r="N12178" s="8">
        <v>40372</v>
      </c>
      <c r="O12178" s="9" t="s">
        <v>30</v>
      </c>
      <c r="P12178" s="12" t="s">
        <v>32171</v>
      </c>
      <c r="Q12178" s="9" t="s">
        <v>2168</v>
      </c>
      <c r="R12178" s="14" t="str">
        <f>HYPERLINK("https://my.pitchbook.com?c=90725-77T","View Company Online")</f>
        <v>View Company Online</v>
      </c>
    </row>
    <row r="12179" spans="1:18" hidden="1" x14ac:dyDescent="0.3">
      <c r="A12179" s="15" t="s">
        <v>34178</v>
      </c>
      <c r="B12179" s="15" t="s">
        <v>34179</v>
      </c>
      <c r="C12179" s="18" t="s">
        <v>28</v>
      </c>
      <c r="D12179" s="15" t="s">
        <v>34180</v>
      </c>
      <c r="E12179" s="18" t="s">
        <v>28</v>
      </c>
      <c r="F12179" s="19">
        <v>7.69</v>
      </c>
      <c r="G12179" s="19">
        <v>3.93</v>
      </c>
      <c r="H12179" s="19">
        <v>7.69</v>
      </c>
      <c r="I12179" s="18" t="s">
        <v>28</v>
      </c>
      <c r="J12179" s="18" t="s">
        <v>28</v>
      </c>
      <c r="K12179" s="18" t="s">
        <v>28</v>
      </c>
      <c r="L12179" s="18" t="s">
        <v>28</v>
      </c>
      <c r="M12179" s="18" t="s">
        <v>28</v>
      </c>
      <c r="N12179" s="17">
        <v>40367</v>
      </c>
      <c r="O12179" s="15" t="s">
        <v>30</v>
      </c>
      <c r="P12179" s="16" t="s">
        <v>33109</v>
      </c>
      <c r="Q12179" s="15" t="s">
        <v>353</v>
      </c>
      <c r="R12179" s="13" t="str">
        <f>HYPERLINK("https://my.pitchbook.com?c=247308-22T","View Company Online")</f>
        <v>View Company Online</v>
      </c>
    </row>
    <row r="12180" spans="1:18" hidden="1" x14ac:dyDescent="0.3">
      <c r="A12180" s="9" t="s">
        <v>34181</v>
      </c>
      <c r="B12180" s="9" t="s">
        <v>8248</v>
      </c>
      <c r="C12180" s="11" t="s">
        <v>28</v>
      </c>
      <c r="D12180" s="9" t="s">
        <v>8249</v>
      </c>
      <c r="E12180" s="11">
        <v>117.94</v>
      </c>
      <c r="F12180" s="10" t="s">
        <v>28</v>
      </c>
      <c r="G12180" s="10">
        <v>226</v>
      </c>
      <c r="H12180" s="10" t="s">
        <v>28</v>
      </c>
      <c r="I12180" s="11">
        <v>333.44</v>
      </c>
      <c r="J12180" s="11" t="s">
        <v>28</v>
      </c>
      <c r="K12180" s="11">
        <v>4838.1899999999996</v>
      </c>
      <c r="L12180" s="11" t="s">
        <v>28</v>
      </c>
      <c r="M12180" s="11">
        <v>90.25</v>
      </c>
      <c r="N12180" s="8">
        <v>40364</v>
      </c>
      <c r="O12180" s="9" t="s">
        <v>159</v>
      </c>
      <c r="P12180" s="12" t="s">
        <v>34182</v>
      </c>
      <c r="Q12180" s="9" t="s">
        <v>5347</v>
      </c>
      <c r="R12180" s="14" t="str">
        <f>HYPERLINK("https://my.pitchbook.com?c=96888-43T","View Company Online")</f>
        <v>View Company Online</v>
      </c>
    </row>
    <row r="12181" spans="1:18" hidden="1" x14ac:dyDescent="0.3">
      <c r="A12181" s="15" t="s">
        <v>34183</v>
      </c>
      <c r="B12181" s="15" t="s">
        <v>34184</v>
      </c>
      <c r="C12181" s="18" t="s">
        <v>28</v>
      </c>
      <c r="D12181" s="15" t="s">
        <v>34185</v>
      </c>
      <c r="E12181" s="18" t="s">
        <v>28</v>
      </c>
      <c r="F12181" s="19" t="s">
        <v>28</v>
      </c>
      <c r="G12181" s="19" t="s">
        <v>28</v>
      </c>
      <c r="H12181" s="19" t="s">
        <v>28</v>
      </c>
      <c r="I12181" s="18" t="s">
        <v>28</v>
      </c>
      <c r="J12181" s="18" t="s">
        <v>28</v>
      </c>
      <c r="K12181" s="18" t="s">
        <v>28</v>
      </c>
      <c r="L12181" s="18" t="s">
        <v>28</v>
      </c>
      <c r="M12181" s="18" t="s">
        <v>28</v>
      </c>
      <c r="N12181" s="17">
        <v>40361</v>
      </c>
      <c r="O12181" s="15" t="s">
        <v>30</v>
      </c>
      <c r="P12181" s="16" t="s">
        <v>34186</v>
      </c>
      <c r="Q12181" s="15" t="s">
        <v>900</v>
      </c>
      <c r="R12181" s="13" t="str">
        <f>HYPERLINK("https://my.pitchbook.com?c=90652-33T","View Company Online")</f>
        <v>View Company Online</v>
      </c>
    </row>
    <row r="12182" spans="1:18" hidden="1" x14ac:dyDescent="0.3">
      <c r="A12182" s="9" t="s">
        <v>34187</v>
      </c>
      <c r="B12182" s="9" t="s">
        <v>34188</v>
      </c>
      <c r="C12182" s="11" t="s">
        <v>28</v>
      </c>
      <c r="D12182" s="9" t="s">
        <v>34189</v>
      </c>
      <c r="E12182" s="11" t="s">
        <v>28</v>
      </c>
      <c r="F12182" s="10">
        <v>10</v>
      </c>
      <c r="G12182" s="10">
        <v>10</v>
      </c>
      <c r="H12182" s="10">
        <v>10</v>
      </c>
      <c r="I12182" s="11" t="s">
        <v>28</v>
      </c>
      <c r="J12182" s="11" t="s">
        <v>28</v>
      </c>
      <c r="K12182" s="11">
        <v>9.51</v>
      </c>
      <c r="L12182" s="11">
        <v>1.05</v>
      </c>
      <c r="M12182" s="11" t="s">
        <v>28</v>
      </c>
      <c r="N12182" s="8">
        <v>40359</v>
      </c>
      <c r="O12182" s="9" t="s">
        <v>30</v>
      </c>
      <c r="P12182" s="12" t="s">
        <v>34190</v>
      </c>
      <c r="Q12182" s="9" t="s">
        <v>19850</v>
      </c>
      <c r="R12182" s="14" t="str">
        <f>HYPERLINK("https://my.pitchbook.com?c=74125-45T","View Company Online")</f>
        <v>View Company Online</v>
      </c>
    </row>
    <row r="12183" spans="1:18" hidden="1" x14ac:dyDescent="0.3">
      <c r="A12183" s="15" t="s">
        <v>34191</v>
      </c>
      <c r="B12183" s="15" t="s">
        <v>29406</v>
      </c>
      <c r="C12183" s="18" t="s">
        <v>28</v>
      </c>
      <c r="D12183" s="15" t="s">
        <v>29407</v>
      </c>
      <c r="E12183" s="18" t="s">
        <v>28</v>
      </c>
      <c r="F12183" s="19" t="s">
        <v>28</v>
      </c>
      <c r="G12183" s="19" t="s">
        <v>28</v>
      </c>
      <c r="H12183" s="19" t="s">
        <v>28</v>
      </c>
      <c r="I12183" s="18" t="s">
        <v>28</v>
      </c>
      <c r="J12183" s="18" t="s">
        <v>28</v>
      </c>
      <c r="K12183" s="18" t="s">
        <v>28</v>
      </c>
      <c r="L12183" s="18" t="s">
        <v>28</v>
      </c>
      <c r="M12183" s="18" t="s">
        <v>28</v>
      </c>
      <c r="N12183" s="17">
        <v>40359</v>
      </c>
      <c r="O12183" s="15" t="s">
        <v>93</v>
      </c>
      <c r="P12183" s="16" t="s">
        <v>15061</v>
      </c>
      <c r="Q12183" s="15" t="s">
        <v>75</v>
      </c>
      <c r="R12183" s="13" t="str">
        <f>HYPERLINK("https://my.pitchbook.com?c=33868-54T","View Company Online")</f>
        <v>View Company Online</v>
      </c>
    </row>
    <row r="12184" spans="1:18" hidden="1" x14ac:dyDescent="0.3">
      <c r="A12184" s="9" t="s">
        <v>34192</v>
      </c>
      <c r="B12184" s="9" t="s">
        <v>34193</v>
      </c>
      <c r="C12184" s="11" t="s">
        <v>28</v>
      </c>
      <c r="D12184" s="9" t="s">
        <v>34194</v>
      </c>
      <c r="E12184" s="11">
        <v>121.46</v>
      </c>
      <c r="F12184" s="10" t="s">
        <v>28</v>
      </c>
      <c r="G12184" s="10" t="s">
        <v>28</v>
      </c>
      <c r="H12184" s="10" t="s">
        <v>28</v>
      </c>
      <c r="I12184" s="11">
        <v>167.66</v>
      </c>
      <c r="J12184" s="11" t="s">
        <v>28</v>
      </c>
      <c r="K12184" s="11">
        <v>973.57</v>
      </c>
      <c r="L12184" s="11" t="s">
        <v>28</v>
      </c>
      <c r="M12184" s="11">
        <v>94.6</v>
      </c>
      <c r="N12184" s="8">
        <v>40357</v>
      </c>
      <c r="O12184" s="9" t="s">
        <v>173</v>
      </c>
      <c r="P12184" s="12" t="s">
        <v>28</v>
      </c>
      <c r="Q12184" s="9" t="s">
        <v>109</v>
      </c>
      <c r="R12184" s="14" t="str">
        <f>HYPERLINK("https://my.pitchbook.com?c=225076-69T","View Company Online")</f>
        <v>View Company Online</v>
      </c>
    </row>
    <row r="12185" spans="1:18" hidden="1" x14ac:dyDescent="0.3">
      <c r="A12185" s="15" t="s">
        <v>34195</v>
      </c>
      <c r="B12185" s="15" t="s">
        <v>34196</v>
      </c>
      <c r="C12185" s="18" t="s">
        <v>28</v>
      </c>
      <c r="D12185" s="15" t="s">
        <v>34197</v>
      </c>
      <c r="E12185" s="18" t="s">
        <v>28</v>
      </c>
      <c r="F12185" s="19" t="s">
        <v>28</v>
      </c>
      <c r="G12185" s="19" t="s">
        <v>28</v>
      </c>
      <c r="H12185" s="19" t="s">
        <v>28</v>
      </c>
      <c r="I12185" s="18" t="s">
        <v>28</v>
      </c>
      <c r="J12185" s="18" t="s">
        <v>28</v>
      </c>
      <c r="K12185" s="18" t="s">
        <v>28</v>
      </c>
      <c r="L12185" s="18" t="s">
        <v>28</v>
      </c>
      <c r="M12185" s="18" t="s">
        <v>28</v>
      </c>
      <c r="N12185" s="17">
        <v>40353</v>
      </c>
      <c r="O12185" s="15" t="s">
        <v>30</v>
      </c>
      <c r="P12185" s="16" t="s">
        <v>34198</v>
      </c>
      <c r="Q12185" s="15" t="s">
        <v>95</v>
      </c>
      <c r="R12185" s="13" t="str">
        <f>HYPERLINK("https://my.pitchbook.com?c=161100-37T","View Company Online")</f>
        <v>View Company Online</v>
      </c>
    </row>
    <row r="12186" spans="1:18" hidden="1" x14ac:dyDescent="0.3">
      <c r="A12186" s="9" t="s">
        <v>34199</v>
      </c>
      <c r="B12186" s="9" t="s">
        <v>34200</v>
      </c>
      <c r="C12186" s="11" t="s">
        <v>28</v>
      </c>
      <c r="D12186" s="9" t="s">
        <v>34201</v>
      </c>
      <c r="E12186" s="11" t="s">
        <v>28</v>
      </c>
      <c r="F12186" s="10">
        <v>6.7</v>
      </c>
      <c r="G12186" s="10">
        <v>6.7</v>
      </c>
      <c r="H12186" s="10">
        <v>6.7</v>
      </c>
      <c r="I12186" s="11" t="s">
        <v>28</v>
      </c>
      <c r="J12186" s="11" t="s">
        <v>28</v>
      </c>
      <c r="K12186" s="11">
        <v>13.51</v>
      </c>
      <c r="L12186" s="11">
        <v>0.5</v>
      </c>
      <c r="M12186" s="11" t="s">
        <v>28</v>
      </c>
      <c r="N12186" s="8">
        <v>40353</v>
      </c>
      <c r="O12186" s="9" t="s">
        <v>30</v>
      </c>
      <c r="P12186" s="12" t="s">
        <v>32310</v>
      </c>
      <c r="Q12186" s="9" t="s">
        <v>245</v>
      </c>
      <c r="R12186" s="14" t="str">
        <f>HYPERLINK("https://my.pitchbook.com?c=91575-10T","View Company Online")</f>
        <v>View Company Online</v>
      </c>
    </row>
    <row r="12187" spans="1:18" hidden="1" x14ac:dyDescent="0.3">
      <c r="A12187" s="15" t="s">
        <v>34202</v>
      </c>
      <c r="B12187" s="15" t="s">
        <v>34203</v>
      </c>
      <c r="C12187" s="18" t="s">
        <v>28</v>
      </c>
      <c r="D12187" s="15" t="s">
        <v>34204</v>
      </c>
      <c r="E12187" s="18" t="s">
        <v>28</v>
      </c>
      <c r="F12187" s="19">
        <v>646.49</v>
      </c>
      <c r="G12187" s="19">
        <v>328.35</v>
      </c>
      <c r="H12187" s="19">
        <v>646.49</v>
      </c>
      <c r="I12187" s="18" t="s">
        <v>28</v>
      </c>
      <c r="J12187" s="18" t="s">
        <v>28</v>
      </c>
      <c r="K12187" s="18" t="s">
        <v>28</v>
      </c>
      <c r="L12187" s="18" t="s">
        <v>28</v>
      </c>
      <c r="M12187" s="18" t="s">
        <v>28</v>
      </c>
      <c r="N12187" s="17">
        <v>40352</v>
      </c>
      <c r="O12187" s="15" t="s">
        <v>30</v>
      </c>
      <c r="P12187" s="16" t="s">
        <v>34205</v>
      </c>
      <c r="Q12187" s="15" t="s">
        <v>136</v>
      </c>
      <c r="R12187" s="13" t="str">
        <f>HYPERLINK("https://my.pitchbook.com?c=109621-18T","View Company Online")</f>
        <v>View Company Online</v>
      </c>
    </row>
    <row r="12188" spans="1:18" hidden="1" x14ac:dyDescent="0.3">
      <c r="A12188" s="9" t="s">
        <v>34206</v>
      </c>
      <c r="B12188" s="9" t="s">
        <v>34207</v>
      </c>
      <c r="C12188" s="11" t="s">
        <v>28</v>
      </c>
      <c r="D12188" s="9" t="s">
        <v>34208</v>
      </c>
      <c r="E12188" s="11" t="s">
        <v>28</v>
      </c>
      <c r="F12188" s="10" t="s">
        <v>28</v>
      </c>
      <c r="G12188" s="10">
        <v>13.61</v>
      </c>
      <c r="H12188" s="10">
        <v>160.16999999999999</v>
      </c>
      <c r="I12188" s="11" t="s">
        <v>28</v>
      </c>
      <c r="J12188" s="11" t="s">
        <v>28</v>
      </c>
      <c r="K12188" s="11" t="s">
        <v>28</v>
      </c>
      <c r="L12188" s="11" t="s">
        <v>28</v>
      </c>
      <c r="M12188" s="11" t="s">
        <v>28</v>
      </c>
      <c r="N12188" s="8">
        <v>40352</v>
      </c>
      <c r="O12188" s="9" t="s">
        <v>93</v>
      </c>
      <c r="P12188" s="12" t="s">
        <v>22024</v>
      </c>
      <c r="Q12188" s="9" t="s">
        <v>2706</v>
      </c>
      <c r="R12188" s="14" t="str">
        <f>HYPERLINK("https://my.pitchbook.com?c=16751-62T","View Company Online")</f>
        <v>View Company Online</v>
      </c>
    </row>
    <row r="12189" spans="1:18" hidden="1" x14ac:dyDescent="0.3">
      <c r="A12189" s="15" t="s">
        <v>34209</v>
      </c>
      <c r="B12189" s="15" t="s">
        <v>34210</v>
      </c>
      <c r="C12189" s="18" t="s">
        <v>28</v>
      </c>
      <c r="D12189" s="15" t="s">
        <v>34211</v>
      </c>
      <c r="E12189" s="18" t="s">
        <v>28</v>
      </c>
      <c r="F12189" s="19" t="s">
        <v>28</v>
      </c>
      <c r="G12189" s="19">
        <v>7.8</v>
      </c>
      <c r="H12189" s="19">
        <v>25.99</v>
      </c>
      <c r="I12189" s="18" t="s">
        <v>28</v>
      </c>
      <c r="J12189" s="18" t="s">
        <v>28</v>
      </c>
      <c r="K12189" s="18" t="s">
        <v>28</v>
      </c>
      <c r="L12189" s="18" t="s">
        <v>28</v>
      </c>
      <c r="M12189" s="18" t="s">
        <v>28</v>
      </c>
      <c r="N12189" s="17">
        <v>40347</v>
      </c>
      <c r="O12189" s="15" t="s">
        <v>58</v>
      </c>
      <c r="P12189" s="16" t="s">
        <v>28</v>
      </c>
      <c r="Q12189" s="15" t="s">
        <v>299</v>
      </c>
      <c r="R12189" s="13" t="str">
        <f>HYPERLINK("https://my.pitchbook.com?c=44560-63T","View Company Online")</f>
        <v>View Company Online</v>
      </c>
    </row>
    <row r="12190" spans="1:18" hidden="1" x14ac:dyDescent="0.3">
      <c r="A12190" s="9" t="s">
        <v>34212</v>
      </c>
      <c r="B12190" s="9" t="s">
        <v>34213</v>
      </c>
      <c r="C12190" s="11" t="s">
        <v>28</v>
      </c>
      <c r="D12190" s="9" t="s">
        <v>34214</v>
      </c>
      <c r="E12190" s="11" t="s">
        <v>28</v>
      </c>
      <c r="F12190" s="10">
        <v>84.82</v>
      </c>
      <c r="G12190" s="10">
        <v>84.82</v>
      </c>
      <c r="H12190" s="10">
        <v>84.82</v>
      </c>
      <c r="I12190" s="11" t="s">
        <v>28</v>
      </c>
      <c r="J12190" s="11" t="s">
        <v>28</v>
      </c>
      <c r="K12190" s="11" t="s">
        <v>28</v>
      </c>
      <c r="L12190" s="11" t="s">
        <v>28</v>
      </c>
      <c r="M12190" s="11" t="s">
        <v>28</v>
      </c>
      <c r="N12190" s="8">
        <v>40346</v>
      </c>
      <c r="O12190" s="9" t="s">
        <v>30</v>
      </c>
      <c r="P12190" s="12" t="s">
        <v>26287</v>
      </c>
      <c r="Q12190" s="9" t="s">
        <v>1361</v>
      </c>
      <c r="R12190" s="14" t="str">
        <f>HYPERLINK("https://my.pitchbook.com?c=46408-06T","View Company Online")</f>
        <v>View Company Online</v>
      </c>
    </row>
    <row r="12191" spans="1:18" hidden="1" x14ac:dyDescent="0.3">
      <c r="A12191" s="15" t="s">
        <v>34215</v>
      </c>
      <c r="B12191" s="15" t="s">
        <v>34216</v>
      </c>
      <c r="C12191" s="18" t="s">
        <v>28</v>
      </c>
      <c r="D12191" s="15" t="s">
        <v>34217</v>
      </c>
      <c r="E12191" s="18" t="s">
        <v>28</v>
      </c>
      <c r="F12191" s="19">
        <v>2432.09</v>
      </c>
      <c r="G12191" s="19">
        <v>2432.09</v>
      </c>
      <c r="H12191" s="19">
        <v>2432.09</v>
      </c>
      <c r="I12191" s="18" t="s">
        <v>28</v>
      </c>
      <c r="J12191" s="18" t="s">
        <v>28</v>
      </c>
      <c r="K12191" s="18" t="s">
        <v>28</v>
      </c>
      <c r="L12191" s="18" t="s">
        <v>28</v>
      </c>
      <c r="M12191" s="18" t="s">
        <v>28</v>
      </c>
      <c r="N12191" s="17">
        <v>40343</v>
      </c>
      <c r="O12191" s="15" t="s">
        <v>30</v>
      </c>
      <c r="P12191" s="16" t="s">
        <v>28156</v>
      </c>
      <c r="Q12191" s="15" t="s">
        <v>299</v>
      </c>
      <c r="R12191" s="13" t="str">
        <f>HYPERLINK("https://my.pitchbook.com?c=35924-50T","View Company Online")</f>
        <v>View Company Online</v>
      </c>
    </row>
    <row r="12192" spans="1:18" hidden="1" x14ac:dyDescent="0.3">
      <c r="A12192" s="9" t="s">
        <v>34218</v>
      </c>
      <c r="B12192" s="9" t="s">
        <v>27216</v>
      </c>
      <c r="C12192" s="11" t="s">
        <v>28</v>
      </c>
      <c r="D12192" s="9" t="s">
        <v>27217</v>
      </c>
      <c r="E12192" s="11" t="s">
        <v>28</v>
      </c>
      <c r="F12192" s="10" t="s">
        <v>28</v>
      </c>
      <c r="G12192" s="10">
        <v>5.43</v>
      </c>
      <c r="H12192" s="10">
        <v>27.13</v>
      </c>
      <c r="I12192" s="11" t="s">
        <v>28</v>
      </c>
      <c r="J12192" s="11" t="s">
        <v>28</v>
      </c>
      <c r="K12192" s="11" t="s">
        <v>28</v>
      </c>
      <c r="L12192" s="11" t="s">
        <v>28</v>
      </c>
      <c r="M12192" s="11" t="s">
        <v>28</v>
      </c>
      <c r="N12192" s="8">
        <v>40338</v>
      </c>
      <c r="O12192" s="9" t="s">
        <v>93</v>
      </c>
      <c r="P12192" s="12" t="s">
        <v>34219</v>
      </c>
      <c r="Q12192" s="9" t="s">
        <v>1088</v>
      </c>
      <c r="R12192" s="14" t="str">
        <f>HYPERLINK("https://my.pitchbook.com?c=40077-19T","View Company Online")</f>
        <v>View Company Online</v>
      </c>
    </row>
    <row r="12193" spans="1:18" hidden="1" x14ac:dyDescent="0.3">
      <c r="A12193" s="15" t="s">
        <v>34220</v>
      </c>
      <c r="B12193" s="15" t="s">
        <v>34221</v>
      </c>
      <c r="C12193" s="18" t="s">
        <v>28</v>
      </c>
      <c r="D12193" s="15" t="s">
        <v>34222</v>
      </c>
      <c r="E12193" s="18" t="s">
        <v>28</v>
      </c>
      <c r="F12193" s="19" t="s">
        <v>28</v>
      </c>
      <c r="G12193" s="19" t="s">
        <v>28</v>
      </c>
      <c r="H12193" s="19" t="s">
        <v>28</v>
      </c>
      <c r="I12193" s="18" t="s">
        <v>28</v>
      </c>
      <c r="J12193" s="18" t="s">
        <v>28</v>
      </c>
      <c r="K12193" s="18">
        <v>24.81</v>
      </c>
      <c r="L12193" s="18" t="s">
        <v>28</v>
      </c>
      <c r="M12193" s="18" t="s">
        <v>28</v>
      </c>
      <c r="N12193" s="17">
        <v>40337</v>
      </c>
      <c r="O12193" s="15" t="s">
        <v>30</v>
      </c>
      <c r="P12193" s="16" t="s">
        <v>31779</v>
      </c>
      <c r="Q12193" s="15" t="s">
        <v>959</v>
      </c>
      <c r="R12193" s="13" t="str">
        <f>HYPERLINK("https://my.pitchbook.com?c=101909-35T","View Company Online")</f>
        <v>View Company Online</v>
      </c>
    </row>
    <row r="12194" spans="1:18" hidden="1" x14ac:dyDescent="0.3">
      <c r="A12194" s="9" t="s">
        <v>34223</v>
      </c>
      <c r="B12194" s="9" t="s">
        <v>34224</v>
      </c>
      <c r="C12194" s="11" t="s">
        <v>28</v>
      </c>
      <c r="D12194" s="9" t="s">
        <v>34225</v>
      </c>
      <c r="E12194" s="11" t="s">
        <v>28</v>
      </c>
      <c r="F12194" s="10" t="s">
        <v>28</v>
      </c>
      <c r="G12194" s="10" t="s">
        <v>28</v>
      </c>
      <c r="H12194" s="10" t="s">
        <v>28</v>
      </c>
      <c r="I12194" s="11" t="s">
        <v>28</v>
      </c>
      <c r="J12194" s="11" t="s">
        <v>28</v>
      </c>
      <c r="K12194" s="11" t="s">
        <v>28</v>
      </c>
      <c r="L12194" s="11" t="s">
        <v>28</v>
      </c>
      <c r="M12194" s="11" t="s">
        <v>28</v>
      </c>
      <c r="N12194" s="8">
        <v>40337</v>
      </c>
      <c r="O12194" s="9" t="s">
        <v>30</v>
      </c>
      <c r="P12194" s="12" t="s">
        <v>27152</v>
      </c>
      <c r="Q12194" s="9" t="s">
        <v>7913</v>
      </c>
      <c r="R12194" s="14" t="str">
        <f>HYPERLINK("https://my.pitchbook.com?c=134684-11T","View Company Online")</f>
        <v>View Company Online</v>
      </c>
    </row>
    <row r="12195" spans="1:18" hidden="1" x14ac:dyDescent="0.3">
      <c r="A12195" s="15" t="s">
        <v>34226</v>
      </c>
      <c r="B12195" s="15" t="s">
        <v>34227</v>
      </c>
      <c r="C12195" s="18" t="s">
        <v>28</v>
      </c>
      <c r="D12195" s="15" t="s">
        <v>34228</v>
      </c>
      <c r="E12195" s="18" t="s">
        <v>28</v>
      </c>
      <c r="F12195" s="19" t="s">
        <v>28</v>
      </c>
      <c r="G12195" s="19" t="s">
        <v>28</v>
      </c>
      <c r="H12195" s="19" t="s">
        <v>28</v>
      </c>
      <c r="I12195" s="18" t="s">
        <v>28</v>
      </c>
      <c r="J12195" s="18" t="s">
        <v>28</v>
      </c>
      <c r="K12195" s="18" t="s">
        <v>28</v>
      </c>
      <c r="L12195" s="18" t="s">
        <v>28</v>
      </c>
      <c r="M12195" s="18" t="s">
        <v>28</v>
      </c>
      <c r="N12195" s="17">
        <v>40336</v>
      </c>
      <c r="O12195" s="15" t="s">
        <v>30</v>
      </c>
      <c r="P12195" s="16" t="s">
        <v>34229</v>
      </c>
      <c r="Q12195" s="15" t="s">
        <v>4602</v>
      </c>
      <c r="R12195" s="13" t="str">
        <f>HYPERLINK("https://my.pitchbook.com?c=91468-45T","View Company Online")</f>
        <v>View Company Online</v>
      </c>
    </row>
    <row r="12196" spans="1:18" hidden="1" x14ac:dyDescent="0.3">
      <c r="A12196" s="9" t="s">
        <v>34230</v>
      </c>
      <c r="B12196" s="9" t="s">
        <v>34231</v>
      </c>
      <c r="C12196" s="11" t="s">
        <v>28</v>
      </c>
      <c r="D12196" s="9" t="s">
        <v>34232</v>
      </c>
      <c r="E12196" s="11" t="s">
        <v>28</v>
      </c>
      <c r="F12196" s="10" t="s">
        <v>28</v>
      </c>
      <c r="G12196" s="10" t="s">
        <v>28</v>
      </c>
      <c r="H12196" s="10" t="s">
        <v>28</v>
      </c>
      <c r="I12196" s="11" t="s">
        <v>28</v>
      </c>
      <c r="J12196" s="11" t="s">
        <v>28</v>
      </c>
      <c r="K12196" s="11" t="s">
        <v>28</v>
      </c>
      <c r="L12196" s="11" t="s">
        <v>28</v>
      </c>
      <c r="M12196" s="11" t="s">
        <v>28</v>
      </c>
      <c r="N12196" s="8">
        <v>40336</v>
      </c>
      <c r="O12196" s="9" t="s">
        <v>173</v>
      </c>
      <c r="P12196" s="12" t="s">
        <v>28</v>
      </c>
      <c r="Q12196" s="9" t="s">
        <v>174</v>
      </c>
      <c r="R12196" s="14" t="str">
        <f>HYPERLINK("https://my.pitchbook.com?c=224019-28T","View Company Online")</f>
        <v>View Company Online</v>
      </c>
    </row>
    <row r="12197" spans="1:18" hidden="1" x14ac:dyDescent="0.3">
      <c r="A12197" s="15" t="s">
        <v>34233</v>
      </c>
      <c r="B12197" s="15" t="s">
        <v>34234</v>
      </c>
      <c r="C12197" s="18" t="s">
        <v>28</v>
      </c>
      <c r="D12197" s="15" t="s">
        <v>34235</v>
      </c>
      <c r="E12197" s="18" t="s">
        <v>28</v>
      </c>
      <c r="F12197" s="19">
        <v>101.5</v>
      </c>
      <c r="G12197" s="19">
        <v>71.05</v>
      </c>
      <c r="H12197" s="19">
        <v>101.5</v>
      </c>
      <c r="I12197" s="18" t="s">
        <v>28</v>
      </c>
      <c r="J12197" s="18" t="s">
        <v>28</v>
      </c>
      <c r="K12197" s="18" t="s">
        <v>28</v>
      </c>
      <c r="L12197" s="18" t="s">
        <v>28</v>
      </c>
      <c r="M12197" s="18" t="s">
        <v>28</v>
      </c>
      <c r="N12197" s="17">
        <v>40331</v>
      </c>
      <c r="O12197" s="15" t="s">
        <v>30</v>
      </c>
      <c r="P12197" s="16" t="s">
        <v>29337</v>
      </c>
      <c r="Q12197" s="15" t="s">
        <v>424</v>
      </c>
      <c r="R12197" s="13" t="str">
        <f>HYPERLINK("https://my.pitchbook.com?c=91062-19T","View Company Online")</f>
        <v>View Company Online</v>
      </c>
    </row>
    <row r="12198" spans="1:18" hidden="1" x14ac:dyDescent="0.3">
      <c r="A12198" s="9" t="s">
        <v>34236</v>
      </c>
      <c r="B12198" s="9" t="s">
        <v>1387</v>
      </c>
      <c r="C12198" s="11" t="s">
        <v>28</v>
      </c>
      <c r="D12198" s="9" t="s">
        <v>1388</v>
      </c>
      <c r="E12198" s="11" t="s">
        <v>28</v>
      </c>
      <c r="F12198" s="10" t="s">
        <v>28</v>
      </c>
      <c r="G12198" s="10">
        <v>100</v>
      </c>
      <c r="H12198" s="10" t="s">
        <v>28</v>
      </c>
      <c r="I12198" s="11" t="s">
        <v>28</v>
      </c>
      <c r="J12198" s="11" t="s">
        <v>28</v>
      </c>
      <c r="K12198" s="11" t="s">
        <v>28</v>
      </c>
      <c r="L12198" s="11" t="s">
        <v>28</v>
      </c>
      <c r="M12198" s="11" t="s">
        <v>28</v>
      </c>
      <c r="N12198" s="8">
        <v>40331</v>
      </c>
      <c r="O12198" s="9" t="s">
        <v>93</v>
      </c>
      <c r="P12198" s="12" t="s">
        <v>34237</v>
      </c>
      <c r="Q12198" s="9" t="s">
        <v>169</v>
      </c>
      <c r="R12198" s="14" t="str">
        <f>HYPERLINK("https://my.pitchbook.com?c=17489-71T","View Company Online")</f>
        <v>View Company Online</v>
      </c>
    </row>
    <row r="12199" spans="1:18" hidden="1" x14ac:dyDescent="0.3">
      <c r="A12199" s="15" t="s">
        <v>34238</v>
      </c>
      <c r="B12199" s="15" t="s">
        <v>34239</v>
      </c>
      <c r="C12199" s="18" t="s">
        <v>28</v>
      </c>
      <c r="D12199" s="15" t="s">
        <v>34240</v>
      </c>
      <c r="E12199" s="18" t="s">
        <v>28</v>
      </c>
      <c r="F12199" s="19">
        <v>62</v>
      </c>
      <c r="G12199" s="19">
        <v>62</v>
      </c>
      <c r="H12199" s="19">
        <v>62</v>
      </c>
      <c r="I12199" s="18" t="s">
        <v>28</v>
      </c>
      <c r="J12199" s="18" t="s">
        <v>28</v>
      </c>
      <c r="K12199" s="18">
        <v>208.62</v>
      </c>
      <c r="L12199" s="18">
        <v>0.3</v>
      </c>
      <c r="M12199" s="18" t="s">
        <v>28</v>
      </c>
      <c r="N12199" s="17">
        <v>40331</v>
      </c>
      <c r="O12199" s="15" t="s">
        <v>30</v>
      </c>
      <c r="P12199" s="16" t="s">
        <v>34241</v>
      </c>
      <c r="Q12199" s="15" t="s">
        <v>5110</v>
      </c>
      <c r="R12199" s="13" t="str">
        <f>HYPERLINK("https://my.pitchbook.com?c=102155-41T","View Company Online")</f>
        <v>View Company Online</v>
      </c>
    </row>
    <row r="12200" spans="1:18" hidden="1" x14ac:dyDescent="0.3">
      <c r="A12200" s="9" t="s">
        <v>34242</v>
      </c>
      <c r="B12200" s="9" t="s">
        <v>34243</v>
      </c>
      <c r="C12200" s="11" t="s">
        <v>28</v>
      </c>
      <c r="D12200" s="9" t="s">
        <v>34244</v>
      </c>
      <c r="E12200" s="11" t="s">
        <v>28</v>
      </c>
      <c r="F12200" s="10" t="s">
        <v>28</v>
      </c>
      <c r="G12200" s="10" t="s">
        <v>28</v>
      </c>
      <c r="H12200" s="10" t="s">
        <v>28</v>
      </c>
      <c r="I12200" s="11" t="s">
        <v>28</v>
      </c>
      <c r="J12200" s="11" t="s">
        <v>28</v>
      </c>
      <c r="K12200" s="11" t="s">
        <v>28</v>
      </c>
      <c r="L12200" s="11" t="s">
        <v>28</v>
      </c>
      <c r="M12200" s="11" t="s">
        <v>28</v>
      </c>
      <c r="N12200" s="8">
        <v>40330</v>
      </c>
      <c r="O12200" s="9" t="s">
        <v>30</v>
      </c>
      <c r="P12200" s="12" t="s">
        <v>31176</v>
      </c>
      <c r="Q12200" s="9" t="s">
        <v>136</v>
      </c>
      <c r="R12200" s="14" t="str">
        <f>HYPERLINK("https://my.pitchbook.com?c=90519-13T","View Company Online")</f>
        <v>View Company Online</v>
      </c>
    </row>
    <row r="12201" spans="1:18" hidden="1" x14ac:dyDescent="0.3">
      <c r="A12201" s="15" t="s">
        <v>34245</v>
      </c>
      <c r="B12201" s="15" t="s">
        <v>20921</v>
      </c>
      <c r="C12201" s="18" t="s">
        <v>28</v>
      </c>
      <c r="D12201" s="15" t="s">
        <v>20922</v>
      </c>
      <c r="E12201" s="18">
        <v>10.94</v>
      </c>
      <c r="F12201" s="19" t="s">
        <v>28</v>
      </c>
      <c r="G12201" s="19">
        <v>26.46</v>
      </c>
      <c r="H12201" s="19" t="s">
        <v>28</v>
      </c>
      <c r="I12201" s="18">
        <v>25.65</v>
      </c>
      <c r="J12201" s="18" t="s">
        <v>28</v>
      </c>
      <c r="K12201" s="18" t="s">
        <v>28</v>
      </c>
      <c r="L12201" s="18" t="s">
        <v>28</v>
      </c>
      <c r="M12201" s="18">
        <v>6.71</v>
      </c>
      <c r="N12201" s="17">
        <v>40330</v>
      </c>
      <c r="O12201" s="15" t="s">
        <v>93</v>
      </c>
      <c r="P12201" s="16" t="s">
        <v>34246</v>
      </c>
      <c r="Q12201" s="15" t="s">
        <v>6878</v>
      </c>
      <c r="R12201" s="13" t="str">
        <f>HYPERLINK("https://my.pitchbook.com?c=103056-58T","View Company Online")</f>
        <v>View Company Online</v>
      </c>
    </row>
    <row r="12202" spans="1:18" hidden="1" x14ac:dyDescent="0.3">
      <c r="A12202" s="9" t="s">
        <v>34247</v>
      </c>
      <c r="B12202" s="9" t="s">
        <v>34248</v>
      </c>
      <c r="C12202" s="11" t="s">
        <v>28</v>
      </c>
      <c r="D12202" s="9" t="s">
        <v>34249</v>
      </c>
      <c r="E12202" s="11" t="s">
        <v>28</v>
      </c>
      <c r="F12202" s="10" t="s">
        <v>28</v>
      </c>
      <c r="G12202" s="10">
        <v>3.25</v>
      </c>
      <c r="H12202" s="10">
        <v>7.22</v>
      </c>
      <c r="I12202" s="11" t="s">
        <v>28</v>
      </c>
      <c r="J12202" s="11" t="s">
        <v>28</v>
      </c>
      <c r="K12202" s="11" t="s">
        <v>28</v>
      </c>
      <c r="L12202" s="11" t="s">
        <v>28</v>
      </c>
      <c r="M12202" s="11" t="s">
        <v>28</v>
      </c>
      <c r="N12202" s="8">
        <v>40330</v>
      </c>
      <c r="O12202" s="9" t="s">
        <v>58</v>
      </c>
      <c r="P12202" s="12" t="s">
        <v>34250</v>
      </c>
      <c r="Q12202" s="9" t="s">
        <v>1793</v>
      </c>
      <c r="R12202" s="14" t="str">
        <f>HYPERLINK("https://my.pitchbook.com?c=169898-68T","View Company Online")</f>
        <v>View Company Online</v>
      </c>
    </row>
    <row r="12203" spans="1:18" hidden="1" x14ac:dyDescent="0.3">
      <c r="A12203" s="15" t="s">
        <v>34251</v>
      </c>
      <c r="B12203" s="15" t="s">
        <v>34252</v>
      </c>
      <c r="C12203" s="18" t="s">
        <v>28</v>
      </c>
      <c r="D12203" s="15" t="s">
        <v>34253</v>
      </c>
      <c r="E12203" s="18" t="s">
        <v>28</v>
      </c>
      <c r="F12203" s="19">
        <v>82.71</v>
      </c>
      <c r="G12203" s="19">
        <v>82.71</v>
      </c>
      <c r="H12203" s="19">
        <v>82.71</v>
      </c>
      <c r="I12203" s="18" t="s">
        <v>28</v>
      </c>
      <c r="J12203" s="18" t="s">
        <v>28</v>
      </c>
      <c r="K12203" s="18" t="s">
        <v>28</v>
      </c>
      <c r="L12203" s="18" t="s">
        <v>28</v>
      </c>
      <c r="M12203" s="18" t="s">
        <v>28</v>
      </c>
      <c r="N12203" s="17">
        <v>40329</v>
      </c>
      <c r="O12203" s="15" t="s">
        <v>30</v>
      </c>
      <c r="P12203" s="16" t="s">
        <v>26221</v>
      </c>
      <c r="Q12203" s="15" t="s">
        <v>114</v>
      </c>
      <c r="R12203" s="13" t="str">
        <f>HYPERLINK("https://my.pitchbook.com?c=92087-11T","View Company Online")</f>
        <v>View Company Online</v>
      </c>
    </row>
    <row r="12204" spans="1:18" hidden="1" x14ac:dyDescent="0.3">
      <c r="A12204" s="9" t="s">
        <v>34254</v>
      </c>
      <c r="B12204" s="9" t="s">
        <v>34255</v>
      </c>
      <c r="C12204" s="11" t="s">
        <v>28</v>
      </c>
      <c r="D12204" s="9" t="s">
        <v>34256</v>
      </c>
      <c r="E12204" s="11" t="s">
        <v>28</v>
      </c>
      <c r="F12204" s="10">
        <v>190.23</v>
      </c>
      <c r="G12204" s="10">
        <v>190.23</v>
      </c>
      <c r="H12204" s="10">
        <v>190.23</v>
      </c>
      <c r="I12204" s="11" t="s">
        <v>28</v>
      </c>
      <c r="J12204" s="11" t="s">
        <v>28</v>
      </c>
      <c r="K12204" s="11" t="s">
        <v>28</v>
      </c>
      <c r="L12204" s="11" t="s">
        <v>28</v>
      </c>
      <c r="M12204" s="11" t="s">
        <v>28</v>
      </c>
      <c r="N12204" s="8">
        <v>40329</v>
      </c>
      <c r="O12204" s="9" t="s">
        <v>30</v>
      </c>
      <c r="P12204" s="12" t="s">
        <v>34257</v>
      </c>
      <c r="Q12204" s="9" t="s">
        <v>75</v>
      </c>
      <c r="R12204" s="14" t="str">
        <f>HYPERLINK("https://my.pitchbook.com?c=218373-76T","View Company Online")</f>
        <v>View Company Online</v>
      </c>
    </row>
    <row r="12205" spans="1:18" hidden="1" x14ac:dyDescent="0.3">
      <c r="A12205" s="15" t="s">
        <v>34258</v>
      </c>
      <c r="B12205" s="15" t="s">
        <v>33627</v>
      </c>
      <c r="C12205" s="18" t="s">
        <v>28</v>
      </c>
      <c r="D12205" s="15" t="s">
        <v>33628</v>
      </c>
      <c r="E12205" s="18" t="s">
        <v>28</v>
      </c>
      <c r="F12205" s="19">
        <v>64.27</v>
      </c>
      <c r="G12205" s="19">
        <v>55.27</v>
      </c>
      <c r="H12205" s="19">
        <v>64.27</v>
      </c>
      <c r="I12205" s="18" t="s">
        <v>28</v>
      </c>
      <c r="J12205" s="18" t="s">
        <v>28</v>
      </c>
      <c r="K12205" s="18" t="s">
        <v>28</v>
      </c>
      <c r="L12205" s="18" t="s">
        <v>28</v>
      </c>
      <c r="M12205" s="18" t="s">
        <v>28</v>
      </c>
      <c r="N12205" s="17">
        <v>40326</v>
      </c>
      <c r="O12205" s="15" t="s">
        <v>41</v>
      </c>
      <c r="P12205" s="16" t="s">
        <v>34259</v>
      </c>
      <c r="Q12205" s="15" t="s">
        <v>69</v>
      </c>
      <c r="R12205" s="13" t="str">
        <f>HYPERLINK("https://my.pitchbook.com?c=109207-09T","View Company Online")</f>
        <v>View Company Online</v>
      </c>
    </row>
    <row r="12206" spans="1:18" hidden="1" x14ac:dyDescent="0.3">
      <c r="A12206" s="9" t="s">
        <v>34260</v>
      </c>
      <c r="B12206" s="9" t="s">
        <v>31742</v>
      </c>
      <c r="C12206" s="11" t="s">
        <v>28</v>
      </c>
      <c r="D12206" s="9" t="s">
        <v>31743</v>
      </c>
      <c r="E12206" s="11" t="s">
        <v>28</v>
      </c>
      <c r="F12206" s="10" t="s">
        <v>28</v>
      </c>
      <c r="G12206" s="10" t="s">
        <v>28</v>
      </c>
      <c r="H12206" s="10" t="s">
        <v>28</v>
      </c>
      <c r="I12206" s="11" t="s">
        <v>28</v>
      </c>
      <c r="J12206" s="11" t="s">
        <v>28</v>
      </c>
      <c r="K12206" s="11">
        <v>10.01</v>
      </c>
      <c r="L12206" s="11" t="s">
        <v>28</v>
      </c>
      <c r="M12206" s="11" t="s">
        <v>28</v>
      </c>
      <c r="N12206" s="8">
        <v>40323</v>
      </c>
      <c r="O12206" s="9" t="s">
        <v>93</v>
      </c>
      <c r="P12206" s="12" t="s">
        <v>34261</v>
      </c>
      <c r="Q12206" s="9" t="s">
        <v>880</v>
      </c>
      <c r="R12206" s="14" t="str">
        <f>HYPERLINK("https://my.pitchbook.com?c=108488-89T","View Company Online")</f>
        <v>View Company Online</v>
      </c>
    </row>
    <row r="12207" spans="1:18" hidden="1" x14ac:dyDescent="0.3">
      <c r="A12207" s="15" t="s">
        <v>34262</v>
      </c>
      <c r="B12207" s="15" t="s">
        <v>1444</v>
      </c>
      <c r="C12207" s="18" t="s">
        <v>28</v>
      </c>
      <c r="D12207" s="15" t="s">
        <v>1445</v>
      </c>
      <c r="E12207" s="18" t="s">
        <v>28</v>
      </c>
      <c r="F12207" s="19" t="s">
        <v>28</v>
      </c>
      <c r="G12207" s="19" t="s">
        <v>28</v>
      </c>
      <c r="H12207" s="19" t="s">
        <v>28</v>
      </c>
      <c r="I12207" s="18" t="s">
        <v>28</v>
      </c>
      <c r="J12207" s="18" t="s">
        <v>28</v>
      </c>
      <c r="K12207" s="18" t="s">
        <v>28</v>
      </c>
      <c r="L12207" s="18" t="s">
        <v>28</v>
      </c>
      <c r="M12207" s="18" t="s">
        <v>28</v>
      </c>
      <c r="N12207" s="17">
        <v>40322</v>
      </c>
      <c r="O12207" s="15" t="s">
        <v>159</v>
      </c>
      <c r="P12207" s="16" t="s">
        <v>34263</v>
      </c>
      <c r="Q12207" s="15" t="s">
        <v>245</v>
      </c>
      <c r="R12207" s="13" t="str">
        <f>HYPERLINK("https://my.pitchbook.com?c=32390-65T","View Company Online")</f>
        <v>View Company Online</v>
      </c>
    </row>
    <row r="12208" spans="1:18" hidden="1" x14ac:dyDescent="0.3">
      <c r="A12208" s="9" t="s">
        <v>34264</v>
      </c>
      <c r="B12208" s="9" t="s">
        <v>34265</v>
      </c>
      <c r="C12208" s="11" t="s">
        <v>28</v>
      </c>
      <c r="D12208" s="9" t="s">
        <v>34266</v>
      </c>
      <c r="E12208" s="11" t="s">
        <v>28</v>
      </c>
      <c r="F12208" s="10" t="s">
        <v>28</v>
      </c>
      <c r="G12208" s="10" t="s">
        <v>28</v>
      </c>
      <c r="H12208" s="10" t="s">
        <v>28</v>
      </c>
      <c r="I12208" s="11" t="s">
        <v>28</v>
      </c>
      <c r="J12208" s="11" t="s">
        <v>28</v>
      </c>
      <c r="K12208" s="11" t="s">
        <v>28</v>
      </c>
      <c r="L12208" s="11" t="s">
        <v>28</v>
      </c>
      <c r="M12208" s="11" t="s">
        <v>28</v>
      </c>
      <c r="N12208" s="8">
        <v>40322</v>
      </c>
      <c r="O12208" s="9" t="s">
        <v>30</v>
      </c>
      <c r="P12208" s="12" t="s">
        <v>34267</v>
      </c>
      <c r="Q12208" s="9" t="s">
        <v>19855</v>
      </c>
      <c r="R12208" s="14" t="str">
        <f>HYPERLINK("https://my.pitchbook.com?c=74846-08T","View Company Online")</f>
        <v>View Company Online</v>
      </c>
    </row>
    <row r="12209" spans="1:18" hidden="1" x14ac:dyDescent="0.3">
      <c r="A12209" s="15" t="s">
        <v>34268</v>
      </c>
      <c r="B12209" s="15" t="s">
        <v>29742</v>
      </c>
      <c r="C12209" s="18" t="s">
        <v>28</v>
      </c>
      <c r="D12209" s="15" t="s">
        <v>29743</v>
      </c>
      <c r="E12209" s="18" t="s">
        <v>28</v>
      </c>
      <c r="F12209" s="19" t="s">
        <v>28</v>
      </c>
      <c r="G12209" s="19">
        <v>12</v>
      </c>
      <c r="H12209" s="19" t="s">
        <v>28</v>
      </c>
      <c r="I12209" s="18" t="s">
        <v>28</v>
      </c>
      <c r="J12209" s="18" t="s">
        <v>28</v>
      </c>
      <c r="K12209" s="18" t="s">
        <v>28</v>
      </c>
      <c r="L12209" s="18" t="s">
        <v>28</v>
      </c>
      <c r="M12209" s="18" t="s">
        <v>28</v>
      </c>
      <c r="N12209" s="17">
        <v>40319</v>
      </c>
      <c r="O12209" s="15" t="s">
        <v>73</v>
      </c>
      <c r="P12209" s="16" t="s">
        <v>34269</v>
      </c>
      <c r="Q12209" s="15" t="s">
        <v>419</v>
      </c>
      <c r="R12209" s="13" t="str">
        <f>HYPERLINK("https://my.pitchbook.com?c=19510-66T","View Company Online")</f>
        <v>View Company Online</v>
      </c>
    </row>
    <row r="12210" spans="1:18" hidden="1" x14ac:dyDescent="0.3">
      <c r="A12210" s="9" t="s">
        <v>34270</v>
      </c>
      <c r="B12210" s="9" t="s">
        <v>34271</v>
      </c>
      <c r="C12210" s="11" t="s">
        <v>28</v>
      </c>
      <c r="D12210" s="9" t="s">
        <v>34272</v>
      </c>
      <c r="E12210" s="11" t="s">
        <v>28</v>
      </c>
      <c r="F12210" s="10">
        <v>33.89</v>
      </c>
      <c r="G12210" s="10">
        <v>33.89</v>
      </c>
      <c r="H12210" s="10">
        <v>33.89</v>
      </c>
      <c r="I12210" s="11" t="s">
        <v>28</v>
      </c>
      <c r="J12210" s="11" t="s">
        <v>28</v>
      </c>
      <c r="K12210" s="11" t="s">
        <v>28</v>
      </c>
      <c r="L12210" s="11" t="s">
        <v>28</v>
      </c>
      <c r="M12210" s="11" t="s">
        <v>28</v>
      </c>
      <c r="N12210" s="8">
        <v>40317</v>
      </c>
      <c r="O12210" s="9" t="s">
        <v>30</v>
      </c>
      <c r="P12210" s="12" t="s">
        <v>14717</v>
      </c>
      <c r="Q12210" s="9" t="s">
        <v>362</v>
      </c>
      <c r="R12210" s="14" t="str">
        <f>HYPERLINK("https://my.pitchbook.com?c=91801-90T","View Company Online")</f>
        <v>View Company Online</v>
      </c>
    </row>
    <row r="12211" spans="1:18" hidden="1" x14ac:dyDescent="0.3">
      <c r="A12211" s="15" t="s">
        <v>34273</v>
      </c>
      <c r="B12211" s="15" t="s">
        <v>34274</v>
      </c>
      <c r="C12211" s="18" t="s">
        <v>28</v>
      </c>
      <c r="D12211" s="15" t="s">
        <v>34275</v>
      </c>
      <c r="E12211" s="18" t="s">
        <v>28</v>
      </c>
      <c r="F12211" s="19" t="s">
        <v>28</v>
      </c>
      <c r="G12211" s="19" t="s">
        <v>28</v>
      </c>
      <c r="H12211" s="19" t="s">
        <v>28</v>
      </c>
      <c r="I12211" s="18" t="s">
        <v>28</v>
      </c>
      <c r="J12211" s="18" t="s">
        <v>28</v>
      </c>
      <c r="K12211" s="18" t="s">
        <v>28</v>
      </c>
      <c r="L12211" s="18" t="s">
        <v>28</v>
      </c>
      <c r="M12211" s="18" t="s">
        <v>28</v>
      </c>
      <c r="N12211" s="17">
        <v>40316</v>
      </c>
      <c r="O12211" s="15" t="s">
        <v>30</v>
      </c>
      <c r="P12211" s="16" t="s">
        <v>34276</v>
      </c>
      <c r="Q12211" s="15" t="s">
        <v>193</v>
      </c>
      <c r="R12211" s="13" t="str">
        <f>HYPERLINK("https://my.pitchbook.com?c=91566-46T","View Company Online")</f>
        <v>View Company Online</v>
      </c>
    </row>
    <row r="12212" spans="1:18" hidden="1" x14ac:dyDescent="0.3">
      <c r="A12212" s="9" t="s">
        <v>34277</v>
      </c>
      <c r="B12212" s="9" t="s">
        <v>32714</v>
      </c>
      <c r="C12212" s="11" t="s">
        <v>28</v>
      </c>
      <c r="D12212" s="9" t="s">
        <v>32715</v>
      </c>
      <c r="E12212" s="11" t="s">
        <v>28</v>
      </c>
      <c r="F12212" s="10" t="s">
        <v>28</v>
      </c>
      <c r="G12212" s="10">
        <v>19.72</v>
      </c>
      <c r="H12212" s="10" t="s">
        <v>28</v>
      </c>
      <c r="I12212" s="11" t="s">
        <v>28</v>
      </c>
      <c r="J12212" s="11" t="s">
        <v>28</v>
      </c>
      <c r="K12212" s="11" t="s">
        <v>28</v>
      </c>
      <c r="L12212" s="11" t="s">
        <v>28</v>
      </c>
      <c r="M12212" s="11" t="s">
        <v>28</v>
      </c>
      <c r="N12212" s="8">
        <v>40315</v>
      </c>
      <c r="O12212" s="9" t="s">
        <v>73</v>
      </c>
      <c r="P12212" s="12" t="s">
        <v>34278</v>
      </c>
      <c r="Q12212" s="9" t="s">
        <v>740</v>
      </c>
      <c r="R12212" s="14" t="str">
        <f>HYPERLINK("https://my.pitchbook.com?c=26024-68T","View Company Online")</f>
        <v>View Company Online</v>
      </c>
    </row>
    <row r="12213" spans="1:18" hidden="1" x14ac:dyDescent="0.3">
      <c r="A12213" s="15" t="s">
        <v>34279</v>
      </c>
      <c r="B12213" s="15" t="s">
        <v>34280</v>
      </c>
      <c r="C12213" s="18" t="s">
        <v>28</v>
      </c>
      <c r="D12213" s="15" t="s">
        <v>34281</v>
      </c>
      <c r="E12213" s="18" t="s">
        <v>28</v>
      </c>
      <c r="F12213" s="19" t="s">
        <v>28</v>
      </c>
      <c r="G12213" s="19" t="s">
        <v>28</v>
      </c>
      <c r="H12213" s="19" t="s">
        <v>28</v>
      </c>
      <c r="I12213" s="18" t="s">
        <v>28</v>
      </c>
      <c r="J12213" s="18" t="s">
        <v>28</v>
      </c>
      <c r="K12213" s="18">
        <v>5.3</v>
      </c>
      <c r="L12213" s="18" t="s">
        <v>28</v>
      </c>
      <c r="M12213" s="18" t="s">
        <v>28</v>
      </c>
      <c r="N12213" s="17">
        <v>40311</v>
      </c>
      <c r="O12213" s="15" t="s">
        <v>30</v>
      </c>
      <c r="P12213" s="16" t="s">
        <v>34282</v>
      </c>
      <c r="Q12213" s="15" t="s">
        <v>245</v>
      </c>
      <c r="R12213" s="13" t="str">
        <f>HYPERLINK("https://my.pitchbook.com?c=91621-00T","View Company Online")</f>
        <v>View Company Online</v>
      </c>
    </row>
    <row r="12214" spans="1:18" hidden="1" x14ac:dyDescent="0.3">
      <c r="A12214" s="9" t="s">
        <v>34283</v>
      </c>
      <c r="B12214" s="9" t="s">
        <v>27883</v>
      </c>
      <c r="C12214" s="11" t="s">
        <v>28</v>
      </c>
      <c r="D12214" s="9" t="s">
        <v>27884</v>
      </c>
      <c r="E12214" s="11">
        <v>121.89</v>
      </c>
      <c r="F12214" s="10" t="s">
        <v>28</v>
      </c>
      <c r="G12214" s="10">
        <v>562.41999999999996</v>
      </c>
      <c r="H12214" s="10">
        <v>4326.34</v>
      </c>
      <c r="I12214" s="11">
        <v>301.25</v>
      </c>
      <c r="J12214" s="11">
        <v>14.36</v>
      </c>
      <c r="K12214" s="11">
        <v>850.28</v>
      </c>
      <c r="L12214" s="11">
        <v>5.09</v>
      </c>
      <c r="M12214" s="11">
        <v>65.849999999999994</v>
      </c>
      <c r="N12214" s="8">
        <v>40310</v>
      </c>
      <c r="O12214" s="9" t="s">
        <v>159</v>
      </c>
      <c r="P12214" s="12" t="s">
        <v>34284</v>
      </c>
      <c r="Q12214" s="9" t="s">
        <v>692</v>
      </c>
      <c r="R12214" s="14" t="str">
        <f>HYPERLINK("https://my.pitchbook.com?c=75716-47T","View Company Online")</f>
        <v>View Company Online</v>
      </c>
    </row>
    <row r="12215" spans="1:18" hidden="1" x14ac:dyDescent="0.3">
      <c r="A12215" s="15" t="s">
        <v>34285</v>
      </c>
      <c r="B12215" s="15" t="s">
        <v>33476</v>
      </c>
      <c r="C12215" s="18" t="s">
        <v>28</v>
      </c>
      <c r="D12215" s="15" t="s">
        <v>33477</v>
      </c>
      <c r="E12215" s="18" t="s">
        <v>28</v>
      </c>
      <c r="F12215" s="19" t="s">
        <v>28</v>
      </c>
      <c r="G12215" s="19">
        <v>28.23</v>
      </c>
      <c r="H12215" s="19" t="s">
        <v>28</v>
      </c>
      <c r="I12215" s="18" t="s">
        <v>28</v>
      </c>
      <c r="J12215" s="18" t="s">
        <v>28</v>
      </c>
      <c r="K12215" s="18" t="s">
        <v>28</v>
      </c>
      <c r="L12215" s="18" t="s">
        <v>28</v>
      </c>
      <c r="M12215" s="18" t="s">
        <v>28</v>
      </c>
      <c r="N12215" s="17">
        <v>40310</v>
      </c>
      <c r="O12215" s="15" t="s">
        <v>93</v>
      </c>
      <c r="P12215" s="16" t="s">
        <v>34286</v>
      </c>
      <c r="Q12215" s="15" t="s">
        <v>37</v>
      </c>
      <c r="R12215" s="13" t="str">
        <f>HYPERLINK("https://my.pitchbook.com?c=33690-34T","View Company Online")</f>
        <v>View Company Online</v>
      </c>
    </row>
    <row r="12216" spans="1:18" hidden="1" x14ac:dyDescent="0.3">
      <c r="A12216" s="9" t="s">
        <v>34287</v>
      </c>
      <c r="B12216" s="9" t="s">
        <v>34288</v>
      </c>
      <c r="C12216" s="11" t="s">
        <v>28</v>
      </c>
      <c r="D12216" s="9" t="s">
        <v>34289</v>
      </c>
      <c r="E12216" s="11" t="s">
        <v>28</v>
      </c>
      <c r="F12216" s="10" t="s">
        <v>28</v>
      </c>
      <c r="G12216" s="10" t="s">
        <v>28</v>
      </c>
      <c r="H12216" s="10" t="s">
        <v>28</v>
      </c>
      <c r="I12216" s="11" t="s">
        <v>28</v>
      </c>
      <c r="J12216" s="11" t="s">
        <v>28</v>
      </c>
      <c r="K12216" s="11" t="s">
        <v>28</v>
      </c>
      <c r="L12216" s="11" t="s">
        <v>28</v>
      </c>
      <c r="M12216" s="11" t="s">
        <v>28</v>
      </c>
      <c r="N12216" s="8">
        <v>40308</v>
      </c>
      <c r="O12216" s="9" t="s">
        <v>93</v>
      </c>
      <c r="P12216" s="12" t="s">
        <v>26122</v>
      </c>
      <c r="Q12216" s="9" t="s">
        <v>299</v>
      </c>
      <c r="R12216" s="14" t="str">
        <f>HYPERLINK("https://my.pitchbook.com?c=98570-80T","View Company Online")</f>
        <v>View Company Online</v>
      </c>
    </row>
    <row r="12217" spans="1:18" hidden="1" x14ac:dyDescent="0.3">
      <c r="A12217" s="15" t="s">
        <v>34290</v>
      </c>
      <c r="B12217" s="15" t="s">
        <v>34291</v>
      </c>
      <c r="C12217" s="18" t="s">
        <v>28</v>
      </c>
      <c r="D12217" s="15" t="s">
        <v>34292</v>
      </c>
      <c r="E12217" s="18" t="s">
        <v>28</v>
      </c>
      <c r="F12217" s="19" t="s">
        <v>28</v>
      </c>
      <c r="G12217" s="19" t="s">
        <v>28</v>
      </c>
      <c r="H12217" s="19" t="s">
        <v>28</v>
      </c>
      <c r="I12217" s="18" t="s">
        <v>28</v>
      </c>
      <c r="J12217" s="18" t="s">
        <v>28</v>
      </c>
      <c r="K12217" s="18" t="s">
        <v>28</v>
      </c>
      <c r="L12217" s="18" t="s">
        <v>28</v>
      </c>
      <c r="M12217" s="18" t="s">
        <v>28</v>
      </c>
      <c r="N12217" s="17">
        <v>40303</v>
      </c>
      <c r="O12217" s="15" t="s">
        <v>30</v>
      </c>
      <c r="P12217" s="16" t="s">
        <v>34293</v>
      </c>
      <c r="Q12217" s="15" t="s">
        <v>880</v>
      </c>
      <c r="R12217" s="13" t="str">
        <f>HYPERLINK("https://my.pitchbook.com?c=91735-66T","View Company Online")</f>
        <v>View Company Online</v>
      </c>
    </row>
    <row r="12218" spans="1:18" hidden="1" x14ac:dyDescent="0.3">
      <c r="A12218" s="9" t="s">
        <v>34294</v>
      </c>
      <c r="B12218" s="9" t="s">
        <v>30743</v>
      </c>
      <c r="C12218" s="11" t="s">
        <v>28</v>
      </c>
      <c r="D12218" s="9" t="s">
        <v>30744</v>
      </c>
      <c r="E12218" s="11" t="s">
        <v>28</v>
      </c>
      <c r="F12218" s="10" t="s">
        <v>28</v>
      </c>
      <c r="G12218" s="10">
        <v>500</v>
      </c>
      <c r="H12218" s="10" t="s">
        <v>28</v>
      </c>
      <c r="I12218" s="11" t="s">
        <v>28</v>
      </c>
      <c r="J12218" s="11" t="s">
        <v>28</v>
      </c>
      <c r="K12218" s="11" t="s">
        <v>28</v>
      </c>
      <c r="L12218" s="11" t="s">
        <v>28</v>
      </c>
      <c r="M12218" s="11" t="s">
        <v>28</v>
      </c>
      <c r="N12218" s="8">
        <v>40301</v>
      </c>
      <c r="O12218" s="9" t="s">
        <v>93</v>
      </c>
      <c r="P12218" s="12" t="s">
        <v>34295</v>
      </c>
      <c r="Q12218" s="9" t="s">
        <v>268</v>
      </c>
      <c r="R12218" s="14" t="str">
        <f>HYPERLINK("https://my.pitchbook.com?c=16621-21T","View Company Online")</f>
        <v>View Company Online</v>
      </c>
    </row>
    <row r="12219" spans="1:18" hidden="1" x14ac:dyDescent="0.3">
      <c r="A12219" s="15" t="s">
        <v>34296</v>
      </c>
      <c r="B12219" s="15" t="s">
        <v>11630</v>
      </c>
      <c r="C12219" s="18" t="s">
        <v>28</v>
      </c>
      <c r="D12219" s="15" t="s">
        <v>20815</v>
      </c>
      <c r="E12219" s="18">
        <v>2539.5700000000002</v>
      </c>
      <c r="F12219" s="19" t="s">
        <v>28</v>
      </c>
      <c r="G12219" s="19">
        <v>400</v>
      </c>
      <c r="H12219" s="19" t="s">
        <v>28</v>
      </c>
      <c r="I12219" s="18">
        <v>3123.56</v>
      </c>
      <c r="J12219" s="18" t="s">
        <v>28</v>
      </c>
      <c r="K12219" s="18">
        <v>9481.66</v>
      </c>
      <c r="L12219" s="18" t="s">
        <v>28</v>
      </c>
      <c r="M12219" s="18">
        <v>220.55</v>
      </c>
      <c r="N12219" s="17">
        <v>40299</v>
      </c>
      <c r="O12219" s="15" t="s">
        <v>159</v>
      </c>
      <c r="P12219" s="16" t="s">
        <v>28</v>
      </c>
      <c r="Q12219" s="15" t="s">
        <v>331</v>
      </c>
      <c r="R12219" s="13" t="str">
        <f>HYPERLINK("https://my.pitchbook.com?c=96509-71T","View Company Online")</f>
        <v>View Company Online</v>
      </c>
    </row>
    <row r="12220" spans="1:18" hidden="1" x14ac:dyDescent="0.3">
      <c r="A12220" s="9" t="s">
        <v>34297</v>
      </c>
      <c r="B12220" s="9" t="s">
        <v>34298</v>
      </c>
      <c r="C12220" s="11" t="s">
        <v>28</v>
      </c>
      <c r="D12220" s="9" t="s">
        <v>34299</v>
      </c>
      <c r="E12220" s="11" t="s">
        <v>28</v>
      </c>
      <c r="F12220" s="10" t="s">
        <v>28</v>
      </c>
      <c r="G12220" s="10" t="s">
        <v>28</v>
      </c>
      <c r="H12220" s="10" t="s">
        <v>28</v>
      </c>
      <c r="I12220" s="11" t="s">
        <v>28</v>
      </c>
      <c r="J12220" s="11" t="s">
        <v>28</v>
      </c>
      <c r="K12220" s="11" t="s">
        <v>28</v>
      </c>
      <c r="L12220" s="11" t="s">
        <v>28</v>
      </c>
      <c r="M12220" s="11" t="s">
        <v>28</v>
      </c>
      <c r="N12220" s="8">
        <v>40299</v>
      </c>
      <c r="O12220" s="9" t="s">
        <v>79</v>
      </c>
      <c r="P12220" s="12" t="s">
        <v>34300</v>
      </c>
      <c r="Q12220" s="9" t="s">
        <v>43</v>
      </c>
      <c r="R12220" s="14" t="str">
        <f>HYPERLINK("https://my.pitchbook.com?c=77721-85T","View Company Online")</f>
        <v>View Company Online</v>
      </c>
    </row>
    <row r="12221" spans="1:18" hidden="1" x14ac:dyDescent="0.3">
      <c r="A12221" s="15" t="s">
        <v>34301</v>
      </c>
      <c r="B12221" s="15" t="s">
        <v>32789</v>
      </c>
      <c r="C12221" s="18" t="s">
        <v>28</v>
      </c>
      <c r="D12221" s="15" t="s">
        <v>32790</v>
      </c>
      <c r="E12221" s="18" t="s">
        <v>28</v>
      </c>
      <c r="F12221" s="19" t="s">
        <v>28</v>
      </c>
      <c r="G12221" s="19" t="s">
        <v>28</v>
      </c>
      <c r="H12221" s="19" t="s">
        <v>28</v>
      </c>
      <c r="I12221" s="18" t="s">
        <v>28</v>
      </c>
      <c r="J12221" s="18" t="s">
        <v>28</v>
      </c>
      <c r="K12221" s="18" t="s">
        <v>28</v>
      </c>
      <c r="L12221" s="18" t="s">
        <v>28</v>
      </c>
      <c r="M12221" s="18" t="s">
        <v>28</v>
      </c>
      <c r="N12221" s="17">
        <v>40299</v>
      </c>
      <c r="O12221" s="15" t="s">
        <v>79</v>
      </c>
      <c r="P12221" s="16" t="s">
        <v>10643</v>
      </c>
      <c r="Q12221" s="15" t="s">
        <v>43</v>
      </c>
      <c r="R12221" s="13" t="str">
        <f>HYPERLINK("https://my.pitchbook.com?c=46621-63T","View Company Online")</f>
        <v>View Company Online</v>
      </c>
    </row>
    <row r="12222" spans="1:18" hidden="1" x14ac:dyDescent="0.3">
      <c r="A12222" s="9" t="s">
        <v>34302</v>
      </c>
      <c r="B12222" s="9" t="s">
        <v>17645</v>
      </c>
      <c r="C12222" s="11" t="s">
        <v>28</v>
      </c>
      <c r="D12222" s="9" t="s">
        <v>17646</v>
      </c>
      <c r="E12222" s="11" t="s">
        <v>28</v>
      </c>
      <c r="F12222" s="10" t="s">
        <v>28</v>
      </c>
      <c r="G12222" s="10">
        <v>71.5</v>
      </c>
      <c r="H12222" s="10">
        <v>357.52</v>
      </c>
      <c r="I12222" s="11" t="s">
        <v>28</v>
      </c>
      <c r="J12222" s="11" t="s">
        <v>28</v>
      </c>
      <c r="K12222" s="11" t="s">
        <v>28</v>
      </c>
      <c r="L12222" s="11" t="s">
        <v>28</v>
      </c>
      <c r="M12222" s="11" t="s">
        <v>28</v>
      </c>
      <c r="N12222" s="8">
        <v>40298</v>
      </c>
      <c r="O12222" s="9" t="s">
        <v>58</v>
      </c>
      <c r="P12222" s="12" t="s">
        <v>6122</v>
      </c>
      <c r="Q12222" s="9" t="s">
        <v>119</v>
      </c>
      <c r="R12222" s="14" t="str">
        <f>HYPERLINK("https://my.pitchbook.com?c=25254-64T","View Company Online")</f>
        <v>View Company Online</v>
      </c>
    </row>
    <row r="12223" spans="1:18" hidden="1" x14ac:dyDescent="0.3">
      <c r="A12223" s="15" t="s">
        <v>34303</v>
      </c>
      <c r="B12223" s="15" t="s">
        <v>34304</v>
      </c>
      <c r="C12223" s="18" t="s">
        <v>28</v>
      </c>
      <c r="D12223" s="15" t="s">
        <v>34305</v>
      </c>
      <c r="E12223" s="18" t="s">
        <v>28</v>
      </c>
      <c r="F12223" s="19" t="s">
        <v>28</v>
      </c>
      <c r="G12223" s="19" t="s">
        <v>28</v>
      </c>
      <c r="H12223" s="19" t="s">
        <v>28</v>
      </c>
      <c r="I12223" s="18" t="s">
        <v>28</v>
      </c>
      <c r="J12223" s="18" t="s">
        <v>28</v>
      </c>
      <c r="K12223" s="18" t="s">
        <v>28</v>
      </c>
      <c r="L12223" s="18" t="s">
        <v>28</v>
      </c>
      <c r="M12223" s="18" t="s">
        <v>28</v>
      </c>
      <c r="N12223" s="17">
        <v>40298</v>
      </c>
      <c r="O12223" s="15" t="s">
        <v>173</v>
      </c>
      <c r="P12223" s="16" t="s">
        <v>28</v>
      </c>
      <c r="Q12223" s="15" t="s">
        <v>174</v>
      </c>
      <c r="R12223" s="13" t="str">
        <f>HYPERLINK("https://my.pitchbook.com?c=223336-99T","View Company Online")</f>
        <v>View Company Online</v>
      </c>
    </row>
    <row r="12224" spans="1:18" hidden="1" x14ac:dyDescent="0.3">
      <c r="A12224" s="9" t="s">
        <v>34306</v>
      </c>
      <c r="B12224" s="9" t="s">
        <v>34307</v>
      </c>
      <c r="C12224" s="11" t="s">
        <v>28</v>
      </c>
      <c r="D12224" s="9" t="s">
        <v>34308</v>
      </c>
      <c r="E12224" s="11" t="s">
        <v>28</v>
      </c>
      <c r="F12224" s="10" t="s">
        <v>28</v>
      </c>
      <c r="G12224" s="10" t="s">
        <v>28</v>
      </c>
      <c r="H12224" s="10" t="s">
        <v>28</v>
      </c>
      <c r="I12224" s="11" t="s">
        <v>28</v>
      </c>
      <c r="J12224" s="11" t="s">
        <v>28</v>
      </c>
      <c r="K12224" s="11" t="s">
        <v>28</v>
      </c>
      <c r="L12224" s="11" t="s">
        <v>28</v>
      </c>
      <c r="M12224" s="11" t="s">
        <v>28</v>
      </c>
      <c r="N12224" s="8">
        <v>40298</v>
      </c>
      <c r="O12224" s="9" t="s">
        <v>173</v>
      </c>
      <c r="P12224" s="12" t="s">
        <v>28</v>
      </c>
      <c r="Q12224" s="9" t="s">
        <v>174</v>
      </c>
      <c r="R12224" s="14" t="str">
        <f>HYPERLINK("https://my.pitchbook.com?c=224027-56T","View Company Online")</f>
        <v>View Company Online</v>
      </c>
    </row>
    <row r="12225" spans="1:18" hidden="1" x14ac:dyDescent="0.3">
      <c r="A12225" s="15" t="s">
        <v>34309</v>
      </c>
      <c r="B12225" s="15" t="s">
        <v>34310</v>
      </c>
      <c r="C12225" s="18" t="s">
        <v>28</v>
      </c>
      <c r="D12225" s="15" t="s">
        <v>34311</v>
      </c>
      <c r="E12225" s="18" t="s">
        <v>28</v>
      </c>
      <c r="F12225" s="19" t="s">
        <v>28</v>
      </c>
      <c r="G12225" s="19" t="s">
        <v>28</v>
      </c>
      <c r="H12225" s="19" t="s">
        <v>28</v>
      </c>
      <c r="I12225" s="18" t="s">
        <v>28</v>
      </c>
      <c r="J12225" s="18" t="s">
        <v>28</v>
      </c>
      <c r="K12225" s="18" t="s">
        <v>28</v>
      </c>
      <c r="L12225" s="18" t="s">
        <v>28</v>
      </c>
      <c r="M12225" s="18" t="s">
        <v>28</v>
      </c>
      <c r="N12225" s="17">
        <v>40297</v>
      </c>
      <c r="O12225" s="15" t="s">
        <v>173</v>
      </c>
      <c r="P12225" s="16" t="s">
        <v>28</v>
      </c>
      <c r="Q12225" s="15" t="s">
        <v>174</v>
      </c>
      <c r="R12225" s="13" t="str">
        <f>HYPERLINK("https://my.pitchbook.com?c=224017-12T","View Company Online")</f>
        <v>View Company Online</v>
      </c>
    </row>
    <row r="12226" spans="1:18" hidden="1" x14ac:dyDescent="0.3">
      <c r="A12226" s="9" t="s">
        <v>34312</v>
      </c>
      <c r="B12226" s="9" t="s">
        <v>34313</v>
      </c>
      <c r="C12226" s="11" t="s">
        <v>28</v>
      </c>
      <c r="D12226" s="9" t="s">
        <v>34314</v>
      </c>
      <c r="E12226" s="11" t="s">
        <v>28</v>
      </c>
      <c r="F12226" s="10">
        <v>5.35</v>
      </c>
      <c r="G12226" s="10">
        <v>5.35</v>
      </c>
      <c r="H12226" s="10">
        <v>5.35</v>
      </c>
      <c r="I12226" s="11" t="s">
        <v>28</v>
      </c>
      <c r="J12226" s="11" t="s">
        <v>28</v>
      </c>
      <c r="K12226" s="11" t="s">
        <v>28</v>
      </c>
      <c r="L12226" s="11" t="s">
        <v>28</v>
      </c>
      <c r="M12226" s="11" t="s">
        <v>28</v>
      </c>
      <c r="N12226" s="8">
        <v>40297</v>
      </c>
      <c r="O12226" s="9" t="s">
        <v>30</v>
      </c>
      <c r="P12226" s="12" t="s">
        <v>34315</v>
      </c>
      <c r="Q12226" s="9" t="s">
        <v>37</v>
      </c>
      <c r="R12226" s="14" t="str">
        <f>HYPERLINK("https://my.pitchbook.com?c=91733-77T","View Company Online")</f>
        <v>View Company Online</v>
      </c>
    </row>
    <row r="12227" spans="1:18" hidden="1" x14ac:dyDescent="0.3">
      <c r="A12227" s="15" t="s">
        <v>34316</v>
      </c>
      <c r="B12227" s="15" t="s">
        <v>34317</v>
      </c>
      <c r="C12227" s="18" t="s">
        <v>28</v>
      </c>
      <c r="D12227" s="15" t="s">
        <v>34318</v>
      </c>
      <c r="E12227" s="18" t="s">
        <v>28</v>
      </c>
      <c r="F12227" s="19" t="s">
        <v>28</v>
      </c>
      <c r="G12227" s="19">
        <v>56.36</v>
      </c>
      <c r="H12227" s="19">
        <v>56.36</v>
      </c>
      <c r="I12227" s="18" t="s">
        <v>28</v>
      </c>
      <c r="J12227" s="18" t="s">
        <v>28</v>
      </c>
      <c r="K12227" s="18" t="s">
        <v>28</v>
      </c>
      <c r="L12227" s="18" t="s">
        <v>28</v>
      </c>
      <c r="M12227" s="18" t="s">
        <v>28</v>
      </c>
      <c r="N12227" s="17">
        <v>40297</v>
      </c>
      <c r="O12227" s="15" t="s">
        <v>30</v>
      </c>
      <c r="P12227" s="16" t="s">
        <v>26466</v>
      </c>
      <c r="Q12227" s="15" t="s">
        <v>188</v>
      </c>
      <c r="R12227" s="13" t="str">
        <f>HYPERLINK("https://my.pitchbook.com?c=92378-35T","View Company Online")</f>
        <v>View Company Online</v>
      </c>
    </row>
    <row r="12228" spans="1:18" hidden="1" x14ac:dyDescent="0.3">
      <c r="A12228" s="9" t="s">
        <v>34319</v>
      </c>
      <c r="B12228" s="9" t="s">
        <v>34320</v>
      </c>
      <c r="C12228" s="11" t="s">
        <v>28</v>
      </c>
      <c r="D12228" s="9" t="s">
        <v>34321</v>
      </c>
      <c r="E12228" s="11" t="s">
        <v>28</v>
      </c>
      <c r="F12228" s="10" t="s">
        <v>28</v>
      </c>
      <c r="G12228" s="10" t="s">
        <v>28</v>
      </c>
      <c r="H12228" s="10" t="s">
        <v>28</v>
      </c>
      <c r="I12228" s="11" t="s">
        <v>28</v>
      </c>
      <c r="J12228" s="11" t="s">
        <v>28</v>
      </c>
      <c r="K12228" s="11" t="s">
        <v>28</v>
      </c>
      <c r="L12228" s="11" t="s">
        <v>28</v>
      </c>
      <c r="M12228" s="11" t="s">
        <v>28</v>
      </c>
      <c r="N12228" s="8">
        <v>40296</v>
      </c>
      <c r="O12228" s="9" t="s">
        <v>30</v>
      </c>
      <c r="P12228" s="12" t="s">
        <v>34322</v>
      </c>
      <c r="Q12228" s="9" t="s">
        <v>245</v>
      </c>
      <c r="R12228" s="14" t="str">
        <f>HYPERLINK("https://my.pitchbook.com?c=91468-90T","View Company Online")</f>
        <v>View Company Online</v>
      </c>
    </row>
    <row r="12229" spans="1:18" hidden="1" x14ac:dyDescent="0.3">
      <c r="A12229" s="15" t="s">
        <v>34323</v>
      </c>
      <c r="B12229" s="15" t="s">
        <v>17601</v>
      </c>
      <c r="C12229" s="18" t="s">
        <v>28</v>
      </c>
      <c r="D12229" s="15" t="s">
        <v>30074</v>
      </c>
      <c r="E12229" s="18">
        <v>486.81</v>
      </c>
      <c r="F12229" s="19" t="s">
        <v>28</v>
      </c>
      <c r="G12229" s="19" t="s">
        <v>28</v>
      </c>
      <c r="H12229" s="19" t="s">
        <v>28</v>
      </c>
      <c r="I12229" s="18">
        <v>926.63</v>
      </c>
      <c r="J12229" s="18" t="s">
        <v>28</v>
      </c>
      <c r="K12229" s="18">
        <v>1651.63</v>
      </c>
      <c r="L12229" s="18" t="s">
        <v>28</v>
      </c>
      <c r="M12229" s="18">
        <v>137.31</v>
      </c>
      <c r="N12229" s="17">
        <v>40294</v>
      </c>
      <c r="O12229" s="15" t="s">
        <v>173</v>
      </c>
      <c r="P12229" s="16" t="s">
        <v>28</v>
      </c>
      <c r="Q12229" s="15" t="s">
        <v>5633</v>
      </c>
      <c r="R12229" s="13" t="str">
        <f>HYPERLINK("https://my.pitchbook.com?c=119835-37T","View Company Online")</f>
        <v>View Company Online</v>
      </c>
    </row>
    <row r="12230" spans="1:18" hidden="1" x14ac:dyDescent="0.3">
      <c r="A12230" s="9" t="s">
        <v>34324</v>
      </c>
      <c r="B12230" s="9" t="s">
        <v>34325</v>
      </c>
      <c r="C12230" s="11" t="s">
        <v>28</v>
      </c>
      <c r="D12230" s="9" t="s">
        <v>34326</v>
      </c>
      <c r="E12230" s="11" t="s">
        <v>28</v>
      </c>
      <c r="F12230" s="10">
        <v>37.049999999999997</v>
      </c>
      <c r="G12230" s="10">
        <v>37.049999999999997</v>
      </c>
      <c r="H12230" s="10">
        <v>37.049999999999997</v>
      </c>
      <c r="I12230" s="11" t="s">
        <v>28</v>
      </c>
      <c r="J12230" s="11" t="s">
        <v>28</v>
      </c>
      <c r="K12230" s="11">
        <v>54.05</v>
      </c>
      <c r="L12230" s="11">
        <v>0.69</v>
      </c>
      <c r="M12230" s="11" t="s">
        <v>28</v>
      </c>
      <c r="N12230" s="8">
        <v>40292</v>
      </c>
      <c r="O12230" s="9" t="s">
        <v>30</v>
      </c>
      <c r="P12230" s="12" t="s">
        <v>21461</v>
      </c>
      <c r="Q12230" s="9" t="s">
        <v>245</v>
      </c>
      <c r="R12230" s="14" t="str">
        <f>HYPERLINK("https://my.pitchbook.com?c=73474-57T","View Company Online")</f>
        <v>View Company Online</v>
      </c>
    </row>
    <row r="12231" spans="1:18" hidden="1" x14ac:dyDescent="0.3">
      <c r="A12231" s="15" t="s">
        <v>34327</v>
      </c>
      <c r="B12231" s="15" t="s">
        <v>34328</v>
      </c>
      <c r="C12231" s="18" t="s">
        <v>28</v>
      </c>
      <c r="D12231" s="15" t="s">
        <v>34329</v>
      </c>
      <c r="E12231" s="18" t="s">
        <v>28</v>
      </c>
      <c r="F12231" s="19">
        <v>54.18</v>
      </c>
      <c r="G12231" s="19">
        <v>54.18</v>
      </c>
      <c r="H12231" s="19">
        <v>54.18</v>
      </c>
      <c r="I12231" s="18" t="s">
        <v>28</v>
      </c>
      <c r="J12231" s="18" t="s">
        <v>28</v>
      </c>
      <c r="K12231" s="18" t="s">
        <v>28</v>
      </c>
      <c r="L12231" s="18" t="s">
        <v>28</v>
      </c>
      <c r="M12231" s="18" t="s">
        <v>28</v>
      </c>
      <c r="N12231" s="17">
        <v>40288</v>
      </c>
      <c r="O12231" s="15" t="s">
        <v>30</v>
      </c>
      <c r="P12231" s="16" t="s">
        <v>26287</v>
      </c>
      <c r="Q12231" s="15" t="s">
        <v>119</v>
      </c>
      <c r="R12231" s="13" t="str">
        <f>HYPERLINK("https://my.pitchbook.com?c=91469-35T","View Company Online")</f>
        <v>View Company Online</v>
      </c>
    </row>
    <row r="12232" spans="1:18" hidden="1" x14ac:dyDescent="0.3">
      <c r="A12232" s="9" t="s">
        <v>34330</v>
      </c>
      <c r="B12232" s="9" t="s">
        <v>34331</v>
      </c>
      <c r="C12232" s="11" t="s">
        <v>28</v>
      </c>
      <c r="D12232" s="9" t="s">
        <v>34332</v>
      </c>
      <c r="E12232" s="11" t="s">
        <v>28</v>
      </c>
      <c r="F12232" s="10">
        <v>405</v>
      </c>
      <c r="G12232" s="10">
        <v>405</v>
      </c>
      <c r="H12232" s="10">
        <v>405</v>
      </c>
      <c r="I12232" s="11" t="s">
        <v>28</v>
      </c>
      <c r="J12232" s="11" t="s">
        <v>28</v>
      </c>
      <c r="K12232" s="11" t="s">
        <v>28</v>
      </c>
      <c r="L12232" s="11" t="s">
        <v>28</v>
      </c>
      <c r="M12232" s="11" t="s">
        <v>28</v>
      </c>
      <c r="N12232" s="8">
        <v>40288</v>
      </c>
      <c r="O12232" s="9" t="s">
        <v>30</v>
      </c>
      <c r="P12232" s="12" t="s">
        <v>34333</v>
      </c>
      <c r="Q12232" s="9" t="s">
        <v>64</v>
      </c>
      <c r="R12232" s="14" t="str">
        <f>HYPERLINK("https://my.pitchbook.com?c=92092-42T","View Company Online")</f>
        <v>View Company Online</v>
      </c>
    </row>
    <row r="12233" spans="1:18" hidden="1" x14ac:dyDescent="0.3">
      <c r="A12233" s="15" t="s">
        <v>34334</v>
      </c>
      <c r="B12233" s="15" t="s">
        <v>34335</v>
      </c>
      <c r="C12233" s="18" t="s">
        <v>28</v>
      </c>
      <c r="D12233" s="15" t="s">
        <v>34336</v>
      </c>
      <c r="E12233" s="18" t="s">
        <v>28</v>
      </c>
      <c r="F12233" s="19">
        <v>48.28</v>
      </c>
      <c r="G12233" s="19">
        <v>48.28</v>
      </c>
      <c r="H12233" s="19">
        <v>48.28</v>
      </c>
      <c r="I12233" s="18" t="s">
        <v>28</v>
      </c>
      <c r="J12233" s="18" t="s">
        <v>28</v>
      </c>
      <c r="K12233" s="18" t="s">
        <v>28</v>
      </c>
      <c r="L12233" s="18" t="s">
        <v>28</v>
      </c>
      <c r="M12233" s="18" t="s">
        <v>28</v>
      </c>
      <c r="N12233" s="17">
        <v>40288</v>
      </c>
      <c r="O12233" s="15" t="s">
        <v>30</v>
      </c>
      <c r="P12233" s="16" t="s">
        <v>26287</v>
      </c>
      <c r="Q12233" s="15" t="s">
        <v>5347</v>
      </c>
      <c r="R12233" s="13" t="str">
        <f>HYPERLINK("https://my.pitchbook.com?c=46410-40T","View Company Online")</f>
        <v>View Company Online</v>
      </c>
    </row>
    <row r="12234" spans="1:18" hidden="1" x14ac:dyDescent="0.3">
      <c r="A12234" s="9" t="s">
        <v>34337</v>
      </c>
      <c r="B12234" s="9" t="s">
        <v>2178</v>
      </c>
      <c r="C12234" s="11" t="s">
        <v>28</v>
      </c>
      <c r="D12234" s="9" t="s">
        <v>2179</v>
      </c>
      <c r="E12234" s="11" t="s">
        <v>28</v>
      </c>
      <c r="F12234" s="10">
        <v>61.67</v>
      </c>
      <c r="G12234" s="10">
        <v>55.16</v>
      </c>
      <c r="H12234" s="10">
        <v>61.67</v>
      </c>
      <c r="I12234" s="11" t="s">
        <v>28</v>
      </c>
      <c r="J12234" s="11" t="s">
        <v>28</v>
      </c>
      <c r="K12234" s="11">
        <v>70.06</v>
      </c>
      <c r="L12234" s="11">
        <v>0.88</v>
      </c>
      <c r="M12234" s="11" t="s">
        <v>28</v>
      </c>
      <c r="N12234" s="8">
        <v>40287</v>
      </c>
      <c r="O12234" s="9" t="s">
        <v>30</v>
      </c>
      <c r="P12234" s="12" t="s">
        <v>9273</v>
      </c>
      <c r="Q12234" s="9" t="s">
        <v>2181</v>
      </c>
      <c r="R12234" s="14" t="str">
        <f>HYPERLINK("https://my.pitchbook.com?c=209166-49T","View Company Online")</f>
        <v>View Company Online</v>
      </c>
    </row>
    <row r="12235" spans="1:18" hidden="1" x14ac:dyDescent="0.3">
      <c r="A12235" s="15" t="s">
        <v>34338</v>
      </c>
      <c r="B12235" s="15" t="s">
        <v>34339</v>
      </c>
      <c r="C12235" s="18" t="s">
        <v>28</v>
      </c>
      <c r="D12235" s="15" t="s">
        <v>34340</v>
      </c>
      <c r="E12235" s="18" t="s">
        <v>28</v>
      </c>
      <c r="F12235" s="19" t="s">
        <v>28</v>
      </c>
      <c r="G12235" s="19" t="s">
        <v>28</v>
      </c>
      <c r="H12235" s="19" t="s">
        <v>28</v>
      </c>
      <c r="I12235" s="18" t="s">
        <v>28</v>
      </c>
      <c r="J12235" s="18" t="s">
        <v>28</v>
      </c>
      <c r="K12235" s="18" t="s">
        <v>28</v>
      </c>
      <c r="L12235" s="18" t="s">
        <v>28</v>
      </c>
      <c r="M12235" s="18" t="s">
        <v>28</v>
      </c>
      <c r="N12235" s="17">
        <v>40287</v>
      </c>
      <c r="O12235" s="15" t="s">
        <v>41</v>
      </c>
      <c r="P12235" s="16" t="s">
        <v>34341</v>
      </c>
      <c r="Q12235" s="15" t="s">
        <v>414</v>
      </c>
      <c r="R12235" s="13" t="str">
        <f>HYPERLINK("https://my.pitchbook.com?c=75062-08T","View Company Online")</f>
        <v>View Company Online</v>
      </c>
    </row>
    <row r="12236" spans="1:18" hidden="1" x14ac:dyDescent="0.3">
      <c r="A12236" s="9" t="s">
        <v>34342</v>
      </c>
      <c r="B12236" s="9" t="s">
        <v>34343</v>
      </c>
      <c r="C12236" s="11" t="s">
        <v>28</v>
      </c>
      <c r="D12236" s="9" t="s">
        <v>34344</v>
      </c>
      <c r="E12236" s="11">
        <v>67.41</v>
      </c>
      <c r="F12236" s="10" t="s">
        <v>28</v>
      </c>
      <c r="G12236" s="10">
        <v>334.75</v>
      </c>
      <c r="H12236" s="10" t="s">
        <v>28</v>
      </c>
      <c r="I12236" s="11">
        <v>88.13</v>
      </c>
      <c r="J12236" s="11" t="s">
        <v>28</v>
      </c>
      <c r="K12236" s="11">
        <v>257.57</v>
      </c>
      <c r="L12236" s="11" t="s">
        <v>28</v>
      </c>
      <c r="M12236" s="11">
        <v>45.01</v>
      </c>
      <c r="N12236" s="8">
        <v>40284</v>
      </c>
      <c r="O12236" s="9" t="s">
        <v>173</v>
      </c>
      <c r="P12236" s="12" t="s">
        <v>28</v>
      </c>
      <c r="Q12236" s="9" t="s">
        <v>299</v>
      </c>
      <c r="R12236" s="14" t="str">
        <f>HYPERLINK("https://my.pitchbook.com?c=110646-10T","View Company Online")</f>
        <v>View Company Online</v>
      </c>
    </row>
    <row r="12237" spans="1:18" hidden="1" x14ac:dyDescent="0.3">
      <c r="A12237" s="15" t="s">
        <v>34345</v>
      </c>
      <c r="B12237" s="15" t="s">
        <v>34346</v>
      </c>
      <c r="C12237" s="18" t="s">
        <v>28</v>
      </c>
      <c r="D12237" s="15" t="s">
        <v>34347</v>
      </c>
      <c r="E12237" s="18">
        <v>113.5</v>
      </c>
      <c r="F12237" s="19" t="s">
        <v>28</v>
      </c>
      <c r="G12237" s="19" t="s">
        <v>28</v>
      </c>
      <c r="H12237" s="19" t="s">
        <v>28</v>
      </c>
      <c r="I12237" s="18" t="s">
        <v>28</v>
      </c>
      <c r="J12237" s="18" t="s">
        <v>28</v>
      </c>
      <c r="K12237" s="18">
        <v>711.04</v>
      </c>
      <c r="L12237" s="18" t="s">
        <v>28</v>
      </c>
      <c r="M12237" s="18">
        <v>88.35</v>
      </c>
      <c r="N12237" s="17">
        <v>40283</v>
      </c>
      <c r="O12237" s="15" t="s">
        <v>423</v>
      </c>
      <c r="P12237" s="16" t="s">
        <v>28</v>
      </c>
      <c r="Q12237" s="15" t="s">
        <v>299</v>
      </c>
      <c r="R12237" s="13" t="str">
        <f>HYPERLINK("https://my.pitchbook.com?c=102161-62T","View Company Online")</f>
        <v>View Company Online</v>
      </c>
    </row>
    <row r="12238" spans="1:18" hidden="1" x14ac:dyDescent="0.3">
      <c r="A12238" s="9" t="s">
        <v>34348</v>
      </c>
      <c r="B12238" s="9" t="s">
        <v>34349</v>
      </c>
      <c r="C12238" s="11" t="s">
        <v>28</v>
      </c>
      <c r="D12238" s="9" t="s">
        <v>34350</v>
      </c>
      <c r="E12238" s="11" t="s">
        <v>28</v>
      </c>
      <c r="F12238" s="10">
        <v>77.349999999999994</v>
      </c>
      <c r="G12238" s="10">
        <v>77.349999999999994</v>
      </c>
      <c r="H12238" s="10">
        <v>77.349999999999994</v>
      </c>
      <c r="I12238" s="11" t="s">
        <v>28</v>
      </c>
      <c r="J12238" s="11" t="s">
        <v>28</v>
      </c>
      <c r="K12238" s="11" t="s">
        <v>28</v>
      </c>
      <c r="L12238" s="11" t="s">
        <v>28</v>
      </c>
      <c r="M12238" s="11" t="s">
        <v>28</v>
      </c>
      <c r="N12238" s="8">
        <v>40281</v>
      </c>
      <c r="O12238" s="9" t="s">
        <v>30</v>
      </c>
      <c r="P12238" s="12" t="s">
        <v>34351</v>
      </c>
      <c r="Q12238" s="9" t="s">
        <v>975</v>
      </c>
      <c r="R12238" s="14" t="str">
        <f>HYPERLINK("https://my.pitchbook.com?c=91625-77T","View Company Online")</f>
        <v>View Company Online</v>
      </c>
    </row>
    <row r="12239" spans="1:18" hidden="1" x14ac:dyDescent="0.3">
      <c r="A12239" s="15" t="s">
        <v>34352</v>
      </c>
      <c r="B12239" s="15" t="s">
        <v>34353</v>
      </c>
      <c r="C12239" s="18" t="s">
        <v>28</v>
      </c>
      <c r="D12239" s="15" t="s">
        <v>34354</v>
      </c>
      <c r="E12239" s="18" t="s">
        <v>28</v>
      </c>
      <c r="F12239" s="19" t="s">
        <v>28</v>
      </c>
      <c r="G12239" s="19" t="s">
        <v>28</v>
      </c>
      <c r="H12239" s="19" t="s">
        <v>28</v>
      </c>
      <c r="I12239" s="18" t="s">
        <v>28</v>
      </c>
      <c r="J12239" s="18" t="s">
        <v>28</v>
      </c>
      <c r="K12239" s="18" t="s">
        <v>28</v>
      </c>
      <c r="L12239" s="18" t="s">
        <v>28</v>
      </c>
      <c r="M12239" s="18" t="s">
        <v>28</v>
      </c>
      <c r="N12239" s="17">
        <v>40277</v>
      </c>
      <c r="O12239" s="15" t="s">
        <v>30</v>
      </c>
      <c r="P12239" s="16" t="s">
        <v>34355</v>
      </c>
      <c r="Q12239" s="15" t="s">
        <v>18014</v>
      </c>
      <c r="R12239" s="13" t="str">
        <f>HYPERLINK("https://my.pitchbook.com?c=219124-18T","View Company Online")</f>
        <v>View Company Online</v>
      </c>
    </row>
    <row r="12240" spans="1:18" hidden="1" x14ac:dyDescent="0.3">
      <c r="A12240" s="9" t="s">
        <v>34356</v>
      </c>
      <c r="B12240" s="9" t="s">
        <v>24790</v>
      </c>
      <c r="C12240" s="11" t="s">
        <v>28</v>
      </c>
      <c r="D12240" s="9" t="s">
        <v>24791</v>
      </c>
      <c r="E12240" s="11" t="s">
        <v>28</v>
      </c>
      <c r="F12240" s="10">
        <v>28</v>
      </c>
      <c r="G12240" s="10">
        <v>28</v>
      </c>
      <c r="H12240" s="10">
        <v>28</v>
      </c>
      <c r="I12240" s="11" t="s">
        <v>28</v>
      </c>
      <c r="J12240" s="11" t="s">
        <v>28</v>
      </c>
      <c r="K12240" s="11" t="s">
        <v>28</v>
      </c>
      <c r="L12240" s="11" t="s">
        <v>28</v>
      </c>
      <c r="M12240" s="11" t="s">
        <v>28</v>
      </c>
      <c r="N12240" s="8">
        <v>40275</v>
      </c>
      <c r="O12240" s="9" t="s">
        <v>30</v>
      </c>
      <c r="P12240" s="12" t="s">
        <v>34357</v>
      </c>
      <c r="Q12240" s="9" t="s">
        <v>24136</v>
      </c>
      <c r="R12240" s="14" t="str">
        <f>HYPERLINK("https://my.pitchbook.com?c=92342-71T","View Company Online")</f>
        <v>View Company Online</v>
      </c>
    </row>
    <row r="12241" spans="1:18" hidden="1" x14ac:dyDescent="0.3">
      <c r="A12241" s="15" t="s">
        <v>34358</v>
      </c>
      <c r="B12241" s="15" t="s">
        <v>34359</v>
      </c>
      <c r="C12241" s="18" t="s">
        <v>28</v>
      </c>
      <c r="D12241" s="15" t="s">
        <v>34360</v>
      </c>
      <c r="E12241" s="18" t="s">
        <v>28</v>
      </c>
      <c r="F12241" s="19" t="s">
        <v>28</v>
      </c>
      <c r="G12241" s="19" t="s">
        <v>28</v>
      </c>
      <c r="H12241" s="19" t="s">
        <v>28</v>
      </c>
      <c r="I12241" s="18" t="s">
        <v>28</v>
      </c>
      <c r="J12241" s="18" t="s">
        <v>28</v>
      </c>
      <c r="K12241" s="18" t="s">
        <v>28</v>
      </c>
      <c r="L12241" s="18" t="s">
        <v>28</v>
      </c>
      <c r="M12241" s="18" t="s">
        <v>28</v>
      </c>
      <c r="N12241" s="17">
        <v>40274</v>
      </c>
      <c r="O12241" s="15" t="s">
        <v>30</v>
      </c>
      <c r="P12241" s="16" t="s">
        <v>2951</v>
      </c>
      <c r="Q12241" s="15" t="s">
        <v>19850</v>
      </c>
      <c r="R12241" s="13" t="str">
        <f>HYPERLINK("https://my.pitchbook.com?c=91628-47T","View Company Online")</f>
        <v>View Company Online</v>
      </c>
    </row>
    <row r="12242" spans="1:18" hidden="1" x14ac:dyDescent="0.3">
      <c r="A12242" s="9" t="s">
        <v>34361</v>
      </c>
      <c r="B12242" s="9" t="s">
        <v>33022</v>
      </c>
      <c r="C12242" s="11" t="s">
        <v>28</v>
      </c>
      <c r="D12242" s="9" t="s">
        <v>33023</v>
      </c>
      <c r="E12242" s="11" t="s">
        <v>28</v>
      </c>
      <c r="F12242" s="10" t="s">
        <v>28</v>
      </c>
      <c r="G12242" s="10">
        <v>0.4</v>
      </c>
      <c r="H12242" s="10" t="s">
        <v>28</v>
      </c>
      <c r="I12242" s="11" t="s">
        <v>28</v>
      </c>
      <c r="J12242" s="11" t="s">
        <v>28</v>
      </c>
      <c r="K12242" s="11" t="s">
        <v>28</v>
      </c>
      <c r="L12242" s="11" t="s">
        <v>28</v>
      </c>
      <c r="M12242" s="11" t="s">
        <v>28</v>
      </c>
      <c r="N12242" s="8">
        <v>40269</v>
      </c>
      <c r="O12242" s="9" t="s">
        <v>379</v>
      </c>
      <c r="P12242" s="12" t="s">
        <v>34362</v>
      </c>
      <c r="Q12242" s="9" t="s">
        <v>43</v>
      </c>
      <c r="R12242" s="14" t="str">
        <f>HYPERLINK("https://my.pitchbook.com?c=21198-79T","View Company Online")</f>
        <v>View Company Online</v>
      </c>
    </row>
    <row r="12243" spans="1:18" hidden="1" x14ac:dyDescent="0.3">
      <c r="A12243" s="15" t="s">
        <v>34363</v>
      </c>
      <c r="B12243" s="15" t="s">
        <v>23353</v>
      </c>
      <c r="C12243" s="18" t="s">
        <v>28</v>
      </c>
      <c r="D12243" s="15" t="s">
        <v>26303</v>
      </c>
      <c r="E12243" s="18">
        <v>344.73</v>
      </c>
      <c r="F12243" s="19" t="s">
        <v>28</v>
      </c>
      <c r="G12243" s="19">
        <v>762.2</v>
      </c>
      <c r="H12243" s="19" t="s">
        <v>28</v>
      </c>
      <c r="I12243" s="18">
        <v>450.22</v>
      </c>
      <c r="J12243" s="18" t="s">
        <v>28</v>
      </c>
      <c r="K12243" s="18">
        <v>611.47</v>
      </c>
      <c r="L12243" s="18" t="s">
        <v>28</v>
      </c>
      <c r="M12243" s="18">
        <v>270.44</v>
      </c>
      <c r="N12243" s="17">
        <v>40269</v>
      </c>
      <c r="O12243" s="15" t="s">
        <v>173</v>
      </c>
      <c r="P12243" s="16" t="s">
        <v>28</v>
      </c>
      <c r="Q12243" s="15" t="s">
        <v>5347</v>
      </c>
      <c r="R12243" s="13" t="str">
        <f>HYPERLINK("https://my.pitchbook.com?c=62243-20T","View Company Online")</f>
        <v>View Company Online</v>
      </c>
    </row>
    <row r="12244" spans="1:18" hidden="1" x14ac:dyDescent="0.3">
      <c r="A12244" s="9" t="s">
        <v>34364</v>
      </c>
      <c r="B12244" s="9" t="s">
        <v>34365</v>
      </c>
      <c r="C12244" s="11" t="s">
        <v>28</v>
      </c>
      <c r="D12244" s="9" t="s">
        <v>34366</v>
      </c>
      <c r="E12244" s="11" t="s">
        <v>28</v>
      </c>
      <c r="F12244" s="10" t="s">
        <v>28</v>
      </c>
      <c r="G12244" s="10" t="s">
        <v>28</v>
      </c>
      <c r="H12244" s="10" t="s">
        <v>28</v>
      </c>
      <c r="I12244" s="11" t="s">
        <v>28</v>
      </c>
      <c r="J12244" s="11" t="s">
        <v>28</v>
      </c>
      <c r="K12244" s="11">
        <v>26.02</v>
      </c>
      <c r="L12244" s="11" t="s">
        <v>28</v>
      </c>
      <c r="M12244" s="11" t="s">
        <v>28</v>
      </c>
      <c r="N12244" s="8">
        <v>40268</v>
      </c>
      <c r="O12244" s="9" t="s">
        <v>93</v>
      </c>
      <c r="P12244" s="12" t="s">
        <v>34367</v>
      </c>
      <c r="Q12244" s="9" t="s">
        <v>5347</v>
      </c>
      <c r="R12244" s="14" t="str">
        <f>HYPERLINK("https://my.pitchbook.com?c=73530-55T","View Company Online")</f>
        <v>View Company Online</v>
      </c>
    </row>
    <row r="12245" spans="1:18" hidden="1" x14ac:dyDescent="0.3">
      <c r="A12245" s="15" t="s">
        <v>34368</v>
      </c>
      <c r="B12245" s="15" t="s">
        <v>34369</v>
      </c>
      <c r="C12245" s="18" t="s">
        <v>28</v>
      </c>
      <c r="D12245" s="15" t="s">
        <v>34370</v>
      </c>
      <c r="E12245" s="18" t="s">
        <v>28</v>
      </c>
      <c r="F12245" s="19">
        <v>5.0999999999999996</v>
      </c>
      <c r="G12245" s="19">
        <v>5.0999999999999996</v>
      </c>
      <c r="H12245" s="19">
        <v>5.0999999999999996</v>
      </c>
      <c r="I12245" s="18" t="s">
        <v>28</v>
      </c>
      <c r="J12245" s="18" t="s">
        <v>28</v>
      </c>
      <c r="K12245" s="18" t="s">
        <v>28</v>
      </c>
      <c r="L12245" s="18" t="s">
        <v>28</v>
      </c>
      <c r="M12245" s="18" t="s">
        <v>28</v>
      </c>
      <c r="N12245" s="17">
        <v>40268</v>
      </c>
      <c r="O12245" s="15" t="s">
        <v>30</v>
      </c>
      <c r="P12245" s="16" t="s">
        <v>34371</v>
      </c>
      <c r="Q12245" s="15" t="s">
        <v>245</v>
      </c>
      <c r="R12245" s="13" t="str">
        <f>HYPERLINK("https://my.pitchbook.com?c=60253-21T","View Company Online")</f>
        <v>View Company Online</v>
      </c>
    </row>
    <row r="12246" spans="1:18" hidden="1" x14ac:dyDescent="0.3">
      <c r="A12246" s="9" t="s">
        <v>34372</v>
      </c>
      <c r="B12246" s="9" t="s">
        <v>34373</v>
      </c>
      <c r="C12246" s="11" t="s">
        <v>28</v>
      </c>
      <c r="D12246" s="9" t="s">
        <v>34374</v>
      </c>
      <c r="E12246" s="11" t="s">
        <v>28</v>
      </c>
      <c r="F12246" s="10" t="s">
        <v>28</v>
      </c>
      <c r="G12246" s="10" t="s">
        <v>28</v>
      </c>
      <c r="H12246" s="10" t="s">
        <v>28</v>
      </c>
      <c r="I12246" s="11" t="s">
        <v>28</v>
      </c>
      <c r="J12246" s="11" t="s">
        <v>28</v>
      </c>
      <c r="K12246" s="11" t="s">
        <v>28</v>
      </c>
      <c r="L12246" s="11" t="s">
        <v>28</v>
      </c>
      <c r="M12246" s="11" t="s">
        <v>28</v>
      </c>
      <c r="N12246" s="8">
        <v>40263</v>
      </c>
      <c r="O12246" s="9" t="s">
        <v>93</v>
      </c>
      <c r="P12246" s="12" t="s">
        <v>34375</v>
      </c>
      <c r="Q12246" s="9" t="s">
        <v>371</v>
      </c>
      <c r="R12246" s="14" t="str">
        <f>HYPERLINK("https://my.pitchbook.com?c=28159-48T","View Company Online")</f>
        <v>View Company Online</v>
      </c>
    </row>
    <row r="12247" spans="1:18" hidden="1" x14ac:dyDescent="0.3">
      <c r="A12247" s="15" t="s">
        <v>34376</v>
      </c>
      <c r="B12247" s="15" t="s">
        <v>6122</v>
      </c>
      <c r="C12247" s="18" t="s">
        <v>28</v>
      </c>
      <c r="D12247" s="15" t="s">
        <v>22463</v>
      </c>
      <c r="E12247" s="18">
        <v>146.01</v>
      </c>
      <c r="F12247" s="19" t="s">
        <v>28</v>
      </c>
      <c r="G12247" s="19">
        <v>517.45000000000005</v>
      </c>
      <c r="H12247" s="19">
        <v>2854.06</v>
      </c>
      <c r="I12247" s="18">
        <v>162.62</v>
      </c>
      <c r="J12247" s="18">
        <v>17.55</v>
      </c>
      <c r="K12247" s="18">
        <v>1519.48</v>
      </c>
      <c r="L12247" s="18">
        <v>1.88</v>
      </c>
      <c r="M12247" s="18">
        <v>50.91</v>
      </c>
      <c r="N12247" s="17">
        <v>40262</v>
      </c>
      <c r="O12247" s="15" t="s">
        <v>423</v>
      </c>
      <c r="P12247" s="16" t="s">
        <v>28</v>
      </c>
      <c r="Q12247" s="15" t="s">
        <v>299</v>
      </c>
      <c r="R12247" s="13" t="str">
        <f>HYPERLINK("https://my.pitchbook.com?c=15777-01T","View Company Online")</f>
        <v>View Company Online</v>
      </c>
    </row>
    <row r="12248" spans="1:18" hidden="1" x14ac:dyDescent="0.3">
      <c r="A12248" s="9" t="s">
        <v>34377</v>
      </c>
      <c r="B12248" s="9" t="s">
        <v>31408</v>
      </c>
      <c r="C12248" s="11" t="s">
        <v>28</v>
      </c>
      <c r="D12248" s="9" t="s">
        <v>31409</v>
      </c>
      <c r="E12248" s="11" t="s">
        <v>28</v>
      </c>
      <c r="F12248" s="10" t="s">
        <v>28</v>
      </c>
      <c r="G12248" s="10">
        <v>1.1200000000000001</v>
      </c>
      <c r="H12248" s="10" t="s">
        <v>28</v>
      </c>
      <c r="I12248" s="11" t="s">
        <v>28</v>
      </c>
      <c r="J12248" s="11" t="s">
        <v>28</v>
      </c>
      <c r="K12248" s="11" t="s">
        <v>28</v>
      </c>
      <c r="L12248" s="11" t="s">
        <v>28</v>
      </c>
      <c r="M12248" s="11" t="s">
        <v>28</v>
      </c>
      <c r="N12248" s="8">
        <v>40261</v>
      </c>
      <c r="O12248" s="9" t="s">
        <v>79</v>
      </c>
      <c r="P12248" s="12" t="s">
        <v>31694</v>
      </c>
      <c r="Q12248" s="9" t="s">
        <v>280</v>
      </c>
      <c r="R12248" s="14" t="str">
        <f>HYPERLINK("https://my.pitchbook.com?c=86199-22T","View Company Online")</f>
        <v>View Company Online</v>
      </c>
    </row>
    <row r="12249" spans="1:18" hidden="1" x14ac:dyDescent="0.3">
      <c r="A12249" s="15" t="s">
        <v>34378</v>
      </c>
      <c r="B12249" s="15" t="s">
        <v>30408</v>
      </c>
      <c r="C12249" s="18" t="s">
        <v>28</v>
      </c>
      <c r="D12249" s="15" t="s">
        <v>30409</v>
      </c>
      <c r="E12249" s="18">
        <v>-18.3</v>
      </c>
      <c r="F12249" s="19" t="s">
        <v>28</v>
      </c>
      <c r="G12249" s="19" t="s">
        <v>28</v>
      </c>
      <c r="H12249" s="19" t="s">
        <v>28</v>
      </c>
      <c r="I12249" s="18">
        <v>-18.3</v>
      </c>
      <c r="J12249" s="18" t="s">
        <v>28</v>
      </c>
      <c r="K12249" s="18">
        <v>0</v>
      </c>
      <c r="L12249" s="18" t="s">
        <v>28</v>
      </c>
      <c r="M12249" s="18">
        <v>-16.690000000000001</v>
      </c>
      <c r="N12249" s="17">
        <v>40259</v>
      </c>
      <c r="O12249" s="15" t="s">
        <v>173</v>
      </c>
      <c r="P12249" s="16" t="s">
        <v>28</v>
      </c>
      <c r="Q12249" s="15" t="s">
        <v>54</v>
      </c>
      <c r="R12249" s="13" t="str">
        <f>HYPERLINK("https://my.pitchbook.com?c=179126-38T","View Company Online")</f>
        <v>View Company Online</v>
      </c>
    </row>
    <row r="12250" spans="1:18" hidden="1" x14ac:dyDescent="0.3">
      <c r="A12250" s="9" t="s">
        <v>34379</v>
      </c>
      <c r="B12250" s="9" t="s">
        <v>29793</v>
      </c>
      <c r="C12250" s="11" t="s">
        <v>28</v>
      </c>
      <c r="D12250" s="9" t="s">
        <v>29794</v>
      </c>
      <c r="E12250" s="11" t="s">
        <v>28</v>
      </c>
      <c r="F12250" s="10" t="s">
        <v>28</v>
      </c>
      <c r="G12250" s="10" t="s">
        <v>28</v>
      </c>
      <c r="H12250" s="10" t="s">
        <v>28</v>
      </c>
      <c r="I12250" s="11" t="s">
        <v>28</v>
      </c>
      <c r="J12250" s="11" t="s">
        <v>28</v>
      </c>
      <c r="K12250" s="11" t="s">
        <v>28</v>
      </c>
      <c r="L12250" s="11" t="s">
        <v>28</v>
      </c>
      <c r="M12250" s="11" t="s">
        <v>28</v>
      </c>
      <c r="N12250" s="8">
        <v>40255</v>
      </c>
      <c r="O12250" s="9" t="s">
        <v>30</v>
      </c>
      <c r="P12250" s="12" t="s">
        <v>34380</v>
      </c>
      <c r="Q12250" s="9" t="s">
        <v>183</v>
      </c>
      <c r="R12250" s="14" t="str">
        <f>HYPERLINK("https://my.pitchbook.com?c=89720-38T","View Company Online")</f>
        <v>View Company Online</v>
      </c>
    </row>
    <row r="12251" spans="1:18" hidden="1" x14ac:dyDescent="0.3">
      <c r="A12251" s="15" t="s">
        <v>34381</v>
      </c>
      <c r="B12251" s="15" t="s">
        <v>34382</v>
      </c>
      <c r="C12251" s="18" t="s">
        <v>28</v>
      </c>
      <c r="D12251" s="15" t="s">
        <v>34383</v>
      </c>
      <c r="E12251" s="18" t="s">
        <v>28</v>
      </c>
      <c r="F12251" s="19">
        <v>25</v>
      </c>
      <c r="G12251" s="19">
        <v>25</v>
      </c>
      <c r="H12251" s="19">
        <v>25</v>
      </c>
      <c r="I12251" s="18" t="s">
        <v>28</v>
      </c>
      <c r="J12251" s="18" t="s">
        <v>28</v>
      </c>
      <c r="K12251" s="18" t="s">
        <v>28</v>
      </c>
      <c r="L12251" s="18" t="s">
        <v>28</v>
      </c>
      <c r="M12251" s="18" t="s">
        <v>28</v>
      </c>
      <c r="N12251" s="17">
        <v>40254</v>
      </c>
      <c r="O12251" s="15" t="s">
        <v>30</v>
      </c>
      <c r="P12251" s="16" t="s">
        <v>34384</v>
      </c>
      <c r="Q12251" s="15" t="s">
        <v>5628</v>
      </c>
      <c r="R12251" s="13" t="str">
        <f>HYPERLINK("https://my.pitchbook.com?c=72800-83T","View Company Online")</f>
        <v>View Company Online</v>
      </c>
    </row>
    <row r="12252" spans="1:18" hidden="1" x14ac:dyDescent="0.3">
      <c r="A12252" s="9" t="s">
        <v>34385</v>
      </c>
      <c r="B12252" s="9" t="s">
        <v>26623</v>
      </c>
      <c r="C12252" s="11" t="s">
        <v>28</v>
      </c>
      <c r="D12252" s="9" t="s">
        <v>26624</v>
      </c>
      <c r="E12252" s="11" t="s">
        <v>28</v>
      </c>
      <c r="F12252" s="10" t="s">
        <v>28</v>
      </c>
      <c r="G12252" s="10" t="s">
        <v>28</v>
      </c>
      <c r="H12252" s="10" t="s">
        <v>28</v>
      </c>
      <c r="I12252" s="11" t="s">
        <v>28</v>
      </c>
      <c r="J12252" s="11" t="s">
        <v>28</v>
      </c>
      <c r="K12252" s="11">
        <v>75</v>
      </c>
      <c r="L12252" s="11" t="s">
        <v>28</v>
      </c>
      <c r="M12252" s="11" t="s">
        <v>28</v>
      </c>
      <c r="N12252" s="8">
        <v>40254</v>
      </c>
      <c r="O12252" s="9" t="s">
        <v>41</v>
      </c>
      <c r="P12252" s="12" t="s">
        <v>34386</v>
      </c>
      <c r="Q12252" s="9" t="s">
        <v>880</v>
      </c>
      <c r="R12252" s="14" t="str">
        <f>HYPERLINK("https://my.pitchbook.com?c=16481-35T","View Company Online")</f>
        <v>View Company Online</v>
      </c>
    </row>
    <row r="12253" spans="1:18" hidden="1" x14ac:dyDescent="0.3">
      <c r="A12253" s="15" t="s">
        <v>34387</v>
      </c>
      <c r="B12253" s="15" t="s">
        <v>34388</v>
      </c>
      <c r="C12253" s="18" t="s">
        <v>28</v>
      </c>
      <c r="D12253" s="15" t="s">
        <v>34389</v>
      </c>
      <c r="E12253" s="18" t="s">
        <v>28</v>
      </c>
      <c r="F12253" s="19" t="s">
        <v>28</v>
      </c>
      <c r="G12253" s="19">
        <v>4.79</v>
      </c>
      <c r="H12253" s="19">
        <v>4.79</v>
      </c>
      <c r="I12253" s="18" t="s">
        <v>28</v>
      </c>
      <c r="J12253" s="18" t="s">
        <v>28</v>
      </c>
      <c r="K12253" s="18">
        <v>37.53</v>
      </c>
      <c r="L12253" s="18">
        <v>0.13</v>
      </c>
      <c r="M12253" s="18" t="s">
        <v>28</v>
      </c>
      <c r="N12253" s="17">
        <v>40253</v>
      </c>
      <c r="O12253" s="15" t="s">
        <v>30</v>
      </c>
      <c r="P12253" s="16" t="s">
        <v>34390</v>
      </c>
      <c r="Q12253" s="15" t="s">
        <v>9051</v>
      </c>
      <c r="R12253" s="13" t="str">
        <f>HYPERLINK("https://my.pitchbook.com?c=90913-60T","View Company Online")</f>
        <v>View Company Online</v>
      </c>
    </row>
    <row r="12254" spans="1:18" hidden="1" x14ac:dyDescent="0.3">
      <c r="A12254" s="9" t="s">
        <v>34391</v>
      </c>
      <c r="B12254" s="9" t="s">
        <v>20298</v>
      </c>
      <c r="C12254" s="11" t="s">
        <v>28</v>
      </c>
      <c r="D12254" s="9" t="s">
        <v>20299</v>
      </c>
      <c r="E12254" s="11" t="s">
        <v>28</v>
      </c>
      <c r="F12254" s="10" t="s">
        <v>28</v>
      </c>
      <c r="G12254" s="10">
        <v>0.6</v>
      </c>
      <c r="H12254" s="10" t="s">
        <v>28</v>
      </c>
      <c r="I12254" s="11" t="s">
        <v>28</v>
      </c>
      <c r="J12254" s="11" t="s">
        <v>28</v>
      </c>
      <c r="K12254" s="11" t="s">
        <v>28</v>
      </c>
      <c r="L12254" s="11" t="s">
        <v>28</v>
      </c>
      <c r="M12254" s="11" t="s">
        <v>28</v>
      </c>
      <c r="N12254" s="8">
        <v>40252</v>
      </c>
      <c r="O12254" s="9" t="s">
        <v>99</v>
      </c>
      <c r="P12254" s="12" t="s">
        <v>31108</v>
      </c>
      <c r="Q12254" s="9" t="s">
        <v>386</v>
      </c>
      <c r="R12254" s="14" t="str">
        <f>HYPERLINK("https://my.pitchbook.com?c=19948-06T","View Company Online")</f>
        <v>View Company Online</v>
      </c>
    </row>
    <row r="12255" spans="1:18" hidden="1" x14ac:dyDescent="0.3">
      <c r="A12255" s="15" t="s">
        <v>34392</v>
      </c>
      <c r="B12255" s="15" t="s">
        <v>34393</v>
      </c>
      <c r="C12255" s="18" t="s">
        <v>28</v>
      </c>
      <c r="D12255" s="15" t="s">
        <v>34394</v>
      </c>
      <c r="E12255" s="18" t="s">
        <v>28</v>
      </c>
      <c r="F12255" s="19" t="s">
        <v>28</v>
      </c>
      <c r="G12255" s="19" t="s">
        <v>28</v>
      </c>
      <c r="H12255" s="19" t="s">
        <v>28</v>
      </c>
      <c r="I12255" s="18" t="s">
        <v>28</v>
      </c>
      <c r="J12255" s="18" t="s">
        <v>28</v>
      </c>
      <c r="K12255" s="18" t="s">
        <v>28</v>
      </c>
      <c r="L12255" s="18" t="s">
        <v>28</v>
      </c>
      <c r="M12255" s="18" t="s">
        <v>28</v>
      </c>
      <c r="N12255" s="17">
        <v>40249</v>
      </c>
      <c r="O12255" s="15" t="s">
        <v>30</v>
      </c>
      <c r="P12255" s="16" t="s">
        <v>34395</v>
      </c>
      <c r="Q12255" s="15" t="s">
        <v>114</v>
      </c>
      <c r="R12255" s="13" t="str">
        <f>HYPERLINK("https://my.pitchbook.com?c=91708-21T","View Company Online")</f>
        <v>View Company Online</v>
      </c>
    </row>
    <row r="12256" spans="1:18" hidden="1" x14ac:dyDescent="0.3">
      <c r="A12256" s="9" t="s">
        <v>34396</v>
      </c>
      <c r="B12256" s="9" t="s">
        <v>34397</v>
      </c>
      <c r="C12256" s="11" t="s">
        <v>28</v>
      </c>
      <c r="D12256" s="9" t="s">
        <v>34398</v>
      </c>
      <c r="E12256" s="11" t="s">
        <v>28</v>
      </c>
      <c r="F12256" s="10" t="s">
        <v>28</v>
      </c>
      <c r="G12256" s="10" t="s">
        <v>28</v>
      </c>
      <c r="H12256" s="10" t="s">
        <v>28</v>
      </c>
      <c r="I12256" s="11" t="s">
        <v>28</v>
      </c>
      <c r="J12256" s="11" t="s">
        <v>28</v>
      </c>
      <c r="K12256" s="11" t="s">
        <v>28</v>
      </c>
      <c r="L12256" s="11" t="s">
        <v>28</v>
      </c>
      <c r="M12256" s="11" t="s">
        <v>28</v>
      </c>
      <c r="N12256" s="8">
        <v>40246</v>
      </c>
      <c r="O12256" s="9" t="s">
        <v>30</v>
      </c>
      <c r="P12256" s="12" t="s">
        <v>34399</v>
      </c>
      <c r="Q12256" s="9" t="s">
        <v>566</v>
      </c>
      <c r="R12256" s="14" t="str">
        <f>HYPERLINK("https://my.pitchbook.com?c=37009-90T","View Company Online")</f>
        <v>View Company Online</v>
      </c>
    </row>
    <row r="12257" spans="1:18" hidden="1" x14ac:dyDescent="0.3">
      <c r="A12257" s="15" t="s">
        <v>34400</v>
      </c>
      <c r="B12257" s="15" t="s">
        <v>26287</v>
      </c>
      <c r="C12257" s="18" t="s">
        <v>28</v>
      </c>
      <c r="D12257" s="15" t="s">
        <v>26288</v>
      </c>
      <c r="E12257" s="18">
        <v>146.74</v>
      </c>
      <c r="F12257" s="19" t="s">
        <v>28</v>
      </c>
      <c r="G12257" s="19">
        <v>586.29</v>
      </c>
      <c r="H12257" s="19" t="s">
        <v>28</v>
      </c>
      <c r="I12257" s="18">
        <v>146.76</v>
      </c>
      <c r="J12257" s="18" t="s">
        <v>28</v>
      </c>
      <c r="K12257" s="18">
        <v>56.42</v>
      </c>
      <c r="L12257" s="18" t="s">
        <v>28</v>
      </c>
      <c r="M12257" s="18">
        <v>83.42</v>
      </c>
      <c r="N12257" s="17">
        <v>40245</v>
      </c>
      <c r="O12257" s="15" t="s">
        <v>173</v>
      </c>
      <c r="P12257" s="16" t="s">
        <v>28</v>
      </c>
      <c r="Q12257" s="15" t="s">
        <v>240</v>
      </c>
      <c r="R12257" s="13" t="str">
        <f>HYPERLINK("https://my.pitchbook.com?c=46402-66T","View Company Online")</f>
        <v>View Company Online</v>
      </c>
    </row>
    <row r="12258" spans="1:18" hidden="1" x14ac:dyDescent="0.3">
      <c r="A12258" s="9" t="s">
        <v>34401</v>
      </c>
      <c r="B12258" s="9" t="s">
        <v>23224</v>
      </c>
      <c r="C12258" s="11" t="s">
        <v>28</v>
      </c>
      <c r="D12258" s="9" t="s">
        <v>23225</v>
      </c>
      <c r="E12258" s="11" t="s">
        <v>28</v>
      </c>
      <c r="F12258" s="10" t="s">
        <v>28</v>
      </c>
      <c r="G12258" s="10">
        <v>38.020000000000003</v>
      </c>
      <c r="H12258" s="10" t="s">
        <v>28</v>
      </c>
      <c r="I12258" s="11" t="s">
        <v>28</v>
      </c>
      <c r="J12258" s="11" t="s">
        <v>28</v>
      </c>
      <c r="K12258" s="11">
        <v>0</v>
      </c>
      <c r="L12258" s="11" t="s">
        <v>28</v>
      </c>
      <c r="M12258" s="11">
        <v>-0.84</v>
      </c>
      <c r="N12258" s="8">
        <v>40242</v>
      </c>
      <c r="O12258" s="9" t="s">
        <v>173</v>
      </c>
      <c r="P12258" s="12" t="s">
        <v>28</v>
      </c>
      <c r="Q12258" s="9" t="s">
        <v>975</v>
      </c>
      <c r="R12258" s="14" t="str">
        <f>HYPERLINK("https://my.pitchbook.com?c=73342-81T","View Company Online")</f>
        <v>View Company Online</v>
      </c>
    </row>
    <row r="12259" spans="1:18" x14ac:dyDescent="0.3">
      <c r="A12259" s="15" t="s">
        <v>34402</v>
      </c>
      <c r="B12259" s="15" t="s">
        <v>34403</v>
      </c>
      <c r="C12259" s="18">
        <v>4.4400000000000004</v>
      </c>
      <c r="D12259" s="15" t="s">
        <v>34404</v>
      </c>
      <c r="E12259" s="18" t="s">
        <v>28</v>
      </c>
      <c r="F12259" s="19">
        <v>200.96</v>
      </c>
      <c r="G12259" s="19">
        <v>200.96</v>
      </c>
      <c r="H12259" s="19">
        <v>200.96</v>
      </c>
      <c r="I12259" s="18">
        <v>45.3</v>
      </c>
      <c r="J12259" s="18">
        <v>4.4400000000000004</v>
      </c>
      <c r="K12259" s="18" t="s">
        <v>28</v>
      </c>
      <c r="L12259" s="18" t="s">
        <v>28</v>
      </c>
      <c r="M12259" s="18">
        <v>276.8</v>
      </c>
      <c r="N12259" s="17">
        <v>40242</v>
      </c>
      <c r="O12259" s="15" t="s">
        <v>30</v>
      </c>
      <c r="P12259" s="16" t="s">
        <v>33950</v>
      </c>
      <c r="Q12259" s="15" t="s">
        <v>362</v>
      </c>
      <c r="R12259" s="13" t="str">
        <f>HYPERLINK("https://my.pitchbook.com?c=75056-68T","View Company Online")</f>
        <v>View Company Online</v>
      </c>
    </row>
    <row r="12260" spans="1:18" hidden="1" x14ac:dyDescent="0.3">
      <c r="A12260" s="9" t="s">
        <v>34405</v>
      </c>
      <c r="B12260" s="9" t="s">
        <v>34406</v>
      </c>
      <c r="C12260" s="11" t="s">
        <v>28</v>
      </c>
      <c r="D12260" s="9" t="s">
        <v>34407</v>
      </c>
      <c r="E12260" s="11" t="s">
        <v>28</v>
      </c>
      <c r="F12260" s="10" t="s">
        <v>28</v>
      </c>
      <c r="G12260" s="10" t="s">
        <v>28</v>
      </c>
      <c r="H12260" s="10" t="s">
        <v>28</v>
      </c>
      <c r="I12260" s="11" t="s">
        <v>28</v>
      </c>
      <c r="J12260" s="11" t="s">
        <v>28</v>
      </c>
      <c r="K12260" s="11" t="s">
        <v>28</v>
      </c>
      <c r="L12260" s="11" t="s">
        <v>28</v>
      </c>
      <c r="M12260" s="11" t="s">
        <v>28</v>
      </c>
      <c r="N12260" s="8">
        <v>40239</v>
      </c>
      <c r="O12260" s="9" t="s">
        <v>30</v>
      </c>
      <c r="P12260" s="12" t="s">
        <v>34408</v>
      </c>
      <c r="Q12260" s="9" t="s">
        <v>1643</v>
      </c>
      <c r="R12260" s="14" t="str">
        <f>HYPERLINK("https://my.pitchbook.com?c=91016-02T","View Company Online")</f>
        <v>View Company Online</v>
      </c>
    </row>
    <row r="12261" spans="1:18" hidden="1" x14ac:dyDescent="0.3">
      <c r="A12261" s="15" t="s">
        <v>34409</v>
      </c>
      <c r="B12261" s="15" t="s">
        <v>34410</v>
      </c>
      <c r="C12261" s="18" t="s">
        <v>28</v>
      </c>
      <c r="D12261" s="15" t="s">
        <v>34411</v>
      </c>
      <c r="E12261" s="18" t="s">
        <v>28</v>
      </c>
      <c r="F12261" s="19" t="s">
        <v>28</v>
      </c>
      <c r="G12261" s="19" t="s">
        <v>28</v>
      </c>
      <c r="H12261" s="19" t="s">
        <v>28</v>
      </c>
      <c r="I12261" s="18" t="s">
        <v>28</v>
      </c>
      <c r="J12261" s="18" t="s">
        <v>28</v>
      </c>
      <c r="K12261" s="18" t="s">
        <v>28</v>
      </c>
      <c r="L12261" s="18" t="s">
        <v>28</v>
      </c>
      <c r="M12261" s="18" t="s">
        <v>28</v>
      </c>
      <c r="N12261" s="17">
        <v>40238</v>
      </c>
      <c r="O12261" s="15" t="s">
        <v>99</v>
      </c>
      <c r="P12261" s="16" t="s">
        <v>28</v>
      </c>
      <c r="Q12261" s="15" t="s">
        <v>386</v>
      </c>
      <c r="R12261" s="13" t="str">
        <f>HYPERLINK("https://my.pitchbook.com?c=195724-81T","View Company Online")</f>
        <v>View Company Online</v>
      </c>
    </row>
    <row r="12262" spans="1:18" hidden="1" x14ac:dyDescent="0.3">
      <c r="A12262" s="9" t="s">
        <v>34412</v>
      </c>
      <c r="B12262" s="9" t="s">
        <v>34413</v>
      </c>
      <c r="C12262" s="11" t="s">
        <v>28</v>
      </c>
      <c r="D12262" s="9" t="s">
        <v>34414</v>
      </c>
      <c r="E12262" s="11" t="s">
        <v>28</v>
      </c>
      <c r="F12262" s="10" t="s">
        <v>28</v>
      </c>
      <c r="G12262" s="10" t="s">
        <v>28</v>
      </c>
      <c r="H12262" s="10" t="s">
        <v>28</v>
      </c>
      <c r="I12262" s="11" t="s">
        <v>28</v>
      </c>
      <c r="J12262" s="11" t="s">
        <v>28</v>
      </c>
      <c r="K12262" s="11" t="s">
        <v>28</v>
      </c>
      <c r="L12262" s="11" t="s">
        <v>28</v>
      </c>
      <c r="M12262" s="11" t="s">
        <v>28</v>
      </c>
      <c r="N12262" s="8">
        <v>40238</v>
      </c>
      <c r="O12262" s="9" t="s">
        <v>30</v>
      </c>
      <c r="P12262" s="12" t="s">
        <v>34415</v>
      </c>
      <c r="Q12262" s="9" t="s">
        <v>240</v>
      </c>
      <c r="R12262" s="14" t="str">
        <f>HYPERLINK("https://my.pitchbook.com?c=58970-89T","View Company Online")</f>
        <v>View Company Online</v>
      </c>
    </row>
    <row r="12263" spans="1:18" hidden="1" x14ac:dyDescent="0.3">
      <c r="A12263" s="15" t="s">
        <v>34416</v>
      </c>
      <c r="B12263" s="15" t="s">
        <v>34417</v>
      </c>
      <c r="C12263" s="18" t="s">
        <v>28</v>
      </c>
      <c r="D12263" s="15" t="s">
        <v>34418</v>
      </c>
      <c r="E12263" s="18" t="s">
        <v>28</v>
      </c>
      <c r="F12263" s="19">
        <v>114.14</v>
      </c>
      <c r="G12263" s="19">
        <v>57.07</v>
      </c>
      <c r="H12263" s="19">
        <v>114.14</v>
      </c>
      <c r="I12263" s="18" t="s">
        <v>28</v>
      </c>
      <c r="J12263" s="18" t="s">
        <v>28</v>
      </c>
      <c r="K12263" s="18" t="s">
        <v>28</v>
      </c>
      <c r="L12263" s="18" t="s">
        <v>28</v>
      </c>
      <c r="M12263" s="18" t="s">
        <v>28</v>
      </c>
      <c r="N12263" s="17">
        <v>40232</v>
      </c>
      <c r="O12263" s="15" t="s">
        <v>30</v>
      </c>
      <c r="P12263" s="16" t="s">
        <v>34257</v>
      </c>
      <c r="Q12263" s="15" t="s">
        <v>69</v>
      </c>
      <c r="R12263" s="13" t="str">
        <f>HYPERLINK("https://my.pitchbook.com?c=165094-93T","View Company Online")</f>
        <v>View Company Online</v>
      </c>
    </row>
    <row r="12264" spans="1:18" hidden="1" x14ac:dyDescent="0.3">
      <c r="A12264" s="9" t="s">
        <v>34419</v>
      </c>
      <c r="B12264" s="9" t="s">
        <v>34420</v>
      </c>
      <c r="C12264" s="11" t="s">
        <v>28</v>
      </c>
      <c r="D12264" s="9" t="s">
        <v>34421</v>
      </c>
      <c r="E12264" s="11" t="s">
        <v>28</v>
      </c>
      <c r="F12264" s="10" t="s">
        <v>28</v>
      </c>
      <c r="G12264" s="10" t="s">
        <v>28</v>
      </c>
      <c r="H12264" s="10" t="s">
        <v>28</v>
      </c>
      <c r="I12264" s="11" t="s">
        <v>28</v>
      </c>
      <c r="J12264" s="11" t="s">
        <v>28</v>
      </c>
      <c r="K12264" s="11" t="s">
        <v>28</v>
      </c>
      <c r="L12264" s="11" t="s">
        <v>28</v>
      </c>
      <c r="M12264" s="11" t="s">
        <v>28</v>
      </c>
      <c r="N12264" s="8">
        <v>40227</v>
      </c>
      <c r="O12264" s="9" t="s">
        <v>30</v>
      </c>
      <c r="P12264" s="12" t="s">
        <v>34422</v>
      </c>
      <c r="Q12264" s="9" t="s">
        <v>226</v>
      </c>
      <c r="R12264" s="14" t="str">
        <f>HYPERLINK("https://my.pitchbook.com?c=68986-72T","View Company Online")</f>
        <v>View Company Online</v>
      </c>
    </row>
    <row r="12265" spans="1:18" hidden="1" x14ac:dyDescent="0.3">
      <c r="A12265" s="15" t="s">
        <v>34423</v>
      </c>
      <c r="B12265" s="15" t="s">
        <v>34424</v>
      </c>
      <c r="C12265" s="18" t="s">
        <v>28</v>
      </c>
      <c r="D12265" s="15" t="s">
        <v>34425</v>
      </c>
      <c r="E12265" s="18" t="s">
        <v>28</v>
      </c>
      <c r="F12265" s="19" t="s">
        <v>28</v>
      </c>
      <c r="G12265" s="19" t="s">
        <v>28</v>
      </c>
      <c r="H12265" s="19" t="s">
        <v>28</v>
      </c>
      <c r="I12265" s="18" t="s">
        <v>28</v>
      </c>
      <c r="J12265" s="18" t="s">
        <v>28</v>
      </c>
      <c r="K12265" s="18" t="s">
        <v>28</v>
      </c>
      <c r="L12265" s="18" t="s">
        <v>28</v>
      </c>
      <c r="M12265" s="18" t="s">
        <v>28</v>
      </c>
      <c r="N12265" s="17">
        <v>40221</v>
      </c>
      <c r="O12265" s="15" t="s">
        <v>30</v>
      </c>
      <c r="P12265" s="16" t="s">
        <v>7010</v>
      </c>
      <c r="Q12265" s="15" t="s">
        <v>114</v>
      </c>
      <c r="R12265" s="13" t="str">
        <f>HYPERLINK("https://my.pitchbook.com?c=91697-95T","View Company Online")</f>
        <v>View Company Online</v>
      </c>
    </row>
    <row r="12266" spans="1:18" hidden="1" x14ac:dyDescent="0.3">
      <c r="A12266" s="9" t="s">
        <v>34426</v>
      </c>
      <c r="B12266" s="9" t="s">
        <v>34427</v>
      </c>
      <c r="C12266" s="11" t="s">
        <v>28</v>
      </c>
      <c r="D12266" s="9" t="s">
        <v>34428</v>
      </c>
      <c r="E12266" s="11" t="s">
        <v>28</v>
      </c>
      <c r="F12266" s="10" t="s">
        <v>28</v>
      </c>
      <c r="G12266" s="10">
        <v>0.71</v>
      </c>
      <c r="H12266" s="10">
        <v>0.71</v>
      </c>
      <c r="I12266" s="11" t="s">
        <v>28</v>
      </c>
      <c r="J12266" s="11" t="s">
        <v>28</v>
      </c>
      <c r="K12266" s="11" t="s">
        <v>28</v>
      </c>
      <c r="L12266" s="11" t="s">
        <v>28</v>
      </c>
      <c r="M12266" s="11" t="s">
        <v>28</v>
      </c>
      <c r="N12266" s="8">
        <v>40221</v>
      </c>
      <c r="O12266" s="9" t="s">
        <v>30</v>
      </c>
      <c r="P12266" s="12" t="s">
        <v>8285</v>
      </c>
      <c r="Q12266" s="9" t="s">
        <v>188</v>
      </c>
      <c r="R12266" s="14" t="str">
        <f>HYPERLINK("https://my.pitchbook.com?c=96452-02T","View Company Online")</f>
        <v>View Company Online</v>
      </c>
    </row>
    <row r="12267" spans="1:18" hidden="1" x14ac:dyDescent="0.3">
      <c r="A12267" s="15" t="s">
        <v>34429</v>
      </c>
      <c r="B12267" s="15" t="s">
        <v>34430</v>
      </c>
      <c r="C12267" s="18" t="s">
        <v>28</v>
      </c>
      <c r="D12267" s="15" t="s">
        <v>34431</v>
      </c>
      <c r="E12267" s="18" t="s">
        <v>28</v>
      </c>
      <c r="F12267" s="19">
        <v>652</v>
      </c>
      <c r="G12267" s="19">
        <v>652</v>
      </c>
      <c r="H12267" s="19">
        <v>652</v>
      </c>
      <c r="I12267" s="18" t="s">
        <v>28</v>
      </c>
      <c r="J12267" s="18" t="s">
        <v>28</v>
      </c>
      <c r="K12267" s="18" t="s">
        <v>28</v>
      </c>
      <c r="L12267" s="18" t="s">
        <v>28</v>
      </c>
      <c r="M12267" s="18" t="s">
        <v>28</v>
      </c>
      <c r="N12267" s="17">
        <v>40220</v>
      </c>
      <c r="O12267" s="15" t="s">
        <v>30</v>
      </c>
      <c r="P12267" s="16" t="s">
        <v>34432</v>
      </c>
      <c r="Q12267" s="15" t="s">
        <v>136</v>
      </c>
      <c r="R12267" s="13" t="str">
        <f>HYPERLINK("https://my.pitchbook.com?c=75091-69T","View Company Online")</f>
        <v>View Company Online</v>
      </c>
    </row>
    <row r="12268" spans="1:18" hidden="1" x14ac:dyDescent="0.3">
      <c r="A12268" s="9" t="s">
        <v>34433</v>
      </c>
      <c r="B12268" s="9" t="s">
        <v>34434</v>
      </c>
      <c r="C12268" s="11" t="s">
        <v>28</v>
      </c>
      <c r="D12268" s="9" t="s">
        <v>34435</v>
      </c>
      <c r="E12268" s="11" t="s">
        <v>28</v>
      </c>
      <c r="F12268" s="10" t="s">
        <v>28</v>
      </c>
      <c r="G12268" s="10" t="s">
        <v>28</v>
      </c>
      <c r="H12268" s="10" t="s">
        <v>28</v>
      </c>
      <c r="I12268" s="11" t="s">
        <v>28</v>
      </c>
      <c r="J12268" s="11" t="s">
        <v>28</v>
      </c>
      <c r="K12268" s="11" t="s">
        <v>28</v>
      </c>
      <c r="L12268" s="11" t="s">
        <v>28</v>
      </c>
      <c r="M12268" s="11" t="s">
        <v>28</v>
      </c>
      <c r="N12268" s="8">
        <v>40220</v>
      </c>
      <c r="O12268" s="9" t="s">
        <v>30</v>
      </c>
      <c r="P12268" s="12" t="s">
        <v>22909</v>
      </c>
      <c r="Q12268" s="9" t="s">
        <v>316</v>
      </c>
      <c r="R12268" s="14" t="str">
        <f>HYPERLINK("https://my.pitchbook.com?c=91629-64T","View Company Online")</f>
        <v>View Company Online</v>
      </c>
    </row>
    <row r="12269" spans="1:18" hidden="1" x14ac:dyDescent="0.3">
      <c r="A12269" s="15" t="s">
        <v>34436</v>
      </c>
      <c r="B12269" s="15" t="s">
        <v>34437</v>
      </c>
      <c r="C12269" s="18" t="s">
        <v>28</v>
      </c>
      <c r="D12269" s="15" t="s">
        <v>34438</v>
      </c>
      <c r="E12269" s="18" t="s">
        <v>28</v>
      </c>
      <c r="F12269" s="19" t="s">
        <v>28</v>
      </c>
      <c r="G12269" s="19" t="s">
        <v>28</v>
      </c>
      <c r="H12269" s="19" t="s">
        <v>28</v>
      </c>
      <c r="I12269" s="18" t="s">
        <v>28</v>
      </c>
      <c r="J12269" s="18" t="s">
        <v>28</v>
      </c>
      <c r="K12269" s="18">
        <v>277.74</v>
      </c>
      <c r="L12269" s="18" t="s">
        <v>28</v>
      </c>
      <c r="M12269" s="18" t="s">
        <v>28</v>
      </c>
      <c r="N12269" s="17">
        <v>40217</v>
      </c>
      <c r="O12269" s="15" t="s">
        <v>30</v>
      </c>
      <c r="P12269" s="16" t="s">
        <v>28</v>
      </c>
      <c r="Q12269" s="15" t="s">
        <v>245</v>
      </c>
      <c r="R12269" s="13" t="str">
        <f>HYPERLINK("https://my.pitchbook.com?c=91527-85T","View Company Online")</f>
        <v>View Company Online</v>
      </c>
    </row>
    <row r="12270" spans="1:18" hidden="1" x14ac:dyDescent="0.3">
      <c r="A12270" s="9" t="s">
        <v>34439</v>
      </c>
      <c r="B12270" s="9" t="s">
        <v>1387</v>
      </c>
      <c r="C12270" s="11" t="s">
        <v>28</v>
      </c>
      <c r="D12270" s="9" t="s">
        <v>1388</v>
      </c>
      <c r="E12270" s="11" t="s">
        <v>28</v>
      </c>
      <c r="F12270" s="10" t="s">
        <v>28</v>
      </c>
      <c r="G12270" s="10" t="s">
        <v>28</v>
      </c>
      <c r="H12270" s="10" t="s">
        <v>28</v>
      </c>
      <c r="I12270" s="11" t="s">
        <v>28</v>
      </c>
      <c r="J12270" s="11" t="s">
        <v>28</v>
      </c>
      <c r="K12270" s="11" t="s">
        <v>28</v>
      </c>
      <c r="L12270" s="11" t="s">
        <v>28</v>
      </c>
      <c r="M12270" s="11" t="s">
        <v>28</v>
      </c>
      <c r="N12270" s="8">
        <v>40214</v>
      </c>
      <c r="O12270" s="9" t="s">
        <v>173</v>
      </c>
      <c r="P12270" s="12" t="s">
        <v>28</v>
      </c>
      <c r="Q12270" s="9" t="s">
        <v>169</v>
      </c>
      <c r="R12270" s="14" t="str">
        <f>HYPERLINK("https://my.pitchbook.com?c=16041-52T","View Company Online")</f>
        <v>View Company Online</v>
      </c>
    </row>
    <row r="12271" spans="1:18" hidden="1" x14ac:dyDescent="0.3">
      <c r="A12271" s="15" t="s">
        <v>34440</v>
      </c>
      <c r="B12271" s="15" t="s">
        <v>34441</v>
      </c>
      <c r="C12271" s="18" t="s">
        <v>28</v>
      </c>
      <c r="D12271" s="15" t="s">
        <v>34442</v>
      </c>
      <c r="E12271" s="18" t="s">
        <v>28</v>
      </c>
      <c r="F12271" s="19">
        <v>1.17</v>
      </c>
      <c r="G12271" s="19">
        <v>0.6</v>
      </c>
      <c r="H12271" s="19">
        <v>1.17</v>
      </c>
      <c r="I12271" s="18" t="s">
        <v>28</v>
      </c>
      <c r="J12271" s="18" t="s">
        <v>28</v>
      </c>
      <c r="K12271" s="18" t="s">
        <v>28</v>
      </c>
      <c r="L12271" s="18" t="s">
        <v>28</v>
      </c>
      <c r="M12271" s="18" t="s">
        <v>28</v>
      </c>
      <c r="N12271" s="17">
        <v>40213</v>
      </c>
      <c r="O12271" s="15" t="s">
        <v>30</v>
      </c>
      <c r="P12271" s="16" t="s">
        <v>34443</v>
      </c>
      <c r="Q12271" s="15" t="s">
        <v>975</v>
      </c>
      <c r="R12271" s="13" t="str">
        <f>HYPERLINK("https://my.pitchbook.com?c=91158-49T","View Company Online")</f>
        <v>View Company Online</v>
      </c>
    </row>
    <row r="12272" spans="1:18" hidden="1" x14ac:dyDescent="0.3">
      <c r="A12272" s="9" t="s">
        <v>34444</v>
      </c>
      <c r="B12272" s="9" t="s">
        <v>34445</v>
      </c>
      <c r="C12272" s="11" t="s">
        <v>28</v>
      </c>
      <c r="D12272" s="9" t="s">
        <v>34446</v>
      </c>
      <c r="E12272" s="11" t="s">
        <v>28</v>
      </c>
      <c r="F12272" s="10" t="s">
        <v>28</v>
      </c>
      <c r="G12272" s="10">
        <v>0.67</v>
      </c>
      <c r="H12272" s="10" t="s">
        <v>28</v>
      </c>
      <c r="I12272" s="11" t="s">
        <v>28</v>
      </c>
      <c r="J12272" s="11" t="s">
        <v>28</v>
      </c>
      <c r="K12272" s="11" t="s">
        <v>28</v>
      </c>
      <c r="L12272" s="11" t="s">
        <v>28</v>
      </c>
      <c r="M12272" s="11" t="s">
        <v>28</v>
      </c>
      <c r="N12272" s="8">
        <v>40212</v>
      </c>
      <c r="O12272" s="9" t="s">
        <v>73</v>
      </c>
      <c r="P12272" s="12" t="s">
        <v>31694</v>
      </c>
      <c r="Q12272" s="9" t="s">
        <v>583</v>
      </c>
      <c r="R12272" s="14" t="str">
        <f>HYPERLINK("https://my.pitchbook.com?c=86193-55T","View Company Online")</f>
        <v>View Company Online</v>
      </c>
    </row>
    <row r="12273" spans="1:18" hidden="1" x14ac:dyDescent="0.3">
      <c r="A12273" s="15" t="s">
        <v>34447</v>
      </c>
      <c r="B12273" s="15" t="s">
        <v>13055</v>
      </c>
      <c r="C12273" s="18" t="s">
        <v>28</v>
      </c>
      <c r="D12273" s="15" t="s">
        <v>13056</v>
      </c>
      <c r="E12273" s="18" t="s">
        <v>28</v>
      </c>
      <c r="F12273" s="19" t="s">
        <v>28</v>
      </c>
      <c r="G12273" s="19" t="s">
        <v>28</v>
      </c>
      <c r="H12273" s="19" t="s">
        <v>28</v>
      </c>
      <c r="I12273" s="18" t="s">
        <v>28</v>
      </c>
      <c r="J12273" s="18" t="s">
        <v>28</v>
      </c>
      <c r="K12273" s="18" t="s">
        <v>28</v>
      </c>
      <c r="L12273" s="18" t="s">
        <v>28</v>
      </c>
      <c r="M12273" s="18" t="s">
        <v>28</v>
      </c>
      <c r="N12273" s="17">
        <v>40210</v>
      </c>
      <c r="O12273" s="15" t="s">
        <v>30</v>
      </c>
      <c r="P12273" s="16" t="s">
        <v>28</v>
      </c>
      <c r="Q12273" s="15" t="s">
        <v>43</v>
      </c>
      <c r="R12273" s="13" t="str">
        <f>HYPERLINK("https://my.pitchbook.com?c=211741-30T","View Company Online")</f>
        <v>View Company Online</v>
      </c>
    </row>
    <row r="12274" spans="1:18" hidden="1" x14ac:dyDescent="0.3">
      <c r="A12274" s="9" t="s">
        <v>34448</v>
      </c>
      <c r="B12274" s="9" t="s">
        <v>16181</v>
      </c>
      <c r="C12274" s="11" t="s">
        <v>28</v>
      </c>
      <c r="D12274" s="9" t="s">
        <v>31910</v>
      </c>
      <c r="E12274" s="11">
        <v>34.29</v>
      </c>
      <c r="F12274" s="10" t="s">
        <v>28</v>
      </c>
      <c r="G12274" s="10">
        <v>329.4</v>
      </c>
      <c r="H12274" s="10" t="s">
        <v>28</v>
      </c>
      <c r="I12274" s="11">
        <v>44.06</v>
      </c>
      <c r="J12274" s="11" t="s">
        <v>28</v>
      </c>
      <c r="K12274" s="11">
        <v>70.09</v>
      </c>
      <c r="L12274" s="11" t="s">
        <v>28</v>
      </c>
      <c r="M12274" s="11">
        <v>23.88</v>
      </c>
      <c r="N12274" s="8">
        <v>40207</v>
      </c>
      <c r="O12274" s="9" t="s">
        <v>173</v>
      </c>
      <c r="P12274" s="12" t="s">
        <v>28</v>
      </c>
      <c r="Q12274" s="9" t="s">
        <v>1361</v>
      </c>
      <c r="R12274" s="14" t="str">
        <f>HYPERLINK("https://my.pitchbook.com?c=90175-06T","View Company Online")</f>
        <v>View Company Online</v>
      </c>
    </row>
    <row r="12275" spans="1:18" hidden="1" x14ac:dyDescent="0.3">
      <c r="A12275" s="15" t="s">
        <v>34449</v>
      </c>
      <c r="B12275" s="15" t="s">
        <v>33644</v>
      </c>
      <c r="C12275" s="18" t="s">
        <v>28</v>
      </c>
      <c r="D12275" s="15" t="s">
        <v>33645</v>
      </c>
      <c r="E12275" s="18" t="s">
        <v>28</v>
      </c>
      <c r="F12275" s="19">
        <v>17.02</v>
      </c>
      <c r="G12275" s="19">
        <v>8.51</v>
      </c>
      <c r="H12275" s="19">
        <v>17.02</v>
      </c>
      <c r="I12275" s="18" t="s">
        <v>28</v>
      </c>
      <c r="J12275" s="18" t="s">
        <v>28</v>
      </c>
      <c r="K12275" s="18" t="s">
        <v>28</v>
      </c>
      <c r="L12275" s="18" t="s">
        <v>28</v>
      </c>
      <c r="M12275" s="18" t="s">
        <v>28</v>
      </c>
      <c r="N12275" s="17">
        <v>40206</v>
      </c>
      <c r="O12275" s="15" t="s">
        <v>30</v>
      </c>
      <c r="P12275" s="16" t="s">
        <v>34450</v>
      </c>
      <c r="Q12275" s="15" t="s">
        <v>119</v>
      </c>
      <c r="R12275" s="13" t="str">
        <f>HYPERLINK("https://my.pitchbook.com?c=101176-48T","View Company Online")</f>
        <v>View Company Online</v>
      </c>
    </row>
    <row r="12276" spans="1:18" hidden="1" x14ac:dyDescent="0.3">
      <c r="A12276" s="9" t="s">
        <v>34451</v>
      </c>
      <c r="B12276" s="9" t="s">
        <v>29352</v>
      </c>
      <c r="C12276" s="11" t="s">
        <v>28</v>
      </c>
      <c r="D12276" s="9" t="s">
        <v>29353</v>
      </c>
      <c r="E12276" s="11">
        <v>53.73</v>
      </c>
      <c r="F12276" s="10" t="s">
        <v>28</v>
      </c>
      <c r="G12276" s="10">
        <v>41.87</v>
      </c>
      <c r="H12276" s="10" t="s">
        <v>28</v>
      </c>
      <c r="I12276" s="11">
        <v>67.52</v>
      </c>
      <c r="J12276" s="11" t="s">
        <v>28</v>
      </c>
      <c r="K12276" s="11">
        <v>452.66</v>
      </c>
      <c r="L12276" s="11" t="s">
        <v>28</v>
      </c>
      <c r="M12276" s="11">
        <v>33.75</v>
      </c>
      <c r="N12276" s="8">
        <v>40204</v>
      </c>
      <c r="O12276" s="9" t="s">
        <v>159</v>
      </c>
      <c r="P12276" s="12" t="s">
        <v>34452</v>
      </c>
      <c r="Q12276" s="9" t="s">
        <v>43</v>
      </c>
      <c r="R12276" s="14" t="str">
        <f>HYPERLINK("https://my.pitchbook.com?c=214689-34T","View Company Online")</f>
        <v>View Company Online</v>
      </c>
    </row>
    <row r="12277" spans="1:18" hidden="1" x14ac:dyDescent="0.3">
      <c r="A12277" s="15" t="s">
        <v>34453</v>
      </c>
      <c r="B12277" s="15" t="s">
        <v>24817</v>
      </c>
      <c r="C12277" s="18" t="s">
        <v>28</v>
      </c>
      <c r="D12277" s="15" t="s">
        <v>24818</v>
      </c>
      <c r="E12277" s="18" t="s">
        <v>28</v>
      </c>
      <c r="F12277" s="19" t="s">
        <v>28</v>
      </c>
      <c r="G12277" s="19">
        <v>20</v>
      </c>
      <c r="H12277" s="19">
        <v>200</v>
      </c>
      <c r="I12277" s="18" t="s">
        <v>28</v>
      </c>
      <c r="J12277" s="18" t="s">
        <v>28</v>
      </c>
      <c r="K12277" s="18" t="s">
        <v>28</v>
      </c>
      <c r="L12277" s="18" t="s">
        <v>28</v>
      </c>
      <c r="M12277" s="18" t="s">
        <v>28</v>
      </c>
      <c r="N12277" s="17">
        <v>40200</v>
      </c>
      <c r="O12277" s="15" t="s">
        <v>93</v>
      </c>
      <c r="P12277" s="16" t="s">
        <v>24937</v>
      </c>
      <c r="Q12277" s="15" t="s">
        <v>2168</v>
      </c>
      <c r="R12277" s="13" t="str">
        <f>HYPERLINK("https://my.pitchbook.com?c=16571-44T","View Company Online")</f>
        <v>View Company Online</v>
      </c>
    </row>
    <row r="12278" spans="1:18" hidden="1" x14ac:dyDescent="0.3">
      <c r="A12278" s="9" t="s">
        <v>34454</v>
      </c>
      <c r="B12278" s="9" t="s">
        <v>34455</v>
      </c>
      <c r="C12278" s="11" t="s">
        <v>28</v>
      </c>
      <c r="D12278" s="9" t="s">
        <v>34456</v>
      </c>
      <c r="E12278" s="11" t="s">
        <v>28</v>
      </c>
      <c r="F12278" s="10" t="s">
        <v>28</v>
      </c>
      <c r="G12278" s="10" t="s">
        <v>28</v>
      </c>
      <c r="H12278" s="10" t="s">
        <v>28</v>
      </c>
      <c r="I12278" s="11" t="s">
        <v>28</v>
      </c>
      <c r="J12278" s="11" t="s">
        <v>28</v>
      </c>
      <c r="K12278" s="11" t="s">
        <v>28</v>
      </c>
      <c r="L12278" s="11" t="s">
        <v>28</v>
      </c>
      <c r="M12278" s="11" t="s">
        <v>28</v>
      </c>
      <c r="N12278" s="8">
        <v>40196</v>
      </c>
      <c r="O12278" s="9" t="s">
        <v>173</v>
      </c>
      <c r="P12278" s="12" t="s">
        <v>28</v>
      </c>
      <c r="Q12278" s="9" t="s">
        <v>174</v>
      </c>
      <c r="R12278" s="14" t="str">
        <f>HYPERLINK("https://my.pitchbook.com?c=224053-12T","View Company Online")</f>
        <v>View Company Online</v>
      </c>
    </row>
    <row r="12279" spans="1:18" hidden="1" x14ac:dyDescent="0.3">
      <c r="A12279" s="15" t="s">
        <v>34457</v>
      </c>
      <c r="B12279" s="15" t="s">
        <v>34458</v>
      </c>
      <c r="C12279" s="18" t="s">
        <v>28</v>
      </c>
      <c r="D12279" s="15" t="s">
        <v>34459</v>
      </c>
      <c r="E12279" s="18" t="s">
        <v>28</v>
      </c>
      <c r="F12279" s="19" t="s">
        <v>28</v>
      </c>
      <c r="G12279" s="19" t="s">
        <v>28</v>
      </c>
      <c r="H12279" s="19" t="s">
        <v>28</v>
      </c>
      <c r="I12279" s="18" t="s">
        <v>28</v>
      </c>
      <c r="J12279" s="18" t="s">
        <v>28</v>
      </c>
      <c r="K12279" s="18" t="s">
        <v>28</v>
      </c>
      <c r="L12279" s="18" t="s">
        <v>28</v>
      </c>
      <c r="M12279" s="18" t="s">
        <v>28</v>
      </c>
      <c r="N12279" s="17">
        <v>40193</v>
      </c>
      <c r="O12279" s="15" t="s">
        <v>93</v>
      </c>
      <c r="P12279" s="16" t="s">
        <v>34460</v>
      </c>
      <c r="Q12279" s="15" t="s">
        <v>136</v>
      </c>
      <c r="R12279" s="13" t="str">
        <f>HYPERLINK("https://my.pitchbook.com?c=24538-24T","View Company Online")</f>
        <v>View Company Online</v>
      </c>
    </row>
    <row r="12280" spans="1:18" hidden="1" x14ac:dyDescent="0.3">
      <c r="A12280" s="9" t="s">
        <v>34461</v>
      </c>
      <c r="B12280" s="9" t="s">
        <v>34462</v>
      </c>
      <c r="C12280" s="11" t="s">
        <v>28</v>
      </c>
      <c r="D12280" s="9" t="s">
        <v>34463</v>
      </c>
      <c r="E12280" s="11" t="s">
        <v>28</v>
      </c>
      <c r="F12280" s="10" t="s">
        <v>28</v>
      </c>
      <c r="G12280" s="10" t="s">
        <v>28</v>
      </c>
      <c r="H12280" s="10" t="s">
        <v>28</v>
      </c>
      <c r="I12280" s="11" t="s">
        <v>28</v>
      </c>
      <c r="J12280" s="11" t="s">
        <v>28</v>
      </c>
      <c r="K12280" s="11" t="s">
        <v>28</v>
      </c>
      <c r="L12280" s="11" t="s">
        <v>28</v>
      </c>
      <c r="M12280" s="11" t="s">
        <v>28</v>
      </c>
      <c r="N12280" s="8">
        <v>40193</v>
      </c>
      <c r="O12280" s="9" t="s">
        <v>30</v>
      </c>
      <c r="P12280" s="12" t="s">
        <v>34464</v>
      </c>
      <c r="Q12280" s="9" t="s">
        <v>19850</v>
      </c>
      <c r="R12280" s="14" t="str">
        <f>HYPERLINK("https://my.pitchbook.com?c=91723-06T","View Company Online")</f>
        <v>View Company Online</v>
      </c>
    </row>
    <row r="12281" spans="1:18" hidden="1" x14ac:dyDescent="0.3">
      <c r="A12281" s="15" t="s">
        <v>34465</v>
      </c>
      <c r="B12281" s="15" t="s">
        <v>34466</v>
      </c>
      <c r="C12281" s="18" t="s">
        <v>28</v>
      </c>
      <c r="D12281" s="15" t="s">
        <v>34467</v>
      </c>
      <c r="E12281" s="18" t="s">
        <v>28</v>
      </c>
      <c r="F12281" s="19" t="s">
        <v>28</v>
      </c>
      <c r="G12281" s="19" t="s">
        <v>28</v>
      </c>
      <c r="H12281" s="19" t="s">
        <v>28</v>
      </c>
      <c r="I12281" s="18" t="s">
        <v>28</v>
      </c>
      <c r="J12281" s="18" t="s">
        <v>28</v>
      </c>
      <c r="K12281" s="18" t="s">
        <v>28</v>
      </c>
      <c r="L12281" s="18" t="s">
        <v>28</v>
      </c>
      <c r="M12281" s="18" t="s">
        <v>28</v>
      </c>
      <c r="N12281" s="17">
        <v>40190</v>
      </c>
      <c r="O12281" s="15" t="s">
        <v>30</v>
      </c>
      <c r="P12281" s="16" t="s">
        <v>27446</v>
      </c>
      <c r="Q12281" s="15" t="s">
        <v>105</v>
      </c>
      <c r="R12281" s="13" t="str">
        <f>HYPERLINK("https://my.pitchbook.com?c=102106-63T","View Company Online")</f>
        <v>View Company Online</v>
      </c>
    </row>
    <row r="12282" spans="1:18" hidden="1" x14ac:dyDescent="0.3">
      <c r="A12282" s="9" t="s">
        <v>34468</v>
      </c>
      <c r="B12282" s="9" t="s">
        <v>34469</v>
      </c>
      <c r="C12282" s="11" t="s">
        <v>28</v>
      </c>
      <c r="D12282" s="9" t="s">
        <v>34470</v>
      </c>
      <c r="E12282" s="11" t="s">
        <v>28</v>
      </c>
      <c r="F12282" s="10" t="s">
        <v>28</v>
      </c>
      <c r="G12282" s="10" t="s">
        <v>28</v>
      </c>
      <c r="H12282" s="10" t="s">
        <v>28</v>
      </c>
      <c r="I12282" s="11" t="s">
        <v>28</v>
      </c>
      <c r="J12282" s="11" t="s">
        <v>28</v>
      </c>
      <c r="K12282" s="11" t="s">
        <v>28</v>
      </c>
      <c r="L12282" s="11" t="s">
        <v>28</v>
      </c>
      <c r="M12282" s="11" t="s">
        <v>28</v>
      </c>
      <c r="N12282" s="8">
        <v>40185</v>
      </c>
      <c r="O12282" s="9" t="s">
        <v>173</v>
      </c>
      <c r="P12282" s="12" t="s">
        <v>28</v>
      </c>
      <c r="Q12282" s="9" t="s">
        <v>174</v>
      </c>
      <c r="R12282" s="14" t="str">
        <f>HYPERLINK("https://my.pitchbook.com?c=224109-28T","View Company Online")</f>
        <v>View Company Online</v>
      </c>
    </row>
    <row r="12283" spans="1:18" hidden="1" x14ac:dyDescent="0.3">
      <c r="A12283" s="15" t="s">
        <v>34471</v>
      </c>
      <c r="B12283" s="15" t="s">
        <v>34472</v>
      </c>
      <c r="C12283" s="18" t="s">
        <v>28</v>
      </c>
      <c r="D12283" s="15" t="s">
        <v>34473</v>
      </c>
      <c r="E12283" s="18" t="s">
        <v>28</v>
      </c>
      <c r="F12283" s="19" t="s">
        <v>28</v>
      </c>
      <c r="G12283" s="19" t="s">
        <v>28</v>
      </c>
      <c r="H12283" s="19" t="s">
        <v>28</v>
      </c>
      <c r="I12283" s="18" t="s">
        <v>28</v>
      </c>
      <c r="J12283" s="18" t="s">
        <v>28</v>
      </c>
      <c r="K12283" s="18" t="s">
        <v>28</v>
      </c>
      <c r="L12283" s="18" t="s">
        <v>28</v>
      </c>
      <c r="M12283" s="18" t="s">
        <v>28</v>
      </c>
      <c r="N12283" s="17">
        <v>40184</v>
      </c>
      <c r="O12283" s="15" t="s">
        <v>30</v>
      </c>
      <c r="P12283" s="16" t="s">
        <v>30936</v>
      </c>
      <c r="Q12283" s="15" t="s">
        <v>114</v>
      </c>
      <c r="R12283" s="13" t="str">
        <f>HYPERLINK("https://my.pitchbook.com?c=90331-39T","View Company Online")</f>
        <v>View Company Online</v>
      </c>
    </row>
    <row r="12284" spans="1:18" hidden="1" x14ac:dyDescent="0.3">
      <c r="A12284" s="9" t="s">
        <v>34474</v>
      </c>
      <c r="B12284" s="9" t="s">
        <v>28837</v>
      </c>
      <c r="C12284" s="11" t="s">
        <v>28</v>
      </c>
      <c r="D12284" s="9" t="s">
        <v>28838</v>
      </c>
      <c r="E12284" s="11" t="s">
        <v>28</v>
      </c>
      <c r="F12284" s="10" t="s">
        <v>28</v>
      </c>
      <c r="G12284" s="10">
        <v>5</v>
      </c>
      <c r="H12284" s="10" t="s">
        <v>28</v>
      </c>
      <c r="I12284" s="11" t="s">
        <v>28</v>
      </c>
      <c r="J12284" s="11" t="s">
        <v>28</v>
      </c>
      <c r="K12284" s="11" t="s">
        <v>28</v>
      </c>
      <c r="L12284" s="11" t="s">
        <v>28</v>
      </c>
      <c r="M12284" s="11" t="s">
        <v>28</v>
      </c>
      <c r="N12284" s="8">
        <v>40184</v>
      </c>
      <c r="O12284" s="9" t="s">
        <v>79</v>
      </c>
      <c r="P12284" s="12" t="s">
        <v>34475</v>
      </c>
      <c r="Q12284" s="9" t="s">
        <v>75</v>
      </c>
      <c r="R12284" s="14" t="str">
        <f>HYPERLINK("https://my.pitchbook.com?c=33286-60T","View Company Online")</f>
        <v>View Company Online</v>
      </c>
    </row>
    <row r="12285" spans="1:18" hidden="1" x14ac:dyDescent="0.3">
      <c r="A12285" s="15" t="s">
        <v>34476</v>
      </c>
      <c r="B12285" s="15" t="s">
        <v>34477</v>
      </c>
      <c r="C12285" s="18" t="s">
        <v>28</v>
      </c>
      <c r="D12285" s="15" t="s">
        <v>34478</v>
      </c>
      <c r="E12285" s="18" t="s">
        <v>28</v>
      </c>
      <c r="F12285" s="19">
        <v>2.73</v>
      </c>
      <c r="G12285" s="19">
        <v>2.73</v>
      </c>
      <c r="H12285" s="19">
        <v>2.73</v>
      </c>
      <c r="I12285" s="18" t="s">
        <v>28</v>
      </c>
      <c r="J12285" s="18" t="s">
        <v>28</v>
      </c>
      <c r="K12285" s="18" t="s">
        <v>28</v>
      </c>
      <c r="L12285" s="18" t="s">
        <v>28</v>
      </c>
      <c r="M12285" s="18" t="s">
        <v>28</v>
      </c>
      <c r="N12285" s="17">
        <v>40183</v>
      </c>
      <c r="O12285" s="15" t="s">
        <v>30</v>
      </c>
      <c r="P12285" s="16" t="s">
        <v>4262</v>
      </c>
      <c r="Q12285" s="15" t="s">
        <v>245</v>
      </c>
      <c r="R12285" s="13" t="str">
        <f>HYPERLINK("https://my.pitchbook.com?c=169906-78T","View Company Online")</f>
        <v>View Company Online</v>
      </c>
    </row>
    <row r="12286" spans="1:18" hidden="1" x14ac:dyDescent="0.3">
      <c r="A12286" s="9" t="s">
        <v>34479</v>
      </c>
      <c r="B12286" s="9" t="s">
        <v>34480</v>
      </c>
      <c r="C12286" s="11" t="s">
        <v>28</v>
      </c>
      <c r="D12286" s="9" t="s">
        <v>34481</v>
      </c>
      <c r="E12286" s="11" t="s">
        <v>28</v>
      </c>
      <c r="F12286" s="10" t="s">
        <v>28</v>
      </c>
      <c r="G12286" s="10">
        <v>0.01</v>
      </c>
      <c r="H12286" s="10">
        <v>0.02</v>
      </c>
      <c r="I12286" s="11" t="s">
        <v>28</v>
      </c>
      <c r="J12286" s="11" t="s">
        <v>28</v>
      </c>
      <c r="K12286" s="11" t="s">
        <v>28</v>
      </c>
      <c r="L12286" s="11" t="s">
        <v>28</v>
      </c>
      <c r="M12286" s="11" t="s">
        <v>28</v>
      </c>
      <c r="N12286" s="8">
        <v>40183</v>
      </c>
      <c r="O12286" s="9" t="s">
        <v>58</v>
      </c>
      <c r="P12286" s="12" t="s">
        <v>34250</v>
      </c>
      <c r="Q12286" s="9" t="s">
        <v>75</v>
      </c>
      <c r="R12286" s="14" t="str">
        <f>HYPERLINK("https://my.pitchbook.com?c=91624-33T","View Company Online")</f>
        <v>View Company Online</v>
      </c>
    </row>
    <row r="12287" spans="1:18" hidden="1" x14ac:dyDescent="0.3">
      <c r="A12287" s="15" t="s">
        <v>34482</v>
      </c>
      <c r="B12287" s="15" t="s">
        <v>34483</v>
      </c>
      <c r="C12287" s="18" t="s">
        <v>28</v>
      </c>
      <c r="D12287" s="15" t="s">
        <v>34484</v>
      </c>
      <c r="E12287" s="18" t="s">
        <v>28</v>
      </c>
      <c r="F12287" s="19">
        <v>1.32</v>
      </c>
      <c r="G12287" s="19">
        <v>1.32</v>
      </c>
      <c r="H12287" s="19">
        <v>1.32</v>
      </c>
      <c r="I12287" s="18" t="s">
        <v>28</v>
      </c>
      <c r="J12287" s="18" t="s">
        <v>28</v>
      </c>
      <c r="K12287" s="18" t="s">
        <v>28</v>
      </c>
      <c r="L12287" s="18" t="s">
        <v>28</v>
      </c>
      <c r="M12287" s="18" t="s">
        <v>28</v>
      </c>
      <c r="N12287" s="17">
        <v>40182</v>
      </c>
      <c r="O12287" s="15" t="s">
        <v>30</v>
      </c>
      <c r="P12287" s="16" t="s">
        <v>34485</v>
      </c>
      <c r="Q12287" s="15" t="s">
        <v>1051</v>
      </c>
      <c r="R12287" s="13" t="str">
        <f>HYPERLINK("https://my.pitchbook.com?c=118364-68T","View Company Online")</f>
        <v>View Company Online</v>
      </c>
    </row>
    <row r="12288" spans="1:18" hidden="1" x14ac:dyDescent="0.3">
      <c r="A12288" s="9" t="s">
        <v>34486</v>
      </c>
      <c r="B12288" s="9" t="s">
        <v>34487</v>
      </c>
      <c r="C12288" s="11" t="s">
        <v>28</v>
      </c>
      <c r="D12288" s="9" t="s">
        <v>34488</v>
      </c>
      <c r="E12288" s="11" t="s">
        <v>28</v>
      </c>
      <c r="F12288" s="10" t="s">
        <v>28</v>
      </c>
      <c r="G12288" s="10" t="s">
        <v>28</v>
      </c>
      <c r="H12288" s="10" t="s">
        <v>28</v>
      </c>
      <c r="I12288" s="11" t="s">
        <v>28</v>
      </c>
      <c r="J12288" s="11" t="s">
        <v>28</v>
      </c>
      <c r="K12288" s="11" t="s">
        <v>28</v>
      </c>
      <c r="L12288" s="11" t="s">
        <v>28</v>
      </c>
      <c r="M12288" s="11" t="s">
        <v>28</v>
      </c>
      <c r="N12288" s="8">
        <v>40182</v>
      </c>
      <c r="O12288" s="9" t="s">
        <v>30</v>
      </c>
      <c r="P12288" s="12" t="s">
        <v>34489</v>
      </c>
      <c r="Q12288" s="9" t="s">
        <v>85</v>
      </c>
      <c r="R12288" s="14" t="str">
        <f>HYPERLINK("https://my.pitchbook.com?c=91780-30T","View Company Online")</f>
        <v>View Company Online</v>
      </c>
    </row>
    <row r="12289" spans="1:18" hidden="1" x14ac:dyDescent="0.3">
      <c r="A12289" s="15" t="s">
        <v>34490</v>
      </c>
      <c r="B12289" s="15" t="s">
        <v>23505</v>
      </c>
      <c r="C12289" s="18" t="s">
        <v>28</v>
      </c>
      <c r="D12289" s="15" t="s">
        <v>23506</v>
      </c>
      <c r="E12289" s="18" t="s">
        <v>28</v>
      </c>
      <c r="F12289" s="19" t="s">
        <v>28</v>
      </c>
      <c r="G12289" s="19" t="s">
        <v>28</v>
      </c>
      <c r="H12289" s="19" t="s">
        <v>28</v>
      </c>
      <c r="I12289" s="18" t="s">
        <v>28</v>
      </c>
      <c r="J12289" s="18" t="s">
        <v>28</v>
      </c>
      <c r="K12289" s="18" t="s">
        <v>28</v>
      </c>
      <c r="L12289" s="18" t="s">
        <v>28</v>
      </c>
      <c r="M12289" s="18" t="s">
        <v>28</v>
      </c>
      <c r="N12289" s="17">
        <v>40179</v>
      </c>
      <c r="O12289" s="15" t="s">
        <v>30</v>
      </c>
      <c r="P12289" s="16" t="s">
        <v>28</v>
      </c>
      <c r="Q12289" s="15" t="s">
        <v>95</v>
      </c>
      <c r="R12289" s="13" t="str">
        <f>HYPERLINK("https://my.pitchbook.com?c=111222-46T","View Company Online")</f>
        <v>View Company Online</v>
      </c>
    </row>
    <row r="12290" spans="1:18" hidden="1" x14ac:dyDescent="0.3">
      <c r="A12290" s="9" t="s">
        <v>34491</v>
      </c>
      <c r="B12290" s="9" t="s">
        <v>34492</v>
      </c>
      <c r="C12290" s="11" t="s">
        <v>28</v>
      </c>
      <c r="D12290" s="9" t="s">
        <v>34493</v>
      </c>
      <c r="E12290" s="11" t="s">
        <v>28</v>
      </c>
      <c r="F12290" s="10" t="s">
        <v>28</v>
      </c>
      <c r="G12290" s="10" t="s">
        <v>28</v>
      </c>
      <c r="H12290" s="10" t="s">
        <v>28</v>
      </c>
      <c r="I12290" s="11" t="s">
        <v>28</v>
      </c>
      <c r="J12290" s="11" t="s">
        <v>28</v>
      </c>
      <c r="K12290" s="11" t="s">
        <v>28</v>
      </c>
      <c r="L12290" s="11" t="s">
        <v>28</v>
      </c>
      <c r="M12290" s="11" t="s">
        <v>28</v>
      </c>
      <c r="N12290" s="8">
        <v>40179</v>
      </c>
      <c r="O12290" s="9" t="s">
        <v>30</v>
      </c>
      <c r="P12290" s="12" t="s">
        <v>33684</v>
      </c>
      <c r="Q12290" s="9" t="s">
        <v>14647</v>
      </c>
      <c r="R12290" s="14" t="str">
        <f>HYPERLINK("https://my.pitchbook.com?c=102891-79T","View Company Online")</f>
        <v>View Company Online</v>
      </c>
    </row>
    <row r="12291" spans="1:18" hidden="1" x14ac:dyDescent="0.3">
      <c r="A12291" s="15" t="s">
        <v>34494</v>
      </c>
      <c r="B12291" s="15" t="s">
        <v>17494</v>
      </c>
      <c r="C12291" s="18" t="s">
        <v>28</v>
      </c>
      <c r="D12291" s="15" t="s">
        <v>17495</v>
      </c>
      <c r="E12291" s="18" t="s">
        <v>28</v>
      </c>
      <c r="F12291" s="19" t="s">
        <v>28</v>
      </c>
      <c r="G12291" s="19" t="s">
        <v>28</v>
      </c>
      <c r="H12291" s="19" t="s">
        <v>28</v>
      </c>
      <c r="I12291" s="18" t="s">
        <v>28</v>
      </c>
      <c r="J12291" s="18" t="s">
        <v>28</v>
      </c>
      <c r="K12291" s="18" t="s">
        <v>28</v>
      </c>
      <c r="L12291" s="18" t="s">
        <v>28</v>
      </c>
      <c r="M12291" s="18" t="s">
        <v>28</v>
      </c>
      <c r="N12291" s="17">
        <v>40179</v>
      </c>
      <c r="O12291" s="15" t="s">
        <v>30</v>
      </c>
      <c r="P12291" s="16" t="s">
        <v>63</v>
      </c>
      <c r="Q12291" s="15" t="s">
        <v>331</v>
      </c>
      <c r="R12291" s="13" t="str">
        <f>HYPERLINK("https://my.pitchbook.com?c=89797-15T","View Company Online")</f>
        <v>View Company Online</v>
      </c>
    </row>
    <row r="12292" spans="1:18" hidden="1" x14ac:dyDescent="0.3">
      <c r="A12292" s="9" t="s">
        <v>34495</v>
      </c>
      <c r="B12292" s="9" t="s">
        <v>34496</v>
      </c>
      <c r="C12292" s="11" t="s">
        <v>28</v>
      </c>
      <c r="D12292" s="9" t="s">
        <v>34497</v>
      </c>
      <c r="E12292" s="11" t="s">
        <v>28</v>
      </c>
      <c r="F12292" s="10" t="s">
        <v>28</v>
      </c>
      <c r="G12292" s="10" t="s">
        <v>28</v>
      </c>
      <c r="H12292" s="10" t="s">
        <v>28</v>
      </c>
      <c r="I12292" s="11" t="s">
        <v>28</v>
      </c>
      <c r="J12292" s="11" t="s">
        <v>28</v>
      </c>
      <c r="K12292" s="11" t="s">
        <v>28</v>
      </c>
      <c r="L12292" s="11" t="s">
        <v>28</v>
      </c>
      <c r="M12292" s="11" t="s">
        <v>28</v>
      </c>
      <c r="N12292" s="8">
        <v>40179</v>
      </c>
      <c r="O12292" s="9" t="s">
        <v>52</v>
      </c>
      <c r="P12292" s="12" t="s">
        <v>9723</v>
      </c>
      <c r="Q12292" s="9" t="s">
        <v>1191</v>
      </c>
      <c r="R12292" s="14" t="str">
        <f>HYPERLINK("https://my.pitchbook.com?c=99104-23T","View Company Online")</f>
        <v>View Company Online</v>
      </c>
    </row>
    <row r="12293" spans="1:18" hidden="1" x14ac:dyDescent="0.3">
      <c r="A12293" s="15" t="s">
        <v>34498</v>
      </c>
      <c r="B12293" s="15" t="s">
        <v>12583</v>
      </c>
      <c r="C12293" s="18" t="s">
        <v>28</v>
      </c>
      <c r="D12293" s="15" t="s">
        <v>12584</v>
      </c>
      <c r="E12293" s="18" t="s">
        <v>28</v>
      </c>
      <c r="F12293" s="19" t="s">
        <v>28</v>
      </c>
      <c r="G12293" s="19" t="s">
        <v>28</v>
      </c>
      <c r="H12293" s="19" t="s">
        <v>28</v>
      </c>
      <c r="I12293" s="18" t="s">
        <v>28</v>
      </c>
      <c r="J12293" s="18" t="s">
        <v>28</v>
      </c>
      <c r="K12293" s="18" t="s">
        <v>28</v>
      </c>
      <c r="L12293" s="18" t="s">
        <v>28</v>
      </c>
      <c r="M12293" s="18" t="s">
        <v>28</v>
      </c>
      <c r="N12293" s="17">
        <v>40179</v>
      </c>
      <c r="O12293" s="15" t="s">
        <v>41</v>
      </c>
      <c r="P12293" s="16" t="s">
        <v>18830</v>
      </c>
      <c r="Q12293" s="15" t="s">
        <v>75</v>
      </c>
      <c r="R12293" s="13" t="str">
        <f>HYPERLINK("https://my.pitchbook.com?c=112216-33T","View Company Online")</f>
        <v>View Company Online</v>
      </c>
    </row>
    <row r="12294" spans="1:18" hidden="1" x14ac:dyDescent="0.3">
      <c r="A12294" s="9" t="s">
        <v>34499</v>
      </c>
      <c r="B12294" s="9" t="s">
        <v>34500</v>
      </c>
      <c r="C12294" s="11" t="s">
        <v>28</v>
      </c>
      <c r="D12294" s="9" t="s">
        <v>34501</v>
      </c>
      <c r="E12294" s="11" t="s">
        <v>28</v>
      </c>
      <c r="F12294" s="10" t="s">
        <v>28</v>
      </c>
      <c r="G12294" s="10" t="s">
        <v>28</v>
      </c>
      <c r="H12294" s="10" t="s">
        <v>28</v>
      </c>
      <c r="I12294" s="11" t="s">
        <v>28</v>
      </c>
      <c r="J12294" s="11" t="s">
        <v>28</v>
      </c>
      <c r="K12294" s="11" t="s">
        <v>28</v>
      </c>
      <c r="L12294" s="11" t="s">
        <v>28</v>
      </c>
      <c r="M12294" s="11" t="s">
        <v>28</v>
      </c>
      <c r="N12294" s="8">
        <v>40179</v>
      </c>
      <c r="O12294" s="9" t="s">
        <v>30</v>
      </c>
      <c r="P12294" s="12" t="s">
        <v>28</v>
      </c>
      <c r="Q12294" s="9" t="s">
        <v>16253</v>
      </c>
      <c r="R12294" s="14" t="str">
        <f>HYPERLINK("https://my.pitchbook.com?c=269926-75T","View Company Online")</f>
        <v>View Company Online</v>
      </c>
    </row>
    <row r="12295" spans="1:18" hidden="1" x14ac:dyDescent="0.3">
      <c r="A12295" s="15" t="s">
        <v>34502</v>
      </c>
      <c r="B12295" s="15" t="s">
        <v>34503</v>
      </c>
      <c r="C12295" s="18" t="s">
        <v>28</v>
      </c>
      <c r="D12295" s="15" t="s">
        <v>34504</v>
      </c>
      <c r="E12295" s="18" t="s">
        <v>28</v>
      </c>
      <c r="F12295" s="19" t="s">
        <v>28</v>
      </c>
      <c r="G12295" s="19" t="s">
        <v>28</v>
      </c>
      <c r="H12295" s="19" t="s">
        <v>28</v>
      </c>
      <c r="I12295" s="18" t="s">
        <v>28</v>
      </c>
      <c r="J12295" s="18" t="s">
        <v>28</v>
      </c>
      <c r="K12295" s="18" t="s">
        <v>28</v>
      </c>
      <c r="L12295" s="18" t="s">
        <v>28</v>
      </c>
      <c r="M12295" s="18" t="s">
        <v>28</v>
      </c>
      <c r="N12295" s="17">
        <v>40179</v>
      </c>
      <c r="O12295" s="15" t="s">
        <v>79</v>
      </c>
      <c r="P12295" s="16" t="s">
        <v>25200</v>
      </c>
      <c r="Q12295" s="15" t="s">
        <v>235</v>
      </c>
      <c r="R12295" s="13" t="str">
        <f>HYPERLINK("https://my.pitchbook.com?c=77711-77T","View Company Online")</f>
        <v>View Company Online</v>
      </c>
    </row>
    <row r="12296" spans="1:18" hidden="1" x14ac:dyDescent="0.3">
      <c r="A12296" s="9" t="s">
        <v>34505</v>
      </c>
      <c r="B12296" s="9" t="s">
        <v>34506</v>
      </c>
      <c r="C12296" s="11" t="s">
        <v>28</v>
      </c>
      <c r="D12296" s="9" t="s">
        <v>34507</v>
      </c>
      <c r="E12296" s="11" t="s">
        <v>28</v>
      </c>
      <c r="F12296" s="10" t="s">
        <v>28</v>
      </c>
      <c r="G12296" s="10" t="s">
        <v>28</v>
      </c>
      <c r="H12296" s="10" t="s">
        <v>28</v>
      </c>
      <c r="I12296" s="11" t="s">
        <v>28</v>
      </c>
      <c r="J12296" s="11" t="s">
        <v>28</v>
      </c>
      <c r="K12296" s="11" t="s">
        <v>28</v>
      </c>
      <c r="L12296" s="11" t="s">
        <v>28</v>
      </c>
      <c r="M12296" s="11" t="s">
        <v>28</v>
      </c>
      <c r="N12296" s="8">
        <v>40179</v>
      </c>
      <c r="O12296" s="9" t="s">
        <v>30</v>
      </c>
      <c r="P12296" s="12" t="s">
        <v>34508</v>
      </c>
      <c r="Q12296" s="9" t="s">
        <v>6142</v>
      </c>
      <c r="R12296" s="14" t="str">
        <f>HYPERLINK("https://my.pitchbook.com?c=97988-41T","View Company Online")</f>
        <v>View Company Online</v>
      </c>
    </row>
    <row r="12297" spans="1:18" hidden="1" x14ac:dyDescent="0.3">
      <c r="A12297" s="15" t="s">
        <v>34509</v>
      </c>
      <c r="B12297" s="15" t="s">
        <v>34510</v>
      </c>
      <c r="C12297" s="18" t="s">
        <v>28</v>
      </c>
      <c r="D12297" s="15" t="s">
        <v>34511</v>
      </c>
      <c r="E12297" s="18" t="s">
        <v>28</v>
      </c>
      <c r="F12297" s="19" t="s">
        <v>28</v>
      </c>
      <c r="G12297" s="19" t="s">
        <v>28</v>
      </c>
      <c r="H12297" s="19" t="s">
        <v>28</v>
      </c>
      <c r="I12297" s="18" t="s">
        <v>28</v>
      </c>
      <c r="J12297" s="18" t="s">
        <v>28</v>
      </c>
      <c r="K12297" s="18" t="s">
        <v>28</v>
      </c>
      <c r="L12297" s="18" t="s">
        <v>28</v>
      </c>
      <c r="M12297" s="18" t="s">
        <v>28</v>
      </c>
      <c r="N12297" s="17">
        <v>40179</v>
      </c>
      <c r="O12297" s="15" t="s">
        <v>30</v>
      </c>
      <c r="P12297" s="16" t="s">
        <v>4866</v>
      </c>
      <c r="Q12297" s="15" t="s">
        <v>105</v>
      </c>
      <c r="R12297" s="13" t="str">
        <f>HYPERLINK("https://my.pitchbook.com?c=73515-70T","View Company Online")</f>
        <v>View Company Online</v>
      </c>
    </row>
    <row r="12298" spans="1:18" hidden="1" x14ac:dyDescent="0.3">
      <c r="A12298" s="9" t="s">
        <v>34512</v>
      </c>
      <c r="B12298" s="9" t="s">
        <v>34513</v>
      </c>
      <c r="C12298" s="11" t="s">
        <v>28</v>
      </c>
      <c r="D12298" s="9" t="s">
        <v>34514</v>
      </c>
      <c r="E12298" s="11" t="s">
        <v>28</v>
      </c>
      <c r="F12298" s="10" t="s">
        <v>28</v>
      </c>
      <c r="G12298" s="10" t="s">
        <v>28</v>
      </c>
      <c r="H12298" s="10" t="s">
        <v>28</v>
      </c>
      <c r="I12298" s="11" t="s">
        <v>28</v>
      </c>
      <c r="J12298" s="11" t="s">
        <v>28</v>
      </c>
      <c r="K12298" s="11" t="s">
        <v>28</v>
      </c>
      <c r="L12298" s="11" t="s">
        <v>28</v>
      </c>
      <c r="M12298" s="11" t="s">
        <v>28</v>
      </c>
      <c r="N12298" s="8">
        <v>40179</v>
      </c>
      <c r="O12298" s="9" t="s">
        <v>30</v>
      </c>
      <c r="P12298" s="12" t="s">
        <v>32097</v>
      </c>
      <c r="Q12298" s="9" t="s">
        <v>245</v>
      </c>
      <c r="R12298" s="14" t="str">
        <f>HYPERLINK("https://my.pitchbook.com?c=266662-45T","View Company Online")</f>
        <v>View Company Online</v>
      </c>
    </row>
    <row r="12299" spans="1:18" hidden="1" x14ac:dyDescent="0.3">
      <c r="A12299" s="15" t="s">
        <v>34515</v>
      </c>
      <c r="B12299" s="15" t="s">
        <v>30793</v>
      </c>
      <c r="C12299" s="18" t="s">
        <v>28</v>
      </c>
      <c r="D12299" s="15" t="s">
        <v>30794</v>
      </c>
      <c r="E12299" s="18" t="s">
        <v>28</v>
      </c>
      <c r="F12299" s="19" t="s">
        <v>28</v>
      </c>
      <c r="G12299" s="19" t="s">
        <v>28</v>
      </c>
      <c r="H12299" s="19" t="s">
        <v>28</v>
      </c>
      <c r="I12299" s="18" t="s">
        <v>28</v>
      </c>
      <c r="J12299" s="18" t="s">
        <v>28</v>
      </c>
      <c r="K12299" s="18" t="s">
        <v>28</v>
      </c>
      <c r="L12299" s="18" t="s">
        <v>28</v>
      </c>
      <c r="M12299" s="18" t="s">
        <v>28</v>
      </c>
      <c r="N12299" s="17">
        <v>40179</v>
      </c>
      <c r="O12299" s="15" t="s">
        <v>30</v>
      </c>
      <c r="P12299" s="16" t="s">
        <v>34516</v>
      </c>
      <c r="Q12299" s="15" t="s">
        <v>69</v>
      </c>
      <c r="R12299" s="13" t="str">
        <f>HYPERLINK("https://my.pitchbook.com?c=203402-53T","View Company Online")</f>
        <v>View Company Online</v>
      </c>
    </row>
    <row r="12300" spans="1:18" hidden="1" x14ac:dyDescent="0.3">
      <c r="A12300" s="9" t="s">
        <v>34517</v>
      </c>
      <c r="B12300" s="9" t="s">
        <v>30367</v>
      </c>
      <c r="C12300" s="11" t="s">
        <v>28</v>
      </c>
      <c r="D12300" s="9" t="s">
        <v>30368</v>
      </c>
      <c r="E12300" s="11" t="s">
        <v>28</v>
      </c>
      <c r="F12300" s="10" t="s">
        <v>28</v>
      </c>
      <c r="G12300" s="10" t="s">
        <v>28</v>
      </c>
      <c r="H12300" s="10" t="s">
        <v>28</v>
      </c>
      <c r="I12300" s="11" t="s">
        <v>28</v>
      </c>
      <c r="J12300" s="11" t="s">
        <v>28</v>
      </c>
      <c r="K12300" s="11" t="s">
        <v>28</v>
      </c>
      <c r="L12300" s="11" t="s">
        <v>28</v>
      </c>
      <c r="M12300" s="11" t="s">
        <v>28</v>
      </c>
      <c r="N12300" s="8">
        <v>40179</v>
      </c>
      <c r="O12300" s="9" t="s">
        <v>30</v>
      </c>
      <c r="P12300" s="12" t="s">
        <v>34518</v>
      </c>
      <c r="Q12300" s="9" t="s">
        <v>409</v>
      </c>
      <c r="R12300" s="14" t="str">
        <f>HYPERLINK("https://my.pitchbook.com?c=281467-54T","View Company Online")</f>
        <v>View Company Online</v>
      </c>
    </row>
    <row r="12301" spans="1:18" hidden="1" x14ac:dyDescent="0.3">
      <c r="A12301" s="15" t="s">
        <v>34519</v>
      </c>
      <c r="B12301" s="15" t="s">
        <v>34520</v>
      </c>
      <c r="C12301" s="18" t="s">
        <v>28</v>
      </c>
      <c r="D12301" s="15" t="s">
        <v>34521</v>
      </c>
      <c r="E12301" s="18" t="s">
        <v>28</v>
      </c>
      <c r="F12301" s="19" t="s">
        <v>28</v>
      </c>
      <c r="G12301" s="19" t="s">
        <v>28</v>
      </c>
      <c r="H12301" s="19" t="s">
        <v>28</v>
      </c>
      <c r="I12301" s="18" t="s">
        <v>28</v>
      </c>
      <c r="J12301" s="18" t="s">
        <v>28</v>
      </c>
      <c r="K12301" s="18" t="s">
        <v>28</v>
      </c>
      <c r="L12301" s="18" t="s">
        <v>28</v>
      </c>
      <c r="M12301" s="18" t="s">
        <v>28</v>
      </c>
      <c r="N12301" s="17">
        <v>40179</v>
      </c>
      <c r="O12301" s="15" t="s">
        <v>30</v>
      </c>
      <c r="P12301" s="16" t="s">
        <v>34522</v>
      </c>
      <c r="Q12301" s="15" t="s">
        <v>371</v>
      </c>
      <c r="R12301" s="13" t="str">
        <f>HYPERLINK("https://my.pitchbook.com?c=133574-32T","View Company Online")</f>
        <v>View Company Online</v>
      </c>
    </row>
    <row r="12302" spans="1:18" hidden="1" x14ac:dyDescent="0.3">
      <c r="A12302" s="9" t="s">
        <v>34523</v>
      </c>
      <c r="B12302" s="9" t="s">
        <v>28664</v>
      </c>
      <c r="C12302" s="11" t="s">
        <v>28</v>
      </c>
      <c r="D12302" s="9" t="s">
        <v>28665</v>
      </c>
      <c r="E12302" s="11" t="s">
        <v>28</v>
      </c>
      <c r="F12302" s="10">
        <v>69.98</v>
      </c>
      <c r="G12302" s="10">
        <v>68.58</v>
      </c>
      <c r="H12302" s="10">
        <v>69.98</v>
      </c>
      <c r="I12302" s="11" t="s">
        <v>28</v>
      </c>
      <c r="J12302" s="11" t="s">
        <v>28</v>
      </c>
      <c r="K12302" s="11" t="s">
        <v>28</v>
      </c>
      <c r="L12302" s="11" t="s">
        <v>28</v>
      </c>
      <c r="M12302" s="11" t="s">
        <v>28</v>
      </c>
      <c r="N12302" s="8">
        <v>40179</v>
      </c>
      <c r="O12302" s="9" t="s">
        <v>41</v>
      </c>
      <c r="P12302" s="12" t="s">
        <v>34524</v>
      </c>
      <c r="Q12302" s="9" t="s">
        <v>226</v>
      </c>
      <c r="R12302" s="14" t="str">
        <f>HYPERLINK("https://my.pitchbook.com?c=109882-72T","View Company Online")</f>
        <v>View Company Online</v>
      </c>
    </row>
    <row r="12303" spans="1:18" hidden="1" x14ac:dyDescent="0.3">
      <c r="A12303" s="15" t="s">
        <v>34525</v>
      </c>
      <c r="B12303" s="15" t="s">
        <v>18674</v>
      </c>
      <c r="C12303" s="18" t="s">
        <v>28</v>
      </c>
      <c r="D12303" s="15" t="s">
        <v>18675</v>
      </c>
      <c r="E12303" s="18" t="s">
        <v>28</v>
      </c>
      <c r="F12303" s="19" t="s">
        <v>28</v>
      </c>
      <c r="G12303" s="19">
        <v>7.2</v>
      </c>
      <c r="H12303" s="19">
        <v>16</v>
      </c>
      <c r="I12303" s="18" t="s">
        <v>28</v>
      </c>
      <c r="J12303" s="18" t="s">
        <v>28</v>
      </c>
      <c r="K12303" s="18">
        <v>1030.8</v>
      </c>
      <c r="L12303" s="18">
        <v>0.02</v>
      </c>
      <c r="M12303" s="18" t="s">
        <v>28</v>
      </c>
      <c r="N12303" s="17">
        <v>40179</v>
      </c>
      <c r="O12303" s="15" t="s">
        <v>93</v>
      </c>
      <c r="P12303" s="16" t="s">
        <v>34526</v>
      </c>
      <c r="Q12303" s="15" t="s">
        <v>85</v>
      </c>
      <c r="R12303" s="13" t="str">
        <f>HYPERLINK("https://my.pitchbook.com?c=32401-09T","View Company Online")</f>
        <v>View Company Online</v>
      </c>
    </row>
    <row r="12304" spans="1:18" hidden="1" x14ac:dyDescent="0.3">
      <c r="A12304" s="9" t="s">
        <v>34527</v>
      </c>
      <c r="B12304" s="9" t="s">
        <v>34528</v>
      </c>
      <c r="C12304" s="11" t="s">
        <v>28</v>
      </c>
      <c r="D12304" s="9" t="s">
        <v>34529</v>
      </c>
      <c r="E12304" s="11" t="s">
        <v>28</v>
      </c>
      <c r="F12304" s="10" t="s">
        <v>28</v>
      </c>
      <c r="G12304" s="10" t="s">
        <v>28</v>
      </c>
      <c r="H12304" s="10" t="s">
        <v>28</v>
      </c>
      <c r="I12304" s="11" t="s">
        <v>28</v>
      </c>
      <c r="J12304" s="11" t="s">
        <v>28</v>
      </c>
      <c r="K12304" s="11" t="s">
        <v>28</v>
      </c>
      <c r="L12304" s="11" t="s">
        <v>28</v>
      </c>
      <c r="M12304" s="11" t="s">
        <v>28</v>
      </c>
      <c r="N12304" s="8">
        <v>40179</v>
      </c>
      <c r="O12304" s="9" t="s">
        <v>30</v>
      </c>
      <c r="P12304" s="12" t="s">
        <v>28</v>
      </c>
      <c r="Q12304" s="9" t="s">
        <v>753</v>
      </c>
      <c r="R12304" s="14" t="str">
        <f>HYPERLINK("https://my.pitchbook.com?c=111222-19T","View Company Online")</f>
        <v>View Company Online</v>
      </c>
    </row>
    <row r="12305" spans="1:18" hidden="1" x14ac:dyDescent="0.3">
      <c r="A12305" s="15" t="s">
        <v>34530</v>
      </c>
      <c r="B12305" s="15" t="s">
        <v>5329</v>
      </c>
      <c r="C12305" s="18" t="s">
        <v>28</v>
      </c>
      <c r="D12305" s="15" t="s">
        <v>5330</v>
      </c>
      <c r="E12305" s="18" t="s">
        <v>28</v>
      </c>
      <c r="F12305" s="19" t="s">
        <v>28</v>
      </c>
      <c r="G12305" s="19" t="s">
        <v>28</v>
      </c>
      <c r="H12305" s="19" t="s">
        <v>28</v>
      </c>
      <c r="I12305" s="18" t="s">
        <v>28</v>
      </c>
      <c r="J12305" s="18" t="s">
        <v>28</v>
      </c>
      <c r="K12305" s="18" t="s">
        <v>28</v>
      </c>
      <c r="L12305" s="18" t="s">
        <v>28</v>
      </c>
      <c r="M12305" s="18" t="s">
        <v>28</v>
      </c>
      <c r="N12305" s="17">
        <v>40179</v>
      </c>
      <c r="O12305" s="15" t="s">
        <v>93</v>
      </c>
      <c r="P12305" s="16" t="s">
        <v>1612</v>
      </c>
      <c r="Q12305" s="15" t="s">
        <v>136</v>
      </c>
      <c r="R12305" s="13" t="str">
        <f>HYPERLINK("https://my.pitchbook.com?c=32386-51T","View Company Online")</f>
        <v>View Company Online</v>
      </c>
    </row>
    <row r="12306" spans="1:18" hidden="1" x14ac:dyDescent="0.3">
      <c r="A12306" s="9" t="s">
        <v>34531</v>
      </c>
      <c r="B12306" s="9" t="s">
        <v>34532</v>
      </c>
      <c r="C12306" s="11" t="s">
        <v>28</v>
      </c>
      <c r="D12306" s="9" t="s">
        <v>34533</v>
      </c>
      <c r="E12306" s="11" t="s">
        <v>28</v>
      </c>
      <c r="F12306" s="10" t="s">
        <v>28</v>
      </c>
      <c r="G12306" s="10" t="s">
        <v>28</v>
      </c>
      <c r="H12306" s="10" t="s">
        <v>28</v>
      </c>
      <c r="I12306" s="11" t="s">
        <v>28</v>
      </c>
      <c r="J12306" s="11" t="s">
        <v>28</v>
      </c>
      <c r="K12306" s="11" t="s">
        <v>28</v>
      </c>
      <c r="L12306" s="11" t="s">
        <v>28</v>
      </c>
      <c r="M12306" s="11" t="s">
        <v>28</v>
      </c>
      <c r="N12306" s="8">
        <v>40179</v>
      </c>
      <c r="O12306" s="9" t="s">
        <v>79</v>
      </c>
      <c r="P12306" s="12" t="s">
        <v>34534</v>
      </c>
      <c r="Q12306" s="9" t="s">
        <v>249</v>
      </c>
      <c r="R12306" s="14" t="str">
        <f>HYPERLINK("https://my.pitchbook.com?c=75357-37T","View Company Online")</f>
        <v>View Company Online</v>
      </c>
    </row>
    <row r="12307" spans="1:18" hidden="1" x14ac:dyDescent="0.3">
      <c r="A12307" s="15" t="s">
        <v>34535</v>
      </c>
      <c r="B12307" s="15" t="s">
        <v>34536</v>
      </c>
      <c r="C12307" s="18" t="s">
        <v>28</v>
      </c>
      <c r="D12307" s="15" t="s">
        <v>34537</v>
      </c>
      <c r="E12307" s="18" t="s">
        <v>28</v>
      </c>
      <c r="F12307" s="19">
        <v>14.6</v>
      </c>
      <c r="G12307" s="19">
        <v>14.6</v>
      </c>
      <c r="H12307" s="19">
        <v>14.6</v>
      </c>
      <c r="I12307" s="18" t="s">
        <v>28</v>
      </c>
      <c r="J12307" s="18" t="s">
        <v>28</v>
      </c>
      <c r="K12307" s="18" t="s">
        <v>28</v>
      </c>
      <c r="L12307" s="18" t="s">
        <v>28</v>
      </c>
      <c r="M12307" s="18" t="s">
        <v>28</v>
      </c>
      <c r="N12307" s="17">
        <v>40179</v>
      </c>
      <c r="O12307" s="15" t="s">
        <v>30</v>
      </c>
      <c r="P12307" s="16" t="s">
        <v>34538</v>
      </c>
      <c r="Q12307" s="15" t="s">
        <v>2043</v>
      </c>
      <c r="R12307" s="13" t="str">
        <f>HYPERLINK("https://my.pitchbook.com?c=228802-06T","View Company Online")</f>
        <v>View Company Online</v>
      </c>
    </row>
    <row r="12308" spans="1:18" hidden="1" x14ac:dyDescent="0.3">
      <c r="A12308" s="9" t="s">
        <v>34539</v>
      </c>
      <c r="B12308" s="9" t="s">
        <v>5553</v>
      </c>
      <c r="C12308" s="11" t="s">
        <v>28</v>
      </c>
      <c r="D12308" s="9" t="s">
        <v>5554</v>
      </c>
      <c r="E12308" s="11" t="s">
        <v>28</v>
      </c>
      <c r="F12308" s="10" t="s">
        <v>28</v>
      </c>
      <c r="G12308" s="10" t="s">
        <v>28</v>
      </c>
      <c r="H12308" s="10" t="s">
        <v>28</v>
      </c>
      <c r="I12308" s="11" t="s">
        <v>28</v>
      </c>
      <c r="J12308" s="11" t="s">
        <v>28</v>
      </c>
      <c r="K12308" s="11" t="s">
        <v>28</v>
      </c>
      <c r="L12308" s="11" t="s">
        <v>28</v>
      </c>
      <c r="M12308" s="11" t="s">
        <v>28</v>
      </c>
      <c r="N12308" s="8">
        <v>40179</v>
      </c>
      <c r="O12308" s="9" t="s">
        <v>41</v>
      </c>
      <c r="P12308" s="12" t="s">
        <v>34540</v>
      </c>
      <c r="Q12308" s="9" t="s">
        <v>5347</v>
      </c>
      <c r="R12308" s="14" t="str">
        <f>HYPERLINK("https://my.pitchbook.com?c=45560-17T","View Company Online")</f>
        <v>View Company Online</v>
      </c>
    </row>
    <row r="12309" spans="1:18" hidden="1" x14ac:dyDescent="0.3">
      <c r="A12309" s="15" t="s">
        <v>34541</v>
      </c>
      <c r="B12309" s="15" t="s">
        <v>34542</v>
      </c>
      <c r="C12309" s="18" t="s">
        <v>28</v>
      </c>
      <c r="D12309" s="15" t="s">
        <v>34543</v>
      </c>
      <c r="E12309" s="18" t="s">
        <v>28</v>
      </c>
      <c r="F12309" s="19" t="s">
        <v>28</v>
      </c>
      <c r="G12309" s="19" t="s">
        <v>28</v>
      </c>
      <c r="H12309" s="19" t="s">
        <v>28</v>
      </c>
      <c r="I12309" s="18" t="s">
        <v>28</v>
      </c>
      <c r="J12309" s="18" t="s">
        <v>28</v>
      </c>
      <c r="K12309" s="18" t="s">
        <v>28</v>
      </c>
      <c r="L12309" s="18" t="s">
        <v>28</v>
      </c>
      <c r="M12309" s="18" t="s">
        <v>28</v>
      </c>
      <c r="N12309" s="17">
        <v>40179</v>
      </c>
      <c r="O12309" s="15" t="s">
        <v>41</v>
      </c>
      <c r="P12309" s="16" t="s">
        <v>34544</v>
      </c>
      <c r="Q12309" s="15" t="s">
        <v>119</v>
      </c>
      <c r="R12309" s="13" t="str">
        <f>HYPERLINK("https://my.pitchbook.com?c=256737-16T","View Company Online")</f>
        <v>View Company Online</v>
      </c>
    </row>
    <row r="12310" spans="1:18" hidden="1" x14ac:dyDescent="0.3">
      <c r="A12310" s="9" t="s">
        <v>34545</v>
      </c>
      <c r="B12310" s="9" t="s">
        <v>34546</v>
      </c>
      <c r="C12310" s="11" t="s">
        <v>28</v>
      </c>
      <c r="D12310" s="9" t="s">
        <v>34547</v>
      </c>
      <c r="E12310" s="11">
        <v>1.54</v>
      </c>
      <c r="F12310" s="10" t="s">
        <v>28</v>
      </c>
      <c r="G12310" s="10" t="s">
        <v>28</v>
      </c>
      <c r="H12310" s="10" t="s">
        <v>28</v>
      </c>
      <c r="I12310" s="11">
        <v>11.52</v>
      </c>
      <c r="J12310" s="11" t="s">
        <v>28</v>
      </c>
      <c r="K12310" s="11">
        <v>237.92</v>
      </c>
      <c r="L12310" s="11" t="s">
        <v>28</v>
      </c>
      <c r="M12310" s="11">
        <v>6.41</v>
      </c>
      <c r="N12310" s="8">
        <v>40179</v>
      </c>
      <c r="O12310" s="9" t="s">
        <v>159</v>
      </c>
      <c r="P12310" s="12" t="s">
        <v>34548</v>
      </c>
      <c r="Q12310" s="9" t="s">
        <v>19850</v>
      </c>
      <c r="R12310" s="14" t="str">
        <f>HYPERLINK("https://my.pitchbook.com?c=75149-92T","View Company Online")</f>
        <v>View Company Online</v>
      </c>
    </row>
    <row r="12311" spans="1:18" hidden="1" x14ac:dyDescent="0.3">
      <c r="A12311" s="15" t="s">
        <v>34549</v>
      </c>
      <c r="B12311" s="15" t="s">
        <v>34546</v>
      </c>
      <c r="C12311" s="18" t="s">
        <v>28</v>
      </c>
      <c r="D12311" s="15" t="s">
        <v>34547</v>
      </c>
      <c r="E12311" s="18">
        <v>1.54</v>
      </c>
      <c r="F12311" s="19" t="s">
        <v>28</v>
      </c>
      <c r="G12311" s="19" t="s">
        <v>28</v>
      </c>
      <c r="H12311" s="19" t="s">
        <v>28</v>
      </c>
      <c r="I12311" s="18">
        <v>11.52</v>
      </c>
      <c r="J12311" s="18" t="s">
        <v>28</v>
      </c>
      <c r="K12311" s="18">
        <v>237.92</v>
      </c>
      <c r="L12311" s="18" t="s">
        <v>28</v>
      </c>
      <c r="M12311" s="18">
        <v>6.41</v>
      </c>
      <c r="N12311" s="17">
        <v>40179</v>
      </c>
      <c r="O12311" s="15" t="s">
        <v>159</v>
      </c>
      <c r="P12311" s="16" t="s">
        <v>34550</v>
      </c>
      <c r="Q12311" s="15" t="s">
        <v>19850</v>
      </c>
      <c r="R12311" s="13" t="str">
        <f>HYPERLINK("https://my.pitchbook.com?c=75151-18T","View Company Online")</f>
        <v>View Company Online</v>
      </c>
    </row>
    <row r="12312" spans="1:18" hidden="1" x14ac:dyDescent="0.3">
      <c r="A12312" s="9" t="s">
        <v>34551</v>
      </c>
      <c r="B12312" s="9" t="s">
        <v>14700</v>
      </c>
      <c r="C12312" s="11" t="s">
        <v>28</v>
      </c>
      <c r="D12312" s="9" t="s">
        <v>14701</v>
      </c>
      <c r="E12312" s="11" t="s">
        <v>28</v>
      </c>
      <c r="F12312" s="10" t="s">
        <v>28</v>
      </c>
      <c r="G12312" s="10" t="s">
        <v>28</v>
      </c>
      <c r="H12312" s="10" t="s">
        <v>28</v>
      </c>
      <c r="I12312" s="11" t="s">
        <v>28</v>
      </c>
      <c r="J12312" s="11" t="s">
        <v>28</v>
      </c>
      <c r="K12312" s="11" t="s">
        <v>28</v>
      </c>
      <c r="L12312" s="11" t="s">
        <v>28</v>
      </c>
      <c r="M12312" s="11" t="s">
        <v>28</v>
      </c>
      <c r="N12312" s="8">
        <v>40179</v>
      </c>
      <c r="O12312" s="9" t="s">
        <v>30</v>
      </c>
      <c r="P12312" s="12" t="s">
        <v>28</v>
      </c>
      <c r="Q12312" s="9" t="s">
        <v>75</v>
      </c>
      <c r="R12312" s="14" t="str">
        <f>HYPERLINK("https://my.pitchbook.com?c=178037-65T","View Company Online")</f>
        <v>View Company Online</v>
      </c>
    </row>
    <row r="12313" spans="1:18" hidden="1" x14ac:dyDescent="0.3">
      <c r="A12313" s="15" t="s">
        <v>34552</v>
      </c>
      <c r="B12313" s="15" t="s">
        <v>34553</v>
      </c>
      <c r="C12313" s="18" t="s">
        <v>28</v>
      </c>
      <c r="D12313" s="15" t="s">
        <v>34554</v>
      </c>
      <c r="E12313" s="18" t="s">
        <v>28</v>
      </c>
      <c r="F12313" s="19">
        <v>152.27000000000001</v>
      </c>
      <c r="G12313" s="19">
        <v>88.01</v>
      </c>
      <c r="H12313" s="19">
        <v>152.27000000000001</v>
      </c>
      <c r="I12313" s="18" t="s">
        <v>28</v>
      </c>
      <c r="J12313" s="18" t="s">
        <v>28</v>
      </c>
      <c r="K12313" s="18" t="s">
        <v>28</v>
      </c>
      <c r="L12313" s="18" t="s">
        <v>28</v>
      </c>
      <c r="M12313" s="18" t="s">
        <v>28</v>
      </c>
      <c r="N12313" s="17">
        <v>40179</v>
      </c>
      <c r="O12313" s="15" t="s">
        <v>30</v>
      </c>
      <c r="P12313" s="16" t="s">
        <v>34555</v>
      </c>
      <c r="Q12313" s="15" t="s">
        <v>119</v>
      </c>
      <c r="R12313" s="13" t="str">
        <f>HYPERLINK("https://my.pitchbook.com?c=246327-58T","View Company Online")</f>
        <v>View Company Online</v>
      </c>
    </row>
    <row r="12314" spans="1:18" hidden="1" x14ac:dyDescent="0.3">
      <c r="A12314" s="9" t="s">
        <v>34556</v>
      </c>
      <c r="B12314" s="9" t="s">
        <v>34557</v>
      </c>
      <c r="C12314" s="11" t="s">
        <v>28</v>
      </c>
      <c r="D12314" s="9" t="s">
        <v>20281</v>
      </c>
      <c r="E12314" s="11" t="s">
        <v>28</v>
      </c>
      <c r="F12314" s="10">
        <v>19.39</v>
      </c>
      <c r="G12314" s="10">
        <v>9.89</v>
      </c>
      <c r="H12314" s="10">
        <v>19.39</v>
      </c>
      <c r="I12314" s="11" t="s">
        <v>28</v>
      </c>
      <c r="J12314" s="11" t="s">
        <v>28</v>
      </c>
      <c r="K12314" s="11" t="s">
        <v>28</v>
      </c>
      <c r="L12314" s="11" t="s">
        <v>28</v>
      </c>
      <c r="M12314" s="11" t="s">
        <v>28</v>
      </c>
      <c r="N12314" s="8">
        <v>40179</v>
      </c>
      <c r="O12314" s="9" t="s">
        <v>30</v>
      </c>
      <c r="P12314" s="12" t="s">
        <v>33109</v>
      </c>
      <c r="Q12314" s="9" t="s">
        <v>119</v>
      </c>
      <c r="R12314" s="14" t="str">
        <f>HYPERLINK("https://my.pitchbook.com?c=228908-71T","View Company Online")</f>
        <v>View Company Online</v>
      </c>
    </row>
    <row r="12315" spans="1:18" hidden="1" x14ac:dyDescent="0.3">
      <c r="A12315" s="15" t="s">
        <v>34558</v>
      </c>
      <c r="B12315" s="15" t="s">
        <v>7560</v>
      </c>
      <c r="C12315" s="18" t="s">
        <v>28</v>
      </c>
      <c r="D12315" s="15" t="s">
        <v>7561</v>
      </c>
      <c r="E12315" s="18" t="s">
        <v>28</v>
      </c>
      <c r="F12315" s="19" t="s">
        <v>28</v>
      </c>
      <c r="G12315" s="19" t="s">
        <v>28</v>
      </c>
      <c r="H12315" s="19" t="s">
        <v>28</v>
      </c>
      <c r="I12315" s="18" t="s">
        <v>28</v>
      </c>
      <c r="J12315" s="18" t="s">
        <v>28</v>
      </c>
      <c r="K12315" s="18" t="s">
        <v>28</v>
      </c>
      <c r="L12315" s="18" t="s">
        <v>28</v>
      </c>
      <c r="M12315" s="18" t="s">
        <v>28</v>
      </c>
      <c r="N12315" s="17">
        <v>40179</v>
      </c>
      <c r="O12315" s="15" t="s">
        <v>41</v>
      </c>
      <c r="P12315" s="16" t="s">
        <v>30218</v>
      </c>
      <c r="Q12315" s="15" t="s">
        <v>470</v>
      </c>
      <c r="R12315" s="13" t="str">
        <f>HYPERLINK("https://my.pitchbook.com?c=16017-31T","View Company Online")</f>
        <v>View Company Online</v>
      </c>
    </row>
    <row r="12316" spans="1:18" hidden="1" x14ac:dyDescent="0.3">
      <c r="A12316" s="9" t="s">
        <v>34559</v>
      </c>
      <c r="B12316" s="9" t="s">
        <v>34560</v>
      </c>
      <c r="C12316" s="11" t="s">
        <v>28</v>
      </c>
      <c r="D12316" s="9" t="s">
        <v>34561</v>
      </c>
      <c r="E12316" s="11" t="s">
        <v>28</v>
      </c>
      <c r="F12316" s="10" t="s">
        <v>28</v>
      </c>
      <c r="G12316" s="10" t="s">
        <v>28</v>
      </c>
      <c r="H12316" s="10" t="s">
        <v>28</v>
      </c>
      <c r="I12316" s="11" t="s">
        <v>28</v>
      </c>
      <c r="J12316" s="11" t="s">
        <v>28</v>
      </c>
      <c r="K12316" s="11" t="s">
        <v>28</v>
      </c>
      <c r="L12316" s="11" t="s">
        <v>28</v>
      </c>
      <c r="M12316" s="11" t="s">
        <v>28</v>
      </c>
      <c r="N12316" s="8">
        <v>40179</v>
      </c>
      <c r="O12316" s="9" t="s">
        <v>30</v>
      </c>
      <c r="P12316" s="12" t="s">
        <v>28391</v>
      </c>
      <c r="Q12316" s="9" t="s">
        <v>95</v>
      </c>
      <c r="R12316" s="14" t="str">
        <f>HYPERLINK("https://my.pitchbook.com?c=211890-79T","View Company Online")</f>
        <v>View Company Online</v>
      </c>
    </row>
    <row r="12317" spans="1:18" hidden="1" x14ac:dyDescent="0.3">
      <c r="A12317" s="15" t="s">
        <v>34562</v>
      </c>
      <c r="B12317" s="15" t="s">
        <v>26943</v>
      </c>
      <c r="C12317" s="18" t="s">
        <v>28</v>
      </c>
      <c r="D12317" s="15" t="s">
        <v>26944</v>
      </c>
      <c r="E12317" s="18" t="s">
        <v>28</v>
      </c>
      <c r="F12317" s="19" t="s">
        <v>28</v>
      </c>
      <c r="G12317" s="19" t="s">
        <v>28</v>
      </c>
      <c r="H12317" s="19" t="s">
        <v>28</v>
      </c>
      <c r="I12317" s="18" t="s">
        <v>28</v>
      </c>
      <c r="J12317" s="18" t="s">
        <v>28</v>
      </c>
      <c r="K12317" s="18" t="s">
        <v>28</v>
      </c>
      <c r="L12317" s="18" t="s">
        <v>28</v>
      </c>
      <c r="M12317" s="18" t="s">
        <v>28</v>
      </c>
      <c r="N12317" s="17">
        <v>40179</v>
      </c>
      <c r="O12317" s="15" t="s">
        <v>47</v>
      </c>
      <c r="P12317" s="16" t="s">
        <v>3097</v>
      </c>
      <c r="Q12317" s="15" t="s">
        <v>362</v>
      </c>
      <c r="R12317" s="13" t="str">
        <f>HYPERLINK("https://my.pitchbook.com?c=98241-13T","View Company Online")</f>
        <v>View Company Online</v>
      </c>
    </row>
    <row r="12318" spans="1:18" hidden="1" x14ac:dyDescent="0.3">
      <c r="A12318" s="9" t="s">
        <v>34563</v>
      </c>
      <c r="B12318" s="9" t="s">
        <v>34564</v>
      </c>
      <c r="C12318" s="11" t="s">
        <v>28</v>
      </c>
      <c r="D12318" s="9" t="s">
        <v>34565</v>
      </c>
      <c r="E12318" s="11" t="s">
        <v>28</v>
      </c>
      <c r="F12318" s="10" t="s">
        <v>28</v>
      </c>
      <c r="G12318" s="10" t="s">
        <v>28</v>
      </c>
      <c r="H12318" s="10" t="s">
        <v>28</v>
      </c>
      <c r="I12318" s="11" t="s">
        <v>28</v>
      </c>
      <c r="J12318" s="11" t="s">
        <v>28</v>
      </c>
      <c r="K12318" s="11" t="s">
        <v>28</v>
      </c>
      <c r="L12318" s="11" t="s">
        <v>28</v>
      </c>
      <c r="M12318" s="11" t="s">
        <v>28</v>
      </c>
      <c r="N12318" s="8">
        <v>40179</v>
      </c>
      <c r="O12318" s="9" t="s">
        <v>30</v>
      </c>
      <c r="P12318" s="12" t="s">
        <v>34566</v>
      </c>
      <c r="Q12318" s="9" t="s">
        <v>331</v>
      </c>
      <c r="R12318" s="14" t="str">
        <f>HYPERLINK("https://my.pitchbook.com?c=96099-04T","View Company Online")</f>
        <v>View Company Online</v>
      </c>
    </row>
    <row r="12319" spans="1:18" hidden="1" x14ac:dyDescent="0.3">
      <c r="A12319" s="15" t="s">
        <v>34567</v>
      </c>
      <c r="B12319" s="15" t="s">
        <v>34568</v>
      </c>
      <c r="C12319" s="18" t="s">
        <v>28</v>
      </c>
      <c r="D12319" s="15" t="s">
        <v>34569</v>
      </c>
      <c r="E12319" s="18" t="s">
        <v>28</v>
      </c>
      <c r="F12319" s="19">
        <v>22.94</v>
      </c>
      <c r="G12319" s="19">
        <v>11.7</v>
      </c>
      <c r="H12319" s="19">
        <v>22.94</v>
      </c>
      <c r="I12319" s="18" t="s">
        <v>28</v>
      </c>
      <c r="J12319" s="18" t="s">
        <v>28</v>
      </c>
      <c r="K12319" s="18" t="s">
        <v>28</v>
      </c>
      <c r="L12319" s="18" t="s">
        <v>28</v>
      </c>
      <c r="M12319" s="18" t="s">
        <v>28</v>
      </c>
      <c r="N12319" s="17">
        <v>40179</v>
      </c>
      <c r="O12319" s="15" t="s">
        <v>30</v>
      </c>
      <c r="P12319" s="16" t="s">
        <v>33109</v>
      </c>
      <c r="Q12319" s="15" t="s">
        <v>119</v>
      </c>
      <c r="R12319" s="13" t="str">
        <f>HYPERLINK("https://my.pitchbook.com?c=232216-03T","View Company Online")</f>
        <v>View Company Online</v>
      </c>
    </row>
    <row r="12320" spans="1:18" hidden="1" x14ac:dyDescent="0.3">
      <c r="A12320" s="9" t="s">
        <v>34570</v>
      </c>
      <c r="B12320" s="9" t="s">
        <v>27386</v>
      </c>
      <c r="C12320" s="11" t="s">
        <v>28</v>
      </c>
      <c r="D12320" s="9" t="s">
        <v>27387</v>
      </c>
      <c r="E12320" s="11" t="s">
        <v>28</v>
      </c>
      <c r="F12320" s="10" t="s">
        <v>28</v>
      </c>
      <c r="G12320" s="10" t="s">
        <v>28</v>
      </c>
      <c r="H12320" s="10" t="s">
        <v>28</v>
      </c>
      <c r="I12320" s="11" t="s">
        <v>28</v>
      </c>
      <c r="J12320" s="11" t="s">
        <v>28</v>
      </c>
      <c r="K12320" s="11" t="s">
        <v>28</v>
      </c>
      <c r="L12320" s="11" t="s">
        <v>28</v>
      </c>
      <c r="M12320" s="11" t="s">
        <v>28</v>
      </c>
      <c r="N12320" s="8">
        <v>40179</v>
      </c>
      <c r="O12320" s="9" t="s">
        <v>41</v>
      </c>
      <c r="P12320" s="12" t="s">
        <v>4766</v>
      </c>
      <c r="Q12320" s="9" t="s">
        <v>5628</v>
      </c>
      <c r="R12320" s="14" t="str">
        <f>HYPERLINK("https://my.pitchbook.com?c=33961-24T","View Company Online")</f>
        <v>View Company Online</v>
      </c>
    </row>
    <row r="12321" spans="1:18" hidden="1" x14ac:dyDescent="0.3">
      <c r="A12321" s="15" t="s">
        <v>34571</v>
      </c>
      <c r="B12321" s="15" t="s">
        <v>25119</v>
      </c>
      <c r="C12321" s="18" t="s">
        <v>28</v>
      </c>
      <c r="D12321" s="15" t="s">
        <v>25120</v>
      </c>
      <c r="E12321" s="18" t="s">
        <v>28</v>
      </c>
      <c r="F12321" s="19" t="s">
        <v>28</v>
      </c>
      <c r="G12321" s="19" t="s">
        <v>28</v>
      </c>
      <c r="H12321" s="19" t="s">
        <v>28</v>
      </c>
      <c r="I12321" s="18" t="s">
        <v>28</v>
      </c>
      <c r="J12321" s="18" t="s">
        <v>28</v>
      </c>
      <c r="K12321" s="18" t="s">
        <v>28</v>
      </c>
      <c r="L12321" s="18" t="s">
        <v>28</v>
      </c>
      <c r="M12321" s="18" t="s">
        <v>28</v>
      </c>
      <c r="N12321" s="17">
        <v>40179</v>
      </c>
      <c r="O12321" s="15" t="s">
        <v>30</v>
      </c>
      <c r="P12321" s="16" t="s">
        <v>34572</v>
      </c>
      <c r="Q12321" s="15" t="s">
        <v>43</v>
      </c>
      <c r="R12321" s="13" t="str">
        <f>HYPERLINK("https://my.pitchbook.com?c=81900-91T","View Company Online")</f>
        <v>View Company Online</v>
      </c>
    </row>
    <row r="12322" spans="1:18" hidden="1" x14ac:dyDescent="0.3">
      <c r="A12322" s="9" t="s">
        <v>34573</v>
      </c>
      <c r="B12322" s="9" t="s">
        <v>34574</v>
      </c>
      <c r="C12322" s="11" t="s">
        <v>28</v>
      </c>
      <c r="D12322" s="9" t="s">
        <v>34575</v>
      </c>
      <c r="E12322" s="11" t="s">
        <v>28</v>
      </c>
      <c r="F12322" s="10" t="s">
        <v>28</v>
      </c>
      <c r="G12322" s="10" t="s">
        <v>28</v>
      </c>
      <c r="H12322" s="10" t="s">
        <v>28</v>
      </c>
      <c r="I12322" s="11" t="s">
        <v>28</v>
      </c>
      <c r="J12322" s="11" t="s">
        <v>28</v>
      </c>
      <c r="K12322" s="11" t="s">
        <v>28</v>
      </c>
      <c r="L12322" s="11" t="s">
        <v>28</v>
      </c>
      <c r="M12322" s="11" t="s">
        <v>28</v>
      </c>
      <c r="N12322" s="8">
        <v>40179</v>
      </c>
      <c r="O12322" s="9" t="s">
        <v>30</v>
      </c>
      <c r="P12322" s="12" t="s">
        <v>34576</v>
      </c>
      <c r="Q12322" s="9" t="s">
        <v>188</v>
      </c>
      <c r="R12322" s="14" t="str">
        <f>HYPERLINK("https://my.pitchbook.com?c=90628-30T","View Company Online")</f>
        <v>View Company Online</v>
      </c>
    </row>
    <row r="12323" spans="1:18" hidden="1" x14ac:dyDescent="0.3">
      <c r="A12323" s="15" t="s">
        <v>34577</v>
      </c>
      <c r="B12323" s="15" t="s">
        <v>17551</v>
      </c>
      <c r="C12323" s="18" t="s">
        <v>28</v>
      </c>
      <c r="D12323" s="15" t="s">
        <v>17552</v>
      </c>
      <c r="E12323" s="18" t="s">
        <v>28</v>
      </c>
      <c r="F12323" s="19" t="s">
        <v>28</v>
      </c>
      <c r="G12323" s="19" t="s">
        <v>28</v>
      </c>
      <c r="H12323" s="19" t="s">
        <v>28</v>
      </c>
      <c r="I12323" s="18" t="s">
        <v>28</v>
      </c>
      <c r="J12323" s="18" t="s">
        <v>28</v>
      </c>
      <c r="K12323" s="18" t="s">
        <v>28</v>
      </c>
      <c r="L12323" s="18" t="s">
        <v>28</v>
      </c>
      <c r="M12323" s="18" t="s">
        <v>28</v>
      </c>
      <c r="N12323" s="17">
        <v>40179</v>
      </c>
      <c r="O12323" s="15" t="s">
        <v>79</v>
      </c>
      <c r="P12323" s="16" t="s">
        <v>24209</v>
      </c>
      <c r="Q12323" s="15" t="s">
        <v>409</v>
      </c>
      <c r="R12323" s="13" t="str">
        <f>HYPERLINK("https://my.pitchbook.com?c=158816-98T","View Company Online")</f>
        <v>View Company Online</v>
      </c>
    </row>
    <row r="12324" spans="1:18" hidden="1" x14ac:dyDescent="0.3">
      <c r="A12324" s="9" t="s">
        <v>34578</v>
      </c>
      <c r="B12324" s="9" t="s">
        <v>7491</v>
      </c>
      <c r="C12324" s="11" t="s">
        <v>28</v>
      </c>
      <c r="D12324" s="9" t="s">
        <v>7492</v>
      </c>
      <c r="E12324" s="11" t="s">
        <v>28</v>
      </c>
      <c r="F12324" s="10" t="s">
        <v>28</v>
      </c>
      <c r="G12324" s="10">
        <v>3</v>
      </c>
      <c r="H12324" s="10" t="s">
        <v>28</v>
      </c>
      <c r="I12324" s="11" t="s">
        <v>28</v>
      </c>
      <c r="J12324" s="11" t="s">
        <v>28</v>
      </c>
      <c r="K12324" s="11" t="s">
        <v>28</v>
      </c>
      <c r="L12324" s="11" t="s">
        <v>28</v>
      </c>
      <c r="M12324" s="11" t="s">
        <v>28</v>
      </c>
      <c r="N12324" s="8">
        <v>40179</v>
      </c>
      <c r="O12324" s="9" t="s">
        <v>79</v>
      </c>
      <c r="P12324" s="12" t="s">
        <v>34579</v>
      </c>
      <c r="Q12324" s="9" t="s">
        <v>75</v>
      </c>
      <c r="R12324" s="14" t="str">
        <f>HYPERLINK("https://my.pitchbook.com?c=22499-47T","View Company Online")</f>
        <v>View Company Online</v>
      </c>
    </row>
    <row r="12325" spans="1:18" hidden="1" x14ac:dyDescent="0.3">
      <c r="A12325" s="15" t="s">
        <v>34580</v>
      </c>
      <c r="B12325" s="15" t="s">
        <v>34581</v>
      </c>
      <c r="C12325" s="18" t="s">
        <v>28</v>
      </c>
      <c r="D12325" s="15" t="s">
        <v>34582</v>
      </c>
      <c r="E12325" s="18" t="s">
        <v>28</v>
      </c>
      <c r="F12325" s="19" t="s">
        <v>28</v>
      </c>
      <c r="G12325" s="19" t="s">
        <v>28</v>
      </c>
      <c r="H12325" s="19" t="s">
        <v>28</v>
      </c>
      <c r="I12325" s="18" t="s">
        <v>28</v>
      </c>
      <c r="J12325" s="18" t="s">
        <v>28</v>
      </c>
      <c r="K12325" s="18" t="s">
        <v>28</v>
      </c>
      <c r="L12325" s="18" t="s">
        <v>28</v>
      </c>
      <c r="M12325" s="18" t="s">
        <v>28</v>
      </c>
      <c r="N12325" s="17">
        <v>40179</v>
      </c>
      <c r="O12325" s="15" t="s">
        <v>93</v>
      </c>
      <c r="P12325" s="16" t="s">
        <v>15061</v>
      </c>
      <c r="Q12325" s="15" t="s">
        <v>1051</v>
      </c>
      <c r="R12325" s="13" t="str">
        <f>HYPERLINK("https://my.pitchbook.com?c=33829-30T","View Company Online")</f>
        <v>View Company Online</v>
      </c>
    </row>
    <row r="12326" spans="1:18" hidden="1" x14ac:dyDescent="0.3">
      <c r="A12326" s="9" t="s">
        <v>34583</v>
      </c>
      <c r="B12326" s="9" t="s">
        <v>15347</v>
      </c>
      <c r="C12326" s="11" t="s">
        <v>28</v>
      </c>
      <c r="D12326" s="9" t="s">
        <v>15348</v>
      </c>
      <c r="E12326" s="11" t="s">
        <v>28</v>
      </c>
      <c r="F12326" s="10" t="s">
        <v>28</v>
      </c>
      <c r="G12326" s="10" t="s">
        <v>28</v>
      </c>
      <c r="H12326" s="10" t="s">
        <v>28</v>
      </c>
      <c r="I12326" s="11" t="s">
        <v>28</v>
      </c>
      <c r="J12326" s="11" t="s">
        <v>28</v>
      </c>
      <c r="K12326" s="11" t="s">
        <v>28</v>
      </c>
      <c r="L12326" s="11" t="s">
        <v>28</v>
      </c>
      <c r="M12326" s="11" t="s">
        <v>28</v>
      </c>
      <c r="N12326" s="8">
        <v>40179</v>
      </c>
      <c r="O12326" s="9" t="s">
        <v>41</v>
      </c>
      <c r="P12326" s="12" t="s">
        <v>34584</v>
      </c>
      <c r="Q12326" s="9" t="s">
        <v>43</v>
      </c>
      <c r="R12326" s="14" t="str">
        <f>HYPERLINK("https://my.pitchbook.com?c=75041-74T","View Company Online")</f>
        <v>View Company Online</v>
      </c>
    </row>
    <row r="12327" spans="1:18" hidden="1" x14ac:dyDescent="0.3">
      <c r="A12327" s="15" t="s">
        <v>34585</v>
      </c>
      <c r="B12327" s="15" t="s">
        <v>15353</v>
      </c>
      <c r="C12327" s="18" t="s">
        <v>28</v>
      </c>
      <c r="D12327" s="15" t="s">
        <v>15354</v>
      </c>
      <c r="E12327" s="18" t="s">
        <v>28</v>
      </c>
      <c r="F12327" s="19" t="s">
        <v>28</v>
      </c>
      <c r="G12327" s="19" t="s">
        <v>28</v>
      </c>
      <c r="H12327" s="19" t="s">
        <v>28</v>
      </c>
      <c r="I12327" s="18" t="s">
        <v>28</v>
      </c>
      <c r="J12327" s="18" t="s">
        <v>28</v>
      </c>
      <c r="K12327" s="18" t="s">
        <v>28</v>
      </c>
      <c r="L12327" s="18" t="s">
        <v>28</v>
      </c>
      <c r="M12327" s="18" t="s">
        <v>28</v>
      </c>
      <c r="N12327" s="17">
        <v>40179</v>
      </c>
      <c r="O12327" s="15" t="s">
        <v>41</v>
      </c>
      <c r="P12327" s="16" t="s">
        <v>34586</v>
      </c>
      <c r="Q12327" s="15" t="s">
        <v>43</v>
      </c>
      <c r="R12327" s="13" t="str">
        <f>HYPERLINK("https://my.pitchbook.com?c=75093-76T","View Company Online")</f>
        <v>View Company Online</v>
      </c>
    </row>
    <row r="12328" spans="1:18" hidden="1" x14ac:dyDescent="0.3">
      <c r="A12328" s="9" t="s">
        <v>34587</v>
      </c>
      <c r="B12328" s="9" t="s">
        <v>34588</v>
      </c>
      <c r="C12328" s="11" t="s">
        <v>28</v>
      </c>
      <c r="D12328" s="9" t="s">
        <v>34589</v>
      </c>
      <c r="E12328" s="11" t="s">
        <v>28</v>
      </c>
      <c r="F12328" s="10" t="s">
        <v>28</v>
      </c>
      <c r="G12328" s="10" t="s">
        <v>28</v>
      </c>
      <c r="H12328" s="10" t="s">
        <v>28</v>
      </c>
      <c r="I12328" s="11" t="s">
        <v>28</v>
      </c>
      <c r="J12328" s="11" t="s">
        <v>28</v>
      </c>
      <c r="K12328" s="11" t="s">
        <v>28</v>
      </c>
      <c r="L12328" s="11" t="s">
        <v>28</v>
      </c>
      <c r="M12328" s="11" t="s">
        <v>28</v>
      </c>
      <c r="N12328" s="8">
        <v>40179</v>
      </c>
      <c r="O12328" s="9" t="s">
        <v>30</v>
      </c>
      <c r="P12328" s="12" t="s">
        <v>24447</v>
      </c>
      <c r="Q12328" s="9" t="s">
        <v>226</v>
      </c>
      <c r="R12328" s="14" t="str">
        <f>HYPERLINK("https://my.pitchbook.com?c=205525-81T","View Company Online")</f>
        <v>View Company Online</v>
      </c>
    </row>
    <row r="12329" spans="1:18" hidden="1" x14ac:dyDescent="0.3">
      <c r="A12329" s="15" t="s">
        <v>34590</v>
      </c>
      <c r="B12329" s="15" t="s">
        <v>34591</v>
      </c>
      <c r="C12329" s="18" t="s">
        <v>28</v>
      </c>
      <c r="D12329" s="15" t="s">
        <v>34592</v>
      </c>
      <c r="E12329" s="18" t="s">
        <v>28</v>
      </c>
      <c r="F12329" s="19" t="s">
        <v>28</v>
      </c>
      <c r="G12329" s="19" t="s">
        <v>28</v>
      </c>
      <c r="H12329" s="19" t="s">
        <v>28</v>
      </c>
      <c r="I12329" s="18" t="s">
        <v>28</v>
      </c>
      <c r="J12329" s="18" t="s">
        <v>28</v>
      </c>
      <c r="K12329" s="18" t="s">
        <v>28</v>
      </c>
      <c r="L12329" s="18" t="s">
        <v>28</v>
      </c>
      <c r="M12329" s="18" t="s">
        <v>28</v>
      </c>
      <c r="N12329" s="17">
        <v>40179</v>
      </c>
      <c r="O12329" s="15" t="s">
        <v>30</v>
      </c>
      <c r="P12329" s="16" t="s">
        <v>34593</v>
      </c>
      <c r="Q12329" s="15" t="s">
        <v>226</v>
      </c>
      <c r="R12329" s="13" t="str">
        <f>HYPERLINK("https://my.pitchbook.com?c=95554-18T","View Company Online")</f>
        <v>View Company Online</v>
      </c>
    </row>
    <row r="12331" spans="1:18" x14ac:dyDescent="0.3">
      <c r="A12331" s="20" t="s">
        <v>34594</v>
      </c>
    </row>
  </sheetData>
  <autoFilter ref="A8:R12329" xr:uid="{00000000-0001-0000-0000-000000000000}">
    <filterColumn colId="9">
      <customFilters>
        <customFilter operator="notEqual" val=" "/>
      </customFilters>
    </filterColumn>
    <filterColumn colId="14">
      <filters>
        <filter val="Buyout/LBO"/>
        <filter val="Merger/Acquisition"/>
        <filter val="PE Growth/Expansion"/>
        <filter val="Reverse Merger"/>
      </filters>
    </filterColumn>
  </autoFilter>
  <mergeCells count="1">
    <mergeCell ref="B6:D6"/>
  </mergeCells>
  <hyperlinks>
    <hyperlink ref="B5"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B3935-83F1-43B7-83E5-C467FAF5556E}">
  <dimension ref="A1:R136"/>
  <sheetViews>
    <sheetView topLeftCell="C85" workbookViewId="0">
      <selection activeCell="F2" sqref="F2"/>
    </sheetView>
  </sheetViews>
  <sheetFormatPr defaultRowHeight="14.4" x14ac:dyDescent="0.3"/>
  <cols>
    <col min="2" max="2" width="10.88671875" customWidth="1"/>
    <col min="3" max="3" width="16.109375" customWidth="1"/>
    <col min="4" max="4" width="11.33203125" customWidth="1"/>
    <col min="6" max="6" width="10.33203125" customWidth="1"/>
    <col min="7" max="7" width="9.33203125" customWidth="1"/>
    <col min="8" max="8" width="13.44140625" customWidth="1"/>
    <col min="10" max="10" width="15.77734375" customWidth="1"/>
    <col min="11" max="11" width="9.33203125" customWidth="1"/>
    <col min="12" max="12" width="17" customWidth="1"/>
    <col min="13" max="13" width="11.44140625" customWidth="1"/>
    <col min="14" max="14" width="10.109375" customWidth="1"/>
    <col min="15" max="15" width="10" customWidth="1"/>
    <col min="16" max="16" width="9.5546875" customWidth="1"/>
    <col min="17" max="17" width="19" customWidth="1"/>
    <col min="18" max="18" width="18.6640625" customWidth="1"/>
  </cols>
  <sheetData>
    <row r="1" spans="1:18" ht="36" x14ac:dyDescent="0.3">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c r="P1" s="5" t="s">
        <v>23</v>
      </c>
      <c r="Q1" s="5" t="s">
        <v>24</v>
      </c>
      <c r="R1" s="5" t="s">
        <v>25</v>
      </c>
    </row>
    <row r="2" spans="1:18" x14ac:dyDescent="0.3">
      <c r="A2" s="15" t="s">
        <v>222</v>
      </c>
      <c r="B2" s="15" t="s">
        <v>223</v>
      </c>
      <c r="C2" s="18" t="s">
        <v>28</v>
      </c>
      <c r="D2" s="15" t="s">
        <v>224</v>
      </c>
      <c r="E2" s="18">
        <v>378.56</v>
      </c>
      <c r="F2" s="19" t="s">
        <v>28</v>
      </c>
      <c r="G2" s="19">
        <v>65</v>
      </c>
      <c r="H2" s="19">
        <v>130</v>
      </c>
      <c r="I2" s="18">
        <v>616.02</v>
      </c>
      <c r="J2" s="18">
        <v>0.21</v>
      </c>
      <c r="K2" s="18">
        <v>1668.97</v>
      </c>
      <c r="L2" s="18">
        <v>0.08</v>
      </c>
      <c r="M2" s="18">
        <v>100.12</v>
      </c>
      <c r="N2" s="17">
        <v>45645</v>
      </c>
      <c r="O2" s="15" t="s">
        <v>41</v>
      </c>
      <c r="P2" s="16" t="s">
        <v>225</v>
      </c>
      <c r="Q2" s="15" t="s">
        <v>226</v>
      </c>
      <c r="R2" s="13" t="s">
        <v>25</v>
      </c>
    </row>
    <row r="3" spans="1:18" x14ac:dyDescent="0.3">
      <c r="A3" s="9" t="s">
        <v>810</v>
      </c>
      <c r="B3" s="9" t="s">
        <v>811</v>
      </c>
      <c r="C3" s="11" t="s">
        <v>28</v>
      </c>
      <c r="D3" s="9" t="s">
        <v>812</v>
      </c>
      <c r="E3" s="11">
        <v>-13.69</v>
      </c>
      <c r="F3" s="10" t="s">
        <v>28</v>
      </c>
      <c r="G3" s="10">
        <v>1.23</v>
      </c>
      <c r="H3" s="10">
        <v>1.23</v>
      </c>
      <c r="I3" s="11">
        <v>134.97999999999999</v>
      </c>
      <c r="J3" s="11">
        <v>0.01</v>
      </c>
      <c r="K3" s="11">
        <v>730.68</v>
      </c>
      <c r="L3" s="11">
        <v>0.01</v>
      </c>
      <c r="M3" s="11">
        <v>-56.74</v>
      </c>
      <c r="N3" s="8">
        <v>45596</v>
      </c>
      <c r="O3" s="9" t="s">
        <v>30</v>
      </c>
      <c r="P3" s="12" t="s">
        <v>813</v>
      </c>
      <c r="Q3" s="9" t="s">
        <v>226</v>
      </c>
      <c r="R3" s="14" t="s">
        <v>25</v>
      </c>
    </row>
    <row r="4" spans="1:18" x14ac:dyDescent="0.3">
      <c r="A4" s="15" t="s">
        <v>1089</v>
      </c>
      <c r="B4" s="15" t="s">
        <v>1090</v>
      </c>
      <c r="C4" s="18">
        <v>48.12</v>
      </c>
      <c r="D4" s="15" t="s">
        <v>1091</v>
      </c>
      <c r="E4" s="18" t="s">
        <v>28</v>
      </c>
      <c r="F4" s="19">
        <v>121.03</v>
      </c>
      <c r="G4" s="19">
        <v>121.03</v>
      </c>
      <c r="H4" s="19">
        <v>121.03</v>
      </c>
      <c r="I4" s="18">
        <v>2.52</v>
      </c>
      <c r="J4" s="18">
        <v>48.12</v>
      </c>
      <c r="K4" s="18">
        <v>18.77</v>
      </c>
      <c r="L4" s="18">
        <v>6.45</v>
      </c>
      <c r="M4" s="18" t="s">
        <v>28</v>
      </c>
      <c r="N4" s="17">
        <v>45565</v>
      </c>
      <c r="O4" s="15" t="s">
        <v>30</v>
      </c>
      <c r="P4" s="16" t="s">
        <v>1092</v>
      </c>
      <c r="Q4" s="15" t="s">
        <v>362</v>
      </c>
      <c r="R4" s="13" t="s">
        <v>25</v>
      </c>
    </row>
    <row r="5" spans="1:18" x14ac:dyDescent="0.3">
      <c r="A5" s="9" t="s">
        <v>1722</v>
      </c>
      <c r="B5" s="9" t="s">
        <v>1723</v>
      </c>
      <c r="C5" s="11">
        <v>1.61</v>
      </c>
      <c r="D5" s="9" t="s">
        <v>1724</v>
      </c>
      <c r="E5" s="11">
        <v>-63.01</v>
      </c>
      <c r="F5" s="10">
        <v>191.85</v>
      </c>
      <c r="G5" s="10">
        <v>1104.28</v>
      </c>
      <c r="H5" s="10">
        <v>1104.28</v>
      </c>
      <c r="I5" s="11">
        <v>119.27</v>
      </c>
      <c r="J5" s="11">
        <v>9.26</v>
      </c>
      <c r="K5" s="11">
        <v>378.42</v>
      </c>
      <c r="L5" s="11">
        <v>2.92</v>
      </c>
      <c r="M5" s="11">
        <v>-42.96</v>
      </c>
      <c r="N5" s="8">
        <v>45504</v>
      </c>
      <c r="O5" s="9" t="s">
        <v>30</v>
      </c>
      <c r="P5" s="12" t="s">
        <v>1725</v>
      </c>
      <c r="Q5" s="9" t="s">
        <v>268</v>
      </c>
      <c r="R5" s="14" t="s">
        <v>25</v>
      </c>
    </row>
    <row r="6" spans="1:18" x14ac:dyDescent="0.3">
      <c r="A6" s="9" t="s">
        <v>4003</v>
      </c>
      <c r="B6" s="9" t="s">
        <v>4004</v>
      </c>
      <c r="C6" s="11" t="s">
        <v>28</v>
      </c>
      <c r="D6" s="9" t="s">
        <v>4005</v>
      </c>
      <c r="E6" s="11">
        <v>3.19</v>
      </c>
      <c r="F6" s="10" t="s">
        <v>28</v>
      </c>
      <c r="G6" s="10">
        <v>173.41</v>
      </c>
      <c r="H6" s="10">
        <v>173.41</v>
      </c>
      <c r="I6" s="11">
        <v>9.85</v>
      </c>
      <c r="J6" s="11">
        <v>17.61</v>
      </c>
      <c r="K6" s="11">
        <v>58.41</v>
      </c>
      <c r="L6" s="11">
        <v>2.97</v>
      </c>
      <c r="M6" s="11">
        <v>2.96</v>
      </c>
      <c r="N6" s="8">
        <v>45290</v>
      </c>
      <c r="O6" s="9" t="s">
        <v>41</v>
      </c>
      <c r="P6" s="12" t="s">
        <v>4006</v>
      </c>
      <c r="Q6" s="9" t="s">
        <v>188</v>
      </c>
      <c r="R6" s="14" t="s">
        <v>25</v>
      </c>
    </row>
    <row r="7" spans="1:18" x14ac:dyDescent="0.3">
      <c r="A7" s="15" t="s">
        <v>4106</v>
      </c>
      <c r="B7" s="15" t="s">
        <v>4107</v>
      </c>
      <c r="C7" s="18">
        <v>17.100000000000001</v>
      </c>
      <c r="D7" s="15" t="s">
        <v>4108</v>
      </c>
      <c r="E7" s="18" t="s">
        <v>28</v>
      </c>
      <c r="F7" s="19">
        <v>670.59</v>
      </c>
      <c r="G7" s="19">
        <v>570</v>
      </c>
      <c r="H7" s="19">
        <v>670.59</v>
      </c>
      <c r="I7" s="18">
        <v>39.22</v>
      </c>
      <c r="J7" s="18">
        <v>17.100000000000001</v>
      </c>
      <c r="K7" s="18">
        <v>133.16999999999999</v>
      </c>
      <c r="L7" s="18">
        <v>5.04</v>
      </c>
      <c r="M7" s="18" t="s">
        <v>28</v>
      </c>
      <c r="N7" s="17">
        <v>45278</v>
      </c>
      <c r="O7" s="15" t="s">
        <v>41</v>
      </c>
      <c r="P7" s="16" t="s">
        <v>4109</v>
      </c>
      <c r="Q7" s="15" t="s">
        <v>1007</v>
      </c>
      <c r="R7" s="13" t="s">
        <v>25</v>
      </c>
    </row>
    <row r="8" spans="1:18" x14ac:dyDescent="0.3">
      <c r="A8" s="15" t="s">
        <v>4195</v>
      </c>
      <c r="B8" s="15" t="s">
        <v>4196</v>
      </c>
      <c r="C8" s="18">
        <v>9.68</v>
      </c>
      <c r="D8" s="15" t="s">
        <v>4197</v>
      </c>
      <c r="E8" s="18">
        <v>94.63</v>
      </c>
      <c r="F8" s="19">
        <v>1500</v>
      </c>
      <c r="G8" s="19">
        <v>1500</v>
      </c>
      <c r="H8" s="19">
        <v>1840.49</v>
      </c>
      <c r="I8" s="18">
        <v>154.9</v>
      </c>
      <c r="J8" s="18">
        <v>11.88</v>
      </c>
      <c r="K8" s="18">
        <v>375.35</v>
      </c>
      <c r="L8" s="18">
        <v>4.9000000000000004</v>
      </c>
      <c r="M8" s="18">
        <v>-6.43</v>
      </c>
      <c r="N8" s="17">
        <v>45267</v>
      </c>
      <c r="O8" s="15" t="s">
        <v>41</v>
      </c>
      <c r="P8" s="16" t="s">
        <v>4198</v>
      </c>
      <c r="Q8" s="15" t="s">
        <v>583</v>
      </c>
      <c r="R8" s="13" t="s">
        <v>25</v>
      </c>
    </row>
    <row r="9" spans="1:18" x14ac:dyDescent="0.3">
      <c r="A9" s="15" t="s">
        <v>4238</v>
      </c>
      <c r="B9" s="15" t="s">
        <v>4239</v>
      </c>
      <c r="C9" s="18">
        <v>5.71</v>
      </c>
      <c r="D9" s="15" t="s">
        <v>4240</v>
      </c>
      <c r="E9" s="18" t="s">
        <v>28</v>
      </c>
      <c r="F9" s="19">
        <v>338.45</v>
      </c>
      <c r="G9" s="19">
        <v>239.09</v>
      </c>
      <c r="H9" s="19">
        <v>338.45</v>
      </c>
      <c r="I9" s="18">
        <v>59.31</v>
      </c>
      <c r="J9" s="18">
        <v>5.71</v>
      </c>
      <c r="K9" s="18">
        <v>168.04</v>
      </c>
      <c r="L9" s="18">
        <v>2.0099999999999998</v>
      </c>
      <c r="M9" s="18" t="s">
        <v>28</v>
      </c>
      <c r="N9" s="17">
        <v>45264</v>
      </c>
      <c r="O9" s="15" t="s">
        <v>30</v>
      </c>
      <c r="P9" s="16" t="s">
        <v>4241</v>
      </c>
      <c r="Q9" s="15" t="s">
        <v>3048</v>
      </c>
      <c r="R9" s="13" t="s">
        <v>25</v>
      </c>
    </row>
    <row r="10" spans="1:18" x14ac:dyDescent="0.3">
      <c r="A10" s="9" t="s">
        <v>4434</v>
      </c>
      <c r="B10" s="9" t="s">
        <v>4435</v>
      </c>
      <c r="C10" s="11">
        <v>6.04</v>
      </c>
      <c r="D10" s="9" t="s">
        <v>4436</v>
      </c>
      <c r="E10" s="11">
        <v>240.4</v>
      </c>
      <c r="F10" s="10">
        <v>2075.79</v>
      </c>
      <c r="G10" s="10">
        <v>1620.6</v>
      </c>
      <c r="H10" s="10">
        <v>2153.08</v>
      </c>
      <c r="I10" s="11">
        <v>343.79</v>
      </c>
      <c r="J10" s="11">
        <v>6.26</v>
      </c>
      <c r="K10" s="11">
        <v>1582.51</v>
      </c>
      <c r="L10" s="11">
        <v>1.36</v>
      </c>
      <c r="M10" s="11">
        <v>105.98</v>
      </c>
      <c r="N10" s="8">
        <v>45252</v>
      </c>
      <c r="O10" s="9" t="s">
        <v>30</v>
      </c>
      <c r="P10" s="12" t="s">
        <v>4437</v>
      </c>
      <c r="Q10" s="9" t="s">
        <v>348</v>
      </c>
      <c r="R10" s="14" t="s">
        <v>25</v>
      </c>
    </row>
    <row r="11" spans="1:18" x14ac:dyDescent="0.3">
      <c r="A11" s="9" t="s">
        <v>4615</v>
      </c>
      <c r="B11" s="9" t="s">
        <v>4616</v>
      </c>
      <c r="C11" s="11">
        <v>13.69</v>
      </c>
      <c r="D11" s="9" t="s">
        <v>4617</v>
      </c>
      <c r="E11" s="11">
        <v>11.46</v>
      </c>
      <c r="F11" s="10">
        <v>430.8</v>
      </c>
      <c r="G11" s="10">
        <v>473.89</v>
      </c>
      <c r="H11" s="10">
        <v>473.89</v>
      </c>
      <c r="I11" s="11">
        <v>31.47</v>
      </c>
      <c r="J11" s="11">
        <v>15.06</v>
      </c>
      <c r="K11" s="11">
        <v>127.1</v>
      </c>
      <c r="L11" s="11">
        <v>3.73</v>
      </c>
      <c r="M11" s="11">
        <v>0.53</v>
      </c>
      <c r="N11" s="8">
        <v>45231</v>
      </c>
      <c r="O11" s="9" t="s">
        <v>30</v>
      </c>
      <c r="P11" s="12" t="s">
        <v>4618</v>
      </c>
      <c r="Q11" s="9" t="s">
        <v>37</v>
      </c>
      <c r="R11" s="14" t="s">
        <v>25</v>
      </c>
    </row>
    <row r="12" spans="1:18" x14ac:dyDescent="0.3">
      <c r="A12" s="15" t="s">
        <v>5074</v>
      </c>
      <c r="B12" s="15" t="s">
        <v>5075</v>
      </c>
      <c r="C12" s="18" t="s">
        <v>28</v>
      </c>
      <c r="D12" s="15" t="s">
        <v>5076</v>
      </c>
      <c r="E12" s="18">
        <v>8.93</v>
      </c>
      <c r="F12" s="19" t="s">
        <v>28</v>
      </c>
      <c r="G12" s="19">
        <v>4.5199999999999996</v>
      </c>
      <c r="H12" s="19">
        <v>4.5199999999999996</v>
      </c>
      <c r="I12" s="18">
        <v>8.93</v>
      </c>
      <c r="J12" s="18">
        <v>0.51</v>
      </c>
      <c r="K12" s="18">
        <v>10.25</v>
      </c>
      <c r="L12" s="18">
        <v>0.44</v>
      </c>
      <c r="M12" s="18">
        <v>9.4499999999999993</v>
      </c>
      <c r="N12" s="17">
        <v>45170</v>
      </c>
      <c r="O12" s="15" t="s">
        <v>30</v>
      </c>
      <c r="P12" s="16" t="s">
        <v>4433</v>
      </c>
      <c r="Q12" s="15" t="s">
        <v>240</v>
      </c>
      <c r="R12" s="13" t="s">
        <v>25</v>
      </c>
    </row>
    <row r="13" spans="1:18" x14ac:dyDescent="0.3">
      <c r="A13" s="15" t="s">
        <v>5640</v>
      </c>
      <c r="B13" s="15" t="s">
        <v>5641</v>
      </c>
      <c r="C13" s="18">
        <v>2452.5</v>
      </c>
      <c r="D13" s="15" t="s">
        <v>5642</v>
      </c>
      <c r="E13" s="18" t="s">
        <v>28</v>
      </c>
      <c r="F13" s="19">
        <v>29.73</v>
      </c>
      <c r="G13" s="19">
        <v>29.73</v>
      </c>
      <c r="H13" s="19">
        <v>29.73</v>
      </c>
      <c r="I13" s="18">
        <v>0.01</v>
      </c>
      <c r="J13" s="18">
        <v>2452.5</v>
      </c>
      <c r="K13" s="18">
        <v>0.16</v>
      </c>
      <c r="L13" s="18">
        <v>182.24</v>
      </c>
      <c r="M13" s="18">
        <v>0.01</v>
      </c>
      <c r="N13" s="17">
        <v>45110</v>
      </c>
      <c r="O13" s="15" t="s">
        <v>30</v>
      </c>
      <c r="P13" s="16" t="s">
        <v>3516</v>
      </c>
      <c r="Q13" s="15" t="s">
        <v>1144</v>
      </c>
      <c r="R13" s="13" t="s">
        <v>25</v>
      </c>
    </row>
    <row r="14" spans="1:18" x14ac:dyDescent="0.3">
      <c r="A14" s="9" t="s">
        <v>5864</v>
      </c>
      <c r="B14" s="9" t="s">
        <v>5865</v>
      </c>
      <c r="C14" s="11">
        <v>4.76</v>
      </c>
      <c r="D14" s="9" t="s">
        <v>5866</v>
      </c>
      <c r="E14" s="11" t="s">
        <v>28</v>
      </c>
      <c r="F14" s="10">
        <v>1000</v>
      </c>
      <c r="G14" s="10">
        <v>1000</v>
      </c>
      <c r="H14" s="10">
        <v>1000</v>
      </c>
      <c r="I14" s="11">
        <v>210</v>
      </c>
      <c r="J14" s="11">
        <v>4.76</v>
      </c>
      <c r="K14" s="11">
        <v>406</v>
      </c>
      <c r="L14" s="11">
        <v>2.46</v>
      </c>
      <c r="M14" s="11" t="s">
        <v>28</v>
      </c>
      <c r="N14" s="8">
        <v>45088</v>
      </c>
      <c r="O14" s="9" t="s">
        <v>30</v>
      </c>
      <c r="P14" s="12" t="s">
        <v>28</v>
      </c>
      <c r="Q14" s="9" t="s">
        <v>470</v>
      </c>
      <c r="R14" s="14" t="s">
        <v>25</v>
      </c>
    </row>
    <row r="15" spans="1:18" x14ac:dyDescent="0.3">
      <c r="A15" s="15" t="s">
        <v>6093</v>
      </c>
      <c r="B15" s="15" t="s">
        <v>6094</v>
      </c>
      <c r="C15" s="18">
        <v>3.88</v>
      </c>
      <c r="D15" s="15" t="s">
        <v>6095</v>
      </c>
      <c r="E15" s="18" t="s">
        <v>28</v>
      </c>
      <c r="F15" s="19">
        <v>11.23</v>
      </c>
      <c r="G15" s="19">
        <v>11.23</v>
      </c>
      <c r="H15" s="19">
        <v>11.23</v>
      </c>
      <c r="I15" s="18">
        <v>2.9</v>
      </c>
      <c r="J15" s="18">
        <v>3.88</v>
      </c>
      <c r="K15" s="18" t="s">
        <v>28</v>
      </c>
      <c r="L15" s="18" t="s">
        <v>28</v>
      </c>
      <c r="M15" s="18">
        <v>1.03</v>
      </c>
      <c r="N15" s="17">
        <v>45062</v>
      </c>
      <c r="O15" s="15" t="s">
        <v>30</v>
      </c>
      <c r="P15" s="16" t="s">
        <v>6096</v>
      </c>
      <c r="Q15" s="15" t="s">
        <v>855</v>
      </c>
      <c r="R15" s="13" t="s">
        <v>25</v>
      </c>
    </row>
    <row r="16" spans="1:18" x14ac:dyDescent="0.3">
      <c r="A16" s="9" t="s">
        <v>6123</v>
      </c>
      <c r="B16" s="9" t="s">
        <v>6124</v>
      </c>
      <c r="C16" s="11">
        <v>3.39</v>
      </c>
      <c r="D16" s="9" t="s">
        <v>6125</v>
      </c>
      <c r="E16" s="11" t="s">
        <v>28</v>
      </c>
      <c r="F16" s="10">
        <v>9.48</v>
      </c>
      <c r="G16" s="10">
        <v>9.48</v>
      </c>
      <c r="H16" s="10">
        <v>9.48</v>
      </c>
      <c r="I16" s="11">
        <v>2.8</v>
      </c>
      <c r="J16" s="11">
        <v>3.39</v>
      </c>
      <c r="K16" s="11" t="s">
        <v>28</v>
      </c>
      <c r="L16" s="11" t="s">
        <v>28</v>
      </c>
      <c r="M16" s="11" t="s">
        <v>28</v>
      </c>
      <c r="N16" s="8">
        <v>45058</v>
      </c>
      <c r="O16" s="9" t="s">
        <v>30</v>
      </c>
      <c r="P16" s="12" t="s">
        <v>6126</v>
      </c>
      <c r="Q16" s="9" t="s">
        <v>566</v>
      </c>
      <c r="R16" s="14" t="s">
        <v>25</v>
      </c>
    </row>
    <row r="17" spans="1:18" x14ac:dyDescent="0.3">
      <c r="A17" s="15" t="s">
        <v>6329</v>
      </c>
      <c r="B17" s="15" t="s">
        <v>6330</v>
      </c>
      <c r="C17" s="18">
        <v>2.57</v>
      </c>
      <c r="D17" s="15" t="s">
        <v>6331</v>
      </c>
      <c r="E17" s="18" t="s">
        <v>28</v>
      </c>
      <c r="F17" s="19">
        <v>18.43</v>
      </c>
      <c r="G17" s="19">
        <v>18.43</v>
      </c>
      <c r="H17" s="19">
        <v>18.43</v>
      </c>
      <c r="I17" s="18">
        <v>7.16</v>
      </c>
      <c r="J17" s="18">
        <v>2.57</v>
      </c>
      <c r="K17" s="18">
        <v>44.51</v>
      </c>
      <c r="L17" s="18">
        <v>0.41</v>
      </c>
      <c r="M17" s="18" t="s">
        <v>28</v>
      </c>
      <c r="N17" s="17">
        <v>45041</v>
      </c>
      <c r="O17" s="15" t="s">
        <v>30</v>
      </c>
      <c r="P17" s="16" t="s">
        <v>6332</v>
      </c>
      <c r="Q17" s="15" t="s">
        <v>85</v>
      </c>
      <c r="R17" s="13" t="s">
        <v>25</v>
      </c>
    </row>
    <row r="18" spans="1:18" x14ac:dyDescent="0.3">
      <c r="A18" s="15" t="s">
        <v>6757</v>
      </c>
      <c r="B18" s="15" t="s">
        <v>6758</v>
      </c>
      <c r="C18" s="18">
        <v>21.56</v>
      </c>
      <c r="D18" s="15" t="s">
        <v>6759</v>
      </c>
      <c r="E18" s="18" t="s">
        <v>28</v>
      </c>
      <c r="F18" s="19">
        <v>596.70000000000005</v>
      </c>
      <c r="G18" s="19">
        <v>238.68</v>
      </c>
      <c r="H18" s="19">
        <v>596.70000000000005</v>
      </c>
      <c r="I18" s="18">
        <v>27.67</v>
      </c>
      <c r="J18" s="18">
        <v>21.56</v>
      </c>
      <c r="K18" s="18">
        <v>68.31</v>
      </c>
      <c r="L18" s="18">
        <v>8.74</v>
      </c>
      <c r="M18" s="18" t="s">
        <v>28</v>
      </c>
      <c r="N18" s="17">
        <v>44993</v>
      </c>
      <c r="O18" s="15" t="s">
        <v>30</v>
      </c>
      <c r="P18" s="16" t="s">
        <v>6760</v>
      </c>
      <c r="Q18" s="15" t="s">
        <v>85</v>
      </c>
      <c r="R18" s="13" t="s">
        <v>25</v>
      </c>
    </row>
    <row r="19" spans="1:18" x14ac:dyDescent="0.3">
      <c r="A19" s="9" t="s">
        <v>6793</v>
      </c>
      <c r="B19" s="9" t="s">
        <v>6794</v>
      </c>
      <c r="C19" s="11">
        <v>9.65</v>
      </c>
      <c r="D19" s="9" t="s">
        <v>6795</v>
      </c>
      <c r="E19" s="11" t="s">
        <v>28</v>
      </c>
      <c r="F19" s="10">
        <v>5.79</v>
      </c>
      <c r="G19" s="10">
        <v>3.47</v>
      </c>
      <c r="H19" s="10">
        <v>5.79</v>
      </c>
      <c r="I19" s="11">
        <v>0.6</v>
      </c>
      <c r="J19" s="11">
        <v>9.65</v>
      </c>
      <c r="K19" s="11">
        <v>1.3</v>
      </c>
      <c r="L19" s="11">
        <v>4.46</v>
      </c>
      <c r="M19" s="11" t="s">
        <v>28</v>
      </c>
      <c r="N19" s="8">
        <v>44988</v>
      </c>
      <c r="O19" s="9" t="s">
        <v>30</v>
      </c>
      <c r="P19" s="12" t="s">
        <v>6796</v>
      </c>
      <c r="Q19" s="9" t="s">
        <v>75</v>
      </c>
      <c r="R19" s="14" t="s">
        <v>25</v>
      </c>
    </row>
    <row r="20" spans="1:18" x14ac:dyDescent="0.3">
      <c r="A20" s="9" t="s">
        <v>6801</v>
      </c>
      <c r="B20" s="9" t="s">
        <v>6802</v>
      </c>
      <c r="C20" s="11">
        <v>1.68</v>
      </c>
      <c r="D20" s="9" t="s">
        <v>6803</v>
      </c>
      <c r="E20" s="11">
        <v>656.34</v>
      </c>
      <c r="F20" s="10">
        <v>1772.44</v>
      </c>
      <c r="G20" s="10">
        <v>829.63</v>
      </c>
      <c r="H20" s="10">
        <v>2592.59</v>
      </c>
      <c r="I20" s="11">
        <v>1056.5899999999999</v>
      </c>
      <c r="J20" s="11">
        <v>2.4500000000000002</v>
      </c>
      <c r="K20" s="11">
        <v>3345.44</v>
      </c>
      <c r="L20" s="11">
        <v>0.77</v>
      </c>
      <c r="M20" s="11">
        <v>197.66</v>
      </c>
      <c r="N20" s="8">
        <v>44988</v>
      </c>
      <c r="O20" s="9" t="s">
        <v>30</v>
      </c>
      <c r="P20" s="12" t="s">
        <v>6804</v>
      </c>
      <c r="Q20" s="9" t="s">
        <v>348</v>
      </c>
      <c r="R20" s="14" t="s">
        <v>25</v>
      </c>
    </row>
    <row r="21" spans="1:18" x14ac:dyDescent="0.3">
      <c r="A21" s="15" t="s">
        <v>6883</v>
      </c>
      <c r="B21" s="15" t="s">
        <v>6884</v>
      </c>
      <c r="C21" s="18">
        <v>0.57999999999999996</v>
      </c>
      <c r="D21" s="15" t="s">
        <v>6885</v>
      </c>
      <c r="E21" s="18" t="s">
        <v>28</v>
      </c>
      <c r="F21" s="19">
        <v>36.130000000000003</v>
      </c>
      <c r="G21" s="19">
        <v>36.130000000000003</v>
      </c>
      <c r="H21" s="19">
        <v>36.130000000000003</v>
      </c>
      <c r="I21" s="18">
        <v>62</v>
      </c>
      <c r="J21" s="18">
        <v>0.57999999999999996</v>
      </c>
      <c r="K21" s="18">
        <v>78</v>
      </c>
      <c r="L21" s="18">
        <v>0.46</v>
      </c>
      <c r="M21" s="18" t="s">
        <v>28</v>
      </c>
      <c r="N21" s="17">
        <v>44985</v>
      </c>
      <c r="O21" s="15" t="s">
        <v>30</v>
      </c>
      <c r="P21" s="16" t="s">
        <v>225</v>
      </c>
      <c r="Q21" s="15" t="s">
        <v>226</v>
      </c>
      <c r="R21" s="13" t="s">
        <v>25</v>
      </c>
    </row>
    <row r="22" spans="1:18" x14ac:dyDescent="0.3">
      <c r="A22" s="9" t="s">
        <v>6923</v>
      </c>
      <c r="B22" s="9" t="s">
        <v>6924</v>
      </c>
      <c r="C22" s="11">
        <v>2.58</v>
      </c>
      <c r="D22" s="9" t="s">
        <v>6925</v>
      </c>
      <c r="E22" s="11" t="s">
        <v>28</v>
      </c>
      <c r="F22" s="10">
        <v>33.54</v>
      </c>
      <c r="G22" s="10">
        <v>33.54</v>
      </c>
      <c r="H22" s="10">
        <v>33.54</v>
      </c>
      <c r="I22" s="11">
        <v>13</v>
      </c>
      <c r="J22" s="11">
        <v>2.58</v>
      </c>
      <c r="K22" s="11">
        <v>80</v>
      </c>
      <c r="L22" s="11">
        <v>0.42</v>
      </c>
      <c r="M22" s="11" t="s">
        <v>28</v>
      </c>
      <c r="N22" s="8">
        <v>44979</v>
      </c>
      <c r="O22" s="9" t="s">
        <v>30</v>
      </c>
      <c r="P22" s="12" t="s">
        <v>6926</v>
      </c>
      <c r="Q22" s="9" t="s">
        <v>5132</v>
      </c>
      <c r="R22" s="14" t="s">
        <v>25</v>
      </c>
    </row>
    <row r="23" spans="1:18" x14ac:dyDescent="0.3">
      <c r="A23" s="15" t="s">
        <v>7571</v>
      </c>
      <c r="B23" s="15" t="s">
        <v>7572</v>
      </c>
      <c r="C23" s="18">
        <v>9.43</v>
      </c>
      <c r="D23" s="15" t="s">
        <v>7573</v>
      </c>
      <c r="E23" s="18">
        <v>203.56</v>
      </c>
      <c r="F23" s="19">
        <v>2044</v>
      </c>
      <c r="G23" s="19">
        <v>1250.99</v>
      </c>
      <c r="H23" s="19">
        <v>2269.04</v>
      </c>
      <c r="I23" s="18">
        <v>216.73</v>
      </c>
      <c r="J23" s="18">
        <v>10.47</v>
      </c>
      <c r="K23" s="18">
        <v>260.41000000000003</v>
      </c>
      <c r="L23" s="18">
        <v>8.7100000000000009</v>
      </c>
      <c r="M23" s="18">
        <v>103.31</v>
      </c>
      <c r="N23" s="17">
        <v>44935</v>
      </c>
      <c r="O23" s="15" t="s">
        <v>30</v>
      </c>
      <c r="P23" s="16" t="s">
        <v>7574</v>
      </c>
      <c r="Q23" s="15" t="s">
        <v>959</v>
      </c>
      <c r="R23" s="13" t="s">
        <v>25</v>
      </c>
    </row>
    <row r="24" spans="1:18" x14ac:dyDescent="0.3">
      <c r="A24" s="9" t="s">
        <v>7575</v>
      </c>
      <c r="B24" s="9" t="s">
        <v>7576</v>
      </c>
      <c r="C24" s="11">
        <v>90.49</v>
      </c>
      <c r="D24" s="9" t="s">
        <v>7577</v>
      </c>
      <c r="E24" s="11">
        <v>-0.65</v>
      </c>
      <c r="F24" s="10">
        <v>166.32</v>
      </c>
      <c r="G24" s="10">
        <v>178.72</v>
      </c>
      <c r="H24" s="10">
        <v>178.72</v>
      </c>
      <c r="I24" s="11">
        <v>1.84</v>
      </c>
      <c r="J24" s="11">
        <v>97.24</v>
      </c>
      <c r="K24" s="11">
        <v>63.37</v>
      </c>
      <c r="L24" s="11">
        <v>2.82</v>
      </c>
      <c r="M24" s="11">
        <v>-0.7</v>
      </c>
      <c r="N24" s="8">
        <v>44935</v>
      </c>
      <c r="O24" s="9" t="s">
        <v>30</v>
      </c>
      <c r="P24" s="12" t="s">
        <v>7578</v>
      </c>
      <c r="Q24" s="9" t="s">
        <v>226</v>
      </c>
      <c r="R24" s="14" t="s">
        <v>25</v>
      </c>
    </row>
    <row r="25" spans="1:18" x14ac:dyDescent="0.3">
      <c r="A25" s="15" t="s">
        <v>8547</v>
      </c>
      <c r="B25" s="15" t="s">
        <v>8548</v>
      </c>
      <c r="C25" s="18">
        <v>5.0599999999999996</v>
      </c>
      <c r="D25" s="15" t="s">
        <v>8549</v>
      </c>
      <c r="E25" s="18" t="s">
        <v>28</v>
      </c>
      <c r="F25" s="19">
        <v>3.2</v>
      </c>
      <c r="G25" s="19">
        <v>3.2</v>
      </c>
      <c r="H25" s="19">
        <v>3.2</v>
      </c>
      <c r="I25" s="18">
        <v>0.63</v>
      </c>
      <c r="J25" s="18">
        <v>5.0599999999999996</v>
      </c>
      <c r="K25" s="18">
        <v>2.57</v>
      </c>
      <c r="L25" s="18">
        <v>1.25</v>
      </c>
      <c r="M25" s="18" t="s">
        <v>28</v>
      </c>
      <c r="N25" s="17">
        <v>44894</v>
      </c>
      <c r="O25" s="15" t="s">
        <v>30</v>
      </c>
      <c r="P25" s="16" t="s">
        <v>8550</v>
      </c>
      <c r="Q25" s="15" t="s">
        <v>136</v>
      </c>
      <c r="R25" s="13" t="s">
        <v>25</v>
      </c>
    </row>
    <row r="26" spans="1:18" x14ac:dyDescent="0.3">
      <c r="A26" s="9" t="s">
        <v>9365</v>
      </c>
      <c r="B26" s="9" t="s">
        <v>9366</v>
      </c>
      <c r="C26" s="11" t="s">
        <v>28</v>
      </c>
      <c r="D26" s="9" t="s">
        <v>9367</v>
      </c>
      <c r="E26" s="11" t="s">
        <v>28</v>
      </c>
      <c r="F26" s="10">
        <v>194.44</v>
      </c>
      <c r="G26" s="10">
        <v>136.11000000000001</v>
      </c>
      <c r="H26" s="10">
        <v>194.44</v>
      </c>
      <c r="I26" s="11">
        <v>-6.25</v>
      </c>
      <c r="J26" s="11">
        <v>-31.1</v>
      </c>
      <c r="K26" s="11">
        <v>9.8000000000000007</v>
      </c>
      <c r="L26" s="11">
        <v>19.850000000000001</v>
      </c>
      <c r="M26" s="11">
        <v>-17.05</v>
      </c>
      <c r="N26" s="8">
        <v>44806</v>
      </c>
      <c r="O26" s="9" t="s">
        <v>41</v>
      </c>
      <c r="P26" s="12" t="s">
        <v>9368</v>
      </c>
      <c r="Q26" s="9" t="s">
        <v>566</v>
      </c>
      <c r="R26" s="14" t="s">
        <v>25</v>
      </c>
    </row>
    <row r="27" spans="1:18" x14ac:dyDescent="0.3">
      <c r="A27" s="9" t="s">
        <v>9784</v>
      </c>
      <c r="B27" s="9" t="s">
        <v>9785</v>
      </c>
      <c r="C27" s="11" t="s">
        <v>28</v>
      </c>
      <c r="D27" s="9" t="s">
        <v>9786</v>
      </c>
      <c r="E27" s="11">
        <v>-22.76</v>
      </c>
      <c r="F27" s="10" t="s">
        <v>28</v>
      </c>
      <c r="G27" s="10">
        <v>230</v>
      </c>
      <c r="H27" s="10">
        <v>805</v>
      </c>
      <c r="I27" s="11">
        <v>-20.38</v>
      </c>
      <c r="J27" s="11">
        <v>-39.5</v>
      </c>
      <c r="K27" s="11">
        <v>38.549999999999997</v>
      </c>
      <c r="L27" s="11">
        <v>20.88</v>
      </c>
      <c r="M27" s="11">
        <v>-25.02</v>
      </c>
      <c r="N27" s="8">
        <v>44776</v>
      </c>
      <c r="O27" s="9" t="s">
        <v>974</v>
      </c>
      <c r="P27" s="12" t="s">
        <v>9787</v>
      </c>
      <c r="Q27" s="9" t="s">
        <v>75</v>
      </c>
      <c r="R27" s="14" t="s">
        <v>25</v>
      </c>
    </row>
    <row r="28" spans="1:18" x14ac:dyDescent="0.3">
      <c r="A28" s="15" t="s">
        <v>9880</v>
      </c>
      <c r="B28" s="15" t="s">
        <v>9881</v>
      </c>
      <c r="C28" s="18">
        <v>0.84</v>
      </c>
      <c r="D28" s="15" t="s">
        <v>9882</v>
      </c>
      <c r="E28" s="18" t="s">
        <v>28</v>
      </c>
      <c r="F28" s="19">
        <v>16.75</v>
      </c>
      <c r="G28" s="19">
        <v>16.75</v>
      </c>
      <c r="H28" s="19">
        <v>16.75</v>
      </c>
      <c r="I28" s="18">
        <v>20</v>
      </c>
      <c r="J28" s="18">
        <v>0.84</v>
      </c>
      <c r="K28" s="18" t="s">
        <v>28</v>
      </c>
      <c r="L28" s="18" t="s">
        <v>28</v>
      </c>
      <c r="M28" s="18" t="s">
        <v>28</v>
      </c>
      <c r="N28" s="17">
        <v>44769</v>
      </c>
      <c r="O28" s="15" t="s">
        <v>30</v>
      </c>
      <c r="P28" s="16" t="s">
        <v>2344</v>
      </c>
      <c r="Q28" s="15" t="s">
        <v>692</v>
      </c>
      <c r="R28" s="13" t="s">
        <v>25</v>
      </c>
    </row>
    <row r="29" spans="1:18" x14ac:dyDescent="0.3">
      <c r="A29" s="15" t="s">
        <v>9972</v>
      </c>
      <c r="B29" s="15" t="s">
        <v>9973</v>
      </c>
      <c r="C29" s="18">
        <v>7.7</v>
      </c>
      <c r="D29" s="15" t="s">
        <v>9974</v>
      </c>
      <c r="E29" s="18" t="s">
        <v>28</v>
      </c>
      <c r="F29" s="19">
        <v>533.48</v>
      </c>
      <c r="G29" s="19">
        <v>533.48</v>
      </c>
      <c r="H29" s="19">
        <v>533.48</v>
      </c>
      <c r="I29" s="18">
        <v>69.28</v>
      </c>
      <c r="J29" s="18">
        <v>7.7</v>
      </c>
      <c r="K29" s="18">
        <v>134.54</v>
      </c>
      <c r="L29" s="18">
        <v>3.97</v>
      </c>
      <c r="M29" s="18" t="s">
        <v>28</v>
      </c>
      <c r="N29" s="17">
        <v>44756</v>
      </c>
      <c r="O29" s="15" t="s">
        <v>41</v>
      </c>
      <c r="P29" s="16" t="s">
        <v>28</v>
      </c>
      <c r="Q29" s="15" t="s">
        <v>290</v>
      </c>
      <c r="R29" s="13" t="s">
        <v>25</v>
      </c>
    </row>
    <row r="30" spans="1:18" x14ac:dyDescent="0.3">
      <c r="A30" s="15" t="s">
        <v>10474</v>
      </c>
      <c r="B30" s="15" t="s">
        <v>10475</v>
      </c>
      <c r="C30" s="18">
        <v>3.56</v>
      </c>
      <c r="D30" s="15" t="s">
        <v>10476</v>
      </c>
      <c r="E30" s="18" t="s">
        <v>28</v>
      </c>
      <c r="F30" s="19">
        <v>25.75</v>
      </c>
      <c r="G30" s="19">
        <v>25.75</v>
      </c>
      <c r="H30" s="19">
        <v>25.75</v>
      </c>
      <c r="I30" s="18">
        <v>7.23</v>
      </c>
      <c r="J30" s="18">
        <v>3.56</v>
      </c>
      <c r="K30" s="18">
        <v>77.47</v>
      </c>
      <c r="L30" s="18">
        <v>0.33</v>
      </c>
      <c r="M30" s="18">
        <v>4.45</v>
      </c>
      <c r="N30" s="17">
        <v>44711</v>
      </c>
      <c r="O30" s="15" t="s">
        <v>30</v>
      </c>
      <c r="P30" s="16" t="s">
        <v>4856</v>
      </c>
      <c r="Q30" s="15" t="s">
        <v>85</v>
      </c>
      <c r="R30" s="13" t="s">
        <v>25</v>
      </c>
    </row>
    <row r="31" spans="1:18" x14ac:dyDescent="0.3">
      <c r="A31" s="15" t="s">
        <v>10795</v>
      </c>
      <c r="B31" s="15" t="s">
        <v>10796</v>
      </c>
      <c r="C31" s="18">
        <v>5.19</v>
      </c>
      <c r="D31" s="15" t="s">
        <v>10797</v>
      </c>
      <c r="E31" s="18" t="s">
        <v>28</v>
      </c>
      <c r="F31" s="19">
        <v>76.88</v>
      </c>
      <c r="G31" s="19">
        <v>76.88</v>
      </c>
      <c r="H31" s="19">
        <v>76.88</v>
      </c>
      <c r="I31" s="18">
        <v>14.83</v>
      </c>
      <c r="J31" s="18">
        <v>5.19</v>
      </c>
      <c r="K31" s="18">
        <v>159.94999999999999</v>
      </c>
      <c r="L31" s="18">
        <v>0.48</v>
      </c>
      <c r="M31" s="18">
        <v>7.04</v>
      </c>
      <c r="N31" s="17">
        <v>44680</v>
      </c>
      <c r="O31" s="15" t="s">
        <v>30</v>
      </c>
      <c r="P31" s="16" t="s">
        <v>4856</v>
      </c>
      <c r="Q31" s="15" t="s">
        <v>85</v>
      </c>
      <c r="R31" s="13" t="s">
        <v>25</v>
      </c>
    </row>
    <row r="32" spans="1:18" x14ac:dyDescent="0.3">
      <c r="A32" s="15" t="s">
        <v>10801</v>
      </c>
      <c r="B32" s="15" t="s">
        <v>10802</v>
      </c>
      <c r="C32" s="18">
        <v>5.83</v>
      </c>
      <c r="D32" s="15" t="s">
        <v>10803</v>
      </c>
      <c r="E32" s="18" t="s">
        <v>28</v>
      </c>
      <c r="F32" s="19">
        <v>53.85</v>
      </c>
      <c r="G32" s="19">
        <v>53.85</v>
      </c>
      <c r="H32" s="19">
        <v>53.85</v>
      </c>
      <c r="I32" s="18">
        <v>9.23</v>
      </c>
      <c r="J32" s="18">
        <v>5.83</v>
      </c>
      <c r="K32" s="18">
        <v>148.18</v>
      </c>
      <c r="L32" s="18">
        <v>0.36</v>
      </c>
      <c r="M32" s="18" t="s">
        <v>28</v>
      </c>
      <c r="N32" s="17">
        <v>44680</v>
      </c>
      <c r="O32" s="15" t="s">
        <v>30</v>
      </c>
      <c r="P32" s="16" t="s">
        <v>10804</v>
      </c>
      <c r="Q32" s="15" t="s">
        <v>371</v>
      </c>
      <c r="R32" s="13" t="s">
        <v>25</v>
      </c>
    </row>
    <row r="33" spans="1:18" x14ac:dyDescent="0.3">
      <c r="A33" s="15" t="s">
        <v>11201</v>
      </c>
      <c r="B33" s="15" t="s">
        <v>11202</v>
      </c>
      <c r="C33" s="18">
        <v>1.36</v>
      </c>
      <c r="D33" s="15" t="s">
        <v>11203</v>
      </c>
      <c r="E33" s="18">
        <v>148.19</v>
      </c>
      <c r="F33" s="19">
        <v>209.04</v>
      </c>
      <c r="G33" s="19">
        <v>110.76</v>
      </c>
      <c r="H33" s="19">
        <v>215.16</v>
      </c>
      <c r="I33" s="18">
        <v>153.30000000000001</v>
      </c>
      <c r="J33" s="18">
        <v>1.4</v>
      </c>
      <c r="K33" s="18">
        <v>795.32</v>
      </c>
      <c r="L33" s="18">
        <v>0.27</v>
      </c>
      <c r="M33" s="18">
        <v>123.65</v>
      </c>
      <c r="N33" s="17">
        <v>44649</v>
      </c>
      <c r="O33" s="15" t="s">
        <v>30</v>
      </c>
      <c r="P33" s="16" t="s">
        <v>11204</v>
      </c>
      <c r="Q33" s="15" t="s">
        <v>1007</v>
      </c>
      <c r="R33" s="13" t="s">
        <v>25</v>
      </c>
    </row>
    <row r="34" spans="1:18" x14ac:dyDescent="0.3">
      <c r="A34" s="15" t="s">
        <v>11422</v>
      </c>
      <c r="B34" s="15" t="s">
        <v>10454</v>
      </c>
      <c r="C34" s="18" t="s">
        <v>28</v>
      </c>
      <c r="D34" s="15" t="s">
        <v>11423</v>
      </c>
      <c r="E34" s="18">
        <v>-0.06</v>
      </c>
      <c r="F34" s="19" t="s">
        <v>28</v>
      </c>
      <c r="G34" s="19">
        <v>2989.72</v>
      </c>
      <c r="H34" s="19">
        <v>2989.72</v>
      </c>
      <c r="I34" s="18">
        <v>27.13</v>
      </c>
      <c r="J34" s="18">
        <v>110.2</v>
      </c>
      <c r="K34" s="18">
        <v>3941.55</v>
      </c>
      <c r="L34" s="18">
        <v>0.76</v>
      </c>
      <c r="M34" s="18">
        <v>61.63</v>
      </c>
      <c r="N34" s="17">
        <v>44629</v>
      </c>
      <c r="O34" s="15" t="s">
        <v>30</v>
      </c>
      <c r="P34" s="16" t="s">
        <v>11424</v>
      </c>
      <c r="Q34" s="15" t="s">
        <v>774</v>
      </c>
      <c r="R34" s="13" t="s">
        <v>25</v>
      </c>
    </row>
    <row r="35" spans="1:18" x14ac:dyDescent="0.3">
      <c r="A35" s="15" t="s">
        <v>11968</v>
      </c>
      <c r="B35" s="15" t="s">
        <v>9265</v>
      </c>
      <c r="C35" s="18">
        <v>161.1</v>
      </c>
      <c r="D35" s="15" t="s">
        <v>11969</v>
      </c>
      <c r="E35" s="18" t="s">
        <v>28</v>
      </c>
      <c r="F35" s="19">
        <v>1158.4100000000001</v>
      </c>
      <c r="G35" s="19">
        <v>579.21</v>
      </c>
      <c r="H35" s="19">
        <v>1158.4100000000001</v>
      </c>
      <c r="I35" s="18">
        <v>7.19</v>
      </c>
      <c r="J35" s="18">
        <v>161.1</v>
      </c>
      <c r="K35" s="18" t="s">
        <v>28</v>
      </c>
      <c r="L35" s="18" t="s">
        <v>28</v>
      </c>
      <c r="M35" s="18" t="s">
        <v>28</v>
      </c>
      <c r="N35" s="17">
        <v>44582</v>
      </c>
      <c r="O35" s="15" t="s">
        <v>30</v>
      </c>
      <c r="P35" s="16" t="s">
        <v>9256</v>
      </c>
      <c r="Q35" s="15" t="s">
        <v>1238</v>
      </c>
      <c r="R35" s="13" t="s">
        <v>25</v>
      </c>
    </row>
    <row r="36" spans="1:18" x14ac:dyDescent="0.3">
      <c r="A36" s="9" t="s">
        <v>12100</v>
      </c>
      <c r="B36" s="9" t="s">
        <v>12101</v>
      </c>
      <c r="C36" s="11">
        <v>5.42</v>
      </c>
      <c r="D36" s="9" t="s">
        <v>12102</v>
      </c>
      <c r="E36" s="11">
        <v>43.82</v>
      </c>
      <c r="F36" s="10">
        <v>360.82</v>
      </c>
      <c r="G36" s="10">
        <v>313.51</v>
      </c>
      <c r="H36" s="10">
        <v>467.92</v>
      </c>
      <c r="I36" s="11">
        <v>66.53</v>
      </c>
      <c r="J36" s="11">
        <v>7.03</v>
      </c>
      <c r="K36" s="11">
        <v>258.91000000000003</v>
      </c>
      <c r="L36" s="11">
        <v>1.81</v>
      </c>
      <c r="M36" s="11">
        <v>18.07</v>
      </c>
      <c r="N36" s="8">
        <v>44574</v>
      </c>
      <c r="O36" s="9" t="s">
        <v>30</v>
      </c>
      <c r="P36" s="12" t="s">
        <v>12103</v>
      </c>
      <c r="Q36" s="9" t="s">
        <v>5347</v>
      </c>
      <c r="R36" s="14" t="s">
        <v>25</v>
      </c>
    </row>
    <row r="37" spans="1:18" x14ac:dyDescent="0.3">
      <c r="A37" s="9" t="s">
        <v>12183</v>
      </c>
      <c r="B37" s="9" t="s">
        <v>12184</v>
      </c>
      <c r="C37" s="11">
        <v>9.99</v>
      </c>
      <c r="D37" s="9" t="s">
        <v>12185</v>
      </c>
      <c r="E37" s="11" t="s">
        <v>28</v>
      </c>
      <c r="F37" s="10">
        <v>74.67</v>
      </c>
      <c r="G37" s="10">
        <v>74.67</v>
      </c>
      <c r="H37" s="10">
        <v>74.67</v>
      </c>
      <c r="I37" s="11">
        <v>7.47</v>
      </c>
      <c r="J37" s="11">
        <v>9.99</v>
      </c>
      <c r="K37" s="11">
        <v>14.2</v>
      </c>
      <c r="L37" s="11">
        <v>5.26</v>
      </c>
      <c r="M37" s="11" t="s">
        <v>28</v>
      </c>
      <c r="N37" s="8">
        <v>44565</v>
      </c>
      <c r="O37" s="9" t="s">
        <v>30</v>
      </c>
      <c r="P37" s="12" t="s">
        <v>6796</v>
      </c>
      <c r="Q37" s="9" t="s">
        <v>75</v>
      </c>
      <c r="R37" s="14" t="s">
        <v>25</v>
      </c>
    </row>
    <row r="38" spans="1:18" x14ac:dyDescent="0.3">
      <c r="A38" s="15" t="s">
        <v>12626</v>
      </c>
      <c r="B38" s="15" t="s">
        <v>12627</v>
      </c>
      <c r="C38" s="18">
        <v>6.16</v>
      </c>
      <c r="D38" s="15" t="s">
        <v>12628</v>
      </c>
      <c r="E38" s="18" t="s">
        <v>28</v>
      </c>
      <c r="F38" s="19">
        <v>19.100000000000001</v>
      </c>
      <c r="G38" s="19">
        <v>19.100000000000001</v>
      </c>
      <c r="H38" s="19">
        <v>19.100000000000001</v>
      </c>
      <c r="I38" s="18">
        <v>3.1</v>
      </c>
      <c r="J38" s="18">
        <v>6.16</v>
      </c>
      <c r="K38" s="18">
        <v>17.600000000000001</v>
      </c>
      <c r="L38" s="18">
        <v>1.0900000000000001</v>
      </c>
      <c r="M38" s="18" t="s">
        <v>28</v>
      </c>
      <c r="N38" s="17">
        <v>44550</v>
      </c>
      <c r="O38" s="15" t="s">
        <v>30</v>
      </c>
      <c r="P38" s="16" t="s">
        <v>12629</v>
      </c>
      <c r="Q38" s="15" t="s">
        <v>1643</v>
      </c>
      <c r="R38" s="13" t="s">
        <v>25</v>
      </c>
    </row>
    <row r="39" spans="1:18" x14ac:dyDescent="0.3">
      <c r="A39" s="15" t="s">
        <v>12763</v>
      </c>
      <c r="B39" s="15" t="s">
        <v>12764</v>
      </c>
      <c r="C39" s="18">
        <v>3.93</v>
      </c>
      <c r="D39" s="15" t="s">
        <v>12765</v>
      </c>
      <c r="E39" s="18" t="s">
        <v>28</v>
      </c>
      <c r="F39" s="19">
        <v>26.96</v>
      </c>
      <c r="G39" s="19">
        <v>26.96</v>
      </c>
      <c r="H39" s="19">
        <v>26.96</v>
      </c>
      <c r="I39" s="18">
        <v>6.86</v>
      </c>
      <c r="J39" s="18">
        <v>3.93</v>
      </c>
      <c r="K39" s="18">
        <v>15.57</v>
      </c>
      <c r="L39" s="18">
        <v>1.73</v>
      </c>
      <c r="M39" s="18" t="s">
        <v>28</v>
      </c>
      <c r="N39" s="17">
        <v>44539</v>
      </c>
      <c r="O39" s="15" t="s">
        <v>30</v>
      </c>
      <c r="P39" s="16" t="s">
        <v>6332</v>
      </c>
      <c r="Q39" s="15" t="s">
        <v>900</v>
      </c>
      <c r="R39" s="13" t="s">
        <v>25</v>
      </c>
    </row>
    <row r="40" spans="1:18" x14ac:dyDescent="0.3">
      <c r="A40" s="15" t="s">
        <v>13404</v>
      </c>
      <c r="B40" s="15" t="s">
        <v>13405</v>
      </c>
      <c r="C40" s="18">
        <v>14.89</v>
      </c>
      <c r="D40" s="15" t="s">
        <v>13406</v>
      </c>
      <c r="E40" s="18" t="s">
        <v>28</v>
      </c>
      <c r="F40" s="19">
        <v>320.73</v>
      </c>
      <c r="G40" s="19">
        <v>163.57</v>
      </c>
      <c r="H40" s="19">
        <v>320.73</v>
      </c>
      <c r="I40" s="18">
        <v>21.54</v>
      </c>
      <c r="J40" s="18">
        <v>14.89</v>
      </c>
      <c r="K40" s="18" t="s">
        <v>28</v>
      </c>
      <c r="L40" s="18" t="s">
        <v>28</v>
      </c>
      <c r="M40" s="18" t="s">
        <v>28</v>
      </c>
      <c r="N40" s="17">
        <v>44491</v>
      </c>
      <c r="O40" s="15" t="s">
        <v>30</v>
      </c>
      <c r="P40" s="16" t="s">
        <v>1866</v>
      </c>
      <c r="Q40" s="15" t="s">
        <v>4901</v>
      </c>
      <c r="R40" s="13" t="s">
        <v>25</v>
      </c>
    </row>
    <row r="41" spans="1:18" x14ac:dyDescent="0.3">
      <c r="A41" s="9" t="s">
        <v>14268</v>
      </c>
      <c r="B41" s="9" t="s">
        <v>14269</v>
      </c>
      <c r="C41" s="11">
        <v>6.35</v>
      </c>
      <c r="D41" s="9" t="s">
        <v>14270</v>
      </c>
      <c r="E41" s="11" t="s">
        <v>28</v>
      </c>
      <c r="F41" s="10">
        <v>1300</v>
      </c>
      <c r="G41" s="10">
        <v>1300</v>
      </c>
      <c r="H41" s="10">
        <v>1300</v>
      </c>
      <c r="I41" s="11">
        <v>204.6</v>
      </c>
      <c r="J41" s="11">
        <v>6.35</v>
      </c>
      <c r="K41" s="11">
        <v>1315.84</v>
      </c>
      <c r="L41" s="11">
        <v>0.99</v>
      </c>
      <c r="M41" s="11" t="s">
        <v>28</v>
      </c>
      <c r="N41" s="8">
        <v>44424</v>
      </c>
      <c r="O41" s="9" t="s">
        <v>30</v>
      </c>
      <c r="P41" s="12" t="s">
        <v>14271</v>
      </c>
      <c r="Q41" s="9" t="s">
        <v>280</v>
      </c>
      <c r="R41" s="14" t="s">
        <v>25</v>
      </c>
    </row>
    <row r="42" spans="1:18" x14ac:dyDescent="0.3">
      <c r="A42" s="15" t="s">
        <v>14289</v>
      </c>
      <c r="B42" s="15" t="s">
        <v>14290</v>
      </c>
      <c r="C42" s="18">
        <v>3.18</v>
      </c>
      <c r="D42" s="15" t="s">
        <v>14291</v>
      </c>
      <c r="E42" s="18" t="s">
        <v>28</v>
      </c>
      <c r="F42" s="19">
        <v>35.72</v>
      </c>
      <c r="G42" s="19">
        <v>35.72</v>
      </c>
      <c r="H42" s="19">
        <v>35.72</v>
      </c>
      <c r="I42" s="18">
        <v>11.23</v>
      </c>
      <c r="J42" s="18">
        <v>3.18</v>
      </c>
      <c r="K42" s="18" t="s">
        <v>28</v>
      </c>
      <c r="L42" s="18" t="s">
        <v>28</v>
      </c>
      <c r="M42" s="18" t="s">
        <v>28</v>
      </c>
      <c r="N42" s="17">
        <v>44421</v>
      </c>
      <c r="O42" s="15" t="s">
        <v>30</v>
      </c>
      <c r="P42" s="16" t="s">
        <v>14292</v>
      </c>
      <c r="Q42" s="15" t="s">
        <v>37</v>
      </c>
      <c r="R42" s="13" t="s">
        <v>25</v>
      </c>
    </row>
    <row r="43" spans="1:18" x14ac:dyDescent="0.3">
      <c r="A43" s="15" t="s">
        <v>14414</v>
      </c>
      <c r="B43" s="15" t="s">
        <v>14415</v>
      </c>
      <c r="C43" s="18">
        <v>33.590000000000003</v>
      </c>
      <c r="D43" s="15" t="s">
        <v>14416</v>
      </c>
      <c r="E43" s="18" t="s">
        <v>28</v>
      </c>
      <c r="F43" s="19">
        <v>138.29</v>
      </c>
      <c r="G43" s="19">
        <v>138.29</v>
      </c>
      <c r="H43" s="19">
        <v>138.29</v>
      </c>
      <c r="I43" s="18">
        <v>4.12</v>
      </c>
      <c r="J43" s="18">
        <v>33.590000000000003</v>
      </c>
      <c r="K43" s="18">
        <v>46.78</v>
      </c>
      <c r="L43" s="18">
        <v>2.96</v>
      </c>
      <c r="M43" s="18" t="s">
        <v>28</v>
      </c>
      <c r="N43" s="17">
        <v>44411</v>
      </c>
      <c r="O43" s="15" t="s">
        <v>30</v>
      </c>
      <c r="P43" s="16" t="s">
        <v>10109</v>
      </c>
      <c r="Q43" s="15" t="s">
        <v>616</v>
      </c>
      <c r="R43" s="13" t="s">
        <v>25</v>
      </c>
    </row>
    <row r="44" spans="1:18" x14ac:dyDescent="0.3">
      <c r="A44" s="9" t="s">
        <v>14435</v>
      </c>
      <c r="B44" s="9" t="s">
        <v>14436</v>
      </c>
      <c r="C44" s="11">
        <v>17.829999999999998</v>
      </c>
      <c r="D44" s="9" t="s">
        <v>14437</v>
      </c>
      <c r="E44" s="11">
        <v>7.48</v>
      </c>
      <c r="F44" s="10">
        <v>143.86000000000001</v>
      </c>
      <c r="G44" s="10">
        <v>148.5</v>
      </c>
      <c r="H44" s="10">
        <v>148.5</v>
      </c>
      <c r="I44" s="11">
        <v>8.07</v>
      </c>
      <c r="J44" s="11">
        <v>18.41</v>
      </c>
      <c r="K44" s="11">
        <v>9.3800000000000008</v>
      </c>
      <c r="L44" s="11">
        <v>15.83</v>
      </c>
      <c r="M44" s="11">
        <v>4.5199999999999996</v>
      </c>
      <c r="N44" s="8">
        <v>44410</v>
      </c>
      <c r="O44" s="9" t="s">
        <v>30</v>
      </c>
      <c r="P44" s="12" t="s">
        <v>14438</v>
      </c>
      <c r="Q44" s="9" t="s">
        <v>69</v>
      </c>
      <c r="R44" s="14" t="s">
        <v>25</v>
      </c>
    </row>
    <row r="45" spans="1:18" x14ac:dyDescent="0.3">
      <c r="A45" s="9" t="s">
        <v>14594</v>
      </c>
      <c r="B45" s="9" t="s">
        <v>14595</v>
      </c>
      <c r="C45" s="11">
        <v>3.96</v>
      </c>
      <c r="D45" s="9" t="s">
        <v>14596</v>
      </c>
      <c r="E45" s="11">
        <v>158.91</v>
      </c>
      <c r="F45" s="10">
        <v>678.45</v>
      </c>
      <c r="G45" s="10">
        <v>524.66</v>
      </c>
      <c r="H45" s="10">
        <v>794.22</v>
      </c>
      <c r="I45" s="11">
        <v>171.42</v>
      </c>
      <c r="J45" s="11">
        <v>4.63</v>
      </c>
      <c r="K45" s="11">
        <v>308.64</v>
      </c>
      <c r="L45" s="11">
        <v>2.57</v>
      </c>
      <c r="M45" s="11">
        <v>131.07</v>
      </c>
      <c r="N45" s="8">
        <v>44398</v>
      </c>
      <c r="O45" s="9" t="s">
        <v>30</v>
      </c>
      <c r="P45" s="12" t="s">
        <v>14597</v>
      </c>
      <c r="Q45" s="9" t="s">
        <v>226</v>
      </c>
      <c r="R45" s="14" t="s">
        <v>25</v>
      </c>
    </row>
    <row r="46" spans="1:18" x14ac:dyDescent="0.3">
      <c r="A46" s="15" t="s">
        <v>15148</v>
      </c>
      <c r="B46" s="15" t="s">
        <v>1444</v>
      </c>
      <c r="C46" s="18">
        <v>6.23</v>
      </c>
      <c r="D46" s="15" t="s">
        <v>1445</v>
      </c>
      <c r="E46" s="18" t="s">
        <v>28</v>
      </c>
      <c r="F46" s="19">
        <v>575.25</v>
      </c>
      <c r="G46" s="19">
        <v>575.25</v>
      </c>
      <c r="H46" s="19">
        <v>575.25</v>
      </c>
      <c r="I46" s="18">
        <v>92.39</v>
      </c>
      <c r="J46" s="18">
        <v>6.23</v>
      </c>
      <c r="K46" s="18">
        <v>388.19</v>
      </c>
      <c r="L46" s="18">
        <v>1.48</v>
      </c>
      <c r="M46" s="18">
        <v>31.64</v>
      </c>
      <c r="N46" s="17">
        <v>44358</v>
      </c>
      <c r="O46" s="15" t="s">
        <v>30</v>
      </c>
      <c r="P46" s="16" t="s">
        <v>28</v>
      </c>
      <c r="Q46" s="15" t="s">
        <v>245</v>
      </c>
      <c r="R46" s="13" t="s">
        <v>25</v>
      </c>
    </row>
    <row r="47" spans="1:18" x14ac:dyDescent="0.3">
      <c r="A47" s="9" t="s">
        <v>15221</v>
      </c>
      <c r="B47" s="9" t="s">
        <v>15222</v>
      </c>
      <c r="C47" s="11">
        <v>14.57</v>
      </c>
      <c r="D47" s="9" t="s">
        <v>15223</v>
      </c>
      <c r="E47" s="11" t="s">
        <v>28</v>
      </c>
      <c r="F47" s="10">
        <v>56.54</v>
      </c>
      <c r="G47" s="10">
        <v>56.54</v>
      </c>
      <c r="H47" s="10">
        <v>56.54</v>
      </c>
      <c r="I47" s="11">
        <v>3.88</v>
      </c>
      <c r="J47" s="11">
        <v>14.57</v>
      </c>
      <c r="K47" s="11">
        <v>30.18</v>
      </c>
      <c r="L47" s="11">
        <v>1.87</v>
      </c>
      <c r="M47" s="11" t="s">
        <v>28</v>
      </c>
      <c r="N47" s="8">
        <v>44351</v>
      </c>
      <c r="O47" s="9" t="s">
        <v>30</v>
      </c>
      <c r="P47" s="12" t="s">
        <v>13906</v>
      </c>
      <c r="Q47" s="9" t="s">
        <v>43</v>
      </c>
      <c r="R47" s="14" t="s">
        <v>25</v>
      </c>
    </row>
    <row r="48" spans="1:18" x14ac:dyDescent="0.3">
      <c r="A48" s="15" t="s">
        <v>15658</v>
      </c>
      <c r="B48" s="15" t="s">
        <v>15659</v>
      </c>
      <c r="C48" s="18">
        <v>21.83</v>
      </c>
      <c r="D48" s="15" t="s">
        <v>15660</v>
      </c>
      <c r="E48" s="18">
        <v>22.36</v>
      </c>
      <c r="F48" s="19">
        <v>841.11</v>
      </c>
      <c r="G48" s="19">
        <v>905.18</v>
      </c>
      <c r="H48" s="19">
        <v>905.18</v>
      </c>
      <c r="I48" s="18">
        <v>38.53</v>
      </c>
      <c r="J48" s="18">
        <v>23.49</v>
      </c>
      <c r="K48" s="18">
        <v>201</v>
      </c>
      <c r="L48" s="18">
        <v>4.5</v>
      </c>
      <c r="M48" s="18">
        <v>66.180000000000007</v>
      </c>
      <c r="N48" s="17">
        <v>44312</v>
      </c>
      <c r="O48" s="15" t="s">
        <v>30</v>
      </c>
      <c r="P48" s="16" t="s">
        <v>15661</v>
      </c>
      <c r="Q48" s="15" t="s">
        <v>607</v>
      </c>
      <c r="R48" s="13" t="s">
        <v>25</v>
      </c>
    </row>
    <row r="49" spans="1:18" x14ac:dyDescent="0.3">
      <c r="A49" s="15" t="s">
        <v>15700</v>
      </c>
      <c r="B49" s="15" t="s">
        <v>15701</v>
      </c>
      <c r="C49" s="18">
        <v>1.96</v>
      </c>
      <c r="D49" s="15" t="s">
        <v>15702</v>
      </c>
      <c r="E49" s="18" t="s">
        <v>28</v>
      </c>
      <c r="F49" s="19">
        <v>2.85</v>
      </c>
      <c r="G49" s="19">
        <v>2.85</v>
      </c>
      <c r="H49" s="19">
        <v>2.85</v>
      </c>
      <c r="I49" s="18">
        <v>1.46</v>
      </c>
      <c r="J49" s="18">
        <v>1.96</v>
      </c>
      <c r="K49" s="18">
        <v>23.6</v>
      </c>
      <c r="L49" s="18">
        <v>0.12</v>
      </c>
      <c r="M49" s="18">
        <v>0.74</v>
      </c>
      <c r="N49" s="17">
        <v>44306</v>
      </c>
      <c r="O49" s="15" t="s">
        <v>30</v>
      </c>
      <c r="P49" s="16" t="s">
        <v>6332</v>
      </c>
      <c r="Q49" s="15" t="s">
        <v>2916</v>
      </c>
      <c r="R49" s="13" t="s">
        <v>25</v>
      </c>
    </row>
    <row r="50" spans="1:18" x14ac:dyDescent="0.3">
      <c r="A50" s="9" t="s">
        <v>15847</v>
      </c>
      <c r="B50" s="9" t="s">
        <v>15848</v>
      </c>
      <c r="C50" s="11">
        <v>7.31</v>
      </c>
      <c r="D50" s="9" t="s">
        <v>15849</v>
      </c>
      <c r="E50" s="11" t="s">
        <v>28</v>
      </c>
      <c r="F50" s="10">
        <v>11.35</v>
      </c>
      <c r="G50" s="10">
        <v>6.81</v>
      </c>
      <c r="H50" s="10">
        <v>11.35</v>
      </c>
      <c r="I50" s="11">
        <v>1.55</v>
      </c>
      <c r="J50" s="11">
        <v>7.31</v>
      </c>
      <c r="K50" s="11">
        <v>2.52</v>
      </c>
      <c r="L50" s="11">
        <v>4.5</v>
      </c>
      <c r="M50" s="11" t="s">
        <v>28</v>
      </c>
      <c r="N50" s="8">
        <v>44287</v>
      </c>
      <c r="O50" s="9" t="s">
        <v>30</v>
      </c>
      <c r="P50" s="12" t="s">
        <v>6796</v>
      </c>
      <c r="Q50" s="9" t="s">
        <v>75</v>
      </c>
      <c r="R50" s="14" t="s">
        <v>25</v>
      </c>
    </row>
    <row r="51" spans="1:18" x14ac:dyDescent="0.3">
      <c r="A51" s="15" t="s">
        <v>15989</v>
      </c>
      <c r="B51" s="15" t="s">
        <v>1315</v>
      </c>
      <c r="C51" s="18" t="s">
        <v>28</v>
      </c>
      <c r="D51" s="15" t="s">
        <v>1316</v>
      </c>
      <c r="E51" s="18">
        <v>28.94</v>
      </c>
      <c r="F51" s="19" t="s">
        <v>28</v>
      </c>
      <c r="G51" s="19">
        <v>211</v>
      </c>
      <c r="H51" s="19">
        <v>472.39</v>
      </c>
      <c r="I51" s="18">
        <v>42.92</v>
      </c>
      <c r="J51" s="18">
        <v>11.01</v>
      </c>
      <c r="K51" s="18">
        <v>145.02000000000001</v>
      </c>
      <c r="L51" s="18">
        <v>3.26</v>
      </c>
      <c r="M51" s="18">
        <v>-1.19</v>
      </c>
      <c r="N51" s="17">
        <v>44277</v>
      </c>
      <c r="O51" s="15" t="s">
        <v>93</v>
      </c>
      <c r="P51" s="16" t="s">
        <v>15990</v>
      </c>
      <c r="Q51" s="15" t="s">
        <v>1088</v>
      </c>
      <c r="R51" s="13" t="s">
        <v>25</v>
      </c>
    </row>
    <row r="52" spans="1:18" x14ac:dyDescent="0.3">
      <c r="A52" s="15" t="s">
        <v>16349</v>
      </c>
      <c r="B52" s="15" t="s">
        <v>13134</v>
      </c>
      <c r="C52" s="18">
        <v>5.81</v>
      </c>
      <c r="D52" s="15" t="s">
        <v>16350</v>
      </c>
      <c r="E52" s="18">
        <v>146.44</v>
      </c>
      <c r="F52" s="19">
        <v>1470.15</v>
      </c>
      <c r="G52" s="19">
        <v>2180</v>
      </c>
      <c r="H52" s="19">
        <v>2180</v>
      </c>
      <c r="I52" s="18">
        <v>253.17</v>
      </c>
      <c r="J52" s="18">
        <v>8.61</v>
      </c>
      <c r="K52" s="18">
        <v>1085.3599999999999</v>
      </c>
      <c r="L52" s="18">
        <v>2.0099999999999998</v>
      </c>
      <c r="M52" s="18">
        <v>74.849999999999994</v>
      </c>
      <c r="N52" s="17">
        <v>44244</v>
      </c>
      <c r="O52" s="15" t="s">
        <v>30</v>
      </c>
      <c r="P52" s="16" t="s">
        <v>5877</v>
      </c>
      <c r="Q52" s="15" t="s">
        <v>85</v>
      </c>
      <c r="R52" s="13" t="s">
        <v>25</v>
      </c>
    </row>
    <row r="53" spans="1:18" x14ac:dyDescent="0.3">
      <c r="A53" s="9" t="s">
        <v>17128</v>
      </c>
      <c r="B53" s="9" t="s">
        <v>864</v>
      </c>
      <c r="C53" s="11" t="s">
        <v>28</v>
      </c>
      <c r="D53" s="9" t="s">
        <v>865</v>
      </c>
      <c r="E53" s="11">
        <v>-1710.67</v>
      </c>
      <c r="F53" s="10">
        <v>2218.02</v>
      </c>
      <c r="G53" s="10">
        <v>3293.08</v>
      </c>
      <c r="H53" s="10">
        <v>3293.08</v>
      </c>
      <c r="I53" s="11">
        <v>-1282.44</v>
      </c>
      <c r="J53" s="11">
        <v>-2.57</v>
      </c>
      <c r="K53" s="11">
        <v>1455.55</v>
      </c>
      <c r="L53" s="11">
        <v>2.2599999999999998</v>
      </c>
      <c r="M53" s="11">
        <v>-3022.04</v>
      </c>
      <c r="N53" s="8">
        <v>44179</v>
      </c>
      <c r="O53" s="9" t="s">
        <v>30</v>
      </c>
      <c r="P53" s="12" t="s">
        <v>17129</v>
      </c>
      <c r="Q53" s="9" t="s">
        <v>692</v>
      </c>
      <c r="R53" s="14" t="s">
        <v>25</v>
      </c>
    </row>
    <row r="54" spans="1:18" x14ac:dyDescent="0.3">
      <c r="A54" s="9" t="s">
        <v>17182</v>
      </c>
      <c r="B54" s="9" t="s">
        <v>17183</v>
      </c>
      <c r="C54" s="11">
        <v>15.71</v>
      </c>
      <c r="D54" s="9" t="s">
        <v>17184</v>
      </c>
      <c r="E54" s="11">
        <v>27.95</v>
      </c>
      <c r="F54" s="10">
        <v>439.07</v>
      </c>
      <c r="G54" s="10">
        <v>467.21</v>
      </c>
      <c r="H54" s="10">
        <v>467.21</v>
      </c>
      <c r="I54" s="11">
        <v>27.95</v>
      </c>
      <c r="J54" s="11">
        <v>16.72</v>
      </c>
      <c r="K54" s="11">
        <v>53.31</v>
      </c>
      <c r="L54" s="11">
        <v>8.76</v>
      </c>
      <c r="M54" s="11">
        <v>14.35</v>
      </c>
      <c r="N54" s="8">
        <v>44169</v>
      </c>
      <c r="O54" s="9" t="s">
        <v>30</v>
      </c>
      <c r="P54" s="12" t="s">
        <v>17185</v>
      </c>
      <c r="Q54" s="9" t="s">
        <v>348</v>
      </c>
      <c r="R54" s="14" t="s">
        <v>25</v>
      </c>
    </row>
    <row r="55" spans="1:18" x14ac:dyDescent="0.3">
      <c r="A55" s="15" t="s">
        <v>18077</v>
      </c>
      <c r="B55" s="15" t="s">
        <v>14833</v>
      </c>
      <c r="C55" s="18">
        <v>7.52</v>
      </c>
      <c r="D55" s="15" t="s">
        <v>14834</v>
      </c>
      <c r="E55" s="18" t="s">
        <v>28</v>
      </c>
      <c r="F55" s="19">
        <v>75.88</v>
      </c>
      <c r="G55" s="19">
        <v>75.88</v>
      </c>
      <c r="H55" s="19">
        <v>75.88</v>
      </c>
      <c r="I55" s="18">
        <v>10.09</v>
      </c>
      <c r="J55" s="18">
        <v>7.52</v>
      </c>
      <c r="K55" s="18">
        <v>34.74</v>
      </c>
      <c r="L55" s="18">
        <v>2.1800000000000002</v>
      </c>
      <c r="M55" s="18" t="s">
        <v>28</v>
      </c>
      <c r="N55" s="17">
        <v>44062</v>
      </c>
      <c r="O55" s="15" t="s">
        <v>41</v>
      </c>
      <c r="P55" s="16" t="s">
        <v>1612</v>
      </c>
      <c r="Q55" s="15" t="s">
        <v>95</v>
      </c>
      <c r="R55" s="13" t="s">
        <v>25</v>
      </c>
    </row>
    <row r="56" spans="1:18" x14ac:dyDescent="0.3">
      <c r="A56" s="9" t="s">
        <v>18133</v>
      </c>
      <c r="B56" s="9" t="s">
        <v>10279</v>
      </c>
      <c r="C56" s="11">
        <v>39.19</v>
      </c>
      <c r="D56" s="9" t="s">
        <v>18134</v>
      </c>
      <c r="E56" s="11">
        <v>-3.46</v>
      </c>
      <c r="F56" s="10">
        <v>1066.76</v>
      </c>
      <c r="G56" s="10">
        <v>1183.1500000000001</v>
      </c>
      <c r="H56" s="10">
        <v>1183.1500000000001</v>
      </c>
      <c r="I56" s="11">
        <v>27.22</v>
      </c>
      <c r="J56" s="11">
        <v>43.46</v>
      </c>
      <c r="K56" s="11">
        <v>187.84</v>
      </c>
      <c r="L56" s="11">
        <v>6.3</v>
      </c>
      <c r="M56" s="11">
        <v>0.66</v>
      </c>
      <c r="N56" s="8">
        <v>44054</v>
      </c>
      <c r="O56" s="9" t="s">
        <v>30</v>
      </c>
      <c r="P56" s="12" t="s">
        <v>11193</v>
      </c>
      <c r="Q56" s="9" t="s">
        <v>75</v>
      </c>
      <c r="R56" s="14" t="s">
        <v>25</v>
      </c>
    </row>
    <row r="57" spans="1:18" x14ac:dyDescent="0.3">
      <c r="A57" s="15" t="s">
        <v>19760</v>
      </c>
      <c r="B57" s="15" t="s">
        <v>19761</v>
      </c>
      <c r="C57" s="18" t="s">
        <v>28</v>
      </c>
      <c r="D57" s="15" t="s">
        <v>19762</v>
      </c>
      <c r="E57" s="18">
        <v>-0.04</v>
      </c>
      <c r="F57" s="19">
        <v>1.2</v>
      </c>
      <c r="G57" s="19">
        <v>2.2999999999999998</v>
      </c>
      <c r="H57" s="19">
        <v>3.46</v>
      </c>
      <c r="I57" s="18">
        <v>-0.02</v>
      </c>
      <c r="J57" s="18">
        <v>-147.08000000000001</v>
      </c>
      <c r="K57" s="18">
        <v>0.62</v>
      </c>
      <c r="L57" s="18">
        <v>5.53</v>
      </c>
      <c r="M57" s="18">
        <v>-7.0000000000000007E-2</v>
      </c>
      <c r="N57" s="17">
        <v>43810</v>
      </c>
      <c r="O57" s="15" t="s">
        <v>30</v>
      </c>
      <c r="P57" s="16" t="s">
        <v>2347</v>
      </c>
      <c r="Q57" s="15" t="s">
        <v>696</v>
      </c>
      <c r="R57" s="13" t="s">
        <v>25</v>
      </c>
    </row>
    <row r="58" spans="1:18" x14ac:dyDescent="0.3">
      <c r="A58" s="15" t="s">
        <v>20356</v>
      </c>
      <c r="B58" s="15" t="s">
        <v>20357</v>
      </c>
      <c r="C58" s="18">
        <v>5.77</v>
      </c>
      <c r="D58" s="15" t="s">
        <v>20358</v>
      </c>
      <c r="E58" s="18">
        <v>32.86</v>
      </c>
      <c r="F58" s="19">
        <v>245.05</v>
      </c>
      <c r="G58" s="19">
        <v>247.11</v>
      </c>
      <c r="H58" s="19">
        <v>253</v>
      </c>
      <c r="I58" s="18">
        <v>42.47</v>
      </c>
      <c r="J58" s="18">
        <v>5.96</v>
      </c>
      <c r="K58" s="18">
        <v>199.99</v>
      </c>
      <c r="L58" s="18">
        <v>1.27</v>
      </c>
      <c r="M58" s="18">
        <v>19.2</v>
      </c>
      <c r="N58" s="17">
        <v>43711</v>
      </c>
      <c r="O58" s="15" t="s">
        <v>41</v>
      </c>
      <c r="P58" s="16" t="s">
        <v>20359</v>
      </c>
      <c r="Q58" s="15" t="s">
        <v>2916</v>
      </c>
      <c r="R58" s="13" t="s">
        <v>25</v>
      </c>
    </row>
    <row r="59" spans="1:18" x14ac:dyDescent="0.3">
      <c r="A59" s="9" t="s">
        <v>20525</v>
      </c>
      <c r="B59" s="9" t="s">
        <v>223</v>
      </c>
      <c r="C59" s="11" t="s">
        <v>28</v>
      </c>
      <c r="D59" s="9" t="s">
        <v>224</v>
      </c>
      <c r="E59" s="11">
        <v>-7.51</v>
      </c>
      <c r="F59" s="10">
        <v>205.72</v>
      </c>
      <c r="G59" s="10">
        <v>209.64</v>
      </c>
      <c r="H59" s="10">
        <v>222.5</v>
      </c>
      <c r="I59" s="11">
        <v>-5.67</v>
      </c>
      <c r="J59" s="11">
        <v>-39.21</v>
      </c>
      <c r="K59" s="11">
        <v>8.2100000000000009</v>
      </c>
      <c r="L59" s="11">
        <v>27.11</v>
      </c>
      <c r="M59" s="11">
        <v>-8.1</v>
      </c>
      <c r="N59" s="8">
        <v>43682</v>
      </c>
      <c r="O59" s="9" t="s">
        <v>41</v>
      </c>
      <c r="P59" s="12" t="s">
        <v>20526</v>
      </c>
      <c r="Q59" s="9" t="s">
        <v>226</v>
      </c>
      <c r="R59" s="14" t="s">
        <v>25</v>
      </c>
    </row>
    <row r="60" spans="1:18" x14ac:dyDescent="0.3">
      <c r="A60" s="9" t="s">
        <v>20683</v>
      </c>
      <c r="B60" s="9" t="s">
        <v>11218</v>
      </c>
      <c r="C60" s="11">
        <v>1.25</v>
      </c>
      <c r="D60" s="9" t="s">
        <v>11219</v>
      </c>
      <c r="E60" s="11" t="s">
        <v>28</v>
      </c>
      <c r="F60" s="10">
        <v>131</v>
      </c>
      <c r="G60" s="10">
        <v>131</v>
      </c>
      <c r="H60" s="10">
        <v>131</v>
      </c>
      <c r="I60" s="11">
        <v>105.1</v>
      </c>
      <c r="J60" s="11">
        <v>1.25</v>
      </c>
      <c r="K60" s="11" t="s">
        <v>28</v>
      </c>
      <c r="L60" s="11" t="s">
        <v>28</v>
      </c>
      <c r="M60" s="11" t="s">
        <v>28</v>
      </c>
      <c r="N60" s="8">
        <v>43654</v>
      </c>
      <c r="O60" s="9" t="s">
        <v>41</v>
      </c>
      <c r="P60" s="12" t="s">
        <v>20684</v>
      </c>
      <c r="Q60" s="9" t="s">
        <v>959</v>
      </c>
      <c r="R60" s="14" t="s">
        <v>25</v>
      </c>
    </row>
    <row r="61" spans="1:18" x14ac:dyDescent="0.3">
      <c r="A61" s="9" t="s">
        <v>20782</v>
      </c>
      <c r="B61" s="9" t="s">
        <v>20783</v>
      </c>
      <c r="C61" s="11" t="s">
        <v>28</v>
      </c>
      <c r="D61" s="9" t="s">
        <v>20784</v>
      </c>
      <c r="E61" s="11">
        <v>-73.400000000000006</v>
      </c>
      <c r="F61" s="10">
        <v>103.99</v>
      </c>
      <c r="G61" s="10">
        <v>115</v>
      </c>
      <c r="H61" s="10">
        <v>115</v>
      </c>
      <c r="I61" s="11">
        <v>-57.65</v>
      </c>
      <c r="J61" s="11">
        <v>-1.99</v>
      </c>
      <c r="K61" s="11">
        <v>465.3</v>
      </c>
      <c r="L61" s="11">
        <v>0.25</v>
      </c>
      <c r="M61" s="11">
        <v>-88.77</v>
      </c>
      <c r="N61" s="8">
        <v>43630</v>
      </c>
      <c r="O61" s="9" t="s">
        <v>30</v>
      </c>
      <c r="P61" s="12" t="s">
        <v>3609</v>
      </c>
      <c r="Q61" s="9" t="s">
        <v>740</v>
      </c>
      <c r="R61" s="14" t="s">
        <v>25</v>
      </c>
    </row>
    <row r="62" spans="1:18" x14ac:dyDescent="0.3">
      <c r="A62" s="9" t="s">
        <v>20814</v>
      </c>
      <c r="B62" s="9" t="s">
        <v>11630</v>
      </c>
      <c r="C62" s="11">
        <v>3.58</v>
      </c>
      <c r="D62" s="9" t="s">
        <v>20815</v>
      </c>
      <c r="E62" s="11">
        <v>1415.1</v>
      </c>
      <c r="F62" s="10">
        <v>8006.43</v>
      </c>
      <c r="G62" s="10" t="s">
        <v>28</v>
      </c>
      <c r="H62" s="10">
        <v>10000</v>
      </c>
      <c r="I62" s="11">
        <v>2237.5500000000002</v>
      </c>
      <c r="J62" s="11">
        <v>4.47</v>
      </c>
      <c r="K62" s="11">
        <v>15311.56</v>
      </c>
      <c r="L62" s="11">
        <v>0.65</v>
      </c>
      <c r="M62" s="11">
        <v>724.44</v>
      </c>
      <c r="N62" s="8">
        <v>43620</v>
      </c>
      <c r="O62" s="9" t="s">
        <v>30</v>
      </c>
      <c r="P62" s="12" t="s">
        <v>9139</v>
      </c>
      <c r="Q62" s="9" t="s">
        <v>331</v>
      </c>
      <c r="R62" s="14" t="s">
        <v>25</v>
      </c>
    </row>
    <row r="63" spans="1:18" x14ac:dyDescent="0.3">
      <c r="A63" s="9" t="s">
        <v>21500</v>
      </c>
      <c r="B63" s="9" t="s">
        <v>21501</v>
      </c>
      <c r="C63" s="11">
        <v>6.94</v>
      </c>
      <c r="D63" s="9" t="s">
        <v>21502</v>
      </c>
      <c r="E63" s="11">
        <v>1352.49</v>
      </c>
      <c r="F63" s="10">
        <v>14399.88</v>
      </c>
      <c r="G63" s="10">
        <v>9358.43</v>
      </c>
      <c r="H63" s="10">
        <v>15997.32</v>
      </c>
      <c r="I63" s="11">
        <v>2073.92</v>
      </c>
      <c r="J63" s="11">
        <v>7.71</v>
      </c>
      <c r="K63" s="11">
        <v>4997.3999999999996</v>
      </c>
      <c r="L63" s="11">
        <v>3.2</v>
      </c>
      <c r="M63" s="11">
        <v>835.04</v>
      </c>
      <c r="N63" s="8">
        <v>43479</v>
      </c>
      <c r="O63" s="9" t="s">
        <v>30</v>
      </c>
      <c r="P63" s="12" t="s">
        <v>10073</v>
      </c>
      <c r="Q63" s="9" t="s">
        <v>5633</v>
      </c>
      <c r="R63" s="14" t="s">
        <v>25</v>
      </c>
    </row>
    <row r="64" spans="1:18" x14ac:dyDescent="0.3">
      <c r="A64" s="9" t="s">
        <v>22189</v>
      </c>
      <c r="B64" s="9" t="s">
        <v>12263</v>
      </c>
      <c r="C64" s="11">
        <v>3.36</v>
      </c>
      <c r="D64" s="9" t="s">
        <v>12264</v>
      </c>
      <c r="E64" s="11">
        <v>3.4</v>
      </c>
      <c r="F64" s="10">
        <v>314.91000000000003</v>
      </c>
      <c r="G64" s="10">
        <v>436.51</v>
      </c>
      <c r="H64" s="10">
        <v>436.51</v>
      </c>
      <c r="I64" s="11">
        <v>93.82</v>
      </c>
      <c r="J64" s="11">
        <v>4.6500000000000004</v>
      </c>
      <c r="K64" s="11">
        <v>461.26</v>
      </c>
      <c r="L64" s="11">
        <v>0.95</v>
      </c>
      <c r="M64" s="11">
        <v>29.36</v>
      </c>
      <c r="N64" s="8">
        <v>43392</v>
      </c>
      <c r="O64" s="9" t="s">
        <v>30</v>
      </c>
      <c r="P64" s="12" t="s">
        <v>22190</v>
      </c>
      <c r="Q64" s="9" t="s">
        <v>226</v>
      </c>
      <c r="R64" s="14" t="s">
        <v>25</v>
      </c>
    </row>
    <row r="65" spans="1:18" x14ac:dyDescent="0.3">
      <c r="A65" s="9" t="s">
        <v>22207</v>
      </c>
      <c r="B65" s="9" t="s">
        <v>12054</v>
      </c>
      <c r="C65" s="11">
        <v>46.3</v>
      </c>
      <c r="D65" s="9" t="s">
        <v>22208</v>
      </c>
      <c r="E65" s="11">
        <v>30.6</v>
      </c>
      <c r="F65" s="10">
        <v>1416.91</v>
      </c>
      <c r="G65" s="10">
        <v>1571.41</v>
      </c>
      <c r="H65" s="10">
        <v>1614.19</v>
      </c>
      <c r="I65" s="11">
        <v>30.6</v>
      </c>
      <c r="J65" s="11">
        <v>52.75</v>
      </c>
      <c r="K65" s="11">
        <v>594.11</v>
      </c>
      <c r="L65" s="11">
        <v>2.72</v>
      </c>
      <c r="M65" s="11">
        <v>-29.59</v>
      </c>
      <c r="N65" s="8">
        <v>43384</v>
      </c>
      <c r="O65" s="9" t="s">
        <v>30</v>
      </c>
      <c r="P65" s="12" t="s">
        <v>21227</v>
      </c>
      <c r="Q65" s="9" t="s">
        <v>43</v>
      </c>
      <c r="R65" s="14" t="s">
        <v>25</v>
      </c>
    </row>
    <row r="66" spans="1:18" x14ac:dyDescent="0.3">
      <c r="A66" s="15" t="s">
        <v>22718</v>
      </c>
      <c r="B66" s="15" t="s">
        <v>6659</v>
      </c>
      <c r="C66" s="18">
        <v>1.27</v>
      </c>
      <c r="D66" s="15" t="s">
        <v>6660</v>
      </c>
      <c r="E66" s="18">
        <v>22.31</v>
      </c>
      <c r="F66" s="19">
        <v>34.950000000000003</v>
      </c>
      <c r="G66" s="19">
        <v>42.88</v>
      </c>
      <c r="H66" s="19">
        <v>42.88</v>
      </c>
      <c r="I66" s="18">
        <v>27.45</v>
      </c>
      <c r="J66" s="18">
        <v>1.56</v>
      </c>
      <c r="K66" s="18">
        <v>313.5</v>
      </c>
      <c r="L66" s="18">
        <v>0.14000000000000001</v>
      </c>
      <c r="M66" s="18">
        <v>19.5</v>
      </c>
      <c r="N66" s="17">
        <v>43270</v>
      </c>
      <c r="O66" s="15" t="s">
        <v>41</v>
      </c>
      <c r="P66" s="16" t="s">
        <v>20359</v>
      </c>
      <c r="Q66" s="15" t="s">
        <v>213</v>
      </c>
      <c r="R66" s="13" t="s">
        <v>25</v>
      </c>
    </row>
    <row r="67" spans="1:18" x14ac:dyDescent="0.3">
      <c r="A67" s="15" t="s">
        <v>22743</v>
      </c>
      <c r="B67" s="15" t="s">
        <v>22744</v>
      </c>
      <c r="C67" s="18" t="s">
        <v>28</v>
      </c>
      <c r="D67" s="15" t="s">
        <v>22745</v>
      </c>
      <c r="E67" s="18">
        <v>-205.91</v>
      </c>
      <c r="F67" s="19">
        <v>234.85</v>
      </c>
      <c r="G67" s="19">
        <v>413.61</v>
      </c>
      <c r="H67" s="19">
        <v>443.31</v>
      </c>
      <c r="I67" s="18">
        <v>-40.11</v>
      </c>
      <c r="J67" s="18">
        <v>-11.05</v>
      </c>
      <c r="K67" s="18">
        <v>4176.25</v>
      </c>
      <c r="L67" s="18">
        <v>0.11</v>
      </c>
      <c r="M67" s="18">
        <v>-277.87</v>
      </c>
      <c r="N67" s="17">
        <v>43265</v>
      </c>
      <c r="O67" s="15" t="s">
        <v>30</v>
      </c>
      <c r="P67" s="16" t="s">
        <v>22746</v>
      </c>
      <c r="Q67" s="15" t="s">
        <v>348</v>
      </c>
      <c r="R67" s="13" t="s">
        <v>25</v>
      </c>
    </row>
    <row r="68" spans="1:18" x14ac:dyDescent="0.3">
      <c r="A68" s="15" t="s">
        <v>23067</v>
      </c>
      <c r="B68" s="15" t="s">
        <v>23068</v>
      </c>
      <c r="C68" s="18">
        <v>11.66</v>
      </c>
      <c r="D68" s="15" t="s">
        <v>23069</v>
      </c>
      <c r="E68" s="18">
        <v>6.55</v>
      </c>
      <c r="F68" s="19">
        <v>132.54</v>
      </c>
      <c r="G68" s="19">
        <v>151.43</v>
      </c>
      <c r="H68" s="19">
        <v>166.25</v>
      </c>
      <c r="I68" s="18">
        <v>11.37</v>
      </c>
      <c r="J68" s="18">
        <v>14.62</v>
      </c>
      <c r="K68" s="18">
        <v>200.21</v>
      </c>
      <c r="L68" s="18">
        <v>0.83</v>
      </c>
      <c r="M68" s="18">
        <v>4.76</v>
      </c>
      <c r="N68" s="17">
        <v>43195</v>
      </c>
      <c r="O68" s="15" t="s">
        <v>30</v>
      </c>
      <c r="P68" s="16" t="s">
        <v>8550</v>
      </c>
      <c r="Q68" s="15" t="s">
        <v>15070</v>
      </c>
      <c r="R68" s="13" t="s">
        <v>25</v>
      </c>
    </row>
    <row r="69" spans="1:18" x14ac:dyDescent="0.3">
      <c r="A69" s="15" t="s">
        <v>23223</v>
      </c>
      <c r="B69" s="15" t="s">
        <v>23224</v>
      </c>
      <c r="C69" s="18">
        <v>4.68</v>
      </c>
      <c r="D69" s="15" t="s">
        <v>23225</v>
      </c>
      <c r="E69" s="18">
        <v>4.07</v>
      </c>
      <c r="F69" s="19">
        <v>19.04</v>
      </c>
      <c r="G69" s="19">
        <v>19.05</v>
      </c>
      <c r="H69" s="19">
        <v>19.05</v>
      </c>
      <c r="I69" s="18">
        <v>4.07</v>
      </c>
      <c r="J69" s="18">
        <v>4.68</v>
      </c>
      <c r="K69" s="18">
        <v>0</v>
      </c>
      <c r="L69" s="18" t="s">
        <v>28</v>
      </c>
      <c r="M69" s="18">
        <v>-0.94</v>
      </c>
      <c r="N69" s="17">
        <v>43161</v>
      </c>
      <c r="O69" s="15" t="s">
        <v>30</v>
      </c>
      <c r="P69" s="16" t="s">
        <v>23226</v>
      </c>
      <c r="Q69" s="15" t="s">
        <v>975</v>
      </c>
      <c r="R69" s="13" t="s">
        <v>25</v>
      </c>
    </row>
    <row r="70" spans="1:18" x14ac:dyDescent="0.3">
      <c r="A70" s="15" t="s">
        <v>23266</v>
      </c>
      <c r="B70" s="15" t="s">
        <v>2368</v>
      </c>
      <c r="C70" s="18" t="s">
        <v>28</v>
      </c>
      <c r="D70" s="15" t="s">
        <v>23267</v>
      </c>
      <c r="E70" s="18">
        <v>-274.33</v>
      </c>
      <c r="F70" s="19">
        <v>771.61</v>
      </c>
      <c r="G70" s="19">
        <v>494.83</v>
      </c>
      <c r="H70" s="19">
        <v>779.26</v>
      </c>
      <c r="I70" s="18">
        <v>-270.52</v>
      </c>
      <c r="J70" s="18">
        <v>-2.88</v>
      </c>
      <c r="K70" s="18">
        <v>229.68</v>
      </c>
      <c r="L70" s="18">
        <v>3.39</v>
      </c>
      <c r="M70" s="18">
        <v>-356.54</v>
      </c>
      <c r="N70" s="17">
        <v>43155</v>
      </c>
      <c r="O70" s="15" t="s">
        <v>41</v>
      </c>
      <c r="P70" s="16" t="s">
        <v>28</v>
      </c>
      <c r="Q70" s="15" t="s">
        <v>226</v>
      </c>
      <c r="R70" s="13" t="s">
        <v>25</v>
      </c>
    </row>
    <row r="71" spans="1:18" x14ac:dyDescent="0.3">
      <c r="A71" s="15" t="s">
        <v>23538</v>
      </c>
      <c r="B71" s="15" t="s">
        <v>23539</v>
      </c>
      <c r="C71" s="18" t="s">
        <v>28</v>
      </c>
      <c r="D71" s="15" t="s">
        <v>23540</v>
      </c>
      <c r="E71" s="18">
        <v>-45.85</v>
      </c>
      <c r="F71" s="19">
        <v>46.04</v>
      </c>
      <c r="G71" s="19">
        <v>46.65</v>
      </c>
      <c r="H71" s="19">
        <v>46.65</v>
      </c>
      <c r="I71" s="18">
        <v>-42</v>
      </c>
      <c r="J71" s="18">
        <v>-1.1100000000000001</v>
      </c>
      <c r="K71" s="18">
        <v>66.06</v>
      </c>
      <c r="L71" s="18">
        <v>0.71</v>
      </c>
      <c r="M71" s="18">
        <v>-46.31</v>
      </c>
      <c r="N71" s="17">
        <v>43102</v>
      </c>
      <c r="O71" s="15" t="s">
        <v>30</v>
      </c>
      <c r="P71" s="16" t="s">
        <v>23541</v>
      </c>
      <c r="Q71" s="15" t="s">
        <v>1068</v>
      </c>
      <c r="R71" s="13" t="s">
        <v>25</v>
      </c>
    </row>
    <row r="72" spans="1:18" x14ac:dyDescent="0.3">
      <c r="A72" s="15" t="s">
        <v>23764</v>
      </c>
      <c r="B72" s="15" t="s">
        <v>23765</v>
      </c>
      <c r="C72" s="18" t="s">
        <v>28</v>
      </c>
      <c r="D72" s="15" t="s">
        <v>23766</v>
      </c>
      <c r="E72" s="18" t="s">
        <v>28</v>
      </c>
      <c r="F72" s="19" t="s">
        <v>28</v>
      </c>
      <c r="G72" s="19">
        <v>303.08999999999997</v>
      </c>
      <c r="H72" s="19">
        <v>1212.3699999999999</v>
      </c>
      <c r="I72" s="18">
        <v>244.12</v>
      </c>
      <c r="J72" s="18">
        <v>4.97</v>
      </c>
      <c r="K72" s="18">
        <v>1110.72</v>
      </c>
      <c r="L72" s="18">
        <v>1.0900000000000001</v>
      </c>
      <c r="M72" s="18" t="s">
        <v>28</v>
      </c>
      <c r="N72" s="17">
        <v>43098</v>
      </c>
      <c r="O72" s="15" t="s">
        <v>93</v>
      </c>
      <c r="P72" s="16" t="s">
        <v>23767</v>
      </c>
      <c r="Q72" s="15" t="s">
        <v>692</v>
      </c>
      <c r="R72" s="13" t="s">
        <v>25</v>
      </c>
    </row>
    <row r="73" spans="1:18" x14ac:dyDescent="0.3">
      <c r="A73" s="9" t="s">
        <v>23793</v>
      </c>
      <c r="B73" s="9" t="s">
        <v>23794</v>
      </c>
      <c r="C73" s="11" t="s">
        <v>28</v>
      </c>
      <c r="D73" s="9" t="s">
        <v>23795</v>
      </c>
      <c r="E73" s="11">
        <v>1.21</v>
      </c>
      <c r="F73" s="10" t="s">
        <v>28</v>
      </c>
      <c r="G73" s="10">
        <v>370</v>
      </c>
      <c r="H73" s="10">
        <v>1100</v>
      </c>
      <c r="I73" s="11">
        <v>1.21</v>
      </c>
      <c r="J73" s="11">
        <v>906.01</v>
      </c>
      <c r="K73" s="11">
        <v>0</v>
      </c>
      <c r="L73" s="11" t="s">
        <v>28</v>
      </c>
      <c r="M73" s="11">
        <v>1.72</v>
      </c>
      <c r="N73" s="8">
        <v>43091</v>
      </c>
      <c r="O73" s="9" t="s">
        <v>974</v>
      </c>
      <c r="P73" s="12" t="s">
        <v>23796</v>
      </c>
      <c r="Q73" s="9" t="s">
        <v>1088</v>
      </c>
      <c r="R73" s="14" t="s">
        <v>25</v>
      </c>
    </row>
    <row r="74" spans="1:18" x14ac:dyDescent="0.3">
      <c r="A74" s="9" t="s">
        <v>23992</v>
      </c>
      <c r="B74" s="9" t="s">
        <v>4196</v>
      </c>
      <c r="C74" s="11" t="s">
        <v>28</v>
      </c>
      <c r="D74" s="9" t="s">
        <v>4197</v>
      </c>
      <c r="E74" s="11">
        <v>24.26</v>
      </c>
      <c r="F74" s="10" t="s">
        <v>28</v>
      </c>
      <c r="G74" s="10">
        <v>28.14</v>
      </c>
      <c r="H74" s="10">
        <v>469.08</v>
      </c>
      <c r="I74" s="11">
        <v>28.73</v>
      </c>
      <c r="J74" s="11">
        <v>16.329999999999998</v>
      </c>
      <c r="K74" s="11">
        <v>76.459999999999994</v>
      </c>
      <c r="L74" s="11">
        <v>6.13</v>
      </c>
      <c r="M74" s="11">
        <v>13.85</v>
      </c>
      <c r="N74" s="8">
        <v>43040</v>
      </c>
      <c r="O74" s="9" t="s">
        <v>93</v>
      </c>
      <c r="P74" s="12" t="s">
        <v>23993</v>
      </c>
      <c r="Q74" s="9" t="s">
        <v>583</v>
      </c>
      <c r="R74" s="14" t="s">
        <v>25</v>
      </c>
    </row>
    <row r="75" spans="1:18" x14ac:dyDescent="0.3">
      <c r="A75" s="9" t="s">
        <v>24052</v>
      </c>
      <c r="B75" s="9" t="s">
        <v>24053</v>
      </c>
      <c r="C75" s="11">
        <v>2.98</v>
      </c>
      <c r="D75" s="9" t="s">
        <v>24054</v>
      </c>
      <c r="E75" s="11">
        <v>82.07</v>
      </c>
      <c r="F75" s="10">
        <v>410.85</v>
      </c>
      <c r="G75" s="10">
        <v>349.54</v>
      </c>
      <c r="H75" s="10">
        <v>699.08</v>
      </c>
      <c r="I75" s="11">
        <v>137.91</v>
      </c>
      <c r="J75" s="11">
        <v>5.07</v>
      </c>
      <c r="K75" s="11">
        <v>1086.9000000000001</v>
      </c>
      <c r="L75" s="11">
        <v>0.64</v>
      </c>
      <c r="M75" s="11">
        <v>51.45</v>
      </c>
      <c r="N75" s="8">
        <v>43034</v>
      </c>
      <c r="O75" s="9" t="s">
        <v>30</v>
      </c>
      <c r="P75" s="12" t="s">
        <v>24055</v>
      </c>
      <c r="Q75" s="9" t="s">
        <v>669</v>
      </c>
      <c r="R75" s="14" t="s">
        <v>25</v>
      </c>
    </row>
    <row r="76" spans="1:18" x14ac:dyDescent="0.3">
      <c r="A76" s="9" t="s">
        <v>24196</v>
      </c>
      <c r="B76" s="9" t="s">
        <v>5129</v>
      </c>
      <c r="C76" s="11">
        <v>6.46</v>
      </c>
      <c r="D76" s="9" t="s">
        <v>5130</v>
      </c>
      <c r="E76" s="11">
        <v>150.21</v>
      </c>
      <c r="F76" s="10">
        <v>1167.6500000000001</v>
      </c>
      <c r="G76" s="10">
        <v>1113.44</v>
      </c>
      <c r="H76" s="10">
        <v>1294.69</v>
      </c>
      <c r="I76" s="11">
        <v>180.69</v>
      </c>
      <c r="J76" s="11">
        <v>7.17</v>
      </c>
      <c r="K76" s="11">
        <v>1150.8</v>
      </c>
      <c r="L76" s="11">
        <v>1.1299999999999999</v>
      </c>
      <c r="M76" s="11">
        <v>132.36000000000001</v>
      </c>
      <c r="N76" s="8">
        <v>42998</v>
      </c>
      <c r="O76" s="9" t="s">
        <v>41</v>
      </c>
      <c r="P76" s="12" t="s">
        <v>24197</v>
      </c>
      <c r="Q76" s="9" t="s">
        <v>5132</v>
      </c>
      <c r="R76" s="14" t="s">
        <v>25</v>
      </c>
    </row>
    <row r="77" spans="1:18" x14ac:dyDescent="0.3">
      <c r="A77" s="9" t="s">
        <v>24556</v>
      </c>
      <c r="B77" s="9" t="s">
        <v>2330</v>
      </c>
      <c r="C77" s="11">
        <v>9.91</v>
      </c>
      <c r="D77" s="9" t="s">
        <v>24423</v>
      </c>
      <c r="E77" s="11">
        <v>153.21</v>
      </c>
      <c r="F77" s="10">
        <v>2090.4499999999998</v>
      </c>
      <c r="G77" s="10">
        <v>1792.82</v>
      </c>
      <c r="H77" s="10">
        <v>2229.88</v>
      </c>
      <c r="I77" s="11">
        <v>210.86</v>
      </c>
      <c r="J77" s="11">
        <v>10.58</v>
      </c>
      <c r="K77" s="11">
        <v>974.06</v>
      </c>
      <c r="L77" s="11">
        <v>2.29</v>
      </c>
      <c r="M77" s="11">
        <v>109.69</v>
      </c>
      <c r="N77" s="8">
        <v>42914</v>
      </c>
      <c r="O77" s="9" t="s">
        <v>30</v>
      </c>
      <c r="P77" s="12" t="s">
        <v>28</v>
      </c>
      <c r="Q77" s="9" t="s">
        <v>43</v>
      </c>
      <c r="R77" s="14" t="s">
        <v>25</v>
      </c>
    </row>
    <row r="78" spans="1:18" x14ac:dyDescent="0.3">
      <c r="A78" s="9" t="s">
        <v>24561</v>
      </c>
      <c r="B78" s="9" t="s">
        <v>13300</v>
      </c>
      <c r="C78" s="11" t="s">
        <v>28</v>
      </c>
      <c r="D78" s="9" t="s">
        <v>13301</v>
      </c>
      <c r="E78" s="11" t="s">
        <v>28</v>
      </c>
      <c r="F78" s="10" t="s">
        <v>28</v>
      </c>
      <c r="G78" s="10">
        <v>91.71</v>
      </c>
      <c r="H78" s="10">
        <v>338.77</v>
      </c>
      <c r="I78" s="11">
        <v>23.03</v>
      </c>
      <c r="J78" s="11">
        <v>14.71</v>
      </c>
      <c r="K78" s="11">
        <v>143.94999999999999</v>
      </c>
      <c r="L78" s="11">
        <v>2.35</v>
      </c>
      <c r="M78" s="11" t="s">
        <v>28</v>
      </c>
      <c r="N78" s="8">
        <v>42909</v>
      </c>
      <c r="O78" s="9" t="s">
        <v>93</v>
      </c>
      <c r="P78" s="12" t="s">
        <v>4006</v>
      </c>
      <c r="Q78" s="9" t="s">
        <v>43</v>
      </c>
      <c r="R78" s="14" t="s">
        <v>25</v>
      </c>
    </row>
    <row r="79" spans="1:18" x14ac:dyDescent="0.3">
      <c r="A79" s="15" t="s">
        <v>24890</v>
      </c>
      <c r="B79" s="15" t="s">
        <v>24891</v>
      </c>
      <c r="C79" s="18">
        <v>11.52</v>
      </c>
      <c r="D79" s="15" t="s">
        <v>24892</v>
      </c>
      <c r="E79" s="18">
        <v>269.89999999999998</v>
      </c>
      <c r="F79" s="19">
        <v>3459.42</v>
      </c>
      <c r="G79" s="19">
        <v>3839.15</v>
      </c>
      <c r="H79" s="19">
        <v>3839.15</v>
      </c>
      <c r="I79" s="18">
        <v>300.33999999999997</v>
      </c>
      <c r="J79" s="18">
        <v>12.78</v>
      </c>
      <c r="K79" s="18">
        <v>370.49</v>
      </c>
      <c r="L79" s="18">
        <v>10.36</v>
      </c>
      <c r="M79" s="18">
        <v>164.86</v>
      </c>
      <c r="N79" s="17">
        <v>42823</v>
      </c>
      <c r="O79" s="15" t="s">
        <v>30</v>
      </c>
      <c r="P79" s="16" t="s">
        <v>24893</v>
      </c>
      <c r="Q79" s="15" t="s">
        <v>832</v>
      </c>
      <c r="R79" s="13" t="s">
        <v>25</v>
      </c>
    </row>
    <row r="80" spans="1:18" x14ac:dyDescent="0.3">
      <c r="A80" s="9" t="s">
        <v>24905</v>
      </c>
      <c r="B80" s="9" t="s">
        <v>24906</v>
      </c>
      <c r="C80" s="11">
        <v>19.97</v>
      </c>
      <c r="D80" s="9" t="s">
        <v>24907</v>
      </c>
      <c r="E80" s="11" t="s">
        <v>28</v>
      </c>
      <c r="F80" s="10">
        <v>71.400000000000006</v>
      </c>
      <c r="G80" s="10">
        <v>56.41</v>
      </c>
      <c r="H80" s="10">
        <v>71.400000000000006</v>
      </c>
      <c r="I80" s="11">
        <v>3.58</v>
      </c>
      <c r="J80" s="11">
        <v>19.97</v>
      </c>
      <c r="K80" s="11" t="s">
        <v>28</v>
      </c>
      <c r="L80" s="11" t="s">
        <v>28</v>
      </c>
      <c r="M80" s="11">
        <v>9.4700000000000006</v>
      </c>
      <c r="N80" s="8">
        <v>42814</v>
      </c>
      <c r="O80" s="9" t="s">
        <v>30</v>
      </c>
      <c r="P80" s="12" t="s">
        <v>17298</v>
      </c>
      <c r="Q80" s="9" t="s">
        <v>85</v>
      </c>
      <c r="R80" s="14" t="s">
        <v>25</v>
      </c>
    </row>
    <row r="81" spans="1:18" x14ac:dyDescent="0.3">
      <c r="A81" s="9" t="s">
        <v>24962</v>
      </c>
      <c r="B81" s="9" t="s">
        <v>24963</v>
      </c>
      <c r="C81" s="11">
        <v>12.12</v>
      </c>
      <c r="D81" s="9" t="s">
        <v>24964</v>
      </c>
      <c r="E81" s="11" t="s">
        <v>28</v>
      </c>
      <c r="F81" s="10">
        <v>64.569999999999993</v>
      </c>
      <c r="G81" s="10">
        <v>64.569999999999993</v>
      </c>
      <c r="H81" s="10">
        <v>64.569999999999993</v>
      </c>
      <c r="I81" s="11">
        <v>5.33</v>
      </c>
      <c r="J81" s="11">
        <v>12.12</v>
      </c>
      <c r="K81" s="11">
        <v>46.06</v>
      </c>
      <c r="L81" s="11">
        <v>1.4</v>
      </c>
      <c r="M81" s="11" t="s">
        <v>28</v>
      </c>
      <c r="N81" s="8">
        <v>42797</v>
      </c>
      <c r="O81" s="9" t="s">
        <v>30</v>
      </c>
      <c r="P81" s="12" t="s">
        <v>4868</v>
      </c>
      <c r="Q81" s="9" t="s">
        <v>105</v>
      </c>
      <c r="R81" s="14" t="s">
        <v>25</v>
      </c>
    </row>
    <row r="82" spans="1:18" x14ac:dyDescent="0.3">
      <c r="A82" s="9" t="s">
        <v>25139</v>
      </c>
      <c r="B82" s="9" t="s">
        <v>25140</v>
      </c>
      <c r="C82" s="11">
        <v>6.6</v>
      </c>
      <c r="D82" s="9" t="s">
        <v>25141</v>
      </c>
      <c r="E82" s="11">
        <v>829.17</v>
      </c>
      <c r="F82" s="10">
        <v>7925.71</v>
      </c>
      <c r="G82" s="10">
        <v>5375.49</v>
      </c>
      <c r="H82" s="10">
        <v>9838.01</v>
      </c>
      <c r="I82" s="11">
        <v>1200.9000000000001</v>
      </c>
      <c r="J82" s="11">
        <v>8.19</v>
      </c>
      <c r="K82" s="11">
        <v>5502.46</v>
      </c>
      <c r="L82" s="11">
        <v>1.79</v>
      </c>
      <c r="M82" s="11">
        <v>259.37</v>
      </c>
      <c r="N82" s="8">
        <v>42758</v>
      </c>
      <c r="O82" s="9" t="s">
        <v>30</v>
      </c>
      <c r="P82" s="12" t="s">
        <v>25142</v>
      </c>
      <c r="Q82" s="9" t="s">
        <v>348</v>
      </c>
      <c r="R82" s="14" t="s">
        <v>25</v>
      </c>
    </row>
    <row r="83" spans="1:18" x14ac:dyDescent="0.3">
      <c r="A83" s="15" t="s">
        <v>25179</v>
      </c>
      <c r="B83" s="15" t="s">
        <v>864</v>
      </c>
      <c r="C83" s="18" t="s">
        <v>28</v>
      </c>
      <c r="D83" s="15" t="s">
        <v>865</v>
      </c>
      <c r="E83" s="18">
        <v>-3438.85</v>
      </c>
      <c r="F83" s="19">
        <v>41.46</v>
      </c>
      <c r="G83" s="19">
        <v>2400</v>
      </c>
      <c r="H83" s="19">
        <v>2400</v>
      </c>
      <c r="I83" s="18">
        <v>-1622</v>
      </c>
      <c r="J83" s="18">
        <v>-1.48</v>
      </c>
      <c r="K83" s="18">
        <v>7484.5</v>
      </c>
      <c r="L83" s="18">
        <v>0.32</v>
      </c>
      <c r="M83" s="18">
        <v>-4463.1400000000003</v>
      </c>
      <c r="N83" s="17">
        <v>42744</v>
      </c>
      <c r="O83" s="15" t="s">
        <v>41</v>
      </c>
      <c r="P83" s="16" t="s">
        <v>25180</v>
      </c>
      <c r="Q83" s="15" t="s">
        <v>692</v>
      </c>
      <c r="R83" s="13" t="s">
        <v>25</v>
      </c>
    </row>
    <row r="84" spans="1:18" x14ac:dyDescent="0.3">
      <c r="A84" s="9" t="s">
        <v>25525</v>
      </c>
      <c r="B84" s="9" t="s">
        <v>25526</v>
      </c>
      <c r="C84" s="11">
        <v>11.64</v>
      </c>
      <c r="D84" s="9" t="s">
        <v>25527</v>
      </c>
      <c r="E84" s="11" t="s">
        <v>28</v>
      </c>
      <c r="F84" s="10">
        <v>1053.74</v>
      </c>
      <c r="G84" s="10">
        <v>1053.74</v>
      </c>
      <c r="H84" s="10">
        <v>1053.74</v>
      </c>
      <c r="I84" s="11">
        <v>90.56</v>
      </c>
      <c r="J84" s="11">
        <v>11.64</v>
      </c>
      <c r="K84" s="11">
        <v>547.69000000000005</v>
      </c>
      <c r="L84" s="11">
        <v>1.92</v>
      </c>
      <c r="M84" s="11" t="s">
        <v>28</v>
      </c>
      <c r="N84" s="8">
        <v>42710</v>
      </c>
      <c r="O84" s="9" t="s">
        <v>30</v>
      </c>
      <c r="P84" s="12" t="s">
        <v>25528</v>
      </c>
      <c r="Q84" s="9" t="s">
        <v>105</v>
      </c>
      <c r="R84" s="14" t="s">
        <v>25</v>
      </c>
    </row>
    <row r="85" spans="1:18" x14ac:dyDescent="0.3">
      <c r="A85" s="15" t="s">
        <v>25747</v>
      </c>
      <c r="B85" s="15" t="s">
        <v>14862</v>
      </c>
      <c r="C85" s="18">
        <v>13.36</v>
      </c>
      <c r="D85" s="15" t="s">
        <v>14863</v>
      </c>
      <c r="E85" s="18" t="s">
        <v>28</v>
      </c>
      <c r="F85" s="19">
        <v>715</v>
      </c>
      <c r="G85" s="19">
        <v>465</v>
      </c>
      <c r="H85" s="19">
        <v>715</v>
      </c>
      <c r="I85" s="18">
        <v>53.53</v>
      </c>
      <c r="J85" s="18">
        <v>13.36</v>
      </c>
      <c r="K85" s="18">
        <v>324.39</v>
      </c>
      <c r="L85" s="18">
        <v>2.2000000000000002</v>
      </c>
      <c r="M85" s="18" t="s">
        <v>28</v>
      </c>
      <c r="N85" s="17">
        <v>42646</v>
      </c>
      <c r="O85" s="15" t="s">
        <v>30</v>
      </c>
      <c r="P85" s="16" t="s">
        <v>25748</v>
      </c>
      <c r="Q85" s="15" t="s">
        <v>1007</v>
      </c>
      <c r="R85" s="13" t="s">
        <v>25</v>
      </c>
    </row>
    <row r="86" spans="1:18" x14ac:dyDescent="0.3">
      <c r="A86" s="9" t="s">
        <v>25787</v>
      </c>
      <c r="B86" s="9" t="s">
        <v>5129</v>
      </c>
      <c r="C86" s="11">
        <v>10.119999999999999</v>
      </c>
      <c r="D86" s="9" t="s">
        <v>5130</v>
      </c>
      <c r="E86" s="11">
        <v>109.69</v>
      </c>
      <c r="F86" s="10">
        <v>1397.5</v>
      </c>
      <c r="G86" s="10">
        <v>153.38999999999999</v>
      </c>
      <c r="H86" s="10">
        <v>1518.74</v>
      </c>
      <c r="I86" s="11">
        <v>138.13999999999999</v>
      </c>
      <c r="J86" s="11">
        <v>10.99</v>
      </c>
      <c r="K86" s="11">
        <v>1135.06</v>
      </c>
      <c r="L86" s="11">
        <v>1.34</v>
      </c>
      <c r="M86" s="11">
        <v>85.57</v>
      </c>
      <c r="N86" s="8">
        <v>42643</v>
      </c>
      <c r="O86" s="9" t="s">
        <v>30</v>
      </c>
      <c r="P86" s="12" t="s">
        <v>25788</v>
      </c>
      <c r="Q86" s="9" t="s">
        <v>5132</v>
      </c>
      <c r="R86" s="14" t="s">
        <v>25</v>
      </c>
    </row>
    <row r="87" spans="1:18" x14ac:dyDescent="0.3">
      <c r="A87" s="9" t="s">
        <v>25973</v>
      </c>
      <c r="B87" s="9" t="s">
        <v>23224</v>
      </c>
      <c r="C87" s="11" t="s">
        <v>28</v>
      </c>
      <c r="D87" s="9" t="s">
        <v>23225</v>
      </c>
      <c r="E87" s="11">
        <v>-5.99</v>
      </c>
      <c r="F87" s="10">
        <v>13.87</v>
      </c>
      <c r="G87" s="10">
        <v>8.7799999999999994</v>
      </c>
      <c r="H87" s="10">
        <v>13.94</v>
      </c>
      <c r="I87" s="11">
        <v>-5.97</v>
      </c>
      <c r="J87" s="11">
        <v>-2.33</v>
      </c>
      <c r="K87" s="11">
        <v>0</v>
      </c>
      <c r="L87" s="11" t="s">
        <v>28</v>
      </c>
      <c r="M87" s="11">
        <v>-1.3</v>
      </c>
      <c r="N87" s="8">
        <v>42599</v>
      </c>
      <c r="O87" s="9" t="s">
        <v>30</v>
      </c>
      <c r="P87" s="12" t="s">
        <v>24182</v>
      </c>
      <c r="Q87" s="9" t="s">
        <v>975</v>
      </c>
      <c r="R87" s="14" t="s">
        <v>25</v>
      </c>
    </row>
    <row r="88" spans="1:18" x14ac:dyDescent="0.3">
      <c r="A88" s="9" t="s">
        <v>26281</v>
      </c>
      <c r="B88" s="9" t="s">
        <v>26282</v>
      </c>
      <c r="C88" s="11">
        <v>4.3099999999999996</v>
      </c>
      <c r="D88" s="9" t="s">
        <v>26283</v>
      </c>
      <c r="E88" s="11">
        <v>50.1</v>
      </c>
      <c r="F88" s="10">
        <v>864.99</v>
      </c>
      <c r="G88" s="10">
        <v>312.61</v>
      </c>
      <c r="H88" s="10">
        <v>1018.28</v>
      </c>
      <c r="I88" s="11">
        <v>200.86</v>
      </c>
      <c r="J88" s="11">
        <v>5.07</v>
      </c>
      <c r="K88" s="11">
        <v>1053.22</v>
      </c>
      <c r="L88" s="11">
        <v>0.97</v>
      </c>
      <c r="M88" s="11">
        <v>29.52</v>
      </c>
      <c r="N88" s="8">
        <v>42507</v>
      </c>
      <c r="O88" s="9" t="s">
        <v>30</v>
      </c>
      <c r="P88" s="12" t="s">
        <v>26284</v>
      </c>
      <c r="Q88" s="9" t="s">
        <v>24243</v>
      </c>
      <c r="R88" s="14" t="s">
        <v>25</v>
      </c>
    </row>
    <row r="89" spans="1:18" x14ac:dyDescent="0.3">
      <c r="A89" s="9" t="s">
        <v>26286</v>
      </c>
      <c r="B89" s="9" t="s">
        <v>26287</v>
      </c>
      <c r="C89" s="11" t="s">
        <v>28</v>
      </c>
      <c r="D89" s="9" t="s">
        <v>26288</v>
      </c>
      <c r="E89" s="11">
        <v>-57.4</v>
      </c>
      <c r="F89" s="10">
        <v>479.74</v>
      </c>
      <c r="G89" s="10">
        <v>496.6</v>
      </c>
      <c r="H89" s="10">
        <v>788.25</v>
      </c>
      <c r="I89" s="11">
        <v>-57.26</v>
      </c>
      <c r="J89" s="11">
        <v>-13.77</v>
      </c>
      <c r="K89" s="11">
        <v>183.45</v>
      </c>
      <c r="L89" s="11">
        <v>4.3</v>
      </c>
      <c r="M89" s="11">
        <v>-192.82</v>
      </c>
      <c r="N89" s="8">
        <v>42506</v>
      </c>
      <c r="O89" s="9" t="s">
        <v>41</v>
      </c>
      <c r="P89" s="12" t="s">
        <v>26289</v>
      </c>
      <c r="Q89" s="9" t="s">
        <v>240</v>
      </c>
      <c r="R89" s="14" t="s">
        <v>25</v>
      </c>
    </row>
    <row r="90" spans="1:18" x14ac:dyDescent="0.3">
      <c r="A90" s="15" t="s">
        <v>26302</v>
      </c>
      <c r="B90" s="15" t="s">
        <v>23353</v>
      </c>
      <c r="C90" s="18" t="s">
        <v>28</v>
      </c>
      <c r="D90" s="15" t="s">
        <v>26303</v>
      </c>
      <c r="E90" s="18">
        <v>229.41</v>
      </c>
      <c r="F90" s="19" t="s">
        <v>28</v>
      </c>
      <c r="G90" s="19">
        <v>41.9</v>
      </c>
      <c r="H90" s="19">
        <v>65.290000000000006</v>
      </c>
      <c r="I90" s="18">
        <v>326.7</v>
      </c>
      <c r="J90" s="18">
        <v>0.2</v>
      </c>
      <c r="K90" s="18">
        <v>754.84</v>
      </c>
      <c r="L90" s="18">
        <v>0.09</v>
      </c>
      <c r="M90" s="18">
        <v>-150.29</v>
      </c>
      <c r="N90" s="17">
        <v>42494</v>
      </c>
      <c r="O90" s="15" t="s">
        <v>30</v>
      </c>
      <c r="P90" s="16" t="s">
        <v>26304</v>
      </c>
      <c r="Q90" s="15" t="s">
        <v>5347</v>
      </c>
      <c r="R90" s="13" t="s">
        <v>25</v>
      </c>
    </row>
    <row r="91" spans="1:18" x14ac:dyDescent="0.3">
      <c r="A91" s="9" t="s">
        <v>26534</v>
      </c>
      <c r="B91" s="9" t="s">
        <v>26535</v>
      </c>
      <c r="C91" s="11">
        <v>3.34</v>
      </c>
      <c r="D91" s="9" t="s">
        <v>26536</v>
      </c>
      <c r="E91" s="11" t="s">
        <v>28</v>
      </c>
      <c r="F91" s="10">
        <v>8.34</v>
      </c>
      <c r="G91" s="10">
        <v>8.34</v>
      </c>
      <c r="H91" s="10">
        <v>8.34</v>
      </c>
      <c r="I91" s="11">
        <v>2.5</v>
      </c>
      <c r="J91" s="11">
        <v>3.34</v>
      </c>
      <c r="K91" s="11">
        <v>1.72</v>
      </c>
      <c r="L91" s="11">
        <v>4.84</v>
      </c>
      <c r="M91" s="11" t="s">
        <v>28</v>
      </c>
      <c r="N91" s="8">
        <v>42436</v>
      </c>
      <c r="O91" s="9" t="s">
        <v>30</v>
      </c>
      <c r="P91" s="12" t="s">
        <v>12629</v>
      </c>
      <c r="Q91" s="9" t="s">
        <v>1007</v>
      </c>
      <c r="R91" s="14" t="s">
        <v>25</v>
      </c>
    </row>
    <row r="92" spans="1:18" x14ac:dyDescent="0.3">
      <c r="A92" s="15" t="s">
        <v>26618</v>
      </c>
      <c r="B92" s="15" t="s">
        <v>26619</v>
      </c>
      <c r="C92" s="18">
        <v>12.03</v>
      </c>
      <c r="D92" s="15" t="s">
        <v>26620</v>
      </c>
      <c r="E92" s="18">
        <v>2.48</v>
      </c>
      <c r="F92" s="19">
        <v>29.83</v>
      </c>
      <c r="G92" s="19">
        <v>29.83</v>
      </c>
      <c r="H92" s="19">
        <v>29.83</v>
      </c>
      <c r="I92" s="18">
        <v>2.48</v>
      </c>
      <c r="J92" s="18">
        <v>12.03</v>
      </c>
      <c r="K92" s="18">
        <v>10.65</v>
      </c>
      <c r="L92" s="18">
        <v>2.8</v>
      </c>
      <c r="M92" s="18">
        <v>-0.02</v>
      </c>
      <c r="N92" s="17">
        <v>42422</v>
      </c>
      <c r="O92" s="15" t="s">
        <v>30</v>
      </c>
      <c r="P92" s="16" t="s">
        <v>26621</v>
      </c>
      <c r="Q92" s="15" t="s">
        <v>37</v>
      </c>
      <c r="R92" s="13" t="s">
        <v>25</v>
      </c>
    </row>
    <row r="93" spans="1:18" x14ac:dyDescent="0.3">
      <c r="A93" s="9" t="s">
        <v>27091</v>
      </c>
      <c r="B93" s="9" t="s">
        <v>17950</v>
      </c>
      <c r="C93" s="11" t="s">
        <v>28</v>
      </c>
      <c r="D93" s="9" t="s">
        <v>17951</v>
      </c>
      <c r="E93" s="11">
        <v>65.099999999999994</v>
      </c>
      <c r="F93" s="10" t="s">
        <v>28</v>
      </c>
      <c r="G93" s="10">
        <v>157.08000000000001</v>
      </c>
      <c r="H93" s="10">
        <v>924.02</v>
      </c>
      <c r="I93" s="11">
        <v>79.91</v>
      </c>
      <c r="J93" s="11">
        <v>11.56</v>
      </c>
      <c r="K93" s="11">
        <v>1390.14</v>
      </c>
      <c r="L93" s="11">
        <v>0.66</v>
      </c>
      <c r="M93" s="11">
        <v>9.2899999999999991</v>
      </c>
      <c r="N93" s="8">
        <v>42359</v>
      </c>
      <c r="O93" s="9" t="s">
        <v>93</v>
      </c>
      <c r="P93" s="12" t="s">
        <v>27092</v>
      </c>
      <c r="Q93" s="9" t="s">
        <v>409</v>
      </c>
      <c r="R93" s="14" t="s">
        <v>25</v>
      </c>
    </row>
    <row r="94" spans="1:18" x14ac:dyDescent="0.3">
      <c r="A94" s="9" t="s">
        <v>27159</v>
      </c>
      <c r="B94" s="9" t="s">
        <v>27160</v>
      </c>
      <c r="C94" s="11">
        <v>1.26</v>
      </c>
      <c r="D94" s="9" t="s">
        <v>27161</v>
      </c>
      <c r="E94" s="11">
        <v>45.87</v>
      </c>
      <c r="F94" s="10">
        <v>90.69</v>
      </c>
      <c r="G94" s="10">
        <v>123.92</v>
      </c>
      <c r="H94" s="10">
        <v>165.23</v>
      </c>
      <c r="I94" s="11">
        <v>72.19</v>
      </c>
      <c r="J94" s="11">
        <v>2.29</v>
      </c>
      <c r="K94" s="11">
        <v>271.08999999999997</v>
      </c>
      <c r="L94" s="11">
        <v>0.61</v>
      </c>
      <c r="M94" s="11">
        <v>23.65</v>
      </c>
      <c r="N94" s="8">
        <v>42352</v>
      </c>
      <c r="O94" s="9" t="s">
        <v>30</v>
      </c>
      <c r="P94" s="12" t="s">
        <v>27162</v>
      </c>
      <c r="Q94" s="9" t="s">
        <v>331</v>
      </c>
      <c r="R94" s="14" t="s">
        <v>25</v>
      </c>
    </row>
    <row r="95" spans="1:18" x14ac:dyDescent="0.3">
      <c r="A95" s="15" t="s">
        <v>27176</v>
      </c>
      <c r="B95" s="15" t="s">
        <v>27177</v>
      </c>
      <c r="C95" s="18">
        <v>4.29</v>
      </c>
      <c r="D95" s="15" t="s">
        <v>27178</v>
      </c>
      <c r="E95" s="18">
        <v>1055.8599999999999</v>
      </c>
      <c r="F95" s="19">
        <v>9268.85</v>
      </c>
      <c r="G95" s="19">
        <v>10541.5</v>
      </c>
      <c r="H95" s="19">
        <v>10541.5</v>
      </c>
      <c r="I95" s="18">
        <v>2160.7800000000002</v>
      </c>
      <c r="J95" s="18">
        <v>4.88</v>
      </c>
      <c r="K95" s="18">
        <v>6101.7</v>
      </c>
      <c r="L95" s="18">
        <v>1.73</v>
      </c>
      <c r="M95" s="18">
        <v>698.27</v>
      </c>
      <c r="N95" s="17">
        <v>42347</v>
      </c>
      <c r="O95" s="15" t="s">
        <v>30</v>
      </c>
      <c r="P95" s="16" t="s">
        <v>28</v>
      </c>
      <c r="Q95" s="15" t="s">
        <v>692</v>
      </c>
      <c r="R95" s="13" t="s">
        <v>25</v>
      </c>
    </row>
    <row r="96" spans="1:18" x14ac:dyDescent="0.3">
      <c r="A96" s="9" t="s">
        <v>27283</v>
      </c>
      <c r="B96" s="9" t="s">
        <v>26466</v>
      </c>
      <c r="C96" s="11">
        <v>4.91</v>
      </c>
      <c r="D96" s="9" t="s">
        <v>26467</v>
      </c>
      <c r="E96" s="11">
        <v>15.88</v>
      </c>
      <c r="F96" s="10">
        <v>129.47</v>
      </c>
      <c r="G96" s="10">
        <v>82.3</v>
      </c>
      <c r="H96" s="10">
        <v>161.38999999999999</v>
      </c>
      <c r="I96" s="11">
        <v>26.4</v>
      </c>
      <c r="J96" s="11">
        <v>6.11</v>
      </c>
      <c r="K96" s="11">
        <v>226.08</v>
      </c>
      <c r="L96" s="11">
        <v>0.71</v>
      </c>
      <c r="M96" s="11">
        <v>24.95</v>
      </c>
      <c r="N96" s="8">
        <v>42317</v>
      </c>
      <c r="O96" s="9" t="s">
        <v>41</v>
      </c>
      <c r="P96" s="12" t="s">
        <v>27284</v>
      </c>
      <c r="Q96" s="9" t="s">
        <v>8197</v>
      </c>
      <c r="R96" s="14" t="s">
        <v>25</v>
      </c>
    </row>
    <row r="97" spans="1:18" x14ac:dyDescent="0.3">
      <c r="A97" s="15" t="s">
        <v>27352</v>
      </c>
      <c r="B97" s="15" t="s">
        <v>20963</v>
      </c>
      <c r="C97" s="18">
        <v>5.04</v>
      </c>
      <c r="D97" s="15" t="s">
        <v>20964</v>
      </c>
      <c r="E97" s="18">
        <v>20.37</v>
      </c>
      <c r="F97" s="19">
        <v>133.36000000000001</v>
      </c>
      <c r="G97" s="19">
        <v>157.4</v>
      </c>
      <c r="H97" s="19">
        <v>157.4</v>
      </c>
      <c r="I97" s="18">
        <v>26.47</v>
      </c>
      <c r="J97" s="18">
        <v>5.95</v>
      </c>
      <c r="K97" s="18">
        <v>161.25</v>
      </c>
      <c r="L97" s="18">
        <v>0.98</v>
      </c>
      <c r="M97" s="18">
        <v>17.440000000000001</v>
      </c>
      <c r="N97" s="17">
        <v>42299</v>
      </c>
      <c r="O97" s="15" t="s">
        <v>30</v>
      </c>
      <c r="P97" s="16" t="s">
        <v>4262</v>
      </c>
      <c r="Q97" s="15" t="s">
        <v>658</v>
      </c>
      <c r="R97" s="13" t="s">
        <v>25</v>
      </c>
    </row>
    <row r="98" spans="1:18" x14ac:dyDescent="0.3">
      <c r="A98" s="15" t="s">
        <v>27666</v>
      </c>
      <c r="B98" s="15" t="s">
        <v>23068</v>
      </c>
      <c r="C98" s="18">
        <v>6.8</v>
      </c>
      <c r="D98" s="15" t="s">
        <v>23069</v>
      </c>
      <c r="E98" s="18">
        <v>15.9</v>
      </c>
      <c r="F98" s="19">
        <v>169.73</v>
      </c>
      <c r="G98" s="19">
        <v>191.67</v>
      </c>
      <c r="H98" s="19">
        <v>191.67</v>
      </c>
      <c r="I98" s="18">
        <v>24.98</v>
      </c>
      <c r="J98" s="18">
        <v>7.67</v>
      </c>
      <c r="K98" s="18">
        <v>292.27</v>
      </c>
      <c r="L98" s="18">
        <v>0.66</v>
      </c>
      <c r="M98" s="18">
        <v>13.3</v>
      </c>
      <c r="N98" s="17">
        <v>42202</v>
      </c>
      <c r="O98" s="15" t="s">
        <v>30</v>
      </c>
      <c r="P98" s="16" t="s">
        <v>28</v>
      </c>
      <c r="Q98" s="15" t="s">
        <v>15070</v>
      </c>
      <c r="R98" s="13" t="s">
        <v>25</v>
      </c>
    </row>
    <row r="99" spans="1:18" x14ac:dyDescent="0.3">
      <c r="A99" s="15" t="s">
        <v>27694</v>
      </c>
      <c r="B99" s="15" t="s">
        <v>26287</v>
      </c>
      <c r="C99" s="18">
        <v>2.25</v>
      </c>
      <c r="D99" s="15" t="s">
        <v>26288</v>
      </c>
      <c r="E99" s="18">
        <v>194.84</v>
      </c>
      <c r="F99" s="19">
        <v>438.06</v>
      </c>
      <c r="G99" s="19">
        <v>576.46</v>
      </c>
      <c r="H99" s="19">
        <v>576.46</v>
      </c>
      <c r="I99" s="18">
        <v>195.01</v>
      </c>
      <c r="J99" s="18">
        <v>2.96</v>
      </c>
      <c r="K99" s="18">
        <v>278.20999999999998</v>
      </c>
      <c r="L99" s="18">
        <v>2.0699999999999998</v>
      </c>
      <c r="M99" s="18">
        <v>32.74</v>
      </c>
      <c r="N99" s="17">
        <v>42187</v>
      </c>
      <c r="O99" s="15" t="s">
        <v>30</v>
      </c>
      <c r="P99" s="16" t="s">
        <v>27695</v>
      </c>
      <c r="Q99" s="15" t="s">
        <v>240</v>
      </c>
      <c r="R99" s="13" t="s">
        <v>25</v>
      </c>
    </row>
    <row r="100" spans="1:18" x14ac:dyDescent="0.3">
      <c r="A100" s="9" t="s">
        <v>27900</v>
      </c>
      <c r="B100" s="9" t="s">
        <v>27901</v>
      </c>
      <c r="C100" s="11">
        <v>5.3</v>
      </c>
      <c r="D100" s="9" t="s">
        <v>27902</v>
      </c>
      <c r="E100" s="11">
        <v>10.220000000000001</v>
      </c>
      <c r="F100" s="10">
        <v>131.16999999999999</v>
      </c>
      <c r="G100" s="10">
        <v>174.01</v>
      </c>
      <c r="H100" s="10">
        <v>174.01</v>
      </c>
      <c r="I100" s="11">
        <v>24.73</v>
      </c>
      <c r="J100" s="11">
        <v>7.04</v>
      </c>
      <c r="K100" s="11">
        <v>139.01</v>
      </c>
      <c r="L100" s="11">
        <v>1.25</v>
      </c>
      <c r="M100" s="11">
        <v>1.67</v>
      </c>
      <c r="N100" s="8">
        <v>42145</v>
      </c>
      <c r="O100" s="9" t="s">
        <v>41</v>
      </c>
      <c r="P100" s="12" t="s">
        <v>27903</v>
      </c>
      <c r="Q100" s="9" t="s">
        <v>32</v>
      </c>
      <c r="R100" s="14" t="s">
        <v>25</v>
      </c>
    </row>
    <row r="101" spans="1:18" x14ac:dyDescent="0.3">
      <c r="A101" s="15" t="s">
        <v>27962</v>
      </c>
      <c r="B101" s="15" t="s">
        <v>12054</v>
      </c>
      <c r="C101" s="18">
        <v>4.2</v>
      </c>
      <c r="D101" s="15" t="s">
        <v>22208</v>
      </c>
      <c r="E101" s="18">
        <v>108.62</v>
      </c>
      <c r="F101" s="19">
        <v>596.85</v>
      </c>
      <c r="G101" s="19">
        <v>426.95</v>
      </c>
      <c r="H101" s="19">
        <v>736.12</v>
      </c>
      <c r="I101" s="18">
        <v>142.1</v>
      </c>
      <c r="J101" s="18">
        <v>5.18</v>
      </c>
      <c r="K101" s="18">
        <v>457.67</v>
      </c>
      <c r="L101" s="18">
        <v>1.61</v>
      </c>
      <c r="M101" s="18">
        <v>17.350000000000001</v>
      </c>
      <c r="N101" s="17">
        <v>42128</v>
      </c>
      <c r="O101" s="15" t="s">
        <v>41</v>
      </c>
      <c r="P101" s="16" t="s">
        <v>27963</v>
      </c>
      <c r="Q101" s="15" t="s">
        <v>43</v>
      </c>
      <c r="R101" s="13" t="s">
        <v>25</v>
      </c>
    </row>
    <row r="102" spans="1:18" x14ac:dyDescent="0.3">
      <c r="A102" s="9" t="s">
        <v>27964</v>
      </c>
      <c r="B102" s="9" t="s">
        <v>27965</v>
      </c>
      <c r="C102" s="11">
        <v>48.44</v>
      </c>
      <c r="D102" s="9" t="s">
        <v>27966</v>
      </c>
      <c r="E102" s="11">
        <v>12.49</v>
      </c>
      <c r="F102" s="10">
        <v>97.52</v>
      </c>
      <c r="G102" s="10">
        <v>97.52</v>
      </c>
      <c r="H102" s="10">
        <v>97.52</v>
      </c>
      <c r="I102" s="11">
        <v>2.0099999999999998</v>
      </c>
      <c r="J102" s="11">
        <v>48.44</v>
      </c>
      <c r="K102" s="11">
        <v>126.2</v>
      </c>
      <c r="L102" s="11">
        <v>0.77</v>
      </c>
      <c r="M102" s="11">
        <v>7.99</v>
      </c>
      <c r="N102" s="8">
        <v>42125</v>
      </c>
      <c r="O102" s="9" t="s">
        <v>30</v>
      </c>
      <c r="P102" s="12" t="s">
        <v>28</v>
      </c>
      <c r="Q102" s="9" t="s">
        <v>160</v>
      </c>
      <c r="R102" s="14" t="s">
        <v>25</v>
      </c>
    </row>
    <row r="103" spans="1:18" x14ac:dyDescent="0.3">
      <c r="A103" s="15" t="s">
        <v>28044</v>
      </c>
      <c r="B103" s="15" t="s">
        <v>28045</v>
      </c>
      <c r="C103" s="18" t="s">
        <v>28</v>
      </c>
      <c r="D103" s="15" t="s">
        <v>28046</v>
      </c>
      <c r="E103" s="18">
        <v>-14.3</v>
      </c>
      <c r="F103" s="19">
        <v>5.28</v>
      </c>
      <c r="G103" s="19">
        <v>12.03</v>
      </c>
      <c r="H103" s="19">
        <v>12.03</v>
      </c>
      <c r="I103" s="18">
        <v>-13.21</v>
      </c>
      <c r="J103" s="18">
        <v>-0.91</v>
      </c>
      <c r="K103" s="18">
        <v>303.62</v>
      </c>
      <c r="L103" s="18">
        <v>0.04</v>
      </c>
      <c r="M103" s="18">
        <v>-16.98</v>
      </c>
      <c r="N103" s="17">
        <v>42107</v>
      </c>
      <c r="O103" s="15" t="s">
        <v>30</v>
      </c>
      <c r="P103" s="16" t="s">
        <v>28047</v>
      </c>
      <c r="Q103" s="15" t="s">
        <v>517</v>
      </c>
      <c r="R103" s="13" t="s">
        <v>25</v>
      </c>
    </row>
    <row r="104" spans="1:18" x14ac:dyDescent="0.3">
      <c r="A104" s="15" t="s">
        <v>28060</v>
      </c>
      <c r="B104" s="15" t="s">
        <v>28061</v>
      </c>
      <c r="C104" s="18" t="s">
        <v>28</v>
      </c>
      <c r="D104" s="15" t="s">
        <v>28062</v>
      </c>
      <c r="E104" s="18">
        <v>-10.83</v>
      </c>
      <c r="F104" s="19">
        <v>167.4</v>
      </c>
      <c r="G104" s="19">
        <v>170</v>
      </c>
      <c r="H104" s="19">
        <v>170</v>
      </c>
      <c r="I104" s="18">
        <v>-10.79</v>
      </c>
      <c r="J104" s="18">
        <v>-15.76</v>
      </c>
      <c r="K104" s="18" t="s">
        <v>28</v>
      </c>
      <c r="L104" s="18" t="s">
        <v>28</v>
      </c>
      <c r="M104" s="18">
        <v>-10.87</v>
      </c>
      <c r="N104" s="17">
        <v>42102</v>
      </c>
      <c r="O104" s="15" t="s">
        <v>41</v>
      </c>
      <c r="P104" s="16" t="s">
        <v>28</v>
      </c>
      <c r="Q104" s="15" t="s">
        <v>28063</v>
      </c>
      <c r="R104" s="13" t="s">
        <v>25</v>
      </c>
    </row>
    <row r="105" spans="1:18" x14ac:dyDescent="0.3">
      <c r="A105" s="15" t="s">
        <v>28659</v>
      </c>
      <c r="B105" s="15" t="s">
        <v>27783</v>
      </c>
      <c r="C105" s="18" t="s">
        <v>28</v>
      </c>
      <c r="D105" s="15" t="s">
        <v>24450</v>
      </c>
      <c r="E105" s="18">
        <v>697.3</v>
      </c>
      <c r="F105" s="19" t="s">
        <v>28</v>
      </c>
      <c r="G105" s="19">
        <v>652.04999999999995</v>
      </c>
      <c r="H105" s="19">
        <v>6520.47</v>
      </c>
      <c r="I105" s="18">
        <v>883.73</v>
      </c>
      <c r="J105" s="18">
        <v>7.38</v>
      </c>
      <c r="K105" s="18">
        <v>15606.91</v>
      </c>
      <c r="L105" s="18">
        <v>0.42</v>
      </c>
      <c r="M105" s="18">
        <v>224.22</v>
      </c>
      <c r="N105" s="17">
        <v>41990</v>
      </c>
      <c r="O105" s="15" t="s">
        <v>93</v>
      </c>
      <c r="P105" s="16" t="s">
        <v>27784</v>
      </c>
      <c r="Q105" s="15" t="s">
        <v>409</v>
      </c>
      <c r="R105" s="13" t="s">
        <v>25</v>
      </c>
    </row>
    <row r="106" spans="1:18" x14ac:dyDescent="0.3">
      <c r="A106" s="15" t="s">
        <v>29130</v>
      </c>
      <c r="B106" s="15" t="s">
        <v>27965</v>
      </c>
      <c r="C106" s="18" t="s">
        <v>28</v>
      </c>
      <c r="D106" s="15" t="s">
        <v>27966</v>
      </c>
      <c r="E106" s="18">
        <v>12.49</v>
      </c>
      <c r="F106" s="19" t="s">
        <v>28</v>
      </c>
      <c r="G106" s="19">
        <v>35.26</v>
      </c>
      <c r="H106" s="19">
        <v>180.84</v>
      </c>
      <c r="I106" s="18">
        <v>2.0099999999999998</v>
      </c>
      <c r="J106" s="18">
        <v>89.82</v>
      </c>
      <c r="K106" s="18">
        <v>126.2</v>
      </c>
      <c r="L106" s="18">
        <v>1.43</v>
      </c>
      <c r="M106" s="18">
        <v>7.99</v>
      </c>
      <c r="N106" s="17">
        <v>41891</v>
      </c>
      <c r="O106" s="15" t="s">
        <v>93</v>
      </c>
      <c r="P106" s="16" t="s">
        <v>29131</v>
      </c>
      <c r="Q106" s="15" t="s">
        <v>160</v>
      </c>
      <c r="R106" s="13" t="s">
        <v>25</v>
      </c>
    </row>
    <row r="107" spans="1:18" x14ac:dyDescent="0.3">
      <c r="A107" s="9" t="s">
        <v>29252</v>
      </c>
      <c r="B107" s="9" t="s">
        <v>25757</v>
      </c>
      <c r="C107" s="11">
        <v>2.5299999999999998</v>
      </c>
      <c r="D107" s="9" t="s">
        <v>25758</v>
      </c>
      <c r="E107" s="11">
        <v>95.8</v>
      </c>
      <c r="F107" s="10">
        <v>245.64</v>
      </c>
      <c r="G107" s="10">
        <v>89.34</v>
      </c>
      <c r="H107" s="10">
        <v>245.64</v>
      </c>
      <c r="I107" s="11">
        <v>97.14</v>
      </c>
      <c r="J107" s="11">
        <v>2.5299999999999998</v>
      </c>
      <c r="K107" s="11">
        <v>247.15</v>
      </c>
      <c r="L107" s="11">
        <v>0.99</v>
      </c>
      <c r="M107" s="11">
        <v>51.7</v>
      </c>
      <c r="N107" s="8">
        <v>41857</v>
      </c>
      <c r="O107" s="9" t="s">
        <v>41</v>
      </c>
      <c r="P107" s="12" t="s">
        <v>29253</v>
      </c>
      <c r="Q107" s="9" t="s">
        <v>268</v>
      </c>
      <c r="R107" s="14" t="s">
        <v>25</v>
      </c>
    </row>
    <row r="108" spans="1:18" x14ac:dyDescent="0.3">
      <c r="A108" s="15" t="s">
        <v>29338</v>
      </c>
      <c r="B108" s="15" t="s">
        <v>23224</v>
      </c>
      <c r="C108" s="18" t="s">
        <v>28</v>
      </c>
      <c r="D108" s="15" t="s">
        <v>23225</v>
      </c>
      <c r="E108" s="18">
        <v>-1.78</v>
      </c>
      <c r="F108" s="19">
        <v>8.6300000000000008</v>
      </c>
      <c r="G108" s="19">
        <v>0.87</v>
      </c>
      <c r="H108" s="19">
        <v>8.7200000000000006</v>
      </c>
      <c r="I108" s="18">
        <v>-1.63</v>
      </c>
      <c r="J108" s="18">
        <v>-5.34</v>
      </c>
      <c r="K108" s="18">
        <v>0</v>
      </c>
      <c r="L108" s="18" t="s">
        <v>28</v>
      </c>
      <c r="M108" s="18">
        <v>-0.79</v>
      </c>
      <c r="N108" s="17">
        <v>41827</v>
      </c>
      <c r="O108" s="15" t="s">
        <v>30</v>
      </c>
      <c r="P108" s="16" t="s">
        <v>29339</v>
      </c>
      <c r="Q108" s="15" t="s">
        <v>975</v>
      </c>
      <c r="R108" s="13" t="s">
        <v>25</v>
      </c>
    </row>
    <row r="109" spans="1:18" x14ac:dyDescent="0.3">
      <c r="A109" s="15" t="s">
        <v>29351</v>
      </c>
      <c r="B109" s="15" t="s">
        <v>29352</v>
      </c>
      <c r="C109" s="18">
        <v>10.16</v>
      </c>
      <c r="D109" s="15" t="s">
        <v>29353</v>
      </c>
      <c r="E109" s="18">
        <v>76.64</v>
      </c>
      <c r="F109" s="19">
        <v>973.81</v>
      </c>
      <c r="G109" s="19">
        <v>1108.53</v>
      </c>
      <c r="H109" s="19">
        <v>1108.53</v>
      </c>
      <c r="I109" s="18">
        <v>95.88</v>
      </c>
      <c r="J109" s="18">
        <v>11.56</v>
      </c>
      <c r="K109" s="18">
        <v>843.63</v>
      </c>
      <c r="L109" s="18">
        <v>1.31</v>
      </c>
      <c r="M109" s="18">
        <v>58.86</v>
      </c>
      <c r="N109" s="17">
        <v>41823</v>
      </c>
      <c r="O109" s="15" t="s">
        <v>30</v>
      </c>
      <c r="P109" s="16" t="s">
        <v>23054</v>
      </c>
      <c r="Q109" s="15" t="s">
        <v>43</v>
      </c>
      <c r="R109" s="13" t="s">
        <v>25</v>
      </c>
    </row>
    <row r="110" spans="1:18" x14ac:dyDescent="0.3">
      <c r="A110" s="15" t="s">
        <v>29499</v>
      </c>
      <c r="B110" s="15" t="s">
        <v>29500</v>
      </c>
      <c r="C110" s="18">
        <v>16.88</v>
      </c>
      <c r="D110" s="15" t="s">
        <v>29501</v>
      </c>
      <c r="E110" s="18" t="s">
        <v>28</v>
      </c>
      <c r="F110" s="19">
        <v>2693.63</v>
      </c>
      <c r="G110" s="19">
        <v>2693.63</v>
      </c>
      <c r="H110" s="19">
        <v>2693.63</v>
      </c>
      <c r="I110" s="18">
        <v>159.58000000000001</v>
      </c>
      <c r="J110" s="18">
        <v>16.88</v>
      </c>
      <c r="K110" s="18" t="s">
        <v>28</v>
      </c>
      <c r="L110" s="18" t="s">
        <v>28</v>
      </c>
      <c r="M110" s="18" t="s">
        <v>28</v>
      </c>
      <c r="N110" s="17">
        <v>41781</v>
      </c>
      <c r="O110" s="15" t="s">
        <v>30</v>
      </c>
      <c r="P110" s="16" t="s">
        <v>29502</v>
      </c>
      <c r="Q110" s="15" t="s">
        <v>409</v>
      </c>
      <c r="R110" s="13" t="s">
        <v>25</v>
      </c>
    </row>
    <row r="111" spans="1:18" x14ac:dyDescent="0.3">
      <c r="A111" s="15" t="s">
        <v>29511</v>
      </c>
      <c r="B111" s="15" t="s">
        <v>4435</v>
      </c>
      <c r="C111" s="18">
        <v>11.15</v>
      </c>
      <c r="D111" s="15" t="s">
        <v>4436</v>
      </c>
      <c r="E111" s="18">
        <v>77.8</v>
      </c>
      <c r="F111" s="19">
        <v>1657.59</v>
      </c>
      <c r="G111" s="19">
        <v>259.76</v>
      </c>
      <c r="H111" s="19">
        <v>1710.75</v>
      </c>
      <c r="I111" s="18">
        <v>148.69999999999999</v>
      </c>
      <c r="J111" s="18">
        <v>11.5</v>
      </c>
      <c r="K111" s="18">
        <v>1210.3399999999999</v>
      </c>
      <c r="L111" s="18">
        <v>1.41</v>
      </c>
      <c r="M111" s="18">
        <v>70.33</v>
      </c>
      <c r="N111" s="17">
        <v>41778</v>
      </c>
      <c r="O111" s="15" t="s">
        <v>30</v>
      </c>
      <c r="P111" s="16" t="s">
        <v>29512</v>
      </c>
      <c r="Q111" s="15" t="s">
        <v>348</v>
      </c>
      <c r="R111" s="13" t="s">
        <v>25</v>
      </c>
    </row>
    <row r="112" spans="1:18" x14ac:dyDescent="0.3">
      <c r="A112" s="9" t="s">
        <v>29552</v>
      </c>
      <c r="B112" s="9" t="s">
        <v>29553</v>
      </c>
      <c r="C112" s="11" t="s">
        <v>28</v>
      </c>
      <c r="D112" s="9" t="s">
        <v>29554</v>
      </c>
      <c r="E112" s="11" t="s">
        <v>28</v>
      </c>
      <c r="F112" s="10">
        <v>71.55</v>
      </c>
      <c r="G112" s="10">
        <v>71.55</v>
      </c>
      <c r="H112" s="10">
        <v>71.55</v>
      </c>
      <c r="I112" s="11">
        <v>-5.92</v>
      </c>
      <c r="J112" s="11">
        <v>-12.08</v>
      </c>
      <c r="K112" s="11">
        <v>19.61</v>
      </c>
      <c r="L112" s="11">
        <v>3.65</v>
      </c>
      <c r="M112" s="11">
        <v>-3.39</v>
      </c>
      <c r="N112" s="8">
        <v>41760</v>
      </c>
      <c r="O112" s="9" t="s">
        <v>30</v>
      </c>
      <c r="P112" s="12" t="s">
        <v>14320</v>
      </c>
      <c r="Q112" s="9" t="s">
        <v>17421</v>
      </c>
      <c r="R112" s="14" t="s">
        <v>25</v>
      </c>
    </row>
    <row r="113" spans="1:18" x14ac:dyDescent="0.3">
      <c r="A113" s="9" t="s">
        <v>29568</v>
      </c>
      <c r="B113" s="9" t="s">
        <v>7574</v>
      </c>
      <c r="C113" s="11">
        <v>0.53</v>
      </c>
      <c r="D113" s="9" t="s">
        <v>20523</v>
      </c>
      <c r="E113" s="11">
        <v>243.71</v>
      </c>
      <c r="F113" s="10">
        <v>129.86000000000001</v>
      </c>
      <c r="G113" s="10">
        <v>153.61000000000001</v>
      </c>
      <c r="H113" s="10">
        <v>307.20999999999998</v>
      </c>
      <c r="I113" s="11">
        <v>244.75</v>
      </c>
      <c r="J113" s="11">
        <v>1.26</v>
      </c>
      <c r="K113" s="11">
        <v>126.57</v>
      </c>
      <c r="L113" s="11">
        <v>2.4300000000000002</v>
      </c>
      <c r="M113" s="11">
        <v>98.37</v>
      </c>
      <c r="N113" s="8">
        <v>41757</v>
      </c>
      <c r="O113" s="9" t="s">
        <v>30</v>
      </c>
      <c r="P113" s="12" t="s">
        <v>28</v>
      </c>
      <c r="Q113" s="9" t="s">
        <v>119</v>
      </c>
      <c r="R113" s="14" t="s">
        <v>25</v>
      </c>
    </row>
    <row r="114" spans="1:18" x14ac:dyDescent="0.3">
      <c r="A114" s="15" t="s">
        <v>29631</v>
      </c>
      <c r="B114" s="15" t="s">
        <v>29632</v>
      </c>
      <c r="C114" s="18">
        <v>1.41</v>
      </c>
      <c r="D114" s="15" t="s">
        <v>29633</v>
      </c>
      <c r="E114" s="18">
        <v>2.85</v>
      </c>
      <c r="F114" s="19">
        <v>9.1</v>
      </c>
      <c r="G114" s="19">
        <v>9.1</v>
      </c>
      <c r="H114" s="19">
        <v>9.1</v>
      </c>
      <c r="I114" s="18">
        <v>6.45</v>
      </c>
      <c r="J114" s="18">
        <v>1.41</v>
      </c>
      <c r="K114" s="18">
        <v>25.45</v>
      </c>
      <c r="L114" s="18">
        <v>0.36</v>
      </c>
      <c r="M114" s="18">
        <v>-0.62</v>
      </c>
      <c r="N114" s="17">
        <v>41730</v>
      </c>
      <c r="O114" s="15" t="s">
        <v>41</v>
      </c>
      <c r="P114" s="16" t="s">
        <v>25292</v>
      </c>
      <c r="Q114" s="15" t="s">
        <v>5110</v>
      </c>
      <c r="R114" s="13" t="s">
        <v>25</v>
      </c>
    </row>
    <row r="115" spans="1:18" x14ac:dyDescent="0.3">
      <c r="A115" s="15" t="s">
        <v>30038</v>
      </c>
      <c r="B115" s="15" t="s">
        <v>23353</v>
      </c>
      <c r="C115" s="18">
        <v>7.05</v>
      </c>
      <c r="D115" s="15" t="s">
        <v>26303</v>
      </c>
      <c r="E115" s="18">
        <v>452.34</v>
      </c>
      <c r="F115" s="19">
        <v>3918.56</v>
      </c>
      <c r="G115" s="19">
        <v>855.34</v>
      </c>
      <c r="H115" s="19">
        <v>4501.7700000000004</v>
      </c>
      <c r="I115" s="18">
        <v>555.54</v>
      </c>
      <c r="J115" s="18">
        <v>8.1</v>
      </c>
      <c r="K115" s="18">
        <v>1213.02</v>
      </c>
      <c r="L115" s="18">
        <v>3.71</v>
      </c>
      <c r="M115" s="18">
        <v>208.87</v>
      </c>
      <c r="N115" s="17">
        <v>41635</v>
      </c>
      <c r="O115" s="15" t="s">
        <v>30</v>
      </c>
      <c r="P115" s="16" t="s">
        <v>30039</v>
      </c>
      <c r="Q115" s="15" t="s">
        <v>5347</v>
      </c>
      <c r="R115" s="13" t="s">
        <v>25</v>
      </c>
    </row>
    <row r="116" spans="1:18" x14ac:dyDescent="0.3">
      <c r="A116" s="15" t="s">
        <v>30291</v>
      </c>
      <c r="B116" s="15" t="s">
        <v>30292</v>
      </c>
      <c r="C116" s="18">
        <v>13843.28</v>
      </c>
      <c r="D116" s="15" t="s">
        <v>30293</v>
      </c>
      <c r="E116" s="18">
        <v>0.13</v>
      </c>
      <c r="F116" s="19">
        <v>1855</v>
      </c>
      <c r="G116" s="19">
        <v>1855</v>
      </c>
      <c r="H116" s="19">
        <v>1855</v>
      </c>
      <c r="I116" s="18">
        <v>0.13</v>
      </c>
      <c r="J116" s="18">
        <v>13843.28</v>
      </c>
      <c r="K116" s="18">
        <v>905</v>
      </c>
      <c r="L116" s="18">
        <v>2.0499999999999998</v>
      </c>
      <c r="M116" s="18" t="s">
        <v>28</v>
      </c>
      <c r="N116" s="17">
        <v>41576</v>
      </c>
      <c r="O116" s="15" t="s">
        <v>30</v>
      </c>
      <c r="P116" s="16" t="s">
        <v>30294</v>
      </c>
      <c r="Q116" s="15" t="s">
        <v>105</v>
      </c>
      <c r="R116" s="13" t="s">
        <v>25</v>
      </c>
    </row>
    <row r="117" spans="1:18" x14ac:dyDescent="0.3">
      <c r="A117" s="9" t="s">
        <v>30318</v>
      </c>
      <c r="B117" s="9" t="s">
        <v>28404</v>
      </c>
      <c r="C117" s="11" t="s">
        <v>28</v>
      </c>
      <c r="D117" s="9" t="s">
        <v>28405</v>
      </c>
      <c r="E117" s="11">
        <v>-72.27</v>
      </c>
      <c r="F117" s="10">
        <v>1061.79</v>
      </c>
      <c r="G117" s="10">
        <v>584.41</v>
      </c>
      <c r="H117" s="10">
        <v>1106.42</v>
      </c>
      <c r="I117" s="11">
        <v>-71.66</v>
      </c>
      <c r="J117" s="11">
        <v>-15.44</v>
      </c>
      <c r="K117" s="11">
        <v>28.2</v>
      </c>
      <c r="L117" s="11">
        <v>39.229999999999997</v>
      </c>
      <c r="M117" s="11">
        <v>-54.93</v>
      </c>
      <c r="N117" s="8">
        <v>41561</v>
      </c>
      <c r="O117" s="9" t="s">
        <v>41</v>
      </c>
      <c r="P117" s="12" t="s">
        <v>30319</v>
      </c>
      <c r="Q117" s="9" t="s">
        <v>5347</v>
      </c>
      <c r="R117" s="14" t="s">
        <v>25</v>
      </c>
    </row>
    <row r="118" spans="1:18" x14ac:dyDescent="0.3">
      <c r="A118" s="15" t="s">
        <v>30508</v>
      </c>
      <c r="B118" s="15" t="s">
        <v>30509</v>
      </c>
      <c r="C118" s="18">
        <v>9.74</v>
      </c>
      <c r="D118" s="15" t="s">
        <v>30510</v>
      </c>
      <c r="E118" s="18">
        <v>43.44</v>
      </c>
      <c r="F118" s="19">
        <v>423.25</v>
      </c>
      <c r="G118" s="19">
        <v>423.25</v>
      </c>
      <c r="H118" s="19">
        <v>423.25</v>
      </c>
      <c r="I118" s="18">
        <v>43.44</v>
      </c>
      <c r="J118" s="18">
        <v>9.74</v>
      </c>
      <c r="K118" s="18">
        <v>251.78</v>
      </c>
      <c r="L118" s="18">
        <v>1.68</v>
      </c>
      <c r="M118" s="18" t="s">
        <v>28</v>
      </c>
      <c r="N118" s="17">
        <v>41508</v>
      </c>
      <c r="O118" s="15" t="s">
        <v>30</v>
      </c>
      <c r="P118" s="16" t="s">
        <v>30511</v>
      </c>
      <c r="Q118" s="15" t="s">
        <v>105</v>
      </c>
      <c r="R118" s="13" t="s">
        <v>25</v>
      </c>
    </row>
    <row r="119" spans="1:18" x14ac:dyDescent="0.3">
      <c r="A119" s="15" t="s">
        <v>30803</v>
      </c>
      <c r="B119" s="15" t="s">
        <v>21908</v>
      </c>
      <c r="C119" s="18">
        <v>15.16</v>
      </c>
      <c r="D119" s="15" t="s">
        <v>21909</v>
      </c>
      <c r="E119" s="18">
        <v>4.82</v>
      </c>
      <c r="F119" s="19">
        <v>124.42</v>
      </c>
      <c r="G119" s="19">
        <v>136.22</v>
      </c>
      <c r="H119" s="19">
        <v>136.22</v>
      </c>
      <c r="I119" s="18">
        <v>8.2100000000000009</v>
      </c>
      <c r="J119" s="18">
        <v>16.59</v>
      </c>
      <c r="K119" s="18">
        <v>14.11</v>
      </c>
      <c r="L119" s="18">
        <v>9.65</v>
      </c>
      <c r="M119" s="18">
        <v>4.38</v>
      </c>
      <c r="N119" s="17">
        <v>41426</v>
      </c>
      <c r="O119" s="15" t="s">
        <v>41</v>
      </c>
      <c r="P119" s="16" t="s">
        <v>6286</v>
      </c>
      <c r="Q119" s="15" t="s">
        <v>1361</v>
      </c>
      <c r="R119" s="13" t="s">
        <v>25</v>
      </c>
    </row>
    <row r="120" spans="1:18" x14ac:dyDescent="0.3">
      <c r="A120" s="15" t="s">
        <v>30905</v>
      </c>
      <c r="B120" s="15" t="s">
        <v>30906</v>
      </c>
      <c r="C120" s="18">
        <v>11.18</v>
      </c>
      <c r="D120" s="15" t="s">
        <v>30907</v>
      </c>
      <c r="E120" s="18" t="s">
        <v>28</v>
      </c>
      <c r="F120" s="19">
        <v>390</v>
      </c>
      <c r="G120" s="19">
        <v>195</v>
      </c>
      <c r="H120" s="19">
        <v>390</v>
      </c>
      <c r="I120" s="18">
        <v>34.9</v>
      </c>
      <c r="J120" s="18">
        <v>11.18</v>
      </c>
      <c r="K120" s="18">
        <v>372.91</v>
      </c>
      <c r="L120" s="18">
        <v>1.05</v>
      </c>
      <c r="M120" s="18" t="s">
        <v>28</v>
      </c>
      <c r="N120" s="17">
        <v>41396</v>
      </c>
      <c r="O120" s="15" t="s">
        <v>30</v>
      </c>
      <c r="P120" s="16" t="s">
        <v>16542</v>
      </c>
      <c r="Q120" s="15" t="s">
        <v>5110</v>
      </c>
      <c r="R120" s="13" t="s">
        <v>25</v>
      </c>
    </row>
    <row r="121" spans="1:18" x14ac:dyDescent="0.3">
      <c r="A121" s="9" t="s">
        <v>31038</v>
      </c>
      <c r="B121" s="9" t="s">
        <v>31039</v>
      </c>
      <c r="C121" s="11">
        <v>12.76</v>
      </c>
      <c r="D121" s="9" t="s">
        <v>31040</v>
      </c>
      <c r="E121" s="11" t="s">
        <v>28</v>
      </c>
      <c r="F121" s="10">
        <v>91.83</v>
      </c>
      <c r="G121" s="10">
        <v>91.83</v>
      </c>
      <c r="H121" s="10">
        <v>91.83</v>
      </c>
      <c r="I121" s="11">
        <v>7.19</v>
      </c>
      <c r="J121" s="11">
        <v>12.76</v>
      </c>
      <c r="K121" s="11">
        <v>56.69</v>
      </c>
      <c r="L121" s="11">
        <v>1.62</v>
      </c>
      <c r="M121" s="11">
        <v>6.07</v>
      </c>
      <c r="N121" s="8">
        <v>41358</v>
      </c>
      <c r="O121" s="9" t="s">
        <v>30</v>
      </c>
      <c r="P121" s="12" t="s">
        <v>31041</v>
      </c>
      <c r="Q121" s="9" t="s">
        <v>1643</v>
      </c>
      <c r="R121" s="14" t="s">
        <v>25</v>
      </c>
    </row>
    <row r="122" spans="1:18" x14ac:dyDescent="0.3">
      <c r="A122" s="9" t="s">
        <v>31235</v>
      </c>
      <c r="B122" s="9" t="s">
        <v>31236</v>
      </c>
      <c r="C122" s="11" t="s">
        <v>28</v>
      </c>
      <c r="D122" s="9" t="s">
        <v>31237</v>
      </c>
      <c r="E122" s="11" t="s">
        <v>28</v>
      </c>
      <c r="F122" s="10">
        <v>3.7</v>
      </c>
      <c r="G122" s="10">
        <v>3.7</v>
      </c>
      <c r="H122" s="10">
        <v>3.7</v>
      </c>
      <c r="I122" s="11">
        <v>-119.5</v>
      </c>
      <c r="J122" s="11">
        <v>-0.03</v>
      </c>
      <c r="K122" s="11">
        <v>11041.45</v>
      </c>
      <c r="L122" s="11">
        <v>0.01</v>
      </c>
      <c r="M122" s="11">
        <v>-1331.45</v>
      </c>
      <c r="N122" s="8">
        <v>41292</v>
      </c>
      <c r="O122" s="9" t="s">
        <v>30</v>
      </c>
      <c r="P122" s="12" t="s">
        <v>31238</v>
      </c>
      <c r="Q122" s="9" t="s">
        <v>6878</v>
      </c>
      <c r="R122" s="14" t="s">
        <v>25</v>
      </c>
    </row>
    <row r="123" spans="1:18" x14ac:dyDescent="0.3">
      <c r="A123" s="15" t="s">
        <v>31643</v>
      </c>
      <c r="B123" s="15" t="s">
        <v>23372</v>
      </c>
      <c r="C123" s="18">
        <v>6.66</v>
      </c>
      <c r="D123" s="15" t="s">
        <v>23373</v>
      </c>
      <c r="E123" s="18">
        <v>254.42</v>
      </c>
      <c r="F123" s="19">
        <v>2682.28</v>
      </c>
      <c r="G123" s="19">
        <v>1700</v>
      </c>
      <c r="H123" s="19">
        <v>2753</v>
      </c>
      <c r="I123" s="18">
        <v>402.75</v>
      </c>
      <c r="J123" s="18">
        <v>6.84</v>
      </c>
      <c r="K123" s="18">
        <v>2571.67</v>
      </c>
      <c r="L123" s="18">
        <v>1.07</v>
      </c>
      <c r="M123" s="18">
        <v>145.12</v>
      </c>
      <c r="N123" s="17">
        <v>41214</v>
      </c>
      <c r="O123" s="15" t="s">
        <v>30</v>
      </c>
      <c r="P123" s="16" t="s">
        <v>23374</v>
      </c>
      <c r="Q123" s="15" t="s">
        <v>4901</v>
      </c>
      <c r="R123" s="13" t="s">
        <v>25</v>
      </c>
    </row>
    <row r="124" spans="1:18" x14ac:dyDescent="0.3">
      <c r="A124" s="15" t="s">
        <v>31747</v>
      </c>
      <c r="B124" s="15" t="s">
        <v>31748</v>
      </c>
      <c r="C124" s="18">
        <v>9.76</v>
      </c>
      <c r="D124" s="15" t="s">
        <v>31749</v>
      </c>
      <c r="E124" s="18" t="s">
        <v>28</v>
      </c>
      <c r="F124" s="19">
        <v>22.45</v>
      </c>
      <c r="G124" s="19">
        <v>22.45</v>
      </c>
      <c r="H124" s="19">
        <v>22.45</v>
      </c>
      <c r="I124" s="18">
        <v>2.2999999999999998</v>
      </c>
      <c r="J124" s="18">
        <v>9.76</v>
      </c>
      <c r="K124" s="18">
        <v>9.3000000000000007</v>
      </c>
      <c r="L124" s="18">
        <v>2.41</v>
      </c>
      <c r="M124" s="18" t="s">
        <v>28</v>
      </c>
      <c r="N124" s="17">
        <v>41180</v>
      </c>
      <c r="O124" s="15" t="s">
        <v>30</v>
      </c>
      <c r="P124" s="16" t="s">
        <v>31750</v>
      </c>
      <c r="Q124" s="15" t="s">
        <v>280</v>
      </c>
      <c r="R124" s="13" t="s">
        <v>25</v>
      </c>
    </row>
    <row r="125" spans="1:18" x14ac:dyDescent="0.3">
      <c r="A125" s="9" t="s">
        <v>31757</v>
      </c>
      <c r="B125" s="9" t="s">
        <v>27279</v>
      </c>
      <c r="C125" s="11">
        <v>8.19</v>
      </c>
      <c r="D125" s="9" t="s">
        <v>31758</v>
      </c>
      <c r="E125" s="11">
        <v>1301.58</v>
      </c>
      <c r="F125" s="10">
        <v>11512.6</v>
      </c>
      <c r="G125" s="10">
        <v>5149</v>
      </c>
      <c r="H125" s="10">
        <v>11596.85</v>
      </c>
      <c r="I125" s="11">
        <v>1406.31</v>
      </c>
      <c r="J125" s="11">
        <v>8.25</v>
      </c>
      <c r="K125" s="11">
        <v>1430.37</v>
      </c>
      <c r="L125" s="11">
        <v>8.11</v>
      </c>
      <c r="M125" s="11">
        <v>872.89</v>
      </c>
      <c r="N125" s="8">
        <v>41176</v>
      </c>
      <c r="O125" s="9" t="s">
        <v>30</v>
      </c>
      <c r="P125" s="12" t="s">
        <v>2372</v>
      </c>
      <c r="Q125" s="9" t="s">
        <v>37</v>
      </c>
      <c r="R125" s="14" t="s">
        <v>25</v>
      </c>
    </row>
    <row r="126" spans="1:18" x14ac:dyDescent="0.3">
      <c r="A126" s="15" t="s">
        <v>32058</v>
      </c>
      <c r="B126" s="15" t="s">
        <v>32059</v>
      </c>
      <c r="C126" s="18">
        <v>43.24</v>
      </c>
      <c r="D126" s="15" t="s">
        <v>32060</v>
      </c>
      <c r="E126" s="18">
        <v>13.78</v>
      </c>
      <c r="F126" s="19">
        <v>653.5</v>
      </c>
      <c r="G126" s="19">
        <v>653.5</v>
      </c>
      <c r="H126" s="19">
        <v>653.5</v>
      </c>
      <c r="I126" s="18">
        <v>15.11</v>
      </c>
      <c r="J126" s="18">
        <v>43.24</v>
      </c>
      <c r="K126" s="18">
        <v>185.11</v>
      </c>
      <c r="L126" s="18">
        <v>3.53</v>
      </c>
      <c r="M126" s="18">
        <v>14.32</v>
      </c>
      <c r="N126" s="17">
        <v>41109</v>
      </c>
      <c r="O126" s="15" t="s">
        <v>30</v>
      </c>
      <c r="P126" s="16" t="s">
        <v>32061</v>
      </c>
      <c r="Q126" s="15" t="s">
        <v>1336</v>
      </c>
      <c r="R126" s="13" t="s">
        <v>25</v>
      </c>
    </row>
    <row r="127" spans="1:18" x14ac:dyDescent="0.3">
      <c r="A127" s="15" t="s">
        <v>32284</v>
      </c>
      <c r="B127" s="15" t="s">
        <v>32285</v>
      </c>
      <c r="C127" s="18" t="s">
        <v>28</v>
      </c>
      <c r="D127" s="15" t="s">
        <v>32286</v>
      </c>
      <c r="E127" s="18" t="s">
        <v>28</v>
      </c>
      <c r="F127" s="19" t="s">
        <v>28</v>
      </c>
      <c r="G127" s="19">
        <v>51.18</v>
      </c>
      <c r="H127" s="19">
        <v>85.3</v>
      </c>
      <c r="I127" s="18">
        <v>19.07</v>
      </c>
      <c r="J127" s="18">
        <v>4.47</v>
      </c>
      <c r="K127" s="18" t="s">
        <v>28</v>
      </c>
      <c r="L127" s="18" t="s">
        <v>28</v>
      </c>
      <c r="M127" s="18">
        <v>14.18</v>
      </c>
      <c r="N127" s="17">
        <v>41052</v>
      </c>
      <c r="O127" s="15" t="s">
        <v>30</v>
      </c>
      <c r="P127" s="16" t="s">
        <v>14320</v>
      </c>
      <c r="Q127" s="15" t="s">
        <v>774</v>
      </c>
      <c r="R127" s="13" t="s">
        <v>25</v>
      </c>
    </row>
    <row r="128" spans="1:18" x14ac:dyDescent="0.3">
      <c r="A128" s="15" t="s">
        <v>32393</v>
      </c>
      <c r="B128" s="15" t="s">
        <v>32394</v>
      </c>
      <c r="C128" s="18">
        <v>7.59</v>
      </c>
      <c r="D128" s="15" t="s">
        <v>32395</v>
      </c>
      <c r="E128" s="18" t="s">
        <v>28</v>
      </c>
      <c r="F128" s="19">
        <v>198.92</v>
      </c>
      <c r="G128" s="19">
        <v>198.92</v>
      </c>
      <c r="H128" s="19">
        <v>198.92</v>
      </c>
      <c r="I128" s="18">
        <v>26.22</v>
      </c>
      <c r="J128" s="18">
        <v>7.59</v>
      </c>
      <c r="K128" s="18">
        <v>78.650000000000006</v>
      </c>
      <c r="L128" s="18">
        <v>2.5299999999999998</v>
      </c>
      <c r="M128" s="18" t="s">
        <v>28</v>
      </c>
      <c r="N128" s="17">
        <v>41015</v>
      </c>
      <c r="O128" s="15" t="s">
        <v>30</v>
      </c>
      <c r="P128" s="16" t="s">
        <v>32396</v>
      </c>
      <c r="Q128" s="15" t="s">
        <v>353</v>
      </c>
      <c r="R128" s="13" t="s">
        <v>25</v>
      </c>
    </row>
    <row r="129" spans="1:18" x14ac:dyDescent="0.3">
      <c r="A129" s="9" t="s">
        <v>32558</v>
      </c>
      <c r="B129" s="9" t="s">
        <v>32559</v>
      </c>
      <c r="C129" s="11">
        <v>8.6</v>
      </c>
      <c r="D129" s="9" t="s">
        <v>32560</v>
      </c>
      <c r="E129" s="11" t="s">
        <v>28</v>
      </c>
      <c r="F129" s="10">
        <v>16.899999999999999</v>
      </c>
      <c r="G129" s="10">
        <v>16.899999999999999</v>
      </c>
      <c r="H129" s="10">
        <v>16.899999999999999</v>
      </c>
      <c r="I129" s="11">
        <v>1.97</v>
      </c>
      <c r="J129" s="11">
        <v>8.6</v>
      </c>
      <c r="K129" s="11">
        <v>10.66</v>
      </c>
      <c r="L129" s="11">
        <v>1.59</v>
      </c>
      <c r="M129" s="11" t="s">
        <v>28</v>
      </c>
      <c r="N129" s="8">
        <v>40955</v>
      </c>
      <c r="O129" s="9" t="s">
        <v>30</v>
      </c>
      <c r="P129" s="12" t="s">
        <v>516</v>
      </c>
      <c r="Q129" s="9" t="s">
        <v>5110</v>
      </c>
      <c r="R129" s="14" t="s">
        <v>25</v>
      </c>
    </row>
    <row r="130" spans="1:18" x14ac:dyDescent="0.3">
      <c r="A130" s="9" t="s">
        <v>32618</v>
      </c>
      <c r="B130" s="9" t="s">
        <v>32619</v>
      </c>
      <c r="C130" s="11">
        <v>5.47</v>
      </c>
      <c r="D130" s="9" t="s">
        <v>32620</v>
      </c>
      <c r="E130" s="11" t="s">
        <v>28</v>
      </c>
      <c r="F130" s="10">
        <v>16.309999999999999</v>
      </c>
      <c r="G130" s="10">
        <v>16.309999999999999</v>
      </c>
      <c r="H130" s="10">
        <v>16.309999999999999</v>
      </c>
      <c r="I130" s="11">
        <v>2.98</v>
      </c>
      <c r="J130" s="11">
        <v>5.47</v>
      </c>
      <c r="K130" s="11">
        <v>26.1</v>
      </c>
      <c r="L130" s="11">
        <v>0.62</v>
      </c>
      <c r="M130" s="11" t="s">
        <v>28</v>
      </c>
      <c r="N130" s="8">
        <v>40940</v>
      </c>
      <c r="O130" s="9" t="s">
        <v>30</v>
      </c>
      <c r="P130" s="12" t="s">
        <v>32621</v>
      </c>
      <c r="Q130" s="9" t="s">
        <v>5347</v>
      </c>
      <c r="R130" s="14" t="s">
        <v>25</v>
      </c>
    </row>
    <row r="131" spans="1:18" x14ac:dyDescent="0.3">
      <c r="A131" s="15" t="s">
        <v>33290</v>
      </c>
      <c r="B131" s="15" t="s">
        <v>10279</v>
      </c>
      <c r="C131" s="18" t="s">
        <v>28</v>
      </c>
      <c r="D131" s="15" t="s">
        <v>18134</v>
      </c>
      <c r="E131" s="18">
        <v>20.09</v>
      </c>
      <c r="F131" s="19" t="s">
        <v>28</v>
      </c>
      <c r="G131" s="19">
        <v>82.31</v>
      </c>
      <c r="H131" s="19">
        <v>403.29</v>
      </c>
      <c r="I131" s="18">
        <v>32.14</v>
      </c>
      <c r="J131" s="18">
        <v>12.55</v>
      </c>
      <c r="K131" s="18">
        <v>109.93</v>
      </c>
      <c r="L131" s="18">
        <v>3.67</v>
      </c>
      <c r="M131" s="18">
        <v>12.53</v>
      </c>
      <c r="N131" s="17">
        <v>40750</v>
      </c>
      <c r="O131" s="15" t="s">
        <v>93</v>
      </c>
      <c r="P131" s="16" t="s">
        <v>33291</v>
      </c>
      <c r="Q131" s="15" t="s">
        <v>75</v>
      </c>
      <c r="R131" s="13" t="s">
        <v>25</v>
      </c>
    </row>
    <row r="132" spans="1:18" x14ac:dyDescent="0.3">
      <c r="A132" s="15" t="s">
        <v>33323</v>
      </c>
      <c r="B132" s="15" t="s">
        <v>33324</v>
      </c>
      <c r="C132" s="18">
        <v>9.6199999999999992</v>
      </c>
      <c r="D132" s="15" t="s">
        <v>33325</v>
      </c>
      <c r="E132" s="18" t="s">
        <v>28</v>
      </c>
      <c r="F132" s="19">
        <v>19.62</v>
      </c>
      <c r="G132" s="19">
        <v>19.62</v>
      </c>
      <c r="H132" s="19">
        <v>19.62</v>
      </c>
      <c r="I132" s="18">
        <v>2.04</v>
      </c>
      <c r="J132" s="18">
        <v>9.6199999999999992</v>
      </c>
      <c r="K132" s="18" t="s">
        <v>28</v>
      </c>
      <c r="L132" s="18" t="s">
        <v>28</v>
      </c>
      <c r="M132" s="18" t="s">
        <v>28</v>
      </c>
      <c r="N132" s="17">
        <v>40742</v>
      </c>
      <c r="O132" s="15" t="s">
        <v>30</v>
      </c>
      <c r="P132" s="16" t="s">
        <v>28795</v>
      </c>
      <c r="Q132" s="15" t="s">
        <v>607</v>
      </c>
      <c r="R132" s="13" t="s">
        <v>25</v>
      </c>
    </row>
    <row r="133" spans="1:18" x14ac:dyDescent="0.3">
      <c r="A133" s="9" t="s">
        <v>33540</v>
      </c>
      <c r="B133" s="9" t="s">
        <v>24297</v>
      </c>
      <c r="C133" s="11">
        <v>5.16</v>
      </c>
      <c r="D133" s="9" t="s">
        <v>24298</v>
      </c>
      <c r="E133" s="11">
        <v>386.17</v>
      </c>
      <c r="F133" s="10">
        <v>2361.3200000000002</v>
      </c>
      <c r="G133" s="10">
        <v>2499.94</v>
      </c>
      <c r="H133" s="10">
        <v>2507.46</v>
      </c>
      <c r="I133" s="11">
        <v>457.7</v>
      </c>
      <c r="J133" s="11">
        <v>5.48</v>
      </c>
      <c r="K133" s="11">
        <v>1988.62</v>
      </c>
      <c r="L133" s="11">
        <v>1.26</v>
      </c>
      <c r="M133" s="11">
        <v>268.95999999999998</v>
      </c>
      <c r="N133" s="8">
        <v>40661</v>
      </c>
      <c r="O133" s="9" t="s">
        <v>30</v>
      </c>
      <c r="P133" s="12" t="s">
        <v>25017</v>
      </c>
      <c r="Q133" s="9" t="s">
        <v>348</v>
      </c>
      <c r="R133" s="14" t="s">
        <v>25</v>
      </c>
    </row>
    <row r="134" spans="1:18" x14ac:dyDescent="0.3">
      <c r="A134" s="9" t="s">
        <v>33954</v>
      </c>
      <c r="B134" s="9" t="s">
        <v>421</v>
      </c>
      <c r="C134" s="11" t="s">
        <v>28</v>
      </c>
      <c r="D134" s="9" t="s">
        <v>422</v>
      </c>
      <c r="E134" s="11">
        <v>16.59</v>
      </c>
      <c r="F134" s="10" t="s">
        <v>28</v>
      </c>
      <c r="G134" s="10">
        <v>58</v>
      </c>
      <c r="H134" s="10">
        <v>290</v>
      </c>
      <c r="I134" s="11">
        <v>18.3</v>
      </c>
      <c r="J134" s="11">
        <v>15.84</v>
      </c>
      <c r="K134" s="11">
        <v>15.64</v>
      </c>
      <c r="L134" s="11">
        <v>18.54</v>
      </c>
      <c r="M134" s="11">
        <v>3.18</v>
      </c>
      <c r="N134" s="8">
        <v>40507</v>
      </c>
      <c r="O134" s="9" t="s">
        <v>93</v>
      </c>
      <c r="P134" s="12" t="s">
        <v>32648</v>
      </c>
      <c r="Q134" s="9" t="s">
        <v>424</v>
      </c>
      <c r="R134" s="14" t="s">
        <v>25</v>
      </c>
    </row>
    <row r="135" spans="1:18" x14ac:dyDescent="0.3">
      <c r="A135" s="15" t="s">
        <v>34111</v>
      </c>
      <c r="B135" s="15" t="s">
        <v>14320</v>
      </c>
      <c r="C135" s="18" t="s">
        <v>28</v>
      </c>
      <c r="D135" s="15" t="s">
        <v>17920</v>
      </c>
      <c r="E135" s="18">
        <v>2.5299999999999998</v>
      </c>
      <c r="F135" s="19" t="s">
        <v>28</v>
      </c>
      <c r="G135" s="19">
        <v>671.68</v>
      </c>
      <c r="H135" s="19">
        <v>959.55</v>
      </c>
      <c r="I135" s="18">
        <v>22.16</v>
      </c>
      <c r="J135" s="18">
        <v>43.3</v>
      </c>
      <c r="K135" s="18">
        <v>100.6</v>
      </c>
      <c r="L135" s="18">
        <v>9.5399999999999991</v>
      </c>
      <c r="M135" s="18">
        <v>-9.81</v>
      </c>
      <c r="N135" s="17">
        <v>40421</v>
      </c>
      <c r="O135" s="15" t="s">
        <v>41</v>
      </c>
      <c r="P135" s="16" t="s">
        <v>26091</v>
      </c>
      <c r="Q135" s="15" t="s">
        <v>188</v>
      </c>
      <c r="R135" s="13" t="s">
        <v>25</v>
      </c>
    </row>
    <row r="136" spans="1:18" x14ac:dyDescent="0.3">
      <c r="A136" s="15" t="s">
        <v>34402</v>
      </c>
      <c r="B136" s="15" t="s">
        <v>34403</v>
      </c>
      <c r="C136" s="18">
        <v>4.4400000000000004</v>
      </c>
      <c r="D136" s="15" t="s">
        <v>34404</v>
      </c>
      <c r="E136" s="18" t="s">
        <v>28</v>
      </c>
      <c r="F136" s="19">
        <v>200.96</v>
      </c>
      <c r="G136" s="19">
        <v>200.96</v>
      </c>
      <c r="H136" s="19">
        <v>200.96</v>
      </c>
      <c r="I136" s="18">
        <v>45.3</v>
      </c>
      <c r="J136" s="18">
        <v>4.4400000000000004</v>
      </c>
      <c r="K136" s="18" t="s">
        <v>28</v>
      </c>
      <c r="L136" s="18" t="s">
        <v>28</v>
      </c>
      <c r="M136" s="18">
        <v>276.8</v>
      </c>
      <c r="N136" s="17">
        <v>40242</v>
      </c>
      <c r="O136" s="15" t="s">
        <v>30</v>
      </c>
      <c r="P136" s="16" t="s">
        <v>33950</v>
      </c>
      <c r="Q136" s="15" t="s">
        <v>362</v>
      </c>
      <c r="R136" s="13"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F70BD-352B-47B3-9A37-9297408FCBB5}">
  <dimension ref="B1:K186"/>
  <sheetViews>
    <sheetView showGridLines="0" tabSelected="1" topLeftCell="F7" workbookViewId="0">
      <selection activeCell="J9" sqref="J9"/>
    </sheetView>
  </sheetViews>
  <sheetFormatPr defaultRowHeight="14.4" x14ac:dyDescent="0.3"/>
  <cols>
    <col min="2" max="2" width="9.44140625" customWidth="1"/>
    <col min="3" max="3" width="8.44140625" customWidth="1"/>
    <col min="5" max="5" width="40.44140625" style="35" bestFit="1" customWidth="1"/>
    <col min="6" max="6" width="30.109375" style="32" bestFit="1" customWidth="1"/>
    <col min="7" max="7" width="16.33203125" style="26" bestFit="1" customWidth="1"/>
    <col min="8" max="8" width="7.77734375" style="32" customWidth="1"/>
    <col min="9" max="9" width="22.44140625" bestFit="1" customWidth="1"/>
    <col min="10" max="10" width="16.33203125" bestFit="1" customWidth="1"/>
    <col min="11" max="11" width="80.77734375" customWidth="1"/>
    <col min="12" max="12" width="184.5546875" bestFit="1" customWidth="1"/>
    <col min="13" max="13" width="9.88671875" bestFit="1" customWidth="1"/>
    <col min="14" max="14" width="11.33203125" bestFit="1" customWidth="1"/>
    <col min="15" max="15" width="10.44140625" bestFit="1" customWidth="1"/>
    <col min="16" max="16" width="22.33203125" bestFit="1" customWidth="1"/>
    <col min="17" max="17" width="9.44140625" bestFit="1" customWidth="1"/>
    <col min="18" max="18" width="10.44140625" bestFit="1" customWidth="1"/>
    <col min="19" max="19" width="7.77734375" bestFit="1" customWidth="1"/>
  </cols>
  <sheetData>
    <row r="1" spans="5:11" x14ac:dyDescent="0.3">
      <c r="E1"/>
      <c r="F1"/>
      <c r="G1"/>
      <c r="H1"/>
    </row>
    <row r="2" spans="5:11" x14ac:dyDescent="0.3">
      <c r="E2"/>
      <c r="F2"/>
      <c r="G2"/>
      <c r="H2"/>
    </row>
    <row r="3" spans="5:11" x14ac:dyDescent="0.3">
      <c r="E3"/>
      <c r="F3"/>
      <c r="G3"/>
      <c r="H3"/>
    </row>
    <row r="4" spans="5:11" x14ac:dyDescent="0.3">
      <c r="E4" s="21" t="s">
        <v>34595</v>
      </c>
      <c r="F4"/>
      <c r="G4"/>
      <c r="H4"/>
    </row>
    <row r="5" spans="5:11" x14ac:dyDescent="0.3">
      <c r="E5"/>
      <c r="F5" s="21"/>
      <c r="G5"/>
      <c r="H5"/>
    </row>
    <row r="6" spans="5:11" ht="15" thickBot="1" x14ac:dyDescent="0.35">
      <c r="E6"/>
      <c r="F6" s="21"/>
      <c r="G6"/>
      <c r="H6"/>
    </row>
    <row r="7" spans="5:11" ht="15" thickBot="1" x14ac:dyDescent="0.35">
      <c r="E7" s="22" t="s">
        <v>34609</v>
      </c>
      <c r="F7" s="24" t="s">
        <v>17</v>
      </c>
      <c r="G7" s="23" t="s">
        <v>34610</v>
      </c>
      <c r="H7" s="29"/>
      <c r="I7" s="22" t="s">
        <v>34608</v>
      </c>
      <c r="J7" s="24" t="s">
        <v>17</v>
      </c>
      <c r="K7" s="37" t="s">
        <v>34599</v>
      </c>
    </row>
    <row r="8" spans="5:11" x14ac:dyDescent="0.3">
      <c r="E8" s="25" t="str" cm="1">
        <f t="array" ref="E8:E71">_xlfn.UNIQUE(Table1[Primary Industry Code])</f>
        <v>Energy Production</v>
      </c>
      <c r="F8" s="31" cm="1">
        <f t="array" ref="F8">SUMPRODUCT(Table1[Valuation/EBITDA],Table1[EBITDA],--(Table1[Primary Industry Code]=Planilha1!E8))/SUMIFS(Table1[EBITDA],Table1[Primary Industry Code],Planilha1!E8)</f>
        <v>3.2056021346204076</v>
      </c>
      <c r="G8" s="36">
        <f>SUMIFS(Table1[EBITDA],Table1[Primary Industry Code],Planilha1!E8)</f>
        <v>803.8900000000001</v>
      </c>
      <c r="H8" s="30"/>
      <c r="I8" s="38" t="s">
        <v>34600</v>
      </c>
      <c r="J8" s="39" cm="1">
        <f t="array" ref="J8">_xlfn.LET(
  _xlpm.inds, $E$8:$E$71,
  _xlpm.vals, $F$8:$F$71,
  _xlpm.wts,  $G$8:$G$71,
  _xlpm.lista,K8,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10.441376156053057</v>
      </c>
      <c r="K8" s="40" t="s">
        <v>34611</v>
      </c>
    </row>
    <row r="9" spans="5:11" ht="28.8" x14ac:dyDescent="0.3">
      <c r="E9" s="25" t="str">
        <v>Personal Products</v>
      </c>
      <c r="F9" s="31" cm="1">
        <f t="array" ref="F9">SUMPRODUCT(Table1[Valuation/EBITDA],Table1[EBITDA],--(Table1[Primary Industry Code]=Planilha1!E9))/SUMIFS(Table1[EBITDA],Table1[Primary Industry Code],Planilha1!E9)</f>
        <v>6.7418318695106656</v>
      </c>
      <c r="G9" s="36">
        <f>SUMIFS(Table1[EBITDA],Table1[Primary Industry Code],Planilha1!E9)</f>
        <v>47.82</v>
      </c>
      <c r="H9" s="30"/>
      <c r="I9" s="41" t="s">
        <v>34601</v>
      </c>
      <c r="J9" s="42" cm="1">
        <f t="array" ref="J9">_xlfn.LET(
  _xlpm.inds, $E$8:$E$71,
  _xlpm.vals, $F$8:$F$71,
  _xlpm.wts,  $G$8:$G$71,
  _xlpm.lista,K9,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5.8972819317392471</v>
      </c>
      <c r="K9" s="40" t="s">
        <v>34612</v>
      </c>
    </row>
    <row r="10" spans="5:11" ht="57.6" x14ac:dyDescent="0.3">
      <c r="E10" s="25" t="str">
        <v>Energy Exploration</v>
      </c>
      <c r="F10" s="31" cm="1">
        <f t="array" ref="F10">SUMPRODUCT(Table1[Valuation/EBITDA],Table1[EBITDA],--(Table1[Primary Industry Code]=Planilha1!E10))/SUMIFS(Table1[EBITDA],Table1[Primary Industry Code],Planilha1!E10)</f>
        <v>6.2391035534402297</v>
      </c>
      <c r="G10" s="36">
        <f>SUMIFS(Table1[EBITDA],Table1[Primary Industry Code],Planilha1!E10)</f>
        <v>216.41</v>
      </c>
      <c r="H10" s="30"/>
      <c r="I10" s="41" t="s">
        <v>34602</v>
      </c>
      <c r="J10" s="42" cm="1">
        <f t="array" ref="J10">_xlfn.LET(
  _xlpm.inds, $E$8:$E$71,
  _xlpm.vals, $F$8:$F$71,
  _xlpm.wts,  $G$8:$G$71,
  _xlpm.lista,K10,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6.7078590810448429</v>
      </c>
      <c r="K10" s="40" t="s">
        <v>34613</v>
      </c>
    </row>
    <row r="11" spans="5:11" x14ac:dyDescent="0.3">
      <c r="E11" s="25" t="str">
        <v>Insurance Brokers</v>
      </c>
      <c r="F11" s="31" cm="1">
        <f t="array" ref="F11">SUMPRODUCT(Table1[Valuation/EBITDA],Table1[EBITDA],--(Table1[Primary Industry Code]=Planilha1!E11))/SUMIFS(Table1[EBITDA],Table1[Primary Industry Code],Planilha1!E11)</f>
        <v>35.394767260231177</v>
      </c>
      <c r="G11" s="36">
        <f>SUMIFS(Table1[EBITDA],Table1[Primary Industry Code],Planilha1!E11)</f>
        <v>32.01</v>
      </c>
      <c r="H11" s="30"/>
      <c r="I11" s="41" t="s">
        <v>34598</v>
      </c>
      <c r="J11" s="42" cm="1">
        <f t="array" ref="J11">_xlfn.LET(
  _xlpm.inds, $E$8:$E$71,
  _xlpm.vals, $F$8:$F$71,
  _xlpm.wts,  $G$8:$G$71,
  _xlpm.lista,K11,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1.790426747810598</v>
      </c>
      <c r="K11" s="40" t="s">
        <v>34614</v>
      </c>
    </row>
    <row r="12" spans="5:11" ht="28.8" x14ac:dyDescent="0.3">
      <c r="E12" s="25" t="str">
        <v>Agricultural Chemicals</v>
      </c>
      <c r="F12" s="31" cm="1">
        <f t="array" ref="F12">SUMPRODUCT(Table1[Valuation/EBITDA],Table1[EBITDA],--(Table1[Primary Industry Code]=Planilha1!E12))/SUMIFS(Table1[EBITDA],Table1[Primary Industry Code],Planilha1!E12)</f>
        <v>6.4727129350231341</v>
      </c>
      <c r="G12" s="36">
        <f>SUMIFS(Table1[EBITDA],Table1[Primary Industry Code],Planilha1!E12)</f>
        <v>248.55</v>
      </c>
      <c r="H12" s="30"/>
      <c r="I12" s="41" t="s">
        <v>34603</v>
      </c>
      <c r="J12" s="42" cm="1">
        <f t="array" ref="J12">_xlfn.LET(
  _xlpm.inds, $E$8:$E$71,
  _xlpm.vals, $F$8:$F$71,
  _xlpm.wts,  $G$8:$G$71,
  _xlpm.lista,K12,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8.6521634837110835</v>
      </c>
      <c r="K12" s="40" t="s">
        <v>34615</v>
      </c>
    </row>
    <row r="13" spans="5:11" ht="28.8" x14ac:dyDescent="0.3">
      <c r="E13" s="25" t="str">
        <v>Educational Software</v>
      </c>
      <c r="F13" s="31" cm="1">
        <f t="array" ref="F13">SUMPRODUCT(Table1[Valuation/EBITDA],Table1[EBITDA],--(Table1[Primary Industry Code]=Planilha1!E13))/SUMIFS(Table1[EBITDA],Table1[Primary Industry Code],Planilha1!E13)</f>
        <v>12.576228829711923</v>
      </c>
      <c r="G13" s="36">
        <f>SUMIFS(Table1[EBITDA],Table1[Primary Industry Code],Planilha1!E13)</f>
        <v>183.63</v>
      </c>
      <c r="H13" s="30"/>
      <c r="I13" s="41" t="s">
        <v>34604</v>
      </c>
      <c r="J13" s="42" cm="1">
        <f t="array" ref="J13">_xlfn.LET(
  _xlpm.inds, $E$8:$E$71,
  _xlpm.vals, $F$8:$F$71,
  _xlpm.wts,  $G$8:$G$71,
  _xlpm.lista,K13,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10.023925641713253</v>
      </c>
      <c r="K13" s="40" t="s">
        <v>34616</v>
      </c>
    </row>
    <row r="14" spans="5:11" x14ac:dyDescent="0.3">
      <c r="E14" s="25" t="str">
        <v>Other Containers and Packaging</v>
      </c>
      <c r="F14" s="31" cm="1">
        <f t="array" ref="F14">SUMPRODUCT(Table1[Valuation/EBITDA],Table1[EBITDA],--(Table1[Primary Industry Code]=Planilha1!E14))/SUMIFS(Table1[EBITDA],Table1[Primary Industry Code],Planilha1!E14)</f>
        <v>5.71</v>
      </c>
      <c r="G14" s="36">
        <f>SUMIFS(Table1[EBITDA],Table1[Primary Industry Code],Planilha1!E14)</f>
        <v>59.31</v>
      </c>
      <c r="H14" s="30"/>
      <c r="I14" s="41" t="s">
        <v>34597</v>
      </c>
      <c r="J14" s="42" cm="1">
        <f t="array" ref="J14">_xlfn.LET(
  _xlpm.inds, $E$8:$E$71,
  _xlpm.vals, $F$8:$F$71,
  _xlpm.wts,  $G$8:$G$71,
  _xlpm.lista,K14,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12.817872858066348</v>
      </c>
      <c r="K14" s="40" t="s">
        <v>34617</v>
      </c>
    </row>
    <row r="15" spans="5:11" ht="28.8" x14ac:dyDescent="0.3">
      <c r="E15" s="25" t="str">
        <v>Electric Utilities</v>
      </c>
      <c r="F15" s="31" cm="1">
        <f t="array" ref="F15">SUMPRODUCT(Table1[Valuation/EBITDA],Table1[EBITDA],--(Table1[Primary Industry Code]=Planilha1!E15))/SUMIFS(Table1[EBITDA],Table1[Primary Industry Code],Planilha1!E15)</f>
        <v>6.1664228044261975</v>
      </c>
      <c r="G15" s="36">
        <f>SUMIFS(Table1[EBITDA],Table1[Primary Industry Code],Planilha1!E15)</f>
        <v>3195.5199999999995</v>
      </c>
      <c r="H15" s="30"/>
      <c r="I15" s="41" t="s">
        <v>34596</v>
      </c>
      <c r="J15" s="42" cm="1">
        <f t="array" ref="J15">_xlfn.LET(
  _xlpm.inds, $E$8:$E$71,
  _xlpm.vals, $F$8:$F$71,
  _xlpm.wts,  $G$8:$G$71,
  _xlpm.lista,K15,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-45.181913686683153</v>
      </c>
      <c r="K15" s="40" t="s">
        <v>34618</v>
      </c>
    </row>
    <row r="16" spans="5:11" ht="28.8" x14ac:dyDescent="0.3">
      <c r="E16" s="25" t="str">
        <v>Financial Software</v>
      </c>
      <c r="F16" s="31" cm="1">
        <f t="array" ref="F16">SUMPRODUCT(Table1[Valuation/EBITDA],Table1[EBITDA],--(Table1[Primary Industry Code]=Planilha1!E16))/SUMIFS(Table1[EBITDA],Table1[Primary Industry Code],Planilha1!E16)</f>
        <v>8.3648812599466744</v>
      </c>
      <c r="G16" s="36">
        <f>SUMIFS(Table1[EBITDA],Table1[Primary Industry Code],Planilha1!E16)</f>
        <v>1451.49</v>
      </c>
      <c r="H16" s="30"/>
      <c r="I16" s="41" t="s">
        <v>34605</v>
      </c>
      <c r="J16" s="42" cm="1">
        <f t="array" ref="J16">_xlfn.LET(
  _xlpm.inds, $E$8:$E$71,
  _xlpm.vals, $F$8:$F$71,
  _xlpm.wts,  $G$8:$G$71,
  _xlpm.lista,K16,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26.810966924097045</v>
      </c>
      <c r="K16" s="40" t="s">
        <v>34619</v>
      </c>
    </row>
    <row r="17" spans="5:11" ht="28.8" x14ac:dyDescent="0.3">
      <c r="E17" s="25" t="str">
        <v>Asset Management</v>
      </c>
      <c r="F17" s="31" cm="1">
        <f t="array" ref="F17">SUMPRODUCT(Table1[Valuation/EBITDA],Table1[EBITDA],--(Table1[Primary Industry Code]=Planilha1!E17))/SUMIFS(Table1[EBITDA],Table1[Primary Industry Code],Planilha1!E17)</f>
        <v>9.3417923370602676</v>
      </c>
      <c r="G17" s="36">
        <f>SUMIFS(Table1[EBITDA],Table1[Primary Industry Code],Planilha1!E17)</f>
        <v>146.68</v>
      </c>
      <c r="H17" s="30"/>
      <c r="I17" s="41" t="s">
        <v>34606</v>
      </c>
      <c r="J17" s="42" cm="1">
        <f t="array" ref="J17">_xlfn.LET(
  _xlpm.inds, $E$8:$E$71,
  _xlpm.vals, $F$8:$F$71,
  _xlpm.wts,  $G$8:$G$71,
  _xlpm.lista,K17,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4.7262740802621614</v>
      </c>
      <c r="K17" s="40" t="s">
        <v>34620</v>
      </c>
    </row>
    <row r="18" spans="5:11" ht="15" thickBot="1" x14ac:dyDescent="0.35">
      <c r="E18" s="25" t="str">
        <v>Energy Transportation</v>
      </c>
      <c r="F18" s="31" cm="1">
        <f t="array" ref="F18">SUMPRODUCT(Table1[Valuation/EBITDA],Table1[EBITDA],--(Table1[Primary Industry Code]=Planilha1!E18))/SUMIFS(Table1[EBITDA],Table1[Primary Industry Code],Planilha1!E18)</f>
        <v>2452.5</v>
      </c>
      <c r="G18" s="36">
        <f>SUMIFS(Table1[EBITDA],Table1[Primary Industry Code],Planilha1!E18)</f>
        <v>0.01</v>
      </c>
      <c r="H18" s="30"/>
      <c r="I18" s="43" t="s">
        <v>34607</v>
      </c>
      <c r="J18" s="44" cm="1">
        <f t="array" ref="J18">_xlfn.LET(
  _xlpm.inds, $E$8:$E$71,
  _xlpm.vals, $F$8:$F$71,
  _xlpm.wts,  $G$8:$G$71,
  _xlpm.lista,K18,
  _xlpm.itens, _xlfn.UNIQUE(TRIM(_xlfn.TEXTSPLIT(SUBSTITUTE(SUBSTITUTE(SUBSTITUTE( _xlpm.lista, "/", ","), "; ", ","), ";", ","), ","))),
  _xlpm.pos, _xlfn.XMATCH(_xlpm.itens, _xlpm.inds, 0),
  _xlpm.vSel, IFERROR(INDEX(_xlpm.vals, _xlpm.pos), 0),
  _xlpm.wSel, IFERROR(INDEX(_xlpm.wts,  _xlpm.pos), 0),
  IF(SUM(_xlpm.wSel)=0, "", SUMPRODUCT(_xlpm.vSel, _xlpm.wSel)/SUM(_xlpm.wSel))
)</f>
        <v>12.135590185923473</v>
      </c>
      <c r="K18" s="45" t="s">
        <v>34621</v>
      </c>
    </row>
    <row r="19" spans="5:11" x14ac:dyDescent="0.3">
      <c r="E19" s="25" t="str">
        <v>Other Metals, Minerals and Mining</v>
      </c>
      <c r="F19" s="31" cm="1">
        <f t="array" ref="F19">SUMPRODUCT(Table1[Valuation/EBITDA],Table1[EBITDA],--(Table1[Primary Industry Code]=Planilha1!E19))/SUMIFS(Table1[EBITDA],Table1[Primary Industry Code],Planilha1!E19)</f>
        <v>4.76</v>
      </c>
      <c r="G19" s="36">
        <f>SUMIFS(Table1[EBITDA],Table1[Primary Industry Code],Planilha1!E19)</f>
        <v>210</v>
      </c>
      <c r="H19" s="30"/>
    </row>
    <row r="20" spans="5:11" x14ac:dyDescent="0.3">
      <c r="E20" s="25" t="str">
        <v>Application Software</v>
      </c>
      <c r="F20" s="31" cm="1">
        <f t="array" ref="F20">SUMPRODUCT(Table1[Valuation/EBITDA],Table1[EBITDA],--(Table1[Primary Industry Code]=Planilha1!E20))/SUMIFS(Table1[EBITDA],Table1[Primary Industry Code],Planilha1!E20)</f>
        <v>3.88</v>
      </c>
      <c r="G20" s="36">
        <f>SUMIFS(Table1[EBITDA],Table1[Primary Industry Code],Planilha1!E20)</f>
        <v>2.9</v>
      </c>
      <c r="H20" s="30"/>
    </row>
    <row r="21" spans="5:11" x14ac:dyDescent="0.3">
      <c r="E21" s="25" t="str">
        <v>Other Restaurants, Hotels and Leisure</v>
      </c>
      <c r="F21" s="31" cm="1">
        <f t="array" ref="F21">SUMPRODUCT(Table1[Valuation/EBITDA],Table1[EBITDA],--(Table1[Primary Industry Code]=Planilha1!E21))/SUMIFS(Table1[EBITDA],Table1[Primary Industry Code],Planilha1!E21)</f>
        <v>-59.091884057971008</v>
      </c>
      <c r="G21" s="36">
        <f>SUMIFS(Table1[EBITDA],Table1[Primary Industry Code],Planilha1!E21)</f>
        <v>-3.45</v>
      </c>
      <c r="H21" s="30"/>
    </row>
    <row r="22" spans="5:11" x14ac:dyDescent="0.3">
      <c r="E22" s="25" t="str">
        <v>Automotive</v>
      </c>
      <c r="F22" s="31" cm="1">
        <f t="array" ref="F22">SUMPRODUCT(Table1[Valuation/EBITDA],Table1[EBITDA],--(Table1[Primary Industry Code]=Planilha1!E22))/SUMIFS(Table1[EBITDA],Table1[Primary Industry Code],Planilha1!E22)</f>
        <v>9.4661369723249589</v>
      </c>
      <c r="G22" s="36">
        <f>SUMIFS(Table1[EBITDA],Table1[Primary Industry Code],Planilha1!E22)</f>
        <v>313.64</v>
      </c>
      <c r="H22" s="30"/>
    </row>
    <row r="23" spans="5:11" x14ac:dyDescent="0.3">
      <c r="E23" s="25" t="str">
        <v>Business/Productivity Software</v>
      </c>
      <c r="F23" s="31" cm="1">
        <f t="array" ref="F23">SUMPRODUCT(Table1[Valuation/EBITDA],Table1[EBITDA],--(Table1[Primary Industry Code]=Planilha1!E23))/SUMIFS(Table1[EBITDA],Table1[Primary Industry Code],Planilha1!E23)</f>
        <v>51.092469135802467</v>
      </c>
      <c r="G23" s="36">
        <f>SUMIFS(Table1[EBITDA],Table1[Primary Industry Code],Planilha1!E23)</f>
        <v>48.6</v>
      </c>
      <c r="H23" s="30"/>
    </row>
    <row r="24" spans="5:11" x14ac:dyDescent="0.3">
      <c r="E24" s="25" t="str">
        <v>Footwear</v>
      </c>
      <c r="F24" s="31" cm="1">
        <f t="array" ref="F24">SUMPRODUCT(Table1[Valuation/EBITDA],Table1[EBITDA],--(Table1[Primary Industry Code]=Planilha1!E24))/SUMIFS(Table1[EBITDA],Table1[Primary Industry Code],Planilha1!E24)</f>
        <v>8.580435463942381</v>
      </c>
      <c r="G24" s="36">
        <f>SUMIFS(Table1[EBITDA],Table1[Primary Industry Code],Planilha1!E24)</f>
        <v>331.83</v>
      </c>
      <c r="H24" s="30"/>
    </row>
    <row r="25" spans="5:11" x14ac:dyDescent="0.3">
      <c r="E25" s="25" t="str">
        <v>Other Commercial Services</v>
      </c>
      <c r="F25" s="31" cm="1">
        <f t="array" ref="F25">SUMPRODUCT(Table1[Valuation/EBITDA],Table1[EBITDA],--(Table1[Primary Industry Code]=Planilha1!E25))/SUMIFS(Table1[EBITDA],Table1[Primary Industry Code],Planilha1!E25)</f>
        <v>7.4590252617841726</v>
      </c>
      <c r="G25" s="36">
        <f>SUMIFS(Table1[EBITDA],Table1[Primary Industry Code],Planilha1!E25)</f>
        <v>321.83</v>
      </c>
      <c r="H25" s="30"/>
    </row>
    <row r="26" spans="5:11" x14ac:dyDescent="0.3">
      <c r="E26" s="25" t="str">
        <v>Food Products</v>
      </c>
      <c r="F26" s="31" cm="1">
        <f t="array" ref="F26">SUMPRODUCT(Table1[Valuation/EBITDA],Table1[EBITDA],--(Table1[Primary Industry Code]=Planilha1!E26))/SUMIFS(Table1[EBITDA],Table1[Primary Industry Code],Planilha1!E26)</f>
        <v>5.0599999999999996</v>
      </c>
      <c r="G26" s="36">
        <f>SUMIFS(Table1[EBITDA],Table1[Primary Industry Code],Planilha1!E26)</f>
        <v>0.63</v>
      </c>
      <c r="H26" s="30"/>
    </row>
    <row r="27" spans="5:11" x14ac:dyDescent="0.3">
      <c r="E27" s="25" t="str">
        <v>Telecommunications Service Providers</v>
      </c>
      <c r="F27" s="31" cm="1">
        <f t="array" ref="F27">SUMPRODUCT(Table1[Valuation/EBITDA],Table1[EBITDA],--(Table1[Primary Industry Code]=Planilha1!E27))/SUMIFS(Table1[EBITDA],Table1[Primary Industry Code],Planilha1!E27)</f>
        <v>-36.433068357175628</v>
      </c>
      <c r="G27" s="36">
        <f>SUMIFS(Table1[EBITDA],Table1[Primary Industry Code],Planilha1!E27)</f>
        <v>-479.53999999999996</v>
      </c>
      <c r="H27" s="30"/>
    </row>
    <row r="28" spans="5:11" x14ac:dyDescent="0.3">
      <c r="E28" s="25" t="str">
        <v>Internet Service Providers</v>
      </c>
      <c r="F28" s="31" cm="1">
        <f t="array" ref="F28">SUMPRODUCT(Table1[Valuation/EBITDA],Table1[EBITDA],--(Table1[Primary Industry Code]=Planilha1!E28))/SUMIFS(Table1[EBITDA],Table1[Primary Industry Code],Planilha1!E28)</f>
        <v>7.7</v>
      </c>
      <c r="G28" s="36">
        <f>SUMIFS(Table1[EBITDA],Table1[Primary Industry Code],Planilha1!E28)</f>
        <v>69.28</v>
      </c>
      <c r="H28" s="30"/>
    </row>
    <row r="29" spans="5:11" x14ac:dyDescent="0.3">
      <c r="E29" s="25" t="str">
        <v>Alternative Energy Equipment</v>
      </c>
      <c r="F29" s="31" cm="1">
        <f t="array" ref="F29">SUMPRODUCT(Table1[Valuation/EBITDA],Table1[EBITDA],--(Table1[Primary Industry Code]=Planilha1!E29))/SUMIFS(Table1[EBITDA],Table1[Primary Industry Code],Planilha1!E29)</f>
        <v>5.83</v>
      </c>
      <c r="G29" s="36">
        <f>SUMIFS(Table1[EBITDA],Table1[Primary Industry Code],Planilha1!E29)</f>
        <v>9.23</v>
      </c>
      <c r="H29" s="30"/>
    </row>
    <row r="30" spans="5:11" x14ac:dyDescent="0.3">
      <c r="E30" s="25" t="str">
        <v>Multi-line Insurance</v>
      </c>
      <c r="F30" s="31" cm="1">
        <f t="array" ref="F30">SUMPRODUCT(Table1[Valuation/EBITDA],Table1[EBITDA],--(Table1[Primary Industry Code]=Planilha1!E30))/SUMIFS(Table1[EBITDA],Table1[Primary Industry Code],Planilha1!E30)</f>
        <v>66.557768398268394</v>
      </c>
      <c r="G30" s="36">
        <f>SUMIFS(Table1[EBITDA],Table1[Primary Industry Code],Planilha1!E30)</f>
        <v>46.2</v>
      </c>
      <c r="H30" s="30"/>
    </row>
    <row r="31" spans="5:11" x14ac:dyDescent="0.3">
      <c r="E31" s="25" t="str">
        <v>Energy Traders and Brokers</v>
      </c>
      <c r="F31" s="31" cm="1">
        <f t="array" ref="F31">SUMPRODUCT(Table1[Valuation/EBITDA],Table1[EBITDA],--(Table1[Primary Industry Code]=Planilha1!E31))/SUMIFS(Table1[EBITDA],Table1[Primary Industry Code],Planilha1!E31)</f>
        <v>161.1</v>
      </c>
      <c r="G31" s="36">
        <f>SUMIFS(Table1[EBITDA],Table1[Primary Industry Code],Planilha1!E31)</f>
        <v>7.19</v>
      </c>
      <c r="H31" s="30"/>
    </row>
    <row r="32" spans="5:11" x14ac:dyDescent="0.3">
      <c r="E32" s="25" t="str">
        <v>Logistics</v>
      </c>
      <c r="F32" s="31" cm="1">
        <f t="array" ref="F32">SUMPRODUCT(Table1[Valuation/EBITDA],Table1[EBITDA],--(Table1[Primary Industry Code]=Planilha1!E32))/SUMIFS(Table1[EBITDA],Table1[Primary Industry Code],Planilha1!E32)</f>
        <v>6.9943425104250698</v>
      </c>
      <c r="G32" s="36">
        <f>SUMIFS(Table1[EBITDA],Table1[Primary Industry Code],Planilha1!E32)</f>
        <v>880.09</v>
      </c>
      <c r="H32" s="30"/>
    </row>
    <row r="33" spans="5:8" x14ac:dyDescent="0.3">
      <c r="E33" s="25" t="str">
        <v>Accessories</v>
      </c>
      <c r="F33" s="31" cm="1">
        <f t="array" ref="F33">SUMPRODUCT(Table1[Valuation/EBITDA],Table1[EBITDA],--(Table1[Primary Industry Code]=Planilha1!E33))/SUMIFS(Table1[EBITDA],Table1[Primary Industry Code],Planilha1!E33)</f>
        <v>10.771661807580173</v>
      </c>
      <c r="G33" s="36">
        <f>SUMIFS(Table1[EBITDA],Table1[Primary Industry Code],Planilha1!E33)</f>
        <v>10.290000000000001</v>
      </c>
      <c r="H33" s="30"/>
    </row>
    <row r="34" spans="5:8" x14ac:dyDescent="0.3">
      <c r="E34" s="25" t="str">
        <v>Distributors/Wholesale</v>
      </c>
      <c r="F34" s="31" cm="1">
        <f t="array" ref="F34">SUMPRODUCT(Table1[Valuation/EBITDA],Table1[EBITDA],--(Table1[Primary Industry Code]=Planilha1!E34))/SUMIFS(Table1[EBITDA],Table1[Primary Industry Code],Planilha1!E34)</f>
        <v>3.93</v>
      </c>
      <c r="G34" s="36">
        <f>SUMIFS(Table1[EBITDA],Table1[Primary Industry Code],Planilha1!E34)</f>
        <v>6.86</v>
      </c>
      <c r="H34" s="30"/>
    </row>
    <row r="35" spans="5:8" x14ac:dyDescent="0.3">
      <c r="E35" s="25" t="str">
        <v>Gas Utilities</v>
      </c>
      <c r="F35" s="31" cm="1">
        <f t="array" ref="F35">SUMPRODUCT(Table1[Valuation/EBITDA],Table1[EBITDA],--(Table1[Primary Industry Code]=Planilha1!E35))/SUMIFS(Table1[EBITDA],Table1[Primary Industry Code],Planilha1!E35)</f>
        <v>7.2486756699427275</v>
      </c>
      <c r="G35" s="36">
        <f>SUMIFS(Table1[EBITDA],Table1[Primary Industry Code],Planilha1!E35)</f>
        <v>424.29</v>
      </c>
      <c r="H35" s="30"/>
    </row>
    <row r="36" spans="5:8" x14ac:dyDescent="0.3">
      <c r="E36" s="25" t="str">
        <v>Specialty Chemicals</v>
      </c>
      <c r="F36" s="31" cm="1">
        <f t="array" ref="F36">SUMPRODUCT(Table1[Valuation/EBITDA],Table1[EBITDA],--(Table1[Primary Industry Code]=Planilha1!E36))/SUMIFS(Table1[EBITDA],Table1[Primary Industry Code],Planilha1!E36)</f>
        <v>6.38790720154664</v>
      </c>
      <c r="G36" s="36">
        <f>SUMIFS(Table1[EBITDA],Table1[Primary Industry Code],Planilha1!E36)</f>
        <v>206.9</v>
      </c>
      <c r="H36" s="30"/>
    </row>
    <row r="37" spans="5:8" x14ac:dyDescent="0.3">
      <c r="E37" s="25" t="str">
        <v>Other Consumer Non-Durables</v>
      </c>
      <c r="F37" s="31" cm="1">
        <f t="array" ref="F37">SUMPRODUCT(Table1[Valuation/EBITDA],Table1[EBITDA],--(Table1[Primary Industry Code]=Planilha1!E37))/SUMIFS(Table1[EBITDA],Table1[Primary Industry Code],Planilha1!E37)</f>
        <v>33.590000000000003</v>
      </c>
      <c r="G37" s="36">
        <f>SUMIFS(Table1[EBITDA],Table1[Primary Industry Code],Planilha1!E37)</f>
        <v>4.12</v>
      </c>
      <c r="H37" s="30"/>
    </row>
    <row r="38" spans="5:8" x14ac:dyDescent="0.3">
      <c r="E38" s="25" t="str">
        <v>Cultivation</v>
      </c>
      <c r="F38" s="31" cm="1">
        <f t="array" ref="F38">SUMPRODUCT(Table1[Valuation/EBITDA],Table1[EBITDA],--(Table1[Primary Industry Code]=Planilha1!E38))/SUMIFS(Table1[EBITDA],Table1[Primary Industry Code],Planilha1!E38)</f>
        <v>18.41</v>
      </c>
      <c r="G38" s="36">
        <f>SUMIFS(Table1[EBITDA],Table1[Primary Industry Code],Planilha1!E38)</f>
        <v>8.07</v>
      </c>
      <c r="H38" s="30"/>
    </row>
    <row r="39" spans="5:8" x14ac:dyDescent="0.3">
      <c r="E39" s="25" t="str">
        <v>IT Consulting and Outsourcing</v>
      </c>
      <c r="F39" s="31" cm="1">
        <f t="array" ref="F39">SUMPRODUCT(Table1[Valuation/EBITDA],Table1[EBITDA],--(Table1[Primary Industry Code]=Planilha1!E39))/SUMIFS(Table1[EBITDA],Table1[Primary Industry Code],Planilha1!E39)</f>
        <v>6.2299999999999995</v>
      </c>
      <c r="G39" s="36">
        <f>SUMIFS(Table1[EBITDA],Table1[Primary Industry Code],Planilha1!E39)</f>
        <v>92.39</v>
      </c>
      <c r="H39" s="30"/>
    </row>
    <row r="40" spans="5:8" x14ac:dyDescent="0.3">
      <c r="E40" s="25" t="str">
        <v>Educational and Training Services (B2C)</v>
      </c>
      <c r="F40" s="31" cm="1">
        <f t="array" ref="F40">SUMPRODUCT(Table1[Valuation/EBITDA],Table1[EBITDA],--(Table1[Primary Industry Code]=Planilha1!E40))/SUMIFS(Table1[EBITDA],Table1[Primary Industry Code],Planilha1!E40)</f>
        <v>12.016989236693988</v>
      </c>
      <c r="G40" s="36">
        <f>SUMIFS(Table1[EBITDA],Table1[Primary Industry Code],Planilha1!E40)</f>
        <v>506.35</v>
      </c>
      <c r="H40" s="30"/>
    </row>
    <row r="41" spans="5:8" x14ac:dyDescent="0.3">
      <c r="E41" s="25" t="str">
        <v>Clothing</v>
      </c>
      <c r="F41" s="31" cm="1">
        <f t="array" ref="F41">SUMPRODUCT(Table1[Valuation/EBITDA],Table1[EBITDA],--(Table1[Primary Industry Code]=Planilha1!E41))/SUMIFS(Table1[EBITDA],Table1[Primary Industry Code],Planilha1!E41)</f>
        <v>22.792568400295785</v>
      </c>
      <c r="G41" s="36">
        <f>SUMIFS(Table1[EBITDA],Table1[Primary Industry Code],Planilha1!E41)</f>
        <v>40.57</v>
      </c>
      <c r="H41" s="30"/>
    </row>
    <row r="42" spans="5:8" x14ac:dyDescent="0.3">
      <c r="E42" s="25" t="str">
        <v>Other Consumer Durables</v>
      </c>
      <c r="F42" s="31" cm="1">
        <f t="array" ref="F42">SUMPRODUCT(Table1[Valuation/EBITDA],Table1[EBITDA],--(Table1[Primary Industry Code]=Planilha1!E42))/SUMIFS(Table1[EBITDA],Table1[Primary Industry Code],Planilha1!E42)</f>
        <v>5.8270612337810155</v>
      </c>
      <c r="G42" s="36">
        <f>SUMIFS(Table1[EBITDA],Table1[Primary Industry Code],Planilha1!E42)</f>
        <v>43.93</v>
      </c>
      <c r="H42" s="30"/>
    </row>
    <row r="43" spans="5:8" x14ac:dyDescent="0.3">
      <c r="E43" s="25" t="str">
        <v>Environmental Services (B2B)</v>
      </c>
      <c r="F43" s="31" cm="1">
        <f t="array" ref="F43">SUMPRODUCT(Table1[Valuation/EBITDA],Table1[EBITDA],--(Table1[Primary Industry Code]=Planilha1!E43))/SUMIFS(Table1[EBITDA],Table1[Primary Industry Code],Planilha1!E43)</f>
        <v>35.549995467935638</v>
      </c>
      <c r="G43" s="36">
        <f>SUMIFS(Table1[EBITDA],Table1[Primary Industry Code],Planilha1!E43)</f>
        <v>44.13</v>
      </c>
      <c r="H43" s="30"/>
    </row>
    <row r="44" spans="5:8" x14ac:dyDescent="0.3">
      <c r="E44" s="25" t="str">
        <v>Other Services (B2C Non-Financial)</v>
      </c>
      <c r="F44" s="31" cm="1">
        <f t="array" ref="F44">SUMPRODUCT(Table1[Valuation/EBITDA],Table1[EBITDA],--(Table1[Primary Industry Code]=Planilha1!E44))/SUMIFS(Table1[EBITDA],Table1[Primary Industry Code],Planilha1!E44)</f>
        <v>7.5199999999999987</v>
      </c>
      <c r="G44" s="36">
        <f>SUMIFS(Table1[EBITDA],Table1[Primary Industry Code],Planilha1!E44)</f>
        <v>10.09</v>
      </c>
      <c r="H44" s="30"/>
    </row>
    <row r="45" spans="5:8" x14ac:dyDescent="0.3">
      <c r="E45" s="25" t="str">
        <v>Consumer Finance</v>
      </c>
      <c r="F45" s="31" cm="1">
        <f t="array" ref="F45">SUMPRODUCT(Table1[Valuation/EBITDA],Table1[EBITDA],--(Table1[Primary Industry Code]=Planilha1!E45))/SUMIFS(Table1[EBITDA],Table1[Primary Industry Code],Planilha1!E45)</f>
        <v>-147.08000000000001</v>
      </c>
      <c r="G45" s="36">
        <f>SUMIFS(Table1[EBITDA],Table1[Primary Industry Code],Planilha1!E45)</f>
        <v>-0.02</v>
      </c>
      <c r="H45" s="30"/>
    </row>
    <row r="46" spans="5:8" x14ac:dyDescent="0.3">
      <c r="E46" s="25" t="str">
        <v>Internet Retail</v>
      </c>
      <c r="F46" s="31" cm="1">
        <f t="array" ref="F46">SUMPRODUCT(Table1[Valuation/EBITDA],Table1[EBITDA],--(Table1[Primary Industry Code]=Planilha1!E46))/SUMIFS(Table1[EBITDA],Table1[Primary Industry Code],Planilha1!E46)</f>
        <v>-1.99</v>
      </c>
      <c r="G46" s="36">
        <f>SUMIFS(Table1[EBITDA],Table1[Primary Industry Code],Planilha1!E46)</f>
        <v>-57.65</v>
      </c>
      <c r="H46" s="30"/>
    </row>
    <row r="47" spans="5:8" x14ac:dyDescent="0.3">
      <c r="E47" s="25" t="str">
        <v>Industrial Chemicals</v>
      </c>
      <c r="F47" s="31" cm="1">
        <f t="array" ref="F47">SUMPRODUCT(Table1[Valuation/EBITDA],Table1[EBITDA],--(Table1[Primary Industry Code]=Planilha1!E47))/SUMIFS(Table1[EBITDA],Table1[Primary Industry Code],Planilha1!E47)</f>
        <v>4.4018649718150087</v>
      </c>
      <c r="G47" s="36">
        <f>SUMIFS(Table1[EBITDA],Table1[Primary Industry Code],Planilha1!E47)</f>
        <v>2309.7400000000002</v>
      </c>
      <c r="H47" s="30"/>
    </row>
    <row r="48" spans="5:8" x14ac:dyDescent="0.3">
      <c r="E48" s="25" t="str">
        <v>Forestry Processing</v>
      </c>
      <c r="F48" s="31" cm="1">
        <f t="array" ref="F48">SUMPRODUCT(Table1[Valuation/EBITDA],Table1[EBITDA],--(Table1[Primary Industry Code]=Planilha1!E48))/SUMIFS(Table1[EBITDA],Table1[Primary Industry Code],Planilha1!E48)</f>
        <v>7.71</v>
      </c>
      <c r="G48" s="36">
        <f>SUMIFS(Table1[EBITDA],Table1[Primary Industry Code],Planilha1!E48)</f>
        <v>2073.92</v>
      </c>
      <c r="H48" s="30"/>
    </row>
    <row r="49" spans="5:8" x14ac:dyDescent="0.3">
      <c r="E49" s="25" t="str">
        <v>Multi-line Chemicals</v>
      </c>
      <c r="F49" s="31" cm="1">
        <f t="array" ref="F49">SUMPRODUCT(Table1[Valuation/EBITDA],Table1[EBITDA],--(Table1[Primary Industry Code]=Planilha1!E49))/SUMIFS(Table1[EBITDA],Table1[Primary Industry Code],Planilha1!E49)</f>
        <v>1.56</v>
      </c>
      <c r="G49" s="36">
        <f>SUMIFS(Table1[EBITDA],Table1[Primary Industry Code],Planilha1!E49)</f>
        <v>27.45</v>
      </c>
      <c r="H49" s="30"/>
    </row>
    <row r="50" spans="5:8" x14ac:dyDescent="0.3">
      <c r="E50" s="25" t="str">
        <v>Medical Supplies</v>
      </c>
      <c r="F50" s="31" cm="1">
        <f t="array" ref="F50">SUMPRODUCT(Table1[Valuation/EBITDA],Table1[EBITDA],--(Table1[Primary Industry Code]=Planilha1!E50))/SUMIFS(Table1[EBITDA],Table1[Primary Industry Code],Planilha1!E50)</f>
        <v>9.8439064649243448</v>
      </c>
      <c r="G50" s="36">
        <f>SUMIFS(Table1[EBITDA],Table1[Primary Industry Code],Planilha1!E50)</f>
        <v>36.35</v>
      </c>
      <c r="H50" s="30"/>
    </row>
    <row r="51" spans="5:8" x14ac:dyDescent="0.3">
      <c r="E51" s="25" t="str">
        <v>Gold Mining</v>
      </c>
      <c r="F51" s="31" cm="1">
        <f t="array" ref="F51">SUMPRODUCT(Table1[Valuation/EBITDA],Table1[EBITDA],--(Table1[Primary Industry Code]=Planilha1!E51))/SUMIFS(Table1[EBITDA],Table1[Primary Industry Code],Planilha1!E51)</f>
        <v>-11.802237960339946</v>
      </c>
      <c r="G51" s="36">
        <f>SUMIFS(Table1[EBITDA],Table1[Primary Industry Code],Planilha1!E51)</f>
        <v>-3.5299999999999994</v>
      </c>
      <c r="H51" s="30"/>
    </row>
    <row r="52" spans="5:8" x14ac:dyDescent="0.3">
      <c r="E52" s="25" t="str">
        <v>Leisure Facilities</v>
      </c>
      <c r="F52" s="31" cm="1">
        <f t="array" ref="F52">SUMPRODUCT(Table1[Valuation/EBITDA],Table1[EBITDA],--(Table1[Primary Industry Code]=Planilha1!E52))/SUMIFS(Table1[EBITDA],Table1[Primary Industry Code],Planilha1!E52)</f>
        <v>-1.1100000000000001</v>
      </c>
      <c r="G52" s="36">
        <f>SUMIFS(Table1[EBITDA],Table1[Primary Industry Code],Planilha1!E52)</f>
        <v>-42</v>
      </c>
      <c r="H52" s="30"/>
    </row>
    <row r="53" spans="5:8" x14ac:dyDescent="0.3">
      <c r="E53" s="25" t="str">
        <v>Building Products</v>
      </c>
      <c r="F53" s="31" cm="1">
        <f t="array" ref="F53">SUMPRODUCT(Table1[Valuation/EBITDA],Table1[EBITDA],--(Table1[Primary Industry Code]=Planilha1!E53))/SUMIFS(Table1[EBITDA],Table1[Primary Industry Code],Planilha1!E53)</f>
        <v>5.07</v>
      </c>
      <c r="G53" s="36">
        <f>SUMIFS(Table1[EBITDA],Table1[Primary Industry Code],Planilha1!E53)</f>
        <v>137.91</v>
      </c>
      <c r="H53" s="30"/>
    </row>
    <row r="54" spans="5:8" x14ac:dyDescent="0.3">
      <c r="E54" s="25" t="str">
        <v>Other Capital Markets/Institutions</v>
      </c>
      <c r="F54" s="31" cm="1">
        <f t="array" ref="F54">SUMPRODUCT(Table1[Valuation/EBITDA],Table1[EBITDA],--(Table1[Primary Industry Code]=Planilha1!E54))/SUMIFS(Table1[EBITDA],Table1[Primary Industry Code],Planilha1!E54)</f>
        <v>12.78</v>
      </c>
      <c r="G54" s="36">
        <f>SUMIFS(Table1[EBITDA],Table1[Primary Industry Code],Planilha1!E54)</f>
        <v>300.33999999999997</v>
      </c>
      <c r="H54" s="30"/>
    </row>
    <row r="55" spans="5:8" x14ac:dyDescent="0.3">
      <c r="E55" s="25" t="str">
        <v>Beverages</v>
      </c>
      <c r="F55" s="31" cm="1">
        <f t="array" ref="F55">SUMPRODUCT(Table1[Valuation/EBITDA],Table1[EBITDA],--(Table1[Primary Industry Code]=Planilha1!E55))/SUMIFS(Table1[EBITDA],Table1[Primary Industry Code],Planilha1!E55)</f>
        <v>23.959916822027825</v>
      </c>
      <c r="G55" s="36">
        <f>SUMIFS(Table1[EBITDA],Table1[Primary Industry Code],Planilha1!E55)</f>
        <v>139.45999999999998</v>
      </c>
      <c r="H55" s="30"/>
    </row>
    <row r="56" spans="5:8" x14ac:dyDescent="0.3">
      <c r="E56" s="25" t="str">
        <v>Infrastructure</v>
      </c>
      <c r="F56" s="31" cm="1">
        <f t="array" ref="F56">SUMPRODUCT(Table1[Valuation/EBITDA],Table1[EBITDA],--(Table1[Primary Industry Code]=Planilha1!E56))/SUMIFS(Table1[EBITDA],Table1[Primary Industry Code],Planilha1!E56)</f>
        <v>5.07</v>
      </c>
      <c r="G56" s="36">
        <f>SUMIFS(Table1[EBITDA],Table1[Primary Industry Code],Planilha1!E56)</f>
        <v>200.86</v>
      </c>
      <c r="H56" s="30"/>
    </row>
    <row r="57" spans="5:8" x14ac:dyDescent="0.3">
      <c r="E57" s="25" t="str">
        <v>Specialty Retail</v>
      </c>
      <c r="F57" s="31" cm="1">
        <f t="array" ref="F57">SUMPRODUCT(Table1[Valuation/EBITDA],Table1[EBITDA],--(Table1[Primary Industry Code]=Planilha1!E57))/SUMIFS(Table1[EBITDA],Table1[Primary Industry Code],Planilha1!E57)</f>
        <v>9.0270805363152373</v>
      </c>
      <c r="G57" s="36">
        <f>SUMIFS(Table1[EBITDA],Table1[Primary Industry Code],Planilha1!E57)</f>
        <v>1123.22</v>
      </c>
      <c r="H57" s="30"/>
    </row>
    <row r="58" spans="5:8" x14ac:dyDescent="0.3">
      <c r="E58" s="25" t="str">
        <v>BPO/Outsource Services</v>
      </c>
      <c r="F58" s="31" cm="1">
        <f t="array" ref="F58">SUMPRODUCT(Table1[Valuation/EBITDA],Table1[EBITDA],--(Table1[Primary Industry Code]=Planilha1!E58))/SUMIFS(Table1[EBITDA],Table1[Primary Industry Code],Planilha1!E58)</f>
        <v>6.11</v>
      </c>
      <c r="G58" s="36">
        <f>SUMIFS(Table1[EBITDA],Table1[Primary Industry Code],Planilha1!E58)</f>
        <v>26.4</v>
      </c>
      <c r="H58" s="30"/>
    </row>
    <row r="59" spans="5:8" x14ac:dyDescent="0.3">
      <c r="E59" s="25" t="str">
        <v>Computers, Parts and Peripherals</v>
      </c>
      <c r="F59" s="31" cm="1">
        <f t="array" ref="F59">SUMPRODUCT(Table1[Valuation/EBITDA],Table1[EBITDA],--(Table1[Primary Industry Code]=Planilha1!E59))/SUMIFS(Table1[EBITDA],Table1[Primary Industry Code],Planilha1!E59)</f>
        <v>5.95</v>
      </c>
      <c r="G59" s="36">
        <f>SUMIFS(Table1[EBITDA],Table1[Primary Industry Code],Planilha1!E59)</f>
        <v>26.47</v>
      </c>
      <c r="H59" s="30"/>
    </row>
    <row r="60" spans="5:8" x14ac:dyDescent="0.3">
      <c r="E60" s="25" t="str">
        <v>Hotels and Resorts</v>
      </c>
      <c r="F60" s="31" cm="1">
        <f t="array" ref="F60">SUMPRODUCT(Table1[Valuation/EBITDA],Table1[EBITDA],--(Table1[Primary Industry Code]=Planilha1!E60))/SUMIFS(Table1[EBITDA],Table1[Primary Industry Code],Planilha1!E60)</f>
        <v>7.04</v>
      </c>
      <c r="G60" s="36">
        <f>SUMIFS(Table1[EBITDA],Table1[Primary Industry Code],Planilha1!E60)</f>
        <v>24.73</v>
      </c>
      <c r="H60" s="30"/>
    </row>
    <row r="61" spans="5:8" x14ac:dyDescent="0.3">
      <c r="E61" s="25" t="str">
        <v>Holding Companies</v>
      </c>
      <c r="F61" s="31" cm="1">
        <f t="array" ref="F61">SUMPRODUCT(Table1[Valuation/EBITDA],Table1[EBITDA],--(Table1[Primary Industry Code]=Planilha1!E61))/SUMIFS(Table1[EBITDA],Table1[Primary Industry Code],Planilha1!E61)</f>
        <v>69.13</v>
      </c>
      <c r="G61" s="36">
        <f>SUMIFS(Table1[EBITDA],Table1[Primary Industry Code],Planilha1!E61)</f>
        <v>4.0199999999999996</v>
      </c>
      <c r="H61" s="30"/>
    </row>
    <row r="62" spans="5:8" x14ac:dyDescent="0.3">
      <c r="E62" s="25" t="str">
        <v>Industrial Supplies and Parts</v>
      </c>
      <c r="F62" s="31" cm="1">
        <f t="array" ref="F62">SUMPRODUCT(Table1[Valuation/EBITDA],Table1[EBITDA],--(Table1[Primary Industry Code]=Planilha1!E62))/SUMIFS(Table1[EBITDA],Table1[Primary Industry Code],Planilha1!E62)</f>
        <v>-0.91</v>
      </c>
      <c r="G62" s="36">
        <f>SUMIFS(Table1[EBITDA],Table1[Primary Industry Code],Planilha1!E62)</f>
        <v>-13.21</v>
      </c>
      <c r="H62" s="30"/>
    </row>
    <row r="63" spans="5:8" x14ac:dyDescent="0.3">
      <c r="E63" s="25" t="str">
        <v>Coal Mining</v>
      </c>
      <c r="F63" s="31" cm="1">
        <f t="array" ref="F63">SUMPRODUCT(Table1[Valuation/EBITDA],Table1[EBITDA],--(Table1[Primary Industry Code]=Planilha1!E63))/SUMIFS(Table1[EBITDA],Table1[Primary Industry Code],Planilha1!E63)</f>
        <v>-15.760000000000002</v>
      </c>
      <c r="G63" s="36">
        <f>SUMIFS(Table1[EBITDA],Table1[Primary Industry Code],Planilha1!E63)</f>
        <v>-10.79</v>
      </c>
      <c r="H63" s="30"/>
    </row>
    <row r="64" spans="5:8" x14ac:dyDescent="0.3">
      <c r="E64" s="25" t="str">
        <v>Managed Care</v>
      </c>
      <c r="F64" s="31" cm="1">
        <f t="array" ref="F64">SUMPRODUCT(Table1[Valuation/EBITDA],Table1[EBITDA],--(Table1[Primary Industry Code]=Planilha1!E64))/SUMIFS(Table1[EBITDA],Table1[Primary Industry Code],Planilha1!E64)</f>
        <v>-12.08</v>
      </c>
      <c r="G64" s="36">
        <f>SUMIFS(Table1[EBITDA],Table1[Primary Industry Code],Planilha1!E64)</f>
        <v>-5.92</v>
      </c>
      <c r="H64" s="30"/>
    </row>
    <row r="65" spans="5:8" x14ac:dyDescent="0.3">
      <c r="E65" s="25" t="str">
        <v>Real Estate Services (B2C)</v>
      </c>
      <c r="F65" s="31" cm="1">
        <f t="array" ref="F65">SUMPRODUCT(Table1[Valuation/EBITDA],Table1[EBITDA],--(Table1[Primary Industry Code]=Planilha1!E65))/SUMIFS(Table1[EBITDA],Table1[Primary Industry Code],Planilha1!E65)</f>
        <v>1.26</v>
      </c>
      <c r="G65" s="36">
        <f>SUMIFS(Table1[EBITDA],Table1[Primary Industry Code],Planilha1!E65)</f>
        <v>244.75</v>
      </c>
      <c r="H65" s="30"/>
    </row>
    <row r="66" spans="5:8" x14ac:dyDescent="0.3">
      <c r="E66" s="25" t="str">
        <v>Road</v>
      </c>
      <c r="F66" s="31" cm="1">
        <f t="array" ref="F66">SUMPRODUCT(Table1[Valuation/EBITDA],Table1[EBITDA],--(Table1[Primary Industry Code]=Planilha1!E66))/SUMIFS(Table1[EBITDA],Table1[Primary Industry Code],Planilha1!E66)</f>
        <v>9.6079986149584471</v>
      </c>
      <c r="G66" s="36">
        <f>SUMIFS(Table1[EBITDA],Table1[Primary Industry Code],Planilha1!E66)</f>
        <v>43.32</v>
      </c>
      <c r="H66" s="30"/>
    </row>
    <row r="67" spans="5:8" x14ac:dyDescent="0.3">
      <c r="E67" s="25" t="str">
        <v>Buildings and Property</v>
      </c>
      <c r="F67" s="31" cm="1">
        <f t="array" ref="F67">SUMPRODUCT(Table1[Valuation/EBITDA],Table1[EBITDA],--(Table1[Primary Industry Code]=Planilha1!E67))/SUMIFS(Table1[EBITDA],Table1[Primary Industry Code],Planilha1!E67)</f>
        <v>16.59</v>
      </c>
      <c r="G67" s="36">
        <f>SUMIFS(Table1[EBITDA],Table1[Primary Industry Code],Planilha1!E67)</f>
        <v>8.2100000000000009</v>
      </c>
      <c r="H67" s="30"/>
    </row>
    <row r="68" spans="5:8" x14ac:dyDescent="0.3">
      <c r="E68" s="25" t="str">
        <v>Rail</v>
      </c>
      <c r="F68" s="31" cm="1">
        <f t="array" ref="F68">SUMPRODUCT(Table1[Valuation/EBITDA],Table1[EBITDA],--(Table1[Primary Industry Code]=Planilha1!E68))/SUMIFS(Table1[EBITDA],Table1[Primary Industry Code],Planilha1!E68)</f>
        <v>-0.03</v>
      </c>
      <c r="G68" s="36">
        <f>SUMIFS(Table1[EBITDA],Table1[Primary Industry Code],Planilha1!E68)</f>
        <v>-119.5</v>
      </c>
      <c r="H68" s="30"/>
    </row>
    <row r="69" spans="5:8" x14ac:dyDescent="0.3">
      <c r="E69" s="25" t="str">
        <v>Specialized Finance</v>
      </c>
      <c r="F69" s="31" cm="1">
        <f t="array" ref="F69">SUMPRODUCT(Table1[Valuation/EBITDA],Table1[EBITDA],--(Table1[Primary Industry Code]=Planilha1!E69))/SUMIFS(Table1[EBITDA],Table1[Primary Industry Code],Planilha1!E69)</f>
        <v>43.24</v>
      </c>
      <c r="G69" s="36">
        <f>SUMIFS(Table1[EBITDA],Table1[Primary Industry Code],Planilha1!E69)</f>
        <v>15.11</v>
      </c>
      <c r="H69" s="30"/>
    </row>
    <row r="70" spans="5:8" x14ac:dyDescent="0.3">
      <c r="E70" s="25" t="str">
        <v>Consulting Services (B2B)</v>
      </c>
      <c r="F70" s="31" cm="1">
        <f t="array" ref="F70">SUMPRODUCT(Table1[Valuation/EBITDA],Table1[EBITDA],--(Table1[Primary Industry Code]=Planilha1!E70))/SUMIFS(Table1[EBITDA],Table1[Primary Industry Code],Planilha1!E70)</f>
        <v>7.59</v>
      </c>
      <c r="G70" s="36">
        <f>SUMIFS(Table1[EBITDA],Table1[Primary Industry Code],Planilha1!E70)</f>
        <v>26.22</v>
      </c>
      <c r="H70" s="30"/>
    </row>
    <row r="71" spans="5:8" x14ac:dyDescent="0.3">
      <c r="E71" s="34" t="str">
        <v>Brokerage</v>
      </c>
      <c r="F71" s="33" cm="1">
        <f t="array" ref="F71">SUMPRODUCT(Table1[Valuation/EBITDA],Table1[EBITDA],--(Table1[Primary Industry Code]=Planilha1!E71))/SUMIFS(Table1[EBITDA],Table1[Primary Industry Code],Planilha1!E71)</f>
        <v>15.84</v>
      </c>
      <c r="G71" s="36">
        <f>SUMIFS(Table1[EBITDA],Table1[Primary Industry Code],Planilha1!E71)</f>
        <v>18.3</v>
      </c>
      <c r="H71" s="30"/>
    </row>
    <row r="72" spans="5:8" x14ac:dyDescent="0.3">
      <c r="F72" s="30"/>
    </row>
    <row r="73" spans="5:8" x14ac:dyDescent="0.3">
      <c r="F73" s="30"/>
    </row>
    <row r="74" spans="5:8" x14ac:dyDescent="0.3">
      <c r="F74" s="30"/>
    </row>
    <row r="75" spans="5:8" x14ac:dyDescent="0.3">
      <c r="F75" s="30"/>
    </row>
    <row r="76" spans="5:8" x14ac:dyDescent="0.3">
      <c r="F76" s="30"/>
    </row>
    <row r="77" spans="5:8" x14ac:dyDescent="0.3">
      <c r="F77" s="30"/>
    </row>
    <row r="78" spans="5:8" x14ac:dyDescent="0.3">
      <c r="F78" s="30"/>
    </row>
    <row r="79" spans="5:8" x14ac:dyDescent="0.3">
      <c r="F79" s="30"/>
    </row>
    <row r="80" spans="5:8" x14ac:dyDescent="0.3">
      <c r="F80" s="30"/>
    </row>
    <row r="81" spans="6:6" x14ac:dyDescent="0.3">
      <c r="F81" s="30"/>
    </row>
    <row r="82" spans="6:6" x14ac:dyDescent="0.3">
      <c r="F82" s="30"/>
    </row>
    <row r="83" spans="6:6" x14ac:dyDescent="0.3">
      <c r="F83" s="30"/>
    </row>
    <row r="84" spans="6:6" x14ac:dyDescent="0.3">
      <c r="F84" s="30"/>
    </row>
    <row r="85" spans="6:6" x14ac:dyDescent="0.3">
      <c r="F85" s="30"/>
    </row>
    <row r="86" spans="6:6" x14ac:dyDescent="0.3">
      <c r="F86" s="30"/>
    </row>
    <row r="87" spans="6:6" x14ac:dyDescent="0.3">
      <c r="F87" s="30"/>
    </row>
    <row r="88" spans="6:6" x14ac:dyDescent="0.3">
      <c r="F88" s="30"/>
    </row>
    <row r="89" spans="6:6" x14ac:dyDescent="0.3">
      <c r="F89" s="30"/>
    </row>
    <row r="90" spans="6:6" x14ac:dyDescent="0.3">
      <c r="F90" s="30"/>
    </row>
    <row r="91" spans="6:6" x14ac:dyDescent="0.3">
      <c r="F91" s="30"/>
    </row>
    <row r="92" spans="6:6" x14ac:dyDescent="0.3">
      <c r="F92" s="30"/>
    </row>
    <row r="93" spans="6:6" x14ac:dyDescent="0.3">
      <c r="F93" s="30"/>
    </row>
    <row r="94" spans="6:6" x14ac:dyDescent="0.3">
      <c r="F94" s="30"/>
    </row>
    <row r="95" spans="6:6" x14ac:dyDescent="0.3">
      <c r="F95" s="30"/>
    </row>
    <row r="96" spans="6:6" x14ac:dyDescent="0.3">
      <c r="F96" s="30"/>
    </row>
    <row r="97" spans="6:6" x14ac:dyDescent="0.3">
      <c r="F97" s="30"/>
    </row>
    <row r="98" spans="6:6" x14ac:dyDescent="0.3">
      <c r="F98" s="30"/>
    </row>
    <row r="99" spans="6:6" x14ac:dyDescent="0.3">
      <c r="F99" s="30"/>
    </row>
    <row r="100" spans="6:6" x14ac:dyDescent="0.3">
      <c r="F100" s="30"/>
    </row>
    <row r="101" spans="6:6" x14ac:dyDescent="0.3">
      <c r="F101" s="30"/>
    </row>
    <row r="102" spans="6:6" x14ac:dyDescent="0.3">
      <c r="F102" s="30"/>
    </row>
    <row r="103" spans="6:6" x14ac:dyDescent="0.3">
      <c r="F103" s="30"/>
    </row>
    <row r="104" spans="6:6" x14ac:dyDescent="0.3">
      <c r="F104" s="30"/>
    </row>
    <row r="105" spans="6:6" x14ac:dyDescent="0.3">
      <c r="F105" s="30"/>
    </row>
    <row r="106" spans="6:6" x14ac:dyDescent="0.3">
      <c r="F106" s="30"/>
    </row>
    <row r="107" spans="6:6" x14ac:dyDescent="0.3">
      <c r="F107" s="30"/>
    </row>
    <row r="108" spans="6:6" x14ac:dyDescent="0.3">
      <c r="F108" s="30"/>
    </row>
    <row r="109" spans="6:6" x14ac:dyDescent="0.3">
      <c r="F109" s="30"/>
    </row>
    <row r="110" spans="6:6" x14ac:dyDescent="0.3">
      <c r="F110" s="30"/>
    </row>
    <row r="111" spans="6:6" x14ac:dyDescent="0.3">
      <c r="F111" s="30"/>
    </row>
    <row r="112" spans="6:6" x14ac:dyDescent="0.3">
      <c r="F112" s="30"/>
    </row>
    <row r="113" spans="6:6" x14ac:dyDescent="0.3">
      <c r="F113" s="30"/>
    </row>
    <row r="114" spans="6:6" x14ac:dyDescent="0.3">
      <c r="F114" s="30"/>
    </row>
    <row r="115" spans="6:6" x14ac:dyDescent="0.3">
      <c r="F115" s="30"/>
    </row>
    <row r="116" spans="6:6" x14ac:dyDescent="0.3">
      <c r="F116" s="30"/>
    </row>
    <row r="117" spans="6:6" x14ac:dyDescent="0.3">
      <c r="F117" s="30"/>
    </row>
    <row r="118" spans="6:6" x14ac:dyDescent="0.3">
      <c r="F118" s="30"/>
    </row>
    <row r="119" spans="6:6" x14ac:dyDescent="0.3">
      <c r="F119" s="30"/>
    </row>
    <row r="120" spans="6:6" x14ac:dyDescent="0.3">
      <c r="F120" s="30"/>
    </row>
    <row r="121" spans="6:6" x14ac:dyDescent="0.3">
      <c r="F121" s="30"/>
    </row>
    <row r="122" spans="6:6" x14ac:dyDescent="0.3">
      <c r="F122" s="30"/>
    </row>
    <row r="123" spans="6:6" x14ac:dyDescent="0.3">
      <c r="F123" s="30"/>
    </row>
    <row r="124" spans="6:6" x14ac:dyDescent="0.3">
      <c r="F124" s="30"/>
    </row>
    <row r="125" spans="6:6" x14ac:dyDescent="0.3">
      <c r="F125" s="30"/>
    </row>
    <row r="126" spans="6:6" x14ac:dyDescent="0.3">
      <c r="F126" s="30"/>
    </row>
    <row r="127" spans="6:6" x14ac:dyDescent="0.3">
      <c r="F127" s="30"/>
    </row>
    <row r="128" spans="6:6" x14ac:dyDescent="0.3">
      <c r="F128" s="30"/>
    </row>
    <row r="129" spans="6:6" x14ac:dyDescent="0.3">
      <c r="F129" s="30"/>
    </row>
    <row r="130" spans="6:6" x14ac:dyDescent="0.3">
      <c r="F130" s="30"/>
    </row>
    <row r="131" spans="6:6" x14ac:dyDescent="0.3">
      <c r="F131" s="30"/>
    </row>
    <row r="132" spans="6:6" x14ac:dyDescent="0.3">
      <c r="F132" s="30"/>
    </row>
    <row r="133" spans="6:6" x14ac:dyDescent="0.3">
      <c r="F133" s="30"/>
    </row>
    <row r="134" spans="6:6" x14ac:dyDescent="0.3">
      <c r="F134" s="30"/>
    </row>
    <row r="135" spans="6:6" x14ac:dyDescent="0.3">
      <c r="F135" s="30"/>
    </row>
    <row r="136" spans="6:6" x14ac:dyDescent="0.3">
      <c r="F136" s="30"/>
    </row>
    <row r="137" spans="6:6" x14ac:dyDescent="0.3">
      <c r="F137" s="30"/>
    </row>
    <row r="138" spans="6:6" x14ac:dyDescent="0.3">
      <c r="F138" s="30"/>
    </row>
    <row r="139" spans="6:6" x14ac:dyDescent="0.3">
      <c r="F139" s="30"/>
    </row>
    <row r="140" spans="6:6" x14ac:dyDescent="0.3">
      <c r="F140" s="30"/>
    </row>
    <row r="141" spans="6:6" x14ac:dyDescent="0.3">
      <c r="F141" s="30"/>
    </row>
    <row r="142" spans="6:6" x14ac:dyDescent="0.3">
      <c r="F142" s="30"/>
    </row>
    <row r="143" spans="6:6" x14ac:dyDescent="0.3">
      <c r="F143" s="30"/>
    </row>
    <row r="144" spans="6:6" x14ac:dyDescent="0.3">
      <c r="F144" s="30"/>
    </row>
    <row r="145" spans="6:6" x14ac:dyDescent="0.3">
      <c r="F145" s="30"/>
    </row>
    <row r="146" spans="6:6" x14ac:dyDescent="0.3">
      <c r="F146" s="30"/>
    </row>
    <row r="147" spans="6:6" x14ac:dyDescent="0.3">
      <c r="F147" s="30"/>
    </row>
    <row r="148" spans="6:6" x14ac:dyDescent="0.3">
      <c r="F148" s="30"/>
    </row>
    <row r="149" spans="6:6" x14ac:dyDescent="0.3">
      <c r="F149" s="30"/>
    </row>
    <row r="150" spans="6:6" x14ac:dyDescent="0.3">
      <c r="F150" s="30"/>
    </row>
    <row r="151" spans="6:6" x14ac:dyDescent="0.3">
      <c r="F151" s="30"/>
    </row>
    <row r="152" spans="6:6" x14ac:dyDescent="0.3">
      <c r="F152" s="30"/>
    </row>
    <row r="153" spans="6:6" x14ac:dyDescent="0.3">
      <c r="F153" s="30"/>
    </row>
    <row r="154" spans="6:6" x14ac:dyDescent="0.3">
      <c r="F154" s="30"/>
    </row>
    <row r="155" spans="6:6" x14ac:dyDescent="0.3">
      <c r="F155" s="30"/>
    </row>
    <row r="156" spans="6:6" x14ac:dyDescent="0.3">
      <c r="F156" s="30"/>
    </row>
    <row r="157" spans="6:6" x14ac:dyDescent="0.3">
      <c r="F157" s="30"/>
    </row>
    <row r="158" spans="6:6" x14ac:dyDescent="0.3">
      <c r="F158" s="30"/>
    </row>
    <row r="159" spans="6:6" x14ac:dyDescent="0.3">
      <c r="F159" s="30"/>
    </row>
    <row r="160" spans="6:6" x14ac:dyDescent="0.3">
      <c r="F160" s="30"/>
    </row>
    <row r="161" spans="6:6" x14ac:dyDescent="0.3">
      <c r="F161" s="30"/>
    </row>
    <row r="162" spans="6:6" x14ac:dyDescent="0.3">
      <c r="F162" s="30"/>
    </row>
    <row r="163" spans="6:6" x14ac:dyDescent="0.3">
      <c r="F163" s="30"/>
    </row>
    <row r="164" spans="6:6" x14ac:dyDescent="0.3">
      <c r="F164" s="30"/>
    </row>
    <row r="165" spans="6:6" x14ac:dyDescent="0.3">
      <c r="F165" s="30"/>
    </row>
    <row r="166" spans="6:6" x14ac:dyDescent="0.3">
      <c r="F166" s="30"/>
    </row>
    <row r="167" spans="6:6" x14ac:dyDescent="0.3">
      <c r="F167" s="30"/>
    </row>
    <row r="168" spans="6:6" x14ac:dyDescent="0.3">
      <c r="F168" s="30"/>
    </row>
    <row r="169" spans="6:6" x14ac:dyDescent="0.3">
      <c r="F169" s="30"/>
    </row>
    <row r="170" spans="6:6" x14ac:dyDescent="0.3">
      <c r="F170" s="30"/>
    </row>
    <row r="171" spans="6:6" x14ac:dyDescent="0.3">
      <c r="F171" s="30"/>
    </row>
    <row r="172" spans="6:6" x14ac:dyDescent="0.3">
      <c r="F172" s="30"/>
    </row>
    <row r="173" spans="6:6" x14ac:dyDescent="0.3">
      <c r="F173" s="30"/>
    </row>
    <row r="174" spans="6:6" x14ac:dyDescent="0.3">
      <c r="F174" s="30"/>
    </row>
    <row r="175" spans="6:6" x14ac:dyDescent="0.3">
      <c r="F175" s="30"/>
    </row>
    <row r="176" spans="6:6" x14ac:dyDescent="0.3">
      <c r="F176" s="30"/>
    </row>
    <row r="177" spans="6:6" x14ac:dyDescent="0.3">
      <c r="F177" s="30"/>
    </row>
    <row r="178" spans="6:6" x14ac:dyDescent="0.3">
      <c r="F178" s="30"/>
    </row>
    <row r="179" spans="6:6" x14ac:dyDescent="0.3">
      <c r="F179" s="30"/>
    </row>
    <row r="180" spans="6:6" x14ac:dyDescent="0.3">
      <c r="F180" s="30"/>
    </row>
    <row r="181" spans="6:6" x14ac:dyDescent="0.3">
      <c r="F181" s="30"/>
    </row>
    <row r="182" spans="6:6" x14ac:dyDescent="0.3">
      <c r="F182" s="30"/>
    </row>
    <row r="183" spans="6:6" x14ac:dyDescent="0.3">
      <c r="F183" s="30"/>
    </row>
    <row r="184" spans="6:6" x14ac:dyDescent="0.3">
      <c r="F184" s="30"/>
    </row>
    <row r="185" spans="6:6" x14ac:dyDescent="0.3">
      <c r="F185" s="30"/>
    </row>
    <row r="186" spans="6:6" x14ac:dyDescent="0.3">
      <c r="F186" s="30"/>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Filtered</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Enzo Pucci</dc:creator>
  <cp:lastModifiedBy>PEDRO GUERRA JUDICE MESQUITA</cp:lastModifiedBy>
  <dcterms:created xsi:type="dcterms:W3CDTF">2025-08-29T20:58:51Z</dcterms:created>
  <dcterms:modified xsi:type="dcterms:W3CDTF">2025-09-08T18:54:38Z</dcterms:modified>
</cp:coreProperties>
</file>